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0" yWindow="0" windowWidth="13125" windowHeight="6105" activeTab="2"/>
  </bookViews>
  <sheets>
    <sheet name="数据矩阵" sheetId="2" r:id="rId1"/>
    <sheet name="分组" sheetId="3" r:id="rId2"/>
    <sheet name="比较" sheetId="4" r:id="rId3"/>
  </sheets>
  <calcPr calcId="125725"/>
</workbook>
</file>

<file path=xl/calcChain.xml><?xml version="1.0" encoding="utf-8"?>
<calcChain xmlns="http://schemas.openxmlformats.org/spreadsheetml/2006/main">
  <c r="H2532" i="2"/>
  <c r="H2531"/>
  <c r="H2530"/>
  <c r="H2529"/>
  <c r="H2528"/>
  <c r="H2527"/>
  <c r="H2526"/>
  <c r="H2525"/>
  <c r="H2524"/>
  <c r="H2523"/>
  <c r="H2522"/>
  <c r="H2521"/>
  <c r="H2520"/>
  <c r="H2519"/>
  <c r="H2518"/>
  <c r="H2517"/>
  <c r="H2516"/>
  <c r="H2515"/>
  <c r="H2514"/>
  <c r="H2513"/>
  <c r="H2512"/>
  <c r="H2511"/>
  <c r="H2510"/>
  <c r="H2509"/>
  <c r="H2508"/>
  <c r="H2507"/>
  <c r="H2506"/>
  <c r="H2505"/>
  <c r="H2504"/>
  <c r="H2503"/>
  <c r="H2502"/>
  <c r="H2501"/>
  <c r="H2500"/>
  <c r="H2499"/>
  <c r="H2498"/>
  <c r="H2497"/>
  <c r="H2496"/>
  <c r="H2495"/>
  <c r="H2494"/>
  <c r="H2493"/>
  <c r="H2492"/>
  <c r="H2491"/>
  <c r="H2490"/>
  <c r="H2489"/>
  <c r="H2488"/>
  <c r="H2487"/>
  <c r="H2486"/>
  <c r="H2485"/>
  <c r="H2484"/>
  <c r="H2483"/>
  <c r="H2482"/>
  <c r="H2481"/>
  <c r="H2480"/>
  <c r="H2479"/>
  <c r="H2478"/>
  <c r="H2477"/>
  <c r="H2476"/>
  <c r="H2475"/>
  <c r="H2474"/>
  <c r="H2473"/>
  <c r="H2472"/>
  <c r="H2471"/>
  <c r="H2470"/>
  <c r="H2469"/>
  <c r="H2468"/>
  <c r="H2467"/>
  <c r="H2466"/>
  <c r="H2465"/>
  <c r="H2464"/>
  <c r="H2463"/>
  <c r="H2462"/>
  <c r="H2461"/>
  <c r="H2460"/>
  <c r="H2459"/>
  <c r="H2458"/>
  <c r="H2457"/>
  <c r="H2456"/>
  <c r="H2455"/>
  <c r="H2454"/>
  <c r="H2453"/>
  <c r="H2452"/>
  <c r="H2451"/>
  <c r="H2450"/>
  <c r="H2449"/>
  <c r="H2448"/>
  <c r="H2447"/>
  <c r="H2446"/>
  <c r="H2445"/>
  <c r="H2444"/>
  <c r="H2443"/>
  <c r="H2442"/>
  <c r="H2441"/>
  <c r="H2440"/>
  <c r="H2439"/>
  <c r="H2438"/>
  <c r="H2437"/>
  <c r="H2436"/>
  <c r="H2435"/>
  <c r="H2434"/>
  <c r="H2433"/>
  <c r="H2432"/>
  <c r="H2431"/>
  <c r="H2430"/>
  <c r="H2429"/>
  <c r="H2428"/>
  <c r="H2427"/>
  <c r="H2426"/>
  <c r="H2425"/>
  <c r="H2424"/>
  <c r="H2423"/>
  <c r="H2422"/>
  <c r="H2421"/>
  <c r="H2420"/>
  <c r="H2419"/>
  <c r="H2418"/>
  <c r="H2417"/>
  <c r="H2416"/>
  <c r="H2415"/>
  <c r="H2414"/>
  <c r="H2413"/>
  <c r="H2412"/>
  <c r="H2411"/>
  <c r="H2410"/>
  <c r="H2409"/>
  <c r="H2408"/>
  <c r="H2407"/>
  <c r="H2406"/>
  <c r="H2405"/>
  <c r="H2404"/>
  <c r="H2403"/>
  <c r="H2402"/>
  <c r="H2401"/>
  <c r="H2400"/>
  <c r="H2399"/>
  <c r="H2398"/>
  <c r="H2397"/>
  <c r="H2396"/>
  <c r="H2395"/>
  <c r="H2394"/>
  <c r="H2393"/>
  <c r="H2392"/>
  <c r="H2391"/>
  <c r="H2390"/>
  <c r="H2389"/>
  <c r="H2388"/>
  <c r="H2387"/>
  <c r="H2386"/>
  <c r="H2385"/>
  <c r="H2384"/>
  <c r="H2383"/>
  <c r="H2382"/>
  <c r="H2381"/>
  <c r="H2380"/>
  <c r="H2379"/>
  <c r="H2378"/>
  <c r="H2377"/>
  <c r="H2376"/>
  <c r="H2375"/>
  <c r="H2374"/>
  <c r="H2373"/>
  <c r="H2372"/>
  <c r="H2371"/>
  <c r="H2370"/>
  <c r="H2369"/>
  <c r="H2368"/>
  <c r="H2367"/>
  <c r="H2366"/>
  <c r="H2365"/>
  <c r="H2364"/>
  <c r="H2363"/>
  <c r="H2362"/>
  <c r="H2361"/>
  <c r="H2360"/>
  <c r="H2359"/>
  <c r="H2358"/>
  <c r="H2357"/>
  <c r="H2356"/>
  <c r="H2355"/>
  <c r="H2354"/>
  <c r="H2353"/>
  <c r="H2352"/>
  <c r="H2351"/>
  <c r="H2350"/>
  <c r="H2349"/>
  <c r="H2348"/>
  <c r="H2347"/>
  <c r="H2346"/>
  <c r="H2345"/>
  <c r="H2344"/>
  <c r="H2343"/>
  <c r="H2342"/>
  <c r="H2341"/>
  <c r="H2340"/>
  <c r="H2339"/>
  <c r="H2338"/>
  <c r="H2337"/>
  <c r="H2336"/>
  <c r="H2335"/>
  <c r="H2334"/>
  <c r="H2333"/>
  <c r="H2332"/>
  <c r="H2331"/>
  <c r="H2330"/>
  <c r="H2329"/>
  <c r="H2328"/>
  <c r="H2327"/>
  <c r="H2326"/>
  <c r="H2325"/>
  <c r="H2324"/>
  <c r="H2323"/>
  <c r="H2322"/>
  <c r="H2321"/>
  <c r="H2320"/>
  <c r="H2319"/>
  <c r="H2318"/>
  <c r="H2317"/>
  <c r="H2316"/>
  <c r="H2315"/>
  <c r="H2314"/>
  <c r="H2313"/>
  <c r="H2312"/>
  <c r="H2311"/>
  <c r="H2310"/>
  <c r="H2309"/>
  <c r="H2308"/>
  <c r="H2307"/>
  <c r="H2306"/>
  <c r="H2305"/>
  <c r="H2304"/>
  <c r="H2303"/>
  <c r="H2302"/>
  <c r="H2301"/>
  <c r="H2300"/>
  <c r="H2299"/>
  <c r="H2298"/>
  <c r="H2297"/>
  <c r="H2296"/>
  <c r="H2295"/>
  <c r="H2294"/>
  <c r="H2293"/>
  <c r="H2292"/>
  <c r="H2291"/>
  <c r="H2290"/>
  <c r="H2289"/>
  <c r="H2288"/>
  <c r="H2287"/>
  <c r="H2286"/>
  <c r="H2285"/>
  <c r="H2284"/>
  <c r="H2283"/>
  <c r="H2282"/>
  <c r="H2281"/>
  <c r="H2280"/>
  <c r="H2279"/>
  <c r="H2278"/>
  <c r="H2277"/>
  <c r="H2276"/>
  <c r="H2275"/>
  <c r="H2274"/>
  <c r="H2273"/>
  <c r="H2272"/>
  <c r="H2271"/>
  <c r="H2270"/>
  <c r="H2269"/>
  <c r="H2268"/>
  <c r="H2267"/>
  <c r="H2266"/>
  <c r="H2265"/>
  <c r="H2264"/>
  <c r="H2263"/>
  <c r="H2262"/>
  <c r="H2261"/>
  <c r="H2260"/>
  <c r="H2259"/>
  <c r="H2258"/>
  <c r="H2257"/>
  <c r="H2256"/>
  <c r="H2255"/>
  <c r="H2254"/>
  <c r="H2253"/>
  <c r="H2252"/>
  <c r="H2251"/>
  <c r="H2250"/>
  <c r="H2249"/>
  <c r="H2248"/>
  <c r="H2247"/>
  <c r="H2246"/>
  <c r="H2245"/>
  <c r="H2244"/>
  <c r="H2243"/>
  <c r="H2242"/>
  <c r="H2241"/>
  <c r="H2240"/>
  <c r="H2239"/>
  <c r="H2238"/>
  <c r="H2237"/>
  <c r="H2236"/>
  <c r="H2235"/>
  <c r="H2234"/>
  <c r="H2233"/>
  <c r="H2232"/>
  <c r="H2231"/>
  <c r="H2230"/>
  <c r="H2229"/>
  <c r="H2228"/>
  <c r="H2227"/>
  <c r="H2226"/>
  <c r="H2225"/>
  <c r="H2224"/>
  <c r="H2223"/>
  <c r="H2222"/>
  <c r="H2221"/>
  <c r="H2220"/>
  <c r="H2219"/>
  <c r="H2218"/>
  <c r="H2217"/>
  <c r="H2216"/>
  <c r="H2215"/>
  <c r="H2214"/>
  <c r="H2213"/>
  <c r="H2212"/>
  <c r="H2211"/>
  <c r="H2210"/>
  <c r="H2209"/>
  <c r="H2208"/>
  <c r="H2207"/>
  <c r="H2206"/>
  <c r="H2205"/>
  <c r="H2204"/>
  <c r="H2203"/>
  <c r="H2202"/>
  <c r="H2201"/>
  <c r="H2200"/>
  <c r="H2199"/>
  <c r="H2198"/>
  <c r="H2197"/>
  <c r="H2196"/>
  <c r="H2195"/>
  <c r="H2194"/>
  <c r="H2193"/>
  <c r="H2192"/>
  <c r="H2191"/>
  <c r="H2190"/>
  <c r="H2189"/>
  <c r="H2188"/>
  <c r="H2187"/>
  <c r="H2186"/>
  <c r="H2185"/>
  <c r="H2184"/>
  <c r="H2183"/>
  <c r="H2182"/>
  <c r="H2181"/>
  <c r="H2180"/>
  <c r="H2179"/>
  <c r="H2178"/>
  <c r="H2177"/>
  <c r="H2176"/>
  <c r="H2175"/>
  <c r="H2174"/>
  <c r="H2173"/>
  <c r="H2172"/>
  <c r="H2171"/>
  <c r="H2170"/>
  <c r="H2169"/>
  <c r="H2168"/>
  <c r="H2167"/>
  <c r="H2166"/>
  <c r="H2165"/>
  <c r="H2164"/>
  <c r="H2163"/>
  <c r="H2162"/>
  <c r="H2161"/>
  <c r="H2160"/>
  <c r="H2159"/>
  <c r="H2158"/>
  <c r="H2157"/>
  <c r="H2156"/>
  <c r="H2155"/>
  <c r="H2154"/>
  <c r="H2153"/>
  <c r="H2152"/>
  <c r="H2151"/>
  <c r="H2150"/>
  <c r="H2149"/>
  <c r="H2148"/>
  <c r="H2147"/>
  <c r="H2146"/>
  <c r="H2145"/>
  <c r="H2144"/>
  <c r="H2143"/>
  <c r="H2142"/>
  <c r="H2141"/>
  <c r="H2140"/>
  <c r="H2139"/>
  <c r="H2138"/>
  <c r="H2137"/>
  <c r="H2136"/>
  <c r="H2135"/>
  <c r="H2134"/>
  <c r="H2133"/>
  <c r="H2132"/>
  <c r="H2131"/>
  <c r="H2130"/>
  <c r="H2129"/>
  <c r="H2128"/>
  <c r="H2127"/>
  <c r="H2126"/>
  <c r="H2125"/>
  <c r="H2124"/>
  <c r="H2123"/>
  <c r="H2122"/>
  <c r="H2121"/>
  <c r="H2120"/>
  <c r="H2119"/>
  <c r="H2118"/>
  <c r="H2117"/>
  <c r="H2116"/>
  <c r="H2115"/>
  <c r="H2114"/>
  <c r="H2113"/>
  <c r="H2112"/>
  <c r="H2111"/>
  <c r="H2110"/>
  <c r="H2109"/>
  <c r="H2108"/>
  <c r="H2107"/>
  <c r="H2106"/>
  <c r="H2105"/>
  <c r="H2104"/>
  <c r="H2103"/>
  <c r="H2102"/>
  <c r="H2101"/>
  <c r="H2100"/>
  <c r="H2099"/>
  <c r="H2098"/>
  <c r="H2097"/>
  <c r="H2096"/>
  <c r="H2095"/>
  <c r="H2094"/>
  <c r="H2093"/>
  <c r="H2092"/>
  <c r="H2091"/>
  <c r="H2090"/>
  <c r="H2089"/>
  <c r="H2088"/>
  <c r="H2087"/>
  <c r="H2086"/>
  <c r="H2085"/>
  <c r="H2084"/>
  <c r="H2083"/>
  <c r="H2082"/>
  <c r="H2081"/>
  <c r="H2080"/>
  <c r="H2079"/>
  <c r="H2078"/>
  <c r="H2077"/>
  <c r="H2076"/>
  <c r="H2075"/>
  <c r="H2074"/>
  <c r="H2073"/>
  <c r="H2072"/>
  <c r="H2071"/>
  <c r="H2070"/>
  <c r="H2069"/>
  <c r="H2068"/>
  <c r="H2067"/>
  <c r="H2066"/>
  <c r="H2065"/>
  <c r="H2064"/>
  <c r="H2063"/>
  <c r="H2062"/>
  <c r="H2061"/>
  <c r="H2060"/>
  <c r="H2059"/>
  <c r="H2058"/>
  <c r="H2057"/>
  <c r="H2056"/>
  <c r="H2055"/>
  <c r="H2054"/>
  <c r="H2053"/>
  <c r="H2052"/>
  <c r="H2051"/>
  <c r="H2050"/>
  <c r="H2049"/>
  <c r="H2048"/>
  <c r="H2047"/>
  <c r="H2046"/>
  <c r="H2045"/>
  <c r="H2044"/>
  <c r="H2043"/>
  <c r="H2042"/>
  <c r="H2041"/>
  <c r="H2040"/>
  <c r="H2039"/>
  <c r="H2038"/>
  <c r="H2037"/>
  <c r="H2036"/>
  <c r="H2035"/>
  <c r="H2034"/>
  <c r="H2033"/>
  <c r="H2032"/>
  <c r="H2031"/>
  <c r="H2030"/>
  <c r="H2029"/>
  <c r="H2028"/>
  <c r="H2027"/>
  <c r="H2026"/>
  <c r="H2025"/>
  <c r="H2024"/>
  <c r="H2023"/>
  <c r="H2022"/>
  <c r="H2021"/>
  <c r="H2020"/>
  <c r="H2019"/>
  <c r="H2018"/>
  <c r="H2017"/>
  <c r="H2016"/>
  <c r="H2015"/>
  <c r="H2014"/>
  <c r="H2013"/>
  <c r="H2012"/>
  <c r="H2011"/>
  <c r="H2010"/>
  <c r="H2009"/>
  <c r="H2008"/>
  <c r="H2007"/>
  <c r="H2006"/>
  <c r="H2005"/>
  <c r="H2004"/>
  <c r="H2003"/>
  <c r="H2002"/>
  <c r="H2001"/>
  <c r="H2000"/>
  <c r="H1999"/>
  <c r="H1998"/>
  <c r="H1997"/>
  <c r="H1996"/>
  <c r="H1995"/>
  <c r="H1994"/>
  <c r="H1993"/>
  <c r="H1992"/>
  <c r="H1991"/>
  <c r="H1990"/>
  <c r="H1989"/>
  <c r="H1988"/>
  <c r="H1987"/>
  <c r="H1986"/>
  <c r="H1985"/>
  <c r="H1984"/>
  <c r="H1983"/>
  <c r="H1982"/>
  <c r="H1981"/>
  <c r="H1980"/>
  <c r="H1979"/>
  <c r="H1978"/>
  <c r="H1977"/>
  <c r="H1976"/>
  <c r="H1975"/>
  <c r="H1974"/>
  <c r="H1973"/>
  <c r="H1972"/>
  <c r="H1971"/>
  <c r="H1970"/>
  <c r="H1969"/>
  <c r="H1968"/>
  <c r="H1967"/>
  <c r="H1966"/>
  <c r="H1965"/>
  <c r="H1964"/>
  <c r="H1963"/>
  <c r="H1962"/>
  <c r="H1961"/>
  <c r="H1960"/>
  <c r="H1959"/>
  <c r="H1958"/>
  <c r="H1957"/>
  <c r="H1956"/>
  <c r="H1955"/>
  <c r="H1954"/>
  <c r="H1953"/>
  <c r="H1952"/>
  <c r="H1951"/>
  <c r="H1950"/>
  <c r="H1949"/>
  <c r="H1948"/>
  <c r="H1947"/>
  <c r="H1946"/>
  <c r="H1945"/>
  <c r="H1944"/>
  <c r="H1943"/>
  <c r="H1942"/>
  <c r="H1941"/>
  <c r="H1940"/>
  <c r="H1939"/>
  <c r="H1938"/>
  <c r="H1937"/>
  <c r="H1936"/>
  <c r="H1935"/>
  <c r="H1934"/>
  <c r="H1933"/>
  <c r="H1932"/>
  <c r="H1931"/>
  <c r="H1930"/>
  <c r="H1929"/>
  <c r="H1928"/>
  <c r="H1927"/>
  <c r="H1926"/>
  <c r="H1925"/>
  <c r="H1924"/>
  <c r="H1923"/>
  <c r="H1922"/>
  <c r="H1921"/>
  <c r="H1920"/>
  <c r="H1919"/>
  <c r="H1918"/>
  <c r="H1917"/>
  <c r="H1916"/>
  <c r="H1915"/>
  <c r="H1914"/>
  <c r="H1913"/>
  <c r="H1912"/>
  <c r="H1911"/>
  <c r="H1910"/>
  <c r="H1909"/>
  <c r="H1908"/>
  <c r="H1907"/>
  <c r="H1906"/>
  <c r="H1905"/>
  <c r="H1904"/>
  <c r="H1903"/>
  <c r="H1902"/>
  <c r="H1901"/>
  <c r="H1900"/>
  <c r="H1899"/>
  <c r="H1898"/>
  <c r="H1897"/>
  <c r="H1896"/>
  <c r="H1895"/>
  <c r="H1894"/>
  <c r="H1893"/>
  <c r="H1892"/>
  <c r="H1891"/>
  <c r="H1890"/>
  <c r="H1889"/>
  <c r="H1888"/>
  <c r="H1887"/>
  <c r="H1886"/>
  <c r="H1885"/>
  <c r="H1884"/>
  <c r="H1883"/>
  <c r="H1882"/>
  <c r="H1881"/>
  <c r="H1880"/>
  <c r="H1879"/>
  <c r="H1878"/>
  <c r="H1877"/>
  <c r="H1876"/>
  <c r="H1875"/>
  <c r="H1874"/>
  <c r="H1873"/>
  <c r="H1872"/>
  <c r="H1871"/>
  <c r="H1870"/>
  <c r="H1869"/>
  <c r="H1868"/>
  <c r="H1867"/>
  <c r="H1866"/>
  <c r="H1865"/>
  <c r="H1864"/>
  <c r="H1863"/>
  <c r="H1862"/>
  <c r="H1861"/>
  <c r="H1860"/>
  <c r="H1859"/>
  <c r="H1858"/>
  <c r="H1857"/>
  <c r="H1856"/>
  <c r="H1855"/>
  <c r="H1854"/>
  <c r="H1853"/>
  <c r="H1852"/>
  <c r="H1851"/>
  <c r="H1850"/>
  <c r="H1849"/>
  <c r="H1848"/>
  <c r="H1847"/>
  <c r="H1846"/>
  <c r="H1845"/>
  <c r="H1844"/>
  <c r="H1843"/>
  <c r="H1842"/>
  <c r="H1841"/>
  <c r="H1840"/>
  <c r="H1839"/>
  <c r="H1838"/>
  <c r="H1837"/>
  <c r="H1836"/>
  <c r="H1835"/>
  <c r="H1834"/>
  <c r="H1833"/>
  <c r="H1832"/>
  <c r="H1831"/>
  <c r="H1830"/>
  <c r="H1829"/>
  <c r="H1828"/>
  <c r="H1827"/>
  <c r="H1826"/>
  <c r="H1825"/>
  <c r="H1824"/>
  <c r="H1823"/>
  <c r="H1822"/>
  <c r="H1821"/>
  <c r="H1820"/>
  <c r="H1819"/>
  <c r="H1818"/>
  <c r="H1817"/>
  <c r="H1816"/>
  <c r="H1815"/>
  <c r="H1814"/>
  <c r="H1813"/>
  <c r="H1812"/>
  <c r="H1811"/>
  <c r="H1810"/>
  <c r="H1809"/>
  <c r="H1808"/>
  <c r="H1807"/>
  <c r="H1806"/>
  <c r="H1805"/>
  <c r="H1804"/>
  <c r="H1803"/>
  <c r="H1802"/>
  <c r="H1801"/>
  <c r="H1800"/>
  <c r="H1799"/>
  <c r="H1798"/>
  <c r="H1797"/>
  <c r="H1796"/>
  <c r="H1795"/>
  <c r="H1794"/>
  <c r="H1793"/>
  <c r="H1792"/>
  <c r="H1791"/>
  <c r="H1790"/>
  <c r="H1789"/>
  <c r="H1788"/>
  <c r="H1787"/>
  <c r="H1786"/>
  <c r="H1785"/>
  <c r="H1784"/>
  <c r="H1783"/>
  <c r="H1782"/>
  <c r="H1781"/>
  <c r="H1780"/>
  <c r="H1779"/>
  <c r="H1778"/>
  <c r="H1777"/>
  <c r="H1776"/>
  <c r="H1775"/>
  <c r="H1774"/>
  <c r="H1773"/>
  <c r="H1772"/>
  <c r="H1771"/>
  <c r="H1770"/>
  <c r="H1769"/>
  <c r="H1768"/>
  <c r="H1767"/>
  <c r="H1766"/>
  <c r="H1765"/>
  <c r="H1764"/>
  <c r="H1763"/>
  <c r="H1762"/>
  <c r="H1761"/>
  <c r="H1760"/>
  <c r="H1759"/>
  <c r="H1758"/>
  <c r="H1757"/>
  <c r="H1756"/>
  <c r="H1755"/>
  <c r="H1754"/>
  <c r="H1753"/>
  <c r="H1752"/>
  <c r="H1751"/>
  <c r="H1750"/>
  <c r="H1749"/>
  <c r="H1748"/>
  <c r="H1747"/>
  <c r="H1746"/>
  <c r="H1745"/>
  <c r="H1744"/>
  <c r="H1743"/>
  <c r="H1742"/>
  <c r="H1741"/>
  <c r="H1740"/>
  <c r="H1739"/>
  <c r="H1738"/>
  <c r="H1737"/>
  <c r="H1736"/>
  <c r="H1735"/>
  <c r="H1734"/>
  <c r="H1733"/>
  <c r="H1732"/>
  <c r="H1731"/>
  <c r="H1730"/>
  <c r="H1729"/>
  <c r="H1728"/>
  <c r="H1727"/>
  <c r="H1726"/>
  <c r="H1725"/>
  <c r="H1724"/>
  <c r="H1723"/>
  <c r="H1722"/>
  <c r="H1721"/>
  <c r="H1720"/>
  <c r="H1719"/>
  <c r="H1718"/>
  <c r="H1717"/>
  <c r="H1716"/>
  <c r="H1715"/>
  <c r="H1714"/>
  <c r="H1713"/>
  <c r="H1712"/>
  <c r="H1711"/>
  <c r="H1710"/>
  <c r="H1709"/>
  <c r="H1708"/>
  <c r="H1707"/>
  <c r="H1706"/>
  <c r="H1705"/>
  <c r="H1704"/>
  <c r="H1703"/>
  <c r="H1702"/>
  <c r="H1701"/>
  <c r="H1700"/>
  <c r="H1699"/>
  <c r="H1698"/>
  <c r="H1697"/>
  <c r="H1696"/>
  <c r="H1695"/>
  <c r="H1694"/>
  <c r="H1693"/>
  <c r="H1692"/>
  <c r="H1691"/>
  <c r="H1690"/>
  <c r="H1689"/>
  <c r="H1688"/>
  <c r="H1687"/>
  <c r="H1686"/>
  <c r="H1685"/>
  <c r="H1684"/>
  <c r="H1683"/>
  <c r="H1682"/>
  <c r="H1681"/>
  <c r="H1680"/>
  <c r="H1679"/>
  <c r="H1678"/>
  <c r="H1677"/>
  <c r="H1676"/>
  <c r="H1675"/>
  <c r="H1674"/>
  <c r="H1673"/>
  <c r="H1672"/>
  <c r="H1671"/>
  <c r="H1670"/>
  <c r="H1669"/>
  <c r="H1668"/>
  <c r="H1667"/>
  <c r="H1666"/>
  <c r="H1665"/>
  <c r="H1664"/>
  <c r="H1663"/>
  <c r="H1662"/>
  <c r="H1661"/>
  <c r="H1660"/>
  <c r="H1659"/>
  <c r="H1658"/>
  <c r="H1657"/>
  <c r="H1656"/>
  <c r="H1655"/>
  <c r="H1654"/>
  <c r="H1653"/>
  <c r="H1652"/>
  <c r="H1651"/>
  <c r="H1650"/>
  <c r="H1649"/>
  <c r="H1648"/>
  <c r="H1647"/>
  <c r="H1646"/>
  <c r="H1645"/>
  <c r="H1644"/>
  <c r="H1643"/>
  <c r="H1642"/>
  <c r="H1641"/>
  <c r="H1640"/>
  <c r="H1639"/>
  <c r="H1638"/>
  <c r="H1637"/>
  <c r="H1636"/>
  <c r="H1635"/>
  <c r="H1634"/>
  <c r="H1633"/>
  <c r="H1632"/>
  <c r="H1631"/>
  <c r="H1630"/>
  <c r="H1629"/>
  <c r="H1628"/>
  <c r="H1627"/>
  <c r="H1626"/>
  <c r="H1625"/>
  <c r="H1624"/>
  <c r="H1623"/>
  <c r="H1622"/>
  <c r="H1621"/>
  <c r="H1620"/>
  <c r="H1619"/>
  <c r="H1618"/>
  <c r="H1617"/>
  <c r="H1616"/>
  <c r="H1615"/>
  <c r="H1614"/>
  <c r="H1613"/>
  <c r="H1612"/>
  <c r="H1611"/>
  <c r="H1610"/>
  <c r="H1609"/>
  <c r="H1608"/>
  <c r="H1607"/>
  <c r="H1606"/>
  <c r="H1605"/>
  <c r="H1604"/>
  <c r="H1603"/>
  <c r="H1602"/>
  <c r="H1601"/>
  <c r="H1600"/>
  <c r="H1599"/>
  <c r="H1598"/>
  <c r="H1597"/>
  <c r="H1596"/>
  <c r="H1595"/>
  <c r="H1594"/>
  <c r="H1593"/>
  <c r="H1592"/>
  <c r="H1591"/>
  <c r="H1590"/>
  <c r="H1589"/>
  <c r="H1588"/>
  <c r="H1587"/>
  <c r="H1586"/>
  <c r="H1585"/>
  <c r="H1584"/>
  <c r="H1583"/>
  <c r="H1582"/>
  <c r="H1581"/>
  <c r="H1580"/>
  <c r="H1579"/>
  <c r="H1578"/>
  <c r="H1577"/>
  <c r="H1576"/>
  <c r="H1575"/>
  <c r="H1574"/>
  <c r="H1573"/>
  <c r="H1572"/>
  <c r="H1571"/>
  <c r="H1570"/>
  <c r="H1569"/>
  <c r="H1568"/>
  <c r="H1567"/>
  <c r="H1566"/>
  <c r="H1565"/>
  <c r="H1564"/>
  <c r="H1563"/>
  <c r="H1562"/>
  <c r="H1561"/>
  <c r="H1560"/>
  <c r="H1559"/>
  <c r="H1558"/>
  <c r="H1557"/>
  <c r="H1556"/>
  <c r="H1555"/>
  <c r="H1554"/>
  <c r="H1553"/>
  <c r="H1552"/>
  <c r="H1551"/>
  <c r="H1550"/>
  <c r="H1549"/>
  <c r="H1548"/>
  <c r="H1547"/>
  <c r="H1546"/>
  <c r="H1545"/>
  <c r="H1544"/>
  <c r="H1543"/>
  <c r="H1542"/>
  <c r="H1541"/>
  <c r="H1540"/>
  <c r="H1539"/>
  <c r="H1538"/>
  <c r="H1537"/>
  <c r="H1536"/>
  <c r="H1535"/>
  <c r="H1534"/>
  <c r="H1533"/>
  <c r="H1532"/>
  <c r="H1531"/>
  <c r="H1530"/>
  <c r="H1529"/>
  <c r="H1528"/>
  <c r="H1527"/>
  <c r="H1526"/>
  <c r="H1525"/>
  <c r="H1524"/>
  <c r="H1523"/>
  <c r="H1522"/>
  <c r="H1521"/>
  <c r="H1520"/>
  <c r="H1519"/>
  <c r="H1518"/>
  <c r="H1517"/>
  <c r="H1516"/>
  <c r="H1515"/>
  <c r="H1514"/>
  <c r="H1513"/>
  <c r="H1512"/>
  <c r="H1511"/>
  <c r="H1510"/>
  <c r="H1509"/>
  <c r="H1508"/>
  <c r="H1507"/>
  <c r="H1506"/>
  <c r="H1505"/>
  <c r="H1504"/>
  <c r="H1503"/>
  <c r="H1502"/>
  <c r="H1501"/>
  <c r="H1500"/>
  <c r="H1499"/>
  <c r="H1498"/>
  <c r="H1497"/>
  <c r="H1496"/>
  <c r="H1495"/>
  <c r="H1494"/>
  <c r="H1493"/>
  <c r="H1492"/>
  <c r="H1491"/>
  <c r="H1490"/>
  <c r="H1489"/>
  <c r="H1488"/>
  <c r="H1487"/>
  <c r="H1486"/>
  <c r="H1485"/>
  <c r="H1484"/>
  <c r="H1483"/>
  <c r="H1482"/>
  <c r="H1481"/>
  <c r="H1480"/>
  <c r="H1479"/>
  <c r="H1478"/>
  <c r="H1477"/>
  <c r="H1476"/>
  <c r="H1475"/>
  <c r="H1474"/>
  <c r="H1473"/>
  <c r="H1472"/>
  <c r="H1471"/>
  <c r="H1470"/>
  <c r="H1469"/>
  <c r="H1468"/>
  <c r="H1467"/>
  <c r="H1466"/>
  <c r="H1465"/>
  <c r="H1464"/>
  <c r="H1463"/>
  <c r="H1462"/>
  <c r="H1461"/>
  <c r="H1460"/>
  <c r="H1459"/>
  <c r="H1458"/>
  <c r="H1457"/>
  <c r="H1456"/>
  <c r="H1455"/>
  <c r="H1454"/>
  <c r="H1453"/>
  <c r="H1452"/>
  <c r="H1451"/>
  <c r="H1450"/>
  <c r="H1449"/>
  <c r="H1448"/>
  <c r="H1447"/>
  <c r="H1446"/>
  <c r="H1445"/>
  <c r="H1444"/>
  <c r="H1443"/>
  <c r="H1442"/>
  <c r="H1441"/>
  <c r="H1440"/>
  <c r="H1439"/>
  <c r="H1438"/>
  <c r="H1437"/>
  <c r="H1436"/>
  <c r="H1435"/>
  <c r="H1434"/>
  <c r="H1433"/>
  <c r="H1432"/>
  <c r="H1431"/>
  <c r="H1430"/>
  <c r="H1429"/>
  <c r="H1428"/>
  <c r="H1427"/>
  <c r="H1426"/>
  <c r="H1425"/>
  <c r="H1424"/>
  <c r="H1423"/>
  <c r="H1422"/>
  <c r="H1421"/>
  <c r="H1420"/>
  <c r="H1419"/>
  <c r="H1418"/>
  <c r="H1417"/>
  <c r="H1416"/>
  <c r="H1415"/>
  <c r="H1414"/>
  <c r="H1413"/>
  <c r="H1412"/>
  <c r="H1411"/>
  <c r="H1410"/>
  <c r="H1409"/>
  <c r="H1408"/>
  <c r="H1407"/>
  <c r="H1406"/>
  <c r="H1405"/>
  <c r="H1404"/>
  <c r="H1403"/>
  <c r="H1402"/>
  <c r="H1401"/>
  <c r="H1400"/>
  <c r="H1399"/>
  <c r="H1398"/>
  <c r="H1397"/>
  <c r="H1396"/>
  <c r="H1395"/>
  <c r="H1394"/>
  <c r="H1393"/>
  <c r="H1392"/>
  <c r="H1391"/>
  <c r="H1390"/>
  <c r="H1389"/>
  <c r="H1388"/>
  <c r="H1387"/>
  <c r="H1386"/>
  <c r="H1385"/>
  <c r="H1384"/>
  <c r="H1383"/>
  <c r="H1382"/>
  <c r="H1381"/>
  <c r="H1380"/>
  <c r="H1379"/>
  <c r="H1378"/>
  <c r="H1377"/>
  <c r="H1376"/>
  <c r="H1375"/>
  <c r="H1374"/>
  <c r="H1373"/>
  <c r="H1372"/>
  <c r="H1371"/>
  <c r="H1370"/>
  <c r="H1369"/>
  <c r="H1368"/>
  <c r="H1367"/>
  <c r="H1366"/>
  <c r="H1365"/>
  <c r="H1364"/>
  <c r="H1363"/>
  <c r="H1362"/>
  <c r="H1361"/>
  <c r="H1360"/>
  <c r="H1359"/>
  <c r="H1358"/>
  <c r="H1357"/>
  <c r="H1356"/>
  <c r="H1355"/>
  <c r="H1354"/>
  <c r="H1353"/>
  <c r="H1352"/>
  <c r="H1351"/>
  <c r="H1350"/>
  <c r="H1349"/>
  <c r="H1348"/>
  <c r="H1347"/>
  <c r="H1346"/>
  <c r="H1345"/>
  <c r="H1344"/>
  <c r="H1343"/>
  <c r="H1342"/>
  <c r="H1341"/>
  <c r="H1340"/>
  <c r="H1339"/>
  <c r="H1338"/>
  <c r="H1337"/>
  <c r="H1336"/>
  <c r="H1335"/>
  <c r="H1334"/>
  <c r="H1333"/>
  <c r="H1332"/>
  <c r="H1331"/>
  <c r="H1330"/>
  <c r="H1329"/>
  <c r="H1328"/>
  <c r="H1327"/>
  <c r="H1326"/>
  <c r="H1325"/>
  <c r="H1324"/>
  <c r="H1323"/>
  <c r="H1322"/>
  <c r="H1321"/>
  <c r="H1320"/>
  <c r="H1319"/>
  <c r="H1318"/>
  <c r="H1317"/>
  <c r="H1316"/>
  <c r="H1315"/>
  <c r="H1314"/>
  <c r="H1313"/>
  <c r="H1312"/>
  <c r="H1311"/>
  <c r="H1310"/>
  <c r="H1309"/>
  <c r="H1308"/>
  <c r="H1307"/>
  <c r="H1306"/>
  <c r="H1305"/>
  <c r="H1304"/>
  <c r="H1303"/>
  <c r="H1302"/>
  <c r="H1301"/>
  <c r="H1300"/>
  <c r="H1299"/>
  <c r="H1298"/>
  <c r="H1297"/>
  <c r="H1296"/>
  <c r="H1295"/>
  <c r="H1294"/>
  <c r="H1293"/>
  <c r="H1292"/>
  <c r="H1291"/>
  <c r="H1290"/>
  <c r="H1289"/>
  <c r="H1288"/>
  <c r="H1287"/>
  <c r="H1286"/>
  <c r="H1285"/>
  <c r="H1284"/>
  <c r="H1283"/>
  <c r="H1282"/>
  <c r="H1281"/>
  <c r="H1280"/>
  <c r="H1279"/>
  <c r="H1278"/>
  <c r="H1277"/>
  <c r="H1276"/>
  <c r="H1275"/>
  <c r="H1274"/>
  <c r="H1273"/>
  <c r="H1272"/>
  <c r="H1271"/>
  <c r="H1270"/>
  <c r="H1269"/>
  <c r="H1268"/>
  <c r="H1267"/>
  <c r="H1266"/>
  <c r="H1265"/>
  <c r="H1264"/>
  <c r="H1263"/>
  <c r="H1262"/>
  <c r="H1261"/>
  <c r="H1260"/>
  <c r="H1259"/>
  <c r="H1258"/>
  <c r="H1257"/>
  <c r="H1256"/>
  <c r="H1255"/>
  <c r="H1254"/>
  <c r="H1253"/>
  <c r="H1252"/>
  <c r="H1251"/>
  <c r="H1250"/>
  <c r="H1249"/>
  <c r="H1248"/>
  <c r="H1247"/>
  <c r="H1246"/>
  <c r="H1245"/>
  <c r="H1244"/>
  <c r="H1243"/>
  <c r="H1242"/>
  <c r="H1241"/>
  <c r="H1240"/>
  <c r="H1239"/>
  <c r="H1238"/>
  <c r="H1237"/>
  <c r="H1236"/>
  <c r="H1235"/>
  <c r="H1234"/>
  <c r="H1233"/>
  <c r="H1232"/>
  <c r="H1231"/>
  <c r="H1230"/>
  <c r="H1229"/>
  <c r="H1228"/>
  <c r="H1227"/>
  <c r="H1226"/>
  <c r="H1225"/>
  <c r="H1224"/>
  <c r="H1223"/>
  <c r="H1222"/>
  <c r="H1221"/>
  <c r="H1220"/>
  <c r="H1219"/>
  <c r="H1218"/>
  <c r="H1217"/>
  <c r="H1216"/>
  <c r="H1215"/>
  <c r="H1214"/>
  <c r="H1213"/>
  <c r="H1212"/>
  <c r="H1211"/>
  <c r="H1210"/>
  <c r="H1209"/>
  <c r="H1208"/>
  <c r="H1207"/>
  <c r="H1206"/>
  <c r="H1205"/>
  <c r="H1204"/>
  <c r="H1203"/>
  <c r="H1202"/>
  <c r="H1201"/>
  <c r="H1200"/>
  <c r="H1199"/>
  <c r="H1198"/>
  <c r="H1197"/>
  <c r="H1196"/>
  <c r="H1195"/>
  <c r="H1194"/>
  <c r="H1193"/>
  <c r="H1192"/>
  <c r="H1191"/>
  <c r="H1190"/>
  <c r="H1189"/>
  <c r="H1188"/>
  <c r="H1187"/>
  <c r="H1186"/>
  <c r="H1185"/>
  <c r="H1184"/>
  <c r="H1183"/>
  <c r="H1182"/>
  <c r="H1181"/>
  <c r="H1180"/>
  <c r="H1179"/>
  <c r="H1178"/>
  <c r="H1177"/>
  <c r="H1176"/>
  <c r="H1175"/>
  <c r="H1174"/>
  <c r="H1173"/>
  <c r="H1172"/>
  <c r="H1171"/>
  <c r="H1170"/>
  <c r="H1169"/>
  <c r="H1168"/>
  <c r="H1167"/>
  <c r="H1166"/>
  <c r="H1165"/>
  <c r="H1164"/>
  <c r="H1163"/>
  <c r="H1162"/>
  <c r="H1161"/>
  <c r="H1160"/>
  <c r="H1159"/>
  <c r="H1158"/>
  <c r="H1157"/>
  <c r="H1156"/>
  <c r="H1155"/>
  <c r="H1154"/>
  <c r="H1153"/>
  <c r="H1152"/>
  <c r="H1151"/>
  <c r="H1150"/>
  <c r="H1149"/>
  <c r="H1148"/>
  <c r="H1147"/>
  <c r="H1146"/>
  <c r="H1145"/>
  <c r="H1144"/>
  <c r="H1143"/>
  <c r="H1142"/>
  <c r="H1141"/>
  <c r="H1140"/>
  <c r="H1139"/>
  <c r="H1138"/>
  <c r="H1137"/>
  <c r="H1136"/>
  <c r="H1135"/>
  <c r="H1134"/>
  <c r="H1133"/>
  <c r="H1132"/>
  <c r="H1131"/>
  <c r="H1130"/>
  <c r="H1129"/>
  <c r="H1128"/>
  <c r="H1127"/>
  <c r="H1126"/>
  <c r="H1125"/>
  <c r="H1124"/>
  <c r="H1123"/>
  <c r="H1122"/>
  <c r="H1121"/>
  <c r="H1120"/>
  <c r="H1119"/>
  <c r="H1118"/>
  <c r="H1117"/>
  <c r="H1116"/>
  <c r="H1115"/>
  <c r="H1114"/>
  <c r="H1113"/>
  <c r="H1112"/>
  <c r="H1111"/>
  <c r="H1110"/>
  <c r="H1109"/>
  <c r="H1108"/>
  <c r="H1107"/>
  <c r="H1106"/>
  <c r="H1105"/>
  <c r="H1104"/>
  <c r="H1103"/>
  <c r="H1102"/>
  <c r="H1101"/>
  <c r="H1100"/>
  <c r="H1099"/>
  <c r="H1098"/>
  <c r="H1097"/>
  <c r="H1096"/>
  <c r="H1095"/>
  <c r="H1094"/>
  <c r="H1093"/>
  <c r="H1092"/>
  <c r="H1091"/>
  <c r="H1090"/>
  <c r="H1089"/>
  <c r="H1088"/>
  <c r="H1087"/>
  <c r="H1086"/>
  <c r="H1085"/>
  <c r="H1084"/>
  <c r="H1083"/>
  <c r="H1082"/>
  <c r="H1081"/>
  <c r="H1080"/>
  <c r="H1079"/>
  <c r="H1078"/>
  <c r="H1077"/>
  <c r="H1076"/>
  <c r="H1075"/>
  <c r="H1074"/>
  <c r="H1073"/>
  <c r="H1072"/>
  <c r="H1071"/>
  <c r="H1070"/>
  <c r="H1069"/>
  <c r="H1068"/>
  <c r="H1067"/>
  <c r="H1066"/>
  <c r="H1065"/>
  <c r="H1064"/>
  <c r="H1063"/>
  <c r="H1062"/>
  <c r="H1061"/>
  <c r="H1060"/>
  <c r="H1059"/>
  <c r="H1058"/>
  <c r="H1057"/>
  <c r="H1056"/>
  <c r="H1055"/>
  <c r="H1054"/>
  <c r="H1053"/>
  <c r="H1052"/>
  <c r="H1051"/>
  <c r="H1050"/>
  <c r="H1049"/>
  <c r="H1048"/>
  <c r="H1047"/>
  <c r="H1046"/>
  <c r="H1045"/>
  <c r="H1044"/>
  <c r="H1043"/>
  <c r="H1042"/>
  <c r="H1041"/>
  <c r="H1040"/>
  <c r="H1039"/>
  <c r="H1038"/>
  <c r="H1037"/>
  <c r="H1036"/>
  <c r="H1035"/>
  <c r="H1034"/>
  <c r="H1033"/>
  <c r="H1032"/>
  <c r="H1031"/>
  <c r="H1030"/>
  <c r="H1029"/>
  <c r="H1028"/>
  <c r="H1027"/>
  <c r="H1026"/>
  <c r="H1025"/>
  <c r="H1024"/>
  <c r="H1023"/>
  <c r="H1022"/>
  <c r="H1021"/>
  <c r="H1020"/>
  <c r="H1019"/>
  <c r="H1018"/>
  <c r="H1017"/>
  <c r="H1016"/>
  <c r="H1015"/>
  <c r="H1014"/>
  <c r="H1013"/>
  <c r="H1012"/>
  <c r="H1011"/>
  <c r="H1010"/>
  <c r="H1009"/>
  <c r="H1008"/>
  <c r="H1007"/>
  <c r="H1006"/>
  <c r="H1005"/>
  <c r="H1004"/>
  <c r="H1003"/>
  <c r="H1002"/>
  <c r="H1001"/>
  <c r="H1000"/>
  <c r="H999"/>
  <c r="H998"/>
  <c r="H997"/>
  <c r="H996"/>
  <c r="H995"/>
  <c r="H994"/>
  <c r="H993"/>
  <c r="H992"/>
  <c r="H991"/>
  <c r="H990"/>
  <c r="H989"/>
  <c r="H988"/>
  <c r="H987"/>
  <c r="H986"/>
  <c r="H985"/>
  <c r="H984"/>
  <c r="H983"/>
  <c r="H982"/>
  <c r="H981"/>
  <c r="H980"/>
  <c r="H979"/>
  <c r="H978"/>
  <c r="H977"/>
  <c r="H976"/>
  <c r="H975"/>
  <c r="H974"/>
  <c r="H973"/>
  <c r="H972"/>
  <c r="H971"/>
  <c r="H970"/>
  <c r="H969"/>
  <c r="H968"/>
  <c r="H967"/>
  <c r="H966"/>
  <c r="H965"/>
  <c r="H964"/>
  <c r="H963"/>
  <c r="H962"/>
  <c r="H961"/>
  <c r="H960"/>
  <c r="H959"/>
  <c r="H958"/>
  <c r="H957"/>
  <c r="H956"/>
  <c r="H955"/>
  <c r="H954"/>
  <c r="H953"/>
  <c r="H952"/>
  <c r="H951"/>
  <c r="H950"/>
  <c r="H949"/>
  <c r="H948"/>
  <c r="H947"/>
  <c r="H946"/>
  <c r="H945"/>
  <c r="H944"/>
  <c r="H943"/>
  <c r="H942"/>
  <c r="H941"/>
  <c r="H940"/>
  <c r="H939"/>
  <c r="H938"/>
  <c r="H937"/>
  <c r="H936"/>
  <c r="H935"/>
  <c r="H934"/>
  <c r="H933"/>
  <c r="H932"/>
  <c r="H931"/>
  <c r="H930"/>
  <c r="H929"/>
  <c r="H928"/>
  <c r="H927"/>
  <c r="H926"/>
  <c r="H925"/>
  <c r="H924"/>
  <c r="H923"/>
  <c r="H922"/>
  <c r="H921"/>
  <c r="H920"/>
  <c r="H919"/>
  <c r="H918"/>
  <c r="H917"/>
  <c r="H916"/>
  <c r="H915"/>
  <c r="H914"/>
  <c r="H913"/>
  <c r="H912"/>
  <c r="H911"/>
  <c r="H910"/>
  <c r="H909"/>
  <c r="H908"/>
  <c r="H907"/>
  <c r="H906"/>
  <c r="H905"/>
  <c r="H904"/>
  <c r="H903"/>
  <c r="H902"/>
  <c r="H901"/>
  <c r="H900"/>
  <c r="H899"/>
  <c r="H898"/>
  <c r="H897"/>
  <c r="H896"/>
  <c r="H895"/>
  <c r="H894"/>
  <c r="H893"/>
  <c r="H892"/>
  <c r="H891"/>
  <c r="H890"/>
  <c r="H889"/>
  <c r="H888"/>
  <c r="H887"/>
  <c r="H886"/>
  <c r="H885"/>
  <c r="H884"/>
  <c r="H883"/>
  <c r="H882"/>
  <c r="H881"/>
  <c r="H880"/>
  <c r="H879"/>
  <c r="H878"/>
  <c r="H877"/>
  <c r="H876"/>
  <c r="H875"/>
  <c r="H874"/>
  <c r="H873"/>
  <c r="H872"/>
  <c r="H871"/>
  <c r="H870"/>
  <c r="H869"/>
  <c r="H868"/>
  <c r="H867"/>
  <c r="H866"/>
  <c r="H865"/>
  <c r="H864"/>
  <c r="H863"/>
  <c r="H862"/>
  <c r="H861"/>
  <c r="H860"/>
  <c r="H859"/>
  <c r="H858"/>
  <c r="H857"/>
  <c r="H856"/>
  <c r="H855"/>
  <c r="H854"/>
  <c r="H853"/>
  <c r="H852"/>
  <c r="H851"/>
  <c r="H850"/>
  <c r="H849"/>
  <c r="H848"/>
  <c r="H847"/>
  <c r="H846"/>
  <c r="H845"/>
  <c r="H844"/>
  <c r="H843"/>
  <c r="H842"/>
  <c r="H841"/>
  <c r="H840"/>
  <c r="H839"/>
  <c r="H838"/>
  <c r="H837"/>
  <c r="H836"/>
  <c r="H835"/>
  <c r="H834"/>
  <c r="H833"/>
  <c r="H832"/>
  <c r="H831"/>
  <c r="H830"/>
  <c r="H829"/>
  <c r="H828"/>
  <c r="H827"/>
  <c r="H826"/>
  <c r="H825"/>
  <c r="H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5"/>
  <c r="H4"/>
  <c r="H3"/>
  <c r="H2"/>
</calcChain>
</file>

<file path=xl/sharedStrings.xml><?xml version="1.0" encoding="utf-8"?>
<sst xmlns="http://schemas.openxmlformats.org/spreadsheetml/2006/main" count="45027" uniqueCount="21700">
  <si>
    <t>ID</t>
  </si>
  <si>
    <t>m/z</t>
  </si>
  <si>
    <t>Retention time (min)</t>
  </si>
  <si>
    <t>Ion mode</t>
  </si>
  <si>
    <t>Metabolites</t>
  </si>
  <si>
    <t>Metabolites_cn</t>
  </si>
  <si>
    <t>cid</t>
  </si>
  <si>
    <t>cidlink</t>
  </si>
  <si>
    <t>HMDB</t>
  </si>
  <si>
    <t>METLIN</t>
  </si>
  <si>
    <t>Lipidmaps</t>
  </si>
  <si>
    <t>PubChem</t>
  </si>
  <si>
    <t>KEGG</t>
  </si>
  <si>
    <t>ID Annotation</t>
  </si>
  <si>
    <t>Annotation</t>
  </si>
  <si>
    <t>ChEBI</t>
  </si>
  <si>
    <t>Reactome_id</t>
  </si>
  <si>
    <t>Reactome_Description</t>
  </si>
  <si>
    <t>CAS</t>
  </si>
  <si>
    <t>smiles</t>
  </si>
  <si>
    <t>InChIKey</t>
  </si>
  <si>
    <t>Super Class</t>
  </si>
  <si>
    <t>Class</t>
  </si>
  <si>
    <t>Sub Class</t>
  </si>
  <si>
    <t>Super Class_cn</t>
  </si>
  <si>
    <t>Class_cn</t>
  </si>
  <si>
    <t>Sub Class_cn</t>
  </si>
  <si>
    <t>level</t>
  </si>
  <si>
    <t>Score</t>
  </si>
  <si>
    <t>Isotope Similarity</t>
  </si>
  <si>
    <t>Fragmentation Score</t>
  </si>
  <si>
    <t>Fragment Ions</t>
  </si>
  <si>
    <t>Adducts</t>
  </si>
  <si>
    <t>Formula</t>
  </si>
  <si>
    <t>Mass Error (ppm)</t>
  </si>
  <si>
    <t>QC1</t>
  </si>
  <si>
    <t>QC2</t>
  </si>
  <si>
    <t>QC3</t>
  </si>
  <si>
    <t>QC4</t>
  </si>
  <si>
    <t>QC5</t>
  </si>
  <si>
    <t>QC6</t>
  </si>
  <si>
    <t>QC7</t>
  </si>
  <si>
    <t>QC8</t>
  </si>
  <si>
    <t>C0-1</t>
  </si>
  <si>
    <t>C0-2</t>
  </si>
  <si>
    <t>C0-3</t>
  </si>
  <si>
    <t>C0-4</t>
  </si>
  <si>
    <t>C0-5</t>
  </si>
  <si>
    <t>C0-6</t>
  </si>
  <si>
    <t>C0-7</t>
  </si>
  <si>
    <t>C0-8</t>
  </si>
  <si>
    <t>C0-9</t>
  </si>
  <si>
    <t>C0-10</t>
  </si>
  <si>
    <t>C0-11</t>
  </si>
  <si>
    <t>C0-12</t>
  </si>
  <si>
    <t>C0-13</t>
  </si>
  <si>
    <t>C0-14</t>
  </si>
  <si>
    <t>C0-15</t>
  </si>
  <si>
    <t>C0-16</t>
  </si>
  <si>
    <t>C0-17</t>
  </si>
  <si>
    <t>C0-18</t>
  </si>
  <si>
    <t>C0-19</t>
  </si>
  <si>
    <t>C0-20</t>
  </si>
  <si>
    <t>C4-1</t>
  </si>
  <si>
    <t>C4-2</t>
  </si>
  <si>
    <t>C4-3</t>
  </si>
  <si>
    <t>C4-4</t>
  </si>
  <si>
    <t>C4-5</t>
  </si>
  <si>
    <t>C4-6</t>
  </si>
  <si>
    <t>C4-7</t>
  </si>
  <si>
    <t>C4-8</t>
  </si>
  <si>
    <t>C4-9</t>
  </si>
  <si>
    <t>C4-10</t>
  </si>
  <si>
    <t>C4-11</t>
  </si>
  <si>
    <t>C4-12</t>
  </si>
  <si>
    <t>C4-13</t>
  </si>
  <si>
    <t>C4-14</t>
  </si>
  <si>
    <t>C4-15</t>
  </si>
  <si>
    <t>C4-16</t>
  </si>
  <si>
    <t>C4-17</t>
  </si>
  <si>
    <t>C4-18</t>
  </si>
  <si>
    <t>C4-19</t>
  </si>
  <si>
    <t>C4-20</t>
  </si>
  <si>
    <t>FT2742PR</t>
  </si>
  <si>
    <t>pos</t>
  </si>
  <si>
    <t>Acetyl-L-carnitine</t>
  </si>
  <si>
    <t>L-乙酰基肉碱</t>
  </si>
  <si>
    <t>HMDB0000201</t>
  </si>
  <si>
    <t>LMFA07070050</t>
  </si>
  <si>
    <t>C02571</t>
  </si>
  <si>
    <t>hsa04931</t>
  </si>
  <si>
    <t>Insulin resistance</t>
  </si>
  <si>
    <t>3040-38-8</t>
  </si>
  <si>
    <t>O(C(C)=O)[C@H](CC(=O)[O-])C[N+](C)(C)C</t>
  </si>
  <si>
    <t>RDHQFKQIGNGIED-MRVPVSSYSA-N</t>
  </si>
  <si>
    <t>Lipids and lipid-like molecules</t>
  </si>
  <si>
    <t>Fatty Acyls</t>
  </si>
  <si>
    <t>Fatty acid esters</t>
  </si>
  <si>
    <t>脂质和类脂质分子</t>
  </si>
  <si>
    <t>脂肪酰基类</t>
  </si>
  <si>
    <t>脂肪酸酯</t>
  </si>
  <si>
    <t>Level 1</t>
  </si>
  <si>
    <t>85.0288, 85.0413, 102.0928, 136.5663, 144.1019, 145.0494, 150.5925, 176.6058, 204.1228, 204.1683</t>
  </si>
  <si>
    <t>M+H</t>
  </si>
  <si>
    <t>C9H17NO4</t>
  </si>
  <si>
    <t>FT0775PR</t>
  </si>
  <si>
    <t>(R)-pyrrolidine-2-carboxylic acid</t>
  </si>
  <si>
    <t>D-脯氨酸</t>
  </si>
  <si>
    <t>HMDB0003411</t>
  </si>
  <si>
    <t>C00763</t>
  </si>
  <si>
    <t>hsa00330,hsa00470</t>
  </si>
  <si>
    <t>Arginine and proline metabolism|D-Amino acid metabolism</t>
  </si>
  <si>
    <t>344-25-2</t>
  </si>
  <si>
    <t>OC(=O)[C@H]1CCCN1</t>
  </si>
  <si>
    <t>ONIBWKKTOPOVIA-SCSAIBSYSA-N</t>
  </si>
  <si>
    <t>Organic acids and derivatives</t>
  </si>
  <si>
    <t>Carboxylic acids and derivatives</t>
  </si>
  <si>
    <t>Amino acids, peptides, and analogues</t>
  </si>
  <si>
    <t>有机酸及其衍生物</t>
  </si>
  <si>
    <t>羧酸及其衍生物</t>
  </si>
  <si>
    <t>氨基酸、肽和类似物</t>
  </si>
  <si>
    <t>71.0386, 71.0691, 74.0924, 88.7221, 107.2693, 116.0514, 116.0629, 116.0706, 116.0959, 117.0743</t>
  </si>
  <si>
    <t>C5H9NO2</t>
  </si>
  <si>
    <t>FT3931PR</t>
  </si>
  <si>
    <t>2E,13Z-Octadecadienal</t>
  </si>
  <si>
    <t>反-2,顺-13-十八碳二烯醛</t>
  </si>
  <si>
    <t>LMFA06000234</t>
  </si>
  <si>
    <t>C(/C=C/CCCCCCCCC/C=C\CCCC)(=O)[H]</t>
  </si>
  <si>
    <t>NCFULMZVHNTQOK-RAPDCGKPSA-N</t>
  </si>
  <si>
    <t>Fatty aldehydes</t>
  </si>
  <si>
    <t>脂肪醛</t>
  </si>
  <si>
    <t>181.1587, 184.1692, 191.1790, 198.1850, 212.2000, 226.2166, 247.2417, 265.2521, 282.2788, 283.2828</t>
  </si>
  <si>
    <t>M+NH4</t>
  </si>
  <si>
    <t>C18H32O</t>
  </si>
  <si>
    <t>FT1816PR</t>
  </si>
  <si>
    <t>(2E,4Z)-2-hydroxy-6-oxohexa-2,4-dienoic acid</t>
  </si>
  <si>
    <t>(2E,4Z)-2-羟基-6-氧代六-2,4-二烯酸</t>
  </si>
  <si>
    <t>LMFA01030926</t>
  </si>
  <si>
    <t>C00682</t>
  </si>
  <si>
    <t>O/C(/C(O)=O)=C/C=C\C([H])=O</t>
  </si>
  <si>
    <t>KGLCZTRXNNGESL-REDYYMJGSA-N</t>
  </si>
  <si>
    <t>Fatty acids and conjugates</t>
  </si>
  <si>
    <t>脂肪酸和结合物</t>
  </si>
  <si>
    <t>132.0895, 132.0959, 133.0687, 142.0863, 142.7613, 154.7039, 160.0603, 160.0964, 160.1330, 161.0629</t>
  </si>
  <si>
    <t>C6H6O4</t>
  </si>
  <si>
    <t>FT3557NR</t>
  </si>
  <si>
    <t>neg</t>
  </si>
  <si>
    <t>1alpha-Hydroxycorticosterone</t>
  </si>
  <si>
    <t>1α-羟基皮质酮</t>
  </si>
  <si>
    <t>HMDB0244860</t>
  </si>
  <si>
    <t>CC12CC(O)C3C(CCC4=CC(=O)CC(O)C34C)C1CCC2C(=O)CO</t>
  </si>
  <si>
    <t>YAHNLJYKDPTSTN-UHFFFAOYSA-N</t>
  </si>
  <si>
    <t>Steroids and steroid derivatives</t>
  </si>
  <si>
    <t>Hydroxysteroids</t>
  </si>
  <si>
    <t>类固醇和类固醇衍生物</t>
  </si>
  <si>
    <t>羟基类固醇</t>
  </si>
  <si>
    <t>315.1584, 329.1308, 329.1754, 331.1909, 332.1965, 343.1910, 361.2008, 363.1812, 407.2068, 414.4833</t>
  </si>
  <si>
    <t>M+FA-H</t>
  </si>
  <si>
    <t>C21H30O5</t>
  </si>
  <si>
    <t>FT1884PR</t>
  </si>
  <si>
    <t>L-Carnitine</t>
  </si>
  <si>
    <t>左旋肉碱</t>
  </si>
  <si>
    <t>C15025</t>
  </si>
  <si>
    <t>541-15-1</t>
  </si>
  <si>
    <t>C[N+](C)(C)CC(CC(=O)[O-])O</t>
  </si>
  <si>
    <t>PHIQHXFUZVPYII-ZCFIWIBFSA-N</t>
  </si>
  <si>
    <t>Organic nitrogen compounds</t>
  </si>
  <si>
    <t>Organonitrogen compounds</t>
  </si>
  <si>
    <t>Quaternary ammonium salts</t>
  </si>
  <si>
    <t>有机氮化合物</t>
  </si>
  <si>
    <t>季铵盐</t>
  </si>
  <si>
    <t>156.4498, 161.5933, 162.0733, 162.0800, 162.1123, 162.1381, 162.1441, 162.1550, 162.6336, 163.1159</t>
  </si>
  <si>
    <t>C7H15NO3</t>
  </si>
  <si>
    <t>FT5688PR</t>
  </si>
  <si>
    <t>Armillarin</t>
  </si>
  <si>
    <t>蜜环素</t>
  </si>
  <si>
    <t>HMDB0039380</t>
  </si>
  <si>
    <t>83329-14-0</t>
  </si>
  <si>
    <t>COC1=CC(O)=C(C(=O)OC2CC3(C)C4CC(C)(C)CC4C=C(C=O)C23O)C(C)=C1</t>
  </si>
  <si>
    <t>ISKWRTCZWOXOOF-UHFFFAOYSA-N</t>
  </si>
  <si>
    <t>Prenol lipids</t>
  </si>
  <si>
    <t>Sesquiterpenoids</t>
  </si>
  <si>
    <t>异戊烯醇脂质</t>
  </si>
  <si>
    <t>倍半萜类化合物</t>
  </si>
  <si>
    <t>147.0651, 168.9796, 179.6028, 281.1376, 281.1694, 295.1192, 397.2045, 415.2108, 416.2142, 432.2248</t>
  </si>
  <si>
    <t>C24H30O6</t>
  </si>
  <si>
    <t>FT2279NR</t>
  </si>
  <si>
    <t>Petroselinic acid</t>
  </si>
  <si>
    <t>6-十八烯酸</t>
  </si>
  <si>
    <t>HMDB0002080</t>
  </si>
  <si>
    <t>593-39-5</t>
  </si>
  <si>
    <t>CCCCCCCCCCCC=CCCCCC(O)=O</t>
  </si>
  <si>
    <t>CNVZJPUDSLNTQU-UHFFFAOYSA-N</t>
  </si>
  <si>
    <t>205.3910, 280.0448, 281.1747, 281.1896, 281.2479, 281.3050, 281.3218, 281.3419, 282.2512, 282.4574</t>
  </si>
  <si>
    <t>M-H</t>
  </si>
  <si>
    <t>C18H34O2</t>
  </si>
  <si>
    <t>FT6768PR</t>
  </si>
  <si>
    <t>PC(O-18:1/2:0)</t>
  </si>
  <si>
    <t>磷脂酰胆碱(O-18:1/2:0)</t>
  </si>
  <si>
    <t>LMGP01020150</t>
  </si>
  <si>
    <t>[C@](COP(=O)([O-])OCC[N+](C)(C)C)([H])(OC(C)=O)COCCCCCCCCC/C=C/CCCCCCC</t>
  </si>
  <si>
    <t>QICNMHIIJYTPAM-GHUVJGFRSA-N</t>
  </si>
  <si>
    <t>Glycerophospholipids</t>
  </si>
  <si>
    <t>Glycerophosphocholines</t>
  </si>
  <si>
    <t>甘油磷脂</t>
  </si>
  <si>
    <t>甘油磷酸胆碱</t>
  </si>
  <si>
    <t>223.2540, 250.5402, 258.1094, 269.6486, 282.9822, 496.9446, 532.3746, 550.1853, 550.3856, 551.3842</t>
  </si>
  <si>
    <t>C28H56NO7P</t>
  </si>
  <si>
    <t>FT2543NR</t>
  </si>
  <si>
    <t>Arachidonic acid</t>
  </si>
  <si>
    <t>花生四烯酸</t>
  </si>
  <si>
    <t>HMDB0001043</t>
  </si>
  <si>
    <t>LMFA01030001</t>
  </si>
  <si>
    <t>C00219</t>
  </si>
  <si>
    <t>hsa00590,hsa00591,hsa01040,hsa04216,hsa04217,hsa04270,hsa04611,hsa04664,hsa04666,hsa04726,hsa04730,hsa04750,hsa04912,hsa04913,hsa04921,hsa04923,hsa04925,hsa05140,hsa05146</t>
  </si>
  <si>
    <t>Arachidonic acid metabolism|Linoleic acid metabolism|Biosynthesis of unsaturated fatty acids|Ferroptosis|Necroptosis|Vascular smooth muscle contraction|Platelet activation|Fc epsilon RI signaling pathway|Fc gamma R-mediated phagocytosis|Serotonergic synapse|Long-term depression|Inflammatory mediator regulation of TRP channels|GnRH signaling pathway|Ovarian steroidogenesis|Oxytocin signaling pathway|Regulation of lipolysis in adipocytes|Aldosterone synthesis and secretion|Leishmaniasis|Amoebiasis</t>
  </si>
  <si>
    <t>506-32-1</t>
  </si>
  <si>
    <t>C(O)(=O)CCC/C=C\C/C=C\C/C=C\C/C=C\CCCCC</t>
  </si>
  <si>
    <t>YZXBAPSDXZZRGB-DOFZRALJSA-N</t>
  </si>
  <si>
    <t>205.1958, 222.2777, 225.9543, 231.2115, 259.2425, 285.2227, 301.8861, 303.2323, 303.3150, 304.2356</t>
  </si>
  <si>
    <t>C20H32O2</t>
  </si>
  <si>
    <t>FT6347PR</t>
  </si>
  <si>
    <t>PC(O-16:0/1:0)</t>
  </si>
  <si>
    <t>磷脂酰胆碱(O-16:0/1:0)</t>
  </si>
  <si>
    <t>LMGP01020028</t>
  </si>
  <si>
    <t>[C@](COP(=O)([O-])OCC[N+](C)(C)C)([H])(OC([H])=O)COCCCCCCCCCCCCCCCC</t>
  </si>
  <si>
    <t>BBASNTQPDXPDFB-RUZDIDTESA-N</t>
  </si>
  <si>
    <t>242.3923, 258.1103, 326.9486, 327.2908, 423.8318, 492.3442, 493.3507, 510.1747, 510.3548, 511.3561</t>
  </si>
  <si>
    <t>C25H52NO7P</t>
  </si>
  <si>
    <t>FT2185PR</t>
  </si>
  <si>
    <t>D-Arginine</t>
  </si>
  <si>
    <t>D-精氨酸</t>
  </si>
  <si>
    <t>HMDB0003416</t>
  </si>
  <si>
    <t>C00792</t>
  </si>
  <si>
    <t>hsa00470</t>
  </si>
  <si>
    <t>D-Amino acid metabolism</t>
  </si>
  <si>
    <t>157-06-2</t>
  </si>
  <si>
    <t>N[C@H](CCCNC(N)=N)C(O)=O</t>
  </si>
  <si>
    <t>ODKSFYDXXFIFQN-SCSAIBSYSA-N</t>
  </si>
  <si>
    <t>157.1082, 158.0922, 159.0765, 166.0259, 175.0309, 175.0588, 175.1187, 175.1462, 175.1566, 176.1215</t>
  </si>
  <si>
    <t>C6H14N4O2</t>
  </si>
  <si>
    <t>FT3876PR</t>
  </si>
  <si>
    <t>9,12,15-octadecatrienal</t>
  </si>
  <si>
    <t>9,12,15-十八碳三醛</t>
  </si>
  <si>
    <t>LMFA06000102</t>
  </si>
  <si>
    <t>C(/C/C=C/C/C=C/CC)=C\CCCCCCCC([H])=O</t>
  </si>
  <si>
    <t>TUCMDDWTBVMRTP-IUQGRGSQSA-N</t>
  </si>
  <si>
    <t>167.1430, 170.1535, 175.1478, 179.1793, 184.1698, 189.1636, 198.1852, 245.2259, 263.2364, 280.2631</t>
  </si>
  <si>
    <t>C18H30O</t>
  </si>
  <si>
    <t>FT1441PR</t>
  </si>
  <si>
    <t>Stachydrine</t>
  </si>
  <si>
    <t>水苏碱</t>
  </si>
  <si>
    <t>HMDB0004827</t>
  </si>
  <si>
    <t>C10172</t>
  </si>
  <si>
    <t>471-87-4</t>
  </si>
  <si>
    <t>C[N+]1(C)CCC[C@H]1C([O-])=O</t>
  </si>
  <si>
    <t>CMUNUTVVOOHQPW-LURJTMIESA-N</t>
  </si>
  <si>
    <t>143.6567, 144.0663, 144.1016, 144.1227, 144.1291, 144.1440, 144.1591, 144.5352, 144.5484, 145.1051</t>
  </si>
  <si>
    <t>C7H13NO2</t>
  </si>
  <si>
    <t>FT6687PR</t>
  </si>
  <si>
    <t>PC(20:4/0:0)</t>
  </si>
  <si>
    <t>磷脂酰胆碱(20:4/0:0)</t>
  </si>
  <si>
    <t>HMDB0010396</t>
  </si>
  <si>
    <t>LMGP01050140</t>
  </si>
  <si>
    <t>C04230</t>
  </si>
  <si>
    <t>hsa00564,hsa04148,hsa05231</t>
  </si>
  <si>
    <t>Glycerophospholipid metabolism|Efferocytosis|Choline metabolism in cancer</t>
  </si>
  <si>
    <t>C(OP(OCC[N+](C)(C)C)(=O)[O-])[C@]([H])(O)COC(=O)CCCCCC/C=C\C/C=C\C/C=C\C/C=C\CC</t>
  </si>
  <si>
    <t>GOMVPVRDBLLHQC-VEJNOCSESA-N</t>
  </si>
  <si>
    <t>184.1120, 233.0730, 258.1093, 328.8442, 404.9172, 526.3287, 526.4159, 544.3389, 544.5344, 545.3424</t>
  </si>
  <si>
    <t>C28H50NO7P</t>
  </si>
  <si>
    <t>FT5949PR</t>
  </si>
  <si>
    <t>N-Choloylglycine</t>
  </si>
  <si>
    <t>甘氨胆酸钠盐</t>
  </si>
  <si>
    <t>HMDB0255104</t>
  </si>
  <si>
    <t>863-57-0</t>
  </si>
  <si>
    <t>CC(CCC(O)=NCC(O)=O)C1CCC2C3C(O)CC4CC(O)CCC4(C)C3CC(O)C12C</t>
  </si>
  <si>
    <t>RFDAIACWWDREDC-UHFFFAOYSA-N</t>
  </si>
  <si>
    <t>Bile acids, alcohols and derivatives</t>
  </si>
  <si>
    <t>胆汁酸、醇及其衍生物</t>
  </si>
  <si>
    <t>295.2063, 295.2416, 309.2567, 319.2416, 337.2519, 412.2839, 413.2847, 430.2946, 448.3046, 466.3156</t>
  </si>
  <si>
    <t>C26H43NO6</t>
  </si>
  <si>
    <t>FT2843NR</t>
  </si>
  <si>
    <t>10-[5]-ladderane-decanoic acid</t>
  </si>
  <si>
    <t>10-[5]-梯烷癸酸</t>
  </si>
  <si>
    <t>LMFA01140013</t>
  </si>
  <si>
    <t>C1C2C3C4C5CC(CCCCCCCCCC(=O)O)C5C4C3C2C1</t>
  </si>
  <si>
    <t>LXZYGXNGSMYQAG-UHFFFAOYSA-N</t>
  </si>
  <si>
    <t>86.6403, 142.0580, 149.7000, 151.6450, 231.2103, 251.2016, 285.2584, 329.2480, 329.3394, 330.2516</t>
  </si>
  <si>
    <t>C22H34O2</t>
  </si>
  <si>
    <t>FT2842NR</t>
  </si>
  <si>
    <t>22:5(4Z,7Z,10Z,13Z,16Z)</t>
  </si>
  <si>
    <t>二十二碳五烯酸 (22n-6)</t>
  </si>
  <si>
    <t>HMDB0001976</t>
  </si>
  <si>
    <t>LMFA04000064</t>
  </si>
  <si>
    <t>R-HSA-1430728,R-HSA-2046104,R-HSA-2046105,R-HSA-556833,R-HSA-8978868,R-HSA-9018678,R-HSA-9018683,R-HSA-9025106</t>
  </si>
  <si>
    <t>Metabolism|alpha-linolenic (omega3) and linoleic (omega6) acid metabolism|Linoleic acid (LA) metabolism|Metabolism of lipids|Fatty acid metabolism|Biosynthesis of specialized proresolving mediators (SPMs)|Biosynthesis of DPA-derived SPMs|Biosynthesis of DPAn-6 SPMs</t>
  </si>
  <si>
    <t>25448-00-4</t>
  </si>
  <si>
    <t>C(CC/C=C\C/C=C\C/C=C\C/C=C\C/C=C\CCCCC)(=O)O</t>
  </si>
  <si>
    <t>AVKOENOBFIYBSA-WMPRHZDHSA-N</t>
  </si>
  <si>
    <t>212.3727, 231.2112, 251.1987, 283.2408, 285.2579, 286.2613, 299.2378, 311.2362, 329.2480, 330.2506</t>
  </si>
  <si>
    <t>FT6328PR</t>
  </si>
  <si>
    <t>PC(17:1/0:0)</t>
  </si>
  <si>
    <t>磷脂酰胆碱(17:1/0:0)</t>
  </si>
  <si>
    <t>LMGP01050002</t>
  </si>
  <si>
    <t>[C@](COP(=O)([O-])OCC[N+](C)(C)C)([H])(O)COC(CCCCCCCC/C=C\CCCCCC)=O</t>
  </si>
  <si>
    <t>XBGIMYLOTRDXPK-AGXIJRPPSA-N</t>
  </si>
  <si>
    <t>212.1581, 258.1107, 325.2730, 380.1125, 490.3276, 508.2517, 508.3379, 508.5181, 509.2628, 509.3442</t>
  </si>
  <si>
    <t>C25H50NO7P</t>
  </si>
  <si>
    <t>FT4799PR</t>
  </si>
  <si>
    <t>13-Docosenamide</t>
  </si>
  <si>
    <t>13-二十二碳烯酰胺</t>
  </si>
  <si>
    <t>HMDB0244507</t>
  </si>
  <si>
    <t>CCCCCCCCC=CCCCCCCCCCCCC(N)=O</t>
  </si>
  <si>
    <t>UAUDZVJPLUQNMU-UHFFFAOYSA-N</t>
  </si>
  <si>
    <t>Fatty amides</t>
  </si>
  <si>
    <t>脂肪酰胺</t>
  </si>
  <si>
    <t>212.2003, 226.2156, 240.2317, 254.2482, 268.2636, 282.2784, 303.3040, 321.3145, 338.3410, 338.4380</t>
  </si>
  <si>
    <t>C22H43NO</t>
  </si>
  <si>
    <t>FT4241NR</t>
  </si>
  <si>
    <t>PE(18:1/0:0)</t>
  </si>
  <si>
    <t>磷脂酰乙醇胺(18:1/0:0)</t>
  </si>
  <si>
    <t>HMDB0011506</t>
  </si>
  <si>
    <t>LMGP02050004</t>
  </si>
  <si>
    <t>89576-29-4</t>
  </si>
  <si>
    <t>[C@](COP(=O)(O)OCCN)([H])(O)COC(CCCCCCC/C=C\CCCCCCCC)=O</t>
  </si>
  <si>
    <t>PYVRVRFVLRNJLY-MZMPXXGTSA-N</t>
  </si>
  <si>
    <t>Glycerophosphoethanolamines</t>
  </si>
  <si>
    <t>甘油磷酸乙醇胺</t>
  </si>
  <si>
    <t>281.3451, 282.2509, 295.4657, 313.9053, 343.7875, 346.5926, 415.8921, 478.2929, 478.4511, 479.2963</t>
  </si>
  <si>
    <t>C23H46NO7P</t>
  </si>
  <si>
    <t>FT0477NR</t>
  </si>
  <si>
    <t>Glucosereductone</t>
  </si>
  <si>
    <t>羟基丙二醛</t>
  </si>
  <si>
    <t>HMDB0040261</t>
  </si>
  <si>
    <t>497-15-4</t>
  </si>
  <si>
    <t>OC(C=O)C=O</t>
  </si>
  <si>
    <t>NVXLIZQNSVLKPO-UHFFFAOYSA-N</t>
  </si>
  <si>
    <t>Organic oxygen compounds</t>
  </si>
  <si>
    <t>Organooxygen compounds</t>
  </si>
  <si>
    <t>Carbonyl compounds</t>
  </si>
  <si>
    <t>有机氧化合物</t>
  </si>
  <si>
    <t>羰基化合物</t>
  </si>
  <si>
    <t>114.9796, 115.0033, 115.0226, 116.0064, 123.8355, 132.8995, 133.0138, 133.0254, 134.0173, 152.8460</t>
  </si>
  <si>
    <t>C3H4O3</t>
  </si>
  <si>
    <t>FT2653PR</t>
  </si>
  <si>
    <t>(Z,Z)-3,6-Dodecadien-1-ol</t>
  </si>
  <si>
    <t>(Z,Z)-3,6-十二烷-1-醇</t>
  </si>
  <si>
    <t>HMDB0031102</t>
  </si>
  <si>
    <t>LMFA05000573</t>
  </si>
  <si>
    <t>29125-78-8</t>
  </si>
  <si>
    <t>CCCCC/C=C/C/C=C/CCO</t>
  </si>
  <si>
    <t>WVTVMLXNKUWGBH-AVQMFFATSA-N</t>
  </si>
  <si>
    <t>Fatty alcohols</t>
  </si>
  <si>
    <t>脂肪醇</t>
  </si>
  <si>
    <t>200.1446, 200.1561, 200.2005, 200.2341, 200.2445, 200.2585, 200.2673, 200.9144, 200.9320, 201.2045</t>
  </si>
  <si>
    <t>C12H22O</t>
  </si>
  <si>
    <t>FT2282PR</t>
  </si>
  <si>
    <t>4-Hydroxy-2,6,6-trimethyl-3-oxo-1,4-cyclohexadiene-1-carboxaldehyde</t>
  </si>
  <si>
    <t>4-羟基-2,6,6-三甲基-3-氧代-1,4-环己二烯-1-甲醛</t>
  </si>
  <si>
    <t>HMDB0037602</t>
  </si>
  <si>
    <t>35692-95-6</t>
  </si>
  <si>
    <t>CC1=C(C=O)C(C)(C)C=C(O)C1=O</t>
  </si>
  <si>
    <t>COUDKMJLVVETJL-UHFFFAOYSA-N</t>
  </si>
  <si>
    <t>181.0384, 181.0467, 181.0557, 181.0856, 181.1162, 181.1227, 181.1374, 181.1411, 181.7019, 182.0891</t>
  </si>
  <si>
    <t>C10H12O3</t>
  </si>
  <si>
    <t>FT4016PR</t>
  </si>
  <si>
    <t>Piperine</t>
  </si>
  <si>
    <t>胡椒碱</t>
  </si>
  <si>
    <t>HMDB0029377</t>
  </si>
  <si>
    <t>C03882</t>
  </si>
  <si>
    <t>94-62-2</t>
  </si>
  <si>
    <t>O=C(\C=C\C=C\C1=CC2=C(OCO2)C=C1)N1CCCCC1</t>
  </si>
  <si>
    <t>MXXWOMGUGJBKIW-YPCIICBESA-N</t>
  </si>
  <si>
    <t>Alkaloids and derivatives</t>
  </si>
  <si>
    <t>Unclassified</t>
  </si>
  <si>
    <t>生物碱及其衍生物</t>
  </si>
  <si>
    <t>201.1108, 202.0583, 205.3953, 215.1069, 286.0673, 286.0827, 286.1432, 286.2416, 287.1463, 305.3357</t>
  </si>
  <si>
    <t>C17H19NO3</t>
  </si>
  <si>
    <t>FT2265PR</t>
  </si>
  <si>
    <t>Ephedrine methyl ether</t>
  </si>
  <si>
    <t>麻黄碱甲醚</t>
  </si>
  <si>
    <t>HMDB0251838</t>
  </si>
  <si>
    <t>CNC(C)C(OC)C1=CC=CC=C1</t>
  </si>
  <si>
    <t>DOVSRSGMFOLJSK-UHFFFAOYSA-N</t>
  </si>
  <si>
    <t>Benzenoids</t>
  </si>
  <si>
    <t>Benzene and substituted derivatives</t>
  </si>
  <si>
    <t>Phenylpropanes</t>
  </si>
  <si>
    <t>苯类</t>
  </si>
  <si>
    <t>苯和取代衍生物</t>
  </si>
  <si>
    <t>苯丙烷</t>
  </si>
  <si>
    <t>148.6355, 149.0676, 149.0959, 149.1329, 149.5587, 180.0651, 180.1238, 180.1379, 182.3806, 188.1206</t>
  </si>
  <si>
    <t>C11H17NO</t>
  </si>
  <si>
    <t>FT1119NR</t>
  </si>
  <si>
    <t>Oxoglutaric acid</t>
  </si>
  <si>
    <t>氧戊二酸</t>
  </si>
  <si>
    <t>HMDB0000208</t>
  </si>
  <si>
    <t>C00026</t>
  </si>
  <si>
    <t>hsa00020,hsa00040,hsa00053,hsa00220,hsa00250,hsa00310,hsa00340,hsa00430,hsa00470,hsa00630,hsa00650,hsa00785,hsa04066,hsa04727,hsa04922,hsa04964,hsa05230</t>
  </si>
  <si>
    <t>Citrate cycle (TCA cycle)|Pentose and glucuronate interconversions|Ascorbate and aldarate metabolism|Arginine biosynthesis|Alanine, aspartate and glutamate metabolism|Lysine degradation|Histidine metabolism|Taurine and hypotaurine metabolism|D-Amino acid metabolism|Glyoxylate and dicarboxylate metabolism|Butanoate metabolism|Lipoic acid metabolism|HIF-1 signaling pathway|GABAergic synapse|Glucagon signaling pathway|Proximal tubule bicarbonate reclamation|Central carbon metabolism in cancer</t>
  </si>
  <si>
    <t>328-50-7</t>
  </si>
  <si>
    <t>OC(=O)CCC(=O)C(O)=O</t>
  </si>
  <si>
    <t>KPGXRSRHYNQIFN-UHFFFAOYSA-N</t>
  </si>
  <si>
    <t>Keto acids and derivatives</t>
  </si>
  <si>
    <t>Gamma-keto acids and derivatives</t>
  </si>
  <si>
    <t>酮酸及其衍生物</t>
  </si>
  <si>
    <t xml:space="preserve"> γ-酮酸及其衍生物</t>
  </si>
  <si>
    <t>129.0288, 130.9983, 143.6343, 147.0296, 154.9983, 173.0087, 191.0194, 191.0339, 192.0224, 205.3916</t>
  </si>
  <si>
    <t>C5H6O5</t>
  </si>
  <si>
    <t>FT6690PR</t>
  </si>
  <si>
    <t>PC(0:0/20:4)</t>
  </si>
  <si>
    <t>磷脂酰胆碱(0:0/20:4)</t>
  </si>
  <si>
    <t>HMDB0061699</t>
  </si>
  <si>
    <t>LMGP01050121</t>
  </si>
  <si>
    <t>67341-29-1</t>
  </si>
  <si>
    <t>[C@](COP(=O)([O-])OCC[N+](C)(C)C)([H])(OC(CCC/C=C\C/C=C\C/C=C\C/C=C\CCCCC)=O)CO</t>
  </si>
  <si>
    <t>IGJKYDBBINVMLH-JXRLJXCWSA-N</t>
  </si>
  <si>
    <t>184.1102, 184.1258, 185.0761, 205.4070, 258.1095, 485.2513, 526.3278, 544.3385, 544.5318, 545.3391</t>
  </si>
  <si>
    <t>FT1240PR</t>
  </si>
  <si>
    <t>D-Ornithine</t>
  </si>
  <si>
    <t>D-鸟氨酸</t>
  </si>
  <si>
    <t>HMDB0003374</t>
  </si>
  <si>
    <t>C00515</t>
  </si>
  <si>
    <t>348-66-3</t>
  </si>
  <si>
    <t>NCCC[C@@H](N)C(O)=O</t>
  </si>
  <si>
    <t>AHLPHDHHMVZTML-SCSAIBSYSA-N</t>
  </si>
  <si>
    <t>77.3438, 77.4244, 115.0866, 116.0471, 116.0508, 116.0624, 116.0707, 133.0648, 133.0966, 140.6435</t>
  </si>
  <si>
    <t>C5H12N2O2</t>
  </si>
  <si>
    <t>FT1514PR</t>
  </si>
  <si>
    <t>D-Lysine</t>
  </si>
  <si>
    <t>多聚-D-赖氨酸氢溴酸盐</t>
  </si>
  <si>
    <t>HMDB0003405</t>
  </si>
  <si>
    <t>C00739</t>
  </si>
  <si>
    <t>hsa00310,hsa00470</t>
  </si>
  <si>
    <t>Lysine degradation|D-Amino acid metabolism</t>
  </si>
  <si>
    <t>923-27-3</t>
  </si>
  <si>
    <t>NCCCC[C@@H](N)C(O)=O</t>
  </si>
  <si>
    <t>KDXKERNSBIXSRK-RXMQYKEDSA-N</t>
  </si>
  <si>
    <t>85.0845, 112.0752, 125.8402, 129.1022, 130.0768, 130.0862, 131.0897, 138.1161, 147.1126, 166.1286</t>
  </si>
  <si>
    <t>C6H14N2O2</t>
  </si>
  <si>
    <t>FT5970PR</t>
  </si>
  <si>
    <t>PC(0:0/14:0)</t>
  </si>
  <si>
    <t>磷脂酰胆碱(0:0/14:0)</t>
  </si>
  <si>
    <t>LMGP01050073</t>
  </si>
  <si>
    <t>[C@](COP(=O)([O-])OCC[N+](C)(C)C)([H])(OC(CCCCCCCCCCCCC)=O)CO</t>
  </si>
  <si>
    <t>IGZPHNNYPPAPLA-OAQYLSRUSA-N</t>
  </si>
  <si>
    <t>391.2248, 450.2412, 450.2971, 468.1021, 468.1533, 468.1847, 468.3077, 468.4332, 468.4670, 469.3114</t>
  </si>
  <si>
    <t>C22H46NO7P</t>
  </si>
  <si>
    <t>FT1940NR</t>
  </si>
  <si>
    <t>Palmitic acid</t>
  </si>
  <si>
    <t>棕榈酸</t>
  </si>
  <si>
    <t>HMDB0000220</t>
  </si>
  <si>
    <t>LMFA01010001</t>
  </si>
  <si>
    <t>C00249</t>
  </si>
  <si>
    <t>hsa00061,hsa00062,hsa00071,hsa01040</t>
  </si>
  <si>
    <t>Fatty acid biosynthesis|Fatty acid elongation|Fatty acid degradation|Biosynthesis of unsaturated fatty acids</t>
  </si>
  <si>
    <t>R-HSA-112310,R-HSA-112315,R-HSA-112316,R-HSA-1266738,R-HSA-1368082,R-HSA-1368108,R-HSA-1430728,R-HSA-1592230,R-HSA-162582,R-HSA-163685,R-HSA-1643685,R-HSA-1655829,R-HSA-1660661,R-HSA-1852241,R-HSA-192456,R-HSA-196854,R-HSA-1989781,R-HSA-202131,R-HSA-203615,R-HSA-2151201,R-HSA-2187335,R-HSA-2187338,R-HSA-2262752,R-HSA-2426168,R-HSA-2453902,R-HSA-2980736,R-HSA-372790,R-HSA-373076,R-HSA-373760,R-HSA-381340,R-HSA-381771,R-HSA-382551,R-HSA-388396,R-HSA-392499,R-HSA-400206,R-HSA-400253,R-HSA-400451,R-HSA-400508,R-HSA-400511,R-HSA-416476,R-HSA-422356,R-HSA-422475,R-HSA-425397,R-HSA-425407,R-HSA-428157,R-HSA-434313,R-HSA-434316,R-HSA-444209,R-HSA-500792,R-HSA-556833,R-HSA-5619102,R-HSA-5619108,R-HSA-5619115,R-HSA-6806667,R-HSA-75105,R-HSA-75876,R-HSA-75896,R-HSA-804914,R-HSA-8848584,R-HSA-8935690,R-HSA-8953897,R-HSA-8957322,R-HSA-8963743,R-HSA-8978868,R-HSA-9675108,R-HSA-9707564,R-HSA-9707616,R-HSA-9709957,R-HSA-9711123,R-HSA-975634</t>
  </si>
  <si>
    <t>Neurotransmitter release cycle|Transmission across Chemical Synapses|Neuronal System|Developmental Biology|RORA activates gene expression|BMAL1:CLOCK,NPAS2 activates circadian gene expression|Metabolism|Mitochondrial biogenesis|Signal Transduction|Integration of energy metabolism|Disease|Regulation of cholesterol biosynthesis by SREBP (SREBF)|Sphingolipid de novo biosynthesis|Organelle biogenesis and maintenance|Digestion of dietary lipid|Metabolism of vitamins and cofactors|PPARA activates gene expression|Metabolism of nitric oxide: NOS3 activation and regulation|eNOS activation|Transcriptional activation of mitochondrial biogenesis|The retinoid cycle in cones (daylight vision)|Visual phototransduction|Cellular responses to stress|Activation of gene expression by SREBF (SREBP)|The canonical retinoid cycle in rods (twilight vision)|Peptide hormone metabolism|Signaling by GPCR|Class A/1 (Rhodopsin-like receptors)|L1CAM interactions|Transcriptional regulation of white adipocyte differentiation|Synthesis, secretion, and inactivation of Glucagon-like Peptide-1 (GLP-1)|Transport of small molecules|GPCR downstream signalling|Metabolism of proteins|Regulation of lipid metabolism by PPARalpha|Circadian Clock|Free fatty acids regulate insulin secretion|Incretin synthesis, secretion, and inactivation|Synthesis, secretion, and inactivation of Glucose-dependent Insulinotropic Polypeptide (GIP)|G alpha (q) signalling events|Regulation of insulin secretion|Axon guidance|Transport of vitamins, nucleosides, and related molecules|SLC-mediated transmembrane transport|Sphingolipid metabolism|Intracellular metabolism of fatty acids regulates insulin secretion|Fatty Acids bound to GPR40 (FFAR1) regulate insulin secretion|Free fatty acid receptors|GPCR ligand binding|Metabolism of lipids|SLC transporter disorders|Defective SLC27A4 causes ichthyosis prematurity syndrome (IPS)|Disorders of transmembrane transporters|Metabolism of fat-soluble vitamins|Fatty acyl-CoA biosynthesis|Synthesis of very long-chain fatty acyl-CoAs|Plasmalogen biosynthesis|Transport of fatty acids|Wax and plasmalogen biosynthesis|Digestion|Cellular responses to stimuli|Metabolism of steroids|Digestion and absorption|Fatty acid metabolism|Nervous system development|Cytoprotection by HMOX1|Heme signaling|Sensory Perception|Cellular response to chemical stress|Retinoid metabolism and transport</t>
  </si>
  <si>
    <t>57-10-3</t>
  </si>
  <si>
    <t>OC(CCCCCCCCCCCCCCC)=O</t>
  </si>
  <si>
    <t>IPCSVZSSVZVIGE-UHFFFAOYSA-N</t>
  </si>
  <si>
    <t>250.2789, 254.1963, 255.1679, 255.1818, 255.2324, 255.2821, 255.2924, 256.2363, 256.2704, 268.5720</t>
  </si>
  <si>
    <t>C16H32O2</t>
  </si>
  <si>
    <t>FT1202PR</t>
  </si>
  <si>
    <t>Creatine</t>
  </si>
  <si>
    <t>肌酸</t>
  </si>
  <si>
    <t>HMDB0000064</t>
  </si>
  <si>
    <t>C00300</t>
  </si>
  <si>
    <t>hsa00260,hsa00330</t>
  </si>
  <si>
    <t>Glycine, serine and threonine metabolism|Arginine and proline metabolism</t>
  </si>
  <si>
    <t>57-00-1</t>
  </si>
  <si>
    <t>CN(CC(O)=O)C(N)=N</t>
  </si>
  <si>
    <t>CVSVTCORWBXHQV-UHFFFAOYSA-N</t>
  </si>
  <si>
    <t>91.0587, 91.2547, 114.0661, 115.0502, 132.0455, 132.0670, 132.0766, 132.0999, 133.0810, 153.2552</t>
  </si>
  <si>
    <t>C4H9N3O2</t>
  </si>
  <si>
    <t>FT1960PR</t>
  </si>
  <si>
    <t>2-(5-Methyl-2-furanyl)piperidine</t>
  </si>
  <si>
    <t>2-(5-甲基呋喃-2-基)哌啶</t>
  </si>
  <si>
    <t>HMDB0039836</t>
  </si>
  <si>
    <t>97073-18-2</t>
  </si>
  <si>
    <t>CC1=CC=C(O1)C1CCCCN1</t>
  </si>
  <si>
    <t>PAHYJZIMPANAIV-UHFFFAOYSA-N</t>
  </si>
  <si>
    <t>Amines</t>
  </si>
  <si>
    <t>胺类</t>
  </si>
  <si>
    <t>136.0839, 142.0507, 142.9669, 149.0232, 163.0385, 165.9826, 166.0487, 166.0848, 166.1224, 175.7551</t>
  </si>
  <si>
    <t>C10H15NO</t>
  </si>
  <si>
    <t>FT4179PR</t>
  </si>
  <si>
    <t>Gamma-Glutamylphenylalanine</t>
  </si>
  <si>
    <t>γ-谷氨酰苯丙氨酸</t>
  </si>
  <si>
    <t>HMDB0000594</t>
  </si>
  <si>
    <t>7432-24-8</t>
  </si>
  <si>
    <t>N[C@@H](CCC(=O)N[C@@H](CC1=CC=CC=C1)C(O)=O)C(O)=O</t>
  </si>
  <si>
    <t>XHHOHZPNYFQJKL-QWRGUYRKSA-N</t>
  </si>
  <si>
    <t>193.1963, 218.9816, 224.9822, 232.0963, 253.8810, 271.8470, 277.2150, 278.1026, 295.1287, 295.1653</t>
  </si>
  <si>
    <t>C14H18N2O5</t>
  </si>
  <si>
    <t>FT3913NR</t>
  </si>
  <si>
    <t>Furostanol</t>
  </si>
  <si>
    <t>呋甾烷醇</t>
  </si>
  <si>
    <t>HMDB0252548</t>
  </si>
  <si>
    <t>CC(CO)CCC1OC2CC3C4CCC5CCCCC5(C)C4CCC3(C)C2C1C</t>
  </si>
  <si>
    <t>VTDHWTKIIMFVPT-UHFFFAOYSA-N</t>
  </si>
  <si>
    <t>Furostanes and derivatives</t>
  </si>
  <si>
    <t>呋喃坦及其衍生物</t>
  </si>
  <si>
    <t>162.4613, 221.1584, 224.1174, 279.2324, 385.3468, 403.2959, 403.3574, 429.3364, 447.3473, 448.3496</t>
  </si>
  <si>
    <t>C27H46O2</t>
  </si>
  <si>
    <t>FT2148NR</t>
  </si>
  <si>
    <t>9-methoxy-pentadecanoic acid</t>
  </si>
  <si>
    <t>9-甲氧基十五烷酸</t>
  </si>
  <si>
    <t>LMFA01080013</t>
  </si>
  <si>
    <t>C(CCCCCCCC(OC)CCCCCC)(=O)O</t>
  </si>
  <si>
    <t>QWMAMXJYEIAKRF-UHFFFAOYSA-N</t>
  </si>
  <si>
    <t>225.2219, 225.2414, 226.2257, 253.2167, 269.2128, 271.1397, 271.1567, 271.2272, 272.2310, 272.3671</t>
  </si>
  <si>
    <t>C16H32O3</t>
  </si>
  <si>
    <t>FT6445PR</t>
  </si>
  <si>
    <t>PC(18:2/0:0)</t>
  </si>
  <si>
    <t>磷脂酰胆碱(18:2/0:0)</t>
  </si>
  <si>
    <t>LMGP01050034</t>
  </si>
  <si>
    <t>[C@](COP(=O)([O-])OCC[N+](C)(C)C)([H])(O)COC(/C=C/C=C/CCCCCCCCCCCCC)=O</t>
  </si>
  <si>
    <t>CLDXAAPENVNFAW-JRMAHNDFSA-N</t>
  </si>
  <si>
    <t>340.8198, 364.9061, 443.2555, 499.0963, 502.3284, 519.7661, 520.1070, 520.3393, 520.5187, 521.3339</t>
  </si>
  <si>
    <t>C26H50NO7P</t>
  </si>
  <si>
    <t>FT3658PR</t>
  </si>
  <si>
    <t>Phenylacetylglutamine</t>
  </si>
  <si>
    <t>苯乙酰谷氨酰胺</t>
  </si>
  <si>
    <t>HMDB0006344</t>
  </si>
  <si>
    <t>C04148</t>
  </si>
  <si>
    <t>hsa00360</t>
  </si>
  <si>
    <t>Phenylalanine metabolism</t>
  </si>
  <si>
    <t>28047-15-6</t>
  </si>
  <si>
    <t>NC(=O)CC[C@H](NC(=O)CC1=CC=CC=C1)C(O)=O</t>
  </si>
  <si>
    <t>JFLIEFSWGNOPJJ-JTQLQIEISA-N</t>
  </si>
  <si>
    <t>206.7449, 219.1126, 220.0964, 247.1072, 248.0913, 265.0528, 265.1177, 265.1786, 265.2090, 265.2525</t>
  </si>
  <si>
    <t>C13H16N2O4</t>
  </si>
  <si>
    <t>FT4471PR</t>
  </si>
  <si>
    <t>6-Decenoylcarnitine</t>
  </si>
  <si>
    <t>6-癸酰肉碱</t>
  </si>
  <si>
    <t>HMDB0241068</t>
  </si>
  <si>
    <t>CCCC=CCCCCC(=O)OC(CC([O-])=O)C[N+](C)(C)C</t>
  </si>
  <si>
    <t>XYOBQNTYVAVQPD-UHFFFAOYSA-N</t>
  </si>
  <si>
    <t>177.5931, 228.1760, 255.1585, 277.3630, 306.7957, 314.1178, 314.2319, 314.3207, 314.9615, 315.2346</t>
  </si>
  <si>
    <t>C17H31NO4</t>
  </si>
  <si>
    <t>FT1713PR</t>
  </si>
  <si>
    <t>Urocanic acid</t>
  </si>
  <si>
    <t>尿刊酸</t>
  </si>
  <si>
    <t>HMDB0000301</t>
  </si>
  <si>
    <t>C00785</t>
  </si>
  <si>
    <t>hsa00340</t>
  </si>
  <si>
    <t>Histidine metabolism</t>
  </si>
  <si>
    <t>R-HSA-1430728,R-HSA-70921,R-HSA-71291</t>
  </si>
  <si>
    <t>Metabolism|Histidine catabolism|Metabolism of amino acids and derivatives</t>
  </si>
  <si>
    <t>104-98-3</t>
  </si>
  <si>
    <t>OC(=O)\C=C\C1=CNC=N1</t>
  </si>
  <si>
    <t>LOIYMIARKYCTBW-OWOJBTEDSA-N</t>
  </si>
  <si>
    <t>Organoheterocyclic compounds</t>
  </si>
  <si>
    <t>Azoles</t>
  </si>
  <si>
    <t>Imidazoles</t>
  </si>
  <si>
    <t>有机杂环化合物</t>
  </si>
  <si>
    <t>唑类</t>
  </si>
  <si>
    <t>咪唑类</t>
  </si>
  <si>
    <t>111.0749, 112.0871, 128.0194, 138.0657, 139.0559, 139.0868, 155.5861, 156.0456, 156.0766, 156.5691</t>
  </si>
  <si>
    <t>C6H6N2O2</t>
  </si>
  <si>
    <t>FT5864PR</t>
  </si>
  <si>
    <t>PE(0:0/16:0)</t>
  </si>
  <si>
    <t>磷脂酰乙醇胺(0:0/16:0)</t>
  </si>
  <si>
    <t>HMDB0011473</t>
  </si>
  <si>
    <t>LMGP02050036</t>
  </si>
  <si>
    <t>C(OP(OCCN)(O)=O)[C@]([H])(OC(=O)CCCCCCCCCCCCCCC)CO</t>
  </si>
  <si>
    <t>CKPBBEOJHAPPBT-HXUWFJFHSA-N</t>
  </si>
  <si>
    <t>313.1639, 313.2730, 313.3591, 314.2754, 393.2384, 393.2924, 436.2815, 454.2919, 454.3816, 455.2960</t>
  </si>
  <si>
    <t>C21H44NO7P</t>
  </si>
  <si>
    <t>FT5829PR</t>
  </si>
  <si>
    <t>Glycochenodeoxycholic acid</t>
  </si>
  <si>
    <t>甘氨鹅脱氧胆酸</t>
  </si>
  <si>
    <t>HMDB0000637</t>
  </si>
  <si>
    <t>LMST05030008</t>
  </si>
  <si>
    <t>C05466</t>
  </si>
  <si>
    <t>hsa00120</t>
  </si>
  <si>
    <t>Primary bile acid biosynthesis</t>
  </si>
  <si>
    <t>640-79-9</t>
  </si>
  <si>
    <t>[C@]12([C@H](O)C[C@]3([H])C[C@H](O)CC[C@]3(C)[C@@]1([H])CC[C@]1(C)[C@@]([H])([C@@](C)([H])CCC(=O)NCC(=O)O)CC[C@@]21[H])[H]</t>
  </si>
  <si>
    <t>GHCZAUBVMUEKKP-GYPHWSFCSA-N</t>
  </si>
  <si>
    <t>278.1757, 292.1914, 304.1902, 321.2567, 339.2675, 357.2783, 414.2995, 415.3039, 432.3101, 450.3206</t>
  </si>
  <si>
    <t>C26H43NO5</t>
  </si>
  <si>
    <t>FT6419PR</t>
  </si>
  <si>
    <t>PC(18:3/0:0)</t>
  </si>
  <si>
    <t>磷脂酰胆碱(18:3/0:0)</t>
  </si>
  <si>
    <t>HMDB0010388</t>
  </si>
  <si>
    <t>LMGP01050038</t>
  </si>
  <si>
    <t>[C@](COP(=O)([O-])OCC[N+](C)(C)C)([H])(O)COC(CCCCCCC/C=C\C/C=C\C/C=C\CC)=O</t>
  </si>
  <si>
    <t>WKQNRCYKYCKESD-YVHLTTHBSA-N</t>
  </si>
  <si>
    <t>452.3756, 459.2407, 469.8913, 500.3128, 500.3974, 518.0917, 518.1413, 518.3237, 518.5053, 519.3265</t>
  </si>
  <si>
    <t>C26H48NO7P</t>
  </si>
  <si>
    <t>FT2811NR</t>
  </si>
  <si>
    <t>Docosahexaenoic acid</t>
  </si>
  <si>
    <t>二十二碳六烯酸</t>
  </si>
  <si>
    <t>HMDB0002183</t>
  </si>
  <si>
    <t>LMFA01030185</t>
  </si>
  <si>
    <t>C06429</t>
  </si>
  <si>
    <t>hsa01040</t>
  </si>
  <si>
    <t>Biosynthesis of unsaturated fatty acids</t>
  </si>
  <si>
    <t>6217-54-5</t>
  </si>
  <si>
    <t>C(=C/C/C=C\C/C=C\C/C=C\C/C=C\C/C=C\CC)/CCC(=O)O</t>
  </si>
  <si>
    <t>MBMBGCFOFBJSGT-KUBAVDMBSA-N</t>
  </si>
  <si>
    <t>284.2456, 297.2216, 302.6931, 309.2217, 325.7314, 327.1394, 327.2322, 327.3231, 327.3486, 328.2370</t>
  </si>
  <si>
    <t>C22H32O2</t>
  </si>
  <si>
    <t>FT1037NR</t>
  </si>
  <si>
    <t>p-Cresyl sulfate</t>
  </si>
  <si>
    <t>对甲酚硫酸盐</t>
  </si>
  <si>
    <t>HMDB0011635</t>
  </si>
  <si>
    <t>C06677</t>
  </si>
  <si>
    <t>3233-58-7</t>
  </si>
  <si>
    <t>CC1=CC=C(OS(O)(=O)=O)C=C1</t>
  </si>
  <si>
    <t>WGNAKZGUSRVWRH-UHFFFAOYSA-N</t>
  </si>
  <si>
    <t>Organic sulfuric acids and derivatives</t>
  </si>
  <si>
    <t>Arylsulfates</t>
  </si>
  <si>
    <t>有机硫酸及其衍生物</t>
  </si>
  <si>
    <t>芳基硫酸盐</t>
  </si>
  <si>
    <t>107.0732, 108.0530, 117.2665, 186.9577, 186.9657, 187.0065, 187.0448, 187.0593, 188.0094, 205.4035</t>
  </si>
  <si>
    <t>C7H8O4S</t>
  </si>
  <si>
    <t>FT1325NR</t>
  </si>
  <si>
    <t>Indoxyl sulfate</t>
  </si>
  <si>
    <t>硫酸吲哚酚</t>
  </si>
  <si>
    <t>HMDB0000682</t>
  </si>
  <si>
    <t>487-94-5</t>
  </si>
  <si>
    <t>OS(=O)(=O)OC1=CNC2=CC=CC=C12</t>
  </si>
  <si>
    <t>BXFFHSIDQOFMLE-UHFFFAOYSA-N</t>
  </si>
  <si>
    <t>205.3891, 211.2197, 211.9381, 211.9544, 211.9634, 212.0017, 212.0396, 212.0503, 212.0615, 213.0049</t>
  </si>
  <si>
    <t>C8H7NO4S</t>
  </si>
  <si>
    <t>FT1820NR</t>
  </si>
  <si>
    <t>Glutamylthreonine</t>
  </si>
  <si>
    <t>谷氨酰苏氨酸</t>
  </si>
  <si>
    <t>HMDB0028829</t>
  </si>
  <si>
    <t>6875-80-5</t>
  </si>
  <si>
    <t>C[C@@H](O)[C@H](NC(=O)[C@@H](N)CCC(O)=O)C(O)=O</t>
  </si>
  <si>
    <t>JSIQVRIXMINMTA-ZDLURKLDSA-N</t>
  </si>
  <si>
    <t>218.5378, 229.0825, 246.1006, 247.0154, 247.0332, 247.0452, 247.0930, 247.1412, 247.1528, 248.0951</t>
  </si>
  <si>
    <t>C9H16N2O6</t>
  </si>
  <si>
    <t>FT6187PR</t>
  </si>
  <si>
    <t>(2R)-2-{[(9Z)-Hexadec-9-enoyl]oxy}-3-hydroxypropyl 2-(trimethylazaniumyl)ethyl phosphate</t>
  </si>
  <si>
    <t>(2R)-2-{[(9Z)-十六-9-烯酰基]氧基}-3-羟丙基2-(三甲基氮鎓基)乙基磷酸酯</t>
  </si>
  <si>
    <t>HMDB0245288</t>
  </si>
  <si>
    <t>CCCCCCC=CCCCCCCCC(=O)OC(CO)COP([O-])(=O)OCC[N+](C)(C)C</t>
  </si>
  <si>
    <t>OEJYWQCXHNOOHC-UHFFFAOYSA-N</t>
  </si>
  <si>
    <t>302.7164, 311.2565, 476.3131, 493.2905, 494.1542, 494.1896, 494.3233, 494.4933, 495.3291, 497.1176</t>
  </si>
  <si>
    <t>C24H48NO7P</t>
  </si>
  <si>
    <t>FT6478PR</t>
  </si>
  <si>
    <t>PC(0:0/18:1)</t>
  </si>
  <si>
    <t>磷脂酰胆碱(0:0/18:1)</t>
  </si>
  <si>
    <t>LMGP01050079</t>
  </si>
  <si>
    <t>[C@](COP(=O)([O-])OCC[N+](C)(C)C)([H])(OC(CCCC/C=C\CCCCCCCCCCC)=O)CO</t>
  </si>
  <si>
    <t>LXHJYOQXXHUOHA-UPTOSOBMSA-N</t>
  </si>
  <si>
    <t>184.0731, 215.9102, 258.1096, 302.6955, 324.3261, 339.2886, 504.3442, 504.4110, 522.3546, 522.5357</t>
  </si>
  <si>
    <t>C26H52NO7P</t>
  </si>
  <si>
    <t>FT1149NR</t>
  </si>
  <si>
    <t>Gluconic Acid</t>
  </si>
  <si>
    <t>葡萄糖酸</t>
  </si>
  <si>
    <t>HMDB0000625</t>
  </si>
  <si>
    <t>C00257</t>
  </si>
  <si>
    <t>hsa00030</t>
  </si>
  <si>
    <t>Pentose phosphate pathway</t>
  </si>
  <si>
    <t>526-95-4</t>
  </si>
  <si>
    <t>OC[C@@H](O)[C@@H](O)[C@H](O)[C@@H](O)C(O)=O</t>
  </si>
  <si>
    <t>RGHNJXZEOKUKBD-SQOUGZDYSA-N</t>
  </si>
  <si>
    <t>Carbohydrates and carbohydrate conjugates</t>
  </si>
  <si>
    <t>碳水化合物和碳水化合物结合物</t>
  </si>
  <si>
    <t>131.9083, 135.0296, 137.1707, 141.0191, 146.0821, 159.0295, 177.0401, 195.0505, 195.1389, 196.0545</t>
  </si>
  <si>
    <t>C6H12O7</t>
  </si>
  <si>
    <t>FT6332PR</t>
  </si>
  <si>
    <t>PC(O-18:1/0:0)</t>
  </si>
  <si>
    <t>磷脂酰胆碱(O-18:1/0:0)</t>
  </si>
  <si>
    <t>LMGP01060039</t>
  </si>
  <si>
    <t>[C@](COP(=O)([O-])OCC[N+](C)(C)C)([H])(O)COCCCCCCCC/C=C\CCCCCCCC</t>
  </si>
  <si>
    <t>XWYSLMAMRKYUFH-HTOVTZSWSA-N</t>
  </si>
  <si>
    <t>127.0983, 181.0258, 184.0731, 205.3930, 211.2645, 240.0985, 367.3207, 490.3306, 508.3755, 508.5530</t>
  </si>
  <si>
    <t>C26H54NO6P</t>
  </si>
  <si>
    <t>FT1027NR</t>
  </si>
  <si>
    <t>Tropine</t>
  </si>
  <si>
    <t>托品醇</t>
  </si>
  <si>
    <t>120-29-6</t>
  </si>
  <si>
    <t>CN1[C@H]2CC[C@@H]1CC(O)C2</t>
  </si>
  <si>
    <t>CYHOMWAPJJPNMW-DHBOJHSNSA-N</t>
  </si>
  <si>
    <t>Tropane alkaloids</t>
  </si>
  <si>
    <t>托烷生物碱</t>
  </si>
  <si>
    <t>126.1006, 129.0551, 142.0956, 142.1232, 168.1025, 169.0867, 186.1131, 187.0505, 187.0972, 187.1162</t>
  </si>
  <si>
    <t>C8H15NO</t>
  </si>
  <si>
    <t>FT3924NR</t>
  </si>
  <si>
    <t>Glycohyodeoxycholic acid</t>
  </si>
  <si>
    <t>甘氨猪去氧胆酸</t>
  </si>
  <si>
    <t>13042-33-6</t>
  </si>
  <si>
    <t>O=C(O)CNC(CC[C@@H](C)[C@H]1CC[C@@]2([H])[C@]3([H])C[C@H](O)[C@]4([H])C[C@H](O)CC[C@]4(C)[C@@]3([H])CC[C@]12C)=O</t>
  </si>
  <si>
    <t>SPOIYSFQOFYOFZ-BRDORRHWSA-N</t>
  </si>
  <si>
    <t>231.5385, 309.6175, 386.3085, 445.8925, 448.1612, 448.3061, 448.4192, 448.4538, 449.3103, 450.7409</t>
  </si>
  <si>
    <t>FT4879PR</t>
  </si>
  <si>
    <t>Dodecanoylcarnitine</t>
  </si>
  <si>
    <t>月桂酰肉碱</t>
  </si>
  <si>
    <t>HMDB0002250</t>
  </si>
  <si>
    <t>LMFA07070062</t>
  </si>
  <si>
    <t>25518-54-1</t>
  </si>
  <si>
    <t>O(C(CCCCCCCCCCC)=O)[C@H](CC([O-])=O)C[N+](C)(C)C</t>
  </si>
  <si>
    <t>FUJLYHJROOYKRA-QGZVFWFLSA-N</t>
  </si>
  <si>
    <t>183.1734, 205.4044, 285.2058, 328.0933, 336.0421, 344.1799, 344.2789, 344.4077, 345.2820, 362.9351</t>
  </si>
  <si>
    <t>C19H37NO4</t>
  </si>
  <si>
    <t>FT3422NR</t>
  </si>
  <si>
    <t>Chenodeoxycholic Acid</t>
  </si>
  <si>
    <t>鹅去氧胆酸</t>
  </si>
  <si>
    <t>HMDB0000518</t>
  </si>
  <si>
    <t>LMST04010032</t>
  </si>
  <si>
    <t>C02528</t>
  </si>
  <si>
    <t>474-25-9</t>
  </si>
  <si>
    <t>C1[C@]2(C)[C@@]3([H])CC[C@]4(C)[C@@]([H])([C@]([H])(C)CCC(O)=O)CC[C@@]4([H])[C@]3([H])[C@H](O)C[C@]2([H])C[C@H](O)C1</t>
  </si>
  <si>
    <t>RUDATBOHQWOJDD-BSWAIDMHSA-N</t>
  </si>
  <si>
    <t>346.7789, 373.2752, 389.3140, 391.1658, 391.2847, 391.3770, 391.4058, 392.2880, 393.2676, 409.2959</t>
  </si>
  <si>
    <t>C24H40O4</t>
  </si>
  <si>
    <t>FT0854PR</t>
  </si>
  <si>
    <t>L-Homoserine</t>
  </si>
  <si>
    <t>L-高丝氨酸</t>
  </si>
  <si>
    <t>HMDB0000719</t>
  </si>
  <si>
    <t>C00263</t>
  </si>
  <si>
    <t>hsa00260,hsa00270,hsa00920</t>
  </si>
  <si>
    <t>Glycine, serine and threonine metabolism|Cysteine and methionine metabolism|Sulfur metabolism</t>
  </si>
  <si>
    <t>672-15-1</t>
  </si>
  <si>
    <t>N[C@@H](CCO)C(O)=O</t>
  </si>
  <si>
    <t>UKAUYVFTDYCKQA-VKHMYHEASA-N</t>
  </si>
  <si>
    <t>102.0551, 102.0630, 102.3838, 103.0634, 120.0205, 120.0447, 120.0556, 120.0655, 120.0907, 121.0289</t>
  </si>
  <si>
    <t>C4H9NO3</t>
  </si>
  <si>
    <t>FT2640NR</t>
  </si>
  <si>
    <t>9Z-Octadecenedioic acid</t>
  </si>
  <si>
    <t>十八碳烯二酸</t>
  </si>
  <si>
    <t>LMFA01170055</t>
  </si>
  <si>
    <t>C19618</t>
  </si>
  <si>
    <t>C(CCCCCCC/C=C\CCCCCCCC(=O)O)(=O)O</t>
  </si>
  <si>
    <t>SBLKVIQSIHEQOF-UPHRSURJSA-N</t>
  </si>
  <si>
    <t>293.2118, 294.2158, 302.6834, 309.8185, 311.0917, 311.1358, 311.1545, 311.2222, 311.3329, 312.2254</t>
  </si>
  <si>
    <t>C18H32O4</t>
  </si>
  <si>
    <t>FT4576NR</t>
  </si>
  <si>
    <t>PC(O-16:1/0:0)</t>
  </si>
  <si>
    <t>磷脂酰胆碱(O-16:1/0:0)</t>
  </si>
  <si>
    <t>LMGP01060029</t>
  </si>
  <si>
    <t>[C@](COP(=O)([O-])OCC[N+](C)(C)C)([H])(O)COCCCCCCCC/C=C/CCCCCC</t>
  </si>
  <si>
    <t>PLQWZMJRHVARFU-NFPSEPLVSA-N</t>
  </si>
  <si>
    <t>414.0253, 461.7797, 464.1626, 464.3138, 465.2569, 465.3180, 466.8742, 524.3349, 525.3389, 536.0134</t>
  </si>
  <si>
    <t>C24H50NO6P</t>
  </si>
  <si>
    <t>FT1925NR</t>
  </si>
  <si>
    <t>3-carboxy-4-methyl-5-(1-hydroxypropyl)-2-furanpropionic acid</t>
  </si>
  <si>
    <t>3-羧基-4-甲基-5-(1-羟基丙基)-2-呋喃丙酸</t>
  </si>
  <si>
    <t>LMFA01150060</t>
  </si>
  <si>
    <t>C(C)C(O)C1=C(C)C(C(=O)O)=C(CCC(=O)O)O1</t>
  </si>
  <si>
    <t>OZOJARPUDFLESM-UHFFFAOYSA-N</t>
  </si>
  <si>
    <t>211.0587, 211.0969, 211.1454, 211.1576, 211.8801, 212.1004, 237.0765, 255.0868, 255.1662, 256.0894</t>
  </si>
  <si>
    <t>C12H16O6</t>
  </si>
  <si>
    <t>FT2873NR</t>
  </si>
  <si>
    <t>Adrenic Acid</t>
  </si>
  <si>
    <t>肾上腺酸</t>
  </si>
  <si>
    <t>HMDB0002226</t>
  </si>
  <si>
    <t>LMFA01030178</t>
  </si>
  <si>
    <t>C16527</t>
  </si>
  <si>
    <t>R-HSA-162582,R-HSA-2980736,R-HSA-372790,R-HSA-373076,R-HSA-381771,R-HSA-388396,R-HSA-392499,R-HSA-400508,R-HSA-416476,R-HSA-444209,R-HSA-500792</t>
  </si>
  <si>
    <t>Signal Transduction|Peptide hormone metabolism|Signaling by GPCR|Class A/1 (Rhodopsin-like receptors)|Synthesis, secretion, and inactivation of Glucagon-like Peptide-1 (GLP-1)|GPCR downstream signalling|Metabolism of proteins|Incretin synthesis, secretion, and inactivation|G alpha (q) signalling events|Free fatty acid receptors|GPCR ligand binding</t>
  </si>
  <si>
    <t>28874-58-0</t>
  </si>
  <si>
    <t>C(CC(=O)O)CCC/C=C\C/C=C\C/C=C\C/C=C\CCCCC</t>
  </si>
  <si>
    <t>TWSWSIQAPQLDBP-DOFZRALJSA-N</t>
  </si>
  <si>
    <t>287.2738, 298.0064, 302.6944, 305.9891, 313.2520, 329.7383, 331.2636, 331.3361, 331.3575, 332.2665</t>
  </si>
  <si>
    <t>C22H36O2</t>
  </si>
  <si>
    <t>FT2392NR</t>
  </si>
  <si>
    <t>Ethylenediaminetetraaceticacid</t>
  </si>
  <si>
    <t>乙二胺四乙酸</t>
  </si>
  <si>
    <t>HMDB0257824</t>
  </si>
  <si>
    <t>NC(CC(O)=O)(CC(O)=O)C(N)(CC(O)=O)CC(O)=O</t>
  </si>
  <si>
    <t>AMPNNTLXPJCDJF-UHFFFAOYSA-N</t>
  </si>
  <si>
    <t>Tetracarboxylic acids and derivatives</t>
  </si>
  <si>
    <t>四羧酸及其衍生物</t>
  </si>
  <si>
    <t>215.0667, 229.0823, 233.0772, 247.0929, 273.0722, 291.0827, 291.1424, 291.1574, 292.0856, 309.4427</t>
  </si>
  <si>
    <t>C10H16N2O8</t>
  </si>
  <si>
    <t>FT2522NR</t>
  </si>
  <si>
    <t>Eicosapentaenoic Acid</t>
  </si>
  <si>
    <t>二十碳五烯酸</t>
  </si>
  <si>
    <t>HMDB0001999</t>
  </si>
  <si>
    <t>LMFA01030759</t>
  </si>
  <si>
    <t>C06428</t>
  </si>
  <si>
    <t>R-HSA-1266738,R-HSA-1368082,R-HSA-1368108,R-HSA-1430728,R-HSA-1592230,R-HSA-162582,R-HSA-1655829,R-HSA-1852241,R-HSA-1989781,R-HSA-2151201,R-HSA-2262752,R-HSA-2426168,R-HSA-2980736,R-HSA-372790,R-HSA-373076,R-HSA-381340,R-HSA-381771,R-HSA-388396,R-HSA-392499,R-HSA-400206,R-HSA-400253,R-HSA-400508,R-HSA-416476,R-HSA-444209,R-HSA-500792,R-HSA-556833,R-HSA-8953897,R-HSA-8957322,R-HSA-9018678,R-HSA-9018679,R-HSA-9018896,R-HSA-9027604,R-HSA-9707564,R-HSA-9707616,R-HSA-9711123</t>
  </si>
  <si>
    <t>Developmental Biology|RORA activates gene expression|BMAL1:CLOCK,NPAS2 activates circadian gene expression|Metabolism|Mitochondrial biogenesis|Signal Transduction|Regulation of cholesterol biosynthesis by SREBP (SREBF)|Organelle biogenesis and maintenance|PPARA activates gene expression|Transcriptional activation of mitochondrial biogenesis|Cellular responses to stress|Activation of gene expression by SREBF (SREBP)|Peptide hormone metabolism|Signaling by GPCR|Class A/1 (Rhodopsin-like receptors)|Transcriptional regulation of white adipocyte differentiation|Synthesis, secretion, and inactivation of Glucagon-like Peptide-1 (GLP-1)|GPCR downstream signalling|Metabolism of proteins|Regulation of lipid metabolism by PPARalpha|Circadian Clock|Incretin synthesis, secretion, and inactivation|G alpha (q) signalling events|Free fatty acid receptors|GPCR ligand binding|Metabolism of lipids|Cellular responses to stimuli|Metabolism of steroids|Biosynthesis of specialized proresolving mediators (SPMs)|Biosynthesis of EPA-derived SPMs|Biosynthesis of E-series 18(S)-resolvins|Biosynthesis of electrophilic ω-3 PUFA oxo-derivatives|Cytoprotection by HMOX1|Heme signaling|Cellular response to chemical stress</t>
  </si>
  <si>
    <t>10417-94-4</t>
  </si>
  <si>
    <t>OC(=O)CCC/C=C\C/C=C\C/C=C\C/C=C\C/C=C\CC</t>
  </si>
  <si>
    <t>JAZBEHYOTPTENJ-JLNKQSITSA-N</t>
  </si>
  <si>
    <t>203.1800, 215.1775, 223.1700, 257.2271, 257.2592, 258.2302, 271.2049, 283.2072, 301.2166, 302.2184</t>
  </si>
  <si>
    <t>C20H30O2</t>
  </si>
  <si>
    <t>FT6872PR</t>
  </si>
  <si>
    <t>PC(22:6/0:0)</t>
  </si>
  <si>
    <t>磷脂酰胆碱(22:6/0:0)</t>
  </si>
  <si>
    <t>HMDB0010404</t>
  </si>
  <si>
    <t>LMGP01050056</t>
  </si>
  <si>
    <t>162440-05-3</t>
  </si>
  <si>
    <t>[C@](COP(=O)([O-])OCC[N+](C)(C)C)([H])(O)COC(CC/C=C\C/C=C\C/C=C\C/C=C\C/C=C\C/C=C\CC)=O</t>
  </si>
  <si>
    <t>LSOWKZULVQWMLY-APPDJCNMSA-N</t>
  </si>
  <si>
    <t>184.1132, 227.8516, 258.1100, 550.2296, 550.3289, 550.4289, 564.9282, 568.3386, 568.5515, 569.3425</t>
  </si>
  <si>
    <t>C30H50NO7P</t>
  </si>
  <si>
    <t>FT6511PR</t>
  </si>
  <si>
    <t>PC(0:0/18:0)</t>
  </si>
  <si>
    <t>2-硬脂酰-SN-甘油-3-磷酸胆碱</t>
  </si>
  <si>
    <t>HMDB0011128</t>
  </si>
  <si>
    <t>LMGP01050076</t>
  </si>
  <si>
    <t>4421-58-3</t>
  </si>
  <si>
    <t>[C@](COP(=O)([O-])OCC[N+](C)(C)C)([H])(OC(CCCCCCCCCCCCCCCCC)=O)CO</t>
  </si>
  <si>
    <t>IQGPMZRCLCCXAG-RUZDIDTESA-N</t>
  </si>
  <si>
    <t>338.7059, 341.3048, 447.2876, 506.3599, 507.3649, 521.3487, 524.3705, 524.5541, 525.3741, 527.4149</t>
  </si>
  <si>
    <t>C26H54NO7P</t>
  </si>
  <si>
    <t>FT2079NR</t>
  </si>
  <si>
    <t>Inosine</t>
  </si>
  <si>
    <t>肌苷</t>
  </si>
  <si>
    <t>HMDB0000195</t>
  </si>
  <si>
    <t>C00294</t>
  </si>
  <si>
    <t>hsa00230</t>
  </si>
  <si>
    <t>Purine metabolism</t>
  </si>
  <si>
    <t>R-HSA-1430728,R-HSA-15869,R-HSA-1643685,R-HSA-2161522,R-HSA-2161541,R-HSA-382551,R-HSA-392499,R-HSA-425397,R-HSA-425407,R-HSA-5619063,R-HSA-5619102,R-HSA-5619115,R-HSA-5668914,R-HSA-5683826,R-HSA-74217,R-HSA-74259,R-HSA-83936,R-HSA-8956319,R-HSA-8956321,R-HSA-9735763,R-HSA-9735786,R-HSA-9735804,R-HSA-9748784,R-HSA-9755088</t>
  </si>
  <si>
    <t>Metabolism|Metabolism of nucleotides|Disease|Abacavir ADME|Abacavir metabolism|Transport of small molecules|Metabolism of proteins|Transport of vitamins, nucleosides, and related molecules|SLC-mediated transmembrane transport|Defective SLC29A3 causes histiocytosis-lymphadenopathy plus syndrome (HLAS)|SLC transporter disorders|Disorders of transmembrane transporters|Diseases of metabolism|Surfactant metabolism|Purine salvage|Purine catabolism|Transport of nucleosides and free purine and pyrimidine bases across the plasma membrane|Nucleotide catabolism|Nucleotide salvage|Defective PNP disrupts phosphorolysis of (deoxy)guanosine and (deoxy)inosine|Nucleotide catabolism defects|Diseases of nucleotide metabolism|Drug ADME|Ribavirin ADME</t>
  </si>
  <si>
    <t>58-63-9</t>
  </si>
  <si>
    <t>OC[C@H]1O[C@H]([C@H](O)[C@@H]1O)N1C=NC2=C(O)N=CN=C12</t>
  </si>
  <si>
    <t>UGQMRVRMYYASKQ-KQYNXXCUSA-N</t>
  </si>
  <si>
    <t>Nucleosides, nucleotides, and analogues</t>
  </si>
  <si>
    <t>Purine nucleosides</t>
  </si>
  <si>
    <t>核苷、核苷酸和类似物</t>
  </si>
  <si>
    <t>嘌呤核苷</t>
  </si>
  <si>
    <t>111.8881, 135.0309, 135.0405, 167.7253, 174.9135, 201.6334, 205.3930, 264.2632, 267.0728, 268.0753</t>
  </si>
  <si>
    <t>C10H12N4O5</t>
  </si>
  <si>
    <t>FT0669NR</t>
  </si>
  <si>
    <t>2-Deoxyribonic acid</t>
  </si>
  <si>
    <t>2-脱氧-红-戊酸</t>
  </si>
  <si>
    <t>HMDB0000366</t>
  </si>
  <si>
    <t>LMFA01050477</t>
  </si>
  <si>
    <t>29625-75-0</t>
  </si>
  <si>
    <t>O[C@@H](CC(=O)O)[C@H](O)CO</t>
  </si>
  <si>
    <t>VBUWJOHKCBQXNU-IUYQGCFVSA-N</t>
  </si>
  <si>
    <t>Hydroxy acids and derivatives</t>
  </si>
  <si>
    <t>Beta hydroxy acids and derivatives</t>
  </si>
  <si>
    <t>羟基酸及其衍生物</t>
  </si>
  <si>
    <t xml:space="preserve"> β-羟基酸及其衍生物</t>
  </si>
  <si>
    <t>87.0085, 89.0242, 89.0375, 90.0276, 101.0241, 103.0398, 121.0284, 131.0347, 149.0253, 149.0452</t>
  </si>
  <si>
    <t>C5H10O5</t>
  </si>
  <si>
    <t>FT5913PR</t>
  </si>
  <si>
    <t>Pectachol</t>
  </si>
  <si>
    <t>果胶醇</t>
  </si>
  <si>
    <t>HMDB0039064</t>
  </si>
  <si>
    <t>81729-14-8</t>
  </si>
  <si>
    <t>COC1=C(OCC2C(=C)CCC3C(C)(C)C(O)CCC23C)C(OC)=C2OC(=O)C=CC2=C1</t>
  </si>
  <si>
    <t>QISGCNZPAGFKFT-UHFFFAOYSA-N</t>
  </si>
  <si>
    <t>Phenylpropanoids and polyketides</t>
  </si>
  <si>
    <t>Coumarins and derivatives</t>
  </si>
  <si>
    <t>苯丙素和聚酮化合物</t>
  </si>
  <si>
    <t>香豆素及其衍生物</t>
  </si>
  <si>
    <t>133.0645, 135.0803, 147.0648, 205.4019, 281.1375, 295.1189, 397.2005, 415.2107, 416.2139, 460.2685</t>
  </si>
  <si>
    <t>C26H34O6</t>
  </si>
  <si>
    <t>FT6350PR</t>
  </si>
  <si>
    <t>2-O-ethyl PAF C-16</t>
  </si>
  <si>
    <t>2-O-乙基PAF C-16</t>
  </si>
  <si>
    <t>CCCCCCCCCCCCCCCCOCC(COP(=O)([O-])OCC[N+](C)(C)C)OCC</t>
  </si>
  <si>
    <t>LPHUUVMLQFHHQG-AREMUKBSSA-N</t>
  </si>
  <si>
    <t>127.6022, 129.4239, 176.0534, 184.0731, 205.4038, 223.4030, 234.4735, 292.0463, 346.2337, 510.3907</t>
  </si>
  <si>
    <t>C26H56NO6P</t>
  </si>
  <si>
    <t>FT0871NR</t>
  </si>
  <si>
    <t>Phenol sulphate</t>
  </si>
  <si>
    <t>苯酚硫酸盐</t>
  </si>
  <si>
    <t>HMDB0060015</t>
  </si>
  <si>
    <t>C02180</t>
  </si>
  <si>
    <t>R-HSA-1430728,R-HSA-156580,R-HSA-156584,R-HSA-211859</t>
  </si>
  <si>
    <t>Metabolism|Phase II - Conjugation of compounds|Cytosolic sulfonation of small molecules|Biological oxidations</t>
  </si>
  <si>
    <t>937-34-8</t>
  </si>
  <si>
    <t>OS(=O)(=O)OC1=CC=CC=C1</t>
  </si>
  <si>
    <t>CTYRPMDGLDAWRQ-UHFFFAOYSA-N</t>
  </si>
  <si>
    <t>93.0486, 93.0520, 94.0376, 109.0290, 111.0816, 172.9552, 172.9908, 173.0265, 173.0358, 173.9941</t>
  </si>
  <si>
    <t>C6H6O4S</t>
  </si>
  <si>
    <t>FT0390NR</t>
  </si>
  <si>
    <t>Pyroglutamic acid</t>
  </si>
  <si>
    <t>焦谷氨酸</t>
  </si>
  <si>
    <t>HMDB0000267</t>
  </si>
  <si>
    <t>C01879</t>
  </si>
  <si>
    <t>hsa00480</t>
  </si>
  <si>
    <t>Glutathione metabolism</t>
  </si>
  <si>
    <t>98-79-3</t>
  </si>
  <si>
    <t>OC(=O)[C@@H]1CCC(=O)N1</t>
  </si>
  <si>
    <t>ODHCTXKNWHHXJC-VKHMYHEASA-N</t>
  </si>
  <si>
    <t>69.5574, 70.9411, 72.6800, 82.0296, 84.0451, 85.0292, 128.0126, 128.0350, 128.9012, 129.0386</t>
  </si>
  <si>
    <t>C5H7NO3</t>
  </si>
  <si>
    <t>FT2564NR</t>
  </si>
  <si>
    <t>ETrE(5Z, 8Z, 11Z)</t>
  </si>
  <si>
    <t>米德酸</t>
  </si>
  <si>
    <t>HMDB0010378</t>
  </si>
  <si>
    <t>LMFA01030381</t>
  </si>
  <si>
    <t>20590-32-3</t>
  </si>
  <si>
    <t>C(CCC/C=C\C/C=C\C/C=C\CCCCCCCC)(=O)O</t>
  </si>
  <si>
    <t>UNSRRHDPHVZAHH-YOILPLPUSA-N</t>
  </si>
  <si>
    <t>93.9577, 93.9638, 193.3278, 204.2743, 205.3799, 205.4007, 261.2576, 305.2480, 305.3301, 306.2517</t>
  </si>
  <si>
    <t>C20H34O2</t>
  </si>
  <si>
    <t>FT3425NR</t>
  </si>
  <si>
    <t>Murideoxycholic acid</t>
  </si>
  <si>
    <t>鼠胆酸</t>
  </si>
  <si>
    <t>HMDB0000811</t>
  </si>
  <si>
    <t>LMST04010025</t>
  </si>
  <si>
    <t>C15515</t>
  </si>
  <si>
    <t>668-49-5</t>
  </si>
  <si>
    <t>C1[C@]2(C)[C@@]3([H])CC[C@]4(C)[C@@]([H])([C@]([H])(C)CCC(O)=O)CC[C@@]4([H])[C@]3([H])C[C@@H](O)[C@]2([H])C[C@H](O)C1</t>
  </si>
  <si>
    <t>DGABKXLVXPYZII-PLYQRAMGSA-N</t>
  </si>
  <si>
    <t>73.6100, 73.9005, 182.7728, 205.3955, 206.0823, 215.4667, 391.1653, 391.2847, 391.4395, 392.2871</t>
  </si>
  <si>
    <t>FT2312NR</t>
  </si>
  <si>
    <t>Isostearic acid</t>
  </si>
  <si>
    <t>异硬脂酸</t>
  </si>
  <si>
    <t>HMDB0031066</t>
  </si>
  <si>
    <t>LMFA01020014</t>
  </si>
  <si>
    <t>C20356</t>
  </si>
  <si>
    <t>2724-58-5</t>
  </si>
  <si>
    <t>C(CCCCCC(C)C)CCCCCCCCC(=O)O</t>
  </si>
  <si>
    <t>XDOFQFKRPWOURC-UHFFFAOYSA-N</t>
  </si>
  <si>
    <t>205.4000, 235.2543, 282.0521, 283.1083, 283.1908, 283.2637, 283.3200, 283.3377, 284.2675, 284.4800</t>
  </si>
  <si>
    <t>C18H36O2</t>
  </si>
  <si>
    <t>FT3401PR</t>
  </si>
  <si>
    <t>(-)-12-hydroxy-9,10-dihydrojasmonic acid</t>
  </si>
  <si>
    <t>(-)-12-羟基-9,10-二氢茉莉酸</t>
  </si>
  <si>
    <t>LMFA02020015</t>
  </si>
  <si>
    <t>C1(=O)[C@H](CCCCCO)[C@@H](CC(=O)O)CC1</t>
  </si>
  <si>
    <t>SXFKEAKOXUOQGN-NXEZZACHSA-N</t>
  </si>
  <si>
    <t>Lineolic acids and derivatives</t>
  </si>
  <si>
    <t>亚油酸及其衍生物</t>
  </si>
  <si>
    <t>147.3306, 155.1069, 179.1061, 184.8599, 189.3750, 197.1166, 211.1333, 246.1035, 246.1920, 246.2427</t>
  </si>
  <si>
    <t>C12H20O4</t>
  </si>
  <si>
    <t>FT2765PR</t>
  </si>
  <si>
    <t>H-D-Trp-OH</t>
  </si>
  <si>
    <t>D-色氨酸</t>
  </si>
  <si>
    <t>HMDB0013609</t>
  </si>
  <si>
    <t>C00525</t>
  </si>
  <si>
    <t>R-HSA-162582,R-HSA-372790,R-HSA-388396,R-HSA-418594,R-HSA-420499,R-HSA-500792,R-HSA-9709957,R-HSA-9717189,R-HSA-9717207</t>
  </si>
  <si>
    <t>Signal Transduction|Signaling by GPCR|GPCR downstream signalling|G alpha (i) signalling events|Class C/3 (Metabotropic glutamate/pheromone receptors)|GPCR ligand binding|Sensory Perception|Sensory perception of taste|Sensory perception of sweet, bitter, and umami (glutamate) taste</t>
  </si>
  <si>
    <t>153-94-6</t>
  </si>
  <si>
    <t>N[C@H](CC1=CNC2=C1C=CC=C2)C(O)=O</t>
  </si>
  <si>
    <t>QIVBCDIJIAJPQS-SECBINFHSA-N</t>
  </si>
  <si>
    <t>Indoles and derivatives</t>
  </si>
  <si>
    <t>Indolyl carboxylic acids and derivatives</t>
  </si>
  <si>
    <t>吲哚及其衍生物</t>
  </si>
  <si>
    <t>吲哚基羧酸及其衍生物</t>
  </si>
  <si>
    <t>160.0759, 170.0599, 187.9744, 188.0297, 188.0405, 188.0703, 188.1235, 188.1575, 189.0729, 205.0969</t>
  </si>
  <si>
    <t>C11H12N2O2</t>
  </si>
  <si>
    <t>FT1302PR</t>
  </si>
  <si>
    <t>Hypoxanthine</t>
  </si>
  <si>
    <t>次黄嘌呤</t>
  </si>
  <si>
    <t>HMDB0000157</t>
  </si>
  <si>
    <t>C00262</t>
  </si>
  <si>
    <t>R-HSA-110331,R-HSA-1430728,R-HSA-15869,R-HSA-1643685,R-HSA-382551,R-HSA-425397,R-HSA-425407,R-HSA-5668914,R-HSA-73884,R-HSA-73894,R-HSA-73927,R-HSA-73929,R-HSA-74217,R-HSA-74259,R-HSA-83936,R-HSA-8956319,R-HSA-8956321,R-HSA-9734207,R-HSA-9734281,R-HSA-9735804</t>
  </si>
  <si>
    <t>Cleavage of the damaged purine|Metabolism|Metabolism of nucleotides|Disease|Transport of small molecules|Transport of vitamins, nucleosides, and related molecules|SLC-mediated transmembrane transport|Diseases of metabolism|Base Excision Repair|DNA Repair|Depurination|Base-Excision Repair, AP Site Formation|Purine salvage|Purine catabolism|Transport of nucleosides and free purine and pyrimidine bases across the plasma membrane|Nucleotide catabolism|Nucleotide salvage|Nucleotide salvage defects|Defective HPRT1 disrupts guanine and hypoxanthine salvage|Diseases of nucleotide metabolism</t>
  </si>
  <si>
    <t>68-94-0</t>
  </si>
  <si>
    <t>OC1=NC=NC2=C1NC=N2</t>
  </si>
  <si>
    <t>FDGQSTZJBFJUBT-UHFFFAOYSA-N</t>
  </si>
  <si>
    <t>Imidazopyrimidines</t>
  </si>
  <si>
    <t>Purines and purine derivatives</t>
  </si>
  <si>
    <t>咪唑并嘧啶类</t>
  </si>
  <si>
    <t>嘌呤和嘌呤衍生物</t>
  </si>
  <si>
    <t>136.6416, 137.0204, 137.0262, 137.0456, 137.0649, 137.0696, 137.0782, 137.4515, 138.0302, 138.0498</t>
  </si>
  <si>
    <t>C5H4N4O</t>
  </si>
  <si>
    <t>FT1189NR</t>
  </si>
  <si>
    <t>2E-Decenedioic acid</t>
  </si>
  <si>
    <t>反-2-癸烯二酸</t>
  </si>
  <si>
    <t>HMDB00603</t>
  </si>
  <si>
    <t>LMFA01170032</t>
  </si>
  <si>
    <t>C(/C=C/CCCCCCC(=O)O)(=O)O</t>
  </si>
  <si>
    <t>XUNMWLWTZWWEIE-FNORWQNLSA-N</t>
  </si>
  <si>
    <t>119.0498, 137.0969, 155.0709, 155.1075, 156.1109, 181.0865, 199.0245, 199.0972, 199.1326, 199.1693</t>
  </si>
  <si>
    <t>C10H16O4</t>
  </si>
  <si>
    <t>FT2167NR</t>
  </si>
  <si>
    <t>Isoferulic acid 3-sulfate</t>
  </si>
  <si>
    <t>3-硫酸异阿魏酸</t>
  </si>
  <si>
    <t>HMDB0041748</t>
  </si>
  <si>
    <t>[H]\C(=C(\[H])C1=CC(OS(O)(=O)=O)=C(OC)C=C1)C(O)=O</t>
  </si>
  <si>
    <t>DCMKMHVTKFJMAU-HWKANZROSA-N</t>
  </si>
  <si>
    <t>Cinnamic acids and derivatives</t>
  </si>
  <si>
    <t>Hydroxycinnamic acids and derivatives</t>
  </si>
  <si>
    <t>肉桂酸及其衍生物</t>
  </si>
  <si>
    <t>羟基肉桂酸及其衍生物</t>
  </si>
  <si>
    <t>79.9572, 96.9599, 134.0371, 149.0605, 178.0265, 193.0297, 193.0500, 193.0703, 229.0174, 273.0069</t>
  </si>
  <si>
    <t>C10H10O7S</t>
  </si>
  <si>
    <t>FT1247NR</t>
  </si>
  <si>
    <t>Indole-3-lactic acid</t>
  </si>
  <si>
    <t>3-吲哚-乳酸</t>
  </si>
  <si>
    <t>HMDB0000671</t>
  </si>
  <si>
    <t>C02043</t>
  </si>
  <si>
    <t>1821-52-9</t>
  </si>
  <si>
    <t>C1=CC=C2C(=C1)C(=CN2)CC(C(=O)O)O</t>
  </si>
  <si>
    <t>XGILAAMKEQUXLS-UHFFFAOYSA-N</t>
  </si>
  <si>
    <t>186.0556, 187.0591, 202.0510, 204.0077, 204.0166, 204.0661, 204.1020, 204.1225, 205.0693, 205.3942</t>
  </si>
  <si>
    <t>C11H11NO3</t>
  </si>
  <si>
    <t>FT1269NR</t>
  </si>
  <si>
    <t>4-methyl-5-carboxyethyl-2-furanacrylic acid</t>
  </si>
  <si>
    <t>4-甲基-5-羧乙基-2-呋喃丙烯酸</t>
  </si>
  <si>
    <t>LMFA01150052</t>
  </si>
  <si>
    <t>C(/C(O)=O)=C\C1=CC(C)=C(CCC(=O)O)O1</t>
  </si>
  <si>
    <t>XWVYTGBODUKBFE-DUXPYHPUSA-N</t>
  </si>
  <si>
    <t>161.0604, 162.0638, 163.0508, 163.7183, 164.1458, 187.0394, 196.3948, 204.9566, 205.0500, 206.0538</t>
  </si>
  <si>
    <t>M-H2O-H</t>
  </si>
  <si>
    <t>C11H12O5</t>
  </si>
  <si>
    <t>FT2449PR</t>
  </si>
  <si>
    <t>3-Indolepropionic acid</t>
  </si>
  <si>
    <t>吲哚-3-丙酸</t>
  </si>
  <si>
    <t>HMDB0002302</t>
  </si>
  <si>
    <t>R-HSA-1430728,R-HSA-71240,R-HSA-71291</t>
  </si>
  <si>
    <t>Metabolism|Tryptophan catabolism|Metabolism of amino acids and derivatives</t>
  </si>
  <si>
    <t>830-96-6</t>
  </si>
  <si>
    <t>OC(=O)CCC1=CNC2=C1C=CC=C2</t>
  </si>
  <si>
    <t>GOLXRNDWAUTYKT-UHFFFAOYSA-N</t>
  </si>
  <si>
    <t>148.9768, 149.0231, 149.0449, 166.9428, 166.9871, 167.0544, 172.0754, 172.0883, 190.0859, 207.3984</t>
  </si>
  <si>
    <t>C11H11NO2</t>
  </si>
  <si>
    <t>FT3183NR</t>
  </si>
  <si>
    <t>7a,17-dimethyl-5b-Androstane-3a,17b-diol</t>
  </si>
  <si>
    <t>7a,17-二甲基-5b-雄甾烷-3a,17b-二醇</t>
  </si>
  <si>
    <t>HMDB0006013</t>
  </si>
  <si>
    <t>13611-10-4</t>
  </si>
  <si>
    <t>[H][C@@]12CC[C@](C)(O)[C@@]1(C)CC[C@@]1([H])[C@@]2([H])[C@H](C)C[C@]2([H])C[C@H](O)CC[C@]12C</t>
  </si>
  <si>
    <t>ZWQUPIDNCOVROC-HEEAJRSSSA-N</t>
  </si>
  <si>
    <t>Androstane steroids</t>
  </si>
  <si>
    <t>雄甾烷类固醇</t>
  </si>
  <si>
    <t>168.6234, 187.6253, 205.3971, 249.2223, 303.2694, 321.2794, 331.0430, 347.2589, 365.2691, 366.2717</t>
  </si>
  <si>
    <t>C21H36O2</t>
  </si>
  <si>
    <t>FT2616NR</t>
  </si>
  <si>
    <t>Octadeca-2,4-dienedioic acid</t>
  </si>
  <si>
    <t>十八-2,4-二烯二酸</t>
  </si>
  <si>
    <t>HMDB0242188</t>
  </si>
  <si>
    <t>OC(=O)CCCCCCCCCCCCC=CC=CC(O)=O</t>
  </si>
  <si>
    <t>ZKQNWTGXRAIVGG-UHFFFAOYSA-N</t>
  </si>
  <si>
    <t>265.2169, 273.1856, 291.1961, 291.2237, 302.6852, 309.2066, 309.2736, 309.2926, 310.2106, 315.0533</t>
  </si>
  <si>
    <t>C18H30O4</t>
  </si>
  <si>
    <t>FT1491PR</t>
  </si>
  <si>
    <t>4-Trimethylammoniobutanoic acid</t>
  </si>
  <si>
    <t>4-三甲基氨基丁酸</t>
  </si>
  <si>
    <t>HMDB0001161</t>
  </si>
  <si>
    <t>C01181</t>
  </si>
  <si>
    <t>hsa00310</t>
  </si>
  <si>
    <t>Lysine degradation</t>
  </si>
  <si>
    <t>R-HSA-1430728,R-HSA-71262,R-HSA-71291</t>
  </si>
  <si>
    <t>Metabolism|Carnitine synthesis|Metabolism of amino acids and derivatives</t>
  </si>
  <si>
    <t>407-64-7</t>
  </si>
  <si>
    <t>C[N+](C)(C)CCCC([O-])=O</t>
  </si>
  <si>
    <t>JHPNVNIEXXLNTR-UHFFFAOYSA-N</t>
  </si>
  <si>
    <t>101.0169, 101.0712, 102.0555, 130.0497, 130.0859, 146.0816, 146.1174, 146.1529, 147.0770, 147.1208</t>
  </si>
  <si>
    <t>C7H15NO2</t>
  </si>
  <si>
    <t>FT6943PR</t>
  </si>
  <si>
    <t>Biliverdine</t>
  </si>
  <si>
    <t>胆绿定</t>
  </si>
  <si>
    <t>114-25-0</t>
  </si>
  <si>
    <t>OC(CCC1=C(C)C(/C=C(N2)/C(C=C)=C(C)C2=O)=N/C1=C\C3=C(C(C)=C(/C=C(N4)/C(C)=C(C=C)C4=O)N3)CCC(O)=O)=O</t>
  </si>
  <si>
    <t>GWZYPXHJIZCRAJ-SRVCBVSDSA-N</t>
  </si>
  <si>
    <t>Tetrapyrroles and derivatives</t>
  </si>
  <si>
    <t>Bilirubins</t>
  </si>
  <si>
    <t>四吡咯及其衍生物</t>
  </si>
  <si>
    <t>胆红素</t>
  </si>
  <si>
    <t>465.6373, 465.7113, 515.2416, 565.2460, 583.2541, 583.4708, 584.2577, 727.1699, 1106.9297, 1200.3016</t>
  </si>
  <si>
    <t>C33H34N4O6</t>
  </si>
  <si>
    <t>FT0691NR</t>
  </si>
  <si>
    <t>Pyrocatechuic acid</t>
  </si>
  <si>
    <t>2-焦儿茶酸</t>
  </si>
  <si>
    <t>HMDB0000397</t>
  </si>
  <si>
    <t>C00196</t>
  </si>
  <si>
    <t>303-38-8</t>
  </si>
  <si>
    <t>OC(=O)C1=C(O)C(O)=CC=C1</t>
  </si>
  <si>
    <t>GLDQAMYCGOIJDV-UHFFFAOYSA-N</t>
  </si>
  <si>
    <t>Benzoic acids and derivatives</t>
  </si>
  <si>
    <t>苯甲酸及其衍生物</t>
  </si>
  <si>
    <t>110.0326, 116.9877, 135.0083, 135.0178, 136.0113, 136.7990, 153.0188, 153.0410, 153.0480, 154.0226</t>
  </si>
  <si>
    <t>C7H6O4</t>
  </si>
  <si>
    <t>FT3097NR</t>
  </si>
  <si>
    <t>Propofol glucuronide</t>
  </si>
  <si>
    <t>2,6 -二异丙基Β- D -吡喃葡萄糖酸</t>
  </si>
  <si>
    <t>HMDB0060933</t>
  </si>
  <si>
    <t>114991-26-3</t>
  </si>
  <si>
    <t>CC(C)C1=CC=CC(C(C)C)=C1O[C@@H]1O[C@@H]([C@@H](O)[C@H](O)[C@H]1O)C(O)=O</t>
  </si>
  <si>
    <t>JZSJIASBMOIIKI-RUKPJNHUSA-N</t>
  </si>
  <si>
    <t>139.0031, 157.0134, 175.0244, 177.1280, 178.1314, 201.6539, 205.3931, 335.1509, 353.1600, 354.1633</t>
  </si>
  <si>
    <t>C18H26O7</t>
  </si>
  <si>
    <t>FT3716PR</t>
  </si>
  <si>
    <t>Retinol</t>
  </si>
  <si>
    <t>维生素A</t>
  </si>
  <si>
    <t>HMDB0000305</t>
  </si>
  <si>
    <t>LMPR01090001</t>
  </si>
  <si>
    <t>C00473</t>
  </si>
  <si>
    <t>hsa00830,hsa04977</t>
  </si>
  <si>
    <t>Retinol metabolism|Vitamin digestion and absorption</t>
  </si>
  <si>
    <t>R-HSA-1430728,R-HSA-162582,R-HSA-163560,R-HSA-1643685,R-HSA-192456,R-HSA-196854,R-HSA-2187335,R-HSA-2187338,R-HSA-2453864,R-HSA-2453902,R-HSA-2474795,R-HSA-5362517,R-HSA-5365859,R-HSA-556833,R-HSA-6806667,R-HSA-6809583,R-HSA-8848584,R-HSA-8935690,R-HSA-8963743,R-HSA-8979227,R-HSA-9006931,R-HSA-9640463,R-HSA-9675143,R-HSA-9709957,R-HSA-975634</t>
  </si>
  <si>
    <t>Metabolism|Signal Transduction|Triglyceride catabolism|Disease|Digestion of dietary lipid|Metabolism of vitamins and cofactors|The retinoid cycle in cones (daylight vision)|Visual phototransduction|Retinoid cycle disease events|The canonical retinoid cycle in rods (twilight vision)|Diseases associated with visual transduction|Signaling by Retinoic Acid|RA biosynthesis pathway|Metabolism of lipids|Metabolism of fat-soluble vitamins|Retinoid metabolism disease events|Wax and plasmalogen biosynthesis|Digestion|Digestion and absorption|Triglyceride metabolism|Signaling by Nuclear Receptors|Wax biosynthesis|Diseases of the neuronal system|Sensory Perception|Retinoid metabolism and transport</t>
  </si>
  <si>
    <t>68-26-8</t>
  </si>
  <si>
    <t>C1[C@@](C)(C)C(/C=C/C(/C)=C/C=C/C(/C)=C/CO)=C(C)CC1</t>
  </si>
  <si>
    <t>FPIPGXGPPPQFEQ-OVSJKPMPSA-N</t>
  </si>
  <si>
    <t>Retinoids</t>
  </si>
  <si>
    <t>类维生素A</t>
  </si>
  <si>
    <t>189.1637, 199.1480, 201.1638, 205.3987, 213.1636, 214.1709, 227.1793, 269.1365, 269.2260, 269.2643</t>
  </si>
  <si>
    <t>M+H-H2O</t>
  </si>
  <si>
    <t>C20H30O</t>
  </si>
  <si>
    <t>FT3400PR</t>
  </si>
  <si>
    <t>Isovalerylcarnitine</t>
  </si>
  <si>
    <t>异戊酰-L -肉碱</t>
  </si>
  <si>
    <t>LMFA07070077</t>
  </si>
  <si>
    <t>31023-24-2</t>
  </si>
  <si>
    <t>[N+](C)(C)(C)C[C@H](OC(=O)CC(C)C)CC(=O)[O-]</t>
  </si>
  <si>
    <t>IGQBPDJNUXPEMT-SNVBAGLBSA-N</t>
  </si>
  <si>
    <t>187.0961, 188.0702, 190.7125, 228.1207, 229.0976, 246.0942, 246.1263, 246.1693, 246.2290, 247.1717</t>
  </si>
  <si>
    <t>C12H23NO4</t>
  </si>
  <si>
    <t>FT4017PR</t>
  </si>
  <si>
    <t>5-Octenoylcarnitine</t>
  </si>
  <si>
    <t>5-辛烯酰肉碱</t>
  </si>
  <si>
    <t>HMDB0241702</t>
  </si>
  <si>
    <t>CCC=CCCCC(=O)OC(CC([O-])=O)C[N+](C)(C)C</t>
  </si>
  <si>
    <t>RERZFFUJVGADAC-UHFFFAOYSA-N</t>
  </si>
  <si>
    <t>227.1072, 227.1274, 284.9878, 286.1269, 286.1410, 286.2007, 286.2605, 286.2767, 286.2966, 287.2045</t>
  </si>
  <si>
    <t>C15H27NO4</t>
  </si>
  <si>
    <t>FT6627PR</t>
  </si>
  <si>
    <t>PC(19:1/0:0)</t>
  </si>
  <si>
    <t>磷脂酰胆碱(19:1/0:0)</t>
  </si>
  <si>
    <t>LMGP01050130</t>
  </si>
  <si>
    <t>[C@](COP(=O)([O-])OCC[N+](C)(C)C)([H])(O)COC(CCCCCCC/C=C\CCCCCCCCC)=O</t>
  </si>
  <si>
    <t>VRVDEVSSPPTZQJ-JKCKFMQZSA-N</t>
  </si>
  <si>
    <t>104.1072, 113.9215, 124.9998, 184.0731, 299.0599, 339.1443, 399.8714, 518.3547, 536.1711, 536.3705</t>
  </si>
  <si>
    <t>C27H54NO7P</t>
  </si>
  <si>
    <t>FT6444PR</t>
  </si>
  <si>
    <t>LysoPC(0:0/18:2)</t>
  </si>
  <si>
    <t>溶血磷脂酰胆碱(0:0/18:2)</t>
  </si>
  <si>
    <t>HMDB0061700</t>
  </si>
  <si>
    <t>27304-12-7</t>
  </si>
  <si>
    <t>CCCCC\C=C/C\C=C/CCCCCCCC(=O)O[C@H](CO)COP([O-])(=O)OCC[N+](C)(C)C</t>
  </si>
  <si>
    <t>LSUXCWJOIAWGOU-FTJOPAKQSA-N</t>
  </si>
  <si>
    <t>184.7007, 185.0755, 205.4096, 258.1097, 502.3279, 517.3726, 520.0992, 520.3392, 520.5256, 521.3419</t>
  </si>
  <si>
    <t>FT3202NR</t>
  </si>
  <si>
    <t>Testosterone sulfate</t>
  </si>
  <si>
    <t>17-硫酸睾酮</t>
  </si>
  <si>
    <t>HMDB0002833</t>
  </si>
  <si>
    <t>LMST05020032</t>
  </si>
  <si>
    <t>651-45-6</t>
  </si>
  <si>
    <t>[C@]12(CCC3=CC(=O)CC[C@]3(C)[C@@]1([H])CC[C@]1(C)[C@@H](OS(O)(=O)=O)CC[C@@]21[H])[H]</t>
  </si>
  <si>
    <t>WAQBISPOEAOCOG-DYKIIFRCSA-N</t>
  </si>
  <si>
    <t>Sulfated steroids</t>
  </si>
  <si>
    <t>硫酸化类固醇</t>
  </si>
  <si>
    <t>330.4863, 352.2686, 365.3750, 367.0486, 367.1576, 367.2413, 367.2668, 367.2937, 368.1603, 368.9514</t>
  </si>
  <si>
    <t>C19H28O5S</t>
  </si>
  <si>
    <t>FT0700NR</t>
  </si>
  <si>
    <t>L-Histidine</t>
  </si>
  <si>
    <t>L-组氨酸</t>
  </si>
  <si>
    <t>HMDB0000177</t>
  </si>
  <si>
    <t>C00135</t>
  </si>
  <si>
    <t>hsa00340,hsa00410,hsa00470,hsa00970,hsa02010</t>
  </si>
  <si>
    <t>Histidine metabolism|beta-Alanine metabolism|D-Amino acid metabolism|Aminoacyl-tRNA biosynthesis|ABC transporters</t>
  </si>
  <si>
    <t>71-00-1</t>
  </si>
  <si>
    <t>N[C@@H](CC1=CN=CN1)C(O)=O</t>
  </si>
  <si>
    <t>HNDVDQJCIGZPNO-YFKPBYRVSA-N</t>
  </si>
  <si>
    <t>151.0384, 154.0142, 154.0252, 154.0618, 154.0842, 154.0913, 154.8984, 154.9285, 155.0659, 174.4695</t>
  </si>
  <si>
    <t>C6H9N3O2</t>
  </si>
  <si>
    <t>FT2005NR</t>
  </si>
  <si>
    <t>gamma-Glutamylaspartic acid</t>
  </si>
  <si>
    <t>γ-谷氨酰天冬氨酸</t>
  </si>
  <si>
    <t>HMDB0030419</t>
  </si>
  <si>
    <t>16804-55-0</t>
  </si>
  <si>
    <t>N[C@@H](CCC(=O)N[C@@H](CC(O)=O)C(O)=O)C(O)=O</t>
  </si>
  <si>
    <t>JTJZAUVWVBUZAU-WHFBIAKZSA-N</t>
  </si>
  <si>
    <t>215.0669, 217.0822, 217.1187, 218.0775, 225.0507, 233.0776, 243.0617, 261.0724, 261.1064, 262.0685</t>
  </si>
  <si>
    <t>C9H14N2O7</t>
  </si>
  <si>
    <t>FT1181NR</t>
  </si>
  <si>
    <t>4-Vinylphenol sulfate</t>
  </si>
  <si>
    <t>4-乙烯基苯酚硫酸盐</t>
  </si>
  <si>
    <t>HMDB0062775</t>
  </si>
  <si>
    <t>131351-90-1</t>
  </si>
  <si>
    <t>OS(=O)(=O)OC1=CC=C(C=C)C=C1</t>
  </si>
  <si>
    <t>IETVQHUKTKKBFF-UHFFFAOYSA-N</t>
  </si>
  <si>
    <t>151.5851, 155.1076, 198.8413, 198.9622, 199.0066, 199.0639, 199.0973, 199.1343, 200.0098, 205.3964</t>
  </si>
  <si>
    <t>C8H8O4S</t>
  </si>
  <si>
    <t>FT3244PR</t>
  </si>
  <si>
    <t>gamma-Glutamylserine</t>
  </si>
  <si>
    <t>N5-((S)-1-羧基-2-羟乙基)-L-谷氨酰胺</t>
  </si>
  <si>
    <t>HMDB0029158</t>
  </si>
  <si>
    <t>5875-35-4</t>
  </si>
  <si>
    <t>N[C@@H](CCC(=O)N[C@@H](CO)C(O)=O)C(O)=O</t>
  </si>
  <si>
    <t>SQBNIUOYNOKDTI-WHFBIAKZSA-N</t>
  </si>
  <si>
    <t>179.1065, 189.0361, 189.0868, 199.0711, 217.0817, 234.1943, 235.0233, 235.0337, 235.0922, 235.1684</t>
  </si>
  <si>
    <t>C8H14N2O6</t>
  </si>
  <si>
    <t>FT2434PR</t>
  </si>
  <si>
    <t>Glycylhydroxyproline</t>
  </si>
  <si>
    <t>甘氨酰羟脯氨酸</t>
  </si>
  <si>
    <t>HMDB0011173</t>
  </si>
  <si>
    <t>24587-32-4</t>
  </si>
  <si>
    <t>NCC(=O)N1C[C@H](O)C[C@H]1C(O)=O</t>
  </si>
  <si>
    <t>ZJQXGJBINIMBOY-UHNVWZDZSA-N</t>
  </si>
  <si>
    <t>143.0947, 145.0970, 146.0449, 160.0601, 168.0229, 171.0757, 189.0700, 189.0868, 189.1274, 189.1636</t>
  </si>
  <si>
    <t>C7H12N2O4</t>
  </si>
  <si>
    <t>FT2842PR</t>
  </si>
  <si>
    <t>Isoamyl salicylate</t>
  </si>
  <si>
    <t>水杨酸异戊酯</t>
  </si>
  <si>
    <t>HMDB0040225</t>
  </si>
  <si>
    <t>87-20-7</t>
  </si>
  <si>
    <t>CC(C)CCOC(=O)C1=CC=CC=C1O</t>
  </si>
  <si>
    <t>PMGCQNGBLMMXEW-UHFFFAOYSA-N</t>
  </si>
  <si>
    <t>191.1061, 192.1247, 208.3495, 209.0686, 209.1168, 209.1533, 209.1789, 209.1885, 209.8875, 210.1196</t>
  </si>
  <si>
    <t>C12H16O3</t>
  </si>
  <si>
    <t>FT2540PR</t>
  </si>
  <si>
    <t>Caffeine</t>
  </si>
  <si>
    <t>咖啡因</t>
  </si>
  <si>
    <t>HMDB0001847</t>
  </si>
  <si>
    <t>C07481</t>
  </si>
  <si>
    <t>hsa00232</t>
  </si>
  <si>
    <t>Caffeine metabolism</t>
  </si>
  <si>
    <t>R-HSA-1430728,R-HSA-162582,R-HSA-211859,R-HSA-211897,R-HSA-211945,R-HSA-211957,R-HSA-211981,R-HSA-372790,R-HSA-388396,R-HSA-418594,R-HSA-420499,R-HSA-500792,R-HSA-9709957,R-HSA-9717189,R-HSA-9717207</t>
  </si>
  <si>
    <t>Metabolism|Signal Transduction|Biological oxidations|Cytochrome P450 - arranged by substrate type|Phase I - Functionalization of compounds|Aromatic amines can be N-hydroxylated or N-dealkylated by CYP1A2|Xenobiotics|Signaling by GPCR|GPCR downstream signalling|G alpha (i) signalling events|Class C/3 (Metabotropic glutamate/pheromone receptors)|GPCR ligand binding|Sensory Perception|Sensory perception of taste|Sensory perception of sweet, bitter, and umami (glutamate) taste</t>
  </si>
  <si>
    <t>58-08-2</t>
  </si>
  <si>
    <t>CN1C=NC2=C1C(=O)N(C)C(=O)N2C</t>
  </si>
  <si>
    <t>RYYVLZVUVIJVGH-UHFFFAOYSA-N</t>
  </si>
  <si>
    <t>138.0399, 138.0660, 147.9158, 159.0672, 160.2359, 163.0385, 173.1089, 195.0433, 195.0873, 195.1439</t>
  </si>
  <si>
    <t>C8H10N4O2</t>
  </si>
  <si>
    <t>FT3561PR</t>
  </si>
  <si>
    <t>sn-Glycero-3-phosphocholine</t>
  </si>
  <si>
    <t>HMDB0000086</t>
  </si>
  <si>
    <t>C00670</t>
  </si>
  <si>
    <t>hsa00564,hsa00565,hsa05231</t>
  </si>
  <si>
    <t>Glycerophospholipid metabolism|Ether lipid metabolism|Choline metabolism in cancer</t>
  </si>
  <si>
    <t>R-HSA-1430728,R-HSA-1483115,R-HSA-1483206,R-HSA-1483255,R-HSA-1483257,R-HSA-556833,R-HSA-6814848</t>
  </si>
  <si>
    <t>Metabolism|Hydrolysis of LPC|Glycerophospholipid biosynthesis|PI Metabolism|Phospholipid metabolism|Metabolism of lipids|Glycerophospholipid catabolism</t>
  </si>
  <si>
    <t>28319-77-9</t>
  </si>
  <si>
    <t>C[N+](C)(C)CCOP([O-])(=O)OC[C@H](O)CO</t>
  </si>
  <si>
    <t>SUHOQUVVVLNYQR-MRVPVSSYSA-N</t>
  </si>
  <si>
    <t>199.9906, 212.9992, 240.0669, 257.9780, 258.0484, 258.0773, 258.1091, 258.1554, 258.9778, 259.0709</t>
  </si>
  <si>
    <t>C8H20NO6P</t>
  </si>
  <si>
    <t>FT2965PR</t>
  </si>
  <si>
    <t>(S)-alpha-Amino-4-carboxy-3-furanpropanoic acid</t>
  </si>
  <si>
    <t>(S)-α-氨基-4-羧基-3-呋喃丙酸</t>
  </si>
  <si>
    <t>HMDB0029414</t>
  </si>
  <si>
    <t>54836-90-7</t>
  </si>
  <si>
    <t>NC(CC1=COC=C1C(O)=O)C(O)=O</t>
  </si>
  <si>
    <t>XZTCUENJMGJQGJ-UHFFFAOYSA-N</t>
  </si>
  <si>
    <t>189.1418, 189.7429, 199.0711, 205.3968, 216.2807, 217.0274, 217.0447, 217.0817, 217.1045, 217.1242</t>
  </si>
  <si>
    <t>C8H9NO5</t>
  </si>
  <si>
    <t>FT0272NR</t>
  </si>
  <si>
    <t>Maleic Acid</t>
  </si>
  <si>
    <t>马来酸</t>
  </si>
  <si>
    <t>HMDB0000176</t>
  </si>
  <si>
    <t>C01384</t>
  </si>
  <si>
    <t>hsa00350,hsa00650,hsa00760</t>
  </si>
  <si>
    <t>Tyrosine metabolism|Butanoate metabolism|Nicotinate and nicotinamide metabolism</t>
  </si>
  <si>
    <t>110-16-7</t>
  </si>
  <si>
    <t>OC(=O)\C=C/C(O)=O</t>
  </si>
  <si>
    <t>VZCYOOQTPOCHFL-UPHRSURJSA-N</t>
  </si>
  <si>
    <t>Dicarboxylic acids and derivatives</t>
  </si>
  <si>
    <t>二元酸及其衍生物</t>
  </si>
  <si>
    <t>71.0503, 72.0170, 73.9677, 98.3589, 102.0998, 114.9340, 115.0033, 115.0204, 115.9206, 116.0714</t>
  </si>
  <si>
    <t>C4H4O4</t>
  </si>
  <si>
    <t>FT2302PR</t>
  </si>
  <si>
    <t>L-Tyrosine</t>
  </si>
  <si>
    <t>L-酪氨酸</t>
  </si>
  <si>
    <t>HMDB0000158</t>
  </si>
  <si>
    <t>C00082</t>
  </si>
  <si>
    <t>hsa00130,hsa00350,hsa00360,hsa00400,hsa00730,hsa00970,hsa04728,hsa04916,hsa04917,hsa05012,hsa05030,hsa05031,hsa05034</t>
  </si>
  <si>
    <t>Ubiquinone and other terpenoid-quinone biosynthesis|Tyrosine metabolism|Phenylalanine metabolism|Phenylalanine, tyrosine and tryptophan biosynthesis|Thiamine metabolism|Aminoacyl-tRNA biosynthesis|Dopaminergic synapse|Melanogenesis|Prolactin signaling pathway|Parkinson disease|Cocaine addiction|Amphetamine addiction|Alcoholism</t>
  </si>
  <si>
    <t>60-18-4</t>
  </si>
  <si>
    <t>N[C@@H](CC1=CC=C(O)C=C1)C(O)=O</t>
  </si>
  <si>
    <t>OUYCCCASQSFEME-QMMMGPOBSA-N</t>
  </si>
  <si>
    <t>165.0133, 165.0545, 165.0868, 166.0576, 182.0090, 182.0630, 182.0807, 182.1192, 182.1904, 183.0808</t>
  </si>
  <si>
    <t>C9H11NO3</t>
  </si>
  <si>
    <t>FT3591PR</t>
  </si>
  <si>
    <t>L-Hexanoylcarnitine</t>
  </si>
  <si>
    <t>己酰基-L-肉碱</t>
  </si>
  <si>
    <t>HMDB0000756</t>
  </si>
  <si>
    <t>LMFA07070001</t>
  </si>
  <si>
    <t>22671-29-0</t>
  </si>
  <si>
    <t>O=C(O[C@](CC([O-])=O)(C[N+](C)(C)C)[H])CCCCC</t>
  </si>
  <si>
    <t>VVPRQWTYSNDTEA-LLVKDONJSA-N</t>
  </si>
  <si>
    <t>237.9075, 259.9772, 260.1197, 260.1319, 260.1851, 260.2478, 260.2666, 261.1307, 261.1878, 282.4251</t>
  </si>
  <si>
    <t>C13H25NO4</t>
  </si>
  <si>
    <t>FT3558NR</t>
  </si>
  <si>
    <t>Allocholic acid</t>
  </si>
  <si>
    <t>别胆酸</t>
  </si>
  <si>
    <t>HMDB0000505</t>
  </si>
  <si>
    <t>LMST04010092</t>
  </si>
  <si>
    <t>C17737</t>
  </si>
  <si>
    <t>2464-18-8</t>
  </si>
  <si>
    <t>C1[C@]2(C)[C@@]3([H])C[C@H](O)[C@]4(C)[C@@]([H])([C@]([H])(C)CCC(O)=O)CC[C@@]4([H])[C@]3([H])[C@H](O)C[C@@]2([H])C[C@H](O)C1</t>
  </si>
  <si>
    <t>BHQCQFFYRZLCQQ-PGHAKIONSA-N</t>
  </si>
  <si>
    <t>389.2686, 400.8224, 405.1950, 405.2539, 407.1126, 407.2794, 407.4092, 407.4377, 408.2826, 409.3775</t>
  </si>
  <si>
    <t>C24H40O5</t>
  </si>
  <si>
    <t>FT1566NR</t>
  </si>
  <si>
    <t>Methyl-4-hydroxybenzoate sulfate</t>
  </si>
  <si>
    <t>4-羟基苯甲酸甲酯硫酸盐</t>
  </si>
  <si>
    <t>HMDB0168668</t>
  </si>
  <si>
    <t>1679347-90-0</t>
  </si>
  <si>
    <t>COC(=O)C1=CC=C(OS(O)(=O)=O)C=C1</t>
  </si>
  <si>
    <t>IBEAHXYYSZWGED-UHFFFAOYSA-N</t>
  </si>
  <si>
    <t>136.0163, 151.0112, 151.0396, 151.0685, 152.0426, 186.0898, 197.5646, 230.9962, 231.9995, 232.0585</t>
  </si>
  <si>
    <t>C8H8O6S</t>
  </si>
  <si>
    <t>FT0950NR</t>
  </si>
  <si>
    <t>Hippuric acid</t>
  </si>
  <si>
    <t>马尿酸</t>
  </si>
  <si>
    <t>HMDB0000714</t>
  </si>
  <si>
    <t>C01586</t>
  </si>
  <si>
    <t>495-69-2</t>
  </si>
  <si>
    <t>OC(=O)CNC(=O)C1=CC=CC=C1</t>
  </si>
  <si>
    <t>QIAFMBKCNZACKA-UHFFFAOYSA-N</t>
  </si>
  <si>
    <t>104.5673, 132.0456, 134.0367, 134.0608, 134.9868, 135.0642, 160.0397, 178.0505, 179.0544, 195.1305</t>
  </si>
  <si>
    <t>C9H9NO3</t>
  </si>
  <si>
    <t>FT0814NR</t>
  </si>
  <si>
    <t>Xylan</t>
  </si>
  <si>
    <t>木聚糖</t>
  </si>
  <si>
    <t>HMDB0301774</t>
  </si>
  <si>
    <t>9014-63-5</t>
  </si>
  <si>
    <t>[H][C@]1(O)O[C@@]([H])(O)[C@]([H])(O)C([H])(O)[C@]1([H])O</t>
  </si>
  <si>
    <t>HEHIOFQJTRFOKM-ASQQECOQSA-N</t>
  </si>
  <si>
    <t>119.0352, 129.0189, 129.0298, 136.9320, 147.0297, 147.0429, 164.8356, 165.0401, 166.0136, 166.0497</t>
  </si>
  <si>
    <t>C5H10O6</t>
  </si>
  <si>
    <t>FT4429NR</t>
  </si>
  <si>
    <t>PC(17:2/0:0)</t>
  </si>
  <si>
    <t>磷脂酰胆碱(17:2/0:0)</t>
  </si>
  <si>
    <t>LMGP01050127</t>
  </si>
  <si>
    <t>[C@](COP(=O)([O-])OCC[N+](C)(C)C)([H])(O)COC(CCCCCCC/C=C\C/C=C\CCCC)=O</t>
  </si>
  <si>
    <t>GYPQKMKDLBCBMB-XTVBGRGASA-N</t>
  </si>
  <si>
    <t>504.0782, 504.1354, 504.1693, 504.3085, 504.4436, 504.4871, 504.5258, 505.3130, 505.3995, 507.1905</t>
  </si>
  <si>
    <t>C25H48NO7P</t>
  </si>
  <si>
    <t>FT6713PR</t>
  </si>
  <si>
    <t>PC(20:3/0:0)</t>
  </si>
  <si>
    <t>磷脂酰胆碱(20:3/0:0)</t>
  </si>
  <si>
    <t>HMDB0010394</t>
  </si>
  <si>
    <t>LMGP01050133</t>
  </si>
  <si>
    <t>1006703-11-2</t>
  </si>
  <si>
    <t>[C@](COP(=O)([O-])OCC[N+](C)(C)C)([H])(O)COC(CCCCCC/C=C\C/C=C\C/C=C\CCCCC)=O</t>
  </si>
  <si>
    <t>BBNHCUBQEQJHIG-FZZJNMCHSA-N</t>
  </si>
  <si>
    <t>302.6964, 302.7317, 363.2888, 469.2759, 528.3440, 546.0496, 546.1559, 546.3546, 546.6132, 547.3569</t>
  </si>
  <si>
    <t>C28H52NO7P</t>
  </si>
  <si>
    <t>FT1152NR</t>
  </si>
  <si>
    <t>5S,6S-epoxy-7-undecynoic acid</t>
  </si>
  <si>
    <t>5S,6S-环氧-7-十一碳酸</t>
  </si>
  <si>
    <t>LMFA01070039</t>
  </si>
  <si>
    <t>C([C@@H]1O[C@H]1C#CCCC)CCC(O)=O</t>
  </si>
  <si>
    <t>QHOHOFWVHHZVOP-UWVGGRQHSA-N</t>
  </si>
  <si>
    <t>140.7928, 148.9842, 149.0963, 151.0831, 151.1125, 152.1157, 162.3557, 195.0606, 195.1022, 196.1056</t>
  </si>
  <si>
    <t>C11H16O3</t>
  </si>
  <si>
    <t>FT0315NR</t>
  </si>
  <si>
    <t>2-Hydroxy-3-methylbutanoic acid</t>
  </si>
  <si>
    <t>2-羟基-3-甲基丁酸</t>
  </si>
  <si>
    <t>HMDB0000407</t>
  </si>
  <si>
    <t>LMFA01050478</t>
  </si>
  <si>
    <t>4026-18-0</t>
  </si>
  <si>
    <t>C(C(O)C(C)C)(O)=O</t>
  </si>
  <si>
    <t>NGEWQZIDQIYUNV-UHFFFAOYSA-N</t>
  </si>
  <si>
    <t>77.8538, 81.3395, 98.9975, 99.0452, 101.9801, 115.0399, 116.9285, 117.0555, 118.0588, 122.5799</t>
  </si>
  <si>
    <t>C5H10O3</t>
  </si>
  <si>
    <t>FT6213PR</t>
  </si>
  <si>
    <t>PC(0:0/16:0)</t>
  </si>
  <si>
    <t>磷脂酰胆碱(0:0/16:0)</t>
  </si>
  <si>
    <t>HMDB0240262</t>
  </si>
  <si>
    <t>LMGP01050074</t>
  </si>
  <si>
    <t>66757-27-5</t>
  </si>
  <si>
    <t>[C@](COP(=O)([O-])OCC[N+](C)(C)C)([H])(OC(CCCCCCCCCCCCCCC)=O)CO</t>
  </si>
  <si>
    <t>NEGQHKSYEYVFTD-HSZRJFAPSA-N</t>
  </si>
  <si>
    <t>184.7024, 185.0762, 251.8030, 289.5739, 302.6945, 313.2738, 478.3291, 496.3388, 496.5086, 497.3426</t>
  </si>
  <si>
    <t>C24H50NO7P</t>
  </si>
  <si>
    <t>FT5285NR</t>
  </si>
  <si>
    <t>PC(22:5/0:0)</t>
  </si>
  <si>
    <t>磷脂酰胆碱(22:5/0:0)</t>
  </si>
  <si>
    <t>HMDB0010403</t>
  </si>
  <si>
    <t>LMGP01050143</t>
  </si>
  <si>
    <t>C(OP(OCC[N+](C)(C)C)(=O)[O-])[C@]([H])(O)COC(=O)CCCCC/C=C\C/C=C\C/C=C\C/C=C\C/C=C\CC</t>
  </si>
  <si>
    <t>BIEOSECQPGGZMF-NAIWXXGBSA-N</t>
  </si>
  <si>
    <t>329.2150, 329.2480, 330.2484, 431.7316, 498.8657, 533.1103, 554.3242, 555.3325, 614.3460, 615.3538</t>
  </si>
  <si>
    <t>C30H52NO7P</t>
  </si>
  <si>
    <t>FT6103PR</t>
  </si>
  <si>
    <t>PE(18:0/0:0)</t>
  </si>
  <si>
    <t>磷脂酰乙醇胺(18:0/0:0)</t>
  </si>
  <si>
    <t>HMDB0011130</t>
  </si>
  <si>
    <t>LMGP02050001</t>
  </si>
  <si>
    <t>69747-55-3</t>
  </si>
  <si>
    <t>[C@](COP(=O)(O)OCCN)([H])(O)COC(CCCCCCCCCCCCCCCCC)=O</t>
  </si>
  <si>
    <t>BBYWOYAFBUOUFP-JOCHJYFZSA-N</t>
  </si>
  <si>
    <t>198.0527, 216.0626, 254.1685, 304.2732, 310.3097, 341.3043, 383.0669, 421.2699, 464.3129, 482.3230</t>
  </si>
  <si>
    <t>C23H48NO7P</t>
  </si>
  <si>
    <t>FT5637PR</t>
  </si>
  <si>
    <t>Oleoylcarnitine</t>
  </si>
  <si>
    <t>油酰左旋肉碱</t>
  </si>
  <si>
    <t>38677-66-6</t>
  </si>
  <si>
    <t>O=C([O-])CC(OC(=O)CCCCCCCC=CCCCCCCCC)C[N+](C)(C)C</t>
  </si>
  <si>
    <t>IPOLTUVFXFHAHI-WHIOSMTNSA-N</t>
  </si>
  <si>
    <t>367.2834, 424.1443, 426.1914, 426.2171, 426.3567, 426.4642, 426.4922, 426.5413, 427.3607, 428.5845</t>
  </si>
  <si>
    <t>C25H47NO4</t>
  </si>
  <si>
    <t>FT1456NR</t>
  </si>
  <si>
    <t>Acetaldehyde butyl phenethyl acetal</t>
  </si>
  <si>
    <t>乙醛缩丁醇苯乙醇</t>
  </si>
  <si>
    <t>HMDB0037820</t>
  </si>
  <si>
    <t>64577-91-9</t>
  </si>
  <si>
    <t>CCCCOC(C)OCCC1=CC=CC=C1</t>
  </si>
  <si>
    <t>JBEADRDKGADTFN-UHFFFAOYSA-N</t>
  </si>
  <si>
    <t>62.8052, 63.4459, 65.2029, 65.6900, 72.4460, 129.4719, 144.6473, 221.0898, 221.1542, 222.1576</t>
  </si>
  <si>
    <t>C14H22O2</t>
  </si>
  <si>
    <t>FT0692NR</t>
  </si>
  <si>
    <t>2,5-Dihydroxybenzoic acid</t>
  </si>
  <si>
    <t>龙胆酸</t>
  </si>
  <si>
    <t>HMDB0000152</t>
  </si>
  <si>
    <t>C00628</t>
  </si>
  <si>
    <t>hsa00350</t>
  </si>
  <si>
    <t>Tyrosine metabolism</t>
  </si>
  <si>
    <t>R-HSA-168249,R-HSA-168256,R-HSA-382551,R-HSA-6799990,R-HSA-6803157,R-HSA-917937</t>
  </si>
  <si>
    <t>Innate Immune System|Immune System|Transport of small molecules|Metal sequestration by antimicrobial proteins|Antimicrobial peptides|Iron uptake and transport</t>
  </si>
  <si>
    <t>490-79-9</t>
  </si>
  <si>
    <t>OC(=O)C1=C(O)C=CC(O)=C1</t>
  </si>
  <si>
    <t>WXTMDXOMEHJXQO-UHFFFAOYSA-N</t>
  </si>
  <si>
    <t>108.0216, 109.0293, 123.0094, 128.2021, 135.9772, 136.9882, 153.0187, 153.0305, 153.0402, 153.0928</t>
  </si>
  <si>
    <t>FT1415NR</t>
  </si>
  <si>
    <t>2-Methoxy-4-methylphenol sulfate</t>
  </si>
  <si>
    <t>2-甲氧基-4-甲基苯酚硫酸盐</t>
  </si>
  <si>
    <t>HMDB0304925</t>
  </si>
  <si>
    <t>COC1=C(OS(O)(=O)=O)C=CC(C)=C1</t>
  </si>
  <si>
    <t>LILXPJXZNJTPQZ-UHFFFAOYSA-N</t>
  </si>
  <si>
    <t>79.9572, 80.9643, 108.9424, 115.3308, 122.0370, 137.0604, 162.5895, 205.3924, 217.0170, 218.0199</t>
  </si>
  <si>
    <t>C8H10O5S</t>
  </si>
  <si>
    <t>FT6102PR</t>
  </si>
  <si>
    <t>PC(15:0/0:0)</t>
  </si>
  <si>
    <t>磷脂酰胆碱(15:0/0:0)</t>
  </si>
  <si>
    <t>HMDB0010381</t>
  </si>
  <si>
    <t>LMGP01050016</t>
  </si>
  <si>
    <t>[C@](COP(=O)([O-])OCC[N+](C)(C)C)([H])(O)COC(CCCCCCCCCCCCCC)=O</t>
  </si>
  <si>
    <t>RJZVWDTYEWCUAR-JOCHJYFZSA-N</t>
  </si>
  <si>
    <t>269.2454, 286.9463, 299.2574, 302.7073, 464.3133, 482.3236, 482.4916, 482.5284, 483.2473, 483.3281</t>
  </si>
  <si>
    <t>FT3947NR</t>
  </si>
  <si>
    <t>5beta-Cholestane-3alpha,12alpha-diol</t>
  </si>
  <si>
    <t>5β-胆甾烷-3α,12α-二醇</t>
  </si>
  <si>
    <t>LMST04030111</t>
  </si>
  <si>
    <t>C1[C@]2(C)[C@@]3([H])C[C@H](O)[C@]4(C)[C@@]([H])([C@]([H])(C)CCCC(C)C)CC[C@@]4([H])[C@]3([H])CC[C@]2([H])C[C@H](O)C1</t>
  </si>
  <si>
    <t>XXGBPWONQCELLQ-QLSUIZBQSA-N</t>
  </si>
  <si>
    <t>Cholestane steroids</t>
  </si>
  <si>
    <t>胆甾烷类固醇</t>
  </si>
  <si>
    <t>302.6845, 304.1933, 309.2439, 324.0592, 387.3614, 405.3729, 413.3444, 431.3528, 449.3627, 450.3677</t>
  </si>
  <si>
    <t>C27H48O2</t>
  </si>
  <si>
    <t>FT2674NR</t>
  </si>
  <si>
    <t>2-keto-3-hydroxyoctadecanoic acid</t>
  </si>
  <si>
    <t>2-酮基-3-羟基十八烷酸</t>
  </si>
  <si>
    <t>LMFA01060209</t>
  </si>
  <si>
    <t>C(C(=O)C(O)CCCCCCCCCCCCCCC)(=O)O</t>
  </si>
  <si>
    <t>MYKUSIWXHVLDRP-UHFFFAOYSA-N</t>
  </si>
  <si>
    <t>110.3830, 113.6004, 190.8880, 222.2537, 246.6110, 251.2373, 269.2452, 295.2270, 313.2379, 314.2417</t>
  </si>
  <si>
    <t>C18H34O4</t>
  </si>
  <si>
    <t>FT3424NR</t>
  </si>
  <si>
    <t>Hyodeoxycholic acid</t>
  </si>
  <si>
    <t>猪去氧胆酸</t>
  </si>
  <si>
    <t>HMDB00733</t>
  </si>
  <si>
    <t>LMST04010024</t>
  </si>
  <si>
    <t>83-49-8</t>
  </si>
  <si>
    <t>C1[C@]2(C)[C@@]3([H])CC[C@]4(C)[C@@]([H])([C@]([H])(C)CCC(O)=O)CC[C@@]4([H])[C@]3([H])C[C@H](O)[C@]2([H])C[C@H](O)C1</t>
  </si>
  <si>
    <t>DGABKXLVXPYZII-SIBKNCMHSA-N</t>
  </si>
  <si>
    <t>59.1333, 62.6833, 64.4250, 69.8932, 371.8080, 391.2849, 392.2879, 394.0379, 409.2945, 409.4322</t>
  </si>
  <si>
    <t>FT1438NR</t>
  </si>
  <si>
    <t>O-Phenolsulfonic acid</t>
  </si>
  <si>
    <t>2-羟基苯磺酸</t>
  </si>
  <si>
    <t>HMDB0304953</t>
  </si>
  <si>
    <t>OC1=CC=CC=C1S(O)(=O)=O</t>
  </si>
  <si>
    <t>IULJSGIJJZZUMF-UHFFFAOYSA-N</t>
  </si>
  <si>
    <t>Benzenesulfonic acids and derivatives</t>
  </si>
  <si>
    <t>苯磺酸及其衍生物</t>
  </si>
  <si>
    <t>124.0161, 125.0191, 139.0144, 139.0396, 139.0722, 140.0432, 218.9467, 218.9962, 219.0613, 219.9999</t>
  </si>
  <si>
    <t>FT4101NR</t>
  </si>
  <si>
    <t>PE(O-18:1/0:0)</t>
  </si>
  <si>
    <t>磷脂酰乙醇胺(O-18:1/0:0)</t>
  </si>
  <si>
    <t>LMGP02060004</t>
  </si>
  <si>
    <t>[C@](COP(=O)(O)OCCN)([H])(O)COCCCCCCCC/C=C\CCCCCCCC</t>
  </si>
  <si>
    <t>CDONWGCJDDHTLP-DJYGDJEFSA-N</t>
  </si>
  <si>
    <t>140.0116, 152.9946, 186.6088, 196.0377, 241.0419, 265.2513, 267.2691, 403.2571, 464.3124, 465.3109</t>
  </si>
  <si>
    <t>C23H48NO6P</t>
  </si>
  <si>
    <t>FT2310NR</t>
  </si>
  <si>
    <t>alpha-Bisabolol oxide B</t>
  </si>
  <si>
    <t>没药醇氧化物B</t>
  </si>
  <si>
    <t>HMDB0038197</t>
  </si>
  <si>
    <t>C16774</t>
  </si>
  <si>
    <t>26184-88-3</t>
  </si>
  <si>
    <t>CC1=CCC(CC1)C1(C)CCC(O1)C(C)(C)O</t>
  </si>
  <si>
    <t>RKBAYVATPNYHLW-UHFFFAOYSA-N</t>
  </si>
  <si>
    <t>Tetrahydrofurans</t>
  </si>
  <si>
    <t>四氢呋喃</t>
  </si>
  <si>
    <t>221.2099, 230.3536, 234.8020, 239.2003, 265.1805, 283.1148, 283.1910, 283.2195, 283.2655, 284.1954</t>
  </si>
  <si>
    <t>C15H26O2</t>
  </si>
  <si>
    <t>FT2905NR</t>
  </si>
  <si>
    <t>((2-Amino-3-((2-amino-3-((carboxymethyl)amino)-3-oxopropyl)dithio)propanoyl)amino)acetic acid</t>
  </si>
  <si>
    <t>((2-氨基-3-((2-氨基-3-((羧甲基)氨基)-3-氧代丙基)二硫代)丙酰基)氨基)乙酸</t>
  </si>
  <si>
    <t>HMDB0242125</t>
  </si>
  <si>
    <t>NC(CSSCC(N)C(O)=NCC(O)=O)C(O)=NCC(O)=O</t>
  </si>
  <si>
    <t>KDJVKDYFFTWHBO-UHFFFAOYSA-N</t>
  </si>
  <si>
    <t>277.0414, 289.0416, 291.0569, 307.0512, 317.0355, 333.4902, 334.9502, 335.0466, 335.1715, 336.0482</t>
  </si>
  <si>
    <t>C10H18N4O6S2</t>
  </si>
  <si>
    <t>FT4091NR</t>
  </si>
  <si>
    <t>1alpha,25-dihydroxy-23-oxavitamin D3</t>
  </si>
  <si>
    <t>1α,25-二羟基-23-恶胆维生素 D3</t>
  </si>
  <si>
    <t>LMST03020063</t>
  </si>
  <si>
    <t>[C@@H]1(O)C(=C)/C(=C\C=C2\[C@]3([H])CC[C@@]([C@@](C)([H])COCC(O)(C)C)([H])[C@@]3(C)CCC\2)/C[C@@H](O)C1</t>
  </si>
  <si>
    <t>BLWGJQZULCEFMA-ZPURXJTESA-N</t>
  </si>
  <si>
    <t>Vitamin D and derivatives</t>
  </si>
  <si>
    <t>维生素D及其衍生物</t>
  </si>
  <si>
    <t>218.7842, 302.6867, 383.2946, 401.2437, 401.3050, 419.2504, 419.3159, 419.3809, 463.3058, 482.8614</t>
  </si>
  <si>
    <t>C26H42O4</t>
  </si>
  <si>
    <t>FT5865PR</t>
  </si>
  <si>
    <t>[3-[2-Aminoethoxy(hydroxy)phosphoryl]oxy-2-hydroxypropyl] hexadecanoate</t>
  </si>
  <si>
    <t>溶血磷脂酰乙醇胺(16:0)</t>
  </si>
  <si>
    <t>HMDB0256030</t>
  </si>
  <si>
    <t>CCCCCCCCCCCCCCCC(=O)OCC(O)COP(O)(=O)OCCN</t>
  </si>
  <si>
    <t>YVYMBNSKXOXSKW-UHFFFAOYSA-N</t>
  </si>
  <si>
    <t>262.6740, 270.8781, 282.2779, 296.6062, 313.1880, 313.2733, 313.3849, 314.2761, 436.2818, 454.2924</t>
  </si>
  <si>
    <t>FT2330NR</t>
  </si>
  <si>
    <t>Hexadecanedioic acid</t>
  </si>
  <si>
    <t>十六烷二酸</t>
  </si>
  <si>
    <t>HMDB0000672</t>
  </si>
  <si>
    <t>LMFA01170022</t>
  </si>
  <si>
    <t>C08260</t>
  </si>
  <si>
    <t>505-54-4</t>
  </si>
  <si>
    <t>C(CCCCCCCCCCCCCCC(=O)O)(=O)O</t>
  </si>
  <si>
    <t>QQHJDPROMQRDLA-UHFFFAOYSA-N</t>
  </si>
  <si>
    <t>223.2063, 223.2260, 227.9598, 259.9497, 267.1959, 285.1301, 285.2065, 285.9894, 286.2082, 302.6983</t>
  </si>
  <si>
    <t>C16H30O4</t>
  </si>
  <si>
    <t>FT5176PR</t>
  </si>
  <si>
    <t>Tetradecanoylcarnitine</t>
  </si>
  <si>
    <t>十四酰肉碱</t>
  </si>
  <si>
    <t>HMDB0005066</t>
  </si>
  <si>
    <t>LMFA07070107</t>
  </si>
  <si>
    <t>25597-07-3</t>
  </si>
  <si>
    <t>O(C(CCCCCCCCCCCCC)=O)[C@H](CC(=O)[O-])C[N+](C)(C)C</t>
  </si>
  <si>
    <t>PSHXNVGSVNEJBD-LJQANCHMSA-N</t>
  </si>
  <si>
    <t>144.1011, 205.3919, 205.4100, 211.2053, 293.1027, 313.2370, 372.1693, 372.3102, 372.4211, 373.3134</t>
  </si>
  <si>
    <t>C21H41NO4</t>
  </si>
  <si>
    <t>FT5008PR</t>
  </si>
  <si>
    <t>3alpha-Hydroxy-5beta-chol-11-en-24-oic Acid</t>
  </si>
  <si>
    <t>3α-羟基-5β-胆-11-en-24-油酸</t>
  </si>
  <si>
    <t>LMST04010210</t>
  </si>
  <si>
    <t>C1[C@]2(C)[C@@]3([H])C=C[C@]4(C)[C@@]([H])([C@]([H])(C)CCC(O)=O)CC[C@@]4([H])[C@]3([H])CC[C@]2([H])C[C@H](O)C1</t>
  </si>
  <si>
    <t>FEGCPHIPSRBREU-HVATVPOCSA-N</t>
  </si>
  <si>
    <t>243.2103, 247.1690, 249.1840, 261.1848, 275.2005, 321.2573, 339.2678, 357.1694, 357.2783, 358.2804</t>
  </si>
  <si>
    <t>C24H38O3</t>
  </si>
  <si>
    <t>FT0442NR</t>
  </si>
  <si>
    <t>D-Leucic acid</t>
  </si>
  <si>
    <t>L-α-羟基异己酸</t>
  </si>
  <si>
    <t>HMDB0000624</t>
  </si>
  <si>
    <t>LMFA01050402</t>
  </si>
  <si>
    <t>C03264</t>
  </si>
  <si>
    <t>20312-37-2</t>
  </si>
  <si>
    <t>C(=O)(O)[C@H](O)CC(C)C</t>
  </si>
  <si>
    <t>LVRFTAZAXQPQHI-RXMQYKEDSA-N</t>
  </si>
  <si>
    <t>72.9930, 85.0657, 86.0691, 87.0449, 123.4538, 129.0555, 131.0349, 131.0710, 132.0747, 138.5764</t>
  </si>
  <si>
    <t>C6H12O3</t>
  </si>
  <si>
    <t>FT0813NR</t>
  </si>
  <si>
    <t>Phthalic acid</t>
  </si>
  <si>
    <t>邻苯二甲酸</t>
  </si>
  <si>
    <t>HMDB0002107</t>
  </si>
  <si>
    <t>C01606</t>
  </si>
  <si>
    <t>hsa02010</t>
  </si>
  <si>
    <t>ABC transporters</t>
  </si>
  <si>
    <t>88-99-3</t>
  </si>
  <si>
    <t>OC(=O)C1=CC=CC=C1C(O)=O</t>
  </si>
  <si>
    <t>XNGIFLGASWRNHJ-UHFFFAOYSA-N</t>
  </si>
  <si>
    <t>121.0495, 121.3700, 122.0325, 136.7170, 136.9318, 137.0243, 145.9926, 165.0189, 166.0121, 166.0509</t>
  </si>
  <si>
    <t>C8H6O4</t>
  </si>
  <si>
    <t>FT3741NR</t>
  </si>
  <si>
    <t>7alpha-hydroxy-3-oxocholest-4-en-27-oic acid</t>
  </si>
  <si>
    <t>7α-羟基-3-酮-4-胆固醇烯酸</t>
  </si>
  <si>
    <t>HMDB0012458</t>
  </si>
  <si>
    <t>LMST04030149</t>
  </si>
  <si>
    <t>C17337</t>
  </si>
  <si>
    <t>115538-85-7</t>
  </si>
  <si>
    <t>C1[C@]2(C)[C@@]3([H])CC[C@]4(C)[C@@]([H])([C@]([H])(C)CCCC(C)C(O)=O)CC[C@@]4([H])[C@]3([H])[C@H](O)CC2=CC(=O)C1</t>
  </si>
  <si>
    <t>SATGKQGFUDXGAX-MYWFJNCASA-N</t>
  </si>
  <si>
    <t>205.3978, 277.2158, 305.2115, 315.1615, 348.4402, 396.1461, 411.2896, 429.3002, 429.4832, 430.3036</t>
  </si>
  <si>
    <t>C27H42O4</t>
  </si>
  <si>
    <t>FT3225NR</t>
  </si>
  <si>
    <t>5alpha-androstane-3alpha-ol-17-one sulfate</t>
  </si>
  <si>
    <t>5α-雄甾烷-3α-醇-17-酮硫酸盐</t>
  </si>
  <si>
    <t>HMDB0002759</t>
  </si>
  <si>
    <t>LMST05020001</t>
  </si>
  <si>
    <t>C04555</t>
  </si>
  <si>
    <t>hsa00140</t>
  </si>
  <si>
    <t>Steroid hormone biosynthesis</t>
  </si>
  <si>
    <t>2479-86-9</t>
  </si>
  <si>
    <t>C1[C@@H](OS(O)(=O)=O)C[C@]2([H])CC[C@@]3([H])[C@]4([H])CCC(=O)[C@@]4(C)CC[C@]3([H])[C@@]2(C)C1</t>
  </si>
  <si>
    <t>ZMITXKRGXGRMKS-HLUDHZFRSA-N</t>
  </si>
  <si>
    <t>200.0285, 205.3986, 282.9008, 312.3673, 313.3841, 367.3707, 369.1736, 369.3134, 370.1775, 370.9882</t>
  </si>
  <si>
    <t>C19H30O5S</t>
  </si>
  <si>
    <t>FT6065PR</t>
  </si>
  <si>
    <t>1-(2-methoxy-pentadecanyl)-sn-glycero-3-phosphoethanolamine</t>
  </si>
  <si>
    <t>1-(2-甲氧基-十五烷基)-sn-甘油-3-磷酸乙醇胺</t>
  </si>
  <si>
    <t>LMGP02060013</t>
  </si>
  <si>
    <t>[C@](COP(=O)(O)OCCN)([H])(O)COCC(OC)CCCCCCCCCCCCC</t>
  </si>
  <si>
    <t>CWYHNZNPBWWOGG-VQCQRNETSA-N</t>
  </si>
  <si>
    <t>263.2368, 306.2778, 319.2622, 337.2732, 338.2756, 417.2407, 460.2816, 461.2854, 478.2912, 479.2916</t>
  </si>
  <si>
    <t>M+Na</t>
  </si>
  <si>
    <t>C21H46NO7P</t>
  </si>
  <si>
    <t>FT1941PR</t>
  </si>
  <si>
    <t>L-Methionine sulfoxide</t>
  </si>
  <si>
    <t>L-蛋氨酸砜</t>
  </si>
  <si>
    <t>HMDB0002005</t>
  </si>
  <si>
    <t>C02989</t>
  </si>
  <si>
    <t>hsa00270</t>
  </si>
  <si>
    <t>Cysteine and methionine metabolism</t>
  </si>
  <si>
    <t>3226-65-1</t>
  </si>
  <si>
    <t>CS(=O)CC[C@H](N)C(O)=O</t>
  </si>
  <si>
    <t>QEFRNWWLZKMPFJ-YGVKFDHGSA-N</t>
  </si>
  <si>
    <t>148.0438, 149.0120, 149.0265, 149.0461, 152.0288, 166.0267, 166.0531, 166.0714, 166.0854, 175.0310</t>
  </si>
  <si>
    <t>C5H11NO3S</t>
  </si>
  <si>
    <t>FT1485PR</t>
  </si>
  <si>
    <t>Quinolin-2-ol</t>
  </si>
  <si>
    <t>2-羟基喹啉</t>
  </si>
  <si>
    <t>C06338</t>
  </si>
  <si>
    <t>70254-42-1</t>
  </si>
  <si>
    <t>C1=CC=C2C(=C1)C=CC(=O)N2</t>
  </si>
  <si>
    <t>LISFMEBWQUVKPJ-UHFFFAOYSA-N</t>
  </si>
  <si>
    <t>Quinolines and derivatives</t>
  </si>
  <si>
    <t>Quinolones and derivatives</t>
  </si>
  <si>
    <t>喹啉及其衍生物</t>
  </si>
  <si>
    <t>喹诺酮类及其衍生物</t>
  </si>
  <si>
    <t>118.0651, 118.9676, 119.0687, 128.0493, 146.0266, 146.0598, 147.0440, 147.0635, 147.0795, 154.4271</t>
  </si>
  <si>
    <t>C9H7NO</t>
  </si>
  <si>
    <t>FT2504NR</t>
  </si>
  <si>
    <t>8Z-Heptadecen-2S-ol</t>
  </si>
  <si>
    <t>8Z-十七烯-2S-醇</t>
  </si>
  <si>
    <t>LMFA05000528</t>
  </si>
  <si>
    <t>C[C@H](O)CCCCC/C=C\CCCCCCCC</t>
  </si>
  <si>
    <t>MOLUOORQSUBBLU-MQNTZWLQSA-N</t>
  </si>
  <si>
    <t>237.2587, 251.2371, 253.2222, 253.2532, 281.2472, 297.9459, 299.2585, 299.3601, 300.2623, 300.5793</t>
  </si>
  <si>
    <t>C17H34O</t>
  </si>
  <si>
    <t>FT0959NR</t>
  </si>
  <si>
    <t>(4-Methylphenyl)acetaldehyde</t>
  </si>
  <si>
    <t>4-甲基苯乙醛</t>
  </si>
  <si>
    <t>HMDB0029639</t>
  </si>
  <si>
    <t>104-09-6</t>
  </si>
  <si>
    <t>CC1=CC=C(CC=O)C=C1</t>
  </si>
  <si>
    <t>CIXAYNMKFFQEFU-UHFFFAOYSA-N</t>
  </si>
  <si>
    <t>Phenylacetaldehydes</t>
  </si>
  <si>
    <t>苯乙醛类</t>
  </si>
  <si>
    <t>135.0571, 135.0813, 136.0850, 178.8139, 179.0120, 179.0341, 179.0710, 179.1077, 180.0303, 180.0748</t>
  </si>
  <si>
    <t>C9H10O</t>
  </si>
  <si>
    <t>FT6106PR</t>
  </si>
  <si>
    <t>1-O-Hexadecyl-sn-glycero-3-phosphocholine</t>
  </si>
  <si>
    <t>1-O-十六烷基-sn-甘油-3-磷酸胆碱</t>
  </si>
  <si>
    <t>HMDB0243890</t>
  </si>
  <si>
    <t>C13903</t>
  </si>
  <si>
    <t>52691-62-0</t>
  </si>
  <si>
    <t>CCCCCCCCCCCCCCCCOCC(O)COP([O-])(=O)OCC[N+](C)(C)C</t>
  </si>
  <si>
    <t>VLBPIWYTPAXCFJ-UHFFFAOYSA-N</t>
  </si>
  <si>
    <t>184.0924, 205.3977, 341.2953, 363.1663, 479.7015, 482.3592, 482.5231, 482.6136, 483.3638, 485.0381</t>
  </si>
  <si>
    <t>C24H52NO6P</t>
  </si>
  <si>
    <t>FT0876NR</t>
  </si>
  <si>
    <t>trans-Aconitic acid</t>
  </si>
  <si>
    <t>反式乌头酸</t>
  </si>
  <si>
    <t>HMDB0000958</t>
  </si>
  <si>
    <t>C02341</t>
  </si>
  <si>
    <t>4023-65-8</t>
  </si>
  <si>
    <t>OC(=O)C\C(=C/C(O)=O)C(O)=O</t>
  </si>
  <si>
    <t>GTZCVFVGUGFEME-HNQUOIGGSA-N</t>
  </si>
  <si>
    <t>Tricarboxylic acids and derivatives</t>
  </si>
  <si>
    <t>三羧酸及其衍生物</t>
  </si>
  <si>
    <t>115.0033, 115.0206, 128.8782, 129.0190, 149.2998, 173.0090, 173.0255, 173.0816, 173.1173, 182.1869</t>
  </si>
  <si>
    <t>C6H6O6</t>
  </si>
  <si>
    <t>FT3414PR</t>
  </si>
  <si>
    <t>Lenticin</t>
  </si>
  <si>
    <t>刺桐碱</t>
  </si>
  <si>
    <t>HMDB0061115</t>
  </si>
  <si>
    <t>C09213</t>
  </si>
  <si>
    <t>487-58-1</t>
  </si>
  <si>
    <t>C[N+](C)(C)[C@@H](CC1=CNC2=CC=CC=C12)C([O-])=O</t>
  </si>
  <si>
    <t>AOHCBEAZXHZMOR-ZDUSSCGKSA-N</t>
  </si>
  <si>
    <t>188.0405, 188.0541, 188.0703, 188.0925, 188.1102, 188.7189, 189.0738, 247.1447, 247.1693, 247.2045</t>
  </si>
  <si>
    <t>C14H18N2O2</t>
  </si>
  <si>
    <t>FT4875PR</t>
  </si>
  <si>
    <t>Heptaethylene glycol</t>
  </si>
  <si>
    <t>七聚乙二醇</t>
  </si>
  <si>
    <t>HMDB0061835</t>
  </si>
  <si>
    <t>5617-32-3</t>
  </si>
  <si>
    <t>OCCOCCOCCOCCOCCOCCOCCO</t>
  </si>
  <si>
    <t>XPJRQAIZZQMSCM-UHFFFAOYSA-N</t>
  </si>
  <si>
    <t>Ethers</t>
  </si>
  <si>
    <t>醚类</t>
  </si>
  <si>
    <t>221.1386, 239.1470, 283.1751, 300.0229, 309.1895, 314.4698, 317.3535, 327.2008, 328.2054, 344.2276</t>
  </si>
  <si>
    <t>C14H30O8</t>
  </si>
  <si>
    <t>FT1211PR</t>
  </si>
  <si>
    <t>N,N-Diethylglycine</t>
  </si>
  <si>
    <t>2-二乙氨基乙酸盐酸盐</t>
  </si>
  <si>
    <t>C16647</t>
  </si>
  <si>
    <t>CCN(CC)CC(=O)O</t>
  </si>
  <si>
    <t>SGXDXUYKISDCAZ-UHFFFAOYSA-N</t>
  </si>
  <si>
    <t>85.8951, 86.0810, 86.0968, 86.1093, 86.2995, 87.1001, 101.1155, 103.6660, 111.0383, 132.1015</t>
  </si>
  <si>
    <t>C6H13NO2</t>
  </si>
  <si>
    <t>FT5938PR</t>
  </si>
  <si>
    <t>LysoPE(P-18:1/0:0)</t>
  </si>
  <si>
    <t>溶血磷脂酰乙醇胺(P-18:1/0:0)</t>
  </si>
  <si>
    <t>HMDB0240599</t>
  </si>
  <si>
    <t>1425046-04-3</t>
  </si>
  <si>
    <t>CCCCCCCC\C=C/CCCCCC\C=C/OC[C@@H](O)COP(O)(=O)OCCN</t>
  </si>
  <si>
    <t>URGVIWXYPWWBQO-UWEYSURVSA-N</t>
  </si>
  <si>
    <t>198.0524, 292.2993, 310.3097, 310.3701, 390.2769, 421.2708, 446.3020, 464.1550, 464.3129, 465.3123</t>
  </si>
  <si>
    <t>C23H46NO6P</t>
  </si>
  <si>
    <t>FT7505PR</t>
  </si>
  <si>
    <t>PC(O-18:1/16:0)</t>
  </si>
  <si>
    <t>磷脂酰胆碱(O-18:1/16:0)</t>
  </si>
  <si>
    <t>HMDB0013424</t>
  </si>
  <si>
    <t>LMGP01020261</t>
  </si>
  <si>
    <t>[C@](COP(=O)([O-])OCC[N+](C)(C)C)([H])(OC(CCCCCCCCCCCCCCC)=O)COCCCCCCCCCC/C=C\CCCCCC</t>
  </si>
  <si>
    <t>QCGUXAIDEOWPBV-SNKLRXETSA-N</t>
  </si>
  <si>
    <t>185.0764, 186.0783, 240.8615, 251.1047, 253.3824, 341.3065, 627.5342, 768.5881, 768.7525, 769.5859</t>
  </si>
  <si>
    <t>C42H84NO7P</t>
  </si>
  <si>
    <t>FT0316NR</t>
  </si>
  <si>
    <t>3-Hydroxyisovaleric acid</t>
  </si>
  <si>
    <t>3-羟基异戊酸</t>
  </si>
  <si>
    <t>HMDB0000754</t>
  </si>
  <si>
    <t>LMFA01050396</t>
  </si>
  <si>
    <t>625-08-1</t>
  </si>
  <si>
    <t>C(=O)(O)CC(O)(C)C</t>
  </si>
  <si>
    <t>AXFYFNCPONWUHW-UHFFFAOYSA-N</t>
  </si>
  <si>
    <t>99.0087, 99.9255, 116.9283, 117.0190, 117.0554, 117.0634, 117.9285, 118.0294, 129.0146, 130.7026</t>
  </si>
  <si>
    <t>FT3755NR</t>
  </si>
  <si>
    <t>1alpha,18,25-trihydroxyvitamin D3</t>
  </si>
  <si>
    <t>1α,18,25-三羟基维生素D3</t>
  </si>
  <si>
    <t>LMST03020289</t>
  </si>
  <si>
    <t>[C@@H]1(O)C(=C)/C(=C\C=C2\[C@]3([H])CC[C@@]([H])([C@@]3(CO)CCC\2)[C@]([H])(C)CCCC(O)(C)C)/C[C@@H](O)C1</t>
  </si>
  <si>
    <t>ZJTNZJXJGKCJEG-ALXHSOSYSA-N</t>
  </si>
  <si>
    <t>61.9864, 76.9515, 155.5773, 205.3954, 235.8752, 302.6958, 306.0304, 331.2267, 414.5681, 431.3160</t>
  </si>
  <si>
    <t>C27H44O4</t>
  </si>
  <si>
    <t>FT0065PR</t>
  </si>
  <si>
    <t>Trimethylamine N-oxide</t>
  </si>
  <si>
    <t>三甲胺N-氧化物</t>
  </si>
  <si>
    <t>HMDB0000925</t>
  </si>
  <si>
    <t>C01104</t>
  </si>
  <si>
    <t>R-HSA-1430728,R-HSA-211859,R-HSA-211945,R-HSA-217271</t>
  </si>
  <si>
    <t>Metabolism|Biological oxidations|Phase I - Functionalization of compounds|FMO oxidises nucleophiles</t>
  </si>
  <si>
    <t>1184-78-7</t>
  </si>
  <si>
    <t>C[N+](C)(C)[O-]</t>
  </si>
  <si>
    <t>UYPYRKYUKCHHIB-UHFFFAOYSA-N</t>
  </si>
  <si>
    <t>Aminoxides</t>
  </si>
  <si>
    <t>氨基氧化物</t>
  </si>
  <si>
    <t>75.9096, 76.0397, 76.0658, 76.0678, 76.0761, 76.0868, 76.0885, 76.2433, 78.0468, 81.6169</t>
  </si>
  <si>
    <t>C3H9NO</t>
  </si>
  <si>
    <t>FT1902NR</t>
  </si>
  <si>
    <t>4-methyl-5-carboxyethyl-2-furanpentanoic acid</t>
  </si>
  <si>
    <t>4-甲基-5-羧乙基-2-呋喃戊酸</t>
  </si>
  <si>
    <t>LMFA01150054</t>
  </si>
  <si>
    <t>C(C(O)=O)CC1=C(C)C=C(CCCCC(=O)O)O1</t>
  </si>
  <si>
    <t>VVSJZDOVZWFSID-UHFFFAOYSA-N</t>
  </si>
  <si>
    <t>186.1118, 189.0917, 191.1071, 191.1272, 209.1176, 217.5814, 235.0695, 235.0969, 253.1075, 254.1112</t>
  </si>
  <si>
    <t>C13H18O5</t>
  </si>
  <si>
    <t>FT1303NR</t>
  </si>
  <si>
    <t>Phenylpyruvic acid</t>
  </si>
  <si>
    <t>苯丙酮酸</t>
  </si>
  <si>
    <t>HMDB0000205</t>
  </si>
  <si>
    <t>C00166</t>
  </si>
  <si>
    <t>hsa00360,hsa00400,hsa00470</t>
  </si>
  <si>
    <t>Phenylalanine metabolism|Phenylalanine, tyrosine and tryptophan biosynthesis|D-Amino acid metabolism</t>
  </si>
  <si>
    <t>156-06-9</t>
  </si>
  <si>
    <t>OC(=O)C(=O)CC1=CC=CC=C1</t>
  </si>
  <si>
    <t>BTNMPGBKDVTSJY-UHFFFAOYSA-N</t>
  </si>
  <si>
    <t>Phenylpyruvic acid derivatives</t>
  </si>
  <si>
    <t>苯基丙酮酸衍生物</t>
  </si>
  <si>
    <t>121.0568, 122.0325, 128.3814, 140.9811, 143.5252, 147.0082, 165.0187, 186.8299, 209.0450, 210.0487</t>
  </si>
  <si>
    <t>C9H8O3</t>
  </si>
  <si>
    <t>FT0804NR</t>
  </si>
  <si>
    <t>1,2-Diacylglycerol-LD-PI-pool</t>
  </si>
  <si>
    <t>异氰酸苯酯</t>
  </si>
  <si>
    <t>HMDB0062270</t>
  </si>
  <si>
    <t>103-71-9</t>
  </si>
  <si>
    <t>O=C=NC1=CC=CC=C1</t>
  </si>
  <si>
    <t>DGTNSSLYPYDJGL-UHFFFAOYSA-N</t>
  </si>
  <si>
    <t>121.0294, 121.0488, 121.0653, 136.0401, 136.0513, 136.9320, 147.0450, 164.0349, 165.0354, 165.0549</t>
  </si>
  <si>
    <t>C7H5NO</t>
  </si>
  <si>
    <t>FT2641NR</t>
  </si>
  <si>
    <t>alpha-15,16-DiHODE</t>
  </si>
  <si>
    <t>α-15,16-DiHODE</t>
  </si>
  <si>
    <t>HMDB0010208</t>
  </si>
  <si>
    <t>LMFA02000047</t>
  </si>
  <si>
    <t>C(CCCCCCC/C=C\C/C=C\CC(O)C(O)CC)(=O)O</t>
  </si>
  <si>
    <t>LKLLJYJTYPVCID-OHPMOLHNSA-N</t>
  </si>
  <si>
    <t>221.4124, 223.1697, 235.1697, 242.9424, 275.2006, 293.2115, 303.4540, 311.2223, 312.2246, 330.4604</t>
  </si>
  <si>
    <t>FT2880PR</t>
  </si>
  <si>
    <t>Cyclo(Pro-Leu)</t>
  </si>
  <si>
    <t>环(脯氨酸-亮氨酸)二肽</t>
  </si>
  <si>
    <t>HMDB0034276</t>
  </si>
  <si>
    <t>5654-86-4</t>
  </si>
  <si>
    <t>CC(C)CC1C(=O)N2CCCC2C(=O)N1</t>
  </si>
  <si>
    <t>SZJNCZMRZAUNQT-UHFFFAOYSA-N</t>
  </si>
  <si>
    <t>183.1490, 187.9172, 193.1202, 193.1576, 194.1168, 210.9894, 211.0937, 211.1130, 211.1438, 211.2053</t>
  </si>
  <si>
    <t>C11H18N2O2</t>
  </si>
  <si>
    <t>FT1211NR</t>
  </si>
  <si>
    <t>2-Hydroxy-2,6,6-trimethylcyclohexanone</t>
  </si>
  <si>
    <t>2-羟基-2,6,6-三甲基环己酮</t>
  </si>
  <si>
    <t>HMDB0037023</t>
  </si>
  <si>
    <t>7500-42-7</t>
  </si>
  <si>
    <t>CC1(C)CCCC(C)(O)C1=O</t>
  </si>
  <si>
    <t>FWCGLHYHGUHPRY-UHFFFAOYSA-N</t>
  </si>
  <si>
    <t>111.0816, 116.5898, 139.1006, 139.1125, 183.1021, 201.0799, 201.1129, 201.1343, 202.1172, 205.4046</t>
  </si>
  <si>
    <t>C9H16O2</t>
  </si>
  <si>
    <t>FT6002PR</t>
  </si>
  <si>
    <t>Glycyrrhetinic acid</t>
  </si>
  <si>
    <t>甘草次酸</t>
  </si>
  <si>
    <t>HMDB11628</t>
  </si>
  <si>
    <t>LMPR0106150014</t>
  </si>
  <si>
    <t>C02283</t>
  </si>
  <si>
    <t>471-53-4</t>
  </si>
  <si>
    <t>C1C[C@H](O)[C@@](C)(C)[C@]2([H])CC[C@@]3(C)[C@@]4(C)C([C@@]5([H])[C@](C)(CC[C@](C)(C(O)=O)C5)CC4)=CC(=O)[C@]3([H])[C@@]12C</t>
  </si>
  <si>
    <t>MPDGHEJMBKOTSU-YKLVYJNSSA-N</t>
  </si>
  <si>
    <t>Triterpenoids</t>
  </si>
  <si>
    <t>三萜类化合物</t>
  </si>
  <si>
    <t>253.1947, 263.1637, 271.2061, 317.2114, 407.3325, 425.3428, 453.3302, 468.7684, 471.3462, 472.3512</t>
  </si>
  <si>
    <t>C30H46O4</t>
  </si>
  <si>
    <t>FT0569PR</t>
  </si>
  <si>
    <t>D(-)-2-Aminobutyric acid</t>
  </si>
  <si>
    <t>D-2-氨基丁酸</t>
  </si>
  <si>
    <t>HMDB0000650</t>
  </si>
  <si>
    <t>LMFA01100043</t>
  </si>
  <si>
    <t>C02261</t>
  </si>
  <si>
    <t>2623-91-8</t>
  </si>
  <si>
    <t>[C@@H](N)(CC)C(=O)O</t>
  </si>
  <si>
    <t>QWCKQJZIFLGMSD-GSVOUGTGSA-N</t>
  </si>
  <si>
    <t>76.1706, 83.1945, 86.0598, 87.0446, 95.0496, 101.6000, 104.0710, 104.1072, 105.0340, 109.3605</t>
  </si>
  <si>
    <t>C4H9NO2</t>
  </si>
  <si>
    <t>FT0423NR</t>
  </si>
  <si>
    <t>N-Acetyl-L-alanine</t>
  </si>
  <si>
    <t>N-乙酰-L-丙氨酸</t>
  </si>
  <si>
    <t>HMDB0000766</t>
  </si>
  <si>
    <t>97-69-8</t>
  </si>
  <si>
    <t>C[C@H](NC(C)=O)C(O)=O</t>
  </si>
  <si>
    <t>KTHDTJVBEPMMGL-VKHMYHEASA-N</t>
  </si>
  <si>
    <t>87.0446, 88.0339, 88.0401, 88.0453, 88.0464, 130.0503, 130.0870, 131.0711, 136.1794, 149.4065</t>
  </si>
  <si>
    <t>C5H9NO3</t>
  </si>
  <si>
    <t>FT4382NR</t>
  </si>
  <si>
    <t>PE(0:0/20:5)</t>
  </si>
  <si>
    <t>磷脂酰乙醇胺(0:0/20:5)</t>
  </si>
  <si>
    <t>HMDB0011489</t>
  </si>
  <si>
    <t>LMGP02050053</t>
  </si>
  <si>
    <t>C(OP(OCCN)(O)=O)[C@]([H])(OC(=O)CCC/C=C\C/C=C\C/C=C\C/C=C\C/C=C\CC)CO</t>
  </si>
  <si>
    <t>MMHCCHGAKPRCIO-KOYQJJOGSA-N</t>
  </si>
  <si>
    <t>236.6661, 257.2272, 301.2167, 302.2208, 433.2260, 433.6913, 459.9614, 463.8373, 498.2620, 499.2636</t>
  </si>
  <si>
    <t>C25H42NO7P</t>
  </si>
  <si>
    <t>FT0817NR</t>
  </si>
  <si>
    <t>Atrolactic acid</t>
  </si>
  <si>
    <t>DL-阿卓乳酸半水物</t>
  </si>
  <si>
    <t>CC(C1=CC=CC=C1)(C(=O)O)O</t>
  </si>
  <si>
    <t>NWCHELUCVWSRRS-UHFFFAOYSA-N</t>
  </si>
  <si>
    <t>147.0643, 148.0477, 149.0089, 161.9524, 164.8950, 165.0189, 165.0431, 165.0552, 166.0137, 166.0492</t>
  </si>
  <si>
    <t>C9H10O3</t>
  </si>
  <si>
    <t>FT5186PR</t>
  </si>
  <si>
    <t>3beta,12alpha-Dihydroxychol-5-en-24-oic Acid</t>
  </si>
  <si>
    <t>3β,12α-二羟基胆-5-en-24-油酸</t>
  </si>
  <si>
    <t>LMST04010219</t>
  </si>
  <si>
    <t>C1[C@]2(C)[C@@]3([H])C[C@H](O)[C@]4(C)[C@@]([H])([C@]([H])(C)CCC(O)=O)CC[C@@]4([H])[C@]3([H])CC=C2C[C@@H](O)C1</t>
  </si>
  <si>
    <t>BSNCZSKCISVTHY-DNMQWNDWSA-N</t>
  </si>
  <si>
    <t>255.2096, 259.1682, 261.1838, 273.1855, 313.2155, 319.2416, 337.2516, 355.2626, 356.2656, 373.2731</t>
  </si>
  <si>
    <t>C24H38O4</t>
  </si>
  <si>
    <t>FT6541PR</t>
  </si>
  <si>
    <t>PE(0:0/22:6)</t>
  </si>
  <si>
    <t>磷脂酰乙醇胺(0:0/22:6)</t>
  </si>
  <si>
    <t>HMDB0011496</t>
  </si>
  <si>
    <t>LMGP02050060</t>
  </si>
  <si>
    <t>C(OP(OCCN)(O)=O)[C@]([H])(OC(=O)CC/C=C\C/C=C\C/C=C\C/C=C\C/C=C\C/C=C\CC)CO</t>
  </si>
  <si>
    <t>TWBVHOYVCUOMJY-PAUXXPOVSA-N</t>
  </si>
  <si>
    <t>227.1786, 269.2261, 293.2259, 311.2367, 354.2776, 385.2729, 483.2449, 508.2817, 526.2918, 527.2969</t>
  </si>
  <si>
    <t>C27H44NO7P</t>
  </si>
  <si>
    <t>FT3505NR</t>
  </si>
  <si>
    <t>5,2',5'-Trihydroxy-3,7,8-trimethoxyflavone 2'-acetate</t>
  </si>
  <si>
    <t>5,2',5'-三羟基-3,7,8-三甲氧基黄酮2'-乙酸酯</t>
  </si>
  <si>
    <t>LMPK12113087</t>
  </si>
  <si>
    <t>C1(OC)=C(OC)C2OC(C3C(CC(O)=O)=CC=C(O)C=3)=C(OC)C(=O)C=2C(O)=C1</t>
  </si>
  <si>
    <t>QLXHITSYJNILTR-UHFFFAOYSA-N</t>
  </si>
  <si>
    <t>Flavonoids</t>
  </si>
  <si>
    <t>O-methylated flavonoids</t>
  </si>
  <si>
    <t>类黄酮</t>
  </si>
  <si>
    <t xml:space="preserve"> O-甲基化黄酮类化合物</t>
  </si>
  <si>
    <t>205.3930, 225.0566, 248.9601, 284.2741, 293.4792, 313.0706, 357.0623, 368.4216, 401.0870, 401.1450</t>
  </si>
  <si>
    <t>C20H18O9</t>
  </si>
  <si>
    <t>FT4857PR</t>
  </si>
  <si>
    <t>Docosahexaenoic Acid methyl ester</t>
  </si>
  <si>
    <t>二十二六烯酸甲酯</t>
  </si>
  <si>
    <t>2566-90-7</t>
  </si>
  <si>
    <t>CCC=CCC=CCC=CCC=CCC=CCC=CCCC(=O)OC</t>
  </si>
  <si>
    <t>VCDLWFYODNTQOT-JDPCYWKWSA-N</t>
  </si>
  <si>
    <t>215.1780, 229.1587, 241.1584, 264.2668, 269.2249, 283.2047, 293.2272, 311.2371, 343.2623, 343.3315</t>
  </si>
  <si>
    <t>C23H34O2</t>
  </si>
  <si>
    <t>FT6105PR</t>
  </si>
  <si>
    <t>Palmitoyl Ara-C</t>
  </si>
  <si>
    <t>棕榈酰阿糖胞苷</t>
  </si>
  <si>
    <t>HMDB0256087</t>
  </si>
  <si>
    <t>CCCCCCCCCCCCCCCC(=O)NC1=NC(=O)N(C=C1)C1OC(CO)C(O)C1O</t>
  </si>
  <si>
    <t>XEFNBUBDJCJOGM-UHFFFAOYSA-N</t>
  </si>
  <si>
    <t>Pyrimidine nucleosides</t>
  </si>
  <si>
    <t>嘧啶核苷</t>
  </si>
  <si>
    <t>124.9998, 150.1870, 165.9242, 184.0344, 184.0731, 202.7678, 416.2709, 464.3129, 482.3234, 483.3241</t>
  </si>
  <si>
    <t>C25H43N3O6</t>
  </si>
  <si>
    <t>FT6746PR</t>
  </si>
  <si>
    <t>PC(20:2/0:0)</t>
  </si>
  <si>
    <t>磷脂酰胆碱(20:2/0:0)</t>
  </si>
  <si>
    <t>HMDB0010392</t>
  </si>
  <si>
    <t>LMGP01050132</t>
  </si>
  <si>
    <t>[C@](COP(=O)([O-])OCC[N+](C)(C)C)([H])(O)COC(CCCCCCCCC/C=C\C/C=C\CCCCC)=O</t>
  </si>
  <si>
    <t>YYQVCMMXPIJVHY-ZOIJLGJPSA-N</t>
  </si>
  <si>
    <t>258.1107, 365.3044, 407.3126, 471.2845, 530.3599, 548.1683, 548.3702, 548.5627, 548.6343, 549.3731</t>
  </si>
  <si>
    <t>C28H54NO7P</t>
  </si>
  <si>
    <t>FT5749PR</t>
  </si>
  <si>
    <t>PE(P-16:0/0:0)</t>
  </si>
  <si>
    <t>磷脂酰乙醇胺(P-16:0/0:0)</t>
  </si>
  <si>
    <t>HMDB0011152</t>
  </si>
  <si>
    <t>LMGP02070001</t>
  </si>
  <si>
    <t>174062-72-7</t>
  </si>
  <si>
    <t>[C@](COP(=O)(O)OCCN)([H])(O)CO/C=C\CCCCCCCCCCCCCC</t>
  </si>
  <si>
    <t>QYTPGOPLNFESQC-NUTQULCTSA-N</t>
  </si>
  <si>
    <t>266.2837, 284.2658, 284.2943, 356.2021, 364.2611, 395.2544, 420.2869, 438.2973, 438.4409, 439.2994</t>
  </si>
  <si>
    <t>C21H44NO6P</t>
  </si>
  <si>
    <t>FT0219NR</t>
  </si>
  <si>
    <t>2,5-Dioxopentanoate</t>
  </si>
  <si>
    <t>2,5-二氧代戊酸酯</t>
  </si>
  <si>
    <t>HMDB0060365</t>
  </si>
  <si>
    <t>C00433</t>
  </si>
  <si>
    <t>hsa00040,hsa00053,hsa00470</t>
  </si>
  <si>
    <t>Pentose and glucuronate interconversions|Ascorbate and aldarate metabolism|D-Amino acid metabolism</t>
  </si>
  <si>
    <t>OC(=O)C(=O)CCC=O</t>
  </si>
  <si>
    <t>VHKNBDIQDAXGBL-UHFFFAOYSA-N</t>
  </si>
  <si>
    <t>Short-chain keto acids and derivatives</t>
  </si>
  <si>
    <t>短链酮酸及其衍生物</t>
  </si>
  <si>
    <t>68.0503, 70.2046, 73.1172, 83.0135, 110.8989, 110.9754, 111.0085, 111.0209, 112.0119, 122.4721</t>
  </si>
  <si>
    <t>C5H6O4</t>
  </si>
  <si>
    <t>FT6299PR</t>
  </si>
  <si>
    <t>PE(0:0/20:3)</t>
  </si>
  <si>
    <t>磷脂酰乙醇胺(0:0/20:3)</t>
  </si>
  <si>
    <t>HMDB0011486</t>
  </si>
  <si>
    <t>LMGP02050050</t>
  </si>
  <si>
    <t>C(OP(OCCN)(O)=O)[C@]([H])(OC(=O)CCCCCC/C=C\C/C=C\C/C=C\CCCCC)CO</t>
  </si>
  <si>
    <t>AKEOFNYGACQDRM-XQCPFYKGSA-N</t>
  </si>
  <si>
    <t>345.2748, 363.2886, 363.3418, 364.2910, 443.2523, 486.2211, 486.2969, 495.7691, 504.3051, 505.3079</t>
  </si>
  <si>
    <t>C25H46NO7P</t>
  </si>
  <si>
    <t>FT2458NR</t>
  </si>
  <si>
    <t>18-hydroxy-9R,10S-epoxy-stearic acid</t>
  </si>
  <si>
    <t>18-羟基-9R,10S-环氧硬脂酸</t>
  </si>
  <si>
    <t>HMDB0061650</t>
  </si>
  <si>
    <t>LMFA02000003</t>
  </si>
  <si>
    <t>C19620</t>
  </si>
  <si>
    <t>154966-80-0</t>
  </si>
  <si>
    <t>C(CCCCCCC[C@H]1O[C@H]1CCCCCCCCO)(=O)O</t>
  </si>
  <si>
    <t>ITTPZDMHCNGAGQ-DLBZAZTESA-N</t>
  </si>
  <si>
    <t>102.6410, 105.5578, 149.2847, 167.7912, 171.1022, 195.1374, 239.1561, 277.2164, 295.2271, 302.6976</t>
  </si>
  <si>
    <t>FT6562PR</t>
  </si>
  <si>
    <t>PE(22:5/0:0)</t>
  </si>
  <si>
    <t>磷脂酰乙醇胺(22:5/0:0)</t>
  </si>
  <si>
    <t>HMDB0011525</t>
  </si>
  <si>
    <t>LMGP02050070</t>
  </si>
  <si>
    <t>C(OP(OCCN)(O)=O)[C@]([H])(O)COC(=O)CCCCC/C=C\C/C=C\C/C=C\C/C=C\C/C=C\CC</t>
  </si>
  <si>
    <t>OSRWIBSZJTWIKA-SCFYABBUSA-N</t>
  </si>
  <si>
    <t>205.3955, 216.0615, 295.2425, 313.2511, 356.2928, 387.2886, 387.3474, 510.2968, 527.7977, 528.3052</t>
  </si>
  <si>
    <t>C27H46NO7P</t>
  </si>
  <si>
    <t>FT2225PR</t>
  </si>
  <si>
    <t>Threonylglycine</t>
  </si>
  <si>
    <t>苏氨酰甘氨酸</t>
  </si>
  <si>
    <t>HMDB0029061</t>
  </si>
  <si>
    <t>686-44-2</t>
  </si>
  <si>
    <t>C[C@@H](O)[C@H](N)C(=O)NCC(O)=O</t>
  </si>
  <si>
    <t>BIYXEUAFGLTAEM-WUJLRWPWSA-N</t>
  </si>
  <si>
    <t>159.0764, 160.0603, 177.0109, 177.0391, 177.0544, 177.0697, 177.0869, 177.1255, 177.1639, 191.9184</t>
  </si>
  <si>
    <t>C6H12N2O4</t>
  </si>
  <si>
    <t>FT2980PR</t>
  </si>
  <si>
    <t>O-propanoyl-carnitine</t>
  </si>
  <si>
    <t>丙酰左旋肉碱盐酸盐</t>
  </si>
  <si>
    <t>HMDB0062514</t>
  </si>
  <si>
    <t>LMFA07070005</t>
  </si>
  <si>
    <t>C03017</t>
  </si>
  <si>
    <t>O=C(O[C@](CC([O-])=O)(C[N+](C)(C)C)[H])CC</t>
  </si>
  <si>
    <t>UFAHZIUFPNSHSL-MRVPVSSYSA-N</t>
  </si>
  <si>
    <t>159.0650, 174.0843, 176.9725, 218.0512, 218.0870, 218.1133, 218.1383, 218.1867, 219.1419, 219.1736</t>
  </si>
  <si>
    <t>C10H19NO4</t>
  </si>
  <si>
    <t>FT3660PR</t>
  </si>
  <si>
    <t>Curcolonol</t>
  </si>
  <si>
    <t>醋栗醇</t>
  </si>
  <si>
    <t>HMDB0033227</t>
  </si>
  <si>
    <t>217817-09-9</t>
  </si>
  <si>
    <t>CC1=COC2=C1C(=O)C1C(C)(O)CCC(O)C1(C)C2</t>
  </si>
  <si>
    <t>QXEXMTIZXNCRJO-UHFFFAOYSA-N</t>
  </si>
  <si>
    <t>203.1064, 205.4081, 229.1227, 247.1318, 265.0041, 265.1090, 265.1412, 265.1789, 265.2110, 265.2501</t>
  </si>
  <si>
    <t>C15H20O4</t>
  </si>
  <si>
    <t>FT1056NR</t>
  </si>
  <si>
    <t>Azelaic acid</t>
  </si>
  <si>
    <t>壬二酸</t>
  </si>
  <si>
    <t>HMDB0000784</t>
  </si>
  <si>
    <t>LMFA01170054</t>
  </si>
  <si>
    <t>C08261</t>
  </si>
  <si>
    <t>123-99-9</t>
  </si>
  <si>
    <t>C(CCCCCCCC(=O)O)(=O)O</t>
  </si>
  <si>
    <t>BDJRBEYXGGNYIS-UHFFFAOYSA-N</t>
  </si>
  <si>
    <t>143.1074, 160.4115, 169.0862, 187.0069, 187.0577, 187.0973, 187.1126, 187.1283, 187.1358, 188.1007</t>
  </si>
  <si>
    <t>C9H16O4</t>
  </si>
  <si>
    <t>FT1689NR</t>
  </si>
  <si>
    <t>Cucujolide IV</t>
  </si>
  <si>
    <t>葫芦内酯 IV</t>
  </si>
  <si>
    <t>LMFA07040036</t>
  </si>
  <si>
    <t>C1(O[C@H](C)CCCC=CCC=CC1)=O</t>
  </si>
  <si>
    <t>FAMIQKMUIARKKU-GTHUGJSGSA-N</t>
  </si>
  <si>
    <t>Macrolides and analogues</t>
  </si>
  <si>
    <t>大环内酯类和类似物</t>
  </si>
  <si>
    <t>182.0579, 194.9053, 195.1227, 195.1385, 196.1431, 223.0281, 238.5788, 239.0639, 239.0871, 239.1280</t>
  </si>
  <si>
    <t>C12H18O2</t>
  </si>
  <si>
    <t>FT2879PR</t>
  </si>
  <si>
    <t>Dihydro-3-(2-octenyl)-2,5-furandione</t>
  </si>
  <si>
    <t>2-辛烯基琥珀酸酐(顺反异构体混合物)</t>
  </si>
  <si>
    <t>HMDB0033102</t>
  </si>
  <si>
    <t>42482-06-4</t>
  </si>
  <si>
    <t>CCCCC\C=C\CC1CC(=O)OC1=O</t>
  </si>
  <si>
    <t>WSGFXVFLWVXTCJ-VOTSOKGWSA-N</t>
  </si>
  <si>
    <t>151.1416, 165.1272, 175.1117, 175.1488, 193.1018, 193.1216, 211.0737, 211.1120, 211.1325, 211.1691</t>
  </si>
  <si>
    <t>C12H18O3</t>
  </si>
  <si>
    <t>FT4412PR</t>
  </si>
  <si>
    <t>6R,7S-Epoxy-3Z,9Z-eicosadiene</t>
  </si>
  <si>
    <t>6R,7S-环氧-3Z,9Z-二十碳二烯</t>
  </si>
  <si>
    <t>LMFA12000311</t>
  </si>
  <si>
    <t>CC/C=C\C[C@@H]1O[C@@H]1C/C=C\CCCCCCCCCC</t>
  </si>
  <si>
    <t>QBCBDINXYRUHGT-QEZHFABXSA-N</t>
  </si>
  <si>
    <t>Epoxides</t>
  </si>
  <si>
    <t>环氧化物</t>
  </si>
  <si>
    <t>165.7457, 184.1678, 191.1801, 219.2089, 275.2732, 293.2828, 310.2456, 310.2781, 310.3098, 330.3078</t>
  </si>
  <si>
    <t>C20H36O</t>
  </si>
  <si>
    <t>FT2951NR</t>
  </si>
  <si>
    <t>2,2'-Methylenebis(4-methyl-6-tert-butylphenol)</t>
  </si>
  <si>
    <t>2,2’-亚甲基双-(4-甲基-6-叔丁
基苯酚)</t>
  </si>
  <si>
    <t>HMDB0244434</t>
  </si>
  <si>
    <t>CC1=CC(CC2=CC(C)=CC(=C2O)C(C)(C)C)=C(O)C(=C1)C(C)(C)C</t>
  </si>
  <si>
    <t>KGRVJHAUYBGFFP-UHFFFAOYSA-N</t>
  </si>
  <si>
    <t>Diphenylmethanes</t>
  </si>
  <si>
    <t>二苯甲烷</t>
  </si>
  <si>
    <t>139.7845, 163.1124, 164.1154, 205.3923, 337.6354, 339.1346, 339.2321, 339.3275, 340.2353, 349.1793</t>
  </si>
  <si>
    <t>C23H32O2</t>
  </si>
  <si>
    <t>FT3954NR</t>
  </si>
  <si>
    <t>PE(0:0/16:1)</t>
  </si>
  <si>
    <t>磷脂酰乙醇胺(0:0/16:1)</t>
  </si>
  <si>
    <t>HMDB0011474</t>
  </si>
  <si>
    <t>LMGP02050037</t>
  </si>
  <si>
    <t>C(OP(OCCN)(O)=O)[C@]([H])(OC(=O)CCCCCCC/C=C\CCCCCC)CO</t>
  </si>
  <si>
    <t>MAFRHGZTIOAXEL-WHXUGTBJSA-N</t>
  </si>
  <si>
    <t>214.0474, 253.2168, 254.2196, 256.2357, 257.2380, 302.6830, 409.1203, 421.6494, 450.2617, 451.2638</t>
  </si>
  <si>
    <t>C21H42NO7P</t>
  </si>
  <si>
    <t>FT1017NR</t>
  </si>
  <si>
    <t>3-oxo capric acid</t>
  </si>
  <si>
    <t>3-氧代癸酸</t>
  </si>
  <si>
    <t>HMDB0010724</t>
  </si>
  <si>
    <t>LMFA01060028</t>
  </si>
  <si>
    <t>C(CCCCC)CC(=O)CC(=O)O</t>
  </si>
  <si>
    <t>YXTHWTPUTHTODU-UHFFFAOYSA-N</t>
  </si>
  <si>
    <t>Medium-chain keto acids and derivatives</t>
  </si>
  <si>
    <t>中链酮酸及其衍生物</t>
  </si>
  <si>
    <t>167.0842, 167.1074, 168.1107, 175.9756, 185.0812, 185.1180, 185.1455, 185.4754, 186.1160, 191.7199</t>
  </si>
  <si>
    <t>C10H18O3</t>
  </si>
  <si>
    <t>FT0741NR</t>
  </si>
  <si>
    <t>2-hydroxy caprylic acid</t>
  </si>
  <si>
    <t>2-羟基辛酸</t>
  </si>
  <si>
    <t>HMDB0000711</t>
  </si>
  <si>
    <t>LMFA01050020</t>
  </si>
  <si>
    <t>617-73-2</t>
  </si>
  <si>
    <t>C(CCCCC)C(O)C(=O)O</t>
  </si>
  <si>
    <t>JKRDADVRIYVCCY-UHFFFAOYSA-N</t>
  </si>
  <si>
    <t>130.7357, 130.9831, 141.0920, 154.0590, 157.0867, 158.8926, 159.0664, 159.1023, 159.8931, 160.1062</t>
  </si>
  <si>
    <t>C8H16O3</t>
  </si>
  <si>
    <t>FT0651NR</t>
  </si>
  <si>
    <t>D-Ribonolactone</t>
  </si>
  <si>
    <t>核糖内酯</t>
  </si>
  <si>
    <t>HMDB0001900</t>
  </si>
  <si>
    <t>C02674</t>
  </si>
  <si>
    <t>5336-08-3</t>
  </si>
  <si>
    <t>OC[C@H]1OC(=O)[C@H](O)[C@@H]1O</t>
  </si>
  <si>
    <t>CUOKHACJLGPRHD-BXXZVTAOSA-N</t>
  </si>
  <si>
    <t>101.0242, 103.0398, 122.0323, 129.0189, 130.0234, 146.0015, 146.6403, 146.8668, 147.0295, 147.9011</t>
  </si>
  <si>
    <t>C5H8O5</t>
  </si>
  <si>
    <t>FT4226PR</t>
  </si>
  <si>
    <t>5'-Methylthioadenosine</t>
  </si>
  <si>
    <t>5'-甲硫腺苷</t>
  </si>
  <si>
    <t>HMDB0001173</t>
  </si>
  <si>
    <t>C00170</t>
  </si>
  <si>
    <t>R-HSA-1237112,R-HSA-1430728,R-HSA-1614635,R-HSA-163841,R-HSA-351202,R-HSA-392499,R-HSA-5358493,R-HSA-597592,R-HSA-6782315,R-HSA-6782861,R-HSA-6790901,R-HSA-71291,R-HSA-72306,R-HSA-72312,R-HSA-8868773,R-HSA-8953854</t>
  </si>
  <si>
    <t>Methionine salvage pathway|Metabolism|Sulfur amino acid metabolism|Gamma carboxylation, hypusine formation and arylsulfatase activation|Metabolism of polyamines|Metabolism of proteins|Synthesis of diphthamide-EEF2|Post-translational protein modification|tRNA modification in the nucleus and cytosol|Synthesis of wybutosine at G37 of tRNA(Phe)|rRNA modification in the nucleus and cytosol|Metabolism of amino acids and derivatives|tRNA processing|rRNA processing|rRNA processing in the nucleus and cytosol|Metabolism of RNA</t>
  </si>
  <si>
    <t>2457-80-9</t>
  </si>
  <si>
    <t>CSC[C@H]1O[C@H]([C@H](O)[C@@H]1O)N1C=NC2=C1N=CN=C2N</t>
  </si>
  <si>
    <t>WUUGFSXJNOTRMR-IOSLPCCCSA-N</t>
  </si>
  <si>
    <t>5'-deoxyribonucleosides</t>
  </si>
  <si>
    <t>5'-deoxy-5'-thionucleosides</t>
  </si>
  <si>
    <t>5'-脱氧核苷酸</t>
  </si>
  <si>
    <t xml:space="preserve"> 5'-脱氧-5'-硫代核苷</t>
  </si>
  <si>
    <t>136.0617, 136.0736, 145.0323, 160.1053, 200.2553, 203.0057, 298.0957, 298.1472, 298.2435, 300.0621</t>
  </si>
  <si>
    <t>C11H15N5O3S</t>
  </si>
  <si>
    <t>FT6083PR</t>
  </si>
  <si>
    <t>PE(0:0/18:1)</t>
  </si>
  <si>
    <t>磷脂酰乙醇胺(0:0/18:1)</t>
  </si>
  <si>
    <t>HMDB0011476</t>
  </si>
  <si>
    <t>LMGP02050040</t>
  </si>
  <si>
    <t>C(OP(OCCN)(O)=O)[C@]([H])(OC(=O)CCCCCCC/C=C\CCCCCCCC)CO</t>
  </si>
  <si>
    <t>NOVZJYYJYIFXJC-MZMPXXGTSA-N</t>
  </si>
  <si>
    <t>302.7199, 308.2976, 339.1908, 339.2390, 339.2517, 339.2889, 339.3842, 340.2900, 462.2976, 480.3068</t>
  </si>
  <si>
    <t>FT2590NR</t>
  </si>
  <si>
    <t>Eicosadienoic acid</t>
  </si>
  <si>
    <t>二十碳二烯酸</t>
  </si>
  <si>
    <t>LMFA01030130</t>
  </si>
  <si>
    <t>2091-39-6</t>
  </si>
  <si>
    <t>C(/C=C/C/C=C/CCCCC)CCCCCCCCC(=O)O</t>
  </si>
  <si>
    <t>XSXIVVZCUAHUJO-AVQMFFATSA-N</t>
  </si>
  <si>
    <t>120.5202, 132.8846, 194.6768, 199.4568, 205.3964, 212.9937, 220.2952, 302.6988, 307.2637, 308.2677</t>
  </si>
  <si>
    <t>C20H36O2</t>
  </si>
  <si>
    <t>FT3189PR</t>
  </si>
  <si>
    <t>Butyrylcarnitine</t>
  </si>
  <si>
    <t>丁酰肉碱</t>
  </si>
  <si>
    <t>HMDB0002013</t>
  </si>
  <si>
    <t>LMFA07070003</t>
  </si>
  <si>
    <t>C02862</t>
  </si>
  <si>
    <t>25576-40-3</t>
  </si>
  <si>
    <t>O=C(O[C@](CC([O-])=O)(C[N+](C)(C)C)[H])CCC</t>
  </si>
  <si>
    <t>QWYFHHGCZUCMBN-SECBINFHSA-N</t>
  </si>
  <si>
    <t>153.1400, 173.0807, 173.0937, 194.9408, 203.9126, 205.3939, 208.8821, 232.1539, 232.2099, 233.0560</t>
  </si>
  <si>
    <t>C11H21NO4</t>
  </si>
  <si>
    <t>FT3056PR</t>
  </si>
  <si>
    <t>Isoamyl p-anisate</t>
  </si>
  <si>
    <t>对茴香酸异戊酯</t>
  </si>
  <si>
    <t>HMDB0038894</t>
  </si>
  <si>
    <t>27739-29-3</t>
  </si>
  <si>
    <t>COC1=CC=C(C=C1)C(=O)OCCC(C)C</t>
  </si>
  <si>
    <t>FVMBSMBXEVMMGH-UHFFFAOYSA-N</t>
  </si>
  <si>
    <t>191.1061, 193.1217, 200.9718, 205.1574, 213.8761, 223.0647, 223.1325, 223.1675, 225.0425, 227.0211</t>
  </si>
  <si>
    <t>C13H18O3</t>
  </si>
  <si>
    <t>FT3131PR</t>
  </si>
  <si>
    <t>Myristamide</t>
  </si>
  <si>
    <t>正十四烷基铵</t>
  </si>
  <si>
    <t>LMFA01100064</t>
  </si>
  <si>
    <t>O=C(CCCCCCCCCCCCC)N</t>
  </si>
  <si>
    <t>QEALYLRSRQDCRA-UHFFFAOYSA-N</t>
  </si>
  <si>
    <t>172.1703, 175.1480, 193.1580, 228.1206, 228.1623, 228.2319, 228.2720, 228.2861, 228.3120, 229.2356</t>
  </si>
  <si>
    <t>C14H29NO</t>
  </si>
  <si>
    <t>FT2244NR</t>
  </si>
  <si>
    <t>3-octadecynoic acid</t>
  </si>
  <si>
    <t>3-十八碳炔酸</t>
  </si>
  <si>
    <t>LMFA01030564</t>
  </si>
  <si>
    <t>C(CC#CCCCCCCCCCCCCCC)(=O)O</t>
  </si>
  <si>
    <t>PYMZBODKDYIROQ-UHFFFAOYSA-N</t>
  </si>
  <si>
    <t>155.0759, 168.9306, 261.2204, 278.0464, 279.1581, 279.1749, 279.2323, 279.3280, 280.2359, 280.4243</t>
  </si>
  <si>
    <t>C18H32O2</t>
  </si>
  <si>
    <t>FT6066PR</t>
  </si>
  <si>
    <t>PE(0:0/18:2)</t>
  </si>
  <si>
    <t>磷脂酰乙醇胺(0:0/18:2)</t>
  </si>
  <si>
    <t>HMDB0011477</t>
  </si>
  <si>
    <t>LMGP02050041</t>
  </si>
  <si>
    <t>C(OP(OCCN)(O)=O)[C@]([H])(OC(=O)CCCCCCC/C=C\C/C=C\CCCCC)CO</t>
  </si>
  <si>
    <t>SVRBKLJIDJHADS-USWSLJGRSA-N</t>
  </si>
  <si>
    <t>263.2369, 306.2781, 337.1253, 337.1768, 337.2731, 337.3980, 338.2763, 460.2821, 478.2839, 479.2987</t>
  </si>
  <si>
    <t>C23H44NO7P</t>
  </si>
  <si>
    <t>FT6783PR</t>
  </si>
  <si>
    <t>PC(20:0/0:0)</t>
  </si>
  <si>
    <t>LysoPC(20:0/0:0)</t>
  </si>
  <si>
    <t>HMDB0010390</t>
  </si>
  <si>
    <t>LMGP01050045</t>
  </si>
  <si>
    <t>108341-80-6</t>
  </si>
  <si>
    <t>[C@](COP(=O)([O-])OCC[N+](C)(C)C)([H])(O)COC(CCCCCCCCCCCCCCCCCCC)=O</t>
  </si>
  <si>
    <t>UATOAILWGVYRQS-HHHXNRCGSA-N</t>
  </si>
  <si>
    <t>194.9237, 205.3981, 205.8142, 221.1361, 294.1406, 297.5277, 374.3284, 534.3893, 552.4017, 553.4039</t>
  </si>
  <si>
    <t>C28H58NO7P</t>
  </si>
  <si>
    <t>FT6104PR</t>
  </si>
  <si>
    <t>PE(0:0/18:0)</t>
  </si>
  <si>
    <t>磷脂酰乙醇胺(0:0/18:0)</t>
  </si>
  <si>
    <t>HMDB0011129</t>
  </si>
  <si>
    <t>LMGP02050038</t>
  </si>
  <si>
    <t>899443-67-5</t>
  </si>
  <si>
    <t>C(OP(OCCN)(O)=O)[C@]([H])(OC(=O)CCCCCCCCCCCCCCCCC)CO</t>
  </si>
  <si>
    <t>KIHAGWUUUHJRMS-JOCHJYFZSA-N</t>
  </si>
  <si>
    <t>273.1760, 285.2812, 310.3102, 341.1824, 341.2649, 341.3046, 341.4009, 342.3101, 464.3140, 482.3200</t>
  </si>
  <si>
    <t>FT0374NR</t>
  </si>
  <si>
    <t>Taurine</t>
  </si>
  <si>
    <t>牛磺酸</t>
  </si>
  <si>
    <t>HMDB0000251</t>
  </si>
  <si>
    <t>C00245</t>
  </si>
  <si>
    <t>hsa00120,hsa00430,hsa00920,hsa02010,hsa04080</t>
  </si>
  <si>
    <t>Primary bile acid biosynthesis|Taurine and hypotaurine metabolism|Sulfur metabolism|ABC transporters|Neuroactive ligand-receptor interaction</t>
  </si>
  <si>
    <t>107-35-7</t>
  </si>
  <si>
    <t>NCCS(O)(=O)=O</t>
  </si>
  <si>
    <t>XOAAWQZATWQOTB-UHFFFAOYSA-N</t>
  </si>
  <si>
    <t>Organic sulfonic acids and derivatives</t>
  </si>
  <si>
    <t>Organosulfonic acids and derivatives</t>
  </si>
  <si>
    <t>有机磺酸及其衍生物</t>
  </si>
  <si>
    <t>69.3680, 79.9571, 79.9627, 80.9648, 94.9805, 101.7819, 106.9805, 124.0070, 124.9909, 125.0080</t>
  </si>
  <si>
    <t>C2H7NO3S</t>
  </si>
  <si>
    <t>FT3546NR</t>
  </si>
  <si>
    <t>1-O-(8R-hydroxy-8-methyl-3Z,9-decadienoyl)-beta-D-glucopyranose</t>
  </si>
  <si>
    <t>1-O-(8R-羟基-8-甲基-3Z,9-癸二烯酰基)-β-D-吡喃葡萄糖</t>
  </si>
  <si>
    <t>LMFA13010039</t>
  </si>
  <si>
    <t>O=C(C/C=C\CCC[C@](O)(C)C=C)O[C@H]1[C@H](O)[C@@H](O)[C@H](O)[C@@H](CO)O1</t>
  </si>
  <si>
    <t>VSVRDZASVIUYEH-KETPRWIJSA-N</t>
  </si>
  <si>
    <t>Fatty acyl glycosides</t>
  </si>
  <si>
    <t>脂肪酰糖苷</t>
  </si>
  <si>
    <t>85.0293, 87.0084, 113.0240, 129.0913, 158.9085, 205.3922, 361.1845, 387.1659, 405.1759, 405.2373</t>
  </si>
  <si>
    <t>C17H28O8</t>
  </si>
  <si>
    <t>FT3411PR</t>
  </si>
  <si>
    <t>gamma-Glutamylvaline</t>
  </si>
  <si>
    <t>γ-谷氨酰缬氨酸</t>
  </si>
  <si>
    <t>HMDB0011172</t>
  </si>
  <si>
    <t>2746-34-1</t>
  </si>
  <si>
    <t>CC(C)[C@H](NC(=O)CC[C@H](N)C(O)=O)C(O)=O</t>
  </si>
  <si>
    <t>AQAKHZVPOOGUCK-XPUUQOCRSA-N</t>
  </si>
  <si>
    <t>184.0969, 205.3922, 205.4128, 229.1586, 229.1946, 230.0811, 230.1016, 247.1300, 247.1695, 247.2054</t>
  </si>
  <si>
    <t>C10H18N2O5</t>
  </si>
  <si>
    <t>FT1905NR</t>
  </si>
  <si>
    <t>(5alpha,8beta,9beta)-5,9-Epoxy-3,6-megastigmadien-8-ol</t>
  </si>
  <si>
    <t>(5α,8β,9β)-5,9-环氧-3,6-巨石竹烯-8-醇</t>
  </si>
  <si>
    <t>HMDB0034672</t>
  </si>
  <si>
    <t>69927-26-0</t>
  </si>
  <si>
    <t>CC1OC2(C)C=CCC(C)(C)C2=CC1O</t>
  </si>
  <si>
    <t>ULAJGYNCWKGREU-UHFFFAOYSA-N</t>
  </si>
  <si>
    <t>Benzopyrans</t>
  </si>
  <si>
    <t>苯并吡喃类</t>
  </si>
  <si>
    <t>76.2086, 78.8789, 91.2780, 116.9280, 191.1433, 209.1540, 235.1334, 253.1440, 254.1470, 268.7557</t>
  </si>
  <si>
    <t>C13H20O2</t>
  </si>
  <si>
    <t>FT1203NR</t>
  </si>
  <si>
    <t>3-ethylphenyl Sulfate</t>
  </si>
  <si>
    <t>3-乙基苯基硫酸盐</t>
  </si>
  <si>
    <t>HMDB0062721</t>
  </si>
  <si>
    <t>CCC1=CC(OS(O)(=O)=O)=CC=C1</t>
  </si>
  <si>
    <t>DMIBREBMNWKSQY-UHFFFAOYSA-N</t>
  </si>
  <si>
    <t>200.9556, 200.9777, 200.9880, 201.0222, 201.0665, 201.0793, 201.1136, 201.7492, 202.0255, 205.3931</t>
  </si>
  <si>
    <t>C8H10O4S</t>
  </si>
  <si>
    <t>FT6969PR</t>
  </si>
  <si>
    <t>Lumirubin</t>
  </si>
  <si>
    <t>HMDB0254205</t>
  </si>
  <si>
    <t>CC1C(=O)NC2=CC3=NC(CC4=C(CCC(O)=O)C(C)=C(N4)C=C4NC(=O)C(C=C)=C4C)=C(CCC(O)=O)C3(C)CC=C12</t>
  </si>
  <si>
    <t>BYVDUQYJIIPFIB-UHFFFAOYSA-N</t>
  </si>
  <si>
    <t>280.2030, 284.1138, 299.1386, 299.2210, 300.1394, 304.6627, 311.5705, 333.5353, 354.5757, 585.2679</t>
  </si>
  <si>
    <t>C33H36N4O6</t>
  </si>
  <si>
    <t>FT0739NR</t>
  </si>
  <si>
    <t>3-Methyladipic acid</t>
  </si>
  <si>
    <t>3-甲基己二酸</t>
  </si>
  <si>
    <t>HMDB00555</t>
  </si>
  <si>
    <t>LMFA01170095</t>
  </si>
  <si>
    <t>3058-01-3</t>
  </si>
  <si>
    <t>C(=O)(O)CC(C)CCC(=O)O</t>
  </si>
  <si>
    <t>SYEOWUNSTUDKGM-UHFFFAOYSA-N</t>
  </si>
  <si>
    <t>113.0968, 115.0761, 130.6753, 130.9829, 141.0554, 156.7167, 158.8924, 159.0660, 159.1018, 159.8932</t>
  </si>
  <si>
    <t>C7H12O4</t>
  </si>
  <si>
    <t>FT5082NR</t>
  </si>
  <si>
    <t>Bilirubin</t>
  </si>
  <si>
    <t>HMDB0000054</t>
  </si>
  <si>
    <t>C00486</t>
  </si>
  <si>
    <t>hsa00860</t>
  </si>
  <si>
    <t>Porphyrin metabolism</t>
  </si>
  <si>
    <t>635-65-4</t>
  </si>
  <si>
    <t>CC1=C(C=C)\C(NC1=O)=C\C1=C(C)C(CCC(O)=O)=C(CC2=C(CCC(O)=O)C(C)=C(N2)\C=C2/NC(=O)C(C=C)=C2C)N1</t>
  </si>
  <si>
    <t>BPYKTIZUTYGOLE-IFADSCNNSA-N</t>
  </si>
  <si>
    <t>78.5247, 213.1031, 241.1346, 253.1352, 285.1239, 285.1594, 420.0571, 424.0335, 583.2568, 583.3536</t>
  </si>
  <si>
    <t>FT0752NR</t>
  </si>
  <si>
    <t>5-Hydroxy-1-methylpyrrolidin-2-one</t>
  </si>
  <si>
    <t>5-羟基-1-甲基-2-吡咯烷酮</t>
  </si>
  <si>
    <t>HMDB0246801</t>
  </si>
  <si>
    <t>CN1C(O)CCC1=O</t>
  </si>
  <si>
    <t>RMBHYULORNYSOB-UHFFFAOYSA-N</t>
  </si>
  <si>
    <t>Pyrrolidines</t>
  </si>
  <si>
    <t>N-alkylpyrrolidines</t>
  </si>
  <si>
    <t>吡咯烷类</t>
  </si>
  <si>
    <t xml:space="preserve"> N-烷基吡咯烷</t>
  </si>
  <si>
    <t>116.9283, 126.0258, 128.2904, 136.0148, 142.9248, 159.8933, 160.0612, 160.8419, 160.8920, 160.9353</t>
  </si>
  <si>
    <t>FT1319PR</t>
  </si>
  <si>
    <t>Trigonelline</t>
  </si>
  <si>
    <t>葫芦巴碱</t>
  </si>
  <si>
    <t>HMDB0000875</t>
  </si>
  <si>
    <t>C01004</t>
  </si>
  <si>
    <t>535-83-1</t>
  </si>
  <si>
    <t>C[N+]1=CC=CC(=C1)C([O-])=O</t>
  </si>
  <si>
    <t>WWNNZCOKKKDOPX-UHFFFAOYSA-N</t>
  </si>
  <si>
    <t>138.0349, 138.0548, 138.0748, 138.0799, 138.0885, 138.0925, 138.1090, 138.4639, 139.0582, 155.8883</t>
  </si>
  <si>
    <t>C7H7NO2</t>
  </si>
  <si>
    <t>FT1913NR</t>
  </si>
  <si>
    <t>Ascorbic acid 2-sulfate</t>
  </si>
  <si>
    <t>抗坏血酸2-硫酸盐</t>
  </si>
  <si>
    <t>HMDB0060649</t>
  </si>
  <si>
    <t>C02812</t>
  </si>
  <si>
    <t>37627-95-5</t>
  </si>
  <si>
    <t>[H][C@@]1(OC(=O)C(OS(O)(=O)=O)=C1O)[C@@H](O)CO</t>
  </si>
  <si>
    <t>XDBMXUKHMOFBPJ-ZAFYKAAXSA-N</t>
  </si>
  <si>
    <t>Dihydrofurans</t>
  </si>
  <si>
    <t>Furanones</t>
  </si>
  <si>
    <t>二氢呋喃</t>
  </si>
  <si>
    <t>呋喃酮类</t>
  </si>
  <si>
    <t>197.0538, 211.0693, 214.9877, 222.9488, 237.0489, 243.5762, 254.9813, 255.0107, 255.0591, 258.8011</t>
  </si>
  <si>
    <t>C6H8O9S</t>
  </si>
  <si>
    <t>FT2203PR</t>
  </si>
  <si>
    <t>2-Amino-5-ureidopentanoic acid</t>
  </si>
  <si>
    <t>DL-瓜氨酸</t>
  </si>
  <si>
    <t>HMDB0250742</t>
  </si>
  <si>
    <t>627-77-0</t>
  </si>
  <si>
    <t>NC(CCCNC(N)=O)C(O)=O</t>
  </si>
  <si>
    <t>RHGKLRLOHDJJDR-UHFFFAOYSA-N</t>
  </si>
  <si>
    <t>141.0656, 144.1016, 159.0608, 159.0762, 176.0117, 176.0375, 176.0676, 176.1037, 176.1279, 177.0877</t>
  </si>
  <si>
    <t>C6H13N3O3</t>
  </si>
  <si>
    <t>FT1292NR</t>
  </si>
  <si>
    <t>3-Methyldioxyindole</t>
  </si>
  <si>
    <t>3-羟基-3-甲基吲哚啉-2-酮</t>
  </si>
  <si>
    <t>HMDB0004186</t>
  </si>
  <si>
    <t>C05834</t>
  </si>
  <si>
    <t>hsa00380</t>
  </si>
  <si>
    <t>Tryptophan metabolism</t>
  </si>
  <si>
    <t>3040-34-4</t>
  </si>
  <si>
    <t>CC1(O)C(=O)NC2=CC=CC=C12</t>
  </si>
  <si>
    <t>XCHBYBKNFIOSBB-UHFFFAOYSA-N</t>
  </si>
  <si>
    <t>Indolines</t>
  </si>
  <si>
    <t>吲哚啉</t>
  </si>
  <si>
    <t>119.9378, 120.0456, 121.0293, 148.0402, 149.0476, 164.0712, 179.9361, 208.0609, 208.0942, 209.0442</t>
  </si>
  <si>
    <t>C9H9NO2</t>
  </si>
  <si>
    <t>FT0881NR</t>
  </si>
  <si>
    <t>Suberic acid</t>
  </si>
  <si>
    <t>辛二酸</t>
  </si>
  <si>
    <t>HMDB0000893</t>
  </si>
  <si>
    <t>LMFA01170001</t>
  </si>
  <si>
    <t>C08278</t>
  </si>
  <si>
    <t>505-48-6</t>
  </si>
  <si>
    <t>OC(CCCCCCC(=O)O)=O</t>
  </si>
  <si>
    <t>TYFQFVWCELRYAO-UHFFFAOYSA-N</t>
  </si>
  <si>
    <t>129.0917, 154.9446, 160.9735, 162.7330, 168.9641, 172.9906, 173.0245, 173.0813, 173.1177, 174.0841</t>
  </si>
  <si>
    <t>C8H14O4</t>
  </si>
  <si>
    <t>FT0627NR</t>
  </si>
  <si>
    <t>O-Acetylserine</t>
  </si>
  <si>
    <t>O-乙酰丝氨酸</t>
  </si>
  <si>
    <t>HMDB0003011</t>
  </si>
  <si>
    <t>C00979</t>
  </si>
  <si>
    <t>hsa00270,hsa00920,hsa04122</t>
  </si>
  <si>
    <t>Cysteine and methionine metabolism|Sulfur metabolism|Sulfur relay system</t>
  </si>
  <si>
    <t>5147-00-2</t>
  </si>
  <si>
    <t>CC(=O)OC[C@H](N)C(O)=O</t>
  </si>
  <si>
    <t>VZXPDPZARILFQX-BYPYZUCNSA-N</t>
  </si>
  <si>
    <t>128.0543, 129.0190, 129.0378, 146.0456, 146.0650, 146.0823, 146.8665, 147.0295, 147.0483, 151.7561</t>
  </si>
  <si>
    <t>C5H9NO4</t>
  </si>
  <si>
    <t>FT0731NR</t>
  </si>
  <si>
    <t>Acetylvaline</t>
  </si>
  <si>
    <t>N-乙酰缬氨酸</t>
  </si>
  <si>
    <t>HMDB0011757</t>
  </si>
  <si>
    <t>96-81-1</t>
  </si>
  <si>
    <t>CC(C)[C@H](NC(C)=O)C(O)=O</t>
  </si>
  <si>
    <t>IHYJTAOFMMMOPX-LURJTMIESA-N</t>
  </si>
  <si>
    <t>114.0921, 115.0764, 116.0713, 130.9838, 135.4258, 158.0816, 158.8933, 159.0661, 159.0858, 168.7149</t>
  </si>
  <si>
    <t>C7H13NO3</t>
  </si>
  <si>
    <t>FT0861PR</t>
  </si>
  <si>
    <t>2-Amino-1-phenylethanol</t>
  </si>
  <si>
    <t>2-羟基苯乙胺</t>
  </si>
  <si>
    <t>HMDB0001065</t>
  </si>
  <si>
    <t>C02735</t>
  </si>
  <si>
    <t>7568-93-6</t>
  </si>
  <si>
    <t>NCC(O)C1=CC=CC=C1</t>
  </si>
  <si>
    <t>ULSIYEODSMZIPX-UHFFFAOYSA-N</t>
  </si>
  <si>
    <t>118.0654, 119.0734, 120.0444, 120.0560, 120.0808, 120.0967, 120.1007, 120.1082, 121.0650, 121.0841</t>
  </si>
  <si>
    <t>C8H11NO</t>
  </si>
  <si>
    <t>FT1239NR</t>
  </si>
  <si>
    <t>beta-D-Glucopyranosylurea</t>
  </si>
  <si>
    <t>β-D-吡喃葡萄糖脲</t>
  </si>
  <si>
    <t>HMDB0249119</t>
  </si>
  <si>
    <t>NC(=O)NC1OC(CO)C(O)C(O)C1O</t>
  </si>
  <si>
    <t>FKWQEFWENKGUGF-UHFFFAOYSA-N</t>
  </si>
  <si>
    <t>202.9770, 203.0168, 203.0362, 203.0588, 203.0686, 203.1033, 203.1246, 204.0388, 204.1066, 222.4135</t>
  </si>
  <si>
    <t>C7H14N2O6</t>
  </si>
  <si>
    <t>FT3370PR</t>
  </si>
  <si>
    <t>3-Methylbut-2-enoylcarnitine</t>
  </si>
  <si>
    <t>3-甲基丁-2-烯酰肉碱</t>
  </si>
  <si>
    <t>HMDB0241659</t>
  </si>
  <si>
    <t>CC(C)=CC(=O)OC(CC([O-])=O)C[N+](C)(C)C</t>
  </si>
  <si>
    <t>KGPNNIOVWVIXOR-UHFFFAOYSA-N</t>
  </si>
  <si>
    <t>182.1540, 185.0658, 185.0805, 185.0995, 189.1179, 192.9832, 244.0110, 244.1309, 244.1540, 245.0987</t>
  </si>
  <si>
    <t>C12H21NO4</t>
  </si>
  <si>
    <t>FT5006PR</t>
  </si>
  <si>
    <t>1alpha,24-dihydroxy-25,26,27-trinorvitamin D3</t>
  </si>
  <si>
    <t>1α,24-二羟基-25,26,27-三去维生素D3</t>
  </si>
  <si>
    <t>LMST03020023</t>
  </si>
  <si>
    <t>[C@@H]1(O)C(=C)/C(=C\C=C2\[C@]3([H])CC[C@@]([C@@](C)([H])CCCO)([H])[C@@]3(C)CCC\2)/C[C@@H](O)C1</t>
  </si>
  <si>
    <t>GAFYEUBDVXSMDD-UUSULHAXSA-N</t>
  </si>
  <si>
    <t>247.1688, 257.2257, 261.1843, 275.2003, 301.2158, 321.2583, 339.2679, 357.1723, 357.2781, 358.2810</t>
  </si>
  <si>
    <t>FT5296PR</t>
  </si>
  <si>
    <t>(2-Amino-3-hydroxyoctadecyl) dihydrogen phosphate</t>
  </si>
  <si>
    <t>(2-氨基-3-羟基十八烷基)磷酸二氢盐</t>
  </si>
  <si>
    <t>HMDB0242462</t>
  </si>
  <si>
    <t>CCCCCCCCCCCCCCCC(O)C(N)COP(O)(O)=O</t>
  </si>
  <si>
    <t>YHEDRJPUIRMZMP-UHFFFAOYSA-N</t>
  </si>
  <si>
    <t>Sphingolipids</t>
  </si>
  <si>
    <t>Phosphosphingolipids</t>
  </si>
  <si>
    <t>鞘脂类</t>
  </si>
  <si>
    <t>磷脂鞘脂</t>
  </si>
  <si>
    <t>205.3903, 205.4127, 266.2836, 284.2944, 302.7085, 340.8552, 341.1744, 364.2611, 382.2708, 382.3155</t>
  </si>
  <si>
    <t>C18H40NO5P</t>
  </si>
  <si>
    <t>FT1554NR</t>
  </si>
  <si>
    <t>Dodecanedioic acid</t>
  </si>
  <si>
    <t>十二烷二酸</t>
  </si>
  <si>
    <t>HMDB0000623</t>
  </si>
  <si>
    <t>LMFA01170009</t>
  </si>
  <si>
    <t>C02678</t>
  </si>
  <si>
    <t>693-23-2</t>
  </si>
  <si>
    <t>C(CCCCCCCCCCC(=O)O)(=O)O</t>
  </si>
  <si>
    <t>TVIDDXQYHWJXFK-UHFFFAOYSA-N</t>
  </si>
  <si>
    <t>102.7826, 102.9566, 112.4031, 116.9286, 167.1439, 185.9255, 205.3964, 211.1335, 229.1440, 230.1487</t>
  </si>
  <si>
    <t>C12H22O4</t>
  </si>
  <si>
    <t>FT0424NR</t>
  </si>
  <si>
    <t>N-Acetyl-beta-alanine</t>
  </si>
  <si>
    <t>N-乙酰-β-丙氨酸</t>
  </si>
  <si>
    <t>HMDB0061880</t>
  </si>
  <si>
    <t>C01073</t>
  </si>
  <si>
    <t>hsa00410</t>
  </si>
  <si>
    <t>beta-Alanine metabolism</t>
  </si>
  <si>
    <t>3025-95-4</t>
  </si>
  <si>
    <t>CC(=O)NCCC(O)=O</t>
  </si>
  <si>
    <t>LJLLAWRMBZNPMO-UHFFFAOYSA-N</t>
  </si>
  <si>
    <t>Carboxylic acids</t>
  </si>
  <si>
    <t>羧酸</t>
  </si>
  <si>
    <t>86.0610, 87.0448, 88.0402, 95.2722, 112.0405, 128.5899, 130.0397, 130.0504, 130.0869, 131.0714</t>
  </si>
  <si>
    <t>FT3248PR</t>
  </si>
  <si>
    <t>Lidocaine</t>
  </si>
  <si>
    <t>利多卡因</t>
  </si>
  <si>
    <t>HMDB0014426</t>
  </si>
  <si>
    <t>C07073</t>
  </si>
  <si>
    <t>137-58-6</t>
  </si>
  <si>
    <t>CCN(CC)CC(=O)NC1=C(C)C=CC=C1C</t>
  </si>
  <si>
    <t>NNJVILVZKWQKPM-UHFFFAOYSA-N</t>
  </si>
  <si>
    <t>Xylenes</t>
  </si>
  <si>
    <t>二甲苯</t>
  </si>
  <si>
    <t>86.1094, 86.2983, 87.1002, 171.0071, 179.1065, 205.4083, 235.1096, 235.1803, 235.2358, 236.1823</t>
  </si>
  <si>
    <t>C14H22N2O</t>
  </si>
  <si>
    <t>FT0031PR</t>
  </si>
  <si>
    <t>Pyrrolidine</t>
  </si>
  <si>
    <t>四氢吡咯</t>
  </si>
  <si>
    <t>HMDB0031641</t>
  </si>
  <si>
    <t>123-75-1</t>
  </si>
  <si>
    <t>C1CCNC1</t>
  </si>
  <si>
    <t>RWRDLPDLKQPQOW-UHFFFAOYSA-N</t>
  </si>
  <si>
    <t>72.0779, 72.0812, 72.0888, 72.0906, 72.0946, 72.1783, 72.1955, 78.7323, 78.7584, 86.2590</t>
  </si>
  <si>
    <t>C4H9N</t>
  </si>
  <si>
    <t>FT1286NR</t>
  </si>
  <si>
    <t>Lycocasuarinen acid D</t>
  </si>
  <si>
    <t>番茄红素 D</t>
  </si>
  <si>
    <t>LMFA01060238</t>
  </si>
  <si>
    <t>C(/C=C/C=C/C(=O)C/C=C/CCC)(=O)O</t>
  </si>
  <si>
    <t>XIGPNOYQSILRRJ-CQBMMRDZSA-N</t>
  </si>
  <si>
    <t>164.1155, 165.0664, 179.1072, 179.1238, 179.9365, 192.0794, 206.9726, 207.0783, 207.1021, 208.1055</t>
  </si>
  <si>
    <t>FT4342PR</t>
  </si>
  <si>
    <t>5-Hydroxyoctanoylcarnitine</t>
  </si>
  <si>
    <t>5-羟基辛酰肉碱</t>
  </si>
  <si>
    <t>HMDB0241694</t>
  </si>
  <si>
    <t>CCCC(O)CCCC(=O)OC(CC([O-])=O)C[N+](C)(C)C</t>
  </si>
  <si>
    <t>QGIAELIQCWJQCP-UHFFFAOYSA-N</t>
  </si>
  <si>
    <t>193.6560, 205.3951, 205.4121, 208.8826, 227.1272, 245.1386, 280.8677, 304.1071, 304.2117, 313.0741</t>
  </si>
  <si>
    <t>C15H29NO5</t>
  </si>
  <si>
    <t>FT1229NR</t>
  </si>
  <si>
    <t>Sulfuric acid 4-methoxyphenyl ester</t>
  </si>
  <si>
    <t>硫酸4-甲氧基苯酯</t>
  </si>
  <si>
    <t>HMDB0242192</t>
  </si>
  <si>
    <t>COC1=CC=C(OS(O)(=O)=O)C=C1</t>
  </si>
  <si>
    <t>IGTMFIJOUADBDC-UHFFFAOYSA-N</t>
  </si>
  <si>
    <t>108.0215, 123.0449, 123.0524, 147.4548, 147.4672, 162.8471, 189.9098, 203.0015, 204.0054, 204.1226</t>
  </si>
  <si>
    <t>C7H8O5S</t>
  </si>
  <si>
    <t>FT0903PR</t>
  </si>
  <si>
    <t>Nicotinamide</t>
  </si>
  <si>
    <t>烟酰胺</t>
  </si>
  <si>
    <t>HMDB0001406</t>
  </si>
  <si>
    <t>C00153</t>
  </si>
  <si>
    <t>hsa00760,hsa04977</t>
  </si>
  <si>
    <t>Nicotinate and nicotinamide metabolism|Vitamin digestion and absorption</t>
  </si>
  <si>
    <t>R-HSA-110362,R-HSA-110373,R-HSA-1257604,R-HSA-1430728,R-HSA-1592230,R-HSA-162582,R-HSA-1640170,R-HSA-1643685,R-HSA-170834,R-HSA-1852241,R-HSA-195721,R-HSA-196807,R-HSA-196849,R-HSA-196854,R-HSA-197264,R-HSA-201681,R-HSA-212165,R-HSA-212436,R-HSA-2151201,R-HSA-2173793,R-HSA-2173795,R-HSA-2262752,R-HSA-2408508,R-HSA-2408522,R-HSA-2555396,R-HSA-2995383,R-HSA-2995410,R-HSA-3371453,R-HSA-3371556,R-HSA-427359,R-HSA-4641257,R-HSA-5250941,R-HSA-5336415,R-HSA-5339562,R-HSA-5663205,R-HSA-5685939,R-HSA-5693532,R-HSA-5693538,R-HSA-5693567,R-HSA-5693607,R-HSA-5696394,R-HSA-5696398,R-HSA-5696399,R-HSA-6807070,R-HSA-68882,R-HSA-68886,R-HSA-69278,R-HSA-71291,R-HSA-73857,R-HSA-73884,R-HSA-73894,R-HSA-73933,R-HSA-74160,R-HSA-8948751,R-HSA-8953897,R-HSA-9006925,R-HSA-9006936,R-HSA-9614085,R-HSA-9617629,R-HSA-9635486,R-HSA-9637679,R-HSA-9637698,R-HSA-9678108,R-HSA-9679506,R-HSA-9683610,R-HSA-9683701,R-HSA-9694516,R-HSA-9694631,R-HSA-9694635,R-HSA-9772573,R-HSA-9824439,R-HSA-9824446</t>
  </si>
  <si>
    <t>POLB-Dependent Long Patch Base Excision Repair|Resolution of AP sites via the multiple-nucleotide patch replacement pathway|PIP3 activates AKT signaling|Metabolism|Mitochondrial biogenesis|Signal Transduction|Cell Cycle|Disease|Signaling by TGF-beta Receptor Complex|Organelle biogenesis and maintenance|Signaling by WNT|Nicotinate metabolism|Metabolism of water-soluble vitamins and cofactors|Metabolism of vitamins and cofactors|Nicotinamide salvaging|TCF dependent signaling in response to WNT|Epigenetic regulation of gene expression|Generic Transcription Pathway|Transcriptional activation of mitochondrial biogenesis|Transcriptional activity of SMAD2/SMAD3:SMAD4 heterotrimer|Downregulation of SMAD2/3:SMAD4 transcriptional activity|Cellular responses to stress|Metabolism of ingested SeMet, Sec, MeSec into H2Se|Selenoamino acid metabolism|Mitotic Metaphase and Anaphase|Initiation of Nuclear Envelope (NE) Reformation|Nuclear Envelope (NE) Reassembly|Regulation of HSF1-mediated heat shock response|Cellular response to heat stress|SIRT1 negatively regulates rRNA expression|Degradation of AXIN|Negative epigenetic regulation of rRNA expression|Uptake and function of diphtheria toxin|Uptake and actions of bacterial toxins|Infectious disease|HDR through MMEJ (alt-NHEJ)|DNA Double-Strand Break Repair|Homology Directed Repair|HDR through Homologous Recombination (HRR) or Single Strand Annealing (SSA)|Processing of DNA double-strand break ends|DNA Damage Recognition in GG-NER|Nucleotide Excision Repair|Global Genome Nucleotide Excision Repair (GG-NER)|PTEN Regulation|Mitotic Anaphase|M Phase|Cell Cycle, Mitotic|Metabolism of amino acids and derivatives|RNA Polymerase II Transcription|Base Excision Repair|DNA Repair|Resolution of Abasic Sites (AP sites)|Gene expression (Transcription)|Regulation of PTEN stability and activity|Cellular responses to stimuli|Intracellular signaling by second messengers|Signaling by TGFB family members|FOXO-mediated transcription|Regulation of FOXO transcriptional activity by acetylation|Infection with Mycobacterium tuberculosis|Escape of Mtb from the phagocyte|Phagocyte cell death caused by cytosolic Mtb|SARS-CoV-1 Infection|SARS-CoV Infections|Maturation of nucleoprotein|Translation of Structural Proteins|SARS-CoV-2 Infection|Maturation of nucleoprotein|Translation of Structural Proteins|Late SARS-CoV-2 Infection Events|Bacterial Infection Pathways|Viral Infection Pathways</t>
  </si>
  <si>
    <t>98-92-0</t>
  </si>
  <si>
    <t>NC(=O)C1=CC=CN=C1</t>
  </si>
  <si>
    <t>DFPAKSUCGFBDDF-UHFFFAOYSA-N</t>
  </si>
  <si>
    <t>Pyridines and derivatives</t>
  </si>
  <si>
    <t>Pyridinecarboxylic acids and derivatives</t>
  </si>
  <si>
    <t>吡啶及其衍生物</t>
  </si>
  <si>
    <t>吡啶羧酸及其衍生物</t>
  </si>
  <si>
    <t>123.0914, 123.1003, 123.1167, 123.5088, 124.0393, 124.0495, 124.0588, 124.0756, 124.0852, 140.0334</t>
  </si>
  <si>
    <t>C6H6N2O</t>
  </si>
  <si>
    <t>FT0207NR</t>
  </si>
  <si>
    <t>3,5-Dimethyl-1,2-cyclopentanedione</t>
  </si>
  <si>
    <t>3,5-二甲基-1,2-环戊二酮</t>
  </si>
  <si>
    <t>HMDB0037027</t>
  </si>
  <si>
    <t>13494-07-0</t>
  </si>
  <si>
    <t>CC1CC(C)C(=O)C1=O</t>
  </si>
  <si>
    <t>MIDXCONKKJTLDX-UHFFFAOYSA-N</t>
  </si>
  <si>
    <t>105.0347, 106.0422, 107.0284, 107.0500, 107.0667, 108.0215, 108.0456, 108.0530, 123.0450, 124.8232</t>
  </si>
  <si>
    <t>C7H10O2</t>
  </si>
  <si>
    <t>FT0684NR</t>
  </si>
  <si>
    <t>Xanthine</t>
  </si>
  <si>
    <t>黄嘌呤</t>
  </si>
  <si>
    <t>HMDB0000292</t>
  </si>
  <si>
    <t>C00385</t>
  </si>
  <si>
    <t>hsa00230,hsa00232</t>
  </si>
  <si>
    <t>Purine metabolism|Caffeine metabolism</t>
  </si>
  <si>
    <t>R-HSA-1430728,R-HSA-15869,R-HSA-74259,R-HSA-8956319</t>
  </si>
  <si>
    <t>Metabolism|Metabolism of nucleotides|Purine catabolism|Nucleotide catabolism</t>
  </si>
  <si>
    <t>69-89-6</t>
  </si>
  <si>
    <t>O=C1NC2=C(NC=N2)C(=O)N1</t>
  </si>
  <si>
    <t>LRFVTYWOQMYALW-UHFFFAOYSA-N</t>
  </si>
  <si>
    <t>107.0500, 108.0201, 116.3849, 122.0370, 126.0309, 134.8599, 136.0164, 151.0258, 151.0368, 152.0359</t>
  </si>
  <si>
    <t>C5H4N4O2</t>
  </si>
  <si>
    <t>FT1785NR</t>
  </si>
  <si>
    <t>Ethylparaben sufate</t>
  </si>
  <si>
    <t>对羟基苯甲酸乙酯硫酸酯</t>
  </si>
  <si>
    <t>HMDB0240706</t>
  </si>
  <si>
    <t>CCOC(=O)C1=CC=C(OS(O)(=O)=O)C=C1</t>
  </si>
  <si>
    <t>LJXYMXIWXRFOHR-UHFFFAOYSA-N</t>
  </si>
  <si>
    <t>165.0814, 165.0872, 165.0990, 166.0587, 184.8322, 205.3881, 244.9515, 244.9644, 245.0120, 246.0151</t>
  </si>
  <si>
    <t>C9H10O6S</t>
  </si>
  <si>
    <t>FT2677NR</t>
  </si>
  <si>
    <t>9,10-DiHOME</t>
  </si>
  <si>
    <t>(±)-苏式-9,10-二羟基-12(Z)- 十八碳烯酸</t>
  </si>
  <si>
    <t>HMDB0004704</t>
  </si>
  <si>
    <t>LMFA02000229</t>
  </si>
  <si>
    <t>C14828</t>
  </si>
  <si>
    <t>hsa00591</t>
  </si>
  <si>
    <t>Linoleic acid metabolism</t>
  </si>
  <si>
    <t>263399-34-4</t>
  </si>
  <si>
    <t>OC(=O)CCCCCCCC(O)C(O)C/C=C\CCCCC</t>
  </si>
  <si>
    <t>XEBKSQSGNGRGDW-YFHOEESVSA-N</t>
  </si>
  <si>
    <t>171.1014, 183.1386, 194.1973, 199.0966, 201.1132, 277.2176, 295.2269, 312.9478, 313.2380, 313.2814</t>
  </si>
  <si>
    <t>FT3456PR</t>
  </si>
  <si>
    <t>4,8,12,16-hexadecatetraenoic acid</t>
  </si>
  <si>
    <t>4,8,12,16-十六碳四烯酸</t>
  </si>
  <si>
    <t>LMFA01030165</t>
  </si>
  <si>
    <t>C(/C=C/CCC=C)/C=C/CC/C=C/CCC(=O)O</t>
  </si>
  <si>
    <t>PPFXXOXUWGSHRC-JULSWDIZSA-N</t>
  </si>
  <si>
    <t>69.6047, 73.8540, 74.2847, 74.5754, 94.4308, 137.0596, 161.0956, 193.1220, 249.1540, 249.1845</t>
  </si>
  <si>
    <t>C16H24O2</t>
  </si>
  <si>
    <t>FT4408NR</t>
  </si>
  <si>
    <t>Lactupicrin methyl ester</t>
  </si>
  <si>
    <t>乳苦苷甲酯</t>
  </si>
  <si>
    <t>HMDB0303144</t>
  </si>
  <si>
    <t>COC(=O)C(=C)C1C(O)C2C(CO)=CC(=O)C2=C(C)CC1(C)OC(=O)CC1=CC=C(O)C=C1</t>
  </si>
  <si>
    <t>LYTHENPWSABMLO-UHFFFAOYSA-N</t>
  </si>
  <si>
    <t>239.0919, 261.0100, 261.0738, 261.1415, 262.0768, 302.6897, 319.9159, 425.1479, 501.1736, 502.1749</t>
  </si>
  <si>
    <t>C25H28O8</t>
  </si>
  <si>
    <t>FT0541NR</t>
  </si>
  <si>
    <t>Salicylic acid</t>
  </si>
  <si>
    <t>水杨酸</t>
  </si>
  <si>
    <t>HMDB0001895</t>
  </si>
  <si>
    <t>C00805</t>
  </si>
  <si>
    <t>69-72-7</t>
  </si>
  <si>
    <t>OC(=O)C1=C(O)C=CC=C1</t>
  </si>
  <si>
    <t>YGSDEFSMJLZEOE-UHFFFAOYSA-N</t>
  </si>
  <si>
    <t>93.0343, 94.0378, 108.0214, 109.0291, 136.8623, 137.0119, 137.0153, 137.0241, 137.0347, 138.0191</t>
  </si>
  <si>
    <t>C7H6O3</t>
  </si>
  <si>
    <t>FT6899PR</t>
  </si>
  <si>
    <t>PC(22:4/0:0)</t>
  </si>
  <si>
    <t>磷脂酰胆碱(22:4/0:0)</t>
  </si>
  <si>
    <t>HMDB0010401</t>
  </si>
  <si>
    <t>LMGP01050124</t>
  </si>
  <si>
    <t>[C@](COP(=O)([O-])OCC[N+](C)(C)C)([H])(O)COC(CCCCC/C=C\C/C=C\C/C=C\C/C=C\CCCCC)=O</t>
  </si>
  <si>
    <t>ZOJBSSVHFSBHMP-JJJSWPRASA-N</t>
  </si>
  <si>
    <t>228.8717, 258.1092, 302.7007, 409.6805, 445.2658, 487.5179, 504.3409, 554.3592, 572.3702, 573.3752</t>
  </si>
  <si>
    <t>C30H54NO7P</t>
  </si>
  <si>
    <t>FT1987NR</t>
  </si>
  <si>
    <t>gamma-Glutamylleucine</t>
  </si>
  <si>
    <t>γ-谷氨酰亮氨酸</t>
  </si>
  <si>
    <t>HMDB0011171</t>
  </si>
  <si>
    <t>2566-39-4</t>
  </si>
  <si>
    <t>CC(C)C[C@H](NC(=O)CC[C@H](N)C(O)=O)C(O)=O</t>
  </si>
  <si>
    <t>MYFMARDICOWMQP-YUMQZZPRSA-N</t>
  </si>
  <si>
    <t>146.9381, 173.9938, 190.9279, 197.1284, 223.1083, 241.1191, 242.8480, 258.9908, 259.1289, 284.6972</t>
  </si>
  <si>
    <t>C11H20N2O5</t>
  </si>
  <si>
    <t>FT4557PR</t>
  </si>
  <si>
    <t>Arachidonic Acid methyl ester</t>
  </si>
  <si>
    <t>花生四烯酸甲酯</t>
  </si>
  <si>
    <t>2566-89-4</t>
  </si>
  <si>
    <t>CCCCCC=CCC=CCC=CCC=CCCCC(=O)OC</t>
  </si>
  <si>
    <t>OFIDNKMQBYGNIW-ZKWNWVNESA-N</t>
  </si>
  <si>
    <t>203.1787, 221.1522, 235.1686, 245.2259, 249.1842, 259.2413, 269.2258, 287.2363, 319.1762, 319.2625</t>
  </si>
  <si>
    <t>C21H34O2</t>
  </si>
  <si>
    <t>FT5770PR</t>
  </si>
  <si>
    <t>PC(12:0/0:0)</t>
  </si>
  <si>
    <t>磷脂酰胆碱(12:0/0:0)</t>
  </si>
  <si>
    <t>HMDB0240697</t>
  </si>
  <si>
    <t>LMGP01050009</t>
  </si>
  <si>
    <t>[C@](COP(=O)([O-])OCC[N+](C)(C)C)([H])(O)COC(CCCCCCCCCCC)=O</t>
  </si>
  <si>
    <t>BWKILASWCLJPBO-LJQANCHMSA-N</t>
  </si>
  <si>
    <t>184.0732, 184.0876, 184.0923, 205.4067, 257.2098, 276.9867, 422.2653, 440.2063, 440.2764, 440.3467</t>
  </si>
  <si>
    <t>C20H42NO7P</t>
  </si>
  <si>
    <t>FT4954PR</t>
  </si>
  <si>
    <t>H-Phe-Trp-OH</t>
  </si>
  <si>
    <t>苯丙氨酰色氨酸</t>
  </si>
  <si>
    <t>HMDB0029006</t>
  </si>
  <si>
    <t>24587-41-5</t>
  </si>
  <si>
    <t>N[C@@H](CC1=CC=CC=C1)C(=O)N[C@@H](CC1=CNC2=CC=CC=C12)C(O)=O</t>
  </si>
  <si>
    <t>JMCOUWKXLXDERB-WMZOPIPTSA-N</t>
  </si>
  <si>
    <t>160.0349, 167.3057, 175.0862, 188.0704, 205.0969, 255.5217, 302.7240, 306.1594, 352.1257, 352.1649</t>
  </si>
  <si>
    <t>C20H21N3O3</t>
  </si>
  <si>
    <t>FT1533NR</t>
  </si>
  <si>
    <t>Traumatic acid</t>
  </si>
  <si>
    <t>愈伤酸</t>
  </si>
  <si>
    <t>HMDB0000933</t>
  </si>
  <si>
    <t>LMFA01170002</t>
  </si>
  <si>
    <t>C16308</t>
  </si>
  <si>
    <t>hsa00592</t>
  </si>
  <si>
    <t>alpha-Linolenic acid metabolism</t>
  </si>
  <si>
    <t>6402-36-4</t>
  </si>
  <si>
    <t>C(CC(=O)O)CCCCCC/C=C/C(=O)O</t>
  </si>
  <si>
    <t>MAZWDMBCPDUFDJ-VQHVLOKHSA-N</t>
  </si>
  <si>
    <t>158.9777, 165.1281, 183.1386, 184.1421, 205.3874, 209.1173, 227.1087, 227.1284, 227.1651, 228.1313</t>
  </si>
  <si>
    <t>FT1168NR</t>
  </si>
  <si>
    <t>2,6,6-Trimethyl-2-cyclohexene-1,4-dione</t>
  </si>
  <si>
    <t>4-氧代异佛尔酮</t>
  </si>
  <si>
    <t>HMDB0040216</t>
  </si>
  <si>
    <t>1125-21-9</t>
  </si>
  <si>
    <t>CC1=CC(=O)CC(C)(C)C1=O</t>
  </si>
  <si>
    <t>AYJXHIDNNLJQDT-UHFFFAOYSA-N</t>
  </si>
  <si>
    <t>179.0713, 180.0170, 196.8432, 197.0200, 197.0620, 197.0813, 197.1139, 198.0232, 198.0858, 211.3654</t>
  </si>
  <si>
    <t>C9H12O2</t>
  </si>
  <si>
    <t>FT5102NR</t>
  </si>
  <si>
    <t>Chenodeoxycholylphenylalanine</t>
  </si>
  <si>
    <t>鹅去氧胆基苯丙氨酸</t>
  </si>
  <si>
    <t>HMDB0242391</t>
  </si>
  <si>
    <t>CC(CCC(=O)NC(CC1=CC=CC=C1)C(O)=O)C1CCC2C3C(O)CC4CC(O)CCC4(C)C3CCC12C</t>
  </si>
  <si>
    <t>CEMZGPKUKMFNNF-UHFFFAOYSA-N</t>
  </si>
  <si>
    <t>242.3277, 253.2526, 255.2336, 299.2585, 480.3116, 485.1508, 524.3352, 525.3339, 584.3555, 599.2600</t>
  </si>
  <si>
    <t>C33H49NO5</t>
  </si>
  <si>
    <t>FT0867NR</t>
  </si>
  <si>
    <t>N-Acetyl-L-leucine</t>
  </si>
  <si>
    <t>N-乙酰亮氨酸</t>
  </si>
  <si>
    <t>HMDB0011756</t>
  </si>
  <si>
    <t>C02710</t>
  </si>
  <si>
    <t>1188-21-2</t>
  </si>
  <si>
    <t>CC(C)C[C@H](NC(C)=O)C(O)=O</t>
  </si>
  <si>
    <t>WXNXCEHXYPACJF-ZETCQYMHSA-N</t>
  </si>
  <si>
    <t>130.0870, 130.0985, 131.0906, 133.0081, 144.0456, 171.9811, 172.0402, 172.0972, 173.0816, 179.5100</t>
  </si>
  <si>
    <t>C8H15NO3</t>
  </si>
  <si>
    <t>FT6046PR</t>
  </si>
  <si>
    <t>PE(0:0/18:3)</t>
  </si>
  <si>
    <t>磷脂酰乙醇胺(0:0/18:3)</t>
  </si>
  <si>
    <t>HMDB0011479</t>
  </si>
  <si>
    <t>LMGP02050043</t>
  </si>
  <si>
    <t>C(OP(OCCN)(O)=O)[C@]([H])(OC(=O)CCCCCCC/C=C\C/C=C\C/C=C\CC)CO</t>
  </si>
  <si>
    <t>JGWWMNVPHKMUCV-WOBXFXBNSA-N</t>
  </si>
  <si>
    <t>261.2201, 304.2631, 335.2575, 392.5872, 458.2647, 476.2754, 476.3605, 476.3845, 481.6365, 488.6925</t>
  </si>
  <si>
    <t>C23H42NO7P</t>
  </si>
  <si>
    <t>FT4329NR</t>
  </si>
  <si>
    <t>1alpha,25-dihydroxy-24a,24b-dihomovitamin D3</t>
  </si>
  <si>
    <t>1α,25-二羟基-24a,24b-二高维生素 D3</t>
  </si>
  <si>
    <t>LMST03020421</t>
  </si>
  <si>
    <t>[C@@H]1(O)C(=C)/C(=C\C=C2\[C@]3([H])CC[C@@]([C@@](C)([H])CCCCCC(O)(C)C)([H])[C@@]3(C)CCC\2)/C[C@@H](O)C1</t>
  </si>
  <si>
    <t>NXSMZYQLQNEMOK-JSGLYZFWSA-N</t>
  </si>
  <si>
    <t>122.6539, 170.1973, 175.0539, 205.3879, 267.7568, 399.1023, 471.3442, 489.2734, 489.3581, 490.3608</t>
  </si>
  <si>
    <t>C29H48O3</t>
  </si>
  <si>
    <t>FT6885PR</t>
  </si>
  <si>
    <t>Janthitrem C</t>
  </si>
  <si>
    <t>化合物 T32259</t>
  </si>
  <si>
    <t>HMDB0040684</t>
  </si>
  <si>
    <t>73561-91-8</t>
  </si>
  <si>
    <t>CC(=C)C1OC2CCC3(C)C4(C)C(CC5=C4NC4=C5C=C5CC6C(=CC(C)(C)OC6(C)C)C5=C4)CCC3(O)C2=CC1O</t>
  </si>
  <si>
    <t>HVLXXQDJGPKVMK-UHFFFAOYSA-N</t>
  </si>
  <si>
    <t>Naphthopyrans</t>
  </si>
  <si>
    <t>萘并吡喃类</t>
  </si>
  <si>
    <t>184.1127, 184.1215, 184.7048, 185.0766, 258.1106, 387.2885, 552.3444, 566.9376, 570.3546, 571.3597</t>
  </si>
  <si>
    <t>C37H47NO4</t>
  </si>
  <si>
    <t>FT1981NR</t>
  </si>
  <si>
    <t>Ethyl gallate 3-sulfate</t>
  </si>
  <si>
    <t>没食子酸乙酯3-硫酸酯</t>
  </si>
  <si>
    <t>HMDB0240516</t>
  </si>
  <si>
    <t>CCOC(=O)C1=CC(O)=C(O)C(OS(O)(=O)=O)=C1</t>
  </si>
  <si>
    <t>JRHRIYQMDUZNBA-UHFFFAOYSA-N</t>
  </si>
  <si>
    <t>146.9606, 154.1161, 154.6792, 179.0347, 179.0492, 180.0392, 190.9278, 215.0018, 258.9913, 273.4169</t>
  </si>
  <si>
    <t>C9H10O8S</t>
  </si>
  <si>
    <t>FT5023PR</t>
  </si>
  <si>
    <t>(10E)-8-Hydroxydodec-10-enoylcarnitine</t>
  </si>
  <si>
    <t>(10E)-8-羟基十二-10-烯酰肉碱</t>
  </si>
  <si>
    <t>HMDB0241225</t>
  </si>
  <si>
    <t>CC=CCC(O)CCCCCCC(=O)OC(CC([O-])=O)C[N+](C)(C)C</t>
  </si>
  <si>
    <t>JQTYXVHESHDMCQ-UHFFFAOYSA-N</t>
  </si>
  <si>
    <t>137.1323, 141.5999, 155.1429, 205.3935, 222.5814, 248.0060, 299.1846, 358.2580, 358.3093, 359.2418</t>
  </si>
  <si>
    <t>C19H35NO5</t>
  </si>
  <si>
    <t>FT4517NR</t>
  </si>
  <si>
    <t>Taurocholic acid</t>
  </si>
  <si>
    <t>牛磺胆酸</t>
  </si>
  <si>
    <t>HMDB0000036</t>
  </si>
  <si>
    <t>LMST05040001</t>
  </si>
  <si>
    <t>C05122</t>
  </si>
  <si>
    <t>hsa00120,hsa00430,hsa04976,hsa04979</t>
  </si>
  <si>
    <t>Primary bile acid biosynthesis|Taurine and hypotaurine metabolism|Bile secretion|Cholesterol metabolism</t>
  </si>
  <si>
    <t>81-24-3</t>
  </si>
  <si>
    <t>[C@]12([C@H](O)C[C@]3([H])C[C@H](O)CC[C@]3(C)[C@@]1([H])C[C@H](O)[C@]1(C)[C@@]([H])([C@@](C)([H])CCC(NCCS(O)(=O)=O)=O)CC[C@@]21[H])[H]</t>
  </si>
  <si>
    <t>WBWWGRHZICKQGZ-HZAMXZRMSA-N</t>
  </si>
  <si>
    <t>128.5686, 205.3873, 281.4009, 302.6880, 349.8666, 514.0485, 514.2830, 514.4272, 514.4645, 515.2863</t>
  </si>
  <si>
    <t>C26H45NO7S</t>
  </si>
  <si>
    <t>FT1625PR</t>
  </si>
  <si>
    <t>Nudifloramide</t>
  </si>
  <si>
    <t>1-甲基-6-氧代吡啶-3-甲酰胺</t>
  </si>
  <si>
    <t>HMDB0004193</t>
  </si>
  <si>
    <t>C05842</t>
  </si>
  <si>
    <t>hsa00760</t>
  </si>
  <si>
    <t>Nicotinate and nicotinamide metabolism</t>
  </si>
  <si>
    <t>701-44-0</t>
  </si>
  <si>
    <t>CN1C=C(C=CC1=O)C(N)=O</t>
  </si>
  <si>
    <t>JLQSXXWTCJPCBC-UHFFFAOYSA-N</t>
  </si>
  <si>
    <t>153.0422, 153.0656, 153.0818, 153.0894, 153.1033, 153.1269, 153.1392, 153.5447, 154.0496, 154.0702</t>
  </si>
  <si>
    <t>C7H8N2O2</t>
  </si>
  <si>
    <t>FT1968NR</t>
  </si>
  <si>
    <t>4-(3-Hydroxybutyl)-3,3,5-trimethylcyclohexanone</t>
  </si>
  <si>
    <t>4-（3-羟基丁基）-3,3,5-三甲基环己酮</t>
  </si>
  <si>
    <t>HMDB0039805</t>
  </si>
  <si>
    <t>128660-70-8</t>
  </si>
  <si>
    <t>CC(O)CCC1C(C)CC(=O)CC1(C)C</t>
  </si>
  <si>
    <t>QIHMBTNCJUFMCE-UHFFFAOYSA-N</t>
  </si>
  <si>
    <t>195.1749, 205.3905, 209.4686, 239.1648, 243.2004, 257.1430, 257.1753, 257.2396, 257.9388, 258.1784</t>
  </si>
  <si>
    <t>C13H24O2</t>
  </si>
  <si>
    <t>FT1344NR</t>
  </si>
  <si>
    <t>4-Allylphenol sulfate</t>
  </si>
  <si>
    <t>4-烯丙基苯酚硫酸盐</t>
  </si>
  <si>
    <t>HMDB0170765</t>
  </si>
  <si>
    <t>1823179-01-6</t>
  </si>
  <si>
    <t>OS(=O)(=O)OC1=CC=C(CC=C)C=C1</t>
  </si>
  <si>
    <t>KFDHKOFCRYUXLA-UHFFFAOYSA-N</t>
  </si>
  <si>
    <t>131.1745, 133.0655, 134.0688, 136.1911, 169.1223, 195.1014, 213.0222, 213.1125, 213.1491, 214.0257</t>
  </si>
  <si>
    <t>C9H10O4S</t>
  </si>
  <si>
    <t>FT4915PR</t>
  </si>
  <si>
    <t>Cortodoxone</t>
  </si>
  <si>
    <t>皮质醇</t>
  </si>
  <si>
    <t>HMDB0000015</t>
  </si>
  <si>
    <t>LMST02030086</t>
  </si>
  <si>
    <t>C05488</t>
  </si>
  <si>
    <t>hsa00140,hsa04927,hsa04934</t>
  </si>
  <si>
    <t>Steroid hormone biosynthesis|Cortisol synthesis and secretion|Cushing syndrome</t>
  </si>
  <si>
    <t>R-HSA-1430728,R-HSA-1643685,R-HSA-194002,R-HSA-196071,R-HSA-211859,R-HSA-211897,R-HSA-211945,R-HSA-211976,R-HSA-556833,R-HSA-5579017,R-HSA-5579029,R-HSA-5668914,R-HSA-8957322</t>
  </si>
  <si>
    <t>Metabolism|Disease|Glucocorticoid biosynthesis|Metabolism of steroid hormones|Biological oxidations|Cytochrome P450 - arranged by substrate type|Phase I - Functionalization of compounds|Endogenous sterols|Metabolism of lipids|Defective CYP11B1 causes AH4|Metabolic disorders of biological oxidation enzymes|Diseases of metabolism|Metabolism of steroids</t>
  </si>
  <si>
    <t>152-58-9</t>
  </si>
  <si>
    <t>[C@]12(CCC3=CC(=O)CC[C@]3(C)[C@@]1([H])CC[C@]1(C)[C@](C(=O)CO)(O)CC[C@@]21[H])[H]</t>
  </si>
  <si>
    <t>WHBHBVVOGNECLV-OBQKJFGGSA-N</t>
  </si>
  <si>
    <t>217.1225, 232.7047, 302.6919, 303.0235, 311.2026, 319.1910, 329.2108, 347.0135, 347.2209, 347.2634</t>
  </si>
  <si>
    <t>C21H30O4</t>
  </si>
  <si>
    <t>FT3012NR</t>
  </si>
  <si>
    <t>Nepetaside</t>
  </si>
  <si>
    <t>荆芥苷</t>
  </si>
  <si>
    <t>HMDB0038149</t>
  </si>
  <si>
    <t>114076-56-1</t>
  </si>
  <si>
    <t>CC1C(CC2C1C(=O)OCC2C)OC1OC(CO)C(O)C(O)C1O</t>
  </si>
  <si>
    <t>CUIDBUWFCFYEPL-UHFFFAOYSA-N</t>
  </si>
  <si>
    <t>Terpene glycosides</t>
  </si>
  <si>
    <t>萜烯苷</t>
  </si>
  <si>
    <t>253.5373, 267.3225, 285.1335, 291.7805, 301.0076, 327.1430, 344.9992, 345.0515, 345.1549, 346.1569</t>
  </si>
  <si>
    <t>C16H26O8</t>
  </si>
  <si>
    <t>FT7011PR</t>
  </si>
  <si>
    <t>Urobilin</t>
  </si>
  <si>
    <t>尿胆素</t>
  </si>
  <si>
    <t>HMDB0004160</t>
  </si>
  <si>
    <t>C05794</t>
  </si>
  <si>
    <t>R-HSA-1430728,R-HSA-189445,R-HSA-189483</t>
  </si>
  <si>
    <t>Metabolism|Metabolism of porphyrins|Heme degradation</t>
  </si>
  <si>
    <t>1856-98-0</t>
  </si>
  <si>
    <t>[H]C(C1=C(CCC(O)=O)C(C)=C(CC2NC(=O)C(C)=C2CC)N1)=C1N=C(CC2NC(=O)C(CC)=C2C)C(C)=C1CCC(O)=O</t>
  </si>
  <si>
    <t>KDCCOOGTVSRCHX-UHFFFAOYSA-N</t>
  </si>
  <si>
    <t>259.2444, 283.1454, 301.1543, 303.1699, 343.1641, 344.1735, 466.2340, 468.2486, 587.9283, 591.3156</t>
  </si>
  <si>
    <t>C33H42N4O6</t>
  </si>
  <si>
    <t>FT2423NR</t>
  </si>
  <si>
    <t>9(S)-HPODE</t>
  </si>
  <si>
    <t>9(S)-羟基十八碳二烯酸</t>
  </si>
  <si>
    <t>HMDB0006940</t>
  </si>
  <si>
    <t>C14827</t>
  </si>
  <si>
    <t>CCCCC\C=C/C=C/C(CCCCCCCC(O)=O)OO</t>
  </si>
  <si>
    <t>JGUNZIWGNMQSBM-ZJHFMPGASA-N</t>
  </si>
  <si>
    <t>64.1663, 70.0768, 70.1591, 89.0242, 188.1896, 209.7248, 236.1072, 264.6694, 293.1761, 293.2117</t>
  </si>
  <si>
    <t>FT0750NR</t>
  </si>
  <si>
    <t>serine-glyoxylate</t>
  </si>
  <si>
    <t>丝氨酸-乙醛酸</t>
  </si>
  <si>
    <t>HMDB0258250</t>
  </si>
  <si>
    <t>NC(COC(=O)C=O)C(O)=O</t>
  </si>
  <si>
    <t>DDJZHSIJBRDBFD-UHFFFAOYSA-N</t>
  </si>
  <si>
    <t>114.0192, 116.0350, 131.0344, 132.0298, 142.0508, 160.0249, 160.0389, 160.0604, 160.1175, 160.8418</t>
  </si>
  <si>
    <t>C5H7NO5</t>
  </si>
  <si>
    <t>FT0028NR</t>
  </si>
  <si>
    <t>Phosphate</t>
  </si>
  <si>
    <t>2S-氨基-1-(磷酸二氢)-4E-十八烯-1,3R-二醇</t>
  </si>
  <si>
    <t>HMDB0001429</t>
  </si>
  <si>
    <t>C00009</t>
  </si>
  <si>
    <t>hsa00190,hsa02010,hsa04928,hsa04978,hsa05012,hsa05022</t>
  </si>
  <si>
    <t>Oxidative phosphorylation|ABC transporters|Parathyroid hormone synthesis, secretion and action|Mineral absorption|Parkinson disease|Pathways of neurodegeneration - multiple diseases</t>
  </si>
  <si>
    <t>14265-44-2</t>
  </si>
  <si>
    <t>OP(O)(O)=O</t>
  </si>
  <si>
    <t>NBIIXXVUZAFLBC-UHFFFAOYSA-N</t>
  </si>
  <si>
    <t>Homogeneous non-metal compounds</t>
  </si>
  <si>
    <t>Non-metal oxoanionic compounds</t>
  </si>
  <si>
    <t>Non-metal phosphates</t>
  </si>
  <si>
    <t>均质非金属化合物</t>
  </si>
  <si>
    <t>非金属氧阴离子化合物</t>
  </si>
  <si>
    <t>非金属磷酸盐</t>
  </si>
  <si>
    <t>66.6290, 69.3374, 69.3521, 69.4880, 69.4961, 72.5483, 78.9187, 78.9588, 78.9997, 79.3146</t>
  </si>
  <si>
    <t>H3O4P</t>
  </si>
  <si>
    <t>FT1145NR</t>
  </si>
  <si>
    <t>3-Hydroxyhippuric acid</t>
  </si>
  <si>
    <t>3-羟基马尿酸</t>
  </si>
  <si>
    <t>HMDB0006116</t>
  </si>
  <si>
    <t>1637-75-8</t>
  </si>
  <si>
    <t>OC(=O)CNC(=O)C1=CC=CC(O)=C1</t>
  </si>
  <si>
    <t>XDOFWFNMYJRHEW-UHFFFAOYSA-N</t>
  </si>
  <si>
    <t>71.1602, 93.0343, 95.0835, 103.5164, 128.2946, 148.0409, 150.0421, 150.0556, 184.5359, 194.0455</t>
  </si>
  <si>
    <t>C9H9NO4</t>
  </si>
  <si>
    <t>FT0819NR</t>
  </si>
  <si>
    <t>2-Mercaptobenzothiazole</t>
  </si>
  <si>
    <t>2-巯基苯并噻唑</t>
  </si>
  <si>
    <t>HMDB0030524</t>
  </si>
  <si>
    <t>C14437</t>
  </si>
  <si>
    <t>149-30-4</t>
  </si>
  <si>
    <t>S=C1NC2=C(S1)C=CC=C2</t>
  </si>
  <si>
    <t>YXIWHUQXZSMYRE-UHFFFAOYSA-N</t>
  </si>
  <si>
    <t>Benzothiazoles</t>
  </si>
  <si>
    <t>苯并噻唑类</t>
  </si>
  <si>
    <t>122.0327, 134.0067, 136.0164, 138.0191, 165.9459, 165.9786, 166.0124, 166.0500, 166.9820, 183.0991</t>
  </si>
  <si>
    <t>C7H5NS2</t>
  </si>
  <si>
    <t>FT4981NR</t>
  </si>
  <si>
    <t>(3alpha,5beta,7alpha)-23-Carboxy-7-hydroxy-24-norcholan-3-yl-beta-D-Glucopyranosiduronic acid</t>
  </si>
  <si>
    <t>(3α,5β,7α)-23-羧基-7-羟基-24-去甲胆烷-3-基-β-D-吡喃葡萄糖醛酸</t>
  </si>
  <si>
    <t>HMDB0243600</t>
  </si>
  <si>
    <t>CC(CCC(O)=O)C1CCC2C3C(O)CC4CC(CCC4(C)C3CCC12C)OC1OC(C(O)C(O)C1O)C(O)=O</t>
  </si>
  <si>
    <t>GDNGOAUIUTXUES-UHFFFAOYSA-N</t>
  </si>
  <si>
    <t>Steroidal glycosides</t>
  </si>
  <si>
    <t>甾体苷类</t>
  </si>
  <si>
    <t>113.0239, 137.7597, 137.9943, 175.0235, 205.3911, 317.7186, 436.8331, 567.3165, 567.4222, 568.3210</t>
  </si>
  <si>
    <t>C30H48O10</t>
  </si>
  <si>
    <t>FT2198PR</t>
  </si>
  <si>
    <t>3-Indoleacetic acid</t>
  </si>
  <si>
    <t>吲哚乙酸</t>
  </si>
  <si>
    <t>HMDB0000197</t>
  </si>
  <si>
    <t>C00954</t>
  </si>
  <si>
    <t>87-51-4</t>
  </si>
  <si>
    <t>OC(=O)CC1=CNC2=C1C=CC=C2</t>
  </si>
  <si>
    <t>SEOVTRFCIGRIMH-UHFFFAOYSA-N</t>
  </si>
  <si>
    <t>173.7251, 174.6482, 174.8875, 175.8220, 176.0703, 177.0116, 177.2653, 178.2133, 178.4632, 179.4238</t>
  </si>
  <si>
    <t>C10H9NO2</t>
  </si>
  <si>
    <t>FT4795PR</t>
  </si>
  <si>
    <t>Dehydrophytosphingosine</t>
  </si>
  <si>
    <t>脱氢植物鞘氨醇</t>
  </si>
  <si>
    <t>LMSP01030002</t>
  </si>
  <si>
    <t>OC[C@]([H])(N)[C@]([H])(O)[C@@](O)([H])CCC/C=C/CCCCCCCCC</t>
  </si>
  <si>
    <t>CQKNELOTFUSOTP-HMTIOLNVSA-N</t>
  </si>
  <si>
    <t>81.8205, 84.3264, 84.5630, 84.5692, 103.1544, 108.5193, 129.4982, 158.7747, 338.2659, 338.3414</t>
  </si>
  <si>
    <t>C18H37NO3</t>
  </si>
  <si>
    <t>FT6641PR</t>
  </si>
  <si>
    <t>PC(19:0/0:0)</t>
  </si>
  <si>
    <t>磷脂酰胆碱(19:0/0:0)</t>
  </si>
  <si>
    <t>LMGP01050041</t>
  </si>
  <si>
    <t>[C@](COP(=O)([O-])OCC[N+](C)(C)C)([H])(O)COC(CCCCCCCCCCCCCCCCCC)=O</t>
  </si>
  <si>
    <t>WYIMORDZGCUBAA-AREMUKBSSA-N</t>
  </si>
  <si>
    <t>195.0491, 290.9881, 301.0624, 334.3343, 355.3199, 372.3639, 520.3763, 526.8215, 538.3874, 538.4827</t>
  </si>
  <si>
    <t>C27H56NO7P</t>
  </si>
  <si>
    <t>FT4535PR</t>
  </si>
  <si>
    <t>Octanedioylcarnitine</t>
  </si>
  <si>
    <t>辛二酰肉碱</t>
  </si>
  <si>
    <t>HMDB0241733</t>
  </si>
  <si>
    <t>C[N+](C)(C)CC(CC([O-])=O)OC(=O)CCCCCCC(O)=O</t>
  </si>
  <si>
    <t>YVWVEIPYMGBQPE-UHFFFAOYSA-N</t>
  </si>
  <si>
    <t>157.0859, 175.0340, 175.0959, 183.6194, 259.1168, 298.2462, 318.1470, 318.1905, 318.9257, 319.1945</t>
  </si>
  <si>
    <t>C15H27NO6</t>
  </si>
  <si>
    <t>FT7130PR</t>
  </si>
  <si>
    <t>Glycochenodeoxycholic acid 3-glucuronide</t>
  </si>
  <si>
    <t>甘草脱氧胆酸3-葡萄糖苷酸</t>
  </si>
  <si>
    <t>HMDB02579</t>
  </si>
  <si>
    <t>LMST05010048</t>
  </si>
  <si>
    <t>O([C@H]1C[C@@]2([H])C[C@@H](O)[C@@]3([H])[C@]4([H])CC[C@]([H])([C@@](C)([H])CCC(=O)NCC(=O)O)[C@@]4(C)CC[C@]3([H])[C@@]2(C)CC1)[C@H]1[C@H](O)[C@H]([C@H](O)[C@@H](C(=O)O)O1)O</t>
  </si>
  <si>
    <t>ABFZMYIIUREPLL-ASWJIRIHSA-N</t>
  </si>
  <si>
    <t>321.2585, 339.2677, 352.3352, 414.2991, 432.3096, 450.3196, 531.8708, 590.3296, 608.3463, 626.3501</t>
  </si>
  <si>
    <t>C32H51NO11</t>
  </si>
  <si>
    <t>FT0438NR</t>
  </si>
  <si>
    <t>L-Asparagine</t>
  </si>
  <si>
    <t>L-天冬酰胺</t>
  </si>
  <si>
    <t>HMDB0000168</t>
  </si>
  <si>
    <t>C00152</t>
  </si>
  <si>
    <t>hsa00250,hsa00970,hsa05230</t>
  </si>
  <si>
    <t>Alanine, aspartate and glutamate metabolism|Aminoacyl-tRNA biosynthesis|Central carbon metabolism in cancer</t>
  </si>
  <si>
    <t>70-47-3</t>
  </si>
  <si>
    <t>N[C@@H](CC(N)=O)C(O)=O</t>
  </si>
  <si>
    <t>DCXYFEDJOCDNAF-REOHCLBHSA-N</t>
  </si>
  <si>
    <t>113.0354, 114.0194, 130.8889, 131.0455, 131.0718, 131.0822, 131.8895, 132.0299, 137.9383, 146.1472</t>
  </si>
  <si>
    <t>C4H8N2O3</t>
  </si>
  <si>
    <t>FT1935NR</t>
  </si>
  <si>
    <t>(6R,8Z)-6-Hydroxy-3-oxotetradecenoic acid</t>
  </si>
  <si>
    <t>(6R,8Z)-6-羟基-3-氧代十四烯酸</t>
  </si>
  <si>
    <t>HMDB0062363</t>
  </si>
  <si>
    <t>CCCCC\C=C/C[C@H](O)CCC(=O)CC(O)=O</t>
  </si>
  <si>
    <t>JVEAMJNRAYIMIF-DGMVEKRQSA-N</t>
  </si>
  <si>
    <t>186.9268, 193.1593, 211.1699, 237.1491, 255.0606, 255.1597, 255.2050, 255.2313, 255.6293, 256.1635</t>
  </si>
  <si>
    <t>C14H24O4</t>
  </si>
  <si>
    <t>FT4364NR</t>
  </si>
  <si>
    <t>Pregnanediol 3-O-glucuronide</t>
  </si>
  <si>
    <t>孕烷二醇 3-O-葡萄糖醛酸苷</t>
  </si>
  <si>
    <t>HMDB0010318</t>
  </si>
  <si>
    <t>C03033</t>
  </si>
  <si>
    <t>hsa00040,hsa00053</t>
  </si>
  <si>
    <t>Pentose and glucuronate interconversions|Ascorbate and aldarate metabolism</t>
  </si>
  <si>
    <t>1852-49-9</t>
  </si>
  <si>
    <t>[H][C@@]1(CC[C@@]2([H])[C@]3([H])CC[C@]4([H])C[C@@H](CC[C@]4(C)[C@@]3([H])CC[C@]12C)O[C@]1([H])O[C@@H]([C@@H](O)[C@H](O)[C@H]1O)C(O)=O)[C@H](C)O</t>
  </si>
  <si>
    <t>ZFFFJLDTCLJDHL-JQYCEVDMSA-N</t>
  </si>
  <si>
    <t>132.0731, 148.4997, 152.9766, 179.1062, 205.3824, 205.4013, 302.6977, 349.5284, 495.2956, 496.2972</t>
  </si>
  <si>
    <t>C27H44O8</t>
  </si>
  <si>
    <t>FT3547NR</t>
  </si>
  <si>
    <t>Cortisone</t>
  </si>
  <si>
    <t>可的松</t>
  </si>
  <si>
    <t>HMDB0002802</t>
  </si>
  <si>
    <t>LMST02030090</t>
  </si>
  <si>
    <t>C00762</t>
  </si>
  <si>
    <t>hsa00140,hsa04960</t>
  </si>
  <si>
    <t>Steroid hormone biosynthesis|Aldosterone-regulated sodium reabsorption</t>
  </si>
  <si>
    <t>R-HSA-1430728,R-HSA-194002,R-HSA-196071,R-HSA-556833,R-HSA-8957322,R-HSA-9709957,R-HSA-9717189,R-HSA-9717207</t>
  </si>
  <si>
    <t>Metabolism|Glucocorticoid biosynthesis|Metabolism of steroid hormones|Metabolism of lipids|Metabolism of steroids|Sensory Perception|Sensory perception of taste|Sensory perception of sweet, bitter, and umami (glutamate) taste</t>
  </si>
  <si>
    <t>53-06-5</t>
  </si>
  <si>
    <t>[C@@]12([H])CC[C@](O)(C(=O)CO)[C@@]1(C)CC(=O)[C@]1([H])[C@@]3(C)CCC(=O)C=C3CC[C@@]21[H]</t>
  </si>
  <si>
    <t>MFYSYFVPBJMHGN-ZPOLXVRWSA-N</t>
  </si>
  <si>
    <t>301.1798, 309.7894, 311.1645, 323.0871, 327.1593, 329.1752, 341.1750, 359.1887, 361.1614, 405.1926</t>
  </si>
  <si>
    <t>C21H28O5</t>
  </si>
  <si>
    <t>FT1967NR</t>
  </si>
  <si>
    <t>2,6,10,10-Tetramethyl-1-oxaspiro[4.5]decan-6-ol</t>
  </si>
  <si>
    <t>2,6,10,10-四甲基-1-氧杂螺[4.5]癸-6-醇</t>
  </si>
  <si>
    <t>HMDB0037907</t>
  </si>
  <si>
    <t>53398-90-6</t>
  </si>
  <si>
    <t>CC1CCC2(O1)C(C)(C)CCCC2(C)O</t>
  </si>
  <si>
    <t>LJOISVFAMDWVFA-UHFFFAOYSA-N</t>
  </si>
  <si>
    <t>169.5977, 183.9471, 195.1750, 199.2588, 205.3927, 239.1649, 257.1754, 257.2008, 257.9405, 258.1779</t>
  </si>
  <si>
    <t>FT0344NR</t>
  </si>
  <si>
    <t>2,4-dihydroxy-butanoic acid</t>
  </si>
  <si>
    <t>2,4-二羟基-丁酸</t>
  </si>
  <si>
    <t>HMDB0000360</t>
  </si>
  <si>
    <t>LMFA01050385</t>
  </si>
  <si>
    <t>1518-62-3</t>
  </si>
  <si>
    <t>C(=O)(O)C(O)CCO</t>
  </si>
  <si>
    <t>UFYGCFHQAXXBCF-UHFFFAOYSA-N</t>
  </si>
  <si>
    <t>Short-chain hydroxy acids and derivatives</t>
  </si>
  <si>
    <t>短链羟基酸及其衍生物</t>
  </si>
  <si>
    <t>72.9929, 73.0293, 73.9963, 75.0086, 76.7262, 99.0087, 101.0242, 119.0346, 120.0383, 138.2929</t>
  </si>
  <si>
    <t>C4H8O4</t>
  </si>
  <si>
    <t>FT4847PR</t>
  </si>
  <si>
    <t>(9E)-Dodecenoylcarnitine</t>
  </si>
  <si>
    <t>(9E)-十二烯酰肉碱</t>
  </si>
  <si>
    <t>HMDB0241209</t>
  </si>
  <si>
    <t>CCC=CCCCCCCCC(=O)OC(CC([O-])=O)C[N+](C)(C)C</t>
  </si>
  <si>
    <t>TUQCQWAZQTVDEE-UHFFFAOYSA-N</t>
  </si>
  <si>
    <t>274.4078, 283.1898, 289.5492, 299.5338, 301.1408, 307.2583, 324.6883, 342.0153, 342.0748, 342.2632</t>
  </si>
  <si>
    <t>C19H35NO4</t>
  </si>
  <si>
    <t>FT6351PR</t>
  </si>
  <si>
    <t>PC(O-18:0/0:0)</t>
  </si>
  <si>
    <t>磷脂酰胆碱(O-18:0/0:0)</t>
  </si>
  <si>
    <t>HMDB0011149</t>
  </si>
  <si>
    <t>LMGP01060014</t>
  </si>
  <si>
    <t>C04317</t>
  </si>
  <si>
    <t>hsa00565</t>
  </si>
  <si>
    <t>Ether lipid metabolism</t>
  </si>
  <si>
    <t>74430-89-0</t>
  </si>
  <si>
    <t>[C@](COP(=O)([O-])OCC[N+](C)(C)C)([H])(O)COCCCCCCCCCCCCCCCCCC</t>
  </si>
  <si>
    <t>XKBJVQHMEXMFDZ-AREMUKBSSA-N</t>
  </si>
  <si>
    <t>78.3212, 86.0968, 103.5430, 104.1072, 124.9992, 176.6546, 184.0735, 384.7854, 510.3903, 517.8447</t>
  </si>
  <si>
    <t>FT6576PR</t>
  </si>
  <si>
    <t>PE(0:0/22:4)</t>
  </si>
  <si>
    <t>磷脂酰乙醇胺(0:0/22:4)</t>
  </si>
  <si>
    <t>HMDB0011493</t>
  </si>
  <si>
    <t>LMGP02050057</t>
  </si>
  <si>
    <t>C(OP(OCCN)(O)=O)[C@]([H])(OC(=O)CCCCC/C=C\C/C=C\C/C=C\C/C=C\CCCCC)CO</t>
  </si>
  <si>
    <t>VLFJNHPNIOTOOA-YMIVKDKMSA-N</t>
  </si>
  <si>
    <t>189.1649, 216.0633, 302.6988, 315.2693, 358.3087, 389.3040, 476.0348, 512.3115, 529.8098, 530.3229</t>
  </si>
  <si>
    <t>C27H48NO7P</t>
  </si>
  <si>
    <t>FT1231NR</t>
  </si>
  <si>
    <t>4-Methylcatechol 1-sulfate</t>
  </si>
  <si>
    <t>1，2-苯二醇-4-甲基-1-硫酸氢盐</t>
  </si>
  <si>
    <t>HMDB0240459</t>
  </si>
  <si>
    <t>2349374-79-2</t>
  </si>
  <si>
    <t>CC1=CC(O)=C(OS(O)(=O)=O)C=C1</t>
  </si>
  <si>
    <t>NCOMUGOPQPRVSE-UHFFFAOYSA-N</t>
  </si>
  <si>
    <t>139.0399, 187.9778, 202.9564, 203.0015, 203.0473, 203.0578, 203.1275, 204.0043, 204.1230, 205.3913</t>
  </si>
  <si>
    <t>FT3271NR</t>
  </si>
  <si>
    <t>Anisatin</t>
  </si>
  <si>
    <t>茴香素</t>
  </si>
  <si>
    <t>HMDB0302686</t>
  </si>
  <si>
    <t>C09294</t>
  </si>
  <si>
    <t>C[C@@H]1C[C@@H](O)[C@]2(O)[C@]3(COC3=O)[C@@](C)(O)[C@H]3C[C@@]12[C@@H](O)C(=O)O3</t>
  </si>
  <si>
    <t>GEVWHIDSUOMVRI-QHRGTXDDSA-N</t>
  </si>
  <si>
    <t>Terpene lactones</t>
  </si>
  <si>
    <t>萜内酯</t>
  </si>
  <si>
    <t>157.0321, 166.3010, 175.0247, 192.4790, 193.0363, 197.0811, 200.7023, 207.7614, 304.9029, 373.1115</t>
  </si>
  <si>
    <t>C15H20O8</t>
  </si>
  <si>
    <t>FT1958PR</t>
  </si>
  <si>
    <t>Ephedrine</t>
  </si>
  <si>
    <t>麻黄碱</t>
  </si>
  <si>
    <t>HMDB0015451</t>
  </si>
  <si>
    <t>C01575</t>
  </si>
  <si>
    <t>299-42-3</t>
  </si>
  <si>
    <t>CN[C@@H](C)[C@H](O)C1=CC=CC=C1</t>
  </si>
  <si>
    <t>KWGRBVOPPLSCSI-WPRPVWTQSA-N</t>
  </si>
  <si>
    <t>148.1116, 149.0228, 149.0442, 150.4115, 165.9819, 166.0477, 166.0861, 166.1224, 167.1067, 167.1250</t>
  </si>
  <si>
    <t>FT1547NR</t>
  </si>
  <si>
    <t>4-Allylpyrocatechol sulfate</t>
  </si>
  <si>
    <t>4-烯丙基邻苯二酚硫酸盐</t>
  </si>
  <si>
    <t>HMDB0304934</t>
  </si>
  <si>
    <t>OC1=C(OS(O)(=O)=O)C=CC(CC=C)=C1</t>
  </si>
  <si>
    <t>USWXDXYEVISELK-UHFFFAOYSA-N</t>
  </si>
  <si>
    <t>102.9567, 109.2886, 134.0369, 149.0604, 150.0634, 185.1184, 185.9263, 186.7644, 229.0172, 229.1441</t>
  </si>
  <si>
    <t>C9H10O5S</t>
  </si>
  <si>
    <t>FT3123NR</t>
  </si>
  <si>
    <t>Succinyldisalicylic acid</t>
  </si>
  <si>
    <t>琥珀醯柳酸</t>
  </si>
  <si>
    <t>HMDB0251143</t>
  </si>
  <si>
    <t>OC(=O)C1=CC=CC=C1OC(=O)CCC(=O)OC1=CC=CC=C1C(O)=O</t>
  </si>
  <si>
    <t>PREOBXYMXLETCA-UHFFFAOYSA-N</t>
  </si>
  <si>
    <t>72.5624, 88.3851, 121.0292, 152.5979, 181.0643, 182.5932, 184.5031, 223.3465, 313.0688, 357.0617</t>
  </si>
  <si>
    <t>C18H14O8</t>
  </si>
  <si>
    <t>FT4366NR</t>
  </si>
  <si>
    <t>Nuciferoic  Acid</t>
  </si>
  <si>
    <t>琥珀酸</t>
  </si>
  <si>
    <t>LMFA01060224</t>
  </si>
  <si>
    <t>C(CCCCCCCCCC(=O)CCC=CCCCCCCCCCCCCCC)(=O)O</t>
  </si>
  <si>
    <t>BSDRFFLTAKTFLT-UHFFFAOYSA-N</t>
  </si>
  <si>
    <t>286.0814, 295.2900, 297.2431, 298.4483, 348.5800, 394.9028, 472.4839, 477.3938, 495.4048, 511.9081</t>
  </si>
  <si>
    <t>C29H54O3</t>
  </si>
  <si>
    <t>FT2318NR</t>
  </si>
  <si>
    <t>Myristoylglycine</t>
  </si>
  <si>
    <t>肉豆蔻酰甘氨酸</t>
  </si>
  <si>
    <t>HMDB0013250</t>
  </si>
  <si>
    <t>CCCCCCCCCCCCCC(=O)NCC(O)=O</t>
  </si>
  <si>
    <t>DYUGTPXLDJQBRB-UHFFFAOYSA-N</t>
  </si>
  <si>
    <t>72.1065, 74.0246, 78.7419, 138.6998, 235.4066, 240.2323, 284.2226, 284.2608, 285.7108, 286.4117</t>
  </si>
  <si>
    <t>C16H31NO3</t>
  </si>
  <si>
    <t>FT4305NR</t>
  </si>
  <si>
    <t>gamma-CEHC glucuronide</t>
  </si>
  <si>
    <t>γ-CEHC葡萄糖醛酸</t>
  </si>
  <si>
    <t>HMDB0242175</t>
  </si>
  <si>
    <t>[H][C@@]1(O)[C@@]([H])(O)[C@]([H])(OC2=CC3=C(OC(C)(CCC(O)=O)CC3)C(C)=C2C)O[C@]([H])(C(O)=O)[C@@]1([H])O</t>
  </si>
  <si>
    <t>NOZSTAZEOBPSBY-LWNJIDTBSA-N</t>
  </si>
  <si>
    <t>113.0241, 175.0242, 182.0577, 205.3879, 218.0942, 264.5478, 302.6964, 309.1336, 434.8841, 485.1655</t>
  </si>
  <si>
    <t>C21H28O10</t>
  </si>
  <si>
    <t>FT4318PR</t>
  </si>
  <si>
    <t>Enigmol</t>
  </si>
  <si>
    <t>恩尼格莫尔</t>
  </si>
  <si>
    <t>LMSP01080058</t>
  </si>
  <si>
    <t>C[C@H](N)[C@@H](O)C[C@@H](O)CCCCCCCCCCCCC</t>
  </si>
  <si>
    <t>CILLLUONWCSDCK-BZSNNMDCSA-N</t>
  </si>
  <si>
    <t>302.1468, 302.2002, 302.2216, 302.3047, 302.3693, 302.3862, 302.4311, 303.1436, 303.3074, 303.6271</t>
  </si>
  <si>
    <t>C18H39NO2</t>
  </si>
  <si>
    <t>FT1455NR</t>
  </si>
  <si>
    <t>Monobutylphthalate</t>
  </si>
  <si>
    <t>邻苯二甲酸单丁酯</t>
  </si>
  <si>
    <t>HMDB0013247</t>
  </si>
  <si>
    <t>131-70-4</t>
  </si>
  <si>
    <t>CCCCOC(=O)C1=CC=CC=C1C(O)=O</t>
  </si>
  <si>
    <t>YZBOVSFWWNVKRJ-UHFFFAOYSA-N</t>
  </si>
  <si>
    <t>119.5008, 121.0292, 134.0370, 147.0085, 149.0969, 176.9507, 177.0921, 205.4053, 220.9410, 221.0811</t>
  </si>
  <si>
    <t>C12H14O4</t>
  </si>
  <si>
    <t>FT1507NR</t>
  </si>
  <si>
    <t>Propyl 2-furanacrylate</t>
  </si>
  <si>
    <t>3-(2-呋喃基)-2-丙烯酸丙酯</t>
  </si>
  <si>
    <t>HMDB0037733</t>
  </si>
  <si>
    <t>LMFA07011002</t>
  </si>
  <si>
    <t>623-22-3</t>
  </si>
  <si>
    <t>O1C(/C=C\C(OCCC)=O)=CC=C1</t>
  </si>
  <si>
    <t>RRFBKGHLBNBFGL-WAYWQWQTSA-N</t>
  </si>
  <si>
    <t>125.0688, 126.0640, 141.9108, 157.0113, 181.0864, 190.2161, 224.5633, 225.0777, 225.1495, 226.0793</t>
  </si>
  <si>
    <t>FT3447PR</t>
  </si>
  <si>
    <t>N-(2,4-Dinitrophenyl)ethylenediamine</t>
  </si>
  <si>
    <t>N1-(2,4-硝基苯基)-1,2-乙二胺</t>
  </si>
  <si>
    <t>HMDB0245740</t>
  </si>
  <si>
    <t>NCCNC1=C(C=C(C=C1)[N+]([O-])=O)[N+]([O-])=O</t>
  </si>
  <si>
    <t>AIUKPEQJKQUQKZ-UHFFFAOYSA-N</t>
  </si>
  <si>
    <t>Aniline and substituted anilines</t>
  </si>
  <si>
    <t>苯胺和取代苯胺</t>
  </si>
  <si>
    <t>117.9875, 127.7983, 161.0955, 225.8850, 248.9041, 249.0010, 249.0607, 249.1542, 249.1851, 250.0600</t>
  </si>
  <si>
    <t>C8H10N4O4</t>
  </si>
  <si>
    <t>FT0409NR</t>
  </si>
  <si>
    <t>3-Methyl-2-oxovaleric acid</t>
  </si>
  <si>
    <t>3-甲基-2-氧基戊酸</t>
  </si>
  <si>
    <t>HMDB0000491</t>
  </si>
  <si>
    <t>C03465</t>
  </si>
  <si>
    <t>1460-34-0</t>
  </si>
  <si>
    <t>CCC(C)C(=O)C(=O)O</t>
  </si>
  <si>
    <t>JVQYSWDUAOAHFM-UHFFFAOYSA-N</t>
  </si>
  <si>
    <t>69.1861, 72.2082, 72.2631, 75.4521, 78.9253, 90.8544, 93.7071, 95.6244, 128.9014, 129.0555</t>
  </si>
  <si>
    <t>C6H10O3</t>
  </si>
  <si>
    <t>FT1903NR</t>
  </si>
  <si>
    <t>2-Phenoxyethyl isobutyrate</t>
  </si>
  <si>
    <t>异丁酸苯氧乙酯</t>
  </si>
  <si>
    <t>HMDB0040218</t>
  </si>
  <si>
    <t>103-60-6</t>
  </si>
  <si>
    <t>CC(C)C(=O)OCCOC1=CC=CC=C1</t>
  </si>
  <si>
    <t>MJTPMXWJHPOWGH-UHFFFAOYSA-N</t>
  </si>
  <si>
    <t>Phenol ethers</t>
  </si>
  <si>
    <t>酚醚类</t>
  </si>
  <si>
    <t>116.9277, 165.1283, 180.5743, 184.2272, 209.0954, 209.1180, 209.1548, 235.0990, 253.1084, 253.1405</t>
  </si>
  <si>
    <t>FT2902NR</t>
  </si>
  <si>
    <t>Dihydronaringenin-O-sulphate</t>
  </si>
  <si>
    <t>二氢柚皮素-O-硫酸盐</t>
  </si>
  <si>
    <t>HMDB0059996</t>
  </si>
  <si>
    <t>OC1=CC(O)=C(C(=O)CCC2=CC=C(OS(O)(=O)=O)C=C2)C(O)=C1</t>
  </si>
  <si>
    <t>IKBKWHISHDVLNO-UHFFFAOYSA-N</t>
  </si>
  <si>
    <t>Linear 1,3-diarylpropanoids</t>
  </si>
  <si>
    <t>Chalcones and dihydrochalcones</t>
  </si>
  <si>
    <t>线性1,3-二芳基丙烷</t>
  </si>
  <si>
    <t>查耳酮和二氢查耳酮</t>
  </si>
  <si>
    <t>69.0358, 72.3707, 129.9761, 149.0240, 154.0425, 205.3877, 255.0658, 335.0199, 335.1259, 342.4496</t>
  </si>
  <si>
    <t>C15H14O8S</t>
  </si>
  <si>
    <t>FT5697PR</t>
  </si>
  <si>
    <t>Deoxycholic acid glycine conjugate</t>
  </si>
  <si>
    <t>甘氨脱氧胆酸</t>
  </si>
  <si>
    <t>HMDB0000631</t>
  </si>
  <si>
    <t>C05464</t>
  </si>
  <si>
    <t>360-65-6</t>
  </si>
  <si>
    <t>[H][C@]12CCC3C4CC[C@H]([C@H](C)CCC(=O)NCC(O)=O)[C@@]4(C)[C@@H](O)CC3[C@@]1(C)CC[C@@H](O)C2</t>
  </si>
  <si>
    <t>WVULKSPCQVQLCU-ZMBDPXIHSA-N</t>
  </si>
  <si>
    <t>211.1479, 215.1796, 229.1591, 243.1748, 302.7148, 304.1900, 321.2585, 339.2672, 414.2995, 432.3113</t>
  </si>
  <si>
    <t>FT3805PR</t>
  </si>
  <si>
    <t>Glutaminyllysine</t>
  </si>
  <si>
    <t>谷氨酰胺赖氨酸</t>
  </si>
  <si>
    <t>HMDB0028802</t>
  </si>
  <si>
    <t>45234-03-5</t>
  </si>
  <si>
    <t>[H][C@](N)(CCC(O)=N)C(O)=N[C@@]([H])(CCCCN)C(O)=O</t>
  </si>
  <si>
    <t>CLSDNFWKGFJIBZ-YUMQZZPRSA-N</t>
  </si>
  <si>
    <t>Level 2</t>
  </si>
  <si>
    <t>180.9041, 186.1155, 200.0839, 238.8612, 267.6527, 274.9525, 275.0623, 275.1109, 275.1581, 275.2340</t>
  </si>
  <si>
    <t>C11H22N4O4</t>
  </si>
  <si>
    <t>FT5815PR</t>
  </si>
  <si>
    <t>N-(3beta,7beta,dihydroxycholest-5-en-24-oyl) glycine</t>
  </si>
  <si>
    <t>N-(3β,7β,二羟基胆甾醇-5-en-24-酰基)甘氨酸</t>
  </si>
  <si>
    <t>LMST05030017</t>
  </si>
  <si>
    <t>[C@]12([C@@H](O)C=C3C[C@@H](O)CC[C@]3(C)[C@@]1([H])CC[C@]1(C)[C@@]([H])([C@@](C)([H])CCC(=O)NCC(=O)O)CC[C@@]21[H])[H]</t>
  </si>
  <si>
    <t>BMRAURDLHOPSBE-FRMRTHFDSA-N</t>
  </si>
  <si>
    <t>245.1553, 305.5555, 309.2568, 319.2402, 337.2523, 355.2634, 373.2739, 412.2905, 430.2923, 448.3048</t>
  </si>
  <si>
    <t>C26H41NO5</t>
  </si>
  <si>
    <t>FT3806PR</t>
  </si>
  <si>
    <t>6-[5]-ladderane-hexanoic acid</t>
  </si>
  <si>
    <t>6-[5]-梯烷己酸</t>
  </si>
  <si>
    <t>LMFA01140003</t>
  </si>
  <si>
    <t>C1C2C3C4C5CC(CCCCCC(=O)O)C5C4C3C2C1</t>
  </si>
  <si>
    <t>FWADMOZVPHIBNO-UHFFFAOYSA-N</t>
  </si>
  <si>
    <t>133.1011, 145.1017, 147.1176, 173.1333, 179.1072, 222.9202, 257.1903, 267.1506, 275.2000, 275.2317</t>
  </si>
  <si>
    <t>C18H26O2</t>
  </si>
  <si>
    <t>FT3417NR</t>
  </si>
  <si>
    <t>Rosterolone</t>
  </si>
  <si>
    <t>17-羟基-1,10,13-三甲基-17-丙基十六氢-3H-环戊[a]菲-3-酮</t>
  </si>
  <si>
    <t>HMDB0256842</t>
  </si>
  <si>
    <t>CCCC1(O)CCC2C3CCC4CC(=O)CC(C)C4(C)C3CCC12C</t>
  </si>
  <si>
    <t>IMFNBOMNWHWKQD-UHFFFAOYSA-N</t>
  </si>
  <si>
    <t>155.3605, 167.6110, 329.2812, 347.2952, 347.3439, 373.2730, 391.2847, 391.3448, 392.2860, 406.5002</t>
  </si>
  <si>
    <t>C23H38O2</t>
  </si>
  <si>
    <t>FT0799NR</t>
  </si>
  <si>
    <t>D-Mannitol</t>
  </si>
  <si>
    <t>甘露醇</t>
  </si>
  <si>
    <t>HMDB0000765</t>
  </si>
  <si>
    <t>C00392</t>
  </si>
  <si>
    <t>hsa00051</t>
  </si>
  <si>
    <t>Fructose and mannose metabolism</t>
  </si>
  <si>
    <t>69-65-8</t>
  </si>
  <si>
    <t>OC[C@@H](O)[C@@H](O)[C@H](O)[C@H](O)CO</t>
  </si>
  <si>
    <t>FBPFZTCFMRRESA-KVTDHHQDSA-N</t>
  </si>
  <si>
    <t>162.8231, 162.8388, 162.8926, 163.0028, 163.0272, 163.0609, 163.0936, 164.0649, 164.4112, 176.5497</t>
  </si>
  <si>
    <t>C6H14O6</t>
  </si>
  <si>
    <t>FT4460PR</t>
  </si>
  <si>
    <t>1-O-(2R-hydroxy-4Z-hexadecenyl)-sn-glycerol</t>
  </si>
  <si>
    <t>1-O-(2R-羟基-4Z-十六烯基)-sn-甘油</t>
  </si>
  <si>
    <t>LMGL01020055</t>
  </si>
  <si>
    <t>[C@](CO)([H])(O)COC[C@H](O)C/C=C\CCCCCCCCCCC</t>
  </si>
  <si>
    <t>CSULARJGHWCHTQ-TWEKRZAHSA-N</t>
  </si>
  <si>
    <t>147.0507, 205.4076, 239.2349, 257.2484, 277.2171, 313.2730, 313.3182, 313.3578, 314.0305, 314.2770</t>
  </si>
  <si>
    <t>C19H38O4</t>
  </si>
  <si>
    <t>FT2184PR</t>
  </si>
  <si>
    <t>Formyllysine</t>
  </si>
  <si>
    <t>甲酰赖氨酸</t>
  </si>
  <si>
    <t>HMDB0252452</t>
  </si>
  <si>
    <t>NCCCCC(NC=O)C(O)=O</t>
  </si>
  <si>
    <t>LIEIRDDOGFQXEH-UHFFFAOYSA-N</t>
  </si>
  <si>
    <t>158.0804, 158.0930, 159.0759, 166.0260, 175.0575, 175.1073, 175.1198, 175.1450, 176.0371, 176.1279</t>
  </si>
  <si>
    <t>C7H14N2O3</t>
  </si>
  <si>
    <t>FT0388NR</t>
  </si>
  <si>
    <t>L-Glutamic acid</t>
  </si>
  <si>
    <t>L-谷氨酸</t>
  </si>
  <si>
    <t>HMDB0000148</t>
  </si>
  <si>
    <t>C00025</t>
  </si>
  <si>
    <t>hsa00220,hsa00250,hsa00330,hsa00340,hsa00430,hsa00470,hsa00480,hsa00524,hsa00630,hsa00650,hsa00860,hsa00910,hsa00970,hsa02010,hsa04068,hsa04072,hsa04080,hsa04216,hsa04540,hsa04713,hsa04720,hsa04724,hsa04727,hsa04730,hsa04742,hsa04964,hsa04974,hsa05014,hsa05016,hsa05017,hsa05022,hsa05030,hsa05031,hsa05033,hsa05034,hsa05230</t>
  </si>
  <si>
    <t>Arginine biosynthesis|Alanine, aspartate and glutamate metabolism|Arginine and proline metabolism|Histidine metabolism|Taurine and hypotaurine metabolism|D-Amino acid metabolism|Glutathione metabolism|Neomycin, kanamycin and gentamicin biosynthesis|Glyoxylate and dicarboxylate metabolism|Butanoate metabolism|Porphyrin metabolism|Nitrogen metabolism|Aminoacyl-tRNA biosynthesis|ABC transporters|FoxO signaling pathway|Phospholipase D signaling pathway|Neuroactive ligand-receptor interaction|Ferroptosis|Gap junction|Circadian entrainment|Long-term potentiation|Glutamatergic synapse|GABAergic synapse|Long-term depression|Taste transduction|Proximal tubule bicarbonate reclamation|Protein digestion and absorption|Amyotrophic lateral sclerosis|Huntington disease|Spinocerebellar ataxia|Pathways of neurodegeneration - multiple diseases|Cocaine addiction|Amphetamine addiction|Nicotine addiction|Alcoholism|Central carbon metabolism in cancer</t>
  </si>
  <si>
    <t>56-86-0</t>
  </si>
  <si>
    <t>N[C@@H](CCC(O)=O)C(O)=O</t>
  </si>
  <si>
    <t>WHUUTDBJXJRKMK-VKHMYHEASA-N</t>
  </si>
  <si>
    <t>84.0450, 85.0237, 85.0293, 95.6487, 101.0240, 128.0124, 128.0350, 128.0638, 129.0197, 129.0385</t>
  </si>
  <si>
    <t>FT2933PR</t>
  </si>
  <si>
    <t>Citric Acid</t>
  </si>
  <si>
    <t>柠檬酸</t>
  </si>
  <si>
    <t>HMDB0000094</t>
  </si>
  <si>
    <t>C00158</t>
  </si>
  <si>
    <t>hsa00020,hsa00250,hsa00630,hsa04742,hsa04922,hsa05230</t>
  </si>
  <si>
    <t>Citrate cycle (TCA cycle)|Alanine, aspartate and glutamate metabolism|Glyoxylate and dicarboxylate metabolism|Taste transduction|Glucagon signaling pathway|Central carbon metabolism in cancer</t>
  </si>
  <si>
    <t>R-HSA-1428517,R-HSA-1430728,R-HSA-200425,R-HSA-382551,R-HSA-425366,R-HSA-425407,R-HSA-433137,R-HSA-556833,R-HSA-70171,R-HSA-70326,R-HSA-71387,R-HSA-71403,R-HSA-71406,R-HSA-75105,R-HSA-8978868,R-HSA-917937,R-HSA-9709957,R-HSA-9717189,R-HSA-9729555</t>
  </si>
  <si>
    <t>The citric acid (TCA) cycle and respiratory electron transport|Metabolism|Carnitine metabolism|Transport of small molecules|Transport of bile salts and organic acids, metal ions and amine compounds|SLC-mediated transmembrane transport|Sodium-coupled sulphate, di- and tri-carboxylate transporters|Metabolism of lipids|Glycolysis|Glucose metabolism|Metabolism of carbohydrates|Citric acid cycle (TCA cycle)|Pyruvate metabolism and Citric Acid (TCA) cycle|Fatty acyl-CoA biosynthesis|Fatty acid metabolism|Iron uptake and transport|Sensory Perception|Sensory perception of taste|Sensory perception of sour taste</t>
  </si>
  <si>
    <t>77-92-9</t>
  </si>
  <si>
    <t>OC(=O)CC(O)(CC(O)=O)C(O)=O</t>
  </si>
  <si>
    <t>KRKNYBCHXYNGOX-UHFFFAOYSA-N</t>
  </si>
  <si>
    <t>87.9368, 118.0622, 151.4934, 151.5048, 169.0110, 180.0668, 197.0051, 215.0158, 215.0882, 215.1393</t>
  </si>
  <si>
    <t>C6H8O7</t>
  </si>
  <si>
    <t>FT1102NR</t>
  </si>
  <si>
    <t>N-Acetyl-L-methionine</t>
  </si>
  <si>
    <t>N-乙酰基-L-甲硫氨酸</t>
  </si>
  <si>
    <t>HMDB0011745</t>
  </si>
  <si>
    <t>C02712</t>
  </si>
  <si>
    <t>65-82-7</t>
  </si>
  <si>
    <t>CSCC[C@H](NC(C)=O)C(O)=O</t>
  </si>
  <si>
    <t>XUYPXLNMDZIRQH-LURJTMIESA-N</t>
  </si>
  <si>
    <t>111.0084, 130.4130, 142.0501, 143.8654, 146.9383, 148.0434, 161.8932, 174.8352, 190.0540, 197.1473</t>
  </si>
  <si>
    <t>C7H13NO3S</t>
  </si>
  <si>
    <t>FT1277NR</t>
  </si>
  <si>
    <t>N-Acetyl-L-phenylalanine</t>
  </si>
  <si>
    <t>N-乙酰-L-苯丙氨酸</t>
  </si>
  <si>
    <t>HMDB0000512</t>
  </si>
  <si>
    <t>C03519</t>
  </si>
  <si>
    <t>2018-61-3</t>
  </si>
  <si>
    <t>CC(=O)N[C@@H](CC1=CC=CC=C1)C(O)=O</t>
  </si>
  <si>
    <t>CBQJSKKFNMDLON-JTQLQIEISA-N</t>
  </si>
  <si>
    <t>103.9201, 147.0451, 162.9830, 164.0712, 165.0669, 186.8781, 195.6099, 205.3841, 205.4056, 206.0809</t>
  </si>
  <si>
    <t>C11H13NO3</t>
  </si>
  <si>
    <t>FT1930NR</t>
  </si>
  <si>
    <t>2-(p-Acetamidophenyl)-2-ethylglutarimide</t>
  </si>
  <si>
    <t>N-乙酰氨基鲁米特</t>
  </si>
  <si>
    <t>HMDB0247904</t>
  </si>
  <si>
    <t>CCC1(CCC(=O)NC1=O)C1=CC=C(NC(C)=O)C=C1</t>
  </si>
  <si>
    <t>PBWKSBSBPBMFIS-UHFFFAOYSA-N</t>
  </si>
  <si>
    <t>Piperidines</t>
  </si>
  <si>
    <t>Phenylpiperidines</t>
  </si>
  <si>
    <t>哌啶类</t>
  </si>
  <si>
    <t>苯基哌啶</t>
  </si>
  <si>
    <t>187.0055, 195.7558, 212.1077, 226.0742, 239.0811, 240.0900, 255.1135, 255.1955, 255.2318, 256.1179</t>
  </si>
  <si>
    <t>C15H18N2O3</t>
  </si>
  <si>
    <t>FT4094NR</t>
  </si>
  <si>
    <t>3a,7a-Dihydroxy-5b-cholestan-26-al</t>
  </si>
  <si>
    <t>3a,7a-二羟基-5b-胆甾坦-26-al</t>
  </si>
  <si>
    <t>HMDB0006894</t>
  </si>
  <si>
    <t>C05445</t>
  </si>
  <si>
    <t>R-HSA-1430728,R-HSA-192105,R-HSA-193368,R-HSA-194068,R-HSA-556833,R-HSA-8957322</t>
  </si>
  <si>
    <t>Metabolism|Synthesis of bile acids and bile salts|Synthesis of bile acids and bile salts via 7alpha-hydroxycholesterol|Bile acid and bile salt metabolism|Metabolism of lipids|Metabolism of steroids</t>
  </si>
  <si>
    <t>CC(CCCC(C)C1CCC2C3[C@H](O)CC4C[C@H](O)CC[C@]4(C)C3CC[C@]12C)C=O</t>
  </si>
  <si>
    <t>YWGOKHMOJTZGBN-SBOSHUFNSA-N</t>
  </si>
  <si>
    <t>302.7079, 333.3284, 401.5013, 418.9725, 419.3522, 445.3345, 463.3425, 463.4183, 464.3144, 487.4756</t>
  </si>
  <si>
    <t>C27H46O3</t>
  </si>
  <si>
    <t>FT4950PR</t>
  </si>
  <si>
    <t>TXB3</t>
  </si>
  <si>
    <t>血浆血栓烷B3</t>
  </si>
  <si>
    <t>LMFA03030006</t>
  </si>
  <si>
    <t>71953-80-5</t>
  </si>
  <si>
    <t>C([C@H]1[C@@H](O)CC(O)O[C@@H]1/C=C/[C@@H](O)C/C=C\CC)/C=C\CCCC(=O)O</t>
  </si>
  <si>
    <t>OYPPJMLKAYYWHH-NXJDUNGTSA-N</t>
  </si>
  <si>
    <t>Eicosanoids</t>
  </si>
  <si>
    <t>类二十烷酸</t>
  </si>
  <si>
    <t>68.5909, 81.7099, 111.0436, 252.3893, 290.7360, 322.2664, 341.8588, 350.9876, 351.2144, 356.5102</t>
  </si>
  <si>
    <t>C20H32O6</t>
  </si>
  <si>
    <t>FT1425NR</t>
  </si>
  <si>
    <t>(4R,6S)-4-Hydroxy-1,7-dioxaspiro[5.5]undecane</t>
  </si>
  <si>
    <t>(4R,6S)-4-羟基-1,7-二氧杂螺[5.5]十一烷</t>
  </si>
  <si>
    <t>LMPK09000007</t>
  </si>
  <si>
    <t>O1[C@@]2(CCCCO2)C[C@H](O)CC1</t>
  </si>
  <si>
    <t>ITVCIGAVUFJFJY-BDAKNGLRSA-N</t>
  </si>
  <si>
    <t>85.8882, 94.0068, 127.0398, 135.2853, 145.0502, 151.7124, 205.3819, 205.4038, 217.0179, 217.1076</t>
  </si>
  <si>
    <t>C9H16O3</t>
  </si>
  <si>
    <t>FT1994NR</t>
  </si>
  <si>
    <t>O-Sulfotyrosine</t>
  </si>
  <si>
    <t>O-磺基酪氨酸</t>
  </si>
  <si>
    <t>HMDB0155722</t>
  </si>
  <si>
    <t>956-46-7</t>
  </si>
  <si>
    <t>N[C@@H](CC1=CC=C(OS(O)(=O)=O)C=C1)C(O)=O</t>
  </si>
  <si>
    <t>CIQHWLTYGMYQQR-QMMMGPOBSA-N</t>
  </si>
  <si>
    <t>180.0661, 199.0066, 200.9837, 201.9871, 202.9811, 215.0016, 255.5200, 260.0224, 260.0504, 260.8770</t>
  </si>
  <si>
    <t>C9H11NO6S</t>
  </si>
  <si>
    <t>FT5948PR</t>
  </si>
  <si>
    <t>Trihydroxycoprostanoic acid</t>
  </si>
  <si>
    <t>三羟基前列酸</t>
  </si>
  <si>
    <t>HMDB02163</t>
  </si>
  <si>
    <t>LMST01010246</t>
  </si>
  <si>
    <t>[C@@]12([H])[C@H](O)C[C@@]3([H])[C@@H](C(=O)O)[C@H](O)CC[C@]3(C)[C@@]1([H])C[C@H](O)[C@]1(C)[C@@]([H])([C@]([H])(C)CCCC(C)C)CC[C@@]21[H]</t>
  </si>
  <si>
    <t>VWKIOWRUMFPYLP-WKOPZGHNSA-N</t>
  </si>
  <si>
    <t>150.7828, 151.1111, 315.2315, 331.2635, 387.3269, 405.3351, 411.3269, 429.3347, 447.3460, 465.3626</t>
  </si>
  <si>
    <t>C28H48O5</t>
  </si>
  <si>
    <t>FT1060NR</t>
  </si>
  <si>
    <t>2-Hydroxydecanoic acid</t>
  </si>
  <si>
    <t>羟基癸酸</t>
  </si>
  <si>
    <t>HMDB0242148</t>
  </si>
  <si>
    <t>LMFA01050029</t>
  </si>
  <si>
    <t>5393-81-7</t>
  </si>
  <si>
    <t>C(CCCCCCC)C(O)C(=O)O</t>
  </si>
  <si>
    <t>GHPVDCPCKSNJDR-UHFFFAOYSA-N</t>
  </si>
  <si>
    <t>141.1282, 142.1313, 143.1078, 169.0867, 169.1229, 185.1178, 187.0514, 187.0982, 187.1336, 188.1379</t>
  </si>
  <si>
    <t>C10H20O3</t>
  </si>
  <si>
    <t>FT7052PR</t>
  </si>
  <si>
    <t>24-Methylcholestanol ferulate</t>
  </si>
  <si>
    <t>阿魏酸 24-甲基胆甾醇酯</t>
  </si>
  <si>
    <t>HMDB0301729</t>
  </si>
  <si>
    <t>COC1=C(O)C=CC(\C=C\C(=O)O[C@H]2CC[C@]3(C)C4CC[C@]5(C)[C@H](CCC5C4CC[C@@]3([H])C2)[C@H](C)CCC(C)C(C)C)=C1</t>
  </si>
  <si>
    <t>NLHPCZDTMWKEFC-CQDFPANQSA-N</t>
  </si>
  <si>
    <t>Steroid esters</t>
  </si>
  <si>
    <t>类固醇酯</t>
  </si>
  <si>
    <t>338.2608, 375.5046, 403.3070, 466.1957, 476.3665, 541.4031, 568.4246, 584.4219, 601.2659, 601.4179</t>
  </si>
  <si>
    <t>C38H58O4</t>
  </si>
  <si>
    <t>FT1484NR</t>
  </si>
  <si>
    <t>3-Methyl-1-phenyl-3-pentanol</t>
  </si>
  <si>
    <t>3-甲基-1-苯基-3-戊醇</t>
  </si>
  <si>
    <t>HMDB0031731</t>
  </si>
  <si>
    <t>10415-87-9</t>
  </si>
  <si>
    <t>CCC(C)(O)CCC1=CC=CC=C1</t>
  </si>
  <si>
    <t>AEJRTNBCFUOSEM-UHFFFAOYSA-N</t>
  </si>
  <si>
    <t>161.1343, 163.1126, 173.2010, 179.1252, 179.1437, 180.1473, 223.0277, 223.1334, 224.0614, 224.1368</t>
  </si>
  <si>
    <t>C12H18O</t>
  </si>
  <si>
    <t>FT0705NR</t>
  </si>
  <si>
    <t>2-Chlorobenzoic acid</t>
  </si>
  <si>
    <t>2-氯苯甲酸</t>
  </si>
  <si>
    <t>HMDB0245065</t>
  </si>
  <si>
    <t>C02357</t>
  </si>
  <si>
    <t>OC(=O)C1=CC=CC=C1Cl</t>
  </si>
  <si>
    <t>IKCLCGXPQILATA-UHFFFAOYSA-N</t>
  </si>
  <si>
    <t>78.7107, 87.0084, 110.9916, 111.0005, 111.0818, 153.9869, 154.9901, 155.0468, 155.0713, 155.9944</t>
  </si>
  <si>
    <t>C7H5ClO2</t>
  </si>
  <si>
    <t>FT3477PR</t>
  </si>
  <si>
    <t>N-Acetylkynurenine</t>
  </si>
  <si>
    <t>N-乙酰犬尿氨酸</t>
  </si>
  <si>
    <t>HMDB0240342</t>
  </si>
  <si>
    <t>3428-08-8</t>
  </si>
  <si>
    <t>CC(=O)N[C@@H](CC(=O)C1=C(N)C=CC=C1)C(O)=O</t>
  </si>
  <si>
    <t>PPIMFXHQDQRWGJ-JTQLQIEISA-N</t>
  </si>
  <si>
    <t>215.1785, 223.1711, 233.0923, 233.1882, 251.0465, 251.0982, 251.1256, 251.1644, 251.2003, 256.4079</t>
  </si>
  <si>
    <t>C12H14N2O4</t>
  </si>
  <si>
    <t>FT2050NR</t>
  </si>
  <si>
    <t>Deoxyartemsinin</t>
  </si>
  <si>
    <t>脱氧青蒿素</t>
  </si>
  <si>
    <t>HMDB0060569</t>
  </si>
  <si>
    <t>C[C@@H]1C=C[C@@H]2[C@@H](C)C(=O)O[C@H]3O[C@](C)(O)CC[C@@H]1C23</t>
  </si>
  <si>
    <t>ZHHCFKHSMKRNCX-CRBWWJEESA-N</t>
  </si>
  <si>
    <t>Oxepanes</t>
  </si>
  <si>
    <t>氧杂环己烷</t>
  </si>
  <si>
    <t>197.0758, 203.1433, 221.0267, 221.1178, 221.1540, 224.8440, 265.1086, 265.1433, 266.0157, 267.7462</t>
  </si>
  <si>
    <t>C15H22O4</t>
  </si>
  <si>
    <t>FT3819PR</t>
  </si>
  <si>
    <t>N-(1-Deoxy-1-fructosyl)leucine</t>
  </si>
  <si>
    <t>N-(1-脱氧-1-果糖基)亮氨酸</t>
  </si>
  <si>
    <t>HMDB0037840</t>
  </si>
  <si>
    <t>34393-18-5</t>
  </si>
  <si>
    <t>CC(C)C[C@H](NCC1(O)O[C@H](CO)[C@@H](O)[C@@H]1O)C(O)=O</t>
  </si>
  <si>
    <t>KGTRBDVOUPALMB-PPNLDZOPSA-N</t>
  </si>
  <si>
    <t>205.4128, 208.8832, 217.0716, 226.8944, 252.8726, 275.8910, 276.1435, 276.2420, 276.8968, 293.5514</t>
  </si>
  <si>
    <t>C12H23NO7</t>
  </si>
  <si>
    <t>FT1139NR</t>
  </si>
  <si>
    <t>Methoxyeugenol</t>
  </si>
  <si>
    <t>4-烯丙基-2,6-二甲氧基苯酚</t>
  </si>
  <si>
    <t>HMDB0041194</t>
  </si>
  <si>
    <t>6627-88-9</t>
  </si>
  <si>
    <t>COC1=CC(CC=C)=CC(OC)=C1O</t>
  </si>
  <si>
    <t>FWMPKHMKIJDEMJ-UHFFFAOYSA-N</t>
  </si>
  <si>
    <t>Phenols</t>
  </si>
  <si>
    <t>Methoxyphenols</t>
  </si>
  <si>
    <t>酚类</t>
  </si>
  <si>
    <t>甲氧基酚类</t>
  </si>
  <si>
    <t>121.0290, 146.9230, 150.0016, 178.0252, 190.2330, 193.0091, 193.0865, 194.0450, 194.0899, 205.3949</t>
  </si>
  <si>
    <t>C11H14O3</t>
  </si>
  <si>
    <t>FT5621PR</t>
  </si>
  <si>
    <t>(9Z)-12-Hydroxyoctadec-9-enoylcarnitine</t>
  </si>
  <si>
    <t>(9Z)-12-羟基十八-9-烯酰肉碱</t>
  </si>
  <si>
    <t>HMDB0241536</t>
  </si>
  <si>
    <t>CCCCCCC(O)CC=CCCCCCCCC(=O)OC(CC([O-])=O)C[N+](C)(C)C</t>
  </si>
  <si>
    <t>JEVCWJFIZZQFED-UHFFFAOYSA-N</t>
  </si>
  <si>
    <t>255.1579, 263.2366, 302.7115, 365.2690, 424.2049, 424.2375, 424.3410, 424.4738, 424.5172, 425.3444</t>
  </si>
  <si>
    <t>C25H47NO5</t>
  </si>
  <si>
    <t>FT2869NR</t>
  </si>
  <si>
    <t>Neomenthol-glucuronide</t>
  </si>
  <si>
    <t>新薄荷醇葡萄糖苷酸</t>
  </si>
  <si>
    <t>HMDB0060012</t>
  </si>
  <si>
    <t>CC(C)C1CCC(C)CC1O[C@@H]1O[C@@H]([C@@H](O)[C@H](O)[C@H]1O)C(O)=O</t>
  </si>
  <si>
    <t>CLJGMBYGTHRUNF-SHLVDPONSA-N</t>
  </si>
  <si>
    <t>129.9749, 153.4361, 194.9224, 204.7012, 209.0875, 302.7062, 313.1646, 319.1338, 331.1757, 332.1809</t>
  </si>
  <si>
    <t>C16H28O7</t>
  </si>
  <si>
    <t>FT4092NR</t>
  </si>
  <si>
    <t>7a,12a-Dihydroxy-5a-cholestan-3-one</t>
  </si>
  <si>
    <t>7a,12a-二羟基-5a-胆甾坦-3-酮</t>
  </si>
  <si>
    <t>HMDB0006886</t>
  </si>
  <si>
    <t>C05458</t>
  </si>
  <si>
    <t>[H][C@@]12CCC(C(C)CCCC(C)C)[C@@]1(C)C([H])(O)C[C@@]1([H])C2[C@H](O)CC2CC(=O)CC[C@]12C</t>
  </si>
  <si>
    <t>HHVQPBXBALLUDF-BNGOGRIJSA-N</t>
  </si>
  <si>
    <t>73.9311, 77.3283, 193.3371, 195.1752, 205.3905, 223.1703, 241.1810, 419.3532, 463.3419, 463.4183</t>
  </si>
  <si>
    <t>FT2349NR</t>
  </si>
  <si>
    <t>5-(3',4'-Dihydroxyphenyl)-γ-valerolactone 4'-sulfate</t>
  </si>
  <si>
    <t>5-(3',4'-二羟基苯基)-γ-戊内酯4'-硫酸酯</t>
  </si>
  <si>
    <t>HMDB0240473</t>
  </si>
  <si>
    <t>OC1=C(OS(O)(=O)=O)C=CC(CC2CCC(=O)O2)=C1</t>
  </si>
  <si>
    <t>WAXYAOJFDCCESK-UHFFFAOYSA-N</t>
  </si>
  <si>
    <t>89.7620, 92.9276, 108.8489, 109.5102, 163.0759, 207.0456, 207.0658, 286.9861, 287.0226, 287.0597</t>
  </si>
  <si>
    <t>C11H12O7S</t>
  </si>
  <si>
    <t>FT5121PR</t>
  </si>
  <si>
    <t>Tetrahydrodeoxycortisol</t>
  </si>
  <si>
    <t>四氢脱氧皮质醇</t>
  </si>
  <si>
    <t>HMDB0005972</t>
  </si>
  <si>
    <t>LMST05030014</t>
  </si>
  <si>
    <t>C14594</t>
  </si>
  <si>
    <t>68-60-0</t>
  </si>
  <si>
    <t>[C@@]12([H])CC[C@]3([H])C[C@H](O)CC[C@]3(C)[C@@]1([H])CC[C@]1(C)[C@@](O)(C(=O)CO)CC[C@@]21[H]</t>
  </si>
  <si>
    <t>UPTAPIKFKZGAGM-FAIYVORSSA-N</t>
  </si>
  <si>
    <t>165.1637, 189.1627, 207.1750, 230.3000, 259.0966, 302.7163, 309.2087, 324.0004, 368.2792, 369.2829</t>
  </si>
  <si>
    <t>C21H34O4</t>
  </si>
  <si>
    <t>FT4093PR</t>
  </si>
  <si>
    <t>Asp-Gly-Val</t>
  </si>
  <si>
    <t>天冬氨酰-甘氨酰-缬氨酸</t>
  </si>
  <si>
    <t>CC(C)C(C(=O)O)NC(=O)CNC(=O)C(CC(=O)O)N</t>
  </si>
  <si>
    <t>WSGVTKZFVJSJOG-RCOVLWMOSA-N</t>
  </si>
  <si>
    <t>171.5619, 173.0552, 175.1070, 190.9656, 205.4005, 224.6644, 226.1177, 254.1123, 272.1240, 290.1325</t>
  </si>
  <si>
    <t>C11H19N3O6</t>
  </si>
  <si>
    <t>FT4585PR</t>
  </si>
  <si>
    <t>5Z-docosenoic acid</t>
  </si>
  <si>
    <t>5Z-二十碳烯酸</t>
  </si>
  <si>
    <t>LMFA01030404</t>
  </si>
  <si>
    <t>C(CCC/C=C\CCCCCCCCCCCCCCCC)(=O)O</t>
  </si>
  <si>
    <t>RFCSPHPIGYWVCG-ZCXUNETKSA-N</t>
  </si>
  <si>
    <t>125.1323, 132.0654, 135.1168, 149.1319, 177.3984, 265.0618, 303.3050, 321.2692, 321.3145, 321.3595</t>
  </si>
  <si>
    <t>C22H42O2</t>
  </si>
  <si>
    <t>FT3409PR</t>
  </si>
  <si>
    <t>N-Acetyl-L-tryptophan</t>
  </si>
  <si>
    <t>N-乙酰色氨酸</t>
  </si>
  <si>
    <t>HMDB0013713</t>
  </si>
  <si>
    <t>1218-34-4</t>
  </si>
  <si>
    <t>CC(=O)N[C@@H](CC1=CNC2=C1C=CC=C2)C(O)=O</t>
  </si>
  <si>
    <t>DZTHIGRZJZPRDV-LBPRGKRZSA-N</t>
  </si>
  <si>
    <t>147.2822, 159.0916, 188.0708, 201.1020, 205.0990, 205.2413, 205.4026, 233.7439, 247.1708, 247.2044</t>
  </si>
  <si>
    <t>C13H14N2O3</t>
  </si>
  <si>
    <t>FT0772NR</t>
  </si>
  <si>
    <t>D-Mannose</t>
  </si>
  <si>
    <t>D-甘露糖</t>
  </si>
  <si>
    <t>HMDB0062473</t>
  </si>
  <si>
    <t>3458-28-4</t>
  </si>
  <si>
    <t>[H][C@@](O)(CO)[C@@]([H])(O)[C@]([H])(O)[C@]([H])(O)C=O</t>
  </si>
  <si>
    <t>GZCGUPFRVQAUEE-KVTDHHQDSA-N</t>
  </si>
  <si>
    <t>132.9717, 132.9806, 142.9249, 160.8418, 160.8925, 160.9348, 160.9747, 161.0450, 161.8420, 161.8939</t>
  </si>
  <si>
    <t>C6H12O6</t>
  </si>
  <si>
    <t>FT3845NR</t>
  </si>
  <si>
    <t>ascr#36</t>
  </si>
  <si>
    <t>(19R)-19-[(3,6-二脱氧-α-L-阿拉伯-吡喃己糖基)氧基]二十烷酸</t>
  </si>
  <si>
    <t>LMFA13040019</t>
  </si>
  <si>
    <t>O([C@@H](CCCCCCCCCCCCCCCCCC(=O)O)C)[C@H]1[C@H](O)C[C@@H](O)[C@H](C)O1</t>
  </si>
  <si>
    <t>HXSYLHMSXGUNTO-DHWOPMESSA-N</t>
  </si>
  <si>
    <t>141.0916, 159.1024, 204.9923, 205.3865, 215.1643, 271.2288, 279.2322, 297.2427, 421.3309, 439.3417</t>
  </si>
  <si>
    <t>C26H50O6</t>
  </si>
  <si>
    <t>FT5610PR</t>
  </si>
  <si>
    <t>(12Z,15Z)-10-Hydroxyoctadeca-12,15-dienoylcarnitine</t>
  </si>
  <si>
    <t>(12Z,15Z)-10-羟基十八碳-12,15-二烯酰卡尼汀</t>
  </si>
  <si>
    <t>HMDB0241545</t>
  </si>
  <si>
    <t>CCC=CCC=CCC(O)CCCCCCCCC(=O)OC(CC([O-])=O)C[N+](C)(C)C</t>
  </si>
  <si>
    <t>PRXCKJGVECBOID-UHFFFAOYSA-N</t>
  </si>
  <si>
    <t>156.9007, 163.9530, 205.4136, 252.0705, 267.5080, 327.3689, 422.2313, 422.2596, 422.3261, 423.3289</t>
  </si>
  <si>
    <t>C25H45NO5</t>
  </si>
  <si>
    <t>FT4704NR</t>
  </si>
  <si>
    <t>Tetrahydroaldosterone-3-glucuronide</t>
  </si>
  <si>
    <t>四氢醛固酮-3-葡萄糖醛酸</t>
  </si>
  <si>
    <t>HMDB0010357</t>
  </si>
  <si>
    <t>20605-81-6</t>
  </si>
  <si>
    <t>[H][C@@]12CC3(C(O)O1)C(CC[C@@H]3C(=O)CO)C1CCC3CC(CC[C@]3(C)C21)O[C@@H]1O[C@@H]([C@@H](O)[C@@H](O)[C@H]1O)C(O)=O</t>
  </si>
  <si>
    <t>CGIURIOFMWUPSV-RUQPETGGSA-N</t>
  </si>
  <si>
    <t>113.0240, 130.3944, 134.8114, 144.7379, 212.9577, 236.7805, 333.2074, 509.2342, 539.2489, 540.2513</t>
  </si>
  <si>
    <t>C27H40O11</t>
  </si>
  <si>
    <t>FT0596NR</t>
  </si>
  <si>
    <t>Indole-3-carboxaldehyde</t>
  </si>
  <si>
    <t>吲哚-3-甲醛</t>
  </si>
  <si>
    <t>HMDB0029737</t>
  </si>
  <si>
    <t>C08493</t>
  </si>
  <si>
    <t>487-89-8</t>
  </si>
  <si>
    <t>O=CC1=CNC2=C1C=CC=C2</t>
  </si>
  <si>
    <t>OLNJUISKUQQNIM-UHFFFAOYSA-N</t>
  </si>
  <si>
    <t>Indoles</t>
  </si>
  <si>
    <t>吲哚</t>
  </si>
  <si>
    <t>67.4083, 68.1539, 83.0499, 99.0813, 101.0604, 121.3718, 129.1251, 144.0451, 144.0584, 145.0487</t>
  </si>
  <si>
    <t>FT4615NR</t>
  </si>
  <si>
    <t>glycochenodeoxycholic acid 7-sulfate</t>
  </si>
  <si>
    <t>甘鹅去氧胆酸7-硫酸盐</t>
  </si>
  <si>
    <t>HMDB0002496</t>
  </si>
  <si>
    <t>LMST05030005</t>
  </si>
  <si>
    <t>C15559</t>
  </si>
  <si>
    <t>R-HSA-1474244,R-HSA-1474290,R-HSA-2022090,R-HSA-2243919,R-HSA-382551,R-HSA-432047,R-HSA-445717</t>
  </si>
  <si>
    <t>Extracellular matrix organization|Collagen formation|Assembly of collagen fibrils and other multimeric structures|Crosslinking of collagen fibrils|Transport of small molecules|Passive transport by Aquaporins|Aquaporin-mediated transport</t>
  </si>
  <si>
    <t>67030-55-1</t>
  </si>
  <si>
    <t>C1[C@@]2(C)[C@]([H])(C[C@@H](OS(O)(=O)=O)[C@@]3([H])[C@]4([H])CC[C@]([H])([C@H](C)CCC(=O)NCC(=O)O)[C@@]4(C)CC[C@]23[H])C[C@H](O)C1</t>
  </si>
  <si>
    <t>GLYPHOJMMLQNJQ-GYPHWSFCSA-N</t>
  </si>
  <si>
    <t>241.2038, 277.7642, 310.5607, 379.4996, 380.8708, 389.9970, 404.1726, 448.3058, 528.2628, 529.2686</t>
  </si>
  <si>
    <t>C26H43NO8S</t>
  </si>
  <si>
    <t>FT3904NR</t>
  </si>
  <si>
    <t>1alpha-hydroxy-26,27-dinorvitamin D3 25-carboxylic acid</t>
  </si>
  <si>
    <t>1α-羟基-26,27-二去甲维生素D3 25-羧酸/1α-羟基-26,27-二去甲胆钙化醇25-羧酸</t>
  </si>
  <si>
    <t>LMST03020025</t>
  </si>
  <si>
    <t>[C@@H]1(O)C(=C)/C(=C\C=C2\[C@]3([H])CC[C@@]([C@@](C)([H])CCCC(=O)O)([H])[C@@]3(C)CCC\2)/C[C@@H](O)C1</t>
  </si>
  <si>
    <t>FMONOGKOJOGACR-LIWPMISOSA-N</t>
  </si>
  <si>
    <t>147.1219, 179.4524, 181.7604, 205.4020, 237.5919, 243.5384, 255.2325, 302.7016, 403.2853, 447.2731</t>
  </si>
  <si>
    <t>C25H38O4</t>
  </si>
  <si>
    <t>FT3354PR</t>
  </si>
  <si>
    <t>Lumichrome</t>
  </si>
  <si>
    <t>光色素</t>
  </si>
  <si>
    <t>HMDB0254199</t>
  </si>
  <si>
    <t>C01727</t>
  </si>
  <si>
    <t>hsa00740</t>
  </si>
  <si>
    <t>Riboflavin metabolism</t>
  </si>
  <si>
    <t>1086-80-2</t>
  </si>
  <si>
    <t>CC1=CC2=NC3=C(N=C2C=C1C)C(=O)NC(=O)N3</t>
  </si>
  <si>
    <t>ZJTJUVIJVLLGSP-UHFFFAOYSA-N</t>
  </si>
  <si>
    <t>Pteridines and derivatives</t>
  </si>
  <si>
    <t>Alloxazines and isoalloxazines</t>
  </si>
  <si>
    <t>蝶啶及其衍生物</t>
  </si>
  <si>
    <t>咯嗪类和异咯嗪类</t>
  </si>
  <si>
    <t>201.0424, 216.0764, 221.9015, 243.0575, 243.0660, 243.0874, 243.1189, 243.1767, 244.0711, 248.1040</t>
  </si>
  <si>
    <t>C12H10N4O2</t>
  </si>
  <si>
    <t>FT0555NR</t>
  </si>
  <si>
    <t>HOHA lactone</t>
  </si>
  <si>
    <t>5-(3-氧代-1-丙烯基)四氢呋喃-2-酮</t>
  </si>
  <si>
    <t>LMFA07040113</t>
  </si>
  <si>
    <t>O1C(/C=C/C=O)CCC1=O</t>
  </si>
  <si>
    <t>MGDPEFRLGBFRFH-OWOJBTEDSA-N</t>
  </si>
  <si>
    <t>Lactones</t>
  </si>
  <si>
    <t>Gamma butyrolactones</t>
  </si>
  <si>
    <t>内酯类</t>
  </si>
  <si>
    <t xml:space="preserve"> γ-丁内酯</t>
  </si>
  <si>
    <t>81.0344, 81.0392, 88.0389, 93.0341, 97.0293, 109.0248, 121.0288, 134.9981, 139.0227, 139.0397</t>
  </si>
  <si>
    <t>C7H8O3</t>
  </si>
  <si>
    <t>FT2087NR</t>
  </si>
  <si>
    <t>Humulol</t>
  </si>
  <si>
    <t>葎草醇</t>
  </si>
  <si>
    <t>HMDB0038213</t>
  </si>
  <si>
    <t>24405-58-1</t>
  </si>
  <si>
    <t>C\C1=C/CC(C)(C)\C=C\CC(C)(O)CCC1</t>
  </si>
  <si>
    <t>ZLMAVMBYWKVCLV-IMWXLZLDSA-N</t>
  </si>
  <si>
    <t>52.47343, 59.01369, 66.32766, 72.27728, 72.57494, 116.70386, 252.9261, 266.83386, 267.1962, 267.22876</t>
  </si>
  <si>
    <t>C15H26O</t>
  </si>
  <si>
    <t>FT2932PR</t>
  </si>
  <si>
    <t>Isocitric acid</t>
  </si>
  <si>
    <t>异柠檬酸</t>
  </si>
  <si>
    <t>HMDB0000193</t>
  </si>
  <si>
    <t>C00311</t>
  </si>
  <si>
    <t>hsa00020,hsa00630,hsa04922,hsa05230</t>
  </si>
  <si>
    <t>Citrate cycle (TCA cycle)|Glyoxylate and dicarboxylate metabolism|Glucagon signaling pathway|Central carbon metabolism in cancer</t>
  </si>
  <si>
    <t>320-77-4</t>
  </si>
  <si>
    <t>OC(C(CC(O)=O)C(O)=O)C(O)=O</t>
  </si>
  <si>
    <t>ODBLHEXUDAPZAU-UHFFFAOYSA-N</t>
  </si>
  <si>
    <t>151.4242, 151.4980, 163.9511, 169.0100, 169.1334, 180.0680, 197.0056, 215.0159, 215.0882, 215.1395</t>
  </si>
  <si>
    <t>FT2188NR</t>
  </si>
  <si>
    <t>N-lactoyl-Tryptophan</t>
  </si>
  <si>
    <t>N-乳酰色氨酸</t>
  </si>
  <si>
    <t>HMDB0062178</t>
  </si>
  <si>
    <t>C[C@H](O)C(=O)N[C@@H](CC1=CNC2=CC=CC=C12)C(O)=O</t>
  </si>
  <si>
    <t>AQHJZWISLYVACJ-UFBFGSQYSA-N</t>
  </si>
  <si>
    <t>84.0449, 88.0401, 102.0559, 103.6434, 115.5136, 123.0811, 146.0454, 231.1129, 254.2056, 275.1030</t>
  </si>
  <si>
    <t>C14H16N2O4</t>
  </si>
  <si>
    <t>FT5572PR</t>
  </si>
  <si>
    <t>3alpha,7alpha-Dihydroxy-5beta-cholestan-26-oic acid</t>
  </si>
  <si>
    <t>3α,7α-二羟基-5β-胆甾坦-26-油酸</t>
  </si>
  <si>
    <t>HMDB0000359</t>
  </si>
  <si>
    <t>LMST04030066</t>
  </si>
  <si>
    <t>17974-66-2</t>
  </si>
  <si>
    <t>C1[C@]2(C)[C@@]3([H])CC[C@]4(C)[C@@]([H])([C@]([H])(C)CCCC(C)C(O)=O)CC[C@@]4([H])[C@]3([H])[C@H](O)C[C@]2([H])C[C@H](O)C1</t>
  </si>
  <si>
    <t>ITZYGDKGRKKBSN-HKFUITGCSA-N</t>
  </si>
  <si>
    <t>205.4147, 216.0377, 218.5433, 302.7059, 347.7735, 363.6363, 381.3163, 386.6739, 399.3272, 417.3359</t>
  </si>
  <si>
    <t>C27H46O4</t>
  </si>
  <si>
    <t>FT5034NR</t>
  </si>
  <si>
    <t>DG(18:3-OH/a-15:0/0:0)</t>
  </si>
  <si>
    <t>甘油二酯(18:3-OH/a-15:0/0:0)</t>
  </si>
  <si>
    <t>HMDB0297656</t>
  </si>
  <si>
    <t>CC\C=C\C\C=C\C=C\C(O)CCCCCCCC(=O)OC[C@H](CO)OC(=O)CCCCCCCCCCC(C)CC</t>
  </si>
  <si>
    <t>JDMZUASZYLEXJD-YOFNQTPKSA-N</t>
  </si>
  <si>
    <t>72.4184, 75.6270, 75.6779, 78.7787, 182.9559, 205.3894, 277.4444, 302.6852, 573.4510, 574.4519</t>
  </si>
  <si>
    <t>C36H64O6</t>
  </si>
  <si>
    <t>FT1706PR</t>
  </si>
  <si>
    <t>5-Aminovaleric acid</t>
  </si>
  <si>
    <t>5-氨基戊酸</t>
  </si>
  <si>
    <t>HMDB0003355</t>
  </si>
  <si>
    <t>LMFA01100040</t>
  </si>
  <si>
    <t>C00431</t>
  </si>
  <si>
    <t>hsa00310,hsa00330,hsa00470</t>
  </si>
  <si>
    <t>Lysine degradation|Arginine and proline metabolism|D-Amino acid metabolism</t>
  </si>
  <si>
    <t>660-88-8</t>
  </si>
  <si>
    <t>C(C(=O)O)CCCN</t>
  </si>
  <si>
    <t>JJMDCOVWQOJGCB-UHFFFAOYSA-N</t>
  </si>
  <si>
    <t>110.0923, 112.0525, 124.4649, 130.0630, 137.8520, 153.8338, 156.0420, 156.0648, 156.0758, 156.5357</t>
  </si>
  <si>
    <t>M+K</t>
  </si>
  <si>
    <t>C5H11NO2</t>
  </si>
  <si>
    <t>FT1768NR</t>
  </si>
  <si>
    <t>2-Hydroxymyristic acid</t>
  </si>
  <si>
    <t>2-羟基十四烷酸</t>
  </si>
  <si>
    <t>HMDB0002261</t>
  </si>
  <si>
    <t>LMFA01050484</t>
  </si>
  <si>
    <t>2507-55-3</t>
  </si>
  <si>
    <t>C(C(O)CCCCCCCCCCCC)(O)=O</t>
  </si>
  <si>
    <t>JYZJYKOZGGEXSX-UHFFFAOYSA-N</t>
  </si>
  <si>
    <t>78.8397, 95.7657, 104.9438, 167.8248, 171.9091, 197.1904, 203.5874, 243.1743, 243.1961, 244.2000</t>
  </si>
  <si>
    <t>C14H28O3</t>
  </si>
  <si>
    <t>FT2973NR</t>
  </si>
  <si>
    <t>Medica 16</t>
  </si>
  <si>
    <t>3,3,14,14-四甲基十六烷二酸</t>
  </si>
  <si>
    <t>HMDB0254402</t>
  </si>
  <si>
    <t>87272-20-6</t>
  </si>
  <si>
    <t>CC(C)(CCCCCCCCCCC(C)(C)CC(O)=O)CC(O)=O</t>
  </si>
  <si>
    <t>HYSMCRNFENOHJH-UHFFFAOYSA-N</t>
  </si>
  <si>
    <t>157.3726, 198.8149, 205.3911, 250.8233, 273.5373, 279.2690, 280.8709, 302.6950, 323.2592, 341.2690</t>
  </si>
  <si>
    <t>C20H38O4</t>
  </si>
  <si>
    <t>FT4386NR</t>
  </si>
  <si>
    <t>Tauroursodeoxycholate</t>
  </si>
  <si>
    <t>牛磺熊去氧胆酸</t>
  </si>
  <si>
    <t>HMDB00874</t>
  </si>
  <si>
    <t>LMST05040015</t>
  </si>
  <si>
    <t>C16868</t>
  </si>
  <si>
    <t>14605-22-2</t>
  </si>
  <si>
    <t>[C@]12([C@@H](O)C[C@]3([H])C[C@H](O)CC[C@]3(C)[C@@]1([H])CC[C@]1(C)[C@@]([H])([C@@](C)([H])CCC(=O)NCCS(=O)(O)=O)CC[C@@]21[H])[H]</t>
  </si>
  <si>
    <t>BHTRKEVKTKCXOH-LBSADWJPSA-N</t>
  </si>
  <si>
    <t>70.2347, 76.8509, 84.2260, 140.1263, 163.7583, 201.4885, 205.4026, 302.6857, 498.2887, 499.2870</t>
  </si>
  <si>
    <t>C26H45NO6S</t>
  </si>
  <si>
    <t>FT0751NR</t>
  </si>
  <si>
    <t>Aminoadipic acid</t>
  </si>
  <si>
    <t>氨基己二酸</t>
  </si>
  <si>
    <t>HMDB0000510</t>
  </si>
  <si>
    <t>C00956</t>
  </si>
  <si>
    <t>1118-90-7</t>
  </si>
  <si>
    <t>N[C@@H](CCCC(O)=O)C(O)=O</t>
  </si>
  <si>
    <t>OYIFNHCXNCRBQI-BYPYZUCNSA-N</t>
  </si>
  <si>
    <t>116.0350, 117.0305, 131.0349, 142.0505, 160.0253, 160.0612, 160.1176, 160.8416, 161.0216, 161.0456</t>
  </si>
  <si>
    <t>C6H11NO4</t>
  </si>
  <si>
    <t>FT3723PR</t>
  </si>
  <si>
    <t>9Z-Heptadecenal</t>
  </si>
  <si>
    <t>9Z-十七烯醛</t>
  </si>
  <si>
    <t>LMFA06000228</t>
  </si>
  <si>
    <t>C(CCCCCCC/C=C\CCCCCCC)(=O)[H]</t>
  </si>
  <si>
    <t>HJEWKIMQTQIIIN-HJWRWDBZSA-N</t>
  </si>
  <si>
    <t>125.9510, 150.0576, 158.1539, 205.4084, 229.2343, 267.2115, 270.2265, 270.2787, 270.3034, 270.3663</t>
  </si>
  <si>
    <t>C17H32O</t>
  </si>
  <si>
    <t>FT3095NR</t>
  </si>
  <si>
    <t>2-Hydroxy-4-methoxybenzophenone sulfate</t>
  </si>
  <si>
    <t>2-羟基-4-甲氧基二苯甲酮硫酸盐</t>
  </si>
  <si>
    <t>HMDB0240721</t>
  </si>
  <si>
    <t>COC1=CC(OS(O)(=O)=O)=C(C=C1)C(=O)C1=CC=CC=C1</t>
  </si>
  <si>
    <t>ZWXJDELIUOMUOH-UHFFFAOYSA-N</t>
  </si>
  <si>
    <t>Benzophenones</t>
  </si>
  <si>
    <t>二苯甲酮类</t>
  </si>
  <si>
    <t>133.7471, 152.0120, 205.3939, 231.4346, 273.0412, 273.0765, 273.1103, 293.6148, 349.6866, 353.0332</t>
  </si>
  <si>
    <t>C14H12O6S</t>
  </si>
  <si>
    <t>FT5693PR</t>
  </si>
  <si>
    <t>Glycoursodeoxycholic acid</t>
  </si>
  <si>
    <t>甘氨酰去氧胆酸</t>
  </si>
  <si>
    <t>HMDB0000708</t>
  </si>
  <si>
    <t>LMST05030016</t>
  </si>
  <si>
    <t>64480-66-6</t>
  </si>
  <si>
    <t>O[C@H]1C[C@@]2([H])C[C@H](O)[C@@]3([H])[C@]4([H])CC[C@]([H])([C@@](C)([H])CCC(=O)NCC(=O)O)[C@@]4(C)CC[C@]3([H])[C@@]2(C)CC1</t>
  </si>
  <si>
    <t>GHCZAUBVMUEKKP-XROMFQGDSA-N</t>
  </si>
  <si>
    <t>184.0741, 201.9284, 205.3955, 205.4139, 227.8011, 302.7036, 321.2580, 339.2688, 414.3002, 432.3110</t>
  </si>
  <si>
    <t>FT2952NR</t>
  </si>
  <si>
    <t>11,13-dimethoxy-12-hydroxy-9-octadecenoic acid</t>
  </si>
  <si>
    <t>11,13-二甲氧基-12-羟基-9-十八烯酸</t>
  </si>
  <si>
    <t>LMFA01080003</t>
  </si>
  <si>
    <t>C(/C(OC)C(O)C(OC)CCCCC)=C\CCCCCCCC(=O)O</t>
  </si>
  <si>
    <t>MQWZCHDMBWJFTK-NTCAYCPXSA-N</t>
  </si>
  <si>
    <t>167.1887, 274.7508, 277.2534, 302.7035, 321.2435, 339.2176, 339.2534, 339.3222, 340.0027, 340.2543</t>
  </si>
  <si>
    <t>C20H38O5</t>
  </si>
  <si>
    <t>FT6029PR</t>
  </si>
  <si>
    <t>Priverogenin A</t>
  </si>
  <si>
    <t>3,16,22-三羟基-12-齐墩果烯-28-al</t>
  </si>
  <si>
    <t>HMDB0034530</t>
  </si>
  <si>
    <t>18443-26-0</t>
  </si>
  <si>
    <t>CC1(C)CC(O)C2(C=O)C(O)CC3(C)C(=CCC4C5(C)CCC(O)C(C)(C)C5CCC34C)C2C1</t>
  </si>
  <si>
    <t>QBWHAELJLKYXDB-UHFFFAOYSA-N</t>
  </si>
  <si>
    <t>81.0696, 95.0857, 109.1010, 115.6417, 121.1011, 145.1004, 341.5825, 437.3388, 455.3507, 473.3632</t>
  </si>
  <si>
    <t>C30H48O4</t>
  </si>
  <si>
    <t>FT4731NR</t>
  </si>
  <si>
    <t>1-(2-methoxy-6Z-octadecenyl)-sn-glycero-3-phosphoethanolamine</t>
  </si>
  <si>
    <t>1-(2-甲氧基-6Z-十八烯基)-sn-甘油-3-磷酸乙醇胺</t>
  </si>
  <si>
    <t>LMGP02060020</t>
  </si>
  <si>
    <t>[C@](COP(=O)(O)OCCN)([H])(O)COCC(OC)CCC/C=C\CCCCCCCCCCC</t>
  </si>
  <si>
    <t>UJJFIJULGLHVGP-SYODHRFQSA-N</t>
  </si>
  <si>
    <t>242.0778, 255.2323, 256.2356, 272.7154, 283.6921, 302.7042, 386.5073, 480.3087, 481.3153, 540.3293</t>
  </si>
  <si>
    <t>FT3063NR</t>
  </si>
  <si>
    <t>(+)-Serradiol</t>
  </si>
  <si>
    <t>(+)-沙雷迪醇</t>
  </si>
  <si>
    <t>LMPR0104150006</t>
  </si>
  <si>
    <t>CC1(CCCC2(C1CCC34C2CC(C=C3)C(C4)(CO)O)C)C</t>
  </si>
  <si>
    <t>YLPLMBSVCFKOSP-IYTRGPQLSA-N</t>
  </si>
  <si>
    <t>Diterpenoids</t>
  </si>
  <si>
    <t>二萜类化合物</t>
  </si>
  <si>
    <t>292.3365, 302.6761, 302.7105, 305.2478, 316.6295, 329.4628, 331.2277, 349.2380, 349.9536, 364.3326</t>
  </si>
  <si>
    <t>FT4472PR</t>
  </si>
  <si>
    <t>Decenoylcarnitine</t>
  </si>
  <si>
    <t>癸烯酰肉碱</t>
  </si>
  <si>
    <t>HMDB0250918</t>
  </si>
  <si>
    <t>CCCCCCCC=CC(=O)C(O)(CC([O-])=O)C[N+](C)(C)C</t>
  </si>
  <si>
    <t>RFZSTXLXYYWMQV-UHFFFAOYSA-N</t>
  </si>
  <si>
    <t>95.1049, 106.0699, 128.1945, 135.1161, 144.1014, 153.1271, 255.1585, 314.2318, 315.0788, 315.2345</t>
  </si>
  <si>
    <t>FT2857PR</t>
  </si>
  <si>
    <t>D-Glucaro-1,4-lactone</t>
  </si>
  <si>
    <t>糖质酸-1,4-内酯</t>
  </si>
  <si>
    <t>HMDB0041862</t>
  </si>
  <si>
    <t>5027-63-4</t>
  </si>
  <si>
    <t>[H][C@@](O)(C(O)=O)[C@@]1([H])OC(=O)[C@]([H])(O)[C@@]1([H])O</t>
  </si>
  <si>
    <t>XECPAIJNBXCOBO-MMPJQOAZSA-N</t>
  </si>
  <si>
    <t>146.0186, 147.0287, 157.0132, 168.0849, 169.0358, 175.0237, 184.7423, 205.4051, 210.0171, 210.1546</t>
  </si>
  <si>
    <t>FT1509NR</t>
  </si>
  <si>
    <t>Tuberonic acid</t>
  </si>
  <si>
    <t>卷柏烯酸</t>
  </si>
  <si>
    <t>HMDB0303749</t>
  </si>
  <si>
    <t>LMFA02020007</t>
  </si>
  <si>
    <t>C(C[C@@H]1[C@H](C/C=C\CCO)C(=O)CC1)(=O)O</t>
  </si>
  <si>
    <t>RZGFUGXQKMEMOO-SZXTZRQCSA-N</t>
  </si>
  <si>
    <t>157.0114, 163.1123, 181.1226, 200.4909, 205.3922, 212.8031, 224.5625, 225.0633, 225.1124, 232.1322</t>
  </si>
  <si>
    <t>C12H18O4</t>
  </si>
  <si>
    <t>FT3253NR</t>
  </si>
  <si>
    <t>Androstane-3,17-diol 17-sulfate</t>
  </si>
  <si>
    <t>雄甾烷-3,17-二醇17-硫酸酯</t>
  </si>
  <si>
    <t>HMDB0247995</t>
  </si>
  <si>
    <t>CC12CCC3C(CCC4CC(O)CCC34C)C1CCC2OS(O)(=O)=O</t>
  </si>
  <si>
    <t>KWYNDVHEQWYGIL-UHFFFAOYSA-N</t>
  </si>
  <si>
    <t>108.2402, 115.6719, 124.4032, 154.0476, 154.9820, 189.8232, 261.0747, 294.4280, 361.9337, 371.1893</t>
  </si>
  <si>
    <t>C19H32O5S</t>
  </si>
  <si>
    <t>FT5334PR</t>
  </si>
  <si>
    <t>(22E)-1alpha,3beta-Dihydroxychola-5,16,22-trien-24-oic Acid</t>
  </si>
  <si>
    <t>(22E)-1α,3β-二羟基胆酸-5,16,22-三烯-24-油酸</t>
  </si>
  <si>
    <t>LMST04010342</t>
  </si>
  <si>
    <t>[C@@H]1(O)[C@]2(C)[C@@]3([H])CC[C@]4(C)C([C@]([H])(C)/C=C/C(O)=O)=CC[C@@]4([H])[C@]3([H])CC=C2C[C@@H](O)C1</t>
  </si>
  <si>
    <t>QKMUYLAFPCTBBC-GYMAPVEQSA-N</t>
  </si>
  <si>
    <t>199.1481, 205.4076, 217.1578, 227.1431, 245.1533, 261.1867, 333.2227, 351.2315, 369.2419, 387.2524</t>
  </si>
  <si>
    <t>C24H34O4</t>
  </si>
  <si>
    <t>FT2421NR</t>
  </si>
  <si>
    <t>4-[3]-ladderane-butanoic acid</t>
  </si>
  <si>
    <t>4-[3]-梯烷丁酸</t>
  </si>
  <si>
    <t>LMFA01140010</t>
  </si>
  <si>
    <t>C1C2C3C4CCC4C3C2CC(CCCC(=O)O)C1</t>
  </si>
  <si>
    <t>WWHSTYPFQBWANZ-UHFFFAOYSA-N</t>
  </si>
  <si>
    <t>150.4574, 157.0115, 192.1152, 193.1593, 221.1534, 236.1048, 249.1855, 293.1372, 293.1753, 302.6951</t>
  </si>
  <si>
    <t>FT4128NR</t>
  </si>
  <si>
    <t>PE(17:0/0:0)</t>
  </si>
  <si>
    <t>磷脂酰乙醇胺(17:0/0:0)</t>
  </si>
  <si>
    <t>HMDB0061691</t>
  </si>
  <si>
    <t>LMGP02050030</t>
  </si>
  <si>
    <t>[C@](COP(=O)(O)OCCN)([H])(O)COC(CCCCCCCCCCCCCCCC)=O</t>
  </si>
  <si>
    <t>RVNBVQKDPQVSOY-OAQYLSRUSA-N</t>
  </si>
  <si>
    <t>168.0426, 168.3903, 195.6232, 196.0379, 249.3787, 269.2481, 303.9738, 451.1220, 466.2981, 466.3268</t>
  </si>
  <si>
    <t>FT5827PR</t>
  </si>
  <si>
    <t>N-Eicosapentaenoyl Phenylalanine</t>
  </si>
  <si>
    <t>N-二十碳五烯酰基苯丙氨酸</t>
  </si>
  <si>
    <t>HMDB0242077</t>
  </si>
  <si>
    <t>CCC=CCC=CCC=CCC=CCC=CCCCC(=O)NC(CC1=CC=CC=C1)C(O)=O</t>
  </si>
  <si>
    <t>PXVMEXBCFJTGCL-UHFFFAOYSA-N</t>
  </si>
  <si>
    <t>322.1792, 323.0378, 348.1981, 376.2267, 378.2439, 392.2190, 394.2374, 435.2712, 450.2995, 451.3022</t>
  </si>
  <si>
    <t>C29H39NO3</t>
  </si>
  <si>
    <t>FT3618PR</t>
  </si>
  <si>
    <t>Methylmalonylcarnitine</t>
  </si>
  <si>
    <t>甲基丙二酰肉碱</t>
  </si>
  <si>
    <t>HMDB0013133</t>
  </si>
  <si>
    <t>LMFA07070081</t>
  </si>
  <si>
    <t>[C@H](C[N+](C)(C)C)(OC(=O)C(C)C(=O)O)CC(=O)[O-]</t>
  </si>
  <si>
    <t>XROYFEWIXXCPAW-MQWKRIRWSA-N</t>
  </si>
  <si>
    <t>74.9528, 77.7644, 85.0287, 88.4455, 176.8235, 188.7107, 189.9266, 234.2369, 262.0616, 262.1302</t>
  </si>
  <si>
    <t>C11H19NO6</t>
  </si>
  <si>
    <t>FT3323NR</t>
  </si>
  <si>
    <t>Hesperetin 7-sulfate</t>
  </si>
  <si>
    <t>7-硫酸橙皮素</t>
  </si>
  <si>
    <t>HMDB0240525</t>
  </si>
  <si>
    <t>[H][C@]1(CC(=O)C2=C(O)C=C(OS(O)(=O)=O)C=C2O1)C1=CC(O)=C(OC)C=C1</t>
  </si>
  <si>
    <t>SKHOIXCPISQFMS-AWEZNQCLSA-N</t>
  </si>
  <si>
    <t>233.0822, 242.0582, 257.0811, 258.0529, 286.0481, 301.0711, 301.1102, 302.7042, 381.0279, 382.0284</t>
  </si>
  <si>
    <t>C16H14O9S</t>
  </si>
  <si>
    <t>FT4468NR</t>
  </si>
  <si>
    <t>PC(17:0/0:0)</t>
  </si>
  <si>
    <t>1-十七碳酰-甘油-3-磷酰胆碱</t>
  </si>
  <si>
    <t>HMDB0012108</t>
  </si>
  <si>
    <t>LMGP01050024</t>
  </si>
  <si>
    <t>50930-23-9</t>
  </si>
  <si>
    <t>[C@](COP(=O)([O-])OCC[N+](C)(C)C)([H])(O)COC(CCCCCCCCCCCCCCCC)=O</t>
  </si>
  <si>
    <t>SRRQPVVYXBTRQK-XMMPIXPASA-N</t>
  </si>
  <si>
    <t>284.4834, 302.6800, 505.4311, 508.1599, 508.3396, 508.5159, 508.6135, 509.3448, 511.2761, 528.0942</t>
  </si>
  <si>
    <t>FT4264PR</t>
  </si>
  <si>
    <t>Sphingosine</t>
  </si>
  <si>
    <t>赤型鞘氨醇</t>
  </si>
  <si>
    <t>HMDB0000252</t>
  </si>
  <si>
    <t>LMSP01010001</t>
  </si>
  <si>
    <t>C00319</t>
  </si>
  <si>
    <t>hsa00600,hsa04071,hsa04210,hsa04217</t>
  </si>
  <si>
    <t>Sphingolipid metabolism|Sphingolipid signaling pathway|Apoptosis|Necroptosis</t>
  </si>
  <si>
    <t>123-78-4</t>
  </si>
  <si>
    <t>OC[C@]([H])(N)[C@]([H])(O)/C=C/CCCCCCCCCCCCC</t>
  </si>
  <si>
    <t>WWUZIQQURGPMPG-KRWOKUGFSA-N</t>
  </si>
  <si>
    <t>211.2042, 252.2686, 264.2683, 279.0634, 281.0570, 282.2788, 283.1759, 300.2906, 301.1408, 302.7087</t>
  </si>
  <si>
    <t>C18H37NO2</t>
  </si>
  <si>
    <t>FT2332NR</t>
  </si>
  <si>
    <t>7Z-hexadecen-1-ol</t>
  </si>
  <si>
    <t>7Z-十六烯-1-醇</t>
  </si>
  <si>
    <t>LMFA05000055</t>
  </si>
  <si>
    <t>C(=C/CCCCCCCC)/CCCCCCO</t>
  </si>
  <si>
    <t>KKGMASVOOYPIGJ-KTKRTIGZSA-N</t>
  </si>
  <si>
    <t>65.9333, 68.7169, 68.7718, 71.6372, 71.7347, 205.3893, 216.5569, 239.2372, 277.6357, 285.2424</t>
  </si>
  <si>
    <t>C16H32O</t>
  </si>
  <si>
    <t>FT3836NR</t>
  </si>
  <si>
    <t>Gibberellin A43</t>
  </si>
  <si>
    <t>赤霉素 A43</t>
  </si>
  <si>
    <t>HMDB0035046</t>
  </si>
  <si>
    <t>54605-43-5</t>
  </si>
  <si>
    <t>[H][C@@]12CC[C@@H]3C[C@]1(CC3=C)[C@@H](C(O)=O)[C@@]1([H])[C@]2(C[C@H](O)[C@H](O)[C@@]1(C)C(O)=O)C(O)=O</t>
  </si>
  <si>
    <t>FQTLNSKVFLETSS-QBCIWLIXSA-N</t>
  </si>
  <si>
    <t>103.0035, 113.0242, 137.3676, 175.0242, 189.0916, 193.0352, 204.3334, 219.1386, 263.1286, 439.1601</t>
  </si>
  <si>
    <t>C20H26O8</t>
  </si>
  <si>
    <t>FT6331PR</t>
  </si>
  <si>
    <t>PC(P-18:0/0:0)</t>
  </si>
  <si>
    <t>磷脂酰胆碱(P-18:0/0:0)</t>
  </si>
  <si>
    <t>HMDB0013122</t>
  </si>
  <si>
    <t>LMGP01070009</t>
  </si>
  <si>
    <t>[C@](COP(=O)([O-])OCC[N+](C)(C)C)([H])(O)CO/C=C\CCCCCCCCCCCCCCCC</t>
  </si>
  <si>
    <t>WBOMIOWRFSPZMC-AYICAFKVSA-N</t>
  </si>
  <si>
    <t>184.0921, 302.7128, 347.3650, 493.9614, 505.5028, 508.0960, 508.1924, 508.3755, 509.3797, 511.2758</t>
  </si>
  <si>
    <t>FT1535NR</t>
  </si>
  <si>
    <t>Myristic acid</t>
  </si>
  <si>
    <t>肉豆蔻酸</t>
  </si>
  <si>
    <t>HMDB0000806</t>
  </si>
  <si>
    <t>LMFA01010014</t>
  </si>
  <si>
    <t>C06424</t>
  </si>
  <si>
    <t>hsa00061</t>
  </si>
  <si>
    <t>Fatty acid biosynthesis</t>
  </si>
  <si>
    <t>R-HSA-112310,R-HSA-112315,R-HSA-112316,R-HSA-162582,R-HSA-1643685,R-HSA-2980736,R-HSA-372790,R-HSA-373076,R-HSA-381771,R-HSA-382551,R-HSA-388396,R-HSA-392499,R-HSA-400508,R-HSA-416476,R-HSA-425397,R-HSA-425407,R-HSA-444209,R-HSA-500792,R-HSA-5619102,R-HSA-5619108,R-HSA-5619115,R-HSA-804914</t>
  </si>
  <si>
    <t>Neurotransmitter release cycle|Transmission across Chemical Synapses|Neuronal System|Signal Transduction|Disease|Peptide hormone metabolism|Signaling by GPCR|Class A/1 (Rhodopsin-like receptors)|Synthesis, secretion, and inactivation of Glucagon-like Peptide-1 (GLP-1)|Transport of small molecules|GPCR downstream signalling|Metabolism of proteins|Incretin synthesis, secretion, and inactivation|G alpha (q) signalling events|Transport of vitamins, nucleosides, and related molecules|SLC-mediated transmembrane transport|Free fatty acid receptors|GPCR ligand binding|SLC transporter disorders|Defective SLC27A4 causes ichthyosis prematurity syndrome (IPS)|Disorders of transmembrane transporters|Transport of fatty acids</t>
  </si>
  <si>
    <t>544-63-8</t>
  </si>
  <si>
    <t>C(CCCC)CCCCCCCCC(=O)O</t>
  </si>
  <si>
    <t>TUNFSRHWOTWDNC-UHFFFAOYSA-N</t>
  </si>
  <si>
    <t>58.6718, 67.8874, 80.6325, 83.1886, 86.4429, 108.7221, 162.3862, 227.1290, 227.1650, 227.2013</t>
  </si>
  <si>
    <t>C14H28O2</t>
  </si>
  <si>
    <t>FT4518NR</t>
  </si>
  <si>
    <t>Tauro-b-muricholic acid</t>
  </si>
  <si>
    <t>牛磺-b-鼠胆酸</t>
  </si>
  <si>
    <t>HMDB0000932</t>
  </si>
  <si>
    <t>25696-60-0</t>
  </si>
  <si>
    <t>[H][C@@]12C[C@H](O)CC[C@]1(C)C1CC[C@]3(C)[C@H](CCC3C1[C@@H](O)[C@H]2O)[C@H](C)CCC(=O)NCCS(O)(=O)=O</t>
  </si>
  <si>
    <t>XSOLDPYUICCHJX-OEYGYFRSSA-N</t>
  </si>
  <si>
    <t>196.9521, 203.9864, 300.0423, 302.6794, 302.7164, 398.8538, 408.7817, 514.2836, 514.3724, 515.2899</t>
  </si>
  <si>
    <t>FT0988NR</t>
  </si>
  <si>
    <t>3,4-Dihydroxybenzaldehyde</t>
  </si>
  <si>
    <t>3,4-二羟基苯甲醛</t>
  </si>
  <si>
    <t>HMDB0059965</t>
  </si>
  <si>
    <t>C16700</t>
  </si>
  <si>
    <t>139-85-5</t>
  </si>
  <si>
    <t>OC1=CC=C(C=O)C=C1O</t>
  </si>
  <si>
    <t>IBGBGRVKPALMCQ-UHFFFAOYSA-N</t>
  </si>
  <si>
    <t>125.0243, 138.9067, 139.0397, 142.2819, 153.0064, 183.0045, 183.0295, 184.0075, 184.0328, 196.9903</t>
  </si>
  <si>
    <t>FT2652NR</t>
  </si>
  <si>
    <t>N-palmitoyl glycine</t>
  </si>
  <si>
    <t>棕榈酰甘氨酸</t>
  </si>
  <si>
    <t>HMDB0013034</t>
  </si>
  <si>
    <t>LMFA08020079</t>
  </si>
  <si>
    <t>158305-64-7</t>
  </si>
  <si>
    <t>C(CNC(CCCCCCCCCCCCCCC)=O)(=O)O</t>
  </si>
  <si>
    <t>KVTFEOAKFFQCCX-UHFFFAOYSA-N</t>
  </si>
  <si>
    <t>55.7713, 72.03885, 74.0246, 100.21414, 111.8595, 135.59148, 138.02863, 299.6503, 312.25409</t>
  </si>
  <si>
    <t>C18H35NO3</t>
  </si>
  <si>
    <t>FT0859NR</t>
  </si>
  <si>
    <t>4-Hydroxy-4-methyl-5-hexenoic acid gamma lactone</t>
  </si>
  <si>
    <t>4-甲基-4-羟基-5-己烯酸-Γ-内酯</t>
  </si>
  <si>
    <t>HMDB0032333</t>
  </si>
  <si>
    <t>1073-11-6</t>
  </si>
  <si>
    <t>CC1(CCC(=O)O1)C=C</t>
  </si>
  <si>
    <t>QESPSAHXYXIGBG-UHFFFAOYSA-N</t>
  </si>
  <si>
    <t>126.8388, 126.8803, 127.0761, 127.1123, 128.0800, 147.1197, 171.0194, 171.0660, 171.1019, 171.9810</t>
  </si>
  <si>
    <t>FT5795PR</t>
  </si>
  <si>
    <t>(23S,25R)-25-hydroxyvitamin D3 26,23-peroxylactone</t>
  </si>
  <si>
    <t>(23S,25R)-25-羟基维生素D3 26,23-过氧化内酯</t>
  </si>
  <si>
    <t>LMST03020121</t>
  </si>
  <si>
    <t>C1C(=C)/C(=C\C=C2\[C@]3([H])CC[C@@]([C@@](C)([H])C[C@@H]4OOC(=O)[C@@](O)(C)C4)([H])[C@@]3(C)CCC\2)/C[C@@H](O)C1</t>
  </si>
  <si>
    <t>DBDDUVJJIVBQPI-PDGVZUSRSA-N</t>
  </si>
  <si>
    <t>175.1110, 227.4590, 253.1953, 271.2050, 351.1151, 355.8400, 359.0278, 399.2844, 427.2851, 445.2932</t>
  </si>
  <si>
    <t>C27H40O5</t>
  </si>
  <si>
    <t>FT2457NR</t>
  </si>
  <si>
    <t>18-Hydroxyoctadecadienoic acid</t>
  </si>
  <si>
    <t>18-羟基十八碳二烯酸</t>
  </si>
  <si>
    <t>HMDB0244806</t>
  </si>
  <si>
    <t>OCCCCCCCCCCCCCC=CC=CC(O)=O</t>
  </si>
  <si>
    <t>LSFQETKRPYYPIB-UHFFFAOYSA-N</t>
  </si>
  <si>
    <t>130.5983, 133.0257, 173.3190, 199.8566, 203.5858, 241.1352, 292.5113, 295.2271, 296.2304, 302.7035</t>
  </si>
  <si>
    <t>C18H32O3</t>
  </si>
  <si>
    <t>FT2675NR</t>
  </si>
  <si>
    <t>1-methylpropyl-tridecanolide</t>
  </si>
  <si>
    <t>1-甲基丙基十三内酯</t>
  </si>
  <si>
    <t>LMFA07040053</t>
  </si>
  <si>
    <t>C1(OC(C(C)CC)CCCCCCCCCCC1)=O</t>
  </si>
  <si>
    <t>LCSBQXXSNDOFFD-UHFFFAOYSA-N</t>
  </si>
  <si>
    <t>167.1432, 169.1595, 171.1375, 182.3150, 213.1492, 213.3930, 302.6950, 313.2378, 317.8883, 325.1476</t>
  </si>
  <si>
    <t>C17H32O2</t>
  </si>
  <si>
    <t>FT2883NR</t>
  </si>
  <si>
    <t>Daidzein 4'-sulfate</t>
  </si>
  <si>
    <t>大豆苷元 4'-硫酸盐</t>
  </si>
  <si>
    <t>HMDB0240698</t>
  </si>
  <si>
    <t>OC1=CC2=C(C=C1)C(=O)C(=CO2)C1=CC=C(OS(O)(=O)=O)C=C1</t>
  </si>
  <si>
    <t>CQRHJEVIKOKQMO-UHFFFAOYSA-N</t>
  </si>
  <si>
    <t>Isoflavonoids</t>
  </si>
  <si>
    <t>Isoflav-2-enes</t>
  </si>
  <si>
    <t>异黄酮类</t>
  </si>
  <si>
    <t xml:space="preserve"> 2-异黄酮</t>
  </si>
  <si>
    <t>129.9751, 152.5474, 205.4020, 253.0192, 253.0261, 253.0500, 253.0808, 313.5034, 332.9742, 333.0072</t>
  </si>
  <si>
    <t>C15H10O7S</t>
  </si>
  <si>
    <t>FT0838NR</t>
  </si>
  <si>
    <t>Dehydroacetic acid</t>
  </si>
  <si>
    <t>脱氢乙酸</t>
  </si>
  <si>
    <t>HMDB0250943</t>
  </si>
  <si>
    <t>CC(=O)C1C(=O)OC(C)=CC1=O</t>
  </si>
  <si>
    <t>PGRHXDWITVMQBC-UHFFFAOYSA-N</t>
  </si>
  <si>
    <t>Pyrans</t>
  </si>
  <si>
    <t>Pyranones and derivatives</t>
  </si>
  <si>
    <t>吡喃</t>
  </si>
  <si>
    <t>吡喃酮及其衍生物</t>
  </si>
  <si>
    <t>97.1532, 108.0214, 123.0448, 138.9291, 152.0113, 152.0240, 153.0061, 167.0195, 167.0343, 167.0701</t>
  </si>
  <si>
    <t>C8H8O4</t>
  </si>
  <si>
    <t>FT2871NR</t>
  </si>
  <si>
    <t>2,5-Cyclohexadien-1-one, 4-hydroxy-2,3,5,6-tetramethyl-</t>
  </si>
  <si>
    <t>2,5-环己二烯-1-酮,4-羟基-2,3,5,6-四甲基-</t>
  </si>
  <si>
    <t>HMDB0245491</t>
  </si>
  <si>
    <t>CC1=C(C)C(=O)C(C)=C(C)C1O</t>
  </si>
  <si>
    <t>RMVJRVKBWWOYPN-UHFFFAOYSA-N</t>
  </si>
  <si>
    <t>Alcohols and polyols</t>
  </si>
  <si>
    <t>醇和多元醇</t>
  </si>
  <si>
    <t>282.1259, 288.9476, 297.1489, 301.1809, 313.1800, 315.1605, 329.1327, 329.1753, 330.7616, 331.1909</t>
  </si>
  <si>
    <t>2M-H</t>
  </si>
  <si>
    <t>C10H14O2</t>
  </si>
  <si>
    <t>FT5400PR</t>
  </si>
  <si>
    <t>(10Z)-12-Hydroxyhexadecenoylcarnitine</t>
  </si>
  <si>
    <t>(10Z)-12-羟基十六碳烯酰肉碱</t>
  </si>
  <si>
    <t>HMDB0241477</t>
  </si>
  <si>
    <t>CCCCC(O)C=CCCCCCCCCC(=O)OC(CC([O-])=O)C[N+](C)(C)C</t>
  </si>
  <si>
    <t>NNIGBOAAXZMMQM-UHFFFAOYSA-N</t>
  </si>
  <si>
    <t>112.0671, 128.6017, 144.1010, 189.5055, 205.4061, 297.1854, 318.7782, 337.2395, 396.3101, 396.3966</t>
  </si>
  <si>
    <t>C23H43NO5</t>
  </si>
  <si>
    <t>FT2678NR</t>
  </si>
  <si>
    <t>octadec-11Z-enol</t>
  </si>
  <si>
    <t>十八-11Z-烯醇</t>
  </si>
  <si>
    <t>LMFA05000095</t>
  </si>
  <si>
    <t>OCCCCCCCCCC/C=C\CCCCCC</t>
  </si>
  <si>
    <t>XMLQWXUVTXCDDL-FPLPWBNLSA-N</t>
  </si>
  <si>
    <t>255.2324, 255.2638, 260.5159, 288.8450, 299.2231, 300.4060, 302.6952, 313.2743, 313.3166, 314.2771</t>
  </si>
  <si>
    <t>C18H36O</t>
  </si>
  <si>
    <t>FT4773PR</t>
  </si>
  <si>
    <t>2-amino-14,16-dimethyloctadecan-3-ol</t>
  </si>
  <si>
    <t>2-氨基-14,16-二甲基十八烷-3-醇</t>
  </si>
  <si>
    <t>LMSP01080031</t>
  </si>
  <si>
    <t>C(C)(N)C(O)CCCCCCCCCCC(C)CC(C)CC</t>
  </si>
  <si>
    <t>PRIXJBFEYXJGPF-UHFFFAOYSA-N</t>
  </si>
  <si>
    <t>161.1325, 205.3950, 238.9263, 250.9047, 301.2887, 301.7553, 302.7057, 319.2992, 336.3256, 337.1682</t>
  </si>
  <si>
    <t>C20H43NO</t>
  </si>
  <si>
    <t>FT4276NR</t>
  </si>
  <si>
    <t>Ganoderal A</t>
  </si>
  <si>
    <t>灵芝醛A</t>
  </si>
  <si>
    <t>HMDB0035983</t>
  </si>
  <si>
    <t>104700-98-3</t>
  </si>
  <si>
    <t>CC(CC\C=C(/C)C=O)C1CCC2(C)C3=CCC4C(C)(C)C(=O)CCC4(C)C3=CCC12C</t>
  </si>
  <si>
    <t>RHNFCIPJKSUUES-AWQFTUOYSA-N</t>
  </si>
  <si>
    <t>150.0852, 168.3971, 267.8081, 408.3025, 409.2482, 409.3102, 460.9270, 468.1539, 481.3301, 481.3929</t>
  </si>
  <si>
    <t>C30H44O2</t>
  </si>
  <si>
    <t>FT2698NR</t>
  </si>
  <si>
    <t>(9S,10S)-9,10-dihydroxyoctadecanoic acid</t>
  </si>
  <si>
    <t>(9S,10S)-9,10-二羟基十八烷酸</t>
  </si>
  <si>
    <t>HMDB0059633</t>
  </si>
  <si>
    <t>LMFA02000238</t>
  </si>
  <si>
    <t>C15988</t>
  </si>
  <si>
    <t>C(O)(=O)CCCCCCC[C@H](O)[C@@H](O)CCCCCCCC</t>
  </si>
  <si>
    <t>VACHUYIREGFMSP-IRXDYDNUSA-N</t>
  </si>
  <si>
    <t>97.1812, 123.2407, 130.0988, 156.0231, 187.3090, 214.3559, 297.2432, 313.2387, 315.2534, 315.2967</t>
  </si>
  <si>
    <t>C18H36O4</t>
  </si>
  <si>
    <t>FT0426NR</t>
  </si>
  <si>
    <t>L-Glutamic gamma-semialdehyde</t>
  </si>
  <si>
    <t>L-谷氨酸γ-半醛</t>
  </si>
  <si>
    <t>HMDB0002104</t>
  </si>
  <si>
    <t>C01165</t>
  </si>
  <si>
    <t>hsa00330</t>
  </si>
  <si>
    <t>Arginine and proline metabolism</t>
  </si>
  <si>
    <t>496-92-4</t>
  </si>
  <si>
    <t>N[C@@H](CCC=O)C(O)=O</t>
  </si>
  <si>
    <t>KABXUUFDPUOJMW-BYPYZUCNSA-N</t>
  </si>
  <si>
    <t>85.0293, 85.0657, 86.0609, 87.0451, 88.0401, 106.5162, 130.0503, 130.0867, 131.0352, 131.0718</t>
  </si>
  <si>
    <t>FT2150NR</t>
  </si>
  <si>
    <t>Juniperic acid</t>
  </si>
  <si>
    <t>16-羟基棕榈酸</t>
  </si>
  <si>
    <t>HMDB0006294</t>
  </si>
  <si>
    <t>LMFA01050051</t>
  </si>
  <si>
    <t>C18218</t>
  </si>
  <si>
    <t>506-13-8</t>
  </si>
  <si>
    <t>C(CCCCCCCCCCCCCO)CC(=O)O</t>
  </si>
  <si>
    <t>UGAGPNKCDRTDHP-UHFFFAOYSA-N</t>
  </si>
  <si>
    <t>108.0470, 143.8017, 168.8460, 225.2212, 253.2174, 269.2111, 271.1372, 271.2275, 272.2313, 291.7294</t>
  </si>
  <si>
    <t>FT1153NR</t>
  </si>
  <si>
    <t>Cucujolide II</t>
  </si>
  <si>
    <t>葫芦内酯 II</t>
  </si>
  <si>
    <t>LMFA07040033</t>
  </si>
  <si>
    <t>C1(O[C@H](C)CCCCCCC=CC1)=O</t>
  </si>
  <si>
    <t>IIBFPGGSICFOHJ-BPOWMSRESA-N</t>
  </si>
  <si>
    <t>176.8948, 179.1073, 180.1385, 194.9057, 195.0458, 195.0642, 195.1385, 196.1423, 199.9425, 201.3469</t>
  </si>
  <si>
    <t>C12H20O2</t>
  </si>
  <si>
    <t>FT4002NR</t>
  </si>
  <si>
    <t>ascr#38</t>
  </si>
  <si>
    <t>(20R)-20-[(3,6-二脱氧-α-L-阿拉伯-吡喃己糖基)氧基]二十二烷酸</t>
  </si>
  <si>
    <t>LMFA13040016</t>
  </si>
  <si>
    <t>O([C@@H](CCCCCCCCCCCCCCCCCCC(=O)O)C)[C@H]1[C@H](O)C[C@@H](O)[C@H](C)O1</t>
  </si>
  <si>
    <t>NISHIBVYPLRXFI-VYXBAIFMSA-N</t>
  </si>
  <si>
    <t>199.0516, 221.2293, 233.4861, 267.2322, 367.7325, 391.3578, 409.3710, 435.3470, 453.3576, 464.7622</t>
  </si>
  <si>
    <t>C27H52O6</t>
  </si>
  <si>
    <t>FT1280PR</t>
  </si>
  <si>
    <t>Creatinine</t>
  </si>
  <si>
    <t>肌酐</t>
  </si>
  <si>
    <t>HMDB0000562</t>
  </si>
  <si>
    <t>C00791</t>
  </si>
  <si>
    <t>R-HSA-1430728,R-HSA-382551,R-HSA-425366,R-HSA-425407,R-HSA-549127,R-HSA-549132,R-HSA-71288,R-HSA-71291</t>
  </si>
  <si>
    <t>Metabolism|Transport of small molecules|Transport of bile salts and organic acids, metal ions and amine compounds|SLC-mediated transmembrane transport|Organic cation transport|Organic cation/anion/zwitterion transport|Creatine metabolism|Metabolism of amino acids and derivatives</t>
  </si>
  <si>
    <t>60-27-5</t>
  </si>
  <si>
    <t>CN1CC(=O)NC1=N</t>
  </si>
  <si>
    <t>DDRJAANPRJIHGJ-UHFFFAOYSA-N</t>
  </si>
  <si>
    <t>136.4234, 136.6407, 137.0147, 137.0259, 137.0456, 137.0708, 137.0793, 137.4523, 138.0272, 138.0812</t>
  </si>
  <si>
    <t>C4H7N3O</t>
  </si>
  <si>
    <t>FT4541NR</t>
  </si>
  <si>
    <t>Galaxaurol D</t>
  </si>
  <si>
    <t>佳乐索醇D</t>
  </si>
  <si>
    <t>LMST01100037</t>
  </si>
  <si>
    <t>C1C[C@@]23C[C@]42CC[C@H](O)[C@@](C)(CO)[C@]4([H])CC[C@@]3([H])[C@]2(C)CC[C@]([H])([C@@](C)([H])C/C=C/C(OC)(C)C)[C@@]12C</t>
  </si>
  <si>
    <t>QXGIGAARCJGKRI-NCQGZYEDSA-N</t>
  </si>
  <si>
    <t>Cycloartanols and derivatives</t>
  </si>
  <si>
    <t>环木菠萝醇及其衍生物</t>
  </si>
  <si>
    <t>68.6325, 83.4021, 91.2751, 167.7330, 171.9583, 468.4223, 517.2993, 517.3891, 517.4790, 518.3955</t>
  </si>
  <si>
    <t>C31H52O3</t>
  </si>
  <si>
    <t>FT3053NR</t>
  </si>
  <si>
    <t>Genistein 7-sulfate</t>
  </si>
  <si>
    <t>4H-1-苯并吡喃-4-酮，5-羟基-3-（4-羟基苯基）-7-磺氧基-</t>
  </si>
  <si>
    <t>HMDB0240522</t>
  </si>
  <si>
    <t>OC1=CC=C(C=C1)C1=COC2=CC(OS(O)(=O)=O)=CC(O)=C2C1=O</t>
  </si>
  <si>
    <t>DKEIWIJUHWVGRC-UHFFFAOYSA-N</t>
  </si>
  <si>
    <t>114.0803, 121.7980, 146.9652, 190.5160, 200.5279, 253.8645, 268.6670, 269.0164, 269.0449, 349.0018</t>
  </si>
  <si>
    <t>C15H10O8S</t>
  </si>
  <si>
    <t>FT0408NR</t>
  </si>
  <si>
    <t>4-Methyl-2-oxopentanoic acid</t>
  </si>
  <si>
    <t>4-甲基-2-氧戊酸</t>
  </si>
  <si>
    <t>HMDB0000695</t>
  </si>
  <si>
    <t>C00233</t>
  </si>
  <si>
    <t>hsa00280,hsa00290,hsa00785</t>
  </si>
  <si>
    <t>Valine, leucine and isoleucine degradation|Valine, leucine and isoleucine biosynthesis|Lipoic acid metabolism</t>
  </si>
  <si>
    <t>816-66-0</t>
  </si>
  <si>
    <t>CC(C)CC(=O)C(O)=O</t>
  </si>
  <si>
    <t>BKAJNAXTPSGJCU-UHFFFAOYSA-N</t>
  </si>
  <si>
    <t>50.66817, 56.90686, 61.98809, 62.3526, 64.96014, 67.8649, 70.73037, 129.0553, 138.38507, 141.65219</t>
  </si>
  <si>
    <t>FT3750NR</t>
  </si>
  <si>
    <t>3,5-Dihydroxyphenylvaleric acid glucuronide</t>
  </si>
  <si>
    <t>3,5-二羟基苯基戊酸葡萄糖苷酸</t>
  </si>
  <si>
    <t>HMDB0240451</t>
  </si>
  <si>
    <t>[H][C@@]1(OC2=CC(CCCCC(O)=O)=CC(O)=C2)O[C@]([H])(C(O)=O)C([H])(O)[C@]([H])(O)C1([H])O</t>
  </si>
  <si>
    <t>RLPWWOIWKYLCFU-IASGZQPQSA-N</t>
  </si>
  <si>
    <t>Saccharolipids</t>
  </si>
  <si>
    <t>糖脂</t>
  </si>
  <si>
    <t>63.97801, 72.99264, 85.0293, 103.05674, 113.02427, 133.36572, 175.0248, 255.0858, 431.1192, 447.54898</t>
  </si>
  <si>
    <t>C17H22O10</t>
  </si>
  <si>
    <t>FT1457NR</t>
  </si>
  <si>
    <t>Kobusone</t>
  </si>
  <si>
    <t>小布根</t>
  </si>
  <si>
    <t>HMDB0036790</t>
  </si>
  <si>
    <t>24173-71-5</t>
  </si>
  <si>
    <t>CC12CCC3C(CC3(C)C)C(=O)CCC1O2</t>
  </si>
  <si>
    <t>UETZJEZFLKASPR-UHFFFAOYSA-N</t>
  </si>
  <si>
    <t>121.0298, 144.6548, 156.7042, 188.2572, 220.1478, 221.0575, 221.0834, 221.1308, 221.1538, 222.1575</t>
  </si>
  <si>
    <t>FT1691NR</t>
  </si>
  <si>
    <t>beta-Ionol</t>
  </si>
  <si>
    <t>4-(2,6,6-三甲基环己烯基-1-基)-3-丁烯-2-醇</t>
  </si>
  <si>
    <t>HMDB0036820</t>
  </si>
  <si>
    <t>22029-76-1</t>
  </si>
  <si>
    <t>CC(O)\C=C\C1=C(C)CCCC1(C)C</t>
  </si>
  <si>
    <t>CNOPDZWOYFOHGN-BQYQJAHWSA-N</t>
  </si>
  <si>
    <t>179.1434, 194.9048, 195.1385, 223.0272, 239.0683, 239.1255, 239.1316, 239.1648, 240.1695, 248.0861</t>
  </si>
  <si>
    <t>C13H22O</t>
  </si>
  <si>
    <t>FT3571NR</t>
  </si>
  <si>
    <t>4,5-Dihydrocortisol</t>
  </si>
  <si>
    <t>4,5-二氢皮质醇</t>
  </si>
  <si>
    <t>HMDB0246609</t>
  </si>
  <si>
    <t>CC12CC(O)C3C(CCC4CC(=O)CCC34C)C1CCC2(O)C(=O)CO</t>
  </si>
  <si>
    <t>ACSFOIGNUQUIGE-UHFFFAOYSA-N</t>
  </si>
  <si>
    <t>74.5185, 75.0420, 77.9459, 99.1272, 205.4014, 256.0330, 290.0869, 331.1913, 333.2066, 409.2231</t>
  </si>
  <si>
    <t>C21H32O5</t>
  </si>
  <si>
    <t>FT2400NR</t>
  </si>
  <si>
    <t>Acetylbalchanolide</t>
  </si>
  <si>
    <t>乙酰巴烷内酯</t>
  </si>
  <si>
    <t>HMDB0036693</t>
  </si>
  <si>
    <t>CC1C2C(OC1=O)\C=C(C)\CC\C=C(C)\CC2OC(C)=O</t>
  </si>
  <si>
    <t>MNQOAYZWZSDAKZ-BBYAVRKXSA-N</t>
  </si>
  <si>
    <t>165.4829, 171.1861, 178.3653, 205.3967, 219.1746, 247.1365, 263.1651, 291.1305, 291.1599, 291.1972</t>
  </si>
  <si>
    <t>C17H24O4</t>
  </si>
  <si>
    <t>FT2148PR</t>
  </si>
  <si>
    <t>L-Prolylglycine</t>
  </si>
  <si>
    <t>L-脯氨酰甘氨酸</t>
  </si>
  <si>
    <t>HMDB0011178</t>
  </si>
  <si>
    <t>2578-57-6</t>
  </si>
  <si>
    <t>OC(=O)CNC(=O)[C@@H]1CCCN1</t>
  </si>
  <si>
    <t>RNKSNIBMTUYWSH-YFKPBYRVSA-N</t>
  </si>
  <si>
    <t>145.0685, 145.0969, 145.1181, 145.1243, 146.1000, 155.0689, 155.0816, 173.0455, 173.0923, 173.1275</t>
  </si>
  <si>
    <t>C7H12N2O3</t>
  </si>
  <si>
    <t>FT1948NR</t>
  </si>
  <si>
    <t>N-Acetyl-D-mannosamine</t>
  </si>
  <si>
    <t>N-乙酰基-β-D-甘露糖胺</t>
  </si>
  <si>
    <t>3615-17-6</t>
  </si>
  <si>
    <t>OC[C@@H](O)[C@@H](O)[C@H](O)[C@@H](C=O)NC(C)=O</t>
  </si>
  <si>
    <t>MBLBDJOUHNCFQT-WCTZXXKLSA-N</t>
  </si>
  <si>
    <t>176.0280, 177.0344, 197.0554, 205.3813, 205.4011, 212.0732, 220.0833, 255.9851, 256.0590, 256.9905</t>
  </si>
  <si>
    <t>M+Cl</t>
  </si>
  <si>
    <t>C8H15NO6</t>
  </si>
  <si>
    <t>FT3532PR</t>
  </si>
  <si>
    <t>Bombykol</t>
  </si>
  <si>
    <t>蚕蛾醇</t>
  </si>
  <si>
    <t>LMFA05000007</t>
  </si>
  <si>
    <t>C16873</t>
  </si>
  <si>
    <t>765-17-3</t>
  </si>
  <si>
    <t>C(=C/C=C\CCC)\CCCCCCCCCO</t>
  </si>
  <si>
    <t>CIVIWCVVOFNUST-SCFJQAPRSA-N</t>
  </si>
  <si>
    <t>262.6184, 262.6555, 264.7871, 264.8166, 266.9843, 267.0422, 269.2087, 269.2538, 271.4590, 273.7370</t>
  </si>
  <si>
    <t>C16H30O</t>
  </si>
  <si>
    <t>FT0947NR</t>
  </si>
  <si>
    <t>Galactonic acid</t>
  </si>
  <si>
    <t>半乳糖酸</t>
  </si>
  <si>
    <t>HMDB0000565</t>
  </si>
  <si>
    <t>C00880</t>
  </si>
  <si>
    <t>hsa00052</t>
  </si>
  <si>
    <t>Galactose metabolism</t>
  </si>
  <si>
    <t>13382-27-9</t>
  </si>
  <si>
    <t>OC[C@@H](O)[C@H](O)[C@H](O)[C@@H](O)C(O)=O</t>
  </si>
  <si>
    <t>RGHNJXZEOKUKBD-MGCNEYSASA-N</t>
  </si>
  <si>
    <t>Medium-chain hydroxy acids and derivatives</t>
  </si>
  <si>
    <t>中链羟基酸及其衍生物</t>
  </si>
  <si>
    <t>119.0341, 119.7322, 129.0192, 133.0503, 158.9248, 159.0294, 159.0666, 176.8582, 177.0401, 177.8599</t>
  </si>
  <si>
    <t>FT5101NR</t>
  </si>
  <si>
    <t>Deoxycholylphenylalanine</t>
  </si>
  <si>
    <t>脱氧胆基苯丙氨酸</t>
  </si>
  <si>
    <t>HMDB0242413</t>
  </si>
  <si>
    <t>CC(CCC(=O)NC(CC1=CC=CC=C1)C(O)=O)C1CCC2C3CCC4CC(O)CCC4(C)C3CC(O)C12C</t>
  </si>
  <si>
    <t>RFRCQJKUNLZBAM-UHFFFAOYSA-N</t>
  </si>
  <si>
    <t>205.4031, 225.6093, 239.1572, 250.5121, 255.2326, 290.3736, 302.6916, 449.3267, 480.3108, 584.3556</t>
  </si>
  <si>
    <t>FT2408PR</t>
  </si>
  <si>
    <t>N-(2,5-Dihydroxyphenyl)pyridinium(1+)</t>
  </si>
  <si>
    <t>N-(2,5-二羟基苯基)吡啶鎓(1+)</t>
  </si>
  <si>
    <t>HMDB0040768</t>
  </si>
  <si>
    <t>33354-74-4</t>
  </si>
  <si>
    <t>OC1=CC(=C(O)C=C1)[N+]1=CC=CC=C1</t>
  </si>
  <si>
    <t>BYQQTWROSPBRIU-UHFFFAOYSA-O</t>
  </si>
  <si>
    <t>Benzenediols</t>
  </si>
  <si>
    <t>苯二醇类</t>
  </si>
  <si>
    <t>147.0633, 148.0807, 160.0756, 170.0598, 187.4231, 188.0302, 188.0704, 188.7223, 188.7396, 189.0740</t>
  </si>
  <si>
    <t>M+</t>
  </si>
  <si>
    <t>C11H10NO2</t>
  </si>
  <si>
    <t>FT4093NR</t>
  </si>
  <si>
    <t>16beta,20S-dihydroxycholestan-3-one</t>
  </si>
  <si>
    <t>16β,20S-二羟基胆甾烷-3-酮</t>
  </si>
  <si>
    <t>LMST01010308</t>
  </si>
  <si>
    <t>C1[C@]2(C)[C@@]3([H])CC[C@]4(C)[C@@]([H])([C@](O)(C)CCCC(C)C)[C@@H](O)C[C@@]4([H])[C@]3([H])CC[C@@]2([H])CC(=O)C1</t>
  </si>
  <si>
    <t>JTNSBTTTXGDDMP-RXROTWSNSA-N</t>
  </si>
  <si>
    <t>93.3249, 120.7174, 150.2491, 241.1803, 277.8257, 283.1465, 302.6809, 302.7162, 419.3527, 463.3422</t>
  </si>
  <si>
    <t>FT4439PR</t>
  </si>
  <si>
    <t>(5,7)-Decadienoylcarnitine</t>
  </si>
  <si>
    <t>(5,7)-癸二烯酰肉碱</t>
  </si>
  <si>
    <t>HMDB0241105</t>
  </si>
  <si>
    <t>CCC=CC=CCCCC(=O)OC(CC([O-])=O)C[N+](C)(C)C</t>
  </si>
  <si>
    <t>AUJGIVPNCVRFHK-UHFFFAOYSA-N</t>
  </si>
  <si>
    <t>144.1013, 151.1110, 158.5379, 163.0397, 167.2300, 198.3100, 205.4035, 241.7824, 253.1419, 312.2162</t>
  </si>
  <si>
    <t>C17H29NO4</t>
  </si>
  <si>
    <t>FT5339PR</t>
  </si>
  <si>
    <t>3-hydroxytetradecanoylcarnitine</t>
  </si>
  <si>
    <t>3-羟基十四烷酰肉碱</t>
  </si>
  <si>
    <t>HMDB0061640</t>
  </si>
  <si>
    <t>LMFA07070045</t>
  </si>
  <si>
    <t>282523-64-2</t>
  </si>
  <si>
    <t>O(C(CC(O)CCCCCCCCCCC)=O)C(CC(=O)[O-])C[N+](C)(C)C</t>
  </si>
  <si>
    <t>GFAZJTUXMHGTOC-UHFFFAOYSA-N</t>
  </si>
  <si>
    <t>97.0694, 105.1230, 145.0505, 159.4760, 205.4081, 375.6494, 388.2623, 388.3050, 406.4950, 411.1755</t>
  </si>
  <si>
    <t>C21H41NO5</t>
  </si>
  <si>
    <t>FT3637PR</t>
  </si>
  <si>
    <t>Prolylphenylalanine</t>
  </si>
  <si>
    <t>丙基苯丙氨酸</t>
  </si>
  <si>
    <t>HMDB0011179</t>
  </si>
  <si>
    <t>13589-02-1</t>
  </si>
  <si>
    <t>OC(=O)[C@H](CC1=CC=CC=C1)NC(=O)[C@@H]1CCCN1</t>
  </si>
  <si>
    <t>IWIANZLCJVYEFX-RYUDHWBXSA-N</t>
  </si>
  <si>
    <t>166.0860, 217.1336, 245.0448, 263.0546, 263.0906, 263.1063, 263.1386, 263.1896, 263.2001, 263.2369</t>
  </si>
  <si>
    <t>C14H18N2O3</t>
  </si>
  <si>
    <t>FT1969NR</t>
  </si>
  <si>
    <t>2-methoxytetradecanoic acid</t>
  </si>
  <si>
    <t>2-甲氧基十四烷酸</t>
  </si>
  <si>
    <t>LMFA01080020</t>
  </si>
  <si>
    <t>C(C(OC)CCCCCCCCCCCC)(=O)O</t>
  </si>
  <si>
    <t>SVEUDKQPMQGCGQ-UHFFFAOYSA-N</t>
  </si>
  <si>
    <t>116.9280, 133.3867, 142.4341, 161.5260, 179.7366, 211.2061, 257.1799, 257.2113, 257.2415, 257.9397</t>
  </si>
  <si>
    <t>C15H30O3</t>
  </si>
  <si>
    <t>FT4952NR</t>
  </si>
  <si>
    <t>Cholic acid glucuronide</t>
  </si>
  <si>
    <t>胆酸葡萄糖苷酸</t>
  </si>
  <si>
    <t>HMDB0002577</t>
  </si>
  <si>
    <t>LMST05010044</t>
  </si>
  <si>
    <t>76060-22-5</t>
  </si>
  <si>
    <t>O([C@H]1C[C@@]2([H])C[C@@H](O)[C@@]3([H])[C@]4([H])CC[C@]([H])([C@@](C)([H])CCC(=O)O)[C@@]4(C)[C@@H](O)C[C@]3([H])[C@@]2(C)CC1)[C@H]1[C@H](O)[C@H]([C@H](O)[C@@H](C(=O)O)O1)O</t>
  </si>
  <si>
    <t>RBLDVEUUCHVWMW-SXYQVCRBSA-N</t>
  </si>
  <si>
    <t>144.9913, 185.1892, 193.0342, 205.3893, 210.9131, 411.2293, 497.8509, 565.1563, 565.3016, 566.3034</t>
  </si>
  <si>
    <t>C30H48O11</t>
  </si>
  <si>
    <t>FT1287NR</t>
  </si>
  <si>
    <t>Senkyunolide N</t>
  </si>
  <si>
    <t>洋川芎内酯N</t>
  </si>
  <si>
    <t>HMDB0302272</t>
  </si>
  <si>
    <t>CCCCC1OC(=O)C2=C1CCC(O)C2O</t>
  </si>
  <si>
    <t>AXRIHSJZHOTGAE-UHFFFAOYSA-N</t>
  </si>
  <si>
    <t>Isobenzofurans</t>
  </si>
  <si>
    <t>异苯并呋喃</t>
  </si>
  <si>
    <t>163.0538, 165.0663, 175.0756, 179.9365, 188.6923, 192.0788, 193.0824, 206.9724, 207.0776, 207.1015</t>
  </si>
  <si>
    <t>FT2308NR</t>
  </si>
  <si>
    <t>5-Ethyl-3-hydroxy-4-methyl-2(5H)-furanone</t>
  </si>
  <si>
    <t>3-羟基-4-甲基-5-乙基-2(5H)呋喃酮</t>
  </si>
  <si>
    <t>HMDB0033551</t>
  </si>
  <si>
    <t>CCC1OC(=O)C(O)=C1C</t>
  </si>
  <si>
    <t>IUFQZPBIRYFPFD-UHFFFAOYSA-N</t>
  </si>
  <si>
    <t>151.0178, 163.4291, 168.4487, 239.1282, 248.3883, 283.1183, 283.1913, 283.2273, 283.2645, 302.6763</t>
  </si>
  <si>
    <t>C7H10O3</t>
  </si>
  <si>
    <t>FT3979PR</t>
  </si>
  <si>
    <t>Octa-3,6-dienoylcarnitine</t>
  </si>
  <si>
    <t>八-3,6-二烯酰肉碱</t>
  </si>
  <si>
    <t>HMDB0241718</t>
  </si>
  <si>
    <t>CC=CCC=CCC(=O)OC(CC([O-])=O)C[N+](C)(C)C</t>
  </si>
  <si>
    <t>XDXCICDBQDZQDE-UHFFFAOYSA-N</t>
  </si>
  <si>
    <t>85.0288, 95.0853, 108.6226, 164.8348, 189.0397, 212.0141, 217.0114, 225.1117, 284.1856, 284.2933</t>
  </si>
  <si>
    <t>C15H25NO4</t>
  </si>
  <si>
    <t>FT3794NR</t>
  </si>
  <si>
    <t>Dihomocholic acid</t>
  </si>
  <si>
    <t>二高胆酸</t>
  </si>
  <si>
    <t>LMST04020030</t>
  </si>
  <si>
    <t>C1[C@]2(C)[C@@]3([H])C[C@H](O)[C@]4(C)[C@@]([H])([C@]([H])(C)CCCCC(O)=O)CC[C@@]4([H])[C@]3([H])[C@H](O)C[C@]2([H])C[C@H](O)C1</t>
  </si>
  <si>
    <t>MLGBVVWQFBWIGT-HZAMXZRMSA-N</t>
  </si>
  <si>
    <t>188.8661, 242.2283, 267.1965, 274.6953, 346.5839, 391.3210, 419.6602, 435.2473, 435.3108, 435.3760</t>
  </si>
  <si>
    <t>C26H44O5</t>
  </si>
  <si>
    <t>FT1248NR</t>
  </si>
  <si>
    <t>Cinnamoylglycine</t>
  </si>
  <si>
    <t>肉桂酰甘氨酸</t>
  </si>
  <si>
    <t>HMDB0011621</t>
  </si>
  <si>
    <t>16534-24-0</t>
  </si>
  <si>
    <t>OC(=O)CNC(=O)\C=C\C1=CC=CC=C1</t>
  </si>
  <si>
    <t>YAADMLWHGMUGQL-VOTSOKGWSA-N</t>
  </si>
  <si>
    <t>160.0765, 160.9670, 163.0514, 167.1472, 182.6797, 190.8235, 204.0664, 204.1238, 205.0129, 205.3884</t>
  </si>
  <si>
    <t>FT3696NR</t>
  </si>
  <si>
    <t>PE(14:0/0:0)</t>
  </si>
  <si>
    <t>磷脂酰乙醇胺(14:0/0:0)</t>
  </si>
  <si>
    <t>HMDB0011500</t>
  </si>
  <si>
    <t>LMGP02050003</t>
  </si>
  <si>
    <t>[C@](COP(=O)(O)OCCN)([H])(O)COC(CCCCCCCCCCCCC)=O</t>
  </si>
  <si>
    <t>RPXHXZNGZBHSMJ-GOSISDBHSA-N</t>
  </si>
  <si>
    <t>138.2403, 187.3646, 196.0371, 208.2916, 210.0941, 227.2012, 285.1231, 290.3150, 319.7138, 424.2468</t>
  </si>
  <si>
    <t>C19H40NO7P</t>
  </si>
  <si>
    <t>FT4719PR</t>
  </si>
  <si>
    <t>3alpha-Hydroxytibolone</t>
  </si>
  <si>
    <t>3α-羟基替勃龙</t>
  </si>
  <si>
    <t>HMDB0246255</t>
  </si>
  <si>
    <t>CC1CC2=C(CCC(O)C2)C2CCC3(C)C(CCC3(O)C#C)C12</t>
  </si>
  <si>
    <t>YLEUWNOTNJZCBN-UHFFFAOYSA-N</t>
  </si>
  <si>
    <t>183.8438, 219.2114, 227.1836, 237.2215, 255.2328, 302.7008, 315.2346, 332.0984, 332.2195, 332.2625</t>
  </si>
  <si>
    <t>C21H30O2</t>
  </si>
  <si>
    <t>FT4744PR</t>
  </si>
  <si>
    <t>Oglufanide</t>
  </si>
  <si>
    <t>谷氨酰色氨酸</t>
  </si>
  <si>
    <t>HMDB0028830</t>
  </si>
  <si>
    <t>38101-59-6</t>
  </si>
  <si>
    <t>N[C@@H](CCC(O)=O)C(=O)N[C@@H](CC1=CNC2=CC=CC=C12)C(O)=O</t>
  </si>
  <si>
    <t>LLEUXCDZPQOJMY-AAEUAGOBSA-N</t>
  </si>
  <si>
    <t>146.0598, 172.3769, 188.0704, 205.0773, 205.0961, 205.3900, 205.4091, 218.4128, 287.9832, 334.1397</t>
  </si>
  <si>
    <t>C16H19N3O5</t>
  </si>
  <si>
    <t>FT2243PR</t>
  </si>
  <si>
    <t>2-Hydroxy-3-(4-methoxyphenyl)propanoic acid</t>
  </si>
  <si>
    <t>2-羟基-3-(4-甲氧基苯基)丙酸</t>
  </si>
  <si>
    <t>HMDB0039427</t>
  </si>
  <si>
    <t>28030-15-1</t>
  </si>
  <si>
    <t>COC1=CC=C(CC(O)C(O)=O)C=C1</t>
  </si>
  <si>
    <t>GEDLJGYFEOYKEG-UHFFFAOYSA-N</t>
  </si>
  <si>
    <t>Phenylpropanoic acids</t>
  </si>
  <si>
    <t>苯丙酸</t>
  </si>
  <si>
    <t>157.0328, 161.0596, 161.0746, 161.0961, 161.1317, 179.0329, 179.0701, 179.1047, 179.1163, 179.1430</t>
  </si>
  <si>
    <t>C10H12O4</t>
  </si>
  <si>
    <t>FT5416PR</t>
  </si>
  <si>
    <t>13-Hydroxyhexadecanoylcarnitine</t>
  </si>
  <si>
    <t>13-羟基十六碳酰肉碱</t>
  </si>
  <si>
    <t>HMDB0241467</t>
  </si>
  <si>
    <t>CCCC(O)CCCCCCCCCCCC(=O)OC(CC([O-])=O)C[N+](C)(C)C</t>
  </si>
  <si>
    <t>VWFCYRVONBYVPZ-UHFFFAOYSA-N</t>
  </si>
  <si>
    <t>283.1901, 319.1936, 339.2519, 396.3266, 398.1702, 398.2034, 398.3258, 398.4202, 398.4490, 399.3286</t>
  </si>
  <si>
    <t>C23H45NO5</t>
  </si>
  <si>
    <t>FT2207NR</t>
  </si>
  <si>
    <t>Kifunensine</t>
  </si>
  <si>
    <t>几夫碱</t>
  </si>
  <si>
    <t>HMDB0253800</t>
  </si>
  <si>
    <t>OCC1C(O)C(O)C(O)C2NC(=O)C(=O)N12</t>
  </si>
  <si>
    <t>OIURYJWYVIAOCW-UHFFFAOYSA-N</t>
  </si>
  <si>
    <t>135.6814, 140.9800, 147.7183, 181.0844, 205.3974, 209.0435, 209.0790, 210.0809, 277.0660, 277.1433</t>
  </si>
  <si>
    <t>C8H12N2O6</t>
  </si>
  <si>
    <t>FT2459NR</t>
  </si>
  <si>
    <t>12-hydroxy-9-octadecynoic acid</t>
  </si>
  <si>
    <t>12-羟基-9-十八碳炔酸</t>
  </si>
  <si>
    <t>LMFA02000217</t>
  </si>
  <si>
    <t>C(CCCCCCCC#CCC(O)CCCCCC)(=O)O</t>
  </si>
  <si>
    <t>WLIGEPWCQYIUNZ-UHFFFAOYSA-N</t>
  </si>
  <si>
    <t>110.6566, 111.7445, 141.1277, 145.7471, 155.1448, 205.4026, 218.9262, 295.1892, 295.2271, 303.6134</t>
  </si>
  <si>
    <t>FT5368PR</t>
  </si>
  <si>
    <t>Bis(2-ethylhexyl) phthalate</t>
  </si>
  <si>
    <t>双（2-乙基己基）邻苯二甲酸酯</t>
  </si>
  <si>
    <t>HMDB0249243</t>
  </si>
  <si>
    <t>C03690</t>
  </si>
  <si>
    <t>hsa05207</t>
  </si>
  <si>
    <t>Chemical carcinogenesis - receptor activation</t>
  </si>
  <si>
    <t>117-81-7</t>
  </si>
  <si>
    <t>CCCCC(CC)COC(=O)C1=CC=CC=C1C(=O)OCC(CC)CCCC</t>
  </si>
  <si>
    <t>BJQHLKABXJIVAM-UHFFFAOYSA-N</t>
  </si>
  <si>
    <t>133.7760, 148.9946, 149.0231, 167.0336, 234.6448, 241.2668, 279.1585, 293.9899, 345.4142, 391.2840</t>
  </si>
  <si>
    <t>FT4453PR</t>
  </si>
  <si>
    <t>Phenylalanylphenylalanine</t>
  </si>
  <si>
    <t>苯丙氨酰苯丙氨酸</t>
  </si>
  <si>
    <t>HMDB0013302</t>
  </si>
  <si>
    <t>2577-40-4</t>
  </si>
  <si>
    <t>N[C@@H](CC1=CC=CC=C1)C(=O)N[C@@H](CC1=CC=CC=C1)C(O)=O</t>
  </si>
  <si>
    <t>GKZIWHRNKRBEOH-HOTGVXAUSA-N</t>
  </si>
  <si>
    <t>74.8416, 120.0808, 156.2313, 166.0859, 267.1504, 284.0335, 301.1266, 313.0952, 313.1558, 314.0958</t>
  </si>
  <si>
    <t>C18H20N2O3</t>
  </si>
  <si>
    <t>FT4184NR</t>
  </si>
  <si>
    <t>3-Ketopetromyzonol sulfate</t>
  </si>
  <si>
    <t>3-酮石松酚硫酸盐</t>
  </si>
  <si>
    <t>HMDB0259539</t>
  </si>
  <si>
    <t>CC(CCCOS(O)(=O)=O)C1CCC2C3C(O)CC4CC(=O)CCC4(C)C3CC(O)C12C</t>
  </si>
  <si>
    <t>OAKDBNNISQJEJA-UHFFFAOYSA-N</t>
  </si>
  <si>
    <t>149.7671, 151.2705, 166.0603, 205.4018, 260.1563, 302.6905, 310.1355, 359.7107, 471.2415, 472.2469</t>
  </si>
  <si>
    <t>C24H40O7S</t>
  </si>
  <si>
    <t>FT5951PR</t>
  </si>
  <si>
    <t>Glycohyocholic acid</t>
  </si>
  <si>
    <t>甘氨胆酸</t>
  </si>
  <si>
    <t>HMDB0240607</t>
  </si>
  <si>
    <t>32747-08-3</t>
  </si>
  <si>
    <t>[H][C@@]1(CC[C@@]2([H])[C@]3([H])[C@H](O)[C@H](O)[C@]4([H])C[C@H](O)CC[C@]4(C)[C@@]3([H])CC[C@]12C)[C@H](C)CCC(=O)NCC(O)=O</t>
  </si>
  <si>
    <t>ZQYUKJFJPJDMMR-ZDWCHQGWSA-N</t>
  </si>
  <si>
    <t>92.9005, 185.7457, 205.3956, 209.1320, 319.2430, 337.2519, 412.2832, 430.2935, 448.3022, 466.3158</t>
  </si>
  <si>
    <t>FT3448NR</t>
  </si>
  <si>
    <t>N-Oleoyl Leucine</t>
  </si>
  <si>
    <t>N-油酰基亮氨酸</t>
  </si>
  <si>
    <t>HMDB0241962</t>
  </si>
  <si>
    <t>CCCCCCCCC=CCCCCCCCC(=O)NC(CC(C)C)C(O)=O</t>
  </si>
  <si>
    <t>UMOAAMQGRRCHPA-UHFFFAOYSA-N</t>
  </si>
  <si>
    <t>70.1902, 130.0870, 149.4014, 150.7204, 158.2468, 188.3736, 192.2937, 205.3879, 205.4060, 394.3323</t>
  </si>
  <si>
    <t>C24H45NO3</t>
  </si>
  <si>
    <t>FT2423PR</t>
  </si>
  <si>
    <t>N1-Acetylspermidine</t>
  </si>
  <si>
    <t>N1-乙酰亚精胺</t>
  </si>
  <si>
    <t>HMDB0001276</t>
  </si>
  <si>
    <t>C00612</t>
  </si>
  <si>
    <t>R-HSA-140179,R-HSA-141334,R-HSA-1430728,R-HSA-211859,R-HSA-211945,R-HSA-351200,R-HSA-351202,R-HSA-71291</t>
  </si>
  <si>
    <t>Amine Oxidase reactions|PAOs oxidise polyamines to amines|Metabolism|Biological oxidations|Phase I - Functionalization of compounds|Interconversion of polyamines|Metabolism of polyamines|Metabolism of amino acids and derivatives</t>
  </si>
  <si>
    <t>14278-49-0</t>
  </si>
  <si>
    <t>CC(=O)NCCCNCCCCN</t>
  </si>
  <si>
    <t>MQTAVJHICJWXBR-UHFFFAOYSA-N</t>
  </si>
  <si>
    <t>Carboximidic acids and derivatives</t>
  </si>
  <si>
    <t>Carboximidic acids</t>
  </si>
  <si>
    <t>羧酰亚胺酸及其衍生物</t>
  </si>
  <si>
    <t>甲酰亚胺酸</t>
  </si>
  <si>
    <t>171.1490, 188.0355, 188.0746, 188.0816, 188.1030, 188.1393, 188.1753, 189.1349, 189.1581, 205.4002</t>
  </si>
  <si>
    <t>C9H21N3O</t>
  </si>
  <si>
    <t>FT4623PR</t>
  </si>
  <si>
    <t>Oleoylethanolamide</t>
  </si>
  <si>
    <t>油酰乙醇酰胺</t>
  </si>
  <si>
    <t>HMDB0002088</t>
  </si>
  <si>
    <t>LMFA08040015</t>
  </si>
  <si>
    <t>R-HSA-112310,R-HSA-112315,R-HSA-112316,R-HSA-2980736,R-HSA-381771,R-HSA-392499,R-HSA-400508,R-HSA-400511</t>
  </si>
  <si>
    <t>Neurotransmitter release cycle|Transmission across Chemical Synapses|Neuronal System|Peptide hormone metabolism|Synthesis, secretion, and inactivation of Glucagon-like Peptide-1 (GLP-1)|Metabolism of proteins|Incretin synthesis, secretion, and inactivation|Synthesis, secretion, and inactivation of Glucose-dependent Insulinotropic Polypeptide (GIP)</t>
  </si>
  <si>
    <t>111-58-0</t>
  </si>
  <si>
    <t>C(CCCCCCC/C=C\CCCCCCCC)(=O)NCCO</t>
  </si>
  <si>
    <t>BOWVQLFMWHZBEF-KTKRTIGZSA-N</t>
  </si>
  <si>
    <t>277.4136, 302.7085, 308.2943, 309.2785, 311.0707, 326.0950, 326.2598, 326.3047, 326.3386, 327.0763</t>
  </si>
  <si>
    <t>C20H39NO2</t>
  </si>
  <si>
    <t>FT2890NR</t>
  </si>
  <si>
    <t>Dioxolane A3</t>
  </si>
  <si>
    <t>二氧戊环 A3</t>
  </si>
  <si>
    <t>LMFA03150001</t>
  </si>
  <si>
    <t>C(CCC/C=C\CC(O)C1OOC(/C=C/C=C\CCCCC)C1)(=O)O</t>
  </si>
  <si>
    <t>IGWFXAJHDWVKER-INPWPUSLSA-N</t>
  </si>
  <si>
    <t>112.9852, 115.7662, 129.9757, 143.0819, 150.9177, 196.8674, 200.3001, 227.8107, 310.9334, 333.2069</t>
  </si>
  <si>
    <t>C20H32O5</t>
  </si>
  <si>
    <t>FT2527NR</t>
  </si>
  <si>
    <t>Indoleacetyl glutamine</t>
  </si>
  <si>
    <t>DL-谷氨酰胺</t>
  </si>
  <si>
    <t>HMDB0013240</t>
  </si>
  <si>
    <t>6899-04-3</t>
  </si>
  <si>
    <t>NC(=O)CCC(NC(=O)CC1=CNC2=CC=CC=C12)C(O)=O</t>
  </si>
  <si>
    <t>DVJIJAYHBZALOJ-UHFFFAOYSA-N</t>
  </si>
  <si>
    <t>145.0615, 152.1430, 156.0454, 163.1192, 180.6080, 205.3901, 221.0475, 284.1031, 302.1137, 302.6952</t>
  </si>
  <si>
    <t>C15H17N3O4</t>
  </si>
  <si>
    <t>FT5974PR</t>
  </si>
  <si>
    <t>PC(O-15:0/0:0)</t>
  </si>
  <si>
    <t>磷脂酰胆碱(O-15:0/0:0)</t>
  </si>
  <si>
    <t>LMGP01060009</t>
  </si>
  <si>
    <t>[C@](COP(=O)([O-])OCC[N+](C)(C)C)([H])(O)COCCCCCCCCCCCCCCC</t>
  </si>
  <si>
    <t>PPXKEQMZYFQYCJ-HSZRJFAPSA-N</t>
  </si>
  <si>
    <t>86.0972, 92.7969, 95.4467, 104.1071, 128.1133, 184.0735, 200.7793, 297.8871, 425.9396, 468.3441</t>
  </si>
  <si>
    <t>C23H50NO6P</t>
  </si>
  <si>
    <t>FT5144PR</t>
  </si>
  <si>
    <t>2-Hydroxymyristoylcarnitine</t>
  </si>
  <si>
    <t>2-羟基肉豆蔻酰肉碱</t>
  </si>
  <si>
    <t>HMDB0013166</t>
  </si>
  <si>
    <t>LMFA07070033</t>
  </si>
  <si>
    <t>C(CCCCC)CCCCCCC(O)C(OC(C[N+](C)(C)C)CC(=O)[O-])=O</t>
  </si>
  <si>
    <t>WWDZVVWQNWNRDM-UHFFFAOYSA-N</t>
  </si>
  <si>
    <t>144.1015, 153.8458, 158.5676, 191.1790, 209.1897, 273.1755, 311.2207, 313.4977, 370.2944, 371.2973</t>
  </si>
  <si>
    <t>FT2269NR</t>
  </si>
  <si>
    <t>Austdiol</t>
  </si>
  <si>
    <t>奥斯二醇</t>
  </si>
  <si>
    <t>HMDB0030858</t>
  </si>
  <si>
    <t>53043-28-0</t>
  </si>
  <si>
    <t>CC1=CC2=C(C=O)C(=O)C(C)(O)C(O)C2=CO1</t>
  </si>
  <si>
    <t>QVMUHZHZYCDMAI-UHFFFAOYSA-N</t>
  </si>
  <si>
    <t>Azaphilones</t>
  </si>
  <si>
    <t>氮杂苯酮类</t>
  </si>
  <si>
    <t>129.0096, 140.1259, 143.6370, 159.0297, 159.1388, 166.1216, 205.3856, 250.9071, 302.6764, 302.7110</t>
  </si>
  <si>
    <t>C12H12O5</t>
  </si>
  <si>
    <t>FT2672NR</t>
  </si>
  <si>
    <t>Nafazatrom</t>
  </si>
  <si>
    <t>那法扎琼</t>
  </si>
  <si>
    <t>HMDB0255420</t>
  </si>
  <si>
    <t>CC1=NN(CCOC2=CC3=CC=CC=C3C=C2)C(=O)C1</t>
  </si>
  <si>
    <t>ISBUYSPRIJRBKX-UHFFFAOYSA-N</t>
  </si>
  <si>
    <t>Naphthalenes</t>
  </si>
  <si>
    <t>萘</t>
  </si>
  <si>
    <t>233.1233, 254.1056, 263.6791, 269.1295, 278.0389, 302.0796, 312.9461, 313.0723, 313.1184, 313.2378</t>
  </si>
  <si>
    <t>C16H16N2O2</t>
  </si>
  <si>
    <t>FT2794NR</t>
  </si>
  <si>
    <t>13-octadecynoic acid</t>
  </si>
  <si>
    <t>13-十八碳烯酸</t>
  </si>
  <si>
    <t>LMFA01030571</t>
  </si>
  <si>
    <t>C(CCCCCCCCCCCC#CCCCC)(=O)O</t>
  </si>
  <si>
    <t>MGIJBVDAWHPXLV-UHFFFAOYSA-N</t>
  </si>
  <si>
    <t>214.9473, 231.9719, 258.0386, 259.6656, 276.3834, 279.2325, 302.6963, 325.1848, 325.2748, 327.8839</t>
  </si>
  <si>
    <t>FT4295NR</t>
  </si>
  <si>
    <t>bhas#40</t>
  </si>
  <si>
    <t>3r-羟基-21r-(3,6-二脱氧-α-l-阿拉伯-吡喃己糖基氧基)-二十二烷酸</t>
  </si>
  <si>
    <t>LMFA13040041</t>
  </si>
  <si>
    <t>O([C@@H](CCCCCCCCCCCCCCCCC[C@@H](O)CC(=O)O)C)[C@H]1[C@H](O)C[C@@H](O)[C@H](C)O1</t>
  </si>
  <si>
    <t>KNOOLMWLZZIQFQ-CWEZWLNASA-N</t>
  </si>
  <si>
    <t>191.2455, 210.0320, 297.2442, 302.6866, 348.9148, 439.3793, 464.7407, 465.3569, 483.3683, 494.5870</t>
  </si>
  <si>
    <t>C28H54O7</t>
  </si>
  <si>
    <t>FT1461NR</t>
  </si>
  <si>
    <t>N-Acetyl-L-tyrosine</t>
  </si>
  <si>
    <t>N-乙酰-L-酪氨酸</t>
  </si>
  <si>
    <t>HMDB0000866</t>
  </si>
  <si>
    <t>C01657</t>
  </si>
  <si>
    <t>537-55-3</t>
  </si>
  <si>
    <t>CC(=O)N[C@@H](CC1=CC=C(O)C=C1)C(O)=O</t>
  </si>
  <si>
    <t>CAHKINHBCWCHCF-JTQLQIEISA-N</t>
  </si>
  <si>
    <t>75.3293, 82.4569, 106.5096, 107.6482, 113.7496, 175.7871, 180.0658, 180.4867, 180.6158, 222.0767</t>
  </si>
  <si>
    <t>C11H13NO4</t>
  </si>
  <si>
    <t>FT0983NR</t>
  </si>
  <si>
    <t>5-Hydroxyisourate</t>
  </si>
  <si>
    <t>抗坏血酸</t>
  </si>
  <si>
    <t>HMDB0030097</t>
  </si>
  <si>
    <t>C11821</t>
  </si>
  <si>
    <t>151359-24-9</t>
  </si>
  <si>
    <t>O[C@@]12NC(=O)NC1=NC(=O)NC2=O</t>
  </si>
  <si>
    <t>LTQYPAVLAYVKTK-YFKPBYRVSA-N</t>
  </si>
  <si>
    <t>124.9897, 130.6599, 139.0250, 140.0097, 140.6199, 146.9707, 153.0068, 182.8600, 183.0035, 184.0065</t>
  </si>
  <si>
    <t>C5H4N4O4</t>
  </si>
  <si>
    <t>FT5816PR</t>
  </si>
  <si>
    <t>Kuguacin E</t>
  </si>
  <si>
    <t>苦瓜星E</t>
  </si>
  <si>
    <t>HMDB0302099</t>
  </si>
  <si>
    <t>[H][C@@]1(CC[C@@]2(C)[C@]3([H])C(=O)C[C@@]45OC[C@]3(CC[C@]12C)[C@]4([H])CC[C@H](O)C5(C)C)C(C)CC(C)=O</t>
  </si>
  <si>
    <t>FGMDCYOFHYPQLK-OWVJKPIWSA-N</t>
  </si>
  <si>
    <t>150.0261, 157.0491, 167.0337, 226.9511, 269.2263, 302.7083, 389.2570, 448.1915, 448.3413, 467.2917</t>
  </si>
  <si>
    <t>FT3277PR</t>
  </si>
  <si>
    <t>methyl 4-[2-(2-formyl-vinyl)-3-hydroxy-5-oxo-cyclopentyl]-butanoate</t>
  </si>
  <si>
    <t>4-[2-(2-甲酰基-乙烯基)-3-羟基-5-氧代环戊基]丁酸甲酯</t>
  </si>
  <si>
    <t>LMFA01050152</t>
  </si>
  <si>
    <t>C1(C(=O)CC(O)C1/C=C/C=O)CCCC(=O)OC</t>
  </si>
  <si>
    <t>GMLSPPGVFGIUKF-HWKANZROSA-N</t>
  </si>
  <si>
    <t>219.0993, 219.2103, 220.7250, 236.9392, 237.0146, 237.0726, 237.1096, 237.1480, 237.1773, 237.2206</t>
  </si>
  <si>
    <t>FT3884NR</t>
  </si>
  <si>
    <t>Taccagenin</t>
  </si>
  <si>
    <t>塔卡皂甙元</t>
  </si>
  <si>
    <t>HMDB0034189</t>
  </si>
  <si>
    <t>CC1C2C(CC3C4CC=C5CC(O)CCC5(C)C4CCC23C)OC11CCC(CO)(CO)O1</t>
  </si>
  <si>
    <t>ALWIMEGFKSOEQI-UHFFFAOYSA-N</t>
  </si>
  <si>
    <t>Furospirostanes and derivatives</t>
  </si>
  <si>
    <t>呋喃螺坦及其衍生物</t>
  </si>
  <si>
    <t>104.9538, 140.6566, 240.7604, 240.9272, 255.7458, 294.7375, 311.9647, 427.2840, 445.2245, 445.2956</t>
  </si>
  <si>
    <t>C27H42O5</t>
  </si>
  <si>
    <t>FT5936PR</t>
  </si>
  <si>
    <t>dihydrocytochalasin B</t>
  </si>
  <si>
    <t>二氢细胞松弛素B</t>
  </si>
  <si>
    <t>HMDB0251302</t>
  </si>
  <si>
    <t>CC1C2C(CC3=CC=CC=C3)NC(=O)C22OC(=O)CCC(O)CCCC(C)CC=CC2C(O)C1=C</t>
  </si>
  <si>
    <t>WIULKAASLBZREV-UHFFFAOYSA-N</t>
  </si>
  <si>
    <t>Cytochalasans</t>
  </si>
  <si>
    <t>Cytochalasins</t>
  </si>
  <si>
    <t>细胞松弛素</t>
  </si>
  <si>
    <t>243.2097, 262.1100, 288.1249, 302.1415, 314.1408, 316.1576, 321.2570, 339.2681, 382.2040, 464.2820</t>
  </si>
  <si>
    <t>C29H39NO5</t>
  </si>
  <si>
    <t>FT4236NR</t>
  </si>
  <si>
    <t>3beta,7alpha-dihydroxycholest-5-en-27-oic acid</t>
  </si>
  <si>
    <t>3β,7α-二羟基胆甾醇-5-en-27-油酸</t>
  </si>
  <si>
    <t>LMST04030148</t>
  </si>
  <si>
    <t>C1[C@]2(C)C3CC[C@]4(C)[C@@]([H])([C@]([H])(C)CCCC(C)C(O)=O)CCC4C3[C@H](O)C=C2C[C@@H](O)C1</t>
  </si>
  <si>
    <t>GYJSAWZGYQXRBS-MHVQQGETSA-N</t>
  </si>
  <si>
    <t>168.3733, 173.9638, 195.1190, 280.2367, 286.6345, 302.6877, 302.7217, 431.3155, 446.2128, 477.2832</t>
  </si>
  <si>
    <t>FT3367PR</t>
  </si>
  <si>
    <t>(2R,5S)-5-Amino-1,2,6,7-tetrahydroxyoctane-3,4-dione</t>
  </si>
  <si>
    <t>(2R,5S)-5-氨基-1,2,6,7-四羟基辛烷-3,4-二酮</t>
  </si>
  <si>
    <t>HMDB0255319</t>
  </si>
  <si>
    <t>CC(O)C(O)C(N)C(=O)C(=O)C(O)CO</t>
  </si>
  <si>
    <t>KFTDHDXFEXLYOC-UHFFFAOYSA-N</t>
  </si>
  <si>
    <t>185.9598, 186.0739, 200.0351, 203.0520, 203.0703, 244.0198, 244.0797, 244.1141, 250.7551, 253.9633</t>
  </si>
  <si>
    <t>FT4203NR</t>
  </si>
  <si>
    <t>1alpha-hydroxy-26,27-dimethylvitamin D3</t>
  </si>
  <si>
    <t>1α-羟基-26,27-二甲基维生素D3</t>
  </si>
  <si>
    <t>LMST03020415</t>
  </si>
  <si>
    <t>[C@@H]1(O)C(=C)/C(=C\C=C2\[C@]3([H])CC[C@@]([C@@](C)([H])CCCC(CC)CC)([H])[C@@]3(C)CCC\2)/C[C@@H](O)C1</t>
  </si>
  <si>
    <t>QFGMSRFTMOGGMD-YHJZYTGLSA-N</t>
  </si>
  <si>
    <t>115.7409, 168.3311, 185.5195, 205.3932, 248.5315, 276.2144, 302.6917, 473.2835, 473.3620, 473.4410</t>
  </si>
  <si>
    <t>C29H48O2</t>
  </si>
  <si>
    <t>FT1555NR</t>
  </si>
  <si>
    <t>Linalool oxide (cis-pyran)</t>
  </si>
  <si>
    <t>氧化芳樟醇（顺式吡喃）</t>
  </si>
  <si>
    <t>HMDB0304702</t>
  </si>
  <si>
    <t>CC(C)(O)[C@@]1(C)CC[C@](C)(O1)C=C</t>
  </si>
  <si>
    <t>SUOCCLKULOHEBG-GHMZBOCLSA-N</t>
  </si>
  <si>
    <t>Oxolanes</t>
  </si>
  <si>
    <t>167.1438, 167.1602, 168.1471, 181.3070, 181.8974, 185.9256, 205.4010, 211.1336, 229.1440, 230.1470</t>
  </si>
  <si>
    <t>C11H20O2</t>
  </si>
  <si>
    <t>FT3749PR</t>
  </si>
  <si>
    <t>3-Hydroxyheptanoylcarnitine</t>
  </si>
  <si>
    <t>3-羟基庚酰肉碱</t>
  </si>
  <si>
    <t>HMDB0241677</t>
  </si>
  <si>
    <t>CCCCC(O)CC(=O)OC(CC([O-])=O)C[N+](C)(C)C</t>
  </si>
  <si>
    <t>YWSDGPGKVSDFES-UHFFFAOYSA-N</t>
  </si>
  <si>
    <t>85.0288, 111.0801, 126.1188, 129.0911, 160.9220, 213.1121, 244.0633, 272.1338, 272.1851, 272.2183</t>
  </si>
  <si>
    <t>C14H27NO5</t>
  </si>
  <si>
    <t>FT5329PR</t>
  </si>
  <si>
    <t>4-Methyltetradecanoylcarnitine</t>
  </si>
  <si>
    <t>4-甲基十四烷酰肉碱</t>
  </si>
  <si>
    <t>HMDB0240839</t>
  </si>
  <si>
    <t>CCCCCCCCCCC(C)CCC(=O)OC(CC([O-])=O)C[N+](C)(C)C</t>
  </si>
  <si>
    <t>GAANNDFPHQBFBS-UHFFFAOYSA-N</t>
  </si>
  <si>
    <t>148.1107, 184.0719, 237.0073, 257.2444, 341.2676, 384.4188, 386.2058, 386.3256, 386.4797, 387.3291</t>
  </si>
  <si>
    <t>C22H43NO4</t>
  </si>
  <si>
    <t>FT2461NR</t>
  </si>
  <si>
    <t>15-hydroxy-9Z,12Z-Octadecadienoic acid</t>
  </si>
  <si>
    <t>15-羟基-9Z,12Z-十八碳二烯酸</t>
  </si>
  <si>
    <t>HMDB0029978</t>
  </si>
  <si>
    <t>LMFA02000316</t>
  </si>
  <si>
    <t>177931-23-6</t>
  </si>
  <si>
    <t>C(CCCCCCC/C=C\C/C=C\CC(O)CCC)(=O)O</t>
  </si>
  <si>
    <t>MZQXAWAWDWCIKG-OHPMOLHNSA-N</t>
  </si>
  <si>
    <t>75.4662, 78.9497, 78.9652, 99.2580, 116.9277, 277.2169, 295.1894, 295.2272, 296.2316, 307.9914</t>
  </si>
  <si>
    <t>FT6329PR</t>
  </si>
  <si>
    <t>PE(20:1/0:0)</t>
  </si>
  <si>
    <t>磷脂酰乙醇胺(20:1/0:0)</t>
  </si>
  <si>
    <t>HMDB0011512</t>
  </si>
  <si>
    <t>LMGP02050020</t>
  </si>
  <si>
    <t>[C@](COP(=O)(O)OCCN)([H])(O)COC(CCCCCCCCC/C=C\CCCCCCCC)=O</t>
  </si>
  <si>
    <t>JEAGLCKGAKACCE-OPSAWKISSA-N</t>
  </si>
  <si>
    <t>144.6887, 205.3904, 205.4098, 216.0657, 245.4817, 344.3436, 367.3205, 490.3290, 508.3474, 515.7173</t>
  </si>
  <si>
    <t>FT3596NR</t>
  </si>
  <si>
    <t>Mycolipanolic acid (C26)</t>
  </si>
  <si>
    <t>霉酚酸</t>
  </si>
  <si>
    <t>LMFA01020333</t>
  </si>
  <si>
    <t>C([C@@H](C)[C@@H](O)[C@@H](C)C[C@@H](C)CCCCCCCCCCCCCCCCC)(=O)O</t>
  </si>
  <si>
    <t>ZIJNQYNXSXJLDW-QORCZRPOSA-N</t>
  </si>
  <si>
    <t>78.0606, 85.6189, 85.7326, 113.9948, 164.9129, 202.6358, 205.3960, 302.6988, 328.5111, 411.3838</t>
  </si>
  <si>
    <t>C26H52O3</t>
  </si>
  <si>
    <t>FT6260PR</t>
  </si>
  <si>
    <t>PE(20:5/0:0)</t>
  </si>
  <si>
    <t>磷脂酰乙醇胺(20:5/0:0)</t>
  </si>
  <si>
    <t>HMDB0011519</t>
  </si>
  <si>
    <t>LMGP02050027</t>
  </si>
  <si>
    <t>[C@](COP(=O)(O)OCCN)([H])(O)COC(CCC/C=C\C/C=C\C/C=C\C/C=C\C/C=C\CC)=O</t>
  </si>
  <si>
    <t>KCWGBXXAJHVZNN-KOYQJJOGSA-N</t>
  </si>
  <si>
    <t>439.2214, 457.2321, 457.2892, 458.2354, 482.2655, 500.0550, 500.2742, 500.4050, 500.4463, 501.2770</t>
  </si>
  <si>
    <t>FT0742NR</t>
  </si>
  <si>
    <t>7-hydroxy-octanoic acid</t>
  </si>
  <si>
    <t>7-羟基辛酸</t>
  </si>
  <si>
    <t>HMDB0000486</t>
  </si>
  <si>
    <t>LMFA01050229</t>
  </si>
  <si>
    <t>17173-14-7</t>
  </si>
  <si>
    <t>C(CCCCCC(O)C)(=O)O</t>
  </si>
  <si>
    <t>OFCMTSZRXXFMBQ-UHFFFAOYSA-N</t>
  </si>
  <si>
    <t>130.6020, 130.9834, 158.8931, 159.0658, 159.1022, 159.8943, 160.0390, 160.1052, 174.5701, 178.1272</t>
  </si>
  <si>
    <t>FT4431NR</t>
  </si>
  <si>
    <t>PE(0:0/20:2)</t>
  </si>
  <si>
    <t>磷脂酰乙醇胺(0:0/20:2)</t>
  </si>
  <si>
    <t>HMDB0011483</t>
  </si>
  <si>
    <t>LMGP02050047</t>
  </si>
  <si>
    <t>C(OP(OCCN)(O)=O)[C@]([H])(OC(=O)CCCCCCCCC/C=C\C/C=C\CCCCC)CO</t>
  </si>
  <si>
    <t>NHBRVTKHMMOYTG-XBJNFHHOSA-N</t>
  </si>
  <si>
    <t>196.0377, 207.7964, 279.2338, 307.2632, 436.2842, 455.4928, 477.8566, 498.6774, 504.3095, 520.7911</t>
  </si>
  <si>
    <t>FT1731NR</t>
  </si>
  <si>
    <t>12-Tridecen-2-one</t>
  </si>
  <si>
    <t>2-十二烯酮</t>
  </si>
  <si>
    <t>LMFA12000167</t>
  </si>
  <si>
    <t>CC(=O)CCCCCCCCCC=C</t>
  </si>
  <si>
    <t>UYCZPLKICNDOCL-UHFFFAOYSA-N</t>
  </si>
  <si>
    <t>197.1916, 223.1345, 225.0249, 229.0755, 241.1413, 241.1510, 241.1804, 241.2091, 242.1801, 252.9523</t>
  </si>
  <si>
    <t>C13H24O</t>
  </si>
  <si>
    <t>FT2738NR</t>
  </si>
  <si>
    <t>10-(Phosphonooxy)decyl methacrylate</t>
  </si>
  <si>
    <t>4-(氨基甲基)-7-甲氧基-3,4-二氢喹啉-2(1H)-酮盐酸盐</t>
  </si>
  <si>
    <t>HMDB0247525</t>
  </si>
  <si>
    <t>CC(=C)C(=O)OCCCCCCCCCCOP(O)(O)=O</t>
  </si>
  <si>
    <t>CFKBCVIYTWDYRP-UHFFFAOYSA-N</t>
  </si>
  <si>
    <t>Organic phosphoric acids and derivatives</t>
  </si>
  <si>
    <t>Phosphate esters</t>
  </si>
  <si>
    <t>有机磷酸及其衍生物</t>
  </si>
  <si>
    <t>磷酸酯类</t>
  </si>
  <si>
    <t>86.0826, 96.9694, 116.9287, 184.8935, 185.1172, 205.3906, 206.8982, 253.1044, 275.0214, 321.1463</t>
  </si>
  <si>
    <t>C14H27O6P</t>
  </si>
  <si>
    <t>FT4534PR</t>
  </si>
  <si>
    <t>Trp-Leu</t>
  </si>
  <si>
    <t>色氨酰-亮氨酸</t>
  </si>
  <si>
    <t>CC(C)CC(C(=O)O)NC(=O)C(CC1=CNC2=CC=CC=C21)N</t>
  </si>
  <si>
    <t>LYMVXFSTACVOLP-ZFWWWQNUSA-N</t>
  </si>
  <si>
    <t>132.0807, 144.0805, 159.0916, 170.0601, 205.3961, 209.1897, 232.9851, 243.1403, 301.1545, 318.1712</t>
  </si>
  <si>
    <t>C17H23N3O3</t>
  </si>
  <si>
    <t>FT2042NR</t>
  </si>
  <si>
    <t>beta-L-Arabinose 1-phosphate</t>
  </si>
  <si>
    <t>β-L-阿拉伯糖 1-磷酸</t>
  </si>
  <si>
    <t>HMDB0012195</t>
  </si>
  <si>
    <t>C03906</t>
  </si>
  <si>
    <t>hsa00520</t>
  </si>
  <si>
    <t>Amino sugar and nucleotide sugar metabolism</t>
  </si>
  <si>
    <t>50574-25-9</t>
  </si>
  <si>
    <t>O[C@H]1CO[C@H](OP(O)(O)=O)[C@H](O)[C@H]1O</t>
  </si>
  <si>
    <t>ILXHFXFPPZGENN-QMKXCQHVSA-N</t>
  </si>
  <si>
    <t>94.9246, 96.9597, 96.9750, 105.1017, 125.0755, 145.0136, 146.9824, 148.9795, 167.0204, 201.1529</t>
  </si>
  <si>
    <t>C5H11O8P</t>
  </si>
  <si>
    <t>FT7514PR</t>
  </si>
  <si>
    <t>PC(20:3/P-16:0)</t>
  </si>
  <si>
    <t>磷脂酰胆碱(20:3/P-16:0)</t>
  </si>
  <si>
    <t>HMDB0008390</t>
  </si>
  <si>
    <t>C00157</t>
  </si>
  <si>
    <t>hsa00564,hsa00590,hsa00591,hsa00592,hsa05231</t>
  </si>
  <si>
    <t>Glycerophospholipid metabolism|Arachidonic acid metabolism|Linoleic acid metabolism|alpha-Linolenic acid metabolism|Choline metabolism in cancer</t>
  </si>
  <si>
    <t>CCCCCCCCCCCCCC\C=C/OC(COC(=O)CCC\C=C/C\C=C/C\C=C/CCCCCCCC)COP([O-])(=O)OCC[N+](C)(C)C</t>
  </si>
  <si>
    <t>CMAADAYMDIZIOR-YDGSBDHOSA-N</t>
  </si>
  <si>
    <t>184.1034, 184.1130, 185.0762, 186.0781, 205.2237, 330.5851, 341.3045, 627.5310, 768.5885, 769.5881</t>
  </si>
  <si>
    <t>C44H82NO7P</t>
  </si>
  <si>
    <t>FT3170NR</t>
  </si>
  <si>
    <t>5alpha-Pregnan-20alpha-ol-3-one</t>
  </si>
  <si>
    <t>20α-羟基-5α-孕-3-酮</t>
  </si>
  <si>
    <t>HMDB0060408</t>
  </si>
  <si>
    <t>C18041</t>
  </si>
  <si>
    <t>C[C@H](O)[C@H]1CC[C@H]2[C@@H]3CC[C@H]4CC(=O)CC[C@]4(C)[C@H]3CC[C@]12C</t>
  </si>
  <si>
    <t>DYVGYXXLXQESJE-SKLBOBKVSA-N</t>
  </si>
  <si>
    <t>Pregnane steroids</t>
  </si>
  <si>
    <t>妊娠类固醇</t>
  </si>
  <si>
    <t>97.7511, 121.5889, 137.2121, 163.5468, 172.1591, 185.6523, 250.3074, 302.6923, 319.2638, 363.2525</t>
  </si>
  <si>
    <t>FT5120PR</t>
  </si>
  <si>
    <t>(12E)-10-Hydroxytetradec-12-enoylcarnitine</t>
  </si>
  <si>
    <t>(12E)-10-羟基十四-12-烯酰肉碱</t>
  </si>
  <si>
    <t>HMDB0241362</t>
  </si>
  <si>
    <t>CC=CCC(O)CCCCCCCCC(=O)OC(CC([O-])=O)C[N+](C)(C)C</t>
  </si>
  <si>
    <t>LKICWTKOZJNCQH-UHFFFAOYSA-N</t>
  </si>
  <si>
    <t>163.1480, 189.1637, 207.1741, 264.9899, 309.2050, 315.0799, 324.0006, 368.2790, 368.3847, 369.2818</t>
  </si>
  <si>
    <t>C21H39NO5</t>
  </si>
  <si>
    <t>FT1393NR</t>
  </si>
  <si>
    <t>3-Hydroxydodecanoic acid</t>
  </si>
  <si>
    <t>3-羟基十二烷酸</t>
  </si>
  <si>
    <t>HMDB0000387</t>
  </si>
  <si>
    <t>LMFA01050037</t>
  </si>
  <si>
    <t>1883-13-2</t>
  </si>
  <si>
    <t>C(O)(CCCCCCCCC)CC(=O)O</t>
  </si>
  <si>
    <t>MUCMKTPAZLSKTL-UHFFFAOYSA-N</t>
  </si>
  <si>
    <t>104.2042, 130.6226, 153.1276, 158.2080, 197.1200, 205.3859, 205.4077, 215.1285, 215.1646, 216.1684</t>
  </si>
  <si>
    <t>C12H24O3</t>
  </si>
  <si>
    <t>FT3911NR</t>
  </si>
  <si>
    <t>beta-hydroxycholesterol</t>
  </si>
  <si>
    <t>β-羟基胆固醇</t>
  </si>
  <si>
    <t>HMDB0249132</t>
  </si>
  <si>
    <t>CC(C)CCCC(C)C1CCC2C3CC=C4CC(O)C(O)CC4(C)C3CCC12C</t>
  </si>
  <si>
    <t>BPPBJKQZMCOLIP-UHFFFAOYSA-N</t>
  </si>
  <si>
    <t>69.3277, 72.3684, 72.3731, 169.8785, 201.9102, 205.3913, 302.7016, 403.3582, 429.3292, 447.3469</t>
  </si>
  <si>
    <t>FT2676NR</t>
  </si>
  <si>
    <t>Heptadec-2-enoic acid</t>
  </si>
  <si>
    <t>十七碳-2-烯酸</t>
  </si>
  <si>
    <t>HMDB0253101</t>
  </si>
  <si>
    <t>CCCCCCCCCCCCCCC=CC(O)=O</t>
  </si>
  <si>
    <t>GEHPRJRWZDWFBJ-UHFFFAOYSA-N</t>
  </si>
  <si>
    <t>82.6317, 91.0218, 95.7165, 177.1950, 190.8116, 205.3943, 255.2324, 270.1902, 313.2383, 313.2766</t>
  </si>
  <si>
    <t>FT2455NR</t>
  </si>
  <si>
    <t>2S-hydroxy-3-(10Z-tetradecenoyloxy)-propanoic acid</t>
  </si>
  <si>
    <t>2S-羟基-3-(10Z-十四烯酰氧基)-丙酸</t>
  </si>
  <si>
    <t>LMFA07010692</t>
  </si>
  <si>
    <t>C(CCCCCCCC/C=C\CCC)(=O)OC[C@H](O)C(O)=O</t>
  </si>
  <si>
    <t>LIMKXIDXBKHPRU-XVWMLYKFSA-N</t>
  </si>
  <si>
    <t>78.6466, 140.3604, 233.1912, 251.2014, 262.1575, 277.2201, 295.1914, 295.2277, 301.2826, 302.6862</t>
  </si>
  <si>
    <t>C17H30O5</t>
  </si>
  <si>
    <t>FT4196PR</t>
  </si>
  <si>
    <t>C16 Sphinganine</t>
  </si>
  <si>
    <t>C16 司芬甘宁</t>
  </si>
  <si>
    <t>LMSP01040001</t>
  </si>
  <si>
    <t>C13915</t>
  </si>
  <si>
    <t>OC[C@]([H])(N)[C@]([H])(O)CCCCCCCCCCCCC</t>
  </si>
  <si>
    <t>ZKLREJQHRKUJHD-JKSUJKDBSA-N</t>
  </si>
  <si>
    <t>97.1541, 97.1600, 164.7296, 195.7820, 205.3991, 294.9779, 296.1746, 296.2555, 299.0603, 302.7239</t>
  </si>
  <si>
    <t>C16H35NO2</t>
  </si>
  <si>
    <t>FT4056NR</t>
  </si>
  <si>
    <t>25-Acetylvulgaroside</t>
  </si>
  <si>
    <t>25-乙酰寻常糖苷</t>
  </si>
  <si>
    <t>HMDB0041365</t>
  </si>
  <si>
    <t>172616-88-5</t>
  </si>
  <si>
    <t>CC(=O)OC1OC(=O)C=C1C(O)CC1C(O)(CO)CCC2C1(C)CCC1C(C)(C)CCCC21C</t>
  </si>
  <si>
    <t>QNZZHRCSGTYEAW-UHFFFAOYSA-N</t>
  </si>
  <si>
    <t>Sesterterpenoids</t>
  </si>
  <si>
    <t>二倍萜类化合物</t>
  </si>
  <si>
    <t>64.6947, 68.7025, 108.8444, 205.3930, 221.8014, 241.4123, 284.4427, 302.7083, 391.2848, 459.2721</t>
  </si>
  <si>
    <t>C27H42O7</t>
  </si>
  <si>
    <t>FT1926NR</t>
  </si>
  <si>
    <t>3,4-Dihydroxyphenylvaleric acid</t>
  </si>
  <si>
    <t>3,4-二羟基苯基戊酸</t>
  </si>
  <si>
    <t>HMDB0029233</t>
  </si>
  <si>
    <t>OC(=O)CCCCC1=CC(O)=C(O)C=C1</t>
  </si>
  <si>
    <t>KTDWBJGUMIZRHU-UHFFFAOYSA-N</t>
  </si>
  <si>
    <t>193.5912, 205.3914, 211.0758, 211.0970, 240.8050, 255.0874, 255.1160, 255.1617, 255.1975, 255.2320</t>
  </si>
  <si>
    <t>C11H14O4</t>
  </si>
  <si>
    <t>FT4746NR</t>
  </si>
  <si>
    <t>Cortolone-3-glucuronide</t>
  </si>
  <si>
    <t>可的松-3-葡萄糖醛酸</t>
  </si>
  <si>
    <t>HMDB0010320</t>
  </si>
  <si>
    <t>56162-46-0</t>
  </si>
  <si>
    <t>CC12CC(=O)C3C(CCC4CCC(CC34C)O[C@@H]3O[C@@H]([C@@H](O)[C@H](O)[C@H]3O)C(O)=O)C1CCC2(O)C(O)CO</t>
  </si>
  <si>
    <t>OKNSFVSKHQJVRN-XAYCFROHSA-N</t>
  </si>
  <si>
    <t>119.6499, 138.4529, 206.1748, 222.9124, 230.3176, 302.6821, 404.7228, 425.8037, 541.1169, 541.2646</t>
  </si>
  <si>
    <t>C27H42O11</t>
  </si>
  <si>
    <t>FT3491PR</t>
  </si>
  <si>
    <t>Icaridin</t>
  </si>
  <si>
    <t>埃卡瑞丁</t>
  </si>
  <si>
    <t>HMDB0253340</t>
  </si>
  <si>
    <t>CCC(C)OC(=O)N1CCCCC1CCO</t>
  </si>
  <si>
    <t>QLHULAHOXSSASE-UHFFFAOYSA-N</t>
  </si>
  <si>
    <t>Piperidinecarboxylic acids and derivatives</t>
  </si>
  <si>
    <t>哌啶羧酸及其衍生物</t>
  </si>
  <si>
    <t>190.5223, 205.3927, 206.1518, 234.1462, 251.3921, 252.0490, 252.1313, 252.1567, 252.2007, 253.1609</t>
  </si>
  <si>
    <t>C12H23NO3</t>
  </si>
  <si>
    <t>FT4812NR</t>
  </si>
  <si>
    <t>Endoxifen O-glucuronide</t>
  </si>
  <si>
    <t>内多昔芬O-葡萄糖苷酸</t>
  </si>
  <si>
    <t>HMDB0060622</t>
  </si>
  <si>
    <t>CCC(C(C1=CC=C(OCCNC)C=C1)C1=CC=C(OC2OC(C(O)C(O)C2O)C(O)=O)C=C1)C1=CC=CC=C1</t>
  </si>
  <si>
    <t>PWUOWFLVEJOLMS-UHFFFAOYSA-N</t>
  </si>
  <si>
    <t>Stilbenes</t>
  </si>
  <si>
    <t>Stilbene glycosides</t>
  </si>
  <si>
    <t>二苯乙烯类</t>
  </si>
  <si>
    <t>二苯乙烯苷</t>
  </si>
  <si>
    <t>93.0439, 96.9599, 205.3839, 205.4051, 227.4817, 292.6090, 353.2791, 550.1461, 550.2451, 551.2442</t>
  </si>
  <si>
    <t>C31H37NO8</t>
  </si>
  <si>
    <t>FT3837NR</t>
  </si>
  <si>
    <t>Gibberellin A39</t>
  </si>
  <si>
    <t>赤霉素 A39</t>
  </si>
  <si>
    <t>HMDB0035045</t>
  </si>
  <si>
    <t>57672-81-8</t>
  </si>
  <si>
    <t>[H][C@@]12C[C@H](O)[C@@H]3C[C@]1(CC3=C)[C@@H](C(O)=O)[C@@]1([H])[C@]2(CC[C@H](O)[C@@]1(C)C(O)=O)C(O)=O</t>
  </si>
  <si>
    <t>LKLDZCIWUDJQCF-OZPHONOWSA-N</t>
  </si>
  <si>
    <t>103.6546, 113.0239, 205.3844, 205.4058, 219.1390, 235.4108, 250.8674, 263.1323, 302.6996, 439.1596</t>
  </si>
  <si>
    <t>FT4035NR</t>
  </si>
  <si>
    <t>oscr#36</t>
  </si>
  <si>
    <t>20-[(3,6-二脱氧-α-L-阿拉伯-吡喃己糖基)氧基]二十烷酸</t>
  </si>
  <si>
    <t>LMFA13040060</t>
  </si>
  <si>
    <t>O[C@@H]1C[C@@H](O)[C@H](C)O[C@H]1OCCCCCCCCCCCCCCCCCCCC(O)=O</t>
  </si>
  <si>
    <t>NALXHMIWEUPQCH-POMLREGLSA-N</t>
  </si>
  <si>
    <t>141.0915, 196.0873, 205.4005, 297.2452, 302.7007, 313.2374, 315.2533, 407.4307, 457.2968, 457.3532</t>
  </si>
  <si>
    <t>FT4800PR</t>
  </si>
  <si>
    <t>Erucamide</t>
  </si>
  <si>
    <t>芥酸酰胺</t>
  </si>
  <si>
    <t>LMFA08010028</t>
  </si>
  <si>
    <t>112-84-5</t>
  </si>
  <si>
    <t>O=C(CCCCCCCCCCC/C=C\CCCCCCCC)N</t>
  </si>
  <si>
    <t>UAUDZVJPLUQNMU-KTKRTIGZSA-N</t>
  </si>
  <si>
    <t>123.5902, 124.7343, 204.0749, 256.2631, 256.2937, 303.3015, 321.3137, 338.1901, 338.2734, 338.3411</t>
  </si>
  <si>
    <t>FT0431NR</t>
  </si>
  <si>
    <t>L-Isoleucine</t>
  </si>
  <si>
    <t>L-异亮氨酸</t>
  </si>
  <si>
    <t>HMDB0000172</t>
  </si>
  <si>
    <t>LMFA01100047</t>
  </si>
  <si>
    <t>C00407</t>
  </si>
  <si>
    <t>hsa00280,hsa00290,hsa00970,hsa05131</t>
  </si>
  <si>
    <t>Valine, leucine and isoleucine degradation|Valine, leucine and isoleucine biosynthesis|Aminoacyl-tRNA biosynthesis|Shigellosis</t>
  </si>
  <si>
    <t>73-32-5</t>
  </si>
  <si>
    <t>C([C@@H](N)[C@@H](C)CC)(=O)O</t>
  </si>
  <si>
    <t>AGPKZVBTJJNPAG-WHFBIAKZSA-N</t>
  </si>
  <si>
    <t>85.0655, 86.0323, 87.0452, 88.0402, 102.3282, 106.3669, 130.0510, 130.0870, 131.0346, 131.0713</t>
  </si>
  <si>
    <t>FT3948NR</t>
  </si>
  <si>
    <t>(22alpha)-hydroxy-cholestanol</t>
  </si>
  <si>
    <t>(22α)-羟基胆甾醇</t>
  </si>
  <si>
    <t>HMDB0303958</t>
  </si>
  <si>
    <t>CC(C)CCC(O)C(C)C1CCC2C3CCC4CC(O)CCC4(C)C3CCC12C</t>
  </si>
  <si>
    <t>IPYACDRNRIVGLI-UHFFFAOYSA-N</t>
  </si>
  <si>
    <t>138.2926, 145.3371, 199.7657, 205.3896, 220.6399, 302.7061, 370.9133, 405.3742, 431.3522, 449.3624</t>
  </si>
  <si>
    <t>FT3706NR</t>
  </si>
  <si>
    <t>(S)-Bitalin A 12-glucoside</t>
  </si>
  <si>
    <t>(S)-比特灵A 12-葡萄糖苷</t>
  </si>
  <si>
    <t>HMDB0038328</t>
  </si>
  <si>
    <t>CC(=O)C1=CC2=C(OC(C2)C(=C)COC2OC(CO)C(O)C(O)C2O)C=C1</t>
  </si>
  <si>
    <t>TTWVIHLNMJFBMC-UHFFFAOYSA-N</t>
  </si>
  <si>
    <t>113.0240, 146.9658, 151.0647, 156.8178, 170.5082, 204.1148, 236.4036, 249.1131, 250.6873, 425.1452</t>
  </si>
  <si>
    <t>C19H24O8</t>
  </si>
  <si>
    <t>FT4217PR</t>
  </si>
  <si>
    <t>Carbestrol</t>
  </si>
  <si>
    <t>碳雌酚</t>
  </si>
  <si>
    <t>C14660</t>
  </si>
  <si>
    <t>1755-52-8</t>
  </si>
  <si>
    <t>CCC1=C(CCC(C1C)C(=O)O)C2=CC=C(C=C2)OC</t>
  </si>
  <si>
    <t>VJKVHUZOVAWKEB-UHFFFAOYSA-N</t>
  </si>
  <si>
    <t>Anisoles</t>
  </si>
  <si>
    <t>苯甲醚</t>
  </si>
  <si>
    <t>299.0621, 302.6974, 312.0283, 313.1685, 314.0277, 330.0387, 330.1798, 331.0420, 331.1760, 372.2055</t>
  </si>
  <si>
    <t>C17H22O3</t>
  </si>
  <si>
    <t>FT2460NR</t>
  </si>
  <si>
    <t>11-HpOME(9Z)</t>
  </si>
  <si>
    <t>LMFA02000081</t>
  </si>
  <si>
    <t>C(CCCCCCC/C=C\C(OO)CCCCCCC)(=O)O</t>
  </si>
  <si>
    <t>WWEFPLFGKQOHPE-QINSGFPZSA-N</t>
  </si>
  <si>
    <t>56.76939, 63.18664, 81.84695, 97.54996, 205.3862, 205.40855, 249.98965, 295.22717, 296.22913, 302.69986</t>
  </si>
  <si>
    <t>FT4617NR</t>
  </si>
  <si>
    <t>Ergosine</t>
  </si>
  <si>
    <t>麦角碱</t>
  </si>
  <si>
    <t>HMDB0251913</t>
  </si>
  <si>
    <t>CC(C)CC1N2C(=O)C(C)(NC(=O)C3CN(C)C4CC5=CNC6=CC=CC(=C56)C4=C3)OC2(O)C2CCCN2C1=O</t>
  </si>
  <si>
    <t>NESVMZOPWPCFAU-UHFFFAOYSA-N</t>
  </si>
  <si>
    <t>Ergoline and derivatives</t>
  </si>
  <si>
    <t>Lysergic acids and derivatives</t>
  </si>
  <si>
    <t>麦角林及其衍生物</t>
  </si>
  <si>
    <t>麦角酸及其衍生物</t>
  </si>
  <si>
    <t>188.2974, 239.8525, 290.5763, 302.6938, 381.8675, 403.9198, 448.3064, 475.0104, 528.2629, 529.2626</t>
  </si>
  <si>
    <t>C30H37N5O5</t>
  </si>
  <si>
    <t>FT1061NR</t>
  </si>
  <si>
    <t>3-Hydroxycapric acid</t>
  </si>
  <si>
    <t>3-羟基癸酸</t>
  </si>
  <si>
    <t>HMDB0002203</t>
  </si>
  <si>
    <t>LMFA01050153</t>
  </si>
  <si>
    <t>14292-26-3</t>
  </si>
  <si>
    <t>C(CC(O)CCCCCCC)(=O)O</t>
  </si>
  <si>
    <t>FYSSBMZUBSBFJL-UHFFFAOYSA-N</t>
  </si>
  <si>
    <t>130.6663, 141.1278, 143.1073, 169.0861, 187.0511, 187.0972, 187.1131, 187.1199, 187.1334, 205.3962</t>
  </si>
  <si>
    <t>FT4285PR</t>
  </si>
  <si>
    <t>Dibutyl phthalate</t>
  </si>
  <si>
    <t>邻苯二甲酸二丁酯</t>
  </si>
  <si>
    <t>HMDB0033244</t>
  </si>
  <si>
    <t>C14214</t>
  </si>
  <si>
    <t>84-74-2</t>
  </si>
  <si>
    <t>CCCCOC(=O)C1=CC=CC=C1C(=O)OCCCC</t>
  </si>
  <si>
    <t>DOIRQSBPFJWKBE-UHFFFAOYSA-N</t>
  </si>
  <si>
    <t>75.8192, 75.8378, 112.2917, 141.5926, 166.8689, 301.1403, 301.2130, 301.2479, 302.1433, 302.7143</t>
  </si>
  <si>
    <t>C16H22O4</t>
  </si>
  <si>
    <t>FT1320NR</t>
  </si>
  <si>
    <t>ISOPEONOL</t>
  </si>
  <si>
    <t>4-羟基-2-甲氧基苯乙酮</t>
  </si>
  <si>
    <t>493-33-4</t>
  </si>
  <si>
    <t>CC(=O)C1=C(C=C(C=C1)O)OC</t>
  </si>
  <si>
    <t>XPHIPEXPAGCEBM-UHFFFAOYSA-N</t>
  </si>
  <si>
    <t>111.0450, 112.0484, 142.9958, 167.0709, 167.1079, 167.1439, 211.0360, 211.0611, 211.0963, 211.1330</t>
  </si>
  <si>
    <t>FT3759NR</t>
  </si>
  <si>
    <t>Glycolithocholic acid</t>
  </si>
  <si>
    <t>甘氨石胆酸</t>
  </si>
  <si>
    <t>HMDB0000698</t>
  </si>
  <si>
    <t>LMST05030009</t>
  </si>
  <si>
    <t>C15557</t>
  </si>
  <si>
    <t>474-74-8</t>
  </si>
  <si>
    <t>O[C@H]1C[C@@]2([H])CC[C@@]3([H])[C@]4([H])CC[C@]([H])([C@@](C)([H])CCC(=O)NCC(=O)O)[C@@]4(C)CC[C@]3([H])[C@@]2(C)CC1</t>
  </si>
  <si>
    <t>XBSQTYHEGZTYJE-OETIFKLTSA-N</t>
  </si>
  <si>
    <t>124.8462, 127.4355, 200.9591, 235.9173, 302.6785, 302.7146, 340.3565, 432.2425, 432.3112, 433.3168</t>
  </si>
  <si>
    <t>C26H43NO4</t>
  </si>
  <si>
    <t>FT2360PR</t>
  </si>
  <si>
    <t>2-(2-Furanyl)-3-piperidinol</t>
  </si>
  <si>
    <t>2-(2-呋喃基)-3-哌啶醇</t>
  </si>
  <si>
    <t>HMDB0039837</t>
  </si>
  <si>
    <t>OC1CCCNC1C1=CC=CO1</t>
  </si>
  <si>
    <t>KPVVMDIEDRJBAF-UHFFFAOYSA-N</t>
  </si>
  <si>
    <t>143.9587, 149.1322, 161.9459, 161.9695, 167.1044, 167.1190, 167.1430, 179.9555, 184.8887, 185.1285</t>
  </si>
  <si>
    <t>C9H13NO2</t>
  </si>
  <si>
    <t>FT4122NR</t>
  </si>
  <si>
    <t>Cholestane-3,5,6-triol</t>
  </si>
  <si>
    <t>胆甾烷-3,5,6-三醇</t>
  </si>
  <si>
    <t>HMDB0250164</t>
  </si>
  <si>
    <t>CC(C)CCCC(C)C1CCC2C3CC(O)C4(O)CC(O)CCC4(C)C3CCC12C</t>
  </si>
  <si>
    <t>YMMFNKXZULYSOQ-UHFFFAOYSA-N</t>
  </si>
  <si>
    <t>78.8668, 91.5344, 178.3254, 279.2332, 293.2172, 311.7883, 403.3657, 421.3699, 456.6240, 465.3594</t>
  </si>
  <si>
    <t>C27H48O3</t>
  </si>
  <si>
    <t>FT1483NR</t>
  </si>
  <si>
    <t>1-hydroxy-5-phenyl-3-pentanone</t>
  </si>
  <si>
    <t>1-羟基-5-苯基-3-戊酮</t>
  </si>
  <si>
    <t>LMFA05000603</t>
  </si>
  <si>
    <t>C1(CCC(=O)CCO)C=CC=CC=1</t>
  </si>
  <si>
    <t>VQTZONPDOFOTIF-UHFFFAOYSA-N</t>
  </si>
  <si>
    <t>177.0915, 179.1070, 188.1572, 198.9938, 203.7215, 205.0862, 223.0295, 223.0969, 224.0614, 224.0998</t>
  </si>
  <si>
    <t>C11H14O2</t>
  </si>
  <si>
    <t>FT3418NR</t>
  </si>
  <si>
    <t>Methyl-[12]-gingerol</t>
  </si>
  <si>
    <t>甲基-[12]-姜酚</t>
  </si>
  <si>
    <t>HMDB0303111</t>
  </si>
  <si>
    <t>CCCCCCCCCCCC(O)CC(=O)CCC1=CC=C(OC)C(OC)=C1</t>
  </si>
  <si>
    <t>JQRRCYHOIQUQPT-UHFFFAOYSA-N</t>
  </si>
  <si>
    <t>Methoxybenzenes</t>
  </si>
  <si>
    <t>甲氧基苯类</t>
  </si>
  <si>
    <t>318.0574, 332.3721, 334.2339, 347.2952, 376.0780, 381.1236, 391.2264, 391.2850, 392.2322, 392.2884</t>
  </si>
  <si>
    <t>FT3127NR</t>
  </si>
  <si>
    <t>alpha-carboxyethylhydroxychroman sulfate</t>
  </si>
  <si>
    <t>α-羧乙基羟基苯并二氢吡喃硫酸盐</t>
  </si>
  <si>
    <t>LMPR02020083</t>
  </si>
  <si>
    <t>C1(C)=C(C)C2O[C@@](CCC(=O)OS(O)(=O)=O)(C)CCC=2C(C)=C1O</t>
  </si>
  <si>
    <t>DFNUJIUXQRXFLH-INIZCTEOSA-N</t>
  </si>
  <si>
    <t>1-benzopyrans</t>
  </si>
  <si>
    <t xml:space="preserve"> 1-苯并吡喃类</t>
  </si>
  <si>
    <t>137.8661, 147.9125, 243.9404, 295.8530, 302.6858, 302.7203, 327.7232, 357.0287, 357.0509, 357.1010</t>
  </si>
  <si>
    <t>C16H22O7S</t>
  </si>
  <si>
    <t>FT2932NR</t>
  </si>
  <si>
    <t>8R,9S-cis-epoxy-10S-hydroxy-eicosa-11Z,14Z-dienoic acid.</t>
  </si>
  <si>
    <t>8R,9S-顺式-环氧-10S-羟基-二十碳-11Z,14Z-二烯酸。</t>
  </si>
  <si>
    <t>LMFA03000014</t>
  </si>
  <si>
    <t>C(O)(=O)CCCCCC[C@H]1O[C@H]1[C@@H](O)/C=C\C/C=C\CCCCC</t>
  </si>
  <si>
    <t>OSJHGFZWDLQFAS-GPTLMNHHSA-N</t>
  </si>
  <si>
    <t>145.9601, 195.8303, 221.2388, 269.1317, 293.2489, 298.5260, 302.7034, 319.2272, 329.6990, 337.2375</t>
  </si>
  <si>
    <t>C20H34O4</t>
  </si>
  <si>
    <t>FT2989PR</t>
  </si>
  <si>
    <t>D-Fructofuranose</t>
  </si>
  <si>
    <t>D-呋喃果糖</t>
  </si>
  <si>
    <t>HMDB0250747</t>
  </si>
  <si>
    <t>OCC1OC(O)(CO)C(O)C1O</t>
  </si>
  <si>
    <t>RFSUNEUAIZKAJO-UHFFFAOYSA-N</t>
  </si>
  <si>
    <t>98.9188, 109.7289, 150.9321, 159.0505, 177.0609, 177.5522, 198.1597, 219.0261, 219.0823, 219.1747</t>
  </si>
  <si>
    <t>FT3835NR</t>
  </si>
  <si>
    <t>p-Hydroxyl-ethotoin</t>
  </si>
  <si>
    <t>对羟基乙妥英</t>
  </si>
  <si>
    <t>HMDB0061174</t>
  </si>
  <si>
    <t>CCN1C(=O)NC(C1=O)C1=CC=C(O)C=C1</t>
  </si>
  <si>
    <t>UUBDNHDPPHJUHB-UHFFFAOYSA-N</t>
  </si>
  <si>
    <t>Azolidines</t>
  </si>
  <si>
    <t>Imidazolidines</t>
  </si>
  <si>
    <t>唑烷类</t>
  </si>
  <si>
    <t>咪唑烷类</t>
  </si>
  <si>
    <t>171.2585, 175.0242, 205.3854, 205.4078, 219.1381, 263.1284, 275.1891, 302.6971, 342.5261, 439.1603</t>
  </si>
  <si>
    <t>C11H12N2O3</t>
  </si>
  <si>
    <t>FT1019NR</t>
  </si>
  <si>
    <t>6-hydroxy-3-isopropenylheptanoic acid</t>
  </si>
  <si>
    <t>6-羟基-3-异丙烯基庚酸</t>
  </si>
  <si>
    <t>LMFA01050371</t>
  </si>
  <si>
    <t>C(CCC(C(C)=C)CC(O)=O)(C)O</t>
  </si>
  <si>
    <t>NQYDFAGFKCSWGI-UHFFFAOYSA-N</t>
  </si>
  <si>
    <t>123.0812, 125.0968, 130.7378, 141.0803, 141.0918, 144.8791, 185.0097, 185.0810, 185.1179, 186.1128</t>
  </si>
  <si>
    <t>FT5658PR</t>
  </si>
  <si>
    <t>17(20)-Dehydrocryptogenin</t>
  </si>
  <si>
    <t>17(20)-脱氢隐花蛋白</t>
  </si>
  <si>
    <t>LMST01010342</t>
  </si>
  <si>
    <t>C1[C@H](O)CC2[C@@](C)([C@@]3([H])CC[C@]4(C)/C(=C(/C(=O)CC[C@@H](C)CO)\C)/C(=O)C[C@@]4([H])[C@]3([H])CC=2)C1</t>
  </si>
  <si>
    <t>LHUOFJIUXKOLAO-YKXPSBIHSA-N</t>
  </si>
  <si>
    <t>253.1425, 257.2256, 267.1576, 279.1604, 319.1895, 347.2203, 359.0287, 367.3000, 385.3096, 429.2997</t>
  </si>
  <si>
    <t>C27H40O4</t>
  </si>
  <si>
    <t>FT3756NR</t>
  </si>
  <si>
    <t>7alpha,12alpha,25-Trihydroxycholest-4-en-3-one</t>
  </si>
  <si>
    <t>7α,12α,25-三羟基胆甾醇-4-en-3-酮</t>
  </si>
  <si>
    <t>LMST04030105</t>
  </si>
  <si>
    <t>C1[C@]2(C)[C@@]3([H])C[C@H](O)[C@]4(C)[C@@]([H])([C@]([H])(C)CCCC(O)(C)C)CC[C@@]4([H])[C@]3([H])[C@H](O)CC2=CC(=O)C1</t>
  </si>
  <si>
    <t>FQABTKAQUPNRDK-RIOWZCLJSA-N</t>
  </si>
  <si>
    <t>77.5635, 144.1482, 163.5750, 198.3264, 205.4014, 262.3878, 337.1643, 340.1641, 371.2913, 431.3159</t>
  </si>
  <si>
    <t>FT5737PR</t>
  </si>
  <si>
    <t>4-O-Methylmelleolide</t>
  </si>
  <si>
    <t>4-O-甲基三内酯</t>
  </si>
  <si>
    <t>HMDB0037039</t>
  </si>
  <si>
    <t>96627-13-3</t>
  </si>
  <si>
    <t>COC12C(CC1(C)C1CC(C)(C)CC1C=C2C=O)OC(=O)C1=C(O)C=C(O)C=C1C</t>
  </si>
  <si>
    <t>GYCBSZGIYPNYAB-UHFFFAOYSA-N</t>
  </si>
  <si>
    <t>232.8599, 235.7486, 281.4894, 285.6008, 302.7135, 303.1202, 408.3230, 437.1929, 438.2017, 456.8129</t>
  </si>
  <si>
    <t>FT3779NR</t>
  </si>
  <si>
    <t>12alpha-Hydroxy-3-oxo-5beta-chol-9(11)-en-24-oic Acid</t>
  </si>
  <si>
    <t>12α-羟基-3-氧代-5β-胆-9(11)-en-24-油酸</t>
  </si>
  <si>
    <t>LMST04010369</t>
  </si>
  <si>
    <t>C1[C@]2(C)C3=C[C@H](O)[C@]4(C)[C@@]([H])([C@]([H])(C)CCC(O)=O)CC[C@@]4([H])[C@]3([H])CC[C@]2([H])CC(=O)C1</t>
  </si>
  <si>
    <t>IUOBSXJKRQJWKZ-CWOLSPAPSA-N</t>
  </si>
  <si>
    <t>78.8051, 82.0305, 135.8507, 152.9956, 201.5936, 205.4032, 289.6319, 302.7002, 333.2480, 387.2538</t>
  </si>
  <si>
    <t>C24H36O4</t>
  </si>
  <si>
    <t>FT2090PR</t>
  </si>
  <si>
    <t>Nepsilon-Acetyl-L-lysine</t>
  </si>
  <si>
    <t>Nε-乙酰基-L-赖氨酸</t>
  </si>
  <si>
    <t>HMDB0000206</t>
  </si>
  <si>
    <t>C02727</t>
  </si>
  <si>
    <t>692-04-6</t>
  </si>
  <si>
    <t>CC(=O)NCCCC[C@H](N)C(O)=O</t>
  </si>
  <si>
    <t>DTERQYGMUDWYAZ-ZETCQYMHSA-N</t>
  </si>
  <si>
    <t>135.1167, 141.0407, 143.0810, 153.0910, 153.1274, 171.0405, 171.0785, 171.1125, 171.1485, 172.1157</t>
  </si>
  <si>
    <t>C8H16N2O3</t>
  </si>
  <si>
    <t>FT4473PR</t>
  </si>
  <si>
    <t>6-Hydroxydecanoylcarnitine</t>
  </si>
  <si>
    <t>6-羟基癸酰肉碱</t>
  </si>
  <si>
    <t>HMDB0241057</t>
  </si>
  <si>
    <t>CCCCC(O)CCCCC(=O)OC(CC([O-])=O)C[N+](C)(C)C</t>
  </si>
  <si>
    <t>MGKQAKAABKUPIE-UHFFFAOYSA-N</t>
  </si>
  <si>
    <t>81.0702, 82.0280, 85.0289, 131.7954, 135.1169, 144.1001, 153.1269, 199.8174, 255.1586, 314.2320</t>
  </si>
  <si>
    <t>C17H33NO5</t>
  </si>
  <si>
    <t>FT2867NR</t>
  </si>
  <si>
    <t>Cromakalim</t>
  </si>
  <si>
    <t>克罗马卡利姆</t>
  </si>
  <si>
    <t>HMDB0250542</t>
  </si>
  <si>
    <t>C11819</t>
  </si>
  <si>
    <t>CC1(C)OC2=C(C=C(C=C2)C#N)C(C1O)N1CCCC1=O</t>
  </si>
  <si>
    <t>TVZCRIROJQEVOT-UHFFFAOYSA-N</t>
  </si>
  <si>
    <t>73.7397, 76.9489, 105.6289, 126.9049, 139.5523, 176.2129, 205.3975, 205.8970, 255.1132, 302.6769</t>
  </si>
  <si>
    <t>C16H18N2O3</t>
  </si>
  <si>
    <t>FT1716NR</t>
  </si>
  <si>
    <t>Alpha-D-Galactose 1-phosphate</t>
  </si>
  <si>
    <t>1-磷酸半乳糖</t>
  </si>
  <si>
    <t>HMDB0000645</t>
  </si>
  <si>
    <t>C00446</t>
  </si>
  <si>
    <t>hsa00052,hsa00520</t>
  </si>
  <si>
    <t>Galactose metabolism|Amino sugar and nucleotide sugar metabolism</t>
  </si>
  <si>
    <t>R-HSA-1430728,R-HSA-1643685,R-HSA-3781865,R-HSA-5609975,R-HSA-5609978,R-HSA-5668914,R-HSA-70370,R-HSA-71387</t>
  </si>
  <si>
    <t>Metabolism|Disease|Diseases of glycosylation|Diseases associated with glycosylation precursor biosynthesis|Defective GALT can cause GALCT|Diseases of metabolism|Galactose catabolism|Metabolism of carbohydrates</t>
  </si>
  <si>
    <t>2255-14-3</t>
  </si>
  <si>
    <t>OC[C@H]1O[C@H](OP(O)(O)=O)[C@H](O)[C@@H](O)[C@H]1O</t>
  </si>
  <si>
    <t>HXXFSFRBOHSIMQ-FPRJBGLDSA-N</t>
  </si>
  <si>
    <t>191.3653, 193.3905, 199.0274, 205.0348, 205.3957, 208.9847, 241.0594, 241.1423, 241.1798, 254.3369</t>
  </si>
  <si>
    <t>C6H13O9P</t>
  </si>
  <si>
    <t>FT6499PR</t>
  </si>
  <si>
    <t>PG(18:3/0:0)</t>
  </si>
  <si>
    <t>磷脂酰甘油(18:3/0:0)</t>
  </si>
  <si>
    <t>LMGP04050032</t>
  </si>
  <si>
    <t>[H][C@](O)(CO)COP(OC[C@]([H])(O)COC(CCCCCCC/C=C\C/C=C\C/C=C\CC)=O)(=O)O</t>
  </si>
  <si>
    <t>AZCURGXIIHFART-RDJXZBMQSA-N</t>
  </si>
  <si>
    <t>Glycerophosphoglycerols</t>
  </si>
  <si>
    <t>甘油磷酸甘油</t>
  </si>
  <si>
    <t>523.8044, 524.2961, 524.3614, 524.5457, 524.7999, 525.2903, 552.2586, 553.2604, 593.2697, 617.5958</t>
  </si>
  <si>
    <t>C24H43O9P</t>
  </si>
  <si>
    <t>FT5248NR</t>
  </si>
  <si>
    <t>Cucurbitacin IIa</t>
  </si>
  <si>
    <t>葫芦素IIa</t>
  </si>
  <si>
    <t>HMDB0246992</t>
  </si>
  <si>
    <t>CC(=O)OC(C)(C)CCC(=O)C(C)(O)C1C(O)CC2(C)C3CC=C4C(CC(O)C(O)C4(C)C)C3(C)C(=O)CC12C</t>
  </si>
  <si>
    <t>LKYNAQSYQLFTCM-UHFFFAOYSA-N</t>
  </si>
  <si>
    <t>Cucurbitacins</t>
  </si>
  <si>
    <t>葫芦素</t>
  </si>
  <si>
    <t>67.4835, 75.0087, 135.1319, 141.3048, 170.0856, 418.9060, 439.8253, 607.3484, 607.4582, 637.4120</t>
  </si>
  <si>
    <t>C32H50O8</t>
  </si>
  <si>
    <t>FT3129NR</t>
  </si>
  <si>
    <t>6Z,9Z,12Z,15Z,18Z-tetracosapentaenoic acid</t>
  </si>
  <si>
    <t>6Z,9Z,12Z,15Z,18Z-二十四碳五烯酸</t>
  </si>
  <si>
    <t>HMDB0006322</t>
  </si>
  <si>
    <t>LMFA01030820</t>
  </si>
  <si>
    <t>C(CCCC/C=C\C/C=C\C/C=C\C/C=C\C/C=C\CCCCC)(=O)O</t>
  </si>
  <si>
    <t>VENRYLMOFDSSDJ-WMPRHZDHSA-N</t>
  </si>
  <si>
    <t>65.88126, 68.688, 68.73474, 68.74017, 142.14041, 181.06334, 246.23412, 302.70251, 357.27979</t>
  </si>
  <si>
    <t>C24H38O2</t>
  </si>
  <si>
    <t>FT6486PR</t>
  </si>
  <si>
    <t>Mupirocin</t>
  </si>
  <si>
    <t>莫匹罗星</t>
  </si>
  <si>
    <t>HMDB0014554</t>
  </si>
  <si>
    <t>C11758</t>
  </si>
  <si>
    <t>12650-69-0</t>
  </si>
  <si>
    <t>C[C@H](O)[C@H](C)[C@@H]1O[C@H]1C[C@H]1CO[C@@H](C\C(C)=C\C(=O)OCCCCCCCCC(O)=O)[C@H](O)[C@@H]1O</t>
  </si>
  <si>
    <t>MINDHVHHQZYEEK-HBBNESRFSA-N</t>
  </si>
  <si>
    <t>73.4510, 76.7048, 76.7350, 78.4965, 84.0094, 108.6284, 205.4089, 336.4473, 347.2548, 523.2850</t>
  </si>
  <si>
    <t>C26H44O9</t>
  </si>
  <si>
    <t>FT4056PR</t>
  </si>
  <si>
    <t>Octanoylcarnitine</t>
  </si>
  <si>
    <t>辛酰肉碱</t>
  </si>
  <si>
    <t>HMDB0000791</t>
  </si>
  <si>
    <t>C02838</t>
  </si>
  <si>
    <t>25243-95-2</t>
  </si>
  <si>
    <t>CCCCCCCC(=O)O[C@H](CC(O)=O)C[N+](C)(C)C</t>
  </si>
  <si>
    <t>CXTATJFJDMJMIY-CYBMUJFWSA-O</t>
  </si>
  <si>
    <t>229.1432, 236.0308, 271.6938, 286.9625, 288.0996, 288.1390, 288.2164, 288.3157, 289.2199, 289.4479</t>
  </si>
  <si>
    <t>C15H30NO4</t>
  </si>
  <si>
    <t>FT5112PR</t>
  </si>
  <si>
    <t>6-Hydroxytrtradeca-9,12-dienoylcarnitine</t>
  </si>
  <si>
    <t>6-羟基十四碳-9,12-二烯酰基肉碱</t>
  </si>
  <si>
    <t>HMDB0241387</t>
  </si>
  <si>
    <t>CC=CCC=CCCC(O)CCCCC(=O)OC(CC([O-])=O)C[N+](C)(C)C</t>
  </si>
  <si>
    <t>VKPTUZZSRHSTFP-UHFFFAOYSA-N</t>
  </si>
  <si>
    <t>74.7929, 74.8091, 81.7647, 85.0289, 85.1228, 147.7288, 233.8673, 238.9035, 366.2167, 366.2636</t>
  </si>
  <si>
    <t>C21H37NO5</t>
  </si>
  <si>
    <t>FT0480NR</t>
  </si>
  <si>
    <t>5-Deoxy-D-ribose</t>
  </si>
  <si>
    <t>5-脱氧-D-核糖</t>
  </si>
  <si>
    <t>HMDB0246776</t>
  </si>
  <si>
    <t>CC(O)C(O)C(O)C=O</t>
  </si>
  <si>
    <t>WDRISBUVHBMJEF-UHFFFAOYSA-N</t>
  </si>
  <si>
    <t>65.39435, 65.53011, 71.01374, 72.99282, 75.00844, 80.56017, 87.00848, 115.02048, 133.05035, 134.0468</t>
  </si>
  <si>
    <t>C5H10O4</t>
  </si>
  <si>
    <t>FT1212NR</t>
  </si>
  <si>
    <t>(±)-Carvomenthol</t>
  </si>
  <si>
    <t>香旱芹【草(之上)+孟】醇</t>
  </si>
  <si>
    <t>HMDB0037223</t>
  </si>
  <si>
    <t>499-69-4</t>
  </si>
  <si>
    <t>CC(C)C1CCC(C)C(O)C1</t>
  </si>
  <si>
    <t>ULJXKUJMXIVDOY-UHFFFAOYSA-N</t>
  </si>
  <si>
    <t>Monoterpenoids</t>
  </si>
  <si>
    <t>单萜类化合物</t>
  </si>
  <si>
    <t>72.2098, 75.4390, 79.0249, 86.6013, 116.9279, 125.4830, 139.1125, 201.1134, 201.1489, 205.4029</t>
  </si>
  <si>
    <t>C10H20O</t>
  </si>
  <si>
    <t>FT1492PR</t>
  </si>
  <si>
    <t>N-METHYLISOLEUCINE</t>
  </si>
  <si>
    <t>N-甲基异亮氨酸</t>
  </si>
  <si>
    <t>5125-98-8</t>
  </si>
  <si>
    <t>CCC(C)C(C(=O)O)NC</t>
  </si>
  <si>
    <t>KSPIYJQBLVDRRI-UHFFFAOYSA-N</t>
  </si>
  <si>
    <t>113.9647, 118.0653, 118.9671, 121.2286, 123.9645, 146.0268, 146.0597, 147.0441, 147.0801, 154.6273</t>
  </si>
  <si>
    <t>FT0479NR</t>
  </si>
  <si>
    <t>D-Arabitol</t>
  </si>
  <si>
    <t>D-阿拉伯糖醇</t>
  </si>
  <si>
    <t>C00474</t>
  </si>
  <si>
    <t>hsa00040,hsa00740</t>
  </si>
  <si>
    <t>Pentose and glucuronate interconversions|Riboflavin metabolism</t>
  </si>
  <si>
    <t>488-82-4</t>
  </si>
  <si>
    <t>OCC(O)C(O)C(O)CO</t>
  </si>
  <si>
    <t>HEBKCHPVOIAQTA-UHFFFAOYSA-N</t>
  </si>
  <si>
    <t>71.01352, 72.80158, 72.99256, 75.00825, 87.00838, 106.96746, 115.00346, 132.89964, 133.05038, 134.0466</t>
  </si>
  <si>
    <t>C5H12O5</t>
  </si>
  <si>
    <t>FT3586NR</t>
  </si>
  <si>
    <t>Tetrahydrocortisol</t>
  </si>
  <si>
    <t>四氢皮质醇</t>
  </si>
  <si>
    <t>HMDB0000949</t>
  </si>
  <si>
    <t>C05465</t>
  </si>
  <si>
    <t>R-HSA-1430728,R-HSA-159418,R-HSA-1643685,R-HSA-192105,R-HSA-193368,R-HSA-194068,R-HSA-382551,R-HSA-425397,R-HSA-425407,R-HSA-556833,R-HSA-5619084,R-HSA-5619115,R-HSA-5678520,R-HSA-879518,R-HSA-8957322</t>
  </si>
  <si>
    <t>Metabolism|Recycling of bile acids and salts|Disease|Synthesis of bile acids and bile salts|Synthesis of bile acids and bile salts via 7alpha-hydroxycholesterol|Bile acid and bile salt metabolism|Transport of small molecules|Transport of vitamins, nucleosides, and related molecules|SLC-mediated transmembrane transport|Metabolism of lipids|ABC transporter disorders|Disorders of transmembrane transporters|Defective ABCB11 causes PFIC2 and BRIC2|Transport of organic anions|Metabolism of steroids</t>
  </si>
  <si>
    <t>53-02-1</t>
  </si>
  <si>
    <t>C[C@]12C[C@H](O)C3C(CCC4C[C@H](O)CC[C@]34C)C1CC[C@]2(O)C(=O)CO</t>
  </si>
  <si>
    <t>AODPIQQILQLWGS-OBRSLYEHSA-N</t>
  </si>
  <si>
    <t>112.9854, 205.3848, 205.4060, 275.0894, 328.4815, 333.2068, 348.2359, 411.1844, 411.2375, 422.8997</t>
  </si>
  <si>
    <t>C21H34O5</t>
  </si>
  <si>
    <t>FT4096NR</t>
  </si>
  <si>
    <t>3a,7b,12a-Trihydroxyoxocholanyl-Glycine</t>
  </si>
  <si>
    <t>3a,7b,12a-三羟基氧胆酰基-甘氨酸</t>
  </si>
  <si>
    <t>HMDB0000331</t>
  </si>
  <si>
    <t>LMST05030007</t>
  </si>
  <si>
    <t>68753-51-5</t>
  </si>
  <si>
    <t>[C@]12([C@@H](O)C[C@]3([H])C[C@H](O)CC[C@]3(C)[C@@]1([H])C[C@H](O)[C@]1(C)[C@@]([H])([C@@](C)([H])CCC(=O)NCC(=O)O)CC[C@@]21[H])[H]</t>
  </si>
  <si>
    <t>RFDAIACWWDREDC-IFZPJRIXSA-N</t>
  </si>
  <si>
    <t>57.0509, 59.6225, 61.8014, 67.1709, 70.1257, 73.0959, 74.0246, 143.6649, 204.5466, 464.3009</t>
  </si>
  <si>
    <t>FT3101NR</t>
  </si>
  <si>
    <t>Sclareol</t>
  </si>
  <si>
    <t>香紫苏醇</t>
  </si>
  <si>
    <t>HMDB0036827</t>
  </si>
  <si>
    <t>C09183</t>
  </si>
  <si>
    <t>515-03-7</t>
  </si>
  <si>
    <t>CC(O)(CCC1C(C)(O)CCC2C(C)(C)CCCC12C)C=C</t>
  </si>
  <si>
    <t>XVULBTBTFGYVRC-UHFFFAOYSA-N</t>
  </si>
  <si>
    <t>158.6191, 169.4293, 205.3854, 205.4079, 250.4696, 291.2701, 302.6898, 335.2583, 353.2691, 370.5485</t>
  </si>
  <si>
    <t>FT5517PR</t>
  </si>
  <si>
    <t>(6,12)-11-Hydroxyhexadecadienoylcarnitine</t>
  </si>
  <si>
    <t>(6,12)-11-羟基十六碳二烯酰肉碱</t>
  </si>
  <si>
    <t>HMDB0241486</t>
  </si>
  <si>
    <t>CCCC=CC(O)CCCC=CCCCCC(=O)OC(CC([O-])=O)C[N+](C)(C)C</t>
  </si>
  <si>
    <t>IAEJDYFMJSIZID-UHFFFAOYSA-N</t>
  </si>
  <si>
    <t>77.9394, 81.4692, 85.0287, 88.0586, 106.2226, 114.4640, 213.7286, 292.2601, 412.3054, 420.5454</t>
  </si>
  <si>
    <t>C23H41NO5</t>
  </si>
  <si>
    <t>FT0802PR</t>
  </si>
  <si>
    <t>4,4-Dimethyl-2-oxazoline</t>
  </si>
  <si>
    <t>4,4-二甲基-2-氧唑啉</t>
  </si>
  <si>
    <t>HMDB0246597</t>
  </si>
  <si>
    <t>CC1(C)COC=N1</t>
  </si>
  <si>
    <t>KOAMXHRRVFDWRQ-UHFFFAOYSA-N</t>
  </si>
  <si>
    <t>Azolines</t>
  </si>
  <si>
    <t>Oxazolines</t>
  </si>
  <si>
    <t>唑啉类</t>
  </si>
  <si>
    <t>恶唑啉类</t>
  </si>
  <si>
    <t>Level 3</t>
  </si>
  <si>
    <t>72.0449, 72.0547, 72.0814, 72.2029, 73.0483, 73.2117, 73.2288, 73.3128, 117.1023, 133.5709</t>
  </si>
  <si>
    <t>C5H9NO</t>
  </si>
  <si>
    <t>FT6087PR</t>
  </si>
  <si>
    <t>2,6,10,14-tetramethylpentadecanoylcarnitine</t>
  </si>
  <si>
    <t>2,6,10,14-四甲基十五酰肉碱</t>
  </si>
  <si>
    <t>HMDB0240896</t>
  </si>
  <si>
    <t>CC(C)CCCC(C)CCCC(C)CCCC(C)C(=O)OC(CC([O-])=O)C[N+](C)(C)C</t>
  </si>
  <si>
    <t>HMCQEDBUNXULMS-UHFFFAOYSA-N</t>
  </si>
  <si>
    <t>86.0966, 104.1071, 124.9997, 184.0732, 205.4060, 241.7921, 302.6981, 339.2891, 370.4987, 480.3444</t>
  </si>
  <si>
    <t>C26H51NO4</t>
  </si>
  <si>
    <t>FT0011NR</t>
  </si>
  <si>
    <t>Pyruvaldehyde</t>
  </si>
  <si>
    <t>丙酮醛</t>
  </si>
  <si>
    <t>HMDB0001167</t>
  </si>
  <si>
    <t>C00546</t>
  </si>
  <si>
    <t>hsa00260,hsa00620,hsa00640,hsa05415</t>
  </si>
  <si>
    <t>Glycine, serine and threonine metabolism|Pyruvate metabolism|Propanoate metabolism|Diabetic cardiomyopathy</t>
  </si>
  <si>
    <t>R-HSA-1428517,R-HSA-1430728,R-HSA-70268,R-HSA-71406</t>
  </si>
  <si>
    <t>The citric acid (TCA) cycle and respiratory electron transport|Metabolism|Pyruvate metabolism|Pyruvate metabolism and Citric Acid (TCA) cycle</t>
  </si>
  <si>
    <t>78-98-8</t>
  </si>
  <si>
    <t>CC(=O)C=O</t>
  </si>
  <si>
    <t>AIJULSRZWUXGPQ-UHFFFAOYSA-N</t>
  </si>
  <si>
    <t>64.126, 65.20952, 65.67105, 71.01357, 74.64117, 74.646, 117.6886, 118.23193, 126.03107, 127.6909</t>
  </si>
  <si>
    <t>C3H4O2</t>
  </si>
  <si>
    <t>FT0005PR</t>
  </si>
  <si>
    <t>2-(1-Aziridinyl)ethanol</t>
  </si>
  <si>
    <t>1-羟乙基氮丙啶</t>
  </si>
  <si>
    <t>C19332</t>
  </si>
  <si>
    <t>1072-52-2</t>
  </si>
  <si>
    <t>C1CN1CCO</t>
  </si>
  <si>
    <t>VYONOYYDEFODAJ-UHFFFAOYSA-N</t>
  </si>
  <si>
    <t>70.0789, 70.0826, 70.0845, 70.0880, 70.2115, 70.2163, 70.3643, 70.5137, 71.0688, 73.5966</t>
  </si>
  <si>
    <t>C4H9NO</t>
  </si>
  <si>
    <t>FT2149NR</t>
  </si>
  <si>
    <t>3-hydroxy-hexadecanoic acid</t>
  </si>
  <si>
    <t>4-羟基十六烷酸</t>
  </si>
  <si>
    <t>HMDB0061658</t>
  </si>
  <si>
    <t>LMFA01050188</t>
  </si>
  <si>
    <t>R-HSA-1430728,R-HSA-211859,R-HSA-211897,R-HSA-211945,R-HSA-211958</t>
  </si>
  <si>
    <t>Metabolism|Biological oxidations|Cytochrome P450 - arranged by substrate type|Phase I - Functionalization of compounds|Miscellaneous substrates</t>
  </si>
  <si>
    <t>928-17-6</t>
  </si>
  <si>
    <t>C(CC(O)CCCCCCCCCCCCC)(=O)O</t>
  </si>
  <si>
    <t>CBWALJHXHCJYTE-UHFFFAOYSA-N</t>
  </si>
  <si>
    <t>70.7866, 73.9984, 77.3678, 81.0050, 125.8140, 213.4631, 271.1367, 271.2273, 271.2602, 282.4711</t>
  </si>
  <si>
    <t>FT5030PR</t>
  </si>
  <si>
    <t>PGE1 alcohol</t>
  </si>
  <si>
    <t>前列腺素E1醇</t>
  </si>
  <si>
    <t>LMFA03010053</t>
  </si>
  <si>
    <t>21562-57-2</t>
  </si>
  <si>
    <t>[C@H]1(/C=C/[C@@H](O)CCCCC)[C@H](O)CC(=O)[C@@H]1CCCCCCCO</t>
  </si>
  <si>
    <t>CMHCOGHTKXUQKW-KOAZGICHSA-N</t>
  </si>
  <si>
    <t>294.0964, 299.2208, 322.2578, 340.2708, 353.3661, 358.1554, 358.2929, 358.3988, 359.2414, 359.2899</t>
  </si>
  <si>
    <t>C20H36O4</t>
  </si>
  <si>
    <t>FT4120NR</t>
  </si>
  <si>
    <t>Cholestanetriol</t>
  </si>
  <si>
    <t>胆甾烷三醇</t>
  </si>
  <si>
    <t>HMDB0250165</t>
  </si>
  <si>
    <t>CC(CCCC(C)C(O)(O)O)C1CCC2C3CCC4CCCCC4(C)C3CCC12C</t>
  </si>
  <si>
    <t>WGZMFEGKNIXYMB-UHFFFAOYSA-N</t>
  </si>
  <si>
    <t>72.4665, 116.6874, 127.2059, 147.0257, 205.3856, 205.4043, 269.2109, 410.9313, 421.3695, 465.3582</t>
  </si>
  <si>
    <t>FT1222NR</t>
  </si>
  <si>
    <t>Isopentenyladenine</t>
  </si>
  <si>
    <t>N-(3-甲基丁-2-烯-1-基)-9H-嘌呤-6-胺</t>
  </si>
  <si>
    <t>HMDB0245646</t>
  </si>
  <si>
    <t>C04083</t>
  </si>
  <si>
    <t>2365-40-4</t>
  </si>
  <si>
    <t>CC(C)=CCNC1=NC=NC2=C1N=CN2</t>
  </si>
  <si>
    <t>HYVABZIGRDEKCD-UHFFFAOYSA-N</t>
  </si>
  <si>
    <t>111.6496, 123.0449, 126.3157, 130.0870, 158.1183, 202.0081, 202.1081, 203.0022, 205.4045, 214.9506</t>
  </si>
  <si>
    <t>C10H13N5</t>
  </si>
  <si>
    <t>FT2795NR</t>
  </si>
  <si>
    <t>Bempedoic acid</t>
  </si>
  <si>
    <t>贝派地酸</t>
  </si>
  <si>
    <t>HMDB0251991</t>
  </si>
  <si>
    <t>CC(C)(CCCCCC(O)CCCCCC(C)(C)C(O)=O)C(O)=O</t>
  </si>
  <si>
    <t>HYHMLYSLQUKXKP-UHFFFAOYSA-N</t>
  </si>
  <si>
    <t>247.0365, 247.6808, 263.2370, 268.1821, 276.5130, 281.2481, 302.6881, 307.2286, 325.1923, 325.2375</t>
  </si>
  <si>
    <t>C19H36O5</t>
  </si>
  <si>
    <t>FT2111NR</t>
  </si>
  <si>
    <t>6-(1,2,3,4-Tetrahydroxybutyl)oxane-2,3,4,5-tetrol</t>
  </si>
  <si>
    <t>6-（1,2,3,4-四羟基丁基）氧杂环己烷-2,3,4,5-四醇</t>
  </si>
  <si>
    <t>HMDB0260352</t>
  </si>
  <si>
    <t>OCC(O)C(O)C(O)C1OC(O)C(O)C(O)C1O</t>
  </si>
  <si>
    <t>JFEBLWKYMNUVDT-UHFFFAOYSA-N</t>
  </si>
  <si>
    <t>201.0376, 202.0479, 205.4006, 211.0128, 212.0638, 225.0851, 255.1650, 269.0749, 269.2120, 289.7334</t>
  </si>
  <si>
    <t>C9H18O9</t>
  </si>
  <si>
    <t>FT6629PR</t>
  </si>
  <si>
    <t>PC(P-20:0/0:0)</t>
  </si>
  <si>
    <t>磷脂酰胆碱(P-20:0/0:0)</t>
  </si>
  <si>
    <t>LMGP01070013</t>
  </si>
  <si>
    <t>[C@](COP(=O)([O-])OCC[N+](C)(C)C)([H])(O)CO/C=C\CCCCCCCCCCCCCCCCCC</t>
  </si>
  <si>
    <t>OYMWPFGOIJUGDE-IIJBQYPZSA-N</t>
  </si>
  <si>
    <t>166.4977, 178.5779, 184.0730, 205.3985, 216.1347, 275.5180, 298.6673, 299.0613, 313.4377, 536.4066</t>
  </si>
  <si>
    <t>C28H58NO6P</t>
  </si>
  <si>
    <t>FT2865NR</t>
  </si>
  <si>
    <t>Phenylalanylmethionine</t>
  </si>
  <si>
    <t>苯丙氨酰甲硫氨酸</t>
  </si>
  <si>
    <t>HMDB0029001</t>
  </si>
  <si>
    <t>15080-84-9</t>
  </si>
  <si>
    <t>CSCC[C@H](NC(=O)[C@@H](N)CC1=CC=CC=C1)C(O)=O</t>
  </si>
  <si>
    <t>PYOHODCEOHCZBM-RYUDHWBXSA-N</t>
  </si>
  <si>
    <t>187.8872, 197.0427, 205.3911, 245.0925, 263.0324, 263.0764, 263.1031, 266.6534, 268.0887, 331.0931</t>
  </si>
  <si>
    <t>C14H20N2O3S</t>
  </si>
  <si>
    <t>FT2274NR</t>
  </si>
  <si>
    <t>Montiporic acid A</t>
  </si>
  <si>
    <t>季孢酸A</t>
  </si>
  <si>
    <t>LMFA10000013</t>
  </si>
  <si>
    <t>C(COCC#CC#CCCCCCCC)(=O)O</t>
  </si>
  <si>
    <t>FNMQEBVGAFDLDK-UHFFFAOYSA-N</t>
  </si>
  <si>
    <t>120.1040, 146.3921, 152.5350, 177.1287, 205.1236, 249.1120, 264.0127, 280.6223, 281.1410, 281.2473</t>
  </si>
  <si>
    <t>C14H20O3</t>
  </si>
  <si>
    <t>FT1942PR</t>
  </si>
  <si>
    <t>D-Methionine (S)-S-oxide</t>
  </si>
  <si>
    <t>DL-蛋氨酸亚砜</t>
  </si>
  <si>
    <t>HMDB0250776</t>
  </si>
  <si>
    <t>62697-73-8</t>
  </si>
  <si>
    <t>CS(=O)CCC(N)C(O)=O</t>
  </si>
  <si>
    <t>QEFRNWWLZKMPFJ-UHFFFAOYSA-N</t>
  </si>
  <si>
    <t>142.9667, 148.0471, 149.0259, 152.0284, 166.0264, 166.0496, 166.0853, 166.1564, 167.0223, 175.0310</t>
  </si>
  <si>
    <t>FT3110NR</t>
  </si>
  <si>
    <t>4,8,12,15,19,21-tetracosahexaenoic acid</t>
  </si>
  <si>
    <t>4,8,12,15,19,21-二十四碳六烯酸</t>
  </si>
  <si>
    <t>LMFA01030186</t>
  </si>
  <si>
    <t>C(C/C=C/C/C=C/CC/C=C/C=C/CC)/C=C/CC/C=C/CCC(=O)O</t>
  </si>
  <si>
    <t>VIEVDWQLJOPJTP-FWMXRSOJSA-N</t>
  </si>
  <si>
    <t>111.2236, 145.5736, 196.2291, 205.3858, 232.0084, 280.2098, 311.2743, 325.4656, 355.2644, 355.3165</t>
  </si>
  <si>
    <t>C24H36O2</t>
  </si>
  <si>
    <t>FT3462PR</t>
  </si>
  <si>
    <t>(S)-(4-Hydroxy-phenyl)-(S)-piperidin-2-yl-acetic acid methyl ester</t>
  </si>
  <si>
    <t>(S)-(4-羟基-苯基)-(S)-哌啶-2-基-乙酸甲酯；盐酸盐</t>
  </si>
  <si>
    <t>HMDB0250035</t>
  </si>
  <si>
    <t>COC(=O)C(C1CCCCN1)C1=CC=C(O)C=C1</t>
  </si>
  <si>
    <t>XVXFNANJMMTNSO-UHFFFAOYSA-N</t>
  </si>
  <si>
    <t>1-hydroxy-2-unsubstituted benzenoids</t>
  </si>
  <si>
    <t xml:space="preserve"> 1-羟基-2-未取代的苯类化合物</t>
  </si>
  <si>
    <t>84.0812, 84.8091, 98.9840, 137.1321, 185.9272, 208.9437, 226.9548, 250.1434, 250.1869, 251.0477</t>
  </si>
  <si>
    <t>C14H19NO3</t>
  </si>
  <si>
    <t>FT6738PR</t>
  </si>
  <si>
    <t>PG(20:5/0:0)</t>
  </si>
  <si>
    <t>磷脂酰甘油(20:5/0:0)</t>
  </si>
  <si>
    <t>LMGP04050030</t>
  </si>
  <si>
    <t>[H][C@](O)(CO)COP(OC[C@]([H])(O)COC(CCC/C=C\C/C=C\C/C=C\C/C=C\C/C=C\CC)=O)(=O)O</t>
  </si>
  <si>
    <t>UBJZUYNJJSKNCQ-MTVYBJJPSA-N</t>
  </si>
  <si>
    <t>530.3399, 547.8012, 548.2891, 548.8001, 549.2913, 574.2588, 575.2648, 576.2586, 577.2619, 991.4603</t>
  </si>
  <si>
    <t>C26H43O9P</t>
  </si>
  <si>
    <t>FT4536PR</t>
  </si>
  <si>
    <t>Linoleyl hydroxamic acid</t>
  </si>
  <si>
    <t>亚油基异羟肟酸</t>
  </si>
  <si>
    <t>LMFA08020211</t>
  </si>
  <si>
    <t>O=C(CCCCCCC/C=C\C/C=C\CCCCC)NO</t>
  </si>
  <si>
    <t>ICBBTPIZRNITQC-HZJYTTRNSA-N</t>
  </si>
  <si>
    <t>Carboxylic acid derivatives</t>
  </si>
  <si>
    <t>羧酸衍生物</t>
  </si>
  <si>
    <t>73.0110, 76.1499, 76.2195, 110.8198, 113.8917, 116.8734, 120.9866, 123.7182, 261.1503, 318.2398</t>
  </si>
  <si>
    <t>C18H33NO2</t>
  </si>
  <si>
    <t>FT3383PR</t>
  </si>
  <si>
    <t>Indolylacryloylglycine</t>
  </si>
  <si>
    <t>吲哚丙烯酰甘氨酸</t>
  </si>
  <si>
    <t>HMDB0006005</t>
  </si>
  <si>
    <t>3475-68-1</t>
  </si>
  <si>
    <t>[H]\C(=C(\[H])C1=CNC2=CC=CC=C12)C(O)=NCC(O)=O</t>
  </si>
  <si>
    <t>DUIFVCFSAWHIOD-AATRIKPKSA-N</t>
  </si>
  <si>
    <t>122.6644, 128.9505, 139.9543, 146.3523, 146.9616, 164.8337, 170.0597, 203.0400, 245.0987, 245.1901</t>
  </si>
  <si>
    <t>C13H12N2O3</t>
  </si>
  <si>
    <t>FT5100PR</t>
  </si>
  <si>
    <t>3a,11b,21-Trihydroxy-20-oxo-5b-pregnan-18-al</t>
  </si>
  <si>
    <t>3a,11b,21-三羟基-20-氧代-5b-孕-18-al</t>
  </si>
  <si>
    <t>HMDB0006753</t>
  </si>
  <si>
    <t>C05474</t>
  </si>
  <si>
    <t>CC12CC[C@@H](O)CC1CCC1C3CCC(C(=O)CO)C3(CC(O)C21)C=O</t>
  </si>
  <si>
    <t>YWTDWORQGPLRLL-NDCWLUSSSA-N</t>
  </si>
  <si>
    <t>243.1743, 269.1895, 299.2016, 311.2010, 317.2122, 324.9660, 329.2108, 347.2211, 364.9577, 365.2323</t>
  </si>
  <si>
    <t>FT7110PR</t>
  </si>
  <si>
    <t>chrysoeriol 7-O-neohesperidoside</t>
  </si>
  <si>
    <t>柯伊利素7-O-新橙皮甙</t>
  </si>
  <si>
    <t>HMDB0304575</t>
  </si>
  <si>
    <t>COC1=CC(=CC(OC)=C1O)C1OCC2C1COC2C1=CC(OC)=C(OC(CO)C(O)C2=CC(OC)=C(O)C=C2)C(OC)=C1</t>
  </si>
  <si>
    <t>FITCDKVKQIBVRK-UHFFFAOYSA-N</t>
  </si>
  <si>
    <t>Lignans, neolignans and related compounds</t>
  </si>
  <si>
    <t>Furanoid lignans</t>
  </si>
  <si>
    <t>木脂素、新木脂素及相关化合物</t>
  </si>
  <si>
    <t>呋喃木脂素</t>
  </si>
  <si>
    <t>100.0106, 142.2132, 190.7924, 299.1034, 299.1398, 306.7228, 363.9593, 381.8431, 597.2250, 615.2424</t>
  </si>
  <si>
    <t>C32H38O12</t>
  </si>
  <si>
    <t>FT4845PR</t>
  </si>
  <si>
    <t>12-Hydroxydodecanoylcarnitine</t>
  </si>
  <si>
    <t>12-羟基十二烷酰肉碱</t>
  </si>
  <si>
    <t>HMDB0241208</t>
  </si>
  <si>
    <t>C[N+](C)(C)CC(CC([O-])=O)OC(=O)CCCCCCCCCCCO</t>
  </si>
  <si>
    <t>FGDJUUIZTJUXIW-UHFFFAOYSA-N</t>
  </si>
  <si>
    <t>81.7679, 85.0288, 144.1018, 163.1478, 246.5340, 283.1894, 301.1403, 313.2889, 342.0158, 342.2633</t>
  </si>
  <si>
    <t>C19H37NO5</t>
  </si>
  <si>
    <t>FT2421PR</t>
  </si>
  <si>
    <t>n6-iminoethyl-l-lysine</t>
  </si>
  <si>
    <t>n6-亚氨基乙基-L-赖氨酸</t>
  </si>
  <si>
    <t>HMDB0255299</t>
  </si>
  <si>
    <t>NC(CCCCNCC=N)C(O)=O</t>
  </si>
  <si>
    <t>FOFYPECJVAGEIX-UHFFFAOYSA-N</t>
  </si>
  <si>
    <t>171.0761, 171.1120, 171.1489, 188.0339, 188.0741, 188.0886, 188.1030, 188.1390, 188.1750, 189.1354</t>
  </si>
  <si>
    <t>C8H17N3O2</t>
  </si>
  <si>
    <t>FT3882NR</t>
  </si>
  <si>
    <t>Methyl 2-[(3-carbamimidoylphenyl)methyl]-3-[4-(1-oxo-1lambda~5~-pyridin-4-yl)benzamido]butanoate</t>
  </si>
  <si>
    <t>(2R,3R)-2-[(3-甲脒基苯基)甲基]-3-[[4-(1-氧化吡啶-1-鎓-4-基)苯甲酰基]氨基]丁酸甲酯</t>
  </si>
  <si>
    <t>HMDB0247861</t>
  </si>
  <si>
    <t>COC(=O)C(CC1=CC=CC(=C1)C(N)=N)C(C)NC(=O)C1=CC=C(C=C1)C1=CC=[N+]([O-])C=C1</t>
  </si>
  <si>
    <t>PFGVNLZDWRZPJW-UHFFFAOYSA-N</t>
  </si>
  <si>
    <t>Phenylpyridines</t>
  </si>
  <si>
    <t>苯基吡啶类</t>
  </si>
  <si>
    <t>113.0239, 147.7098, 205.3953, 260.5396, 276.0839, 286.8897, 306.6658, 426.5749, 433.8236, 445.1897</t>
  </si>
  <si>
    <t>C25H26N4O4</t>
  </si>
  <si>
    <t>FT4571PR</t>
  </si>
  <si>
    <t>Palmitoleoyl-EA</t>
  </si>
  <si>
    <t>棕榈油酰-EA</t>
  </si>
  <si>
    <t>HMDB0013648</t>
  </si>
  <si>
    <t>LMFA08040043</t>
  </si>
  <si>
    <t>94421-67-7</t>
  </si>
  <si>
    <t>C(CCCCCCC(=O)NCCO)/C=C\CCCCCC</t>
  </si>
  <si>
    <t>WFRLANWAASSSFV-FPLPWBNLSA-N</t>
  </si>
  <si>
    <t>79.6981, 89.1153, 110.6459, 125.0335, 145.3582, 153.2495, 166.5548, 184.8881, 213.5907, 320.2556</t>
  </si>
  <si>
    <t>C18H35NO2</t>
  </si>
  <si>
    <t>FT0911NR</t>
  </si>
  <si>
    <t>Phosphonoacetic acid</t>
  </si>
  <si>
    <t>膦酰乙酸盐</t>
  </si>
  <si>
    <t>HMDB0004110</t>
  </si>
  <si>
    <t>C05682</t>
  </si>
  <si>
    <t>hsa00440</t>
  </si>
  <si>
    <t>Phosphonate and phosphinate metabolism</t>
  </si>
  <si>
    <t>4408-78-0</t>
  </si>
  <si>
    <t>OC(=O)CP(O)(O)=O</t>
  </si>
  <si>
    <t>XUYJLQHKOGNDPB-UHFFFAOYSA-N</t>
  </si>
  <si>
    <t>Organic phosphonic acids and derivatives</t>
  </si>
  <si>
    <t>Organic phosphonic acids</t>
  </si>
  <si>
    <t>有机膦酸及其衍生物</t>
  </si>
  <si>
    <t>有机膦酸</t>
  </si>
  <si>
    <t>118.9660, 118.9759, 130.9429, 146.9333, 146.9609, 147.9637, 160.9760, 174.9559, 174.9966, 190.9507</t>
  </si>
  <si>
    <t>C2H5O5P</t>
  </si>
  <si>
    <t>FT1692NR</t>
  </si>
  <si>
    <t>Theaspirane</t>
  </si>
  <si>
    <t>茶香螺烷</t>
  </si>
  <si>
    <t>HMDB0036823</t>
  </si>
  <si>
    <t>36431-72-8</t>
  </si>
  <si>
    <t>CC1CCC2(O1)C(C)=CCCC2(C)C</t>
  </si>
  <si>
    <t>GYUZHTWCNKINPY-UHFFFAOYSA-N</t>
  </si>
  <si>
    <t>101.0592, 102.9566, 116.0538, 154.0635, 156.9092, 195.1388, 223.0281, 239.0664, 239.1361, 239.1646</t>
  </si>
  <si>
    <t>FT2190NR</t>
  </si>
  <si>
    <t>Stearidonic acid</t>
  </si>
  <si>
    <t>十八碳四烯酸</t>
  </si>
  <si>
    <t>HMDB0006547</t>
  </si>
  <si>
    <t>LMFA01030357</t>
  </si>
  <si>
    <t>C16300</t>
  </si>
  <si>
    <t>20290-75-9</t>
  </si>
  <si>
    <t>C(CCCC/C=C\C/C=C\C/C=C\C/C=C\CC)(=O)O</t>
  </si>
  <si>
    <t>JIWBIWFOSCKQMA-LTKCOYKYSA-N</t>
  </si>
  <si>
    <t>133.5434, 150.8115, 177.1650, 182.6938, 198.5290, 199.8287, 206.8971, 231.2126, 275.1646, 275.2013</t>
  </si>
  <si>
    <t>C18H28O2</t>
  </si>
  <si>
    <t>FT4410PR</t>
  </si>
  <si>
    <t>(6Z,8E)-3-Hydroxydeca-6,8-dienoylcarnitine</t>
  </si>
  <si>
    <t>(6Z,8E)-3-羟基十-6,8-二烯酰肉碱</t>
  </si>
  <si>
    <t>HMDB0241111</t>
  </si>
  <si>
    <t>CC=CC=CCCC(O)CC(=O)OC(CC([O-])=O)C[N+](C)(C)C</t>
  </si>
  <si>
    <t>QVZXWQGPKRBOHU-UHFFFAOYSA-N</t>
  </si>
  <si>
    <t>157.0494, 160.9435, 231.3941, 251.1272, 266.1924, 274.0916, 308.9237, 309.9304, 310.2008, 313.7506</t>
  </si>
  <si>
    <t>C17H29NO5</t>
  </si>
  <si>
    <t>FT6784PR</t>
  </si>
  <si>
    <t>(2-Acetyloxy-3-octadecoxypropyl) 2-(trimethylazaniumyl)ethyl phosphate</t>
  </si>
  <si>
    <t>(2-乙酰氧基-3-十八烷氧基丙基)2-(三甲基氮基)乙基磷酸酯</t>
  </si>
  <si>
    <t>HMDB0242460</t>
  </si>
  <si>
    <t>CCCCCCCCCCCCCCCCCCOCC(COP([O-])(=O)OCC[N+](C)(C)C)OC(C)=O</t>
  </si>
  <si>
    <t>ZXCIEWBDUAPBJF-UHFFFAOYSA-N</t>
  </si>
  <si>
    <t>72.9508, 72.9701, 72.9890, 76.2483, 86.0968, 169.9420, 184.0733, 205.3983, 206.8161, 552.4044</t>
  </si>
  <si>
    <t>FT1767NR</t>
  </si>
  <si>
    <t>Tridecan-2-one</t>
  </si>
  <si>
    <t>2-十三烷酮</t>
  </si>
  <si>
    <t>HMDB0034148</t>
  </si>
  <si>
    <t>LMFA12000058</t>
  </si>
  <si>
    <t>593-08-8</t>
  </si>
  <si>
    <t>CC(=O)CCCCCCCCCCC</t>
  </si>
  <si>
    <t>CYIFVRUOHKNECG-UHFFFAOYSA-N</t>
  </si>
  <si>
    <t>89.8140, 106.4404, 130.6031, 140.7720, 205.3961, 223.4282, 243.1670, 243.1960, 243.2248, 244.1998</t>
  </si>
  <si>
    <t>C13H26O</t>
  </si>
  <si>
    <t>FT3636NR</t>
  </si>
  <si>
    <t>5-Megastigmen-7-yne-3,9-diol 9-glucoside</t>
  </si>
  <si>
    <t>5-甲基天门冬酰胺-7-炔-3,9-二醇-9-葡萄糖苷</t>
  </si>
  <si>
    <t>HMDB0032841</t>
  </si>
  <si>
    <t>62512-26-9</t>
  </si>
  <si>
    <t>CC(OC1OC(CO)C(O)C(O)C1O)C#CC1=C(C)CC(O)CC1(C)C</t>
  </si>
  <si>
    <t>NVFMDEVKKYQMLD-UHFFFAOYSA-N</t>
  </si>
  <si>
    <t>113.0243, 170.4648, 205.3872, 205.4067, 229.6822, 242.5712, 250.3770, 259.3781, 302.6998, 415.1968</t>
  </si>
  <si>
    <t>C19H30O7</t>
  </si>
  <si>
    <t>FT2420NR</t>
  </si>
  <si>
    <t>3-Undec-1-enylbenzene-1,2,4,5-tetrol</t>
  </si>
  <si>
    <t>3-十一碳烯-1-烯基苯-1,2,4,5-四醇</t>
  </si>
  <si>
    <t>HMDB0260258</t>
  </si>
  <si>
    <t>CCCCCCCCCC=CC1=C(O)C(O)=CC(O)=C1O</t>
  </si>
  <si>
    <t>LEMOCKLYNMZOCJ-UHFFFAOYSA-N</t>
  </si>
  <si>
    <t>Styrenes</t>
  </si>
  <si>
    <t>苯乙烯</t>
  </si>
  <si>
    <t>235.1335, 236.1049, 237.1101, 237.2193, 252.6210, 279.2020, 293.1483, 293.1754, 301.8442, 312.8093</t>
  </si>
  <si>
    <t>C17H26O4</t>
  </si>
  <si>
    <t>FT5067NR</t>
  </si>
  <si>
    <t>DG(15:0/0:0/20:5n3)</t>
  </si>
  <si>
    <t>甘油二酯(15:0/0:0/20:5n3)</t>
  </si>
  <si>
    <t>HMDB0056006</t>
  </si>
  <si>
    <t>[H][C@@](O)(COC(=O)CCCCCCCCCCCCCC)COC(=O)CCC\C=C/C\C=C/C\C=C/C\C=C/C\C=C/CC</t>
  </si>
  <si>
    <t>XZLBYGIFOSFHCP-ULMKCGBXSA-N</t>
  </si>
  <si>
    <t>65.9756, 68.7960, 78.7358, 92.0425, 102.6278, 134.9152, 279.2325, 280.6151, 296.9977, 581.4504</t>
  </si>
  <si>
    <t>C38H64O5</t>
  </si>
  <si>
    <t>FT1267NR</t>
  </si>
  <si>
    <t>2-Oxoadipic acid</t>
  </si>
  <si>
    <t>氧代己二酸</t>
  </si>
  <si>
    <t>HMDB0000225</t>
  </si>
  <si>
    <t>LMFA01170121</t>
  </si>
  <si>
    <t>C00322</t>
  </si>
  <si>
    <t>hsa00310,hsa00380,hsa00785</t>
  </si>
  <si>
    <t>Lysine degradation|Tryptophan metabolism|Lipoic acid metabolism</t>
  </si>
  <si>
    <t>R-HSA-1430728,R-HSA-71064,R-HSA-71291</t>
  </si>
  <si>
    <t>Metabolism|Lysine catabolism|Metabolism of amino acids and derivatives</t>
  </si>
  <si>
    <t>3184-35-8</t>
  </si>
  <si>
    <t>C(=O)(O)C(=O)CCCC(=O)O</t>
  </si>
  <si>
    <t>FGSBNBBHOZHUBO-UHFFFAOYSA-N</t>
  </si>
  <si>
    <t>89.0243, 92.9278, 121.0443, 125.0241, 126.0289, 139.8465, 146.9830, 163.0511, 167.3699, 205.0331</t>
  </si>
  <si>
    <t>C6H8O5</t>
  </si>
  <si>
    <t>FT3389PR</t>
  </si>
  <si>
    <t>Isoleucyl-Leucine</t>
  </si>
  <si>
    <t>异亮氨酰-亮氨酸</t>
  </si>
  <si>
    <t>HMDB0028911</t>
  </si>
  <si>
    <t>CCC(C)C(N)C(=O)NC(CC(C)C)C(O)=O</t>
  </si>
  <si>
    <t>JWBXCSQZLLIOCI-UHFFFAOYSA-N</t>
  </si>
  <si>
    <t>172.4357, 184.0446, 199.1811, 205.4072, 235.0435, 245.0755, 245.1003, 245.1362, 245.1867, 246.1693</t>
  </si>
  <si>
    <t>C12H24N2O3</t>
  </si>
  <si>
    <t>FT4589NR</t>
  </si>
  <si>
    <t>N-[(3a,5b,7a,12a)-3,7-dihydroxy-24-oxo-12-(sulfooxy)cholan-24-yl]-Glycine</t>
  </si>
  <si>
    <t>N-[(3a,5b,7a,12a)-3,7-二羟基-24-氧代-12-(磺氧基)胆烷-24-基]-甘氨酸</t>
  </si>
  <si>
    <t>HMDB0002644</t>
  </si>
  <si>
    <t>74723-17-4</t>
  </si>
  <si>
    <t>[H][C@@]12C[C@H](O)CC[C@]1(C)C1C[C@H](OS(O)(=O)=O)[C@]3(C)[C@H](CCC3C1[C@H](O)C2)[C@H](C)CCC(=O)NCC(O)=O</t>
  </si>
  <si>
    <t>JZLKXIMBAHDSBJ-NLKBZSSJSA-N</t>
  </si>
  <si>
    <t>59.8175, 65.9197, 96.9547, 96.9599, 154.9267, 188.2655, 259.6076, 401.7853, 526.2466, 527.2533</t>
  </si>
  <si>
    <t>C26H43NO9S</t>
  </si>
  <si>
    <t>FT3846NR</t>
  </si>
  <si>
    <t>26-Hexacosanolide</t>
  </si>
  <si>
    <t>26-二十二烷内酯</t>
  </si>
  <si>
    <t>LMFA07040061</t>
  </si>
  <si>
    <t>C1(OCCCCCCCCCCCCCCCCCCCCCCCCC1)=O</t>
  </si>
  <si>
    <t>MYBBGYHMPJENNR-UHFFFAOYSA-N</t>
  </si>
  <si>
    <t>159.1023, 185.1179, 185.4216, 215.1640, 228.3249, 279.2320, 297.2435, 407.3121, 439.3354, 439.3796</t>
  </si>
  <si>
    <t>C26H50O2</t>
  </si>
  <si>
    <t>FT3522PR</t>
  </si>
  <si>
    <t>4-[(2,4-Dihydroxy-3,3-dimethylbutanoyl)amino]butanoic acid</t>
  </si>
  <si>
    <t>4-[(2,4-二羟基-3,3-二甲基丁酰基)氨基]丁酸</t>
  </si>
  <si>
    <t>HMDB0246316</t>
  </si>
  <si>
    <t>CC(C)(CO)C(O)C(=O)NCCCC(O)=O</t>
  </si>
  <si>
    <t>SBBDHANTMHIRGW-UHFFFAOYSA-N</t>
  </si>
  <si>
    <t>74.7113, 74.7434, 79.6147, 81.6597, 124.7621, 214.8949, 238.1041, 256.1150, 256.2375, 256.2630</t>
  </si>
  <si>
    <t>C10H19NO5</t>
  </si>
  <si>
    <t>FT0561PR</t>
  </si>
  <si>
    <t>N-Propylurea</t>
  </si>
  <si>
    <t>丙脲</t>
  </si>
  <si>
    <t>HMDB0255240</t>
  </si>
  <si>
    <t>CCCNC(N)=O</t>
  </si>
  <si>
    <t>ZQZJKHIIQFPZCS-UHFFFAOYSA-N</t>
  </si>
  <si>
    <t>Organic carbonic acids and derivatives</t>
  </si>
  <si>
    <t>Ureas</t>
  </si>
  <si>
    <t>有机碳酸及其衍生物</t>
  </si>
  <si>
    <t>尿素</t>
  </si>
  <si>
    <t>95.0492, 100.3580, 103.0387, 103.0544, 103.0753, 103.0869, 103.0946, 103.1310, 112.6080, 121.9566</t>
  </si>
  <si>
    <t>C4H10N2O</t>
  </si>
  <si>
    <t>FT4314PR</t>
  </si>
  <si>
    <t>Methyltrienolone</t>
  </si>
  <si>
    <t>甲基三烯醇酮</t>
  </si>
  <si>
    <t>HMDB0254669</t>
  </si>
  <si>
    <t>CC1(O)CCC2C3CCC4=CC(=O)CCC4=C3C=CC12C</t>
  </si>
  <si>
    <t>CCCIJQPRIXGQOE-UHFFFAOYSA-N</t>
  </si>
  <si>
    <t>Estrane steroids</t>
  </si>
  <si>
    <t>雌激素类固醇</t>
  </si>
  <si>
    <t>179.1796, 189.1635, 207.1546, 207.1740, 225.1844, 285.1877, 302.0205, 302.1442, 302.1737, 302.2138</t>
  </si>
  <si>
    <t>C19H24O2</t>
  </si>
  <si>
    <t>FT4339NR</t>
  </si>
  <si>
    <t>(20S)-Stigmasta-5-ene-3beta,7alpha,20-triol</t>
  </si>
  <si>
    <t>(20S)-豆甾-5-烯-3β,7α,20-三醇</t>
  </si>
  <si>
    <t>LMST01040270</t>
  </si>
  <si>
    <t>[C@@](O)([C@]1([H])[C@@]2(C)CC[C@]3([H])[C@@]4(C)CC[C@H](O)CC4=C[C@@H](O)[C@@]3([H])[C@]2([H])CC1)(C)CC[C@@H](CC)C(C)C</t>
  </si>
  <si>
    <t>LFXFYKDBWOCRFD-IJSUCEOISA-N</t>
  </si>
  <si>
    <t>Stigmastanes and derivatives</t>
  </si>
  <si>
    <t>豆甾烷及其衍生物</t>
  </si>
  <si>
    <t>153.5477, 192.9797, 205.3881, 205.4065, 230.7402, 246.2429, 275.1114, 287.7219, 302.6895, 491.3740</t>
  </si>
  <si>
    <t>C29H50O3</t>
  </si>
  <si>
    <t>FT5923PR</t>
  </si>
  <si>
    <t>Z-Leu-Leu-Norvalinal</t>
  </si>
  <si>
    <t>Z-亮氨酸-亮氨酸-Norvalinal</t>
  </si>
  <si>
    <t>HMDB0244548</t>
  </si>
  <si>
    <t>CCCC(NC(=O)C(CC(C)C)NC(=O)C(CC(C)C)NC(=O)OCC1=CC=CC=C1)C=O</t>
  </si>
  <si>
    <t>QEJRGURBLQWEOU-UHFFFAOYSA-N</t>
  </si>
  <si>
    <t>54.42325, 75.32587, 128.69746, 202.33182, 290.28351, 308.29568, 444.28748, 462.29672, 478.61179</t>
  </si>
  <si>
    <t>C25H39N3O5</t>
  </si>
  <si>
    <t>FT0432NR</t>
  </si>
  <si>
    <t>3-Amino-4-methylpentanoic acid</t>
  </si>
  <si>
    <t>3-氨基-4-甲基戊酸</t>
  </si>
  <si>
    <t>HMDB0245808</t>
  </si>
  <si>
    <t>C02486</t>
  </si>
  <si>
    <t>5699-54-7</t>
  </si>
  <si>
    <t>CC(C)C(N)CC(O)=O</t>
  </si>
  <si>
    <t>GLUJNGJDHCTUJY-UHFFFAOYSA-N</t>
  </si>
  <si>
    <t>73.6702, 85.0655, 86.0609, 87.0447, 88.0403, 113.0242, 123.2033, 130.0507, 130.0870, 131.0714</t>
  </si>
  <si>
    <t>FT1912PR</t>
  </si>
  <si>
    <t>Ammonia aspartate</t>
  </si>
  <si>
    <t>天冬氨酸氨</t>
  </si>
  <si>
    <t>HMDB0248341</t>
  </si>
  <si>
    <t>NC1CC(=O)ONOC1=O</t>
  </si>
  <si>
    <t>GOVCRMWFUKQONY-UHFFFAOYSA-N</t>
  </si>
  <si>
    <t>133.5286, 134.0315, 136.0469, 141.0505, 142.0347, 146.0292, 159.0615, 164.0421, 164.0683, 181.0346</t>
  </si>
  <si>
    <t>C4H6N2O4</t>
  </si>
  <si>
    <t>FT1081NR</t>
  </si>
  <si>
    <t>Pyrocatechol sulfate</t>
  </si>
  <si>
    <t>邻苯二酚硫酸盐</t>
  </si>
  <si>
    <t>HMDB0059724</t>
  </si>
  <si>
    <t>4918-96-1</t>
  </si>
  <si>
    <t>OC1=C(OS(O)(=O)=O)C=CC=C1</t>
  </si>
  <si>
    <t>MZPWKJZDOCIALD-UHFFFAOYSA-N</t>
  </si>
  <si>
    <t>109.0460, 110.0326, 143.0518, 144.9229, 144.9596, 160.8924, 188.9458, 188.9858, 189.9895, 205.3899</t>
  </si>
  <si>
    <t>C6H6O5S</t>
  </si>
  <si>
    <t>FT6715PR</t>
  </si>
  <si>
    <t>12-(3,4-Dimethyl-5-pentylfuran-2-yl)dodecanoylcarnitine</t>
  </si>
  <si>
    <t>12-(3,4-二甲基-5-戊基呋喃-2-基)十二酰肉碱</t>
  </si>
  <si>
    <t>HMDB0241837</t>
  </si>
  <si>
    <t>CCCCCC1=C(C)C(C)=C(CCCCCCCCCCCC(=O)OC(CC([O-])=O)C[N+](C)(C)C)O1</t>
  </si>
  <si>
    <t>INKNPMLFCWTLJS-UHFFFAOYSA-N</t>
  </si>
  <si>
    <t>184.7069, 185.0770, 186.0779, 258.1092, 357.6222, 528.3433, 546.3542, 546.5501, 547.3571, 557.7456</t>
  </si>
  <si>
    <t>C30H53NO5</t>
  </si>
  <si>
    <t>FT1349NR</t>
  </si>
  <si>
    <t>3-oxo-dodecanoic acid</t>
  </si>
  <si>
    <t>3-氧代十二烷酸</t>
  </si>
  <si>
    <t>HMDB0010727</t>
  </si>
  <si>
    <t>LMFA01060091</t>
  </si>
  <si>
    <t>C02367</t>
  </si>
  <si>
    <t>C(CC(=O)CCCCCCCCC)(=O)O</t>
  </si>
  <si>
    <t>DZHSPYMHDVROSM-UHFFFAOYSA-N</t>
  </si>
  <si>
    <t>79.5005, 83.9844, 116.9285, 160.2666, 169.1599, 196.4253, 205.3905, 213.0557, 213.1127, 213.1490</t>
  </si>
  <si>
    <t>C12H22O3</t>
  </si>
  <si>
    <t>FT0567PR</t>
  </si>
  <si>
    <t>Thiomorpholine</t>
  </si>
  <si>
    <t>硫代吗啉</t>
  </si>
  <si>
    <t>HMDB0259017</t>
  </si>
  <si>
    <t>C1CSCCN1</t>
  </si>
  <si>
    <t>BRNULMACUQOKMR-UHFFFAOYSA-N</t>
  </si>
  <si>
    <t>Thiazinanes</t>
  </si>
  <si>
    <t>Thiomorpholines</t>
  </si>
  <si>
    <t>噻嗪类</t>
  </si>
  <si>
    <t>硫代吗啉类</t>
  </si>
  <si>
    <t>72.1913, 74.7536, 75.4447, 86.0606, 95.0500, 104.0708, 104.1072, 105.0449, 111.8705, 124.4889</t>
  </si>
  <si>
    <t>C4H9NS</t>
  </si>
  <si>
    <t>FT4708NR</t>
  </si>
  <si>
    <t>Lisinopril-tryptophan</t>
  </si>
  <si>
    <t>赖诺普利色氨酸</t>
  </si>
  <si>
    <t>HMDB0243710</t>
  </si>
  <si>
    <t>NCCCCC(NC(CCC1=CC=CC=C1)C(O)=O)C(=O)NC(CC1=CNC2=CC=CC=C12)C(O)=O</t>
  </si>
  <si>
    <t>JXNGDSIPMBNTNL-UHFFFAOYSA-N</t>
  </si>
  <si>
    <t>55.58094, 57.02215, 85.3297, 304.97894, 465.23532, 495.50824, 539.10223, 539.24829</t>
  </si>
  <si>
    <t>C27H34N4O5</t>
  </si>
  <si>
    <t>FT0081NR</t>
  </si>
  <si>
    <t>D-Lactic acid</t>
  </si>
  <si>
    <t>D-乳酸</t>
  </si>
  <si>
    <t>HMDB0001311</t>
  </si>
  <si>
    <t>C00256</t>
  </si>
  <si>
    <t>hsa00620</t>
  </si>
  <si>
    <t>Pyruvate metabolism</t>
  </si>
  <si>
    <t>10326-41-7</t>
  </si>
  <si>
    <t>C[C@@H](O)C(O)=O</t>
  </si>
  <si>
    <t>JVTAAEKCZFNVCJ-UWTATZPHSA-N</t>
  </si>
  <si>
    <t>Alpha hydroxy acids and derivatives</t>
  </si>
  <si>
    <t xml:space="preserve"> α-羟基酸及其衍生物</t>
  </si>
  <si>
    <t>60.9966, 62.2199, 71.0136, 73.9214, 77.7091, 87.0085, 88.9879, 89.0242, 89.0370, 90.0273</t>
  </si>
  <si>
    <t>C3H6O3</t>
  </si>
  <si>
    <t>FT5738PR</t>
  </si>
  <si>
    <t>Armillaripin</t>
  </si>
  <si>
    <t>蜜环菌癸素</t>
  </si>
  <si>
    <t>HMDB0030404</t>
  </si>
  <si>
    <t>129741-56-6</t>
  </si>
  <si>
    <t>COC1=CC(O)=C(C(=O)OC2CC3(C)C2C(C=O)=CC2(O)CC(C)(C)CC32)C(C)=C1</t>
  </si>
  <si>
    <t>BGKXQRPQNIXIMH-UHFFFAOYSA-N</t>
  </si>
  <si>
    <t>95.6969, 109.2937, 109.3009, 116.3768, 136.5908, 181.8263, 187.3498, 205.4066, 302.7042, 437.1928</t>
  </si>
  <si>
    <t>FT2785NR</t>
  </si>
  <si>
    <t>Iberin-N-acetyl-cysteine</t>
  </si>
  <si>
    <t>伊贝林-N-乙酰半胱氨酸</t>
  </si>
  <si>
    <t>HMDB0240535</t>
  </si>
  <si>
    <t>CC(O)=NC(CSC(S)=NCCCS(C)=O)C(O)=O</t>
  </si>
  <si>
    <t>RBVJIAJZFANPKT-UHFFFAOYSA-N</t>
  </si>
  <si>
    <t>74.10807, 74.44001, 93.03422, 104.95358, 129.05516, 172.9911, 188.91202, 189.01103, 198.24977, 325.03271</t>
  </si>
  <si>
    <t>C10H18N2O4S3</t>
  </si>
  <si>
    <t>FT0855PR</t>
  </si>
  <si>
    <t>3-hydroxybut-2-enoic acid</t>
  </si>
  <si>
    <t>3-羟基丁-2-烯酸</t>
  </si>
  <si>
    <t>LMFA01030978</t>
  </si>
  <si>
    <t>CC(O)=CC(O)=O</t>
  </si>
  <si>
    <t>NVPCGXUWUBHZBD-UHFFFAOYSA-N</t>
  </si>
  <si>
    <t/>
  </si>
  <si>
    <t>C4H6O3</t>
  </si>
  <si>
    <t>FT1852PR</t>
  </si>
  <si>
    <t>Aminovaleric acid betaine</t>
  </si>
  <si>
    <t>δ-戊酸甜菜碱</t>
  </si>
  <si>
    <t>HMDB0240732</t>
  </si>
  <si>
    <t>C[N+](C)(C)CCCCC([O-])=O</t>
  </si>
  <si>
    <t>CDLVFVFTRQPQFU-UHFFFAOYSA-N</t>
  </si>
  <si>
    <t>C8H17NO2</t>
  </si>
  <si>
    <t>FT3810NR</t>
  </si>
  <si>
    <t>Kanzonol T</t>
  </si>
  <si>
    <t>康尊醇T</t>
  </si>
  <si>
    <t>HMDB0029904</t>
  </si>
  <si>
    <t>181476-22-2</t>
  </si>
  <si>
    <t>CC(C)(O)CCC1=C(O)C2=C(OC=C(C2=O)C2=CC=C3OC(C)(C)C=CC3=C2O)C=C1O</t>
  </si>
  <si>
    <t>SBSQRDFJISUOGV-UHFFFAOYSA-N</t>
  </si>
  <si>
    <t>Isoflavans</t>
  </si>
  <si>
    <t>异黄烷</t>
  </si>
  <si>
    <t>205.3938, 280.4387, 290.4873, 302.6891, 315.8879, 369.1734, 369.2821, 370.1780, 437.1607, 438.1666</t>
  </si>
  <si>
    <t>C25H26O7</t>
  </si>
  <si>
    <t>FT0793PR</t>
  </si>
  <si>
    <t>(R)-Dihydromaleimide</t>
  </si>
  <si>
    <t>(R)-二氢马来酰亚胺</t>
  </si>
  <si>
    <t>HMDB0030276</t>
  </si>
  <si>
    <t>87710-47-2</t>
  </si>
  <si>
    <t>OC1C=CC(O)=N1</t>
  </si>
  <si>
    <t>CIGXGWDUXOBPIO-UHFFFAOYSA-N</t>
  </si>
  <si>
    <t>Pyrrolines</t>
  </si>
  <si>
    <t>吡咯啉</t>
  </si>
  <si>
    <t>C4H5NO2</t>
  </si>
  <si>
    <t>FT2442PR</t>
  </si>
  <si>
    <t>N6,N6,N6-Trimethyl-L-lysine</t>
  </si>
  <si>
    <t>N6,N6,N6-三甲基-L-赖氨酸</t>
  </si>
  <si>
    <t>HMDB0001325</t>
  </si>
  <si>
    <t>C03793</t>
  </si>
  <si>
    <t>19253-88-4</t>
  </si>
  <si>
    <t>C[N+](C)(C)CCCC[C@H](N)C([O-])=O</t>
  </si>
  <si>
    <t>MXNRLFUSFKVQSK-QMMMGPOBSA-N</t>
  </si>
  <si>
    <t>C9H20N2O2</t>
  </si>
  <si>
    <t>FT0598PR</t>
  </si>
  <si>
    <t>Diethanolamine</t>
  </si>
  <si>
    <t>二乙醇胺</t>
  </si>
  <si>
    <t>HMDB0004437</t>
  </si>
  <si>
    <t>C06772</t>
  </si>
  <si>
    <t>hsa00564</t>
  </si>
  <si>
    <t>Glycerophospholipid metabolism</t>
  </si>
  <si>
    <t>111-42-2</t>
  </si>
  <si>
    <t>OCCNCCO</t>
  </si>
  <si>
    <t>ZBCBWPMODOFKDW-UHFFFAOYSA-N</t>
  </si>
  <si>
    <t>C4H11NO2</t>
  </si>
  <si>
    <t>FT0596PR</t>
  </si>
  <si>
    <t>L-Serine</t>
  </si>
  <si>
    <t>L-丝氨酸</t>
  </si>
  <si>
    <t>HMDB0000187</t>
  </si>
  <si>
    <t>C00065</t>
  </si>
  <si>
    <t>hsa00260,hsa00270,hsa00470,hsa00564,hsa00600,hsa00630,hsa00920,hsa00970,hsa04071,hsa05230</t>
  </si>
  <si>
    <t>Glycine, serine and threonine metabolism|Cysteine and methionine metabolism|D-Amino acid metabolism|Glycerophospholipid metabolism|Sphingolipid metabolism|Glyoxylate and dicarboxylate metabolism|Sulfur metabolism|Aminoacyl-tRNA biosynthesis|Sphingolipid signaling pathway|Central carbon metabolism in cancer</t>
  </si>
  <si>
    <t>56-45-1</t>
  </si>
  <si>
    <t>N[C@@H](CO)C(O)=O</t>
  </si>
  <si>
    <t>MTCFGRXMJLQNBG-REOHCLBHSA-N</t>
  </si>
  <si>
    <t>C3H7NO3</t>
  </si>
  <si>
    <t>FT4939PR</t>
  </si>
  <si>
    <t>Corynoline</t>
  </si>
  <si>
    <t>紫堇啉</t>
  </si>
  <si>
    <t>HMDB0250479</t>
  </si>
  <si>
    <t>CN1CC2=C3OCOC3=CC=C2C2(C)C(O)CC3=CC4=C(OCO4)C=C3C12</t>
  </si>
  <si>
    <t>IQUGPRHKZNCHGC-UHFFFAOYSA-N</t>
  </si>
  <si>
    <t>Benzophenanthridine alkaloids</t>
  </si>
  <si>
    <t>Hexahydrobenzophenanthridine alkaloids</t>
  </si>
  <si>
    <t>苯并菲啶生物碱</t>
  </si>
  <si>
    <t>六氢苯并菲啶生物碱</t>
  </si>
  <si>
    <t>246.1071, 259.1146, 273.1320, 274.1381, 289.1255, 305.1212, 306.1266, 330.4080, 350.1414, 350.1859</t>
  </si>
  <si>
    <t>C21H21NO5</t>
  </si>
  <si>
    <t>FT4694PR</t>
  </si>
  <si>
    <t>Emulphor</t>
  </si>
  <si>
    <t>乳化剂</t>
  </si>
  <si>
    <t>HMDB0251781</t>
  </si>
  <si>
    <t>CCCCCCCCC=CCCCCCCCCOCCO</t>
  </si>
  <si>
    <t>KWVPFECTOKLOBL-UHFFFAOYSA-N</t>
  </si>
  <si>
    <t>328.7944, 330.2181, 330.2418, 330.2622, 330.3360, 330.4102, 330.4275, 330.4592, 331.3396, 331.8510</t>
  </si>
  <si>
    <t>C20H40O2</t>
  </si>
  <si>
    <t>FT2655NR</t>
  </si>
  <si>
    <t>2,3,8,10-Tetrahydroxy[2]benzopyrano[4,3-b][1]benzopyran-7(5H)-one</t>
  </si>
  <si>
    <t>2,3,8,10-四羟基[2]苯并吡喃[4,3-b][1]苯并吡喃-7(5H)-酮</t>
  </si>
  <si>
    <t>LMPK12113387</t>
  </si>
  <si>
    <t>C1(O)=CC2OC3C4C=C(O)C(O)=CC=4COC=3C(=O)C=2C(O)=C1</t>
  </si>
  <si>
    <t>WOLQFWZOEYHATG-UHFFFAOYSA-N</t>
  </si>
  <si>
    <t>Pyranoflavonoids</t>
  </si>
  <si>
    <t>吡喃类黄酮</t>
  </si>
  <si>
    <t>165.0916, 195.5025, 195.9237, 205.3931, 225.0854, 245.0482, 250.1723, 312.9485, 313.0343, 313.0716</t>
  </si>
  <si>
    <t>C16H10O7</t>
  </si>
  <si>
    <t>FT3740NR</t>
  </si>
  <si>
    <t>Gln-Phe-Thr</t>
  </si>
  <si>
    <t>谷氨酰胺酰-苯丙氨酰-苏氨酸</t>
  </si>
  <si>
    <t>CC(C(C(=O)O)NC(=O)C(CC1=CC=CC=C1)NC(=O)C(CCC(=O)N)N)O</t>
  </si>
  <si>
    <t>DRNMNLKUUKKPIA-HTUGSXCWSA-N</t>
  </si>
  <si>
    <t>152.1578, 159.0921, 203.0821, 203.1037, 225.0640, 293.0520, 302.6837, 361.0366, 429.0868, 429.1537</t>
  </si>
  <si>
    <t>C18H26N4O6</t>
  </si>
  <si>
    <t>FT0573PR</t>
  </si>
  <si>
    <t>Choline</t>
  </si>
  <si>
    <t>胆碱</t>
  </si>
  <si>
    <t>HMDB0000097</t>
  </si>
  <si>
    <t>C00114</t>
  </si>
  <si>
    <t>hsa00260,hsa00564,hsa04725,hsa05231</t>
  </si>
  <si>
    <t>Glycine, serine and threonine metabolism|Glycerophospholipid metabolism|Cholinergic synapse|Choline metabolism in cancer</t>
  </si>
  <si>
    <t>R-HSA-112310,R-HSA-112311,R-HSA-112315,R-HSA-112316,R-HSA-1430728,R-HSA-1483101,R-HSA-1483115,R-HSA-1483148,R-HSA-1483166,R-HSA-1483191,R-HSA-1483206,R-HSA-1483255,R-HSA-1483257,R-HSA-1643685,R-HSA-168249,R-HSA-168256,R-HSA-2029480,R-HSA-2029485,R-HSA-264642,R-HSA-382551,R-HSA-425366,R-HSA-425407,R-HSA-549127,R-HSA-549132,R-HSA-556833,R-HSA-5619102,R-HSA-5619114,R-HSA-5619115,R-HSA-5658471,R-HSA-6798163,R-HSA-6814848,R-HSA-71291</t>
  </si>
  <si>
    <t>Neurotransmitter release cycle|Neurotransmitter clearance|Transmission across Chemical Synapses|Neuronal System|Metabolism|Synthesis of PS|Hydrolysis of LPC|Synthesis of PG|Synthesis of PA|Synthesis of PC|Glycerophospholipid biosynthesis|PI Metabolism|Phospholipid metabolism|Disease|Innate Immune System|Immune System|Fcgamma receptor (FCGR) dependent phagocytosis|Role of phospholipids in phagocytosis|Acetylcholine Neurotransmitter Release Cycle|Transport of small molecules|Transport of bile salts and organic acids, metal ions and amine compounds|SLC-mediated transmembrane transport|Organic cation transport|Organic cation/anion/zwitterion transport|Metabolism of lipids|SLC transporter disorders|Defective SLC5A7 causes distal hereditary motor neuronopathy 7A (HMN7A)|Disorders of transmembrane transporters|Defective SLC5A7 causes distal hereditary motor neuronopathy 7A (HMN7A)|Choline catabolism|Glycerophospholipid catabolism|Metabolism of amino acids and derivatives</t>
  </si>
  <si>
    <t>62-49-7</t>
  </si>
  <si>
    <t>C[N+](C)(C)CCO</t>
  </si>
  <si>
    <t>OEYIOHPDSNJKLS-UHFFFAOYSA-N</t>
  </si>
  <si>
    <t>104.1072, 104.1135, 104.1198, 104.1234, 104.1292, 104.3756, 104.3821, 105.1104, 109.6565, 117.7670</t>
  </si>
  <si>
    <t>C5H14NO</t>
  </si>
  <si>
    <t>FT1168PR</t>
  </si>
  <si>
    <t>L-cis-3-Amino-2-pyrrolidinecarboxylic acid</t>
  </si>
  <si>
    <t>(2S,3R)-3-氨基吡咯烷-2-羧酸</t>
  </si>
  <si>
    <t>HMDB0029396</t>
  </si>
  <si>
    <t>25876-88-4</t>
  </si>
  <si>
    <t>NC1CCNC1C(O)=O</t>
  </si>
  <si>
    <t>VJLXSTXGGXYQCT-UHFFFAOYSA-N</t>
  </si>
  <si>
    <t>C5H10N2O2</t>
  </si>
  <si>
    <t>FT2163PR</t>
  </si>
  <si>
    <t>5-[(1-Iminoethyl)amino]-2-aminopentanoic acid</t>
  </si>
  <si>
    <t>L-NIO二盐酸盐</t>
  </si>
  <si>
    <t>HMDB0246210</t>
  </si>
  <si>
    <t>CC(=N)NCCCC(N)C(O)=O</t>
  </si>
  <si>
    <t>UYZFAUAYFLEHRC-UHFFFAOYSA-N</t>
  </si>
  <si>
    <t>C7H15N3O2</t>
  </si>
  <si>
    <t>FT1009PR</t>
  </si>
  <si>
    <t>VINYLSULFONIC ACID</t>
  </si>
  <si>
    <t>乙烯基磺酸</t>
  </si>
  <si>
    <t>HMDB0259830</t>
  </si>
  <si>
    <t>OS(=O)(=O)C=C</t>
  </si>
  <si>
    <t>NLVXSWCKKBEXTG-UHFFFAOYSA-N</t>
  </si>
  <si>
    <t>C2H4O3S</t>
  </si>
  <si>
    <t>FT1866PR</t>
  </si>
  <si>
    <t>N2-Methyl-L-lysine</t>
  </si>
  <si>
    <t>N-甲基-L-赖氨酸盐酸盐</t>
  </si>
  <si>
    <t>HMDB0240689</t>
  </si>
  <si>
    <t>CN[C@@H](CCCCN)C(O)=O</t>
  </si>
  <si>
    <t>OLYPWXRMOFUVGH-LURJTMIESA-N</t>
  </si>
  <si>
    <t>C7H16N2O2</t>
  </si>
  <si>
    <t>FT0597PR</t>
  </si>
  <si>
    <t>Pyruvic acid</t>
  </si>
  <si>
    <t>丙酮酸</t>
  </si>
  <si>
    <t>HMDB0000243</t>
  </si>
  <si>
    <t>LMFA01060077</t>
  </si>
  <si>
    <t>C00022</t>
  </si>
  <si>
    <t>hsa00010,hsa00020,hsa00030,hsa00040,hsa00053,hsa00250,hsa00260,hsa00270,hsa00290,hsa00330,hsa00350,hsa00360,hsa00430,hsa00440,hsa00470,hsa00620,hsa00630,hsa00650,hsa00730,hsa00760,hsa00770,hsa00785,hsa00900,hsa04066,hsa04152,hsa04911,hsa04922,hsa04930,hsa04931,hsa05230,hsa05415</t>
  </si>
  <si>
    <t>Glycolysis / Gluconeogenesis|Citrate cycle (TCA cycle)|Pentose phosphate pathway|Pentose and glucuronate interconversions|Ascorbate and aldarate metabolism|Alanine, aspartate and glutamate metabolism|Glycine, serine and threonine metabolism|Cysteine and methionine metabolism|Valine, leucine and isoleucine biosynthesis|Arginine and proline metabolism|Tyrosine metabolism|Phenylalanine metabolism|Taurine and hypotaurine metabolism|Phosphonate and phosphinate metabolism|D-Amino acid metabolism|Pyruvate metabolism|Glyoxylate and dicarboxylate metabolism|Butanoate metabolism|Thiamine metabolism|Nicotinate and nicotinamide metabolism|Pantothenate and CoA biosynthesis|Lipoic acid metabolism|Terpenoid backbone biosynthesis|HIF-1 signaling pathway|AMPK signaling pathway|Insulin secretion|Glucagon signaling pathway|Type II diabetes mellitus|Insulin resistance|Central carbon metabolism in cancer|Diabetic cardiomyopathy</t>
  </si>
  <si>
    <t>127-17-3</t>
  </si>
  <si>
    <t>CC(=O)C(=O)O</t>
  </si>
  <si>
    <t>LCTONWCANYUPML-UHFFFAOYSA-N</t>
  </si>
  <si>
    <t>Alpha-keto acids and derivatives</t>
  </si>
  <si>
    <t xml:space="preserve"> α-酮酸及其衍生物</t>
  </si>
  <si>
    <t>FT5267NR</t>
  </si>
  <si>
    <t>Cholestane-3,7,12,25-tetrol-3-glucuronide</t>
  </si>
  <si>
    <t>胆甾烷-3,7,12,25-四醇-3-葡萄糖醛酸</t>
  </si>
  <si>
    <t>HMDB0010355</t>
  </si>
  <si>
    <t>77172-80-6</t>
  </si>
  <si>
    <t>[H][C@@]1(CCC2C3C(O)CC4CC(CC[C@]4(C)C3C[C@@H](O)[C@]12C)O[C@@H]1O[C@@H]([C@@H](O)[C@@H](O)[C@H]1O)C(O)=O)[C@H](C)CCCC(C)(C)O</t>
  </si>
  <si>
    <t>FHOADKVSESICIH-YQDZQFSMSA-N</t>
  </si>
  <si>
    <t>65.9359, 69.9263, 70.3975, 83.8632, 151.3204, 205.4003, 220.7366, 327.9843, 599.2330, 611.3796</t>
  </si>
  <si>
    <t>C33H56O10</t>
  </si>
  <si>
    <t>FT0708NR</t>
  </si>
  <si>
    <t>Formiminoglutamic acid</t>
  </si>
  <si>
    <t>甲氨基谷氨酸</t>
  </si>
  <si>
    <t>HMDB0000854</t>
  </si>
  <si>
    <t>C00439</t>
  </si>
  <si>
    <t>816-90-0</t>
  </si>
  <si>
    <t>OC(=O)CC[C@H](NC=N)C(O)=O</t>
  </si>
  <si>
    <t>NRXIKWMTVXPVEF-BYPYZUCNSA-N</t>
  </si>
  <si>
    <t>C6H10N2O4</t>
  </si>
  <si>
    <t>FT0706NR</t>
  </si>
  <si>
    <t>Dehydroascorbic acid</t>
  </si>
  <si>
    <t>去氢抗坏血酸</t>
  </si>
  <si>
    <t>HMDB0001264</t>
  </si>
  <si>
    <t>C05422</t>
  </si>
  <si>
    <t>hsa00053,hsa00480</t>
  </si>
  <si>
    <t>Ascorbate and aldarate metabolism|Glutathione metabolism</t>
  </si>
  <si>
    <t>490-83-5</t>
  </si>
  <si>
    <t>[H][C@@]1(OC(=O)C(=O)C1=O)[C@@H](O)CO</t>
  </si>
  <si>
    <t>SBJKKFFYIZUCET-JLAZNSOCSA-N</t>
  </si>
  <si>
    <t>FT0057NR</t>
  </si>
  <si>
    <t>Oxalic acid</t>
  </si>
  <si>
    <t>草酸</t>
  </si>
  <si>
    <t>1113-38-8</t>
  </si>
  <si>
    <t>C(=O)(C(=O)O)O</t>
  </si>
  <si>
    <t>VBIXEXWLHSRNKB-UHFFFAOYSA-N</t>
  </si>
  <si>
    <t>C2H2O4</t>
  </si>
  <si>
    <t>FT5119NR</t>
  </si>
  <si>
    <t>2-Eicosapentaenoyl-sn-glycerol-3-phosphocholine</t>
  </si>
  <si>
    <t>CC/C=C\C/C=C\C/C=C\C/C=C\C/C=C\CCCC(=O)O[C@H](CO)COP(=O)([O-])OCC[N+](C)(C)C</t>
  </si>
  <si>
    <t>UUZCIIYFIOLREQ-WJPZTBRDSA-N</t>
  </si>
  <si>
    <t>301.1762, 301.2169, 301.2500, 301.2984, 302.2195, 326.6735, 526.2934, 527.3000, 586.3148, 587.3168</t>
  </si>
  <si>
    <t>C28H48NO7P</t>
  </si>
  <si>
    <t>FT1307PR</t>
  </si>
  <si>
    <t>Trigonellamide</t>
  </si>
  <si>
    <t>1-甲基烟酰胺</t>
  </si>
  <si>
    <t>HMDB0000699</t>
  </si>
  <si>
    <t>C02918</t>
  </si>
  <si>
    <t>R-HSA-1430728,R-HSA-196807,R-HSA-196849,R-HSA-196854,R-HSA-197264,R-HSA-2142753,R-HSA-2162123,R-HSA-2408508,R-HSA-2408522,R-HSA-382551,R-HSA-425366,R-HSA-425407,R-HSA-549127,R-HSA-549132,R-HSA-556833,R-HSA-71291,R-HSA-8978868</t>
  </si>
  <si>
    <t>Metabolism|Nicotinate metabolism|Metabolism of water-soluble vitamins and cofactors|Metabolism of vitamins and cofactors|Nicotinamide salvaging|Arachidonic acid metabolism|Synthesis of Prostaglandins (PG) and Thromboxanes (TX)|Metabolism of ingested SeMet, Sec, MeSec into H2Se|Selenoamino acid metabolism|Transport of small molecules|Transport of bile salts and organic acids, metal ions and amine compounds|SLC-mediated transmembrane transport|Organic cation transport|Organic cation/anion/zwitterion transport|Metabolism of lipids|Metabolism of amino acids and derivatives|Fatty acid metabolism</t>
  </si>
  <si>
    <t>1005-24-9</t>
  </si>
  <si>
    <t>C[N+]1=CC=CC(=C1)C(N)=O</t>
  </si>
  <si>
    <t>LDHMAVIPBRSVRG-UHFFFAOYSA-O</t>
  </si>
  <si>
    <t>C7H9N2O</t>
  </si>
  <si>
    <t>FT4183NR</t>
  </si>
  <si>
    <t>Lucidenic acid K</t>
  </si>
  <si>
    <t>透明酸K</t>
  </si>
  <si>
    <t>HMDB0035890</t>
  </si>
  <si>
    <t>CC(CCC(O)=O)C1CC(=O)C2(C)C3=C(C(=O)C(O)C12C)C1(C)CCC(=O)C(C)(C)C1CC3=O</t>
  </si>
  <si>
    <t>NCGJGPSWDDQPKM-UHFFFAOYSA-N</t>
  </si>
  <si>
    <t>96.9598, 121.1457, 157.8413, 196.3652, 251.4651, 301.1848, 402.3049, 435.0983, 471.2413, 472.2471</t>
  </si>
  <si>
    <t>C27H36O7</t>
  </si>
  <si>
    <t>FT2726PR</t>
  </si>
  <si>
    <t>SDMA</t>
  </si>
  <si>
    <t>对称二甲基精氨酸</t>
  </si>
  <si>
    <t>HMDB0003334</t>
  </si>
  <si>
    <t>R-HSA-1430728,R-HSA-162582,R-HSA-194138,R-HSA-202131,R-HSA-203615,R-HSA-4420097,R-HSA-5218920,R-HSA-8939211,R-HSA-9006931,R-HSA-9006934,R-HSA-9009391</t>
  </si>
  <si>
    <t>Metabolism|Signal Transduction|Signaling by VEGF|Metabolism of nitric oxide: NOS3 activation and regulation|eNOS activation|VEGFA-VEGFR2 Pathway|VEGFR2 mediated vascular permeability|ESR-mediated signaling|Signaling by Nuclear Receptors|Signaling by Receptor Tyrosine Kinases|Extra-nuclear estrogen signaling</t>
  </si>
  <si>
    <t>30344-00-4</t>
  </si>
  <si>
    <t>CN\C(NCCC[C@H](N)C(O)=O)=N/C</t>
  </si>
  <si>
    <t>HVPFXCBJHIIJGS-LURJTMIESA-N</t>
  </si>
  <si>
    <t>C8H18N4O2</t>
  </si>
  <si>
    <t>FT2439PR</t>
  </si>
  <si>
    <t>L-Targinine</t>
  </si>
  <si>
    <t>N'-单甲基-L-精氨酸盐酸盐</t>
  </si>
  <si>
    <t>HMDB0029416</t>
  </si>
  <si>
    <t>C03884</t>
  </si>
  <si>
    <t>R-HSA-352230,R-HSA-382551,R-HSA-425393,R-HSA-425407</t>
  </si>
  <si>
    <t>Amino acid transport across the plasma membrane|Transport of small molecules|Transport of inorganic cations/anions and amino acids/oligopeptides|SLC-mediated transmembrane transport</t>
  </si>
  <si>
    <t>17035-90-4</t>
  </si>
  <si>
    <t>CNC(=N)NCCC[C@H](N)C(O)=O</t>
  </si>
  <si>
    <t>NTNWOCRCBQPEKQ-YFKPBYRVSA-N</t>
  </si>
  <si>
    <t>C7H16N4O2</t>
  </si>
  <si>
    <t>FT1511PR</t>
  </si>
  <si>
    <t>3-(Hydroxymethyl)-5-oxopentanoic acid</t>
  </si>
  <si>
    <t>3-(羟甲基)-5-氧代戊酸</t>
  </si>
  <si>
    <t>HMDB0255410</t>
  </si>
  <si>
    <t>OCC(CC=O)CC(O)=O</t>
  </si>
  <si>
    <t>RAZMGTPZOWFVRS-UHFFFAOYSA-N</t>
  </si>
  <si>
    <t>C6H10O4</t>
  </si>
  <si>
    <t>FT1219NR</t>
  </si>
  <si>
    <t>Methyl 5-hydroxyoxindole-3-acetate</t>
  </si>
  <si>
    <t>5-羟基吲哚-3-乙酸甲酯</t>
  </si>
  <si>
    <t>HMDB0038990</t>
  </si>
  <si>
    <t>COC(=O)CC1C(=O)NC2=CC=C(O)C=C12</t>
  </si>
  <si>
    <t>PQPVNWBNDOFPBO-UHFFFAOYSA-N</t>
  </si>
  <si>
    <t>51.46453, 78.32458, 78.62098, 79.95718, 98.1524, 123.04488, 203.0014, 204.12296, 205.38959</t>
  </si>
  <si>
    <t>C11H11NO4</t>
  </si>
  <si>
    <t>FT0693NR</t>
  </si>
  <si>
    <t>2-Octenedioic acid</t>
  </si>
  <si>
    <t>2-辛烯二酸</t>
  </si>
  <si>
    <t>HMDB0000341</t>
  </si>
  <si>
    <t>5698-50-0</t>
  </si>
  <si>
    <t>OC(=O)CCCC\C=C\C(O)=O</t>
  </si>
  <si>
    <t>BNTPVRGYUHJFHN-HWKANZROSA-N</t>
  </si>
  <si>
    <t>C8H12O4</t>
  </si>
  <si>
    <t>FT2581PR</t>
  </si>
  <si>
    <t>(S)-Batatic acid</t>
  </si>
  <si>
    <t>(S)-羟基乙酸</t>
  </si>
  <si>
    <t>HMDB0035721</t>
  </si>
  <si>
    <t>CC(CCC(=O)C1=COC=C1)C(O)=O</t>
  </si>
  <si>
    <t>IVEUNBPJQOKPGL-UHFFFAOYSA-N</t>
  </si>
  <si>
    <t>FT1938PR</t>
  </si>
  <si>
    <t>Baikiain</t>
  </si>
  <si>
    <t>白花素</t>
  </si>
  <si>
    <t>HMDB0302856</t>
  </si>
  <si>
    <t>OC(=O)C1CC=CCN1</t>
  </si>
  <si>
    <t>YCQPUTODZKESPK-UHFFFAOYSA-N</t>
  </si>
  <si>
    <t>165.9829, 166.0273, 166.0530, 166.0720, 166.0865, 166.1568, 166.5283, 175.0312, 175.5331, 186.5393</t>
  </si>
  <si>
    <t>C6H9NO2</t>
  </si>
  <si>
    <t>FT1486PR</t>
  </si>
  <si>
    <t>Allysine</t>
  </si>
  <si>
    <t>阿離胺酸</t>
  </si>
  <si>
    <t>HMDB0001263</t>
  </si>
  <si>
    <t>C04076</t>
  </si>
  <si>
    <t>6665-12-9</t>
  </si>
  <si>
    <t>N[C@@H](CCCC=O)C(O)=O</t>
  </si>
  <si>
    <t>GFXYTQPNNXGICT-YFKPBYRVSA-N</t>
  </si>
  <si>
    <t>C6H11NO3</t>
  </si>
  <si>
    <t>FT3207PR</t>
  </si>
  <si>
    <t>Threonylhydroxyproline</t>
  </si>
  <si>
    <t>苏氨酰羟脯氨酸</t>
  </si>
  <si>
    <t>HMDB0029062</t>
  </si>
  <si>
    <t>844641-04-9</t>
  </si>
  <si>
    <t>C[C@@H](O)[C@H](N)C(=O)N1C[C@H](O)C[C@H]1C(O)=O</t>
  </si>
  <si>
    <t>LARRWQRLUSYTHC-JWXFUTCRSA-N</t>
  </si>
  <si>
    <t>C9H16N2O5</t>
  </si>
  <si>
    <t>FT4999PR</t>
  </si>
  <si>
    <t>17Z-Docosenoic acid</t>
  </si>
  <si>
    <t>17Z-二十二碳烯酸</t>
  </si>
  <si>
    <t>LMFA04000085</t>
  </si>
  <si>
    <t>C(CCCCCCCCCCCCCCC/C=C\CCCC)(=O)O</t>
  </si>
  <si>
    <t>UBKDYQFHAWUXEQ-WAYWQWQTSA-N</t>
  </si>
  <si>
    <t>205.3892, 205.4115, 251.6920, 312.3245, 335.5096, 338.3412, 356.0700, 356.3517, 356.4550, 357.3560</t>
  </si>
  <si>
    <t>FT2870NR</t>
  </si>
  <si>
    <t>Carnosic acid</t>
  </si>
  <si>
    <t>鼠尾草酸</t>
  </si>
  <si>
    <t>HMDB0002358</t>
  </si>
  <si>
    <t>3650-09-7</t>
  </si>
  <si>
    <t>CC(C)C1=C(C(=C2C(=C1)CCC3C2(CCCC3(C)C)C(=O)O)O)O</t>
  </si>
  <si>
    <t>QRYRORQUOLYVBU-VBKZILBWSA-N</t>
  </si>
  <si>
    <t>213.3579, 281.1493, 283.1664, 285.1830, 302.6974, 317.1726, 330.7620, 330.9617, 331.1887, 332.1925</t>
  </si>
  <si>
    <t>C20H28O4</t>
  </si>
  <si>
    <t>FT3636PR</t>
  </si>
  <si>
    <t>Nopalinic acid</t>
  </si>
  <si>
    <t>胭脂酸</t>
  </si>
  <si>
    <t>HMDB0029437</t>
  </si>
  <si>
    <t>C01683</t>
  </si>
  <si>
    <t>63409-16-5</t>
  </si>
  <si>
    <t>NCCCC(NC(CCC(O)=O)C(O)=O)C(O)=O</t>
  </si>
  <si>
    <t>UXZAXFPFSQRZOZ-UHFFFAOYSA-N</t>
  </si>
  <si>
    <t>C10H18N2O6</t>
  </si>
  <si>
    <t>FT3062NR</t>
  </si>
  <si>
    <t>4,8,12,16-eicosatetraenoic acid</t>
  </si>
  <si>
    <t>4,8,12,16-二十碳四烯酸</t>
  </si>
  <si>
    <t>LMFA01030173</t>
  </si>
  <si>
    <t>C(C/C=C/CC/C=C/CCC)/C=C/CC/C=C/CCC(=O)O</t>
  </si>
  <si>
    <t>QSMHRTSIMKYDTO-FFIJXKSSSA-N</t>
  </si>
  <si>
    <t>71.7630, 74.9876, 78.4390, 141.1809, 172.3539, 174.1431, 205.3923, 221.9700, 235.4834, 321.6152</t>
  </si>
  <si>
    <t>FT3811NR</t>
  </si>
  <si>
    <t>3-Hydroxymethyl-picumast</t>
  </si>
  <si>
    <t>7-[3-[4-[（4-氯苯基）甲基]哌嗪-1-基]丙氧基]-3-（羟基甲基基）-4-甲基苯并吡喃-2-酮</t>
  </si>
  <si>
    <t>HMDB0245901</t>
  </si>
  <si>
    <t>CC1=C(CO)C(=O)OC2=C1C=CC(OCCCN1CCN(CC3=CC=C(Cl)C=C3)CC1)=C2</t>
  </si>
  <si>
    <t>KSEGSVAXULZZCC-UHFFFAOYSA-N</t>
  </si>
  <si>
    <t>95.1377, 96.9596, 149.0535, 151.9722, 302.6997, 327.0501, 357.0987, 369.1735, 437.0537, 437.1602</t>
  </si>
  <si>
    <t>C25H29ClN2O4</t>
  </si>
  <si>
    <t>FT1228NR</t>
  </si>
  <si>
    <t>O-methoxycatechol-O-sulphate</t>
  </si>
  <si>
    <t>O-甲氧基儿茶酚-O-硫酸盐</t>
  </si>
  <si>
    <t>HMDB0060013</t>
  </si>
  <si>
    <t>COC1=CC=CC=C1OS(O)(=O)=O</t>
  </si>
  <si>
    <t>AQTYXAPIHMXAAV-UHFFFAOYSA-N</t>
  </si>
  <si>
    <t>123.0239, 123.0449, 124.0485, 124.0572, 142.6692, 203.0015, 203.2718, 204.0037, 204.1232, 205.3954</t>
  </si>
  <si>
    <t>FT1801PR</t>
  </si>
  <si>
    <t>2-aminomuconic acid semialdehyde</t>
  </si>
  <si>
    <t>2-氨基丁二酸半醛</t>
  </si>
  <si>
    <t>HMDB0001280</t>
  </si>
  <si>
    <t>LMFA01060191</t>
  </si>
  <si>
    <t>C03824</t>
  </si>
  <si>
    <t>245128-91-0</t>
  </si>
  <si>
    <t>C(=O)(O)/C(/N)=C\C=C/C=O</t>
  </si>
  <si>
    <t>QCGTZPZKJPTAEP-REDYYMJGSA-N</t>
  </si>
  <si>
    <t>C6H7NO3</t>
  </si>
  <si>
    <t>FT2204PR</t>
  </si>
  <si>
    <t>Argininic acid</t>
  </si>
  <si>
    <t>(S)-5-胍基-2-羟基戊酸</t>
  </si>
  <si>
    <t>HMDB0003148</t>
  </si>
  <si>
    <t>157-07-3</t>
  </si>
  <si>
    <t>NC(=N)NCCC[C@H](O)C(O)=O</t>
  </si>
  <si>
    <t>BMFMQGXDDJALKQ-BYPYZUCNSA-N</t>
  </si>
  <si>
    <t>FT5007PR</t>
  </si>
  <si>
    <t>15S-HTPE</t>
  </si>
  <si>
    <t>LMFA01050588</t>
  </si>
  <si>
    <t>C(CCCC/C=C\C/C=C\C/C=C\C[C@H](O)/C=C/C=C\CCCCC)(=O)O</t>
  </si>
  <si>
    <t>WCPFNHAOKQUJEV-CCRANPHBSA-N</t>
  </si>
  <si>
    <t>243.2109, 247.1691, 257.2245, 261.1841, 275.2000, 289.2158, 321.2572, 339.2680, 357.2782, 358.2799</t>
  </si>
  <si>
    <t>FT0818NR</t>
  </si>
  <si>
    <t>(4S,8R)-8,9-Dihydroxy-p-menth-1(6)-en-2-one</t>
  </si>
  <si>
    <t>(4S,8R)-8,9-二羟基-对薄荷-1(6)-en-2-酮</t>
  </si>
  <si>
    <t>HMDB0039052</t>
  </si>
  <si>
    <t>402593-42-4</t>
  </si>
  <si>
    <t>CC1=CCC(CC1=O)C(C)(O)CO</t>
  </si>
  <si>
    <t>AOKPDATZUBLDMG-UHFFFAOYSA-N</t>
  </si>
  <si>
    <t>C10H16O3</t>
  </si>
  <si>
    <t>FT1786NR</t>
  </si>
  <si>
    <t>Glycerophosphoglycerol</t>
  </si>
  <si>
    <t>HMDB0240316</t>
  </si>
  <si>
    <t>185615-51-4</t>
  </si>
  <si>
    <t>OC[C@H](O)COP(O)(=O)OC[C@H](O)CO</t>
  </si>
  <si>
    <t>LLCSXHMJULHSJN-OLQVQODUSA-N</t>
  </si>
  <si>
    <t>C6H15O8P</t>
  </si>
  <si>
    <t>FT2089PR</t>
  </si>
  <si>
    <t>N-Alpha-acetyllysine</t>
  </si>
  <si>
    <t>N-乙酰-L-赖氨酸</t>
  </si>
  <si>
    <t>HMDB0000446</t>
  </si>
  <si>
    <t>C12989</t>
  </si>
  <si>
    <t>1946-82-3</t>
  </si>
  <si>
    <t>CC(=O)NC(CCCCN)C(=O)O</t>
  </si>
  <si>
    <t>VEYYWZRYIYDQJM-UHFFFAOYSA-N</t>
  </si>
  <si>
    <t>148.9769, 153.0907, 153.1269, 170.5455, 171.0774, 171.0846, 171.1125, 171.1481, 171.6826, 172.1165</t>
  </si>
  <si>
    <t>FT1342NR</t>
  </si>
  <si>
    <t>Deoxyribose 5-phosphate</t>
  </si>
  <si>
    <t>2 -脱氧核糖-5-磷酸钠</t>
  </si>
  <si>
    <t>HMDB0001031</t>
  </si>
  <si>
    <t>C00673</t>
  </si>
  <si>
    <t>102916-66-5</t>
  </si>
  <si>
    <t>O[C@H]1C[C@H](O)[C@@H](COP(O)(O)=O)O1</t>
  </si>
  <si>
    <t>KKZFLSZAWCYPOC-VPENINKCSA-N</t>
  </si>
  <si>
    <t>C5H11O7P</t>
  </si>
  <si>
    <t>FT4281PR</t>
  </si>
  <si>
    <t>1-{2-[(3-Ethylphenyl)amino]-2-oxoethyl}-6-oxo-1,6-dihydropyridine-3-carboxylic acid</t>
  </si>
  <si>
    <t>1-{2-[(3-乙基苯基)氨基]-2-氧代乙基}-6-氧代-1,6-二氢吡啶-3-甲酸</t>
  </si>
  <si>
    <t>HMDB0243809</t>
  </si>
  <si>
    <t>CCC1=CC(NC(=O)CN2C=C(C=CC2=O)C(O)=O)=CC=C1</t>
  </si>
  <si>
    <t>DZJOJMJMCWMOFT-UHFFFAOYSA-N</t>
  </si>
  <si>
    <t>C16H16N2O4</t>
  </si>
  <si>
    <t>FT1510NR</t>
  </si>
  <si>
    <t>4-Oxododecanedioic acid</t>
  </si>
  <si>
    <t>4-氧代十二烷二酸</t>
  </si>
  <si>
    <t>C(CCCC(=O)CCC(=O)O)CCCC(=O)O</t>
  </si>
  <si>
    <t>HHXMOTDTSDYYEI-UHFFFAOYSA-N</t>
  </si>
  <si>
    <t>C12H20O5</t>
  </si>
  <si>
    <t>FT2123NR</t>
  </si>
  <si>
    <t>8-keto palmitic acid</t>
  </si>
  <si>
    <t>8-氧代十六酸</t>
  </si>
  <si>
    <t>HMDB0030972</t>
  </si>
  <si>
    <t>LMFA01060055</t>
  </si>
  <si>
    <t>2777-52-8</t>
  </si>
  <si>
    <t>C(CCC(=O)CCCCCCCC)CCCC(=O)O</t>
  </si>
  <si>
    <t>SEWAOKNHYLYQEL-UHFFFAOYSA-N</t>
  </si>
  <si>
    <t>C16H30O3</t>
  </si>
  <si>
    <t>FT0690NR</t>
  </si>
  <si>
    <t>Glycerol 3-phosphate</t>
  </si>
  <si>
    <t>3-磷酸​​甘油</t>
  </si>
  <si>
    <t>HMDB0000126</t>
  </si>
  <si>
    <t>C00093</t>
  </si>
  <si>
    <t>hsa00561,hsa00564,hsa02010,hsa05231</t>
  </si>
  <si>
    <t>Glycerolipid metabolism|Glycerophospholipid metabolism|ABC transporters|Choline metabolism in cancer</t>
  </si>
  <si>
    <t>57-03-4</t>
  </si>
  <si>
    <t>OC[C@@H](O)COP(O)(O)=O</t>
  </si>
  <si>
    <t>AWUCVROLDVIAJX-GSVOUGTGSA-N</t>
  </si>
  <si>
    <t>Glycerophosphates</t>
  </si>
  <si>
    <t>甘油磷酸酯</t>
  </si>
  <si>
    <t>C3H9O6P</t>
  </si>
  <si>
    <t>FT2894PR</t>
  </si>
  <si>
    <t>3-O-Methyl-a-methyldopa</t>
  </si>
  <si>
    <t>(S)-2-氨基-3-(4-羟基-3-甲氧苯基)丙酸</t>
  </si>
  <si>
    <t>HMDB0060747</t>
  </si>
  <si>
    <t>300-48-1</t>
  </si>
  <si>
    <t>COC1=C(O)C=CC(C[C@H](N)C(O)=O)=C1</t>
  </si>
  <si>
    <t>PFDUUKDQEHURQC-ZETCQYMHSA-N</t>
  </si>
  <si>
    <t>C10H13NO4</t>
  </si>
  <si>
    <t>FT3295NR</t>
  </si>
  <si>
    <t>Dodecenoylcarnitine</t>
  </si>
  <si>
    <t>十二烯酰肉碱</t>
  </si>
  <si>
    <t>HMDB0251567</t>
  </si>
  <si>
    <t>CCCCCCCCCC=CC(=O)C(O)(CC([O-])=O)C[N+](C)(C)C</t>
  </si>
  <si>
    <t>VFYGOZNDDVMNNT-UHFFFAOYSA-N</t>
  </si>
  <si>
    <t>193.1879, 205.3832, 205.4056, 268.8877, 277.3571, 302.6991, 348.2867, 376.2251, 376.3388, 377.2293</t>
  </si>
  <si>
    <t>FT0435NR</t>
  </si>
  <si>
    <t>3-carboxy-2,3-dihydroxypropanoate</t>
  </si>
  <si>
    <t>酒石酸</t>
  </si>
  <si>
    <t>HMDB0062642</t>
  </si>
  <si>
    <t>OC(C(O)C(O)=O)C(O)=O</t>
  </si>
  <si>
    <t>FEWJPZIEWOKRBE-UHFFFAOYSA-N</t>
  </si>
  <si>
    <t>C4H6O6</t>
  </si>
  <si>
    <t>FT0974NR</t>
  </si>
  <si>
    <t>Hydroxyphenyllactic acid</t>
  </si>
  <si>
    <t>羟苯基乳酸</t>
  </si>
  <si>
    <t>HMDB0000755</t>
  </si>
  <si>
    <t>C03672</t>
  </si>
  <si>
    <t>306-23-0</t>
  </si>
  <si>
    <t>OC(CC1=CC=C(O)C=C1)C(O)=O</t>
  </si>
  <si>
    <t>JVGVDSSUAVXRDY-UHFFFAOYSA-N</t>
  </si>
  <si>
    <t>C9H10O4</t>
  </si>
  <si>
    <t>FT2208PR</t>
  </si>
  <si>
    <t>cis-4-Hydroxycyclohexylacetic acid</t>
  </si>
  <si>
    <t>顺-4-羟基环己基乙酸</t>
  </si>
  <si>
    <t>HMDB0000451</t>
  </si>
  <si>
    <t>68592-22-3</t>
  </si>
  <si>
    <t>OC1CCC(CC(O)=O)CC1</t>
  </si>
  <si>
    <t>ALTAAUJNHYWOGS-UHFFFAOYSA-N</t>
  </si>
  <si>
    <t>C8H14O3</t>
  </si>
  <si>
    <t>FT5141NR</t>
  </si>
  <si>
    <t>31-hydroxy-32,35-anhydrobacteriohopanetetrol</t>
  </si>
  <si>
    <t>31-羟基-32,35-脱水细菌藿四醇</t>
  </si>
  <si>
    <t>LMPR04000027</t>
  </si>
  <si>
    <t>C1C[C@]2(C)C3[C@@](C)(CCC2C(C)(C)C1)[C@]1(C)CCC2C(C(CC(O)C4OC[C@H](O)[C@@H]4O)C)CC[C@]2(C)C1CC3</t>
  </si>
  <si>
    <t>DLBNHZPSBNAXRQ-PFIQLKTGSA-N</t>
  </si>
  <si>
    <t>Hopanoids</t>
  </si>
  <si>
    <t>霍帕尼类</t>
  </si>
  <si>
    <t>70.0941, 107.9362, 112.0135, 205.3886, 205.4088, 209.8558, 302.6992, 496.2899, 589.4464, 590.4484</t>
  </si>
  <si>
    <t>C35H60O4</t>
  </si>
  <si>
    <t>FT2992PR</t>
  </si>
  <si>
    <t>Alanylglutamic acid</t>
  </si>
  <si>
    <t>丙氨酸谷氨酸盐</t>
  </si>
  <si>
    <t>HMDB0028686</t>
  </si>
  <si>
    <t>13187-90-1</t>
  </si>
  <si>
    <t>C[C@H](N)C(=O)N[C@@H](CCC(O)=O)C(O)=O</t>
  </si>
  <si>
    <t>VYZAGTDAHUIRQA-WHFBIAKZSA-N</t>
  </si>
  <si>
    <t>C8H14N2O5</t>
  </si>
  <si>
    <t>FT1341PR</t>
  </si>
  <si>
    <t>2-Pyrimidine Acetic Acid</t>
  </si>
  <si>
    <t>2-嘧啶乙酸</t>
  </si>
  <si>
    <t>66621-73-6</t>
  </si>
  <si>
    <t>C1=CN=C(N=C1)CC(=O)O</t>
  </si>
  <si>
    <t>NRRCYZPJUABYHL-UHFFFAOYSA-N</t>
  </si>
  <si>
    <t>Diazines</t>
  </si>
  <si>
    <t>Pyrimidines and pyrimidine derivatives</t>
  </si>
  <si>
    <t>二嗪类</t>
  </si>
  <si>
    <t>嘧啶和嘧啶衍生物</t>
  </si>
  <si>
    <t>FT0724NR</t>
  </si>
  <si>
    <t>Allantoic acid</t>
  </si>
  <si>
    <t>尿囊酸</t>
  </si>
  <si>
    <t>HMDB0001209</t>
  </si>
  <si>
    <t>C00499</t>
  </si>
  <si>
    <t>99-16-1</t>
  </si>
  <si>
    <t>NC(=O)NC(NC(N)=O)C(O)=O</t>
  </si>
  <si>
    <t>NUCLJNSWZCHRKL-UHFFFAOYSA-N</t>
  </si>
  <si>
    <t>C4H8N4O4</t>
  </si>
  <si>
    <t>FT0652PR</t>
  </si>
  <si>
    <t>3-Hydroxy-4-aminopyridine</t>
  </si>
  <si>
    <t>4-氨基吡啶-3-醇</t>
  </si>
  <si>
    <t>HMDB0060741</t>
  </si>
  <si>
    <t>52334-53-9</t>
  </si>
  <si>
    <t>OC1=CNC=CC1=N</t>
  </si>
  <si>
    <t>DBDKLFOUWUHPDW-UHFFFAOYSA-N</t>
  </si>
  <si>
    <t>Aminopyridines and derivatives</t>
  </si>
  <si>
    <t>氨基吡啶及其衍生物</t>
  </si>
  <si>
    <t>C5H6N2O</t>
  </si>
  <si>
    <t>FT2261PR</t>
  </si>
  <si>
    <t>Fudosteine</t>
  </si>
  <si>
    <t>福多司坦</t>
  </si>
  <si>
    <t>HMDB0252511</t>
  </si>
  <si>
    <t>NC(CSCCCO)C(O)=O</t>
  </si>
  <si>
    <t>KINWYTAUPKOPCQ-UHFFFAOYSA-N</t>
  </si>
  <si>
    <t>C6H13NO3S</t>
  </si>
  <si>
    <t>FT0145NR</t>
  </si>
  <si>
    <t>Threonolactone</t>
  </si>
  <si>
    <t>苏内酯</t>
  </si>
  <si>
    <t>HMDB0000940</t>
  </si>
  <si>
    <t>21730-93-8</t>
  </si>
  <si>
    <t>O[C@H]1COC(=O)[C@@H]1O</t>
  </si>
  <si>
    <t>SGMJBNSHAZVGMC-STHAYSLISA-N</t>
  </si>
  <si>
    <t>C4H6O4</t>
  </si>
  <si>
    <t>FT0617NR</t>
  </si>
  <si>
    <t>omega-hydroxy enanthoic acid</t>
  </si>
  <si>
    <t>7-羟基庚酸</t>
  </si>
  <si>
    <t>LMFA01050019</t>
  </si>
  <si>
    <t>C(CCCCO)CC(=O)O</t>
  </si>
  <si>
    <t>PNAJBOZYCFSQDJ-UHFFFAOYSA-N</t>
  </si>
  <si>
    <t>C7H14O3</t>
  </si>
  <si>
    <t>FT1570NR</t>
  </si>
  <si>
    <t>serine glutamate</t>
  </si>
  <si>
    <t>丝氨酸谷氨酸</t>
  </si>
  <si>
    <t>HMDB0258248</t>
  </si>
  <si>
    <t>NC(CO)C(=O)OOC(=O)C(N)CCC(O)=O</t>
  </si>
  <si>
    <t>YFLQCMTWKKHGNE-UHFFFAOYSA-N</t>
  </si>
  <si>
    <t>C8H14N2O7</t>
  </si>
  <si>
    <t>FT1204PR</t>
  </si>
  <si>
    <t>Dihydrouracil</t>
  </si>
  <si>
    <t>双氢尿嘧啶</t>
  </si>
  <si>
    <t>HMDB0000076</t>
  </si>
  <si>
    <t>C00429</t>
  </si>
  <si>
    <t>hsa00240,hsa00410,hsa00770</t>
  </si>
  <si>
    <t>Pyrimidine metabolism|beta-Alanine metabolism|Pantothenate and CoA biosynthesis</t>
  </si>
  <si>
    <t>R-HSA-110329,R-HSA-1430728,R-HSA-15869,R-HSA-73621,R-HSA-73884,R-HSA-73894,R-HSA-73928,R-HSA-73929,R-HSA-8956319</t>
  </si>
  <si>
    <t>Cleavage of the damaged pyrimidine |Metabolism|Metabolism of nucleotides|Pyrimidine catabolism|Base Excision Repair|DNA Repair|Depyrimidination|Base-Excision Repair, AP Site Formation|Nucleotide catabolism</t>
  </si>
  <si>
    <t>504-07-4</t>
  </si>
  <si>
    <t>O=C1CCNC(=O)N1</t>
  </si>
  <si>
    <t>OIVLITBTBDPEFK-UHFFFAOYSA-N</t>
  </si>
  <si>
    <t>C4H6N2O2</t>
  </si>
  <si>
    <t>FT4660NR</t>
  </si>
  <si>
    <t>5,7-Dihydroxy-6-C-methylflavanone 7-xylosyl-(1-&gt;3)-xyloside</t>
  </si>
  <si>
    <t>5,7-二羟基-6-C-甲基黄烷酮 7-木糖基-(1-&gt;3)-木糖苷</t>
  </si>
  <si>
    <t>LMPK12140134</t>
  </si>
  <si>
    <t>C1(O[C@H]2[C@H](O)[C@@H](O[C@H]3[C@H](O)[C@@H](O)[C@H](O)CO3)[C@H](O)CO2)C(C)=C(O)C2C(=O)CC(C3C=CC=CC=3)OC=2C=1</t>
  </si>
  <si>
    <t>KOZCDRWEXYNWCQ-VDUMXKSLSA-N</t>
  </si>
  <si>
    <t>Flavonoid glycosides</t>
  </si>
  <si>
    <t>黄酮苷</t>
  </si>
  <si>
    <t>158.3228, 167.1081, 211.0966, 233.0791, 255.0873, 257.4172, 271.7233, 277.0688, 277.1029, 533.1637</t>
  </si>
  <si>
    <t>C26H30O12</t>
  </si>
  <si>
    <t>FT1529PR</t>
  </si>
  <si>
    <t>(2R,3R,4R)-2-Amino-4-hydroxy-3-methylpentanoic acid</t>
  </si>
  <si>
    <t>(2R,3R,4R)-2-氨基-4-羟基-3-甲基戊酸</t>
  </si>
  <si>
    <t>HMDB0029449</t>
  </si>
  <si>
    <t>LMFA01050440</t>
  </si>
  <si>
    <t>O=C(C(C(C)C(O)C)N)O</t>
  </si>
  <si>
    <t>OSCCDBFHNMXNME-UHFFFAOYSA-N</t>
  </si>
  <si>
    <t>C6H13NO3</t>
  </si>
  <si>
    <t>FT2591PR</t>
  </si>
  <si>
    <t>3,4-Methylenedioxyamphetamine</t>
  </si>
  <si>
    <t>替苯丙胺</t>
  </si>
  <si>
    <t>HMDB0041931</t>
  </si>
  <si>
    <t>C07577</t>
  </si>
  <si>
    <t>4764-17-4</t>
  </si>
  <si>
    <t>CC(N)CC1=CC2=C(OCO2)C=C1</t>
  </si>
  <si>
    <t>NGBBVGZWCFBOGO-UHFFFAOYSA-N</t>
  </si>
  <si>
    <t>Benzodioxoles</t>
  </si>
  <si>
    <t>苯并间二氧杂环戊烯类</t>
  </si>
  <si>
    <t>C10H13NO2</t>
  </si>
  <si>
    <t>FT3302NR</t>
  </si>
  <si>
    <t>22:4(4Z,7Z,10Z,13E)</t>
  </si>
  <si>
    <t>LMFA04000066</t>
  </si>
  <si>
    <t>C(CC/C=C\C/C=C\C/C=C\C/C=C/CCCCCCCC)(=O)O</t>
  </si>
  <si>
    <t>WSCPRLMTEVITJR-DEYSSILGSA-N</t>
  </si>
  <si>
    <t>205.3859, 205.4060, 222.0294, 250.2729, 272.7532, 282.2141, 302.6738, 350.5874, 377.3430, 394.2734</t>
  </si>
  <si>
    <t>FT2590PR</t>
  </si>
  <si>
    <t>1,2,3,4,5,6-Hexahydro-5-(1-hydroxyethylidene)-7H-cyclopenta[b]pyridin-7-one</t>
  </si>
  <si>
    <t>1,2,3,4,5,6-六氢-5-(1-羟基亚乙基)-7H-环戊[b]吡啶-7-酮</t>
  </si>
  <si>
    <t>HMDB0039655</t>
  </si>
  <si>
    <t>118355-70-7</t>
  </si>
  <si>
    <t>C\C(O)=C1\CC(=O)C2=C1CCCN2</t>
  </si>
  <si>
    <t>BJPWZQDKNZJLFC-SOFGYWHQSA-N</t>
  </si>
  <si>
    <t>Hydropyridines</t>
  </si>
  <si>
    <t>氢吡啶类</t>
  </si>
  <si>
    <t>FT3455PR</t>
  </si>
  <si>
    <t>Valylasparagine</t>
  </si>
  <si>
    <t>缬草冬酰胺</t>
  </si>
  <si>
    <t>HMDB0029122</t>
  </si>
  <si>
    <t>66170-00-1</t>
  </si>
  <si>
    <t>CC(C)[C@H](N)C(=O)N[C@@H](CC(N)=O)C(O)=O</t>
  </si>
  <si>
    <t>WITCOKQIPFWQQD-FSPLSTOPSA-N</t>
  </si>
  <si>
    <t>C9H17N3O4</t>
  </si>
  <si>
    <t>FT1796PR</t>
  </si>
  <si>
    <t>Allopurinol</t>
  </si>
  <si>
    <t>2-乙基-2-(萘-1-基)丁酸</t>
  </si>
  <si>
    <t>HMDB0014581</t>
  </si>
  <si>
    <t>C06816</t>
  </si>
  <si>
    <t>315-30-0</t>
  </si>
  <si>
    <t>O=C1N=CN=C2NNC=C12</t>
  </si>
  <si>
    <t>OFCNXPDARWKPPY-UHFFFAOYSA-N</t>
  </si>
  <si>
    <t>Pyrazolopyrimidines</t>
  </si>
  <si>
    <t>Pyrazolo[3,4-d]pyrimidines</t>
  </si>
  <si>
    <t>吡唑并嘧啶类</t>
  </si>
  <si>
    <t>吡唑并[3,4-d]嘧啶</t>
  </si>
  <si>
    <t>141.9586, 146.9612, 153.9555, 158.9611, 159.0278, 159.0439, 159.0789, 159.1128, 159.1577, 169.9773</t>
  </si>
  <si>
    <t>FT2967PR</t>
  </si>
  <si>
    <t>N-Acetyl-L-arginine</t>
  </si>
  <si>
    <t>N-alpha-乙酰-L-精氨酸</t>
  </si>
  <si>
    <t>155-84-0</t>
  </si>
  <si>
    <t>O=C(C)N[C@@H](C(O)=O)CCCNC(N)=N</t>
  </si>
  <si>
    <t>SNEIUMQYRCDYCH-ZCFIWIBFSA-N</t>
  </si>
  <si>
    <t>C8H16N4O3</t>
  </si>
  <si>
    <t>FT1854NR</t>
  </si>
  <si>
    <t>4-oxo-2E-hexadecenoic acid</t>
  </si>
  <si>
    <t>4-氧代-2E-十六烯酸</t>
  </si>
  <si>
    <t>LMFA01060230</t>
  </si>
  <si>
    <t>C(/C=C/C(=O)CCCCCCCCCCCC)(=O)O</t>
  </si>
  <si>
    <t>SWMQZEIJDYTILH-BUHFOSPRSA-N</t>
  </si>
  <si>
    <t>C16H28O3</t>
  </si>
  <si>
    <t>FT0190NR</t>
  </si>
  <si>
    <t>(R)-3-Hydroxybutanoic acid</t>
  </si>
  <si>
    <t>3-羟基丁酸</t>
  </si>
  <si>
    <t>HMDB0000011</t>
  </si>
  <si>
    <t>LMFA01050243</t>
  </si>
  <si>
    <t>C01089</t>
  </si>
  <si>
    <t>hsa00650,hsa04024</t>
  </si>
  <si>
    <t>Butanoate metabolism|cAMP signaling pathway</t>
  </si>
  <si>
    <t>R-HSA-1430728,R-HSA-556833,R-HSA-74182,R-HSA-77108,R-HSA-77111</t>
  </si>
  <si>
    <t>Metabolism|Metabolism of lipids|Ketone body metabolism|Utilization of Ketone Bodies|Synthesis of Ketone Bodies</t>
  </si>
  <si>
    <t>625-72-9</t>
  </si>
  <si>
    <t>C(C[C@H](O)C)(=O)O</t>
  </si>
  <si>
    <t>WHBMMWSBFZVSSR-GSVOUGTGSA-N</t>
  </si>
  <si>
    <t>C4H8O3</t>
  </si>
  <si>
    <t>FT2744PR</t>
  </si>
  <si>
    <t>Pro-Ala</t>
  </si>
  <si>
    <t>脯氨酰丙氨酸</t>
  </si>
  <si>
    <t>CC(C(=O)O)NC(=O)C1CCCN1</t>
  </si>
  <si>
    <t>FELJDCNGZFDUNR-WDSKDSINSA-N</t>
  </si>
  <si>
    <t>C8H14N2O3</t>
  </si>
  <si>
    <t>FT3219PR</t>
  </si>
  <si>
    <t>(2R)-2-Acetamido-6-hydroxy-2-(sulfanylmethyl)hex-3-enoic acid</t>
  </si>
  <si>
    <t>(2R)-2-乙酰氨基-6-羟基-2-(硫烷基甲基)己-3-烯酸</t>
  </si>
  <si>
    <t>HMDB0257715</t>
  </si>
  <si>
    <t>CC(=O)NC(CS)(C=CCCO)C(O)=O</t>
  </si>
  <si>
    <t>HICXXZOMOLMOII-UHFFFAOYSA-N</t>
  </si>
  <si>
    <t>C9H15NO4S</t>
  </si>
  <si>
    <t>FT2189NR</t>
  </si>
  <si>
    <t>Cyclandelate</t>
  </si>
  <si>
    <t>扁桃酸3,3,5-三甲基环己基酯</t>
  </si>
  <si>
    <t>HMDB0015586</t>
  </si>
  <si>
    <t>456-59-7</t>
  </si>
  <si>
    <t>CC1CC(CC(C)(C)C1)OC(=O)C(O)C1=CC=CC=C1</t>
  </si>
  <si>
    <t>WZHCOOQXZCIUNC-UHFFFAOYSA-N</t>
  </si>
  <si>
    <t>105.5079, 106.1088, 106.1158, 134.1218, 206.8966, 231.1749, 275.1648, 276.1682, 290.8711, 291.9312</t>
  </si>
  <si>
    <t>C17H24O3</t>
  </si>
  <si>
    <t>FT2478PR</t>
  </si>
  <si>
    <t>Juglone</t>
  </si>
  <si>
    <t>5-羟基对萘醌</t>
  </si>
  <si>
    <t>HMDB0030773</t>
  </si>
  <si>
    <t>C03840</t>
  </si>
  <si>
    <t>481-39-0</t>
  </si>
  <si>
    <t>OC1=CC=CC2=C1C(=O)C=CC2=O</t>
  </si>
  <si>
    <t>KQPYUDDGWXQXHS-UHFFFAOYSA-N</t>
  </si>
  <si>
    <t>Naphthoquinones</t>
  </si>
  <si>
    <t>萘醌类</t>
  </si>
  <si>
    <t>C10H6O3</t>
  </si>
  <si>
    <t>FT1526PR</t>
  </si>
  <si>
    <t>L-4-Hydroxyglutamate semialdehyde</t>
  </si>
  <si>
    <t>L-4-羟基谷氨酸半醛</t>
  </si>
  <si>
    <t>HMDB0006556</t>
  </si>
  <si>
    <t>C05938</t>
  </si>
  <si>
    <t>N[C@@H](C[C@@H](O)C=O)C(O)=O</t>
  </si>
  <si>
    <t>XCXUZPXOFFRGGP-DMTCNVIQSA-N</t>
  </si>
  <si>
    <t>FT2853PR</t>
  </si>
  <si>
    <t>L-Glutamic acid 5-phosphate</t>
  </si>
  <si>
    <t>L-谷氨酸5-磷酸</t>
  </si>
  <si>
    <t>HMDB0001228</t>
  </si>
  <si>
    <t>C03287</t>
  </si>
  <si>
    <t>13254-53-0</t>
  </si>
  <si>
    <t>N[C@@H](CCC(=O)OP(O)(O)=O)C(O)=O</t>
  </si>
  <si>
    <t>PJRXVIJAERNUIP-VKHMYHEASA-N</t>
  </si>
  <si>
    <t>C5H10NO7P</t>
  </si>
  <si>
    <t>FT0578NR</t>
  </si>
  <si>
    <t>Quinaldine</t>
  </si>
  <si>
    <t>2-甲基喹啉</t>
  </si>
  <si>
    <t>HMDB0042004</t>
  </si>
  <si>
    <t>91-63-4</t>
  </si>
  <si>
    <t>CC1=NC2=CC=CC=C2C=C1</t>
  </si>
  <si>
    <t>SMUQFGGVLNAIOZ-UHFFFAOYSA-N</t>
  </si>
  <si>
    <t>75.0086, 79.1253, 82.2502, 107.2141, 131.1809, 142.0524, 142.0658, 142.0758, 142.8996, 143.0699</t>
  </si>
  <si>
    <t>C10H9N</t>
  </si>
  <si>
    <t>FT1454NR</t>
  </si>
  <si>
    <t>(5R)-5-(1,2-Dihydroxyethyl)-3-hydroxyoxolane-2,4-dione</t>
  </si>
  <si>
    <t>(5R)-5-(1,2-二羟乙基)-3-羟基四氢呋喃-2,4-二酮</t>
  </si>
  <si>
    <t>HMDB0260162</t>
  </si>
  <si>
    <t>OCC(O)C1OC(=O)C(O)C1=O</t>
  </si>
  <si>
    <t>PJBQWWHYTVYMLO-UHFFFAOYSA-N</t>
  </si>
  <si>
    <t>C6H8O6</t>
  </si>
  <si>
    <t>FT2488PR</t>
  </si>
  <si>
    <t>Mucic acid</t>
  </si>
  <si>
    <t>半乳糖二酸</t>
  </si>
  <si>
    <t>HMDB0000639</t>
  </si>
  <si>
    <t>LMFA01170107</t>
  </si>
  <si>
    <t>C00879</t>
  </si>
  <si>
    <t>hsa00053</t>
  </si>
  <si>
    <t>Ascorbate and aldarate metabolism</t>
  </si>
  <si>
    <t>526-99-8</t>
  </si>
  <si>
    <t>C(=O)(O)[C@H](O)[C@@H](O)[C@@H](O)[C@H](O)C(=O)O</t>
  </si>
  <si>
    <t>DSLZVSRJTYRBFB-DUHBMQHGSA-N</t>
  </si>
  <si>
    <t>C6H10O8</t>
  </si>
  <si>
    <t>FT2186PR</t>
  </si>
  <si>
    <t>Ethyl lysine</t>
  </si>
  <si>
    <t>乙基赖氨酸</t>
  </si>
  <si>
    <t>HMDB0252051</t>
  </si>
  <si>
    <t>CCNC(CCCCN)C(O)=O</t>
  </si>
  <si>
    <t>PVPFJQSVZPTWMY-UHFFFAOYSA-N</t>
  </si>
  <si>
    <t>C8H18N2O2</t>
  </si>
  <si>
    <t>FT0184NR</t>
  </si>
  <si>
    <t>Glyoxal</t>
  </si>
  <si>
    <t>乙二醛</t>
  </si>
  <si>
    <t>HMDB0303107</t>
  </si>
  <si>
    <t>C14448</t>
  </si>
  <si>
    <t>107-22-2</t>
  </si>
  <si>
    <t>O=CC=O</t>
  </si>
  <si>
    <t>LEQAOMBKQFMDFZ-UHFFFAOYSA-N</t>
  </si>
  <si>
    <t>C2H2O2</t>
  </si>
  <si>
    <t>FT1792NR</t>
  </si>
  <si>
    <t>9-acetyl pelargonic acid</t>
  </si>
  <si>
    <t>10-氧代十一烷酸</t>
  </si>
  <si>
    <t>LMFA01060038</t>
  </si>
  <si>
    <t>C(CCCCC(=O)C)CCCC(=O)O</t>
  </si>
  <si>
    <t>UKHMENMPHVRROO-UHFFFAOYSA-N</t>
  </si>
  <si>
    <t>C11H20O3</t>
  </si>
  <si>
    <t>FT1090NR</t>
  </si>
  <si>
    <t>4-O-Methylglucuronic acid</t>
  </si>
  <si>
    <t>4-O-甲基葡萄糖醛酸</t>
  </si>
  <si>
    <t>HMDB0302222</t>
  </si>
  <si>
    <t>[H][C@](O)(C=O)[C@@]([H])(O)[C@]([H])(OC)[C@]([H])(O)C(O)=O</t>
  </si>
  <si>
    <t>QGGOCWIJGWDKHC-FSIIMWSLSA-N</t>
  </si>
  <si>
    <t>C7H12O7</t>
  </si>
  <si>
    <t>FT4898NR</t>
  </si>
  <si>
    <t>Cefozopran</t>
  </si>
  <si>
    <t>头孢唑兰</t>
  </si>
  <si>
    <t>HMDB0249772</t>
  </si>
  <si>
    <t>CON=C(C(=O)NC1C2SCC(C[N+]3=C4C=CC=NN4C=C3)=C(N2C1=O)C([O-])=O)C1=NSC(N)=N1</t>
  </si>
  <si>
    <t>QDUIJCOKQCCXQY-UHFFFAOYSA-N</t>
  </si>
  <si>
    <t>Lactams</t>
  </si>
  <si>
    <t>Beta lactams</t>
  </si>
  <si>
    <t>内酰胺类</t>
  </si>
  <si>
    <t xml:space="preserve"> β内酰胺类</t>
  </si>
  <si>
    <t>252.5016, 266.0194, 271.0700, 293.0525, 382.5664, 424.1036, 446.0843, 492.0938, 514.0755, 560.0743</t>
  </si>
  <si>
    <t>C19H17N9O5S2</t>
  </si>
  <si>
    <t>FT3965PR</t>
  </si>
  <si>
    <t>9-elaidic acid</t>
  </si>
  <si>
    <t>反油酸</t>
  </si>
  <si>
    <t>HMDB0000573</t>
  </si>
  <si>
    <t>LMFA01030073</t>
  </si>
  <si>
    <t>C01712</t>
  </si>
  <si>
    <t>112-79-8</t>
  </si>
  <si>
    <t>C(/CCCCCCCC)=C\CCCCCCCC(=O)O</t>
  </si>
  <si>
    <t>ZQPPMHVWECSIRJ-MDZDMXLPSA-N</t>
  </si>
  <si>
    <t>154.6561, 205.4017, 220.4687, 222.6994, 225.0548, 241.8837, 261.0476, 265.2175, 266.4502, 283.2615</t>
  </si>
  <si>
    <t>FT0907PR</t>
  </si>
  <si>
    <t>D-Threitol</t>
  </si>
  <si>
    <t>苏糖醇</t>
  </si>
  <si>
    <t>HMDB0004136</t>
  </si>
  <si>
    <t>C16884</t>
  </si>
  <si>
    <t>2418-52-2</t>
  </si>
  <si>
    <t>OC[C@@H](O)[C@H](O)CO</t>
  </si>
  <si>
    <t>UNXHWFMMPAWVPI-QWWZWVQMSA-N</t>
  </si>
  <si>
    <t>C4H10O4</t>
  </si>
  <si>
    <t>FT2476PR</t>
  </si>
  <si>
    <t>Norepinephrine</t>
  </si>
  <si>
    <t>去甲肾上腺素</t>
  </si>
  <si>
    <t>HMDB0000216</t>
  </si>
  <si>
    <t>C00547</t>
  </si>
  <si>
    <t>hsa00350,hsa04024,hsa04261,hsa04270,hsa04540,hsa04714,hsa04742,hsa04923,hsa04924,hsa04970,hsa05207</t>
  </si>
  <si>
    <t>Tyrosine metabolism|cAMP signaling pathway|Adrenergic signaling in cardiomyocytes|Vascular smooth muscle contraction|Gap junction|Thermogenesis|Taste transduction|Regulation of lipolysis in adipocytes|Renin secretion|Salivary secretion|Chemical carcinogenesis - receptor activation</t>
  </si>
  <si>
    <t>51-41-2</t>
  </si>
  <si>
    <t>NC[C@H](O)C1=CC(O)=C(O)C=C1</t>
  </si>
  <si>
    <t>SFLSHLFXELFNJZ-QMMMGPOBSA-N</t>
  </si>
  <si>
    <t>180.1063, 181.0348, 183.5066, 191.9900, 192.0841, 192.1034, 192.1387, 199.0462, 203.1429, 204.0511</t>
  </si>
  <si>
    <t>C8H11NO3</t>
  </si>
  <si>
    <t>FT0707PR</t>
  </si>
  <si>
    <t>Uracil</t>
  </si>
  <si>
    <t>尿嘧啶</t>
  </si>
  <si>
    <t>HMDB0000300</t>
  </si>
  <si>
    <t>C00106</t>
  </si>
  <si>
    <t>R-HSA-110329,R-HSA-1430728,R-HSA-15869,R-HSA-382551,R-HSA-425397,R-HSA-425407,R-HSA-73614,R-HSA-73621,R-HSA-73884,R-HSA-73894,R-HSA-73928,R-HSA-73929,R-HSA-83936,R-HSA-8956319,R-HSA-8956321</t>
  </si>
  <si>
    <t>Cleavage of the damaged pyrimidine |Metabolism|Metabolism of nucleotides|Transport of small molecules|Transport of vitamins, nucleosides, and related molecules|SLC-mediated transmembrane transport|Pyrimidine salvage|Pyrimidine catabolism|Base Excision Repair|DNA Repair|Depyrimidination|Base-Excision Repair, AP Site Formation|Transport of nucleosides and free purine and pyrimidine bases across the plasma membrane|Nucleotide catabolism|Nucleotide salvage</t>
  </si>
  <si>
    <t>66-22-8</t>
  </si>
  <si>
    <t>O=C1NC=CC(=O)N1</t>
  </si>
  <si>
    <t>ISAKRJDGNUQOIC-UHFFFAOYSA-N</t>
  </si>
  <si>
    <t>C4H4N2O2</t>
  </si>
  <si>
    <t>FT1316NR</t>
  </si>
  <si>
    <t>L-3-Amino-2-(oxalylamino)propanoic acid</t>
  </si>
  <si>
    <t>L-3-氨基-2-(草酰氨基)丙酸</t>
  </si>
  <si>
    <t>HMDB0038668</t>
  </si>
  <si>
    <t>61277-72-3</t>
  </si>
  <si>
    <t>NCC(NC(=O)C(O)=O)C(O)=O</t>
  </si>
  <si>
    <t>FNXJKVNOUQAQMB-UHFFFAOYSA-N</t>
  </si>
  <si>
    <t>144.0297, 166.9507, 167.1448, 183.0194, 205.3969, 210.9411, 211.0141, 211.0363, 211.0696, 211.1345</t>
  </si>
  <si>
    <t>C5H8N2O5</t>
  </si>
  <si>
    <t>FT2506PR</t>
  </si>
  <si>
    <t>10-hydroxy-2E,8Z-Decadiene-4,6-diynoic acid</t>
  </si>
  <si>
    <t>10-羟基-2E,8Z-癸二烯-4,6-二炔酸</t>
  </si>
  <si>
    <t>HMDB0031054</t>
  </si>
  <si>
    <t>LMFA01030708</t>
  </si>
  <si>
    <t>C(O)(=O)/C=C/C#CC#C/C=C\CO</t>
  </si>
  <si>
    <t>AJSNUBLNFVLJEB-CGXWXWIYSA-N</t>
  </si>
  <si>
    <t>C10H8O3</t>
  </si>
  <si>
    <t>FT4227PR</t>
  </si>
  <si>
    <t>Ipriflavone</t>
  </si>
  <si>
    <t>依普黄酮</t>
  </si>
  <si>
    <t>HMDB0032987</t>
  </si>
  <si>
    <t>D01338</t>
  </si>
  <si>
    <t>35212-22-7</t>
  </si>
  <si>
    <t>CC(C)OC1=CC2=C(C=C1)C(=O)C(=CO2)C1=CC=CC=C1</t>
  </si>
  <si>
    <t>SFBODOKJTYAUCM-UHFFFAOYSA-N</t>
  </si>
  <si>
    <t>C18H16O3</t>
  </si>
  <si>
    <t>FT1765PR</t>
  </si>
  <si>
    <t>N,N-diethyl-3-hydroxybut-2-enamide</t>
  </si>
  <si>
    <t>N,N-二乙基-3-羟基丁-2-烯酰胺</t>
  </si>
  <si>
    <t>LMFA08020190</t>
  </si>
  <si>
    <t>OC(=C([H])C(N(CC)CC)=O)C</t>
  </si>
  <si>
    <t>HFULVRQKWHMTMH-UHFFFAOYSA-N</t>
  </si>
  <si>
    <t>C8H15NO2</t>
  </si>
  <si>
    <t>FT2085PR</t>
  </si>
  <si>
    <t>(-)-3-Cyanomethyl-3-hydroxy-1H-indol-2(3H)-one</t>
  </si>
  <si>
    <t>(-)-3-氰甲基-3-羟基-1H-吲哚-2(3H)-酮</t>
  </si>
  <si>
    <t>HMDB0038633</t>
  </si>
  <si>
    <t>137761-24-1</t>
  </si>
  <si>
    <t>OC1(CC#N)C(=O)NC2=C1C=CC=C2</t>
  </si>
  <si>
    <t>IXOBWMNTICTXOJ-UHFFFAOYSA-N</t>
  </si>
  <si>
    <t>C10H8N2O2</t>
  </si>
  <si>
    <t>FT0203NR</t>
  </si>
  <si>
    <t>2-(Hydroxymethoxy)acetic acid</t>
  </si>
  <si>
    <t>2-（羟基甲氧基）乙酸</t>
  </si>
  <si>
    <t>HMDB0257950</t>
  </si>
  <si>
    <t>OCOCC(O)=O</t>
  </si>
  <si>
    <t>ZUCOIFUQBLMWEN-UHFFFAOYSA-N</t>
  </si>
  <si>
    <t>C3H6O4</t>
  </si>
  <si>
    <t>FT2949PR</t>
  </si>
  <si>
    <t>12-amino-dodecanoic acid</t>
  </si>
  <si>
    <t>12-氨基十二酸</t>
  </si>
  <si>
    <t>LMFA01100005</t>
  </si>
  <si>
    <t>C(CCCCCCCCCCCN)(=O)O</t>
  </si>
  <si>
    <t>PBLZLIFKVPJDCO-UHFFFAOYSA-N</t>
  </si>
  <si>
    <t>C12H25NO2</t>
  </si>
  <si>
    <t>FT3254NR</t>
  </si>
  <si>
    <t>Zooxanthellactone</t>
  </si>
  <si>
    <t>动物黄内酯</t>
  </si>
  <si>
    <t>LMFA01031131</t>
  </si>
  <si>
    <t>C1[C@@H](/C=C/C=C\C/C=C\C/C=C\C/C=C\C/C=C\CC)OC(=O)C1</t>
  </si>
  <si>
    <t>WCLSJZFZJIIXNP-HBUOOPIGSA-N</t>
  </si>
  <si>
    <t>72.1973, 113.8808, 205.4008, 259.2417, 259.4586, 283.3639, 293.2375, 303.2323, 304.2372, 371.2199</t>
  </si>
  <si>
    <t>C22H30O2</t>
  </si>
  <si>
    <t>FT4246PR</t>
  </si>
  <si>
    <t>indoprofen</t>
  </si>
  <si>
    <t>茚酮苯丙酸</t>
  </si>
  <si>
    <t>HMDB0253478</t>
  </si>
  <si>
    <t>31842-01-0</t>
  </si>
  <si>
    <t>CC(C(O)=O)C1=CC=C(C=C1)N1CC2=CC=CC=C2C1=O</t>
  </si>
  <si>
    <t>RJMIEHBSYVWVIN-UHFFFAOYSA-N</t>
  </si>
  <si>
    <t>C17H15NO3</t>
  </si>
  <si>
    <t>FT1248PR</t>
  </si>
  <si>
    <t>Thioproline</t>
  </si>
  <si>
    <t>L-硫代脯氨酸</t>
  </si>
  <si>
    <t>HMDB0062164</t>
  </si>
  <si>
    <t>34592-47-7</t>
  </si>
  <si>
    <t>OC(=O)[C@@H]1CSCN1</t>
  </si>
  <si>
    <t>DZLNHFMRPBPULJ-VKHMYHEASA-N</t>
  </si>
  <si>
    <t>C4H7NO2S</t>
  </si>
  <si>
    <t>FT4617PR</t>
  </si>
  <si>
    <t>Iprofenin</t>
  </si>
  <si>
    <t>异洛芬宁</t>
  </si>
  <si>
    <t>HMDB0253569</t>
  </si>
  <si>
    <t>CC(C)C1=CC=C(NC(=O)CN(CC(O)=O)CC(O)=O)C=C1</t>
  </si>
  <si>
    <t>FPTRWYHXARAFPO-UHFFFAOYSA-N</t>
  </si>
  <si>
    <t>C15H20N2O5</t>
  </si>
  <si>
    <t>FT3541PR</t>
  </si>
  <si>
    <t>1-(beta-D-Ribofuranosyl)-1,4-dihydronicotinamide</t>
  </si>
  <si>
    <t>1-(β-D-核呋喃糖基)-1,4-二氢烟酰胺</t>
  </si>
  <si>
    <t>HMDB0011648</t>
  </si>
  <si>
    <t>C15497</t>
  </si>
  <si>
    <t>R-HSA-1430728,R-HSA-211859,R-HSA-211945</t>
  </si>
  <si>
    <t>Metabolism|Biological oxidations|Phase I - Functionalization of compounds</t>
  </si>
  <si>
    <t>NC(=O)C1=CN(C=CC1)[C@@H]1O[C@H](CO)[C@@H](O)[C@H]1O</t>
  </si>
  <si>
    <t>MAKBMGXNXXXBFE-TURQNECASA-N</t>
  </si>
  <si>
    <t>C11H16N2O5</t>
  </si>
  <si>
    <t>FT2736PR</t>
  </si>
  <si>
    <t>Indole-3-butyric acid</t>
  </si>
  <si>
    <t>3-吲哚丁酸</t>
  </si>
  <si>
    <t>HMDB0002096</t>
  </si>
  <si>
    <t>C11284</t>
  </si>
  <si>
    <t>133-32-4</t>
  </si>
  <si>
    <t>OC(=O)CCCC1=CNC2=C1C=CC=C2</t>
  </si>
  <si>
    <t>JTEDVYBZBROSJT-UHFFFAOYSA-N</t>
  </si>
  <si>
    <t>C12H13NO2</t>
  </si>
  <si>
    <t>FT2036NR</t>
  </si>
  <si>
    <t>2-(2-Phenylacetoxy)propionylglycine</t>
  </si>
  <si>
    <t>2-(2-苯乙酰氧基)丙酰甘氨酸</t>
  </si>
  <si>
    <t>HMDB0059732</t>
  </si>
  <si>
    <t>CCC(=O)NC(OC(=O)CC1=CC=CC=C1)C(O)=O</t>
  </si>
  <si>
    <t>CFIIOIQADIQNGQ-UHFFFAOYSA-N</t>
  </si>
  <si>
    <t>C13H15NO5</t>
  </si>
  <si>
    <t>FT2132NR</t>
  </si>
  <si>
    <t>4-hydroxy ketorolac</t>
  </si>
  <si>
    <t>酮咯酸4-羟基代谢物</t>
  </si>
  <si>
    <t>HMDB0060647</t>
  </si>
  <si>
    <t>111930-01-9</t>
  </si>
  <si>
    <t>OC(=O)C1CCN2C1=CC=C2C(=O)C1=CC=C(O)C=C1</t>
  </si>
  <si>
    <t>PIQMOWBWPFGZMW-UHFFFAOYSA-N</t>
  </si>
  <si>
    <t>75.97054, 76.81843, 90.59753, 100.9677, 108.20055, 140.52745, 202.05038, 202.09064, 224.03192, 270.07602</t>
  </si>
  <si>
    <t>C15H13NO4</t>
  </si>
  <si>
    <t>FT7624PR</t>
  </si>
  <si>
    <t>PC(22:1/14:1)</t>
  </si>
  <si>
    <t>磷脂酰胆碱(22:1/14:1)</t>
  </si>
  <si>
    <t>HMDB0008559</t>
  </si>
  <si>
    <t>LMGP01012219</t>
  </si>
  <si>
    <t>[C@](COP(=O)([O-])OCC[N+](C)(C)C)([H])(OC(CCCCCCC/C=C\CCCC)=O)COC(CCCCCCCCCCC/C=C\CCCCCCCC)=O</t>
  </si>
  <si>
    <t>CYQUGAJGPGKDFF-MHJIJCEHSA-N</t>
  </si>
  <si>
    <t>184.1120, 184.1230, 184.7051, 185.0762, 186.0781, 240.8383, 249.3419, 519.3445, 786.5991, 787.5997</t>
  </si>
  <si>
    <t>C44H84NO8P</t>
  </si>
  <si>
    <t>FT2078NR</t>
  </si>
  <si>
    <t>2-succinylbenzoate</t>
  </si>
  <si>
    <t>2-丁二酰基苯甲酸酯</t>
  </si>
  <si>
    <t>HMDB0304087</t>
  </si>
  <si>
    <t>C02730</t>
  </si>
  <si>
    <t>hsa00130</t>
  </si>
  <si>
    <t>Ubiquinone and other terpenoid-quinone biosynthesis</t>
  </si>
  <si>
    <t>OC(=O)CCC(=O)C1=C(C=CC=C1)C(O)=O</t>
  </si>
  <si>
    <t>YIVWQNVQRXFZJB-UHFFFAOYSA-N</t>
  </si>
  <si>
    <t>C11H10O5</t>
  </si>
  <si>
    <t>FT0927NR</t>
  </si>
  <si>
    <t>Gly-Thr</t>
  </si>
  <si>
    <t>甘氨酰-苏氨酸</t>
  </si>
  <si>
    <t>CC(C(C(=O)O)NC(=O)CN)O</t>
  </si>
  <si>
    <t>OLIFSFOFKGKIRH-UCORVYFPSA-N</t>
  </si>
  <si>
    <t>FT2125PR</t>
  </si>
  <si>
    <t>Geraniol</t>
  </si>
  <si>
    <t>香叶醇</t>
  </si>
  <si>
    <t>HMDB0035155</t>
  </si>
  <si>
    <t>LMPR0102010016</t>
  </si>
  <si>
    <t>C01500</t>
  </si>
  <si>
    <t>R-HSA-381753,R-HSA-9709957</t>
  </si>
  <si>
    <t>Olfactory Signaling Pathway|Sensory Perception</t>
  </si>
  <si>
    <t>106-24-1</t>
  </si>
  <si>
    <t>OC/C=C(\C)/CC/C=C(\C)/C</t>
  </si>
  <si>
    <t>GLZPCOQZEFWAFX-JXMROGBWSA-N</t>
  </si>
  <si>
    <t>C10H18O</t>
  </si>
  <si>
    <t>FT1009NR</t>
  </si>
  <si>
    <t>Benzoyl chloride</t>
  </si>
  <si>
    <t>苯甲酰氯</t>
  </si>
  <si>
    <t>HMDB0249038</t>
  </si>
  <si>
    <t>C19168</t>
  </si>
  <si>
    <t>98-88-4</t>
  </si>
  <si>
    <t>ClC(=O)C1=CC=CC=C1</t>
  </si>
  <si>
    <t>PASDCCFISLVPSO-UHFFFAOYSA-N</t>
  </si>
  <si>
    <t>123.0811, 125.0970, 126.9953, 127.9986, 141.0111, 141.0917, 185.0004, 185.0816, 185.1178, 186.1130</t>
  </si>
  <si>
    <t>C7H5ClO</t>
  </si>
  <si>
    <t>FT4399PR</t>
  </si>
  <si>
    <t>1-Deoxy-1-(N6-lysino)-D-fructose</t>
  </si>
  <si>
    <t>1-脱氧-1-(N6-赖氨酸)-D-果糖</t>
  </si>
  <si>
    <t>HMDB0062186</t>
  </si>
  <si>
    <t>78525-25-4</t>
  </si>
  <si>
    <t>N[C@@H](CCCCNC[C@@]1(O)O[C@H](CO)[C@@H](O)[C@@H]1O)C(O)=O</t>
  </si>
  <si>
    <t>ZAWLGBRDVQURAK-TYCYOEEFSA-N</t>
  </si>
  <si>
    <t>C12H24N2O7</t>
  </si>
  <si>
    <t>FT0373NR</t>
  </si>
  <si>
    <t>Cyclohexaneacetic acid</t>
  </si>
  <si>
    <t>环己乙酸</t>
  </si>
  <si>
    <t>HMDB0031403</t>
  </si>
  <si>
    <t>5292-21-7</t>
  </si>
  <si>
    <t>OC(=O)CC1CCCCC1</t>
  </si>
  <si>
    <t>LJOODBDWMQKMFB-UHFFFAOYSA-N</t>
  </si>
  <si>
    <t>C8H14O2</t>
  </si>
  <si>
    <t>FT1852NR</t>
  </si>
  <si>
    <t>3-Benzyl-4-heptanone</t>
  </si>
  <si>
    <t>3-苄基-4-庚酮</t>
  </si>
  <si>
    <t>HMDB0041482</t>
  </si>
  <si>
    <t>7492-37-7</t>
  </si>
  <si>
    <t>CCCC(=O)C(CC)CC1=CC=CC=C1</t>
  </si>
  <si>
    <t>CGTCWTIGDNJZOX-UHFFFAOYSA-N</t>
  </si>
  <si>
    <t>C14H20O</t>
  </si>
  <si>
    <t>FT2281PR</t>
  </si>
  <si>
    <t>Pterin</t>
  </si>
  <si>
    <t>2-氨基-4-羟基蝶啶</t>
  </si>
  <si>
    <t>HMDB0000802</t>
  </si>
  <si>
    <t>C00715</t>
  </si>
  <si>
    <t>2236-60-4</t>
  </si>
  <si>
    <t>NC1=NC2=NC=CN=C2C(=O)N1</t>
  </si>
  <si>
    <t>HNXQXTQTPAJEJL-UHFFFAOYSA-N</t>
  </si>
  <si>
    <t>Pterins and derivatives</t>
  </si>
  <si>
    <t>蝶呤及其衍生物</t>
  </si>
  <si>
    <t>133.3318, 180.8922, 181.0469, 181.0671, 181.0839, 181.0988, 181.1228, 189.8460, 192.3005, 199.8929</t>
  </si>
  <si>
    <t>C6H5N5O</t>
  </si>
  <si>
    <t>FT2775NR</t>
  </si>
  <si>
    <t>HHPAA glucuronide</t>
  </si>
  <si>
    <t>HHPAA葡糖苷酸</t>
  </si>
  <si>
    <t>HMDB0240379</t>
  </si>
  <si>
    <t>OCC(=O)NC1=CC=CC=C1O[C@@H]1O[C@@H]([C@@H](O)[C@H](O)[C@H]1O)C(O)=O</t>
  </si>
  <si>
    <t>FGIQLOOXJCVVDO-BYNIDDHOSA-N</t>
  </si>
  <si>
    <t>C14H17NO9</t>
  </si>
  <si>
    <t>FT3453PR</t>
  </si>
  <si>
    <t>Threonylglutamic acid</t>
  </si>
  <si>
    <t>苏氨酰谷氨酸</t>
  </si>
  <si>
    <t>HMDB0029060</t>
  </si>
  <si>
    <t>54532-73-9</t>
  </si>
  <si>
    <t>C[C@@H](O)[C@H](N)C(=O)N[C@@H](CCC(O)=O)C(O)=O</t>
  </si>
  <si>
    <t>BECPPKYKPSRKCP-ZDLURKLDSA-N</t>
  </si>
  <si>
    <t>FT4456PR</t>
  </si>
  <si>
    <t>16alpha-hydroxyprogesterone</t>
  </si>
  <si>
    <t>4-孕烯-16Α-醇-3,20-二酮</t>
  </si>
  <si>
    <t>LMST02030182</t>
  </si>
  <si>
    <t>C03748</t>
  </si>
  <si>
    <t>C1CC2[C@@](C)([C@@]3([H])CC[C@@]4([C@H]([C@H](O)C[C@@]4([H])[C@]13[H])C(=O)C)C)CCC(=O)C=2</t>
  </si>
  <si>
    <t>LOVNYFVWYTXDRE-RMWFXKKMSA-N</t>
  </si>
  <si>
    <t>C21H30O3</t>
  </si>
  <si>
    <t>FT1574NR</t>
  </si>
  <si>
    <t>Dopamine 3-O-sulfate</t>
  </si>
  <si>
    <t>多巴胺3-O-硫酸盐</t>
  </si>
  <si>
    <t>HMDB0006275</t>
  </si>
  <si>
    <t>C13690</t>
  </si>
  <si>
    <t>51317-41-0</t>
  </si>
  <si>
    <t>NCCC1=CC(OS(O)(=O)=O)=C(O)C=C1</t>
  </si>
  <si>
    <t>NZKRYJGNYPYXJZ-UHFFFAOYSA-N</t>
  </si>
  <si>
    <t>C8H11NO5S</t>
  </si>
  <si>
    <t>FT1100NR</t>
  </si>
  <si>
    <t>2-Keto-glutaramic acid</t>
  </si>
  <si>
    <t>5-氨基-2,5-二氧代戊酸</t>
  </si>
  <si>
    <t>HMDB0001552</t>
  </si>
  <si>
    <t>C00940</t>
  </si>
  <si>
    <t>hsa00250</t>
  </si>
  <si>
    <t>Alanine, aspartate and glutamate metabolism</t>
  </si>
  <si>
    <t>R-HSA-1430728,R-HSA-71291,R-HSA-8964539</t>
  </si>
  <si>
    <t>Metabolism|Metabolism of amino acids and derivatives|Glutamate and glutamine metabolism</t>
  </si>
  <si>
    <t>18465-19-5</t>
  </si>
  <si>
    <t>NC(=O)CCC(=O)C(O)=O</t>
  </si>
  <si>
    <t>COJBGNAUUSNXHX-UHFFFAOYSA-N</t>
  </si>
  <si>
    <t>C5H7NO4</t>
  </si>
  <si>
    <t>FT1650NR</t>
  </si>
  <si>
    <t>coumaryl acetate</t>
  </si>
  <si>
    <t>乙酸香豆酯</t>
  </si>
  <si>
    <t>HMDB0304297</t>
  </si>
  <si>
    <t>CC(=O)OCC=CC1=CC=C(O)C=C1</t>
  </si>
  <si>
    <t>UUEPXFWSBUIUAZ-UHFFFAOYSA-N</t>
  </si>
  <si>
    <t>C11H12O3</t>
  </si>
  <si>
    <t>FT3356PR</t>
  </si>
  <si>
    <t>3'-Hydroxyamobarbital</t>
  </si>
  <si>
    <t>5-乙基-5-（3-羟基-3-甲基丁基）巴比妥酸</t>
  </si>
  <si>
    <t>HMDB0246097</t>
  </si>
  <si>
    <t>1421-07-4</t>
  </si>
  <si>
    <t>CCC1(CCC(C)(C)O)C(=O)NC(=O)NC1=O</t>
  </si>
  <si>
    <t>PUVZPWLDMBLALZ-UHFFFAOYSA-N</t>
  </si>
  <si>
    <t>C11H18N2O4</t>
  </si>
  <si>
    <t>FT1506NR</t>
  </si>
  <si>
    <t>3-Carboxy-4-methyl-5-ethyl-2-furanpropionic acid</t>
  </si>
  <si>
    <t>3-羧基-4-甲基-5-乙基-2-呋喃丙酸</t>
  </si>
  <si>
    <t>HMDB0244411</t>
  </si>
  <si>
    <t>CCC1=C(C)C(C(O)=O)=C(CCC(O)=O)O1</t>
  </si>
  <si>
    <t>LOHNKCJVXLFVMW-UHFFFAOYSA-N</t>
  </si>
  <si>
    <t>C11H14O5</t>
  </si>
  <si>
    <t>FT2611NR</t>
  </si>
  <si>
    <t>all-trans-7-hydroxyhexadeca-2,4,8,10-tetraenoic acid</t>
  </si>
  <si>
    <t>全反式-7-羟基十六碳-2,4,8,10-四烯酸</t>
  </si>
  <si>
    <t>LMFA01050502</t>
  </si>
  <si>
    <t>C(=O)(O)/C=C/C=C/CC(O)/C=C/C=C/CCCCC</t>
  </si>
  <si>
    <t>CMIWOGJRXHRRFL-CQWJRODPSA-N</t>
  </si>
  <si>
    <t>C16H24O3</t>
  </si>
  <si>
    <t>FT0556PR</t>
  </si>
  <si>
    <t>Cycloserine</t>
  </si>
  <si>
    <t>环丝氨酸</t>
  </si>
  <si>
    <t>HMDB0014405</t>
  </si>
  <si>
    <t>LMPK14000007</t>
  </si>
  <si>
    <t>C08057</t>
  </si>
  <si>
    <t>68-41-7</t>
  </si>
  <si>
    <t>[C@]1([H])(N)CONC1=O</t>
  </si>
  <si>
    <t>DYDCUQKUCUHJBH-UWTATZPHSA-N</t>
  </si>
  <si>
    <t>Isoxazolines</t>
  </si>
  <si>
    <t>异恶唑啉类</t>
  </si>
  <si>
    <t>C3H6N2O2</t>
  </si>
  <si>
    <t>FT2580PR</t>
  </si>
  <si>
    <t>Xanthopterin</t>
  </si>
  <si>
    <t>黄蝶呤</t>
  </si>
  <si>
    <t>HMDB0259923</t>
  </si>
  <si>
    <t>119-44-8</t>
  </si>
  <si>
    <t>OC1=NC(=N)NC2=C1NC(=O)C=N2</t>
  </si>
  <si>
    <t>VURKRJGMSKJIQX-UHFFFAOYSA-N</t>
  </si>
  <si>
    <t>C6H5N5O2</t>
  </si>
  <si>
    <t>FT3529PR</t>
  </si>
  <si>
    <t>alpha-Bisabolol oxide A</t>
  </si>
  <si>
    <t>红没药醇氧化物 A</t>
  </si>
  <si>
    <t>HMDB0038196</t>
  </si>
  <si>
    <t>C16773</t>
  </si>
  <si>
    <t>22567-36-8</t>
  </si>
  <si>
    <t>CC1=CCC(CC1)C1(C)CCC(O)C(C)(C)O1</t>
  </si>
  <si>
    <t>WJHRAVIQWFQMKF-UHFFFAOYSA-N</t>
  </si>
  <si>
    <t>Oxanes</t>
  </si>
  <si>
    <t>FT1769PR</t>
  </si>
  <si>
    <t>6E,8-Nonadien-2R-ol</t>
  </si>
  <si>
    <t>6E,8-壬二烯-2R-醇</t>
  </si>
  <si>
    <t>LMFA05000498</t>
  </si>
  <si>
    <t>C[C@@H](O)CCC/C=C/C=C</t>
  </si>
  <si>
    <t>KOFXIBPKWDCMSE-XNPJLODASA-N</t>
  </si>
  <si>
    <t>158.0965, 158.1146, 158.1222, 158.1424, 158.1538, 158.1788, 158.1855, 158.9614, 159.1576, 169.9768</t>
  </si>
  <si>
    <t>C9H16O</t>
  </si>
  <si>
    <t>FT2085NR</t>
  </si>
  <si>
    <t>3,4-dimethyl-5-carboxyethyl-2-furanpentanoic acid</t>
  </si>
  <si>
    <t>3,4-二甲基-5-羧乙基-2-呋喃戊酸</t>
  </si>
  <si>
    <t>LMFA01150055</t>
  </si>
  <si>
    <t>C(C(O)=O)CC1=C(C)C(C)=C(CCCCC(=O)O)O1</t>
  </si>
  <si>
    <t>KLVVTPGUDQKTHU-UHFFFAOYSA-N</t>
  </si>
  <si>
    <t>C14H20O5</t>
  </si>
  <si>
    <t>FT3919PR</t>
  </si>
  <si>
    <t>3-Hydroxy-4-butanolide</t>
  </si>
  <si>
    <t>3-羟基-4-丁内酯</t>
  </si>
  <si>
    <t>HMDB0034681</t>
  </si>
  <si>
    <t>211107-44-7</t>
  </si>
  <si>
    <t>OCC1OC(OC2COC(=O)C2)C(O)C(O)C1O</t>
  </si>
  <si>
    <t>MQEPWBMWFIVRPS-UHFFFAOYSA-N</t>
  </si>
  <si>
    <t>C10H16O8</t>
  </si>
  <si>
    <t>FT4702PR</t>
  </si>
  <si>
    <t>Laurelliptine</t>
  </si>
  <si>
    <t>去甲异波尔定</t>
  </si>
  <si>
    <t>HMDB0033357</t>
  </si>
  <si>
    <t>23599-69-1</t>
  </si>
  <si>
    <t>COC1=C(O)C=C2CC3NCCC4=CC(OC)=C(O)C(C2=C1)=C34</t>
  </si>
  <si>
    <t>HORZNQYQXBFWNZ-UHFFFAOYSA-N</t>
  </si>
  <si>
    <t>Aporphines</t>
  </si>
  <si>
    <t>阿朴啡</t>
  </si>
  <si>
    <t>C18H19NO4</t>
  </si>
  <si>
    <t>FT4668PR</t>
  </si>
  <si>
    <t>Stearoylethanolamide</t>
  </si>
  <si>
    <t>硬脂酰乙醇酰胺</t>
  </si>
  <si>
    <t>HMDB0013078</t>
  </si>
  <si>
    <t>LMFA08040051</t>
  </si>
  <si>
    <t>R-HSA-112310,R-HSA-112315,R-HSA-112316</t>
  </si>
  <si>
    <t>Neurotransmitter release cycle|Transmission across Chemical Synapses|Neuronal System</t>
  </si>
  <si>
    <t>111-57-9</t>
  </si>
  <si>
    <t>C(CCCCCCCCCCCCCCCC)C(=O)NCCO</t>
  </si>
  <si>
    <t>OTGQIQQTPXJQRG-UHFFFAOYSA-N</t>
  </si>
  <si>
    <t>C20H41NO2</t>
  </si>
  <si>
    <t>FT3322PR</t>
  </si>
  <si>
    <t>(1R,2R,2'E)-2-[5'-(hydroxy)-2-penten-1-yl]-3-oxocyclopentane acetic acid methyl ester</t>
  </si>
  <si>
    <t>(1R,2R,2'E)-2-[5'-(羟基)-2-戊烯-1-基]-3-氧代环戊烷乙酸甲酯</t>
  </si>
  <si>
    <t>LMFA02020215</t>
  </si>
  <si>
    <t>C1C(=O)[C@H](C/C=C/CCO)[C@@H](CC(OC)=O)C1</t>
  </si>
  <si>
    <t>XCZTYYQNVNLGKI-WUNPDAOYSA-N</t>
  </si>
  <si>
    <t>C13H20O4</t>
  </si>
  <si>
    <t>FT1135NR</t>
  </si>
  <si>
    <t>2,3-Dihydro-5H-oxazolo(3,2-a)thieno(3,2-d)pyrimidin-5-one</t>
  </si>
  <si>
    <t>2,3-二氢-5H-恶唑并(3,2-a)噻吩并(3,2-d)嘧啶-5-酮</t>
  </si>
  <si>
    <t>HMDB0244476</t>
  </si>
  <si>
    <t>O=C1N2CCOC2=NC2=C1SC=C2</t>
  </si>
  <si>
    <t>BJAJDJDODCWPNS-UHFFFAOYSA-N</t>
  </si>
  <si>
    <t>Thienopyrimidines</t>
  </si>
  <si>
    <t>噻吩并嘧啶类</t>
  </si>
  <si>
    <t>136.1164, 148.9001, 149.0967, 150.0015, 150.0312, 151.0044, 193.0072, 193.0863, 205.3963, 206.9888</t>
  </si>
  <si>
    <t>C8H6N2O2S</t>
  </si>
  <si>
    <t>FT2054NR</t>
  </si>
  <si>
    <t>Spathulenol</t>
  </si>
  <si>
    <t>桉油烯醇</t>
  </si>
  <si>
    <t>HMDB0036420</t>
  </si>
  <si>
    <t>6750-60-3</t>
  </si>
  <si>
    <t>[H][C@@]12CC[C@](C)(O)[C@@]1([H])[C@H]1[C@@H](CCC2=C)C1(C)C</t>
  </si>
  <si>
    <t>FRMCCTDTYSRUBE-BGPZULBFSA-N</t>
  </si>
  <si>
    <t>84.8491, 94.1930, 124.0164, 135.2932, 137.0717, 175.6082, 221.1911, 239.1724, 265.1809, 265.2135</t>
  </si>
  <si>
    <t>C15H24O</t>
  </si>
  <si>
    <t>FT2918NR</t>
  </si>
  <si>
    <t>3-Indole carboxylic acid glucuronide</t>
  </si>
  <si>
    <t>3-吲哚羧酸葡萄糖苷酸</t>
  </si>
  <si>
    <t>HMDB0013189</t>
  </si>
  <si>
    <t>O[C@@H]1[C@@H](O)[C@H](OC(=O)C2=CNC3=CC=CC=C23)OC([C@H]1O)C(O)=O</t>
  </si>
  <si>
    <t>BDNWJTRKUBXAGH-DOVARBIBSA-N</t>
  </si>
  <si>
    <t>C15H15NO8</t>
  </si>
  <si>
    <t>FT1634NR</t>
  </si>
  <si>
    <t>(E)-5-(3,4,5,6-Tetrahydro-3-pyridylidenemethyl)-2-furanmethanol</t>
  </si>
  <si>
    <t>(E)-5-(3,4,5,6-四氢-3-吡啶基甲基)-2-呋喃甲醇</t>
  </si>
  <si>
    <t>HMDB0033560</t>
  </si>
  <si>
    <t>OCC1=CC=C(O1)\C=C1\CCCN=C1</t>
  </si>
  <si>
    <t>HKIPZBSQJPFABU-TWGQIWQCSA-N</t>
  </si>
  <si>
    <t>C11H13NO2</t>
  </si>
  <si>
    <t>FT3507PR</t>
  </si>
  <si>
    <t>6,11-hexadecadienal</t>
  </si>
  <si>
    <t>6,11-十六烯醛</t>
  </si>
  <si>
    <t>LMFA06000093</t>
  </si>
  <si>
    <t>C(/C=C/CCCC)CC/C=C/CCCCC([H])=O</t>
  </si>
  <si>
    <t>UVAAPIIWFSOFFC-RINXSNKBSA-N</t>
  </si>
  <si>
    <t>C16H28O</t>
  </si>
  <si>
    <t>FT0598NR</t>
  </si>
  <si>
    <t>Bicine</t>
  </si>
  <si>
    <t>N,N-二羟乙基甘氨酸</t>
  </si>
  <si>
    <t>HMDB0011727</t>
  </si>
  <si>
    <t>150-25-4</t>
  </si>
  <si>
    <t>OCCN(CCO)CC(O)=O</t>
  </si>
  <si>
    <t>FSVCELGFZIQNCK-UHFFFAOYSA-N</t>
  </si>
  <si>
    <t>71.7575, 83.0502, 100.0765, 101.0605, 115.9199, 136.5510, 141.8788, 144.0452, 144.0660, 156.4933</t>
  </si>
  <si>
    <t>C6H13NO4</t>
  </si>
  <si>
    <t>FT0366NR</t>
  </si>
  <si>
    <t>4-Vinylcyclohexene dioxide</t>
  </si>
  <si>
    <t>4-乙烯基-1-环己烯二环氧化物,异构体混合物</t>
  </si>
  <si>
    <t>HMDB0246593</t>
  </si>
  <si>
    <t>C19311</t>
  </si>
  <si>
    <t>106-87-6</t>
  </si>
  <si>
    <t>C1OC1C1CCC2OC2C1</t>
  </si>
  <si>
    <t>OECTYKWYRCHAKR-UHFFFAOYSA-N</t>
  </si>
  <si>
    <t>C8H12O2</t>
  </si>
  <si>
    <t>FT2088NR</t>
  </si>
  <si>
    <t>trans-10-Heptadecenoic acid</t>
  </si>
  <si>
    <t>顺式-10-十七烯酸</t>
  </si>
  <si>
    <t>HMDB0244268</t>
  </si>
  <si>
    <t>CCCCCCC=CCCCCCCCCC(O)=O</t>
  </si>
  <si>
    <t>GDTXICBNEOEPAZ-UHFFFAOYSA-N</t>
  </si>
  <si>
    <t>FT2910NR</t>
  </si>
  <si>
    <t>14,15-Ep-11-HETrE</t>
  </si>
  <si>
    <t>14,15-Ep-11-羟基二十碳三烯酸</t>
  </si>
  <si>
    <t>HMDB0004693</t>
  </si>
  <si>
    <t>LMFA03080008</t>
  </si>
  <si>
    <t>C14813</t>
  </si>
  <si>
    <t>hsa00590</t>
  </si>
  <si>
    <t>Arachidonic acid metabolism</t>
  </si>
  <si>
    <t>219535-29-2</t>
  </si>
  <si>
    <t>C(/C=C\C/C=C\CCCC(=O)O)C(O)/C=C/C1OC1CCCCC</t>
  </si>
  <si>
    <t>WLMZMBKVRPUYIG-LTCHCNGXSA-N</t>
  </si>
  <si>
    <t>95.6811, 97.3757, 97.4286, 116.4311, 139.8473, 154.9831, 195.1877, 236.6471, 276.9232, 335.2199</t>
  </si>
  <si>
    <t>C20H32O4</t>
  </si>
  <si>
    <t>FT0991NR</t>
  </si>
  <si>
    <t>4-Formyl-3-(formylmethyl)-4-hexenoic acid</t>
  </si>
  <si>
    <t>4-甲酰基-3-(甲酰甲基)-4-己烯酸</t>
  </si>
  <si>
    <t>HMDB0039650</t>
  </si>
  <si>
    <t>LMFA01030984</t>
  </si>
  <si>
    <t>C(C(=O)O)C(/C(/C=O)=C\C)CC=O</t>
  </si>
  <si>
    <t>DBMWDRVDXUPGBP-UQCOIBPSSA-N</t>
  </si>
  <si>
    <t>C9H12O4</t>
  </si>
  <si>
    <t>FT3750PR</t>
  </si>
  <si>
    <t>N-LAUROYLSARCOSINE</t>
  </si>
  <si>
    <t>N-十二烷酰基肌氨酸</t>
  </si>
  <si>
    <t>HMDB0255165</t>
  </si>
  <si>
    <t>CCCCCCCCCCCC(=O)N(C)CC(O)=O</t>
  </si>
  <si>
    <t>BACYUWVYYTXETD-UHFFFAOYSA-N</t>
  </si>
  <si>
    <t>C15H29NO3</t>
  </si>
  <si>
    <t>FT4610PR</t>
  </si>
  <si>
    <t>Benztropinum</t>
  </si>
  <si>
    <t>苯托品</t>
  </si>
  <si>
    <t>HMDB0242507</t>
  </si>
  <si>
    <t>CN1C2CCC1CC(C2)OC(C1=CC=CC=C1)C1=CC=CC=C1</t>
  </si>
  <si>
    <t>GIJXKZJWITVLHI-UHFFFAOYSA-N</t>
  </si>
  <si>
    <t>105.4125, 112.0760, 148.1121, 155.7705, 184.0737, 233.1645, 266.5858, 325.2269, 325.3169, 326.2298</t>
  </si>
  <si>
    <t>C21H25NO</t>
  </si>
  <si>
    <t>FT0560NR</t>
  </si>
  <si>
    <t>Ectoine</t>
  </si>
  <si>
    <t>四氢嘧啶</t>
  </si>
  <si>
    <t>HMDB0240650</t>
  </si>
  <si>
    <t>C06231</t>
  </si>
  <si>
    <t>hsa00260</t>
  </si>
  <si>
    <t>Glycine, serine and threonine metabolism</t>
  </si>
  <si>
    <t>96702-03-3</t>
  </si>
  <si>
    <t>CC1=NCC[C@H](N1)C(O)=O</t>
  </si>
  <si>
    <t>WQXNXVUDBPYKBA-YFKPBYRVSA-N</t>
  </si>
  <si>
    <t>C6H10N2O2</t>
  </si>
  <si>
    <t>FT0614NR</t>
  </si>
  <si>
    <t>1,5-Anhydro-d-mannitol</t>
  </si>
  <si>
    <t>1,5-脱水-d-甘露醇</t>
  </si>
  <si>
    <t>HMDB0244228</t>
  </si>
  <si>
    <t>OCC1OCC(O)C(O)C1O</t>
  </si>
  <si>
    <t>MPCAJMNYNOGXPB-UHFFFAOYSA-N</t>
  </si>
  <si>
    <t>C6H12O5</t>
  </si>
  <si>
    <t>FT3909PR</t>
  </si>
  <si>
    <t>(1beta,4alpha,5alpha,6beta,8alpha,10b)-1,10:4,5-Diepoxy-6-hydroxy-7-germacren-12,8-olide</t>
  </si>
  <si>
    <t>(1β,4α,5α,6β,8α,10b)-1,10:4,5-二环氧-6-羟基-7-杰马烯-12,8-内酯</t>
  </si>
  <si>
    <t>HMDB0038545</t>
  </si>
  <si>
    <t>366494-94-2</t>
  </si>
  <si>
    <t>CC1=C2C(CC3(C)OC3CCC3(C)OC3C2O)OC1=O</t>
  </si>
  <si>
    <t>BWSYOMVQMMVGIN-UHFFFAOYSA-N</t>
  </si>
  <si>
    <t>C15H20O5</t>
  </si>
  <si>
    <t>FT0377NR</t>
  </si>
  <si>
    <t>2-Hydroxyethanesulfonate</t>
  </si>
  <si>
    <t>2-羟基乙磺酸盐</t>
  </si>
  <si>
    <t>HMDB0003903</t>
  </si>
  <si>
    <t>C05123</t>
  </si>
  <si>
    <t>hsa00430</t>
  </si>
  <si>
    <t>Taurine and hypotaurine metabolism</t>
  </si>
  <si>
    <t>107-36-8</t>
  </si>
  <si>
    <t>OCCS(O)(=O)=O</t>
  </si>
  <si>
    <t>SUMDYPCJJOFFON-UHFFFAOYSA-N</t>
  </si>
  <si>
    <t>C2H6O4S</t>
  </si>
  <si>
    <t>FT1764NR</t>
  </si>
  <si>
    <t>Brassylic acid</t>
  </si>
  <si>
    <t>十三烷二酸</t>
  </si>
  <si>
    <t>HMDB0002327</t>
  </si>
  <si>
    <t>LMFA01170014</t>
  </si>
  <si>
    <t>505-52-2</t>
  </si>
  <si>
    <t>C(CCCCCCCCCCCC(=O)O)(=O)O</t>
  </si>
  <si>
    <t>DXNCZXXFRKPEPY-UHFFFAOYSA-N</t>
  </si>
  <si>
    <t>C13H24O4</t>
  </si>
  <si>
    <t>FT1784NR</t>
  </si>
  <si>
    <t>3-[4-(sulfooxy)phenyl]propanoic acid</t>
  </si>
  <si>
    <t>3-[4-(磺氧基)苯基]丙酸</t>
  </si>
  <si>
    <t>HMDB0125171</t>
  </si>
  <si>
    <t>OC(=O)CCC1=CC=C(OS(O)(=O)=O)C=C1</t>
  </si>
  <si>
    <t>YKAVCSNFDHAGEG-UHFFFAOYSA-N</t>
  </si>
  <si>
    <t>FT5401PR</t>
  </si>
  <si>
    <t>9,12-Hexadecadienoylcarnitine</t>
  </si>
  <si>
    <t>9,12-十六碳二烯酰基肉碱</t>
  </si>
  <si>
    <t>HMDB0013334</t>
  </si>
  <si>
    <t>1911579-97-9</t>
  </si>
  <si>
    <t>CCC\C=C/C\C=C/CCCCCCCC(=O)O[C@H](CC(O)=O)C[N+](C)(C)C</t>
  </si>
  <si>
    <t>CMVGCHSJDXKPBB-ROVXQSMVSA-O</t>
  </si>
  <si>
    <t>C23H42NO4</t>
  </si>
  <si>
    <t>FT1346NR</t>
  </si>
  <si>
    <t>(2S,3S,4S)-5,7,9,11-Tridecatetrayne-1,2,3,4-tetrol</t>
  </si>
  <si>
    <t>(2S,3S,4S)-5,7,9,11-十三碳四炔-1,2,3,4-四醇</t>
  </si>
  <si>
    <t>HMDB0038911</t>
  </si>
  <si>
    <t>CC#CC#CC#CC#CC(O)C(O)C(O)CO</t>
  </si>
  <si>
    <t>CBKQFMQQQCEGGI-UHFFFAOYSA-N</t>
  </si>
  <si>
    <t>C13H12O4</t>
  </si>
  <si>
    <t>FT6317PR</t>
  </si>
  <si>
    <t>PC(P-18:1/0:0)</t>
  </si>
  <si>
    <t>磷脂酰胆碱(P-18:1/0:0)</t>
  </si>
  <si>
    <t>HMDB0010408</t>
  </si>
  <si>
    <t>LMGP01070012</t>
  </si>
  <si>
    <t>[C@](COP(=O)([O-])OCC[N+](C)(C)C)([H])(O)CO/C=C\CCCCCC/C=C\CCCCCCCC</t>
  </si>
  <si>
    <t>KJUNGQXFZYMUOH-FKWLWHCOSA-N</t>
  </si>
  <si>
    <t>C26H52NO6P</t>
  </si>
  <si>
    <t>FT5322PR</t>
  </si>
  <si>
    <t>N-Linoleoyl Serine</t>
  </si>
  <si>
    <t>N-亚油酰丝氨酸</t>
  </si>
  <si>
    <t>HMDB0241984</t>
  </si>
  <si>
    <t>CCCCCC=CCC=CCCCCCCCC(=O)NC(CO)C(O)=O</t>
  </si>
  <si>
    <t>UQQXKOPWRCINAH-UHFFFAOYSA-N</t>
  </si>
  <si>
    <t>C21H37NO4</t>
  </si>
  <si>
    <t>FT4263PR</t>
  </si>
  <si>
    <t>Non-4-enoylcarnitine</t>
  </si>
  <si>
    <t>非4-烯酰肉碱</t>
  </si>
  <si>
    <t>HMDB0241745</t>
  </si>
  <si>
    <t>CCCCC=CCCC(=O)OC(CC([O-])=O)C[N+](C)(C)C</t>
  </si>
  <si>
    <t>YWRHWMGIEXGIKF-UHFFFAOYSA-N</t>
  </si>
  <si>
    <t>C16H29NO4</t>
  </si>
  <si>
    <t>FT3316PR</t>
  </si>
  <si>
    <t>L-Cystine</t>
  </si>
  <si>
    <t>L-胱氨酸</t>
  </si>
  <si>
    <t>HMDB0000192</t>
  </si>
  <si>
    <t>C00491</t>
  </si>
  <si>
    <t>hsa00270,hsa02010,hsa04216</t>
  </si>
  <si>
    <t>Cysteine and methionine metabolism|ABC transporters|Ferroptosis</t>
  </si>
  <si>
    <t>R-HSA-1643685,R-HSA-352230,R-HSA-382551,R-HSA-425393,R-HSA-425407,R-HSA-5223345,R-HSA-5619102,R-HSA-5619113,R-HSA-5619115,R-HSA-5660883</t>
  </si>
  <si>
    <t>Disease|Amino acid transport across the plasma membrane|Transport of small molecules|Transport of inorganic cations/anions and amino acids/oligopeptides|SLC-mediated transmembrane transport|Miscellaneous transport and binding events|SLC transporter disorders|Defective SLC3A1 causes cystinuria (CSNU)|Disorders of transmembrane transporters|Defective SLC7A9 causes cystinuria (CSNU)</t>
  </si>
  <si>
    <t>56-89-3</t>
  </si>
  <si>
    <t>N[C@@H](CSSC[C@H](N)C(O)=O)C(O)=O</t>
  </si>
  <si>
    <t>LEVWYRKDKASIDU-IMJSIDKUSA-N</t>
  </si>
  <si>
    <t>C6H12N2O4S2</t>
  </si>
  <si>
    <t>FT3472NR</t>
  </si>
  <si>
    <t>TXA2</t>
  </si>
  <si>
    <t>血栓素A2</t>
  </si>
  <si>
    <t>HMDB0001452</t>
  </si>
  <si>
    <t>LMFA03030001</t>
  </si>
  <si>
    <t>C02198</t>
  </si>
  <si>
    <t>hsa00590,hsa04080,hsa04611,hsa04726</t>
  </si>
  <si>
    <t>Arachidonic acid metabolism|Neuroactive ligand-receptor interaction|Platelet activation|Serotonergic synapse</t>
  </si>
  <si>
    <t>R-HSA-109582,R-HSA-1430728,R-HSA-162582,R-HSA-211859,R-HSA-211897,R-HSA-211945,R-HSA-211979,R-HSA-2142753,R-HSA-2162123,R-HSA-372790,R-HSA-373076,R-HSA-388396,R-HSA-391903,R-HSA-391908,R-HSA-392518,R-HSA-416476,R-HSA-416482,R-HSA-428930,R-HSA-500792,R-HSA-556833,R-HSA-76002,R-HSA-8978868</t>
  </si>
  <si>
    <t>Hemostasis|Metabolism|Signal Transduction|Biological oxidations|Cytochrome P450 - arranged by substrate type|Phase I - Functionalization of compounds|Eicosanoids|Arachidonic acid metabolism|Synthesis of Prostaglandins (PG) and Thromboxanes (TX)|Signaling by GPCR|Class A/1 (Rhodopsin-like receptors)|GPCR downstream signalling|Eicosanoid ligand-binding receptors|Prostanoid ligand receptors|Signal amplification|G alpha (q) signalling events|G alpha (12/13) signalling events|Thromboxane signalling through TP receptor|GPCR ligand binding|Metabolism of lipids|Platelet activation, signaling and aggregation|Fatty acid metabolism</t>
  </si>
  <si>
    <t>57576-52-0</t>
  </si>
  <si>
    <t>C(O)(=O)CCC/C=C\C[C@H]1[C@H]2O[C@@H](O[C@@H]1/C=C/[C@@H](O)CCCCC)C2</t>
  </si>
  <si>
    <t>DSNBHJFQCNUKMA-SCKDECHMSA-N</t>
  </si>
  <si>
    <t>FT0936NR</t>
  </si>
  <si>
    <t>N-Formyl-DL-methionine</t>
  </si>
  <si>
    <t>N-甲醯甲硫胺酸</t>
  </si>
  <si>
    <t>HMDB0255142</t>
  </si>
  <si>
    <t>C03145</t>
  </si>
  <si>
    <t>4289-98-9</t>
  </si>
  <si>
    <t>CSCCC(NC=O)C(O)=O</t>
  </si>
  <si>
    <t>PYUSHNKNPOHWEZ-UHFFFAOYSA-N</t>
  </si>
  <si>
    <t>C6H11NO3S</t>
  </si>
  <si>
    <t>FT2030NR</t>
  </si>
  <si>
    <t>Isohumbertiol</t>
  </si>
  <si>
    <t>异温柏醇</t>
  </si>
  <si>
    <t>HMDB0040686</t>
  </si>
  <si>
    <t>CC(=C)C1=C(CC(C)(O)C=C)C=C(C)CC1</t>
  </si>
  <si>
    <t>ZIVKTIMZADKFSV-UHFFFAOYSA-N</t>
  </si>
  <si>
    <t>C15H22O</t>
  </si>
  <si>
    <t>FT3960PR</t>
  </si>
  <si>
    <t>(+)-Arteannuin</t>
  </si>
  <si>
    <t>(+)-青蒿素</t>
  </si>
  <si>
    <t>HMDB0242246</t>
  </si>
  <si>
    <t>CC1CCC2C(C)C(=O)OC3OC4(C)CCC1C23OO4</t>
  </si>
  <si>
    <t>BLUAFEHZUWYNDE-UHFFFAOYSA-N</t>
  </si>
  <si>
    <t>C15H22O5</t>
  </si>
  <si>
    <t>FT1883NR</t>
  </si>
  <si>
    <t>Eremopetasinorone A</t>
  </si>
  <si>
    <t>埃瑞莫他诺酮A</t>
  </si>
  <si>
    <t>HMDB0029669</t>
  </si>
  <si>
    <t>182127-76-0</t>
  </si>
  <si>
    <t>CC1C(=O)CCC2CC(=CC12C)C(C)=O</t>
  </si>
  <si>
    <t>JJZRURWGJILXRH-UHFFFAOYSA-N</t>
  </si>
  <si>
    <t>C13H18O2</t>
  </si>
  <si>
    <t>FT5656PR</t>
  </si>
  <si>
    <t>rosavin</t>
  </si>
  <si>
    <t>罗塞文</t>
  </si>
  <si>
    <t>HMDB0257308</t>
  </si>
  <si>
    <t>OC1COC(OCC2OC(OCC=CC3=CC=CC=C3)C(O)C(O)C2O)C(O)C1O</t>
  </si>
  <si>
    <t>RINHYCZCUGCZAJ-UHFFFAOYSA-N</t>
  </si>
  <si>
    <t>73.2359, 76.5167, 76.5394, 119.2964, 170.1308, 228.5109, 253.1405, 302.7075, 358.6155, 429.1717</t>
  </si>
  <si>
    <t>C20H28O10</t>
  </si>
  <si>
    <t>FT3774PR</t>
  </si>
  <si>
    <t>2'-Hydroxy-4'-methoxydihydrochalcone</t>
  </si>
  <si>
    <t>2'-羟基-4'-甲氧基二氢查耳酮</t>
  </si>
  <si>
    <t>HMDB0135615</t>
  </si>
  <si>
    <t>LMPK12120443</t>
  </si>
  <si>
    <t>C1(OC)C=C(O)C(C(=O)CCC2C=CC=CC=2)=CC=1</t>
  </si>
  <si>
    <t>FQCZZYGBJVMLOG-UHFFFAOYSA-N</t>
  </si>
  <si>
    <t>C16H16O3</t>
  </si>
  <si>
    <t>FT1371PR</t>
  </si>
  <si>
    <t>Imidazolepropionic acid</t>
  </si>
  <si>
    <t>咪唑丙酸</t>
  </si>
  <si>
    <t>HMDB0002271</t>
  </si>
  <si>
    <t>C20522</t>
  </si>
  <si>
    <t>1074-59-5</t>
  </si>
  <si>
    <t>OC(=O)CCC1=CNC=N1</t>
  </si>
  <si>
    <t>ZCKYOWGFRHAZIQ-UHFFFAOYSA-N</t>
  </si>
  <si>
    <t>C6H8N2O2</t>
  </si>
  <si>
    <t>FT2739NR</t>
  </si>
  <si>
    <t>Ginsenoyne C</t>
  </si>
  <si>
    <t>人参皂苷C</t>
  </si>
  <si>
    <t>HMDB0038994</t>
  </si>
  <si>
    <t>LMFA05000662</t>
  </si>
  <si>
    <t>139163-35-2</t>
  </si>
  <si>
    <t>C=CC(O)C#CC#CCC(C(CCCCCC=C)O)O</t>
  </si>
  <si>
    <t>WNVDKDQMWFSCPI-UHFFFAOYSA-N</t>
  </si>
  <si>
    <t>FT1480NR</t>
  </si>
  <si>
    <t>Sinapic acid</t>
  </si>
  <si>
    <t>芥子酸</t>
  </si>
  <si>
    <t>HMDB0032616</t>
  </si>
  <si>
    <t>C00482</t>
  </si>
  <si>
    <t>7362-37-0</t>
  </si>
  <si>
    <t>COC1=CC(\C=C\C(O)=O)=CC(OC)=C1O</t>
  </si>
  <si>
    <t>PCMORTLOPMLEFB-ONEGZZNKSA-N</t>
  </si>
  <si>
    <t>FT0994NR</t>
  </si>
  <si>
    <t>exo-2-Methyl-3-methylenebicyclo[2.2.1]heptan-2-ol</t>
  </si>
  <si>
    <t>外型-2-甲基-3-亚甲基双环[2.2.1]庚-2-醇</t>
  </si>
  <si>
    <t>HMDB0036092</t>
  </si>
  <si>
    <t>59300-40-2</t>
  </si>
  <si>
    <t>CC1(O)C2CCC(C2)C1=C</t>
  </si>
  <si>
    <t>RZEAOYIZHBELOJ-UHFFFAOYSA-N</t>
  </si>
  <si>
    <t>C9H14O</t>
  </si>
  <si>
    <t>FT2718NR</t>
  </si>
  <si>
    <t>[8]-Gingerdione</t>
  </si>
  <si>
    <t>[8]-姜二酮</t>
  </si>
  <si>
    <t>HMDB0039276</t>
  </si>
  <si>
    <t>77334-06-6</t>
  </si>
  <si>
    <t>CCCCCCCC(=O)CC(=O)CCC1=CC(OC)=C(O)C=C1</t>
  </si>
  <si>
    <t>QDSRAFNZQKMHPZ-UHFFFAOYSA-N</t>
  </si>
  <si>
    <t>C19H28O4</t>
  </si>
  <si>
    <t>FT3037NR</t>
  </si>
  <si>
    <t>1,1,1-Tri(butyryloxy)propane</t>
  </si>
  <si>
    <t>1,1,1-三(丁酰氧基)丙烷</t>
  </si>
  <si>
    <t>HMDB0257803</t>
  </si>
  <si>
    <t>CCCC(=O)OC(CC)(OC(=O)CCC)OC(=O)CCC</t>
  </si>
  <si>
    <t>LXBMSTULRDBVCU-UHFFFAOYSA-N</t>
  </si>
  <si>
    <t>C15H26O6</t>
  </si>
  <si>
    <t>FT2482NR</t>
  </si>
  <si>
    <t>11-HOME(9)</t>
  </si>
  <si>
    <t xml:space="preserve"> 11-首页(9)</t>
  </si>
  <si>
    <t>LMFA02000211</t>
  </si>
  <si>
    <t>C(CCCCCCC/C=C/C(O)CCCCCCC)(=O)O</t>
  </si>
  <si>
    <t>MHBZYZVYSHCDLI-NTCAYCPXSA-N</t>
  </si>
  <si>
    <t>C18H34O3</t>
  </si>
  <si>
    <t>FT2911NR</t>
  </si>
  <si>
    <t>5Z,8Z,11Z-Eicosatrienedioic acid</t>
  </si>
  <si>
    <t>5Z,8Z,11Z-二十碳三烯二酸</t>
  </si>
  <si>
    <t>LMFA01170128</t>
  </si>
  <si>
    <t>C(CCC/C=C\CCCC/C=C\C/C=C\CCCCC(O)=O)(=O)O</t>
  </si>
  <si>
    <t>XXBTWFRPYVFWSA-USRXDSLMSA-N</t>
  </si>
  <si>
    <t>FT5032PR</t>
  </si>
  <si>
    <t>N-Palmitoyl Threonine</t>
  </si>
  <si>
    <t>N-棕榈酰苏氨酸</t>
  </si>
  <si>
    <t>HMDB0241933</t>
  </si>
  <si>
    <t>CCCCCCCCCCCCCCCC(=O)NC(C(C)O)C(O)=O</t>
  </si>
  <si>
    <t>JOIXCEREMHWULC-UHFFFAOYSA-N</t>
  </si>
  <si>
    <t>C20H39NO4</t>
  </si>
  <si>
    <t>FT2481NR</t>
  </si>
  <si>
    <t>5-Hexyltetrahydro-2-furanoctanoic acid</t>
  </si>
  <si>
    <t>5-己基四氢-2-呋喃辛酸</t>
  </si>
  <si>
    <t>HMDB0031127</t>
  </si>
  <si>
    <t>61781-98-4</t>
  </si>
  <si>
    <t>CCCCCCC1CCC(CCCCCCCC(O)=O)O1</t>
  </si>
  <si>
    <t>AQIVDANQKWQSRX-UHFFFAOYSA-N</t>
  </si>
  <si>
    <t>FT2211NR</t>
  </si>
  <si>
    <t>5-Methoxy-N-isopropyltryptamine</t>
  </si>
  <si>
    <t>N-异丙基-5-甲氧基色氨酸</t>
  </si>
  <si>
    <t>HMDB0244338</t>
  </si>
  <si>
    <t>COC1=CC2=C(NC=C2CCNC(C)C)C=C1</t>
  </si>
  <si>
    <t>QQZJNZJNPDORBO-UHFFFAOYSA-N</t>
  </si>
  <si>
    <t>Tryptamines and derivatives</t>
  </si>
  <si>
    <t>色胺及其衍生物</t>
  </si>
  <si>
    <t>C14H20N2O</t>
  </si>
  <si>
    <t>FT3435PR</t>
  </si>
  <si>
    <t>3-Hydroxybutyrylcarnitine</t>
  </si>
  <si>
    <t>3-羟基丁酰肉碱</t>
  </si>
  <si>
    <t>HMDB0013127</t>
  </si>
  <si>
    <t>1469900-92-2</t>
  </si>
  <si>
    <t>C[C@@H](O)CC(=O)O[C@@H](CC([O-])=O)C[N+](C)(C)C</t>
  </si>
  <si>
    <t>UEFRDQSMQXDWTO-BDAKNGLRSA-N</t>
  </si>
  <si>
    <t>C11H21NO5</t>
  </si>
  <si>
    <t>FT4687PR</t>
  </si>
  <si>
    <t>Lauroyl lysine</t>
  </si>
  <si>
    <t>月桂酰赖氨酸</t>
  </si>
  <si>
    <t>LMFA08020262</t>
  </si>
  <si>
    <t>52315-75-0</t>
  </si>
  <si>
    <t>NCCCC[C@H](NC(=O)CCCCCCCCCCC)C(=O)O</t>
  </si>
  <si>
    <t>PDQICKRFOKDJCH-INIZCTEOSA-N</t>
  </si>
  <si>
    <t>C18H36N2O3</t>
  </si>
  <si>
    <t>FT5954PR</t>
  </si>
  <si>
    <t>5-Methylheptadecanoylcarnitine</t>
  </si>
  <si>
    <t>5-甲基十七酰肉碱</t>
  </si>
  <si>
    <t>HMDB0240867</t>
  </si>
  <si>
    <t>CCCCCCCCCCCCC(C)CCCC(=O)OC(CC([O-])=O)C[N+](C)(C)C</t>
  </si>
  <si>
    <t>CNLCPZKLYGRJJN-UHFFFAOYSA-N</t>
  </si>
  <si>
    <t>C25H49NO4</t>
  </si>
  <si>
    <t>FT3949NR</t>
  </si>
  <si>
    <t>5beta-Cholestane-3alpha,26-diol</t>
  </si>
  <si>
    <t>5β-胆甾烷-3α,26-二醇</t>
  </si>
  <si>
    <t>LMST04030121</t>
  </si>
  <si>
    <t>C1[C@]2(C)[C@@]3([H])CC[C@]4(C)[C@@]([H])([C@]([H])(C)CCCC(C)CO)CC[C@@]4([H])[C@]3([H])CC[C@]2([H])C[C@H](O)C1</t>
  </si>
  <si>
    <t>DKISDYAXCJJSLZ-RKOYIKFYSA-N</t>
  </si>
  <si>
    <t>FT1106PR</t>
  </si>
  <si>
    <t>Methyl sulfate</t>
  </si>
  <si>
    <t>硫酸单甲酯</t>
  </si>
  <si>
    <t>HMDB0254614</t>
  </si>
  <si>
    <t>C02704</t>
  </si>
  <si>
    <t>75-93-4</t>
  </si>
  <si>
    <t>COS(O)(=O)=O</t>
  </si>
  <si>
    <t>JZMJDSHXVKJFKW-UHFFFAOYSA-N</t>
  </si>
  <si>
    <t>Sulfuric acid esters</t>
  </si>
  <si>
    <t>硫酸酯类</t>
  </si>
  <si>
    <t>CH4O4S</t>
  </si>
  <si>
    <t>FT2558NR</t>
  </si>
  <si>
    <t>Musanolone C</t>
  </si>
  <si>
    <t>穆沙诺龙C</t>
  </si>
  <si>
    <t>HMDB0037111</t>
  </si>
  <si>
    <t>OC1C(O)C2=CC=CC3=C2C(C1=O)=C(C=C3)C1=CC=C(O)C=C1</t>
  </si>
  <si>
    <t>HQIRTAPJDZWJHS-UHFFFAOYSA-N</t>
  </si>
  <si>
    <t>Phenylnaphthalenes</t>
  </si>
  <si>
    <t>苯基萘</t>
  </si>
  <si>
    <t>C19H14O4</t>
  </si>
  <si>
    <t>FT4691PR</t>
  </si>
  <si>
    <t>5-Hydroxydec-8-enoylcarnitine</t>
  </si>
  <si>
    <t>5-羟基癸-8-烯酰肉碱</t>
  </si>
  <si>
    <t>HMDB0241076</t>
  </si>
  <si>
    <t>CC=CCCC(O)CCCC(=O)OC(CC([O-])=O)C[N+](C)(C)C</t>
  </si>
  <si>
    <t>HXIJIIXNWABYIO-UHFFFAOYSA-N</t>
  </si>
  <si>
    <t>C17H31NO5</t>
  </si>
  <si>
    <t>FT3182PR</t>
  </si>
  <si>
    <t>Isoleucyl-Valine</t>
  </si>
  <si>
    <t>异亮氨酰缬氨酸</t>
  </si>
  <si>
    <t>HMDB0028920</t>
  </si>
  <si>
    <t>CCC(C)C(N)C(=O)NC(C(C)C)C(O)=O</t>
  </si>
  <si>
    <t>BCXBIONYYJCSDF-UHFFFAOYSA-N</t>
  </si>
  <si>
    <t>C11H22N2O3</t>
  </si>
  <si>
    <t>FT4818PR</t>
  </si>
  <si>
    <t>17-hydroxy-1-oxo-2,3-seco-androstan-3-oic acid</t>
  </si>
  <si>
    <t>17-羟基-1-氧代-2,3-仲-雄甾烷-3-油酸</t>
  </si>
  <si>
    <t>LMST02020113</t>
  </si>
  <si>
    <t>CC(=O)[C@@]1(C)[C@@]([H])(CC[C@@]2([H])[C@]3([H])CC[C@H](O)[C@@]3(C)CC[C@]12[H])CC(O)=O</t>
  </si>
  <si>
    <t>UVMGMKYQPLCEGR-LUJOEAJASA-N</t>
  </si>
  <si>
    <t>130.3491, 135.7865, 156.3155, 161.1319, 179.1429, 205.4091, 226.2953, 241.7676, 340.2477, 340.3514</t>
  </si>
  <si>
    <t>C19H30O4</t>
  </si>
  <si>
    <t>FT0217NR</t>
  </si>
  <si>
    <t>(±)-Furaneol</t>
  </si>
  <si>
    <t>呋喃酮</t>
  </si>
  <si>
    <t>HMDB0040594</t>
  </si>
  <si>
    <t>CC1OC(C)=C(O)C1=O</t>
  </si>
  <si>
    <t>INAXVXBDKKUCGI-UHFFFAOYSA-N</t>
  </si>
  <si>
    <t>54.48521, 65.67746, 65.75901, 66.19942, 67.03006, 79.02965, 86.25272, 89.3334, 109.02928, 109.03989</t>
  </si>
  <si>
    <t>C6H8O3</t>
  </si>
  <si>
    <t>FT1904NR</t>
  </si>
  <si>
    <t>5,9:6,9-Diepoxy-4-megastigmene</t>
  </si>
  <si>
    <t>5,9:6,9-二环氧-4-巨豆烯</t>
  </si>
  <si>
    <t>HMDB0038529</t>
  </si>
  <si>
    <t>133661-30-0</t>
  </si>
  <si>
    <t>CC12CCC3(O1)C(CO2)=CCCC3(C)C</t>
  </si>
  <si>
    <t>AKKNWGRLXKHQDH-UHFFFAOYSA-N</t>
  </si>
  <si>
    <t>FT3842PR</t>
  </si>
  <si>
    <t>6Z,8E,10E,12Z-octadecatetraenoic acid</t>
  </si>
  <si>
    <t>6Z,8E,10E,12Z-十八碳四烯酸</t>
  </si>
  <si>
    <t>LMFA02000353</t>
  </si>
  <si>
    <t>C(/C=C\C=C\C=C\C=C/CCCCC)CCCC(=O)O</t>
  </si>
  <si>
    <t>RFUWLZKZDWRDDA-MNQUYVSVSA-N</t>
  </si>
  <si>
    <t>FT2497PR</t>
  </si>
  <si>
    <t>N-(2-Hydroxypropyl)valine</t>
  </si>
  <si>
    <t>N-(2-羟丙基)缬氨酸</t>
  </si>
  <si>
    <t>HMDB0254992</t>
  </si>
  <si>
    <t>CC(C)C(NCC(C)O)C(O)=O</t>
  </si>
  <si>
    <t>LQFKABMWUHITQU-UHFFFAOYSA-N</t>
  </si>
  <si>
    <t>118.4122, 134.0532, 135.1153, 147.0299, 187.2707, 193.0004, 193.0203, 193.0838, 193.1270, 193.1552</t>
  </si>
  <si>
    <t>C8H17NO3</t>
  </si>
  <si>
    <t>FT4815PR</t>
  </si>
  <si>
    <t>(3E,5E,8Z)-Deca-3,5,8-trienedioylcarnitine</t>
  </si>
  <si>
    <t>(3E,5E,8Z)-癸-3,5,8-三烯二酰基肉碱</t>
  </si>
  <si>
    <t>HMDB0241127</t>
  </si>
  <si>
    <t>C[N+](C)(C)CC(CC([O-])=O)OC(=O)CC=CC=CCC=CC(O)=O</t>
  </si>
  <si>
    <t>AHIUIYMBNXSIQH-UHFFFAOYSA-N</t>
  </si>
  <si>
    <t>205.4008, 280.1849, 303.5102, 339.9861, 340.0516, 340.1774, 340.2750, 340.6792, 360.2107, 657.3664</t>
  </si>
  <si>
    <t>C17H25NO6</t>
  </si>
  <si>
    <t>FT0191NR</t>
  </si>
  <si>
    <t>meso-Erythritol</t>
  </si>
  <si>
    <t>赤藓糖醇</t>
  </si>
  <si>
    <t>HMDB0002994</t>
  </si>
  <si>
    <t>C00503</t>
  </si>
  <si>
    <t>149-32-6</t>
  </si>
  <si>
    <t>OC[C@H](O)[C@H](O)CO</t>
  </si>
  <si>
    <t>UNXHWFMMPAWVPI-ZXZARUISSA-N</t>
  </si>
  <si>
    <t>FT3108PR</t>
  </si>
  <si>
    <t>Desciclovir</t>
  </si>
  <si>
    <t>地昔洛韦</t>
  </si>
  <si>
    <t>HMDB0251033</t>
  </si>
  <si>
    <t>NC1=NC=C2N=CN(COCCO)C2=N1</t>
  </si>
  <si>
    <t>OKQHSIGMOWQUIK-UHFFFAOYSA-N</t>
  </si>
  <si>
    <t>114.0470, 114.0662, 114.0815, 114.0854, 114.0955, 169.9861, 227.0653, 227.0998, 227.1259, 227.2001</t>
  </si>
  <si>
    <t>C8H11N5O2</t>
  </si>
  <si>
    <t>FT5081PR</t>
  </si>
  <si>
    <t>poststerone</t>
  </si>
  <si>
    <t>坡斯特甾酮</t>
  </si>
  <si>
    <t>LMST02030165</t>
  </si>
  <si>
    <t>C08837</t>
  </si>
  <si>
    <t>C1[C@@]2(C)[C@]([H])(C(=O)C=C3[C@]2([H])CC[C@]2(C)[C@@]([H])(C(=O)C)CC[C@@]32O)C[C@@H](O)[C@H]1O</t>
  </si>
  <si>
    <t>VNLQNGYIXVTQRR-NQPIQAHSSA-N</t>
  </si>
  <si>
    <t>Oxosteroids</t>
  </si>
  <si>
    <t>氧化类固醇</t>
  </si>
  <si>
    <t>FT1951PR</t>
  </si>
  <si>
    <t>Oxidized-adrenal-ferredoxin</t>
  </si>
  <si>
    <t>氧化肾上腺铁氧还蛋白</t>
  </si>
  <si>
    <t>HMDB0062515</t>
  </si>
  <si>
    <t>329-65-7</t>
  </si>
  <si>
    <t>CNCC(O)C1=CC(O)=C(O)C=C1</t>
  </si>
  <si>
    <t>UCTWMZQNUQWSLP-UHFFFAOYSA-N</t>
  </si>
  <si>
    <t>C9H13NO3</t>
  </si>
  <si>
    <t>FT0743NR</t>
  </si>
  <si>
    <t>N(6)-Methyllysine</t>
  </si>
  <si>
    <t>N(6)-甲基赖氨酸</t>
  </si>
  <si>
    <t>HMDB0002038</t>
  </si>
  <si>
    <t>C02728</t>
  </si>
  <si>
    <t>1188-07-4</t>
  </si>
  <si>
    <t>CNCCCC[C@H](N)C(O)=O</t>
  </si>
  <si>
    <t>PQNASZJZHFPQLE-LURJTMIESA-N</t>
  </si>
  <si>
    <t>115.0030, 115.0763, 115.0872, 116.0351, 132.0293, 159.0109, 159.0658, 159.1135, 160.0248, 160.1171</t>
  </si>
  <si>
    <t>FT0220NR</t>
  </si>
  <si>
    <t>Gamma-delta-Dioxovaleric acid</t>
  </si>
  <si>
    <t>γ-δ-二氧戊酸</t>
  </si>
  <si>
    <t>HMDB0013233</t>
  </si>
  <si>
    <t>C02800</t>
  </si>
  <si>
    <t>OC(=O)CCC(=O)C=O</t>
  </si>
  <si>
    <t>YHUFRVYVNKGICT-UHFFFAOYSA-N</t>
  </si>
  <si>
    <t>FT2955PR</t>
  </si>
  <si>
    <t>beta-D-galactosyl</t>
  </si>
  <si>
    <t>β-D-半乳糖基</t>
  </si>
  <si>
    <t>HMDB0249118</t>
  </si>
  <si>
    <t>CC1OC(CO)C(O)C(O)C1O</t>
  </si>
  <si>
    <t>VUWMDLRKEQUSPZ-UHFFFAOYSA-N</t>
  </si>
  <si>
    <t>96.9222, 98.9192, 148.9352, 158.9640, 172.7066, 216.9232, 217.0216, 217.0457, 217.1042, 230.0739</t>
  </si>
  <si>
    <t>C7H14O5</t>
  </si>
  <si>
    <t>FT1879NR</t>
  </si>
  <si>
    <t>2,3-Dihydro-6-methoxy-2,2-dimethyl-4H-1-benzopyran-4-one</t>
  </si>
  <si>
    <t>2,2-二甲基-6-甲氧基色满-4-酮</t>
  </si>
  <si>
    <t>HMDB0041410</t>
  </si>
  <si>
    <t>13229-59-9</t>
  </si>
  <si>
    <t>COC1=CC2=C(OC(C)(C)CC2=O)C=C1</t>
  </si>
  <si>
    <t>ZCZUDOBLRMXOGV-UHFFFAOYSA-N</t>
  </si>
  <si>
    <t>C12H14O3</t>
  </si>
  <si>
    <t>FT2767NR</t>
  </si>
  <si>
    <t>estrane-3alpha,17alpha-diol</t>
  </si>
  <si>
    <t>雌甾烷-3α，17α-二醇</t>
  </si>
  <si>
    <t>LMST02010019</t>
  </si>
  <si>
    <t>C1C2[C@@]3([H])CC[C@]4(C)[C@H](O)CC[C@@]4([H])[C@]3([H])CC[C@@]2([H])C[C@H](O)C1</t>
  </si>
  <si>
    <t>QNKATSBSLLYTMH-IRGUFUGLSA-N</t>
  </si>
  <si>
    <t>101.1474, 133.7191, 196.1649, 205.3838, 205.4042, 206.6396, 255.2325, 256.2363, 323.2197, 324.2227</t>
  </si>
  <si>
    <t>C18H30O2</t>
  </si>
  <si>
    <t>FT3913PR</t>
  </si>
  <si>
    <t>17-oxo-octadecanoic acid</t>
  </si>
  <si>
    <t>17-氧代十八烷酸</t>
  </si>
  <si>
    <t>LMFA02000261</t>
  </si>
  <si>
    <t>C(CCCCCCCCCCCCCCCC(=O)C)(=O)O</t>
  </si>
  <si>
    <t>WMMNNWMMXHQOPA-UHFFFAOYSA-N</t>
  </si>
  <si>
    <t>FT4110NR</t>
  </si>
  <si>
    <t>Nimbolide</t>
  </si>
  <si>
    <t>印楝内酯</t>
  </si>
  <si>
    <t>HMDB0255610</t>
  </si>
  <si>
    <t>COC(=O)CC1C2(C)C(OC3CC(C(C)=C23)C2=COC=C2)C2OC(=O)C3(C)C=CC(=O)C1(C)C23</t>
  </si>
  <si>
    <t>JZIQWNPPBKFOPT-UHFFFAOYSA-N</t>
  </si>
  <si>
    <t>96.9597, 107.2989, 251.3652, 339.9192, 341.6667, 383.4237, 397.2045, 411.1484, 465.1906, 465.3107</t>
  </si>
  <si>
    <t>C27H30O7</t>
  </si>
  <si>
    <t>FT0055NR</t>
  </si>
  <si>
    <t>Sarcosine</t>
  </si>
  <si>
    <t>肌氨酸</t>
  </si>
  <si>
    <t>HMDB0000271</t>
  </si>
  <si>
    <t>C00213</t>
  </si>
  <si>
    <t>107-97-1</t>
  </si>
  <si>
    <t>CNCC(O)=O</t>
  </si>
  <si>
    <t>FSYKKLYZXJSNPZ-UHFFFAOYSA-N</t>
  </si>
  <si>
    <t>C3H7NO2</t>
  </si>
  <si>
    <t>FT1091NR</t>
  </si>
  <si>
    <t>4-hydroxy-2-oxo-Heptanedioic acid</t>
  </si>
  <si>
    <t>4-羟基-2-氧代庚二酸</t>
  </si>
  <si>
    <t>LMFA01170052</t>
  </si>
  <si>
    <t>C05601</t>
  </si>
  <si>
    <t>C(C(=O)CC(O)CCC(=O)O)(=O)O</t>
  </si>
  <si>
    <t>HNOAJOYERZTSNK-UHFFFAOYSA-N</t>
  </si>
  <si>
    <t>C7H10O6</t>
  </si>
  <si>
    <t>FT3998NR</t>
  </si>
  <si>
    <t>Bile acid</t>
  </si>
  <si>
    <t>胆汁酸</t>
  </si>
  <si>
    <t>HMDB0249206</t>
  </si>
  <si>
    <t>CC(CCC(O)=O)C1CCC2C3C(O)CC4CC(O)CCC4(C)C3CC(O)C12C</t>
  </si>
  <si>
    <t>BHQCQFFYRZLCQQ-UHFFFAOYSA-N</t>
  </si>
  <si>
    <t>FT1922PR</t>
  </si>
  <si>
    <t>Coumarinic acid</t>
  </si>
  <si>
    <t>香豆酸</t>
  </si>
  <si>
    <t>HMDB0041592</t>
  </si>
  <si>
    <t>C05838</t>
  </si>
  <si>
    <t>495-79-4</t>
  </si>
  <si>
    <t>OC(=O)\C=C/C1=C(O)C=CC=C1</t>
  </si>
  <si>
    <t>PMOWTIHVNWZYFI-WAYWQWQTSA-N</t>
  </si>
  <si>
    <t>142.9670, 147.0439, 147.0792, 148.0467, 149.0264, 164.9202, 165.0549, 165.0900, 165.1291, 166.0542</t>
  </si>
  <si>
    <t>FT2173NR</t>
  </si>
  <si>
    <t>5-(Hexahydro-2-oxo-1H-thieno[3,4-D]imidazol-6-YL)pentanal</t>
  </si>
  <si>
    <t>5-(六氢-2-氧代-1H-噻吩并[3,4-D]咪唑-6-YL)戊醛</t>
  </si>
  <si>
    <t>HMDB0246728</t>
  </si>
  <si>
    <t>O=CCCCCC1SCC2NC(=O)NC12</t>
  </si>
  <si>
    <t>ARDNWGMSCXSPBF-UHFFFAOYSA-N</t>
  </si>
  <si>
    <t>Biotin and derivatives</t>
  </si>
  <si>
    <t>生物素及其衍生物</t>
  </si>
  <si>
    <t>C10H16N2O2S</t>
  </si>
  <si>
    <t>FT7198PR</t>
  </si>
  <si>
    <t>PON-PC</t>
  </si>
  <si>
    <t xml:space="preserve"> PON-PC</t>
  </si>
  <si>
    <t>LMGP20010008</t>
  </si>
  <si>
    <t>[C@](COP(=O)([O-])OCC[N+](C)(C)C)([H])(OC(CCCCCCCC([H])=O)=O)COC(CCCCCCCCCCCCCCC)=O</t>
  </si>
  <si>
    <t>PPTNNIINSOQWCE-WJOKGBTCSA-N</t>
  </si>
  <si>
    <t>C33H64NO9P</t>
  </si>
  <si>
    <t>FT1683PR</t>
  </si>
  <si>
    <t>1,2-Cyclohexanediol</t>
  </si>
  <si>
    <t>1,2-环己二醇</t>
  </si>
  <si>
    <t>HMDB0244061</t>
  </si>
  <si>
    <t>C12313</t>
  </si>
  <si>
    <t>931-17-9</t>
  </si>
  <si>
    <t>OC1CCCCC1O</t>
  </si>
  <si>
    <t>PFURGBBHAOXLIO-UHFFFAOYSA-N</t>
  </si>
  <si>
    <t>131.9741, 137.0961, 138.9946, 140.0111, 154.9905, 155.0464, 155.0697, 155.1066, 155.1540, 156.0202</t>
  </si>
  <si>
    <t>C6H12O2</t>
  </si>
  <si>
    <t>FT2699NR</t>
  </si>
  <si>
    <t>11,12-dihydroxy stearic acid</t>
  </si>
  <si>
    <t>11,12-二羟基硬脂酸</t>
  </si>
  <si>
    <t>LMFA02000145</t>
  </si>
  <si>
    <t>C(CCCC)CC(O)C(O)CCCCCCCCCC(=O)O</t>
  </si>
  <si>
    <t>BXMZIUSKYCZVAK-UHFFFAOYSA-N</t>
  </si>
  <si>
    <t>FT4416NR</t>
  </si>
  <si>
    <t>PE(20:3/0:0)</t>
  </si>
  <si>
    <t>磷脂酰乙醇胺(20:3/0:0)</t>
  </si>
  <si>
    <t>HMDB0011516</t>
  </si>
  <si>
    <t>LMGP02050022</t>
  </si>
  <si>
    <t>[C@](COP(=O)(O)OCCN)([H])(O)COC(CCCCCC/C=C\C/C=C\C/C=C\CCCCC)=O</t>
  </si>
  <si>
    <t>RNWSKZCVPICGIX-XQCPFYKGSA-N</t>
  </si>
  <si>
    <t>FT2542PR</t>
  </si>
  <si>
    <t>1,2,3,4-Tetrahydroisoquinolin-1-yl formate</t>
  </si>
  <si>
    <t>1,2,3,4-四氢异喹啉-1-甲酸酯</t>
  </si>
  <si>
    <t>HMDB0258099</t>
  </si>
  <si>
    <t>O=COC1NCCC2=CC=CC=C12</t>
  </si>
  <si>
    <t>LLHHMQWJVUGHFX-UHFFFAOYSA-N</t>
  </si>
  <si>
    <t>Tetrahydroisoquinolines</t>
  </si>
  <si>
    <t>四氢异喹啉</t>
  </si>
  <si>
    <t>C10H11NO2</t>
  </si>
  <si>
    <t>FT3457NR</t>
  </si>
  <si>
    <t>9,11-Dideoxy-9alpha,11alpha-methanoepoxy-prosta-5E,13E-dien-1-oic acid</t>
  </si>
  <si>
    <t>9,11-双脱氧-9alpha,11alpha-亚甲基环氧-前列腺-5E,13E-二烯-1-酸</t>
  </si>
  <si>
    <t>CCCCCC(C=CC1C2CC(C1CC=CCCCC(=O)O)CO2)O</t>
  </si>
  <si>
    <t>LQANGKSBLPMBTJ-YTQMDITASA-N</t>
  </si>
  <si>
    <t>FT2888NR</t>
  </si>
  <si>
    <t>(S)-a-Amino-2,5-dihydro-5-oxo-4-isoxazolepropanoic acid N2-glucoside</t>
  </si>
  <si>
    <t>(S)-a-氨基-2,5-二氢-5-氧代-4-异恶唑丙酸N2-葡萄糖苷</t>
  </si>
  <si>
    <t>HMDB0029404</t>
  </si>
  <si>
    <t>29790-46-3</t>
  </si>
  <si>
    <t>NC(CC1=CN(OC1=O)C1OC(CO)C(O)C(O)C1O)C(O)=O</t>
  </si>
  <si>
    <t>OURYTICKCZBKFC-UHFFFAOYSA-N</t>
  </si>
  <si>
    <t>C12H18N2O9</t>
  </si>
  <si>
    <t>FT3540PR</t>
  </si>
  <si>
    <t>N-(Carboxymethyl)-N-(2-((carboxymethyl)amino)ethyl)glycine</t>
  </si>
  <si>
    <t>乙二胺三乙酸</t>
  </si>
  <si>
    <t>HMDB0247201</t>
  </si>
  <si>
    <t>OC(=O)CNCCN(CC(O)=O)CC(O)=O</t>
  </si>
  <si>
    <t>OUDSFQBUEBFSPS-UHFFFAOYSA-N</t>
  </si>
  <si>
    <t>251.3414, 256.2627, 257.0092, 257.0738, 257.1186, 257.1581, 257.1884, 257.2680, 258.1128, 277.1936</t>
  </si>
  <si>
    <t>FT1761NR</t>
  </si>
  <si>
    <t>ascr#12</t>
  </si>
  <si>
    <t>(5R)-5-[(3,6-二脱氧-α-L-阿拉伯己吡喃糖基)氧基]己酸</t>
  </si>
  <si>
    <t>LMFA13040038</t>
  </si>
  <si>
    <t>O([C@@H](CCCC(=O)O)C)[C@H]1[C@H](O)C[C@@H](O)[C@H](C)O1</t>
  </si>
  <si>
    <t>LGGOKKRYYYYXPA-VEOFNUSFSA-N</t>
  </si>
  <si>
    <t>C12H22O6</t>
  </si>
  <si>
    <t>FT4249NR</t>
  </si>
  <si>
    <t>11-Oxo-androsterone glucuronide</t>
  </si>
  <si>
    <t>11-氧代雄酮葡萄糖醛酸苷</t>
  </si>
  <si>
    <t>HMDB0010338</t>
  </si>
  <si>
    <t>CC12CC(=O)C3C(CCC4CC(CCC34C)OC3OC(C(O)C(O)C3O)C(O)=O)C1CCC2=O</t>
  </si>
  <si>
    <t>QTXWOOLAHRQMGZ-UHFFFAOYSA-N</t>
  </si>
  <si>
    <t>C25H36O9</t>
  </si>
  <si>
    <t>FT3962PR</t>
  </si>
  <si>
    <t>17-hydroxy stearic acid</t>
  </si>
  <si>
    <t>17- 羟基硬脂酸</t>
  </si>
  <si>
    <t>LMFA02000135</t>
  </si>
  <si>
    <t>C(CCCCCCCCCCCCCC(O)C)CC(=O)O</t>
  </si>
  <si>
    <t>CKGPXFKOAGKQDN-UHFFFAOYSA-N</t>
  </si>
  <si>
    <t>C18H36O3</t>
  </si>
  <si>
    <t>FT4502PR</t>
  </si>
  <si>
    <t>7-Methylnonanoylcarnitine</t>
  </si>
  <si>
    <t>7-甲基壬酰肉碱</t>
  </si>
  <si>
    <t>HMDB0240789</t>
  </si>
  <si>
    <t>CCC(C)CCCCCC(=O)OC(CC([O-])=O)C[N+](C)(C)C</t>
  </si>
  <si>
    <t>MTPSYDDQPQURAJ-UHFFFAOYSA-N</t>
  </si>
  <si>
    <t>257.1741, 275.4651, 313.9832, 316.1383, 316.1588, 316.2476, 316.3148, 316.3328, 317.2504, 317.6654</t>
  </si>
  <si>
    <t>C17H33NO4</t>
  </si>
  <si>
    <t>FT2974NR</t>
  </si>
  <si>
    <t>Eicosanedioic acid</t>
  </si>
  <si>
    <t>二十烷二酸</t>
  </si>
  <si>
    <t>HMDB0242141</t>
  </si>
  <si>
    <t>LMFA01170035</t>
  </si>
  <si>
    <t>C(CCCCCCCCCCCCCCCCCCC(=O)O)(=O)O</t>
  </si>
  <si>
    <t>JJOJFIHJIRWASH-UHFFFAOYSA-N</t>
  </si>
  <si>
    <t>FT5034PR</t>
  </si>
  <si>
    <t>19-methyl-heneicosanoic acid</t>
  </si>
  <si>
    <t>19-甲基-二十二烷酸</t>
  </si>
  <si>
    <t>LMFA01020227</t>
  </si>
  <si>
    <t>C(CCCCCCCCCCCCCCCCCC(C)CC)(=O)O</t>
  </si>
  <si>
    <t>CDGJKEUOLAMVSS-UHFFFAOYSA-N</t>
  </si>
  <si>
    <t>329.3240, 340.2711, 340.3574, 358.2403, 358.2869, 358.3670, 358.4479, 359.2403, 359.2856, 359.3708</t>
  </si>
  <si>
    <t>C22H44O2</t>
  </si>
  <si>
    <t>FT2732NR</t>
  </si>
  <si>
    <t>Biotin thiamine</t>
  </si>
  <si>
    <t>生物素硫胺素</t>
  </si>
  <si>
    <t>HMDB0249230</t>
  </si>
  <si>
    <t>SOC(=O)CCCCC1SCC2NC(=O)NC12</t>
  </si>
  <si>
    <t>PWAOCCNCAGWBGY-UHFFFAOYSA-N</t>
  </si>
  <si>
    <t>121.0390, 133.8114, 165.3314, 173.0427, 187.0001, 205.3958, 233.1901, 253.0712, 253.1018, 321.0587</t>
  </si>
  <si>
    <t>C10H16N2O3S2</t>
  </si>
  <si>
    <t>FT3015NR</t>
  </si>
  <si>
    <t>Methyl-[10]-gingerol</t>
  </si>
  <si>
    <t>甲基-[10]-姜酚</t>
  </si>
  <si>
    <t>HMDB0303109</t>
  </si>
  <si>
    <t>CCCCCCCCCC(O)CC(=O)CCC1=CC=C(OC)C(OC)=C1</t>
  </si>
  <si>
    <t>YCMYNWSNMYONMK-UHFFFAOYSA-N</t>
  </si>
  <si>
    <t>C22H36O4</t>
  </si>
  <si>
    <t>FT1440NR</t>
  </si>
  <si>
    <t>Rapalexin B</t>
  </si>
  <si>
    <t>雷帕莱辛B</t>
  </si>
  <si>
    <t>HMDB0302105</t>
  </si>
  <si>
    <t>COC1=C2C(NC=C2N=C=S)=CC=C1O</t>
  </si>
  <si>
    <t>RIANPHYYVJUMIF-UHFFFAOYSA-N</t>
  </si>
  <si>
    <t>Hydroxyindoles</t>
  </si>
  <si>
    <t>羟基吲哚</t>
  </si>
  <si>
    <t>71.21846, 73.47176, 73.55598, 90.03438, 150.00154, 182.55293, 218.98705, 219.02306, 231.44348</t>
  </si>
  <si>
    <t>C10H8N2O2S</t>
  </si>
  <si>
    <t>FT4436PR</t>
  </si>
  <si>
    <t>Tanshinone IIA</t>
  </si>
  <si>
    <t>丹参酮 IIA</t>
  </si>
  <si>
    <t>HMDB0258715</t>
  </si>
  <si>
    <t>CC1=COC2=C1C(=O)C(=O)C1=C3CCCC(C)(C)C3=CC=C21</t>
  </si>
  <si>
    <t>HYXITZLLTYIPOF-UHFFFAOYSA-N</t>
  </si>
  <si>
    <t>C19H18O3</t>
  </si>
  <si>
    <t>FT5031PR</t>
  </si>
  <si>
    <t>10-Methyldodecanoylcarnitine</t>
  </si>
  <si>
    <t>10-甲基十二酰肉碱</t>
  </si>
  <si>
    <t>HMDB0240820</t>
  </si>
  <si>
    <t>CCC(C)CCCCCCCCC(=O)OC(CC([O-])=O)C[N+](C)(C)C</t>
  </si>
  <si>
    <t>JSHRDBPPSYOBHE-UHFFFAOYSA-N</t>
  </si>
  <si>
    <t>FT4030NR</t>
  </si>
  <si>
    <t>Homoavicholic acid</t>
  </si>
  <si>
    <t>高鸟胆酸</t>
  </si>
  <si>
    <t>LMST04070041</t>
  </si>
  <si>
    <t>C1[C@]2(C)[C@@]3([H])CC[C@]4(C)[C@@]([H])([C@]([H])(C)CCCC(=O)O)[C@H](O)C[C@@]4([H])[C@]3([H])[C@H](O)C[C@]2([H])C[C@H](O)C1</t>
  </si>
  <si>
    <t>NKSUISQSQREBOX-UKYLPQCDSA-N</t>
  </si>
  <si>
    <t>C25H42O5</t>
  </si>
  <si>
    <t>FT4475NR</t>
  </si>
  <si>
    <t>MGMG(18:4;O/0:0)</t>
  </si>
  <si>
    <t xml:space="preserve"> MGMG(18:4;O/0:0)</t>
  </si>
  <si>
    <t>LMGL04010016</t>
  </si>
  <si>
    <t>C(O[C@H]1[C@H](O)[C@@H](O)[C@@H](O)[C@@H](CO)O1)[C@]([H])(O)COC(CCCCCCC[C@H]1C=CC(=O)[C@H]1C/C=C\CC)=O</t>
  </si>
  <si>
    <t>AABZWWBXDMYGEW-VHLFVCRRSA-N</t>
  </si>
  <si>
    <t>C27H44O10</t>
  </si>
  <si>
    <t>FT5424PR</t>
  </si>
  <si>
    <t>1alpha,25-dihydroxy-9,11-didehydro-3-deoxyvitamin D3</t>
  </si>
  <si>
    <t>1α,25-二羟基-9,11-二脱氢-3-脱氧维生素 D3</t>
  </si>
  <si>
    <t>LMST03020154</t>
  </si>
  <si>
    <t>[C@@H]1(O)C(=C)/C(=C\C=C2\[C@]3([H])CC[C@@]([H])([C@@]3(C)CC=C\2)[C@]([H])(C)CCCC(O)(C)C)/CCC1</t>
  </si>
  <si>
    <t>ZECPSDRMBPGOTD-FBXCIANDSA-N</t>
  </si>
  <si>
    <t>C27H42O2</t>
  </si>
  <si>
    <t>FT3401NR</t>
  </si>
  <si>
    <t>7alpha-Hydroxy-12-oxo-5beta-cholan-24-oic Acid</t>
  </si>
  <si>
    <t>7α-羟基-12-氧代-5β-胆烷-24-油酸</t>
  </si>
  <si>
    <t>LMST04010164</t>
  </si>
  <si>
    <t>C1[C@]2(C)[C@@]3([H])CC(=O)[C@]4(C)[C@@]([H])([C@]([H])(C)CCC(O)=O)CC[C@@]4([H])[C@]3([H])[C@H](O)C[C@]2([H])CCC1</t>
  </si>
  <si>
    <t>DXDVRSMVCCEPOO-WTBUVIQXSA-N</t>
  </si>
  <si>
    <t>FT1652NR</t>
  </si>
  <si>
    <t>11,12,13-Trinor-1(10)-spirovetivene-2,7-dione</t>
  </si>
  <si>
    <t>11,12,13-Trinor-1(10)-螺维烯-2,7-二酮</t>
  </si>
  <si>
    <t>HMDB0036734</t>
  </si>
  <si>
    <t>84413-75-2</t>
  </si>
  <si>
    <t>CC1CC(=O)C=C(C)C11CCC(=O)C1</t>
  </si>
  <si>
    <t>OGDKSKNHHSXJNA-UHFFFAOYSA-N</t>
  </si>
  <si>
    <t>C12H16O2</t>
  </si>
  <si>
    <t>FT3783NR</t>
  </si>
  <si>
    <t>1alpha,25-dihydroxy-3-deoxy-19-norvitamin D3</t>
  </si>
  <si>
    <t>1α,25-二羟基-3-脱氧-19-去甲维生素 D3</t>
  </si>
  <si>
    <t>LMST03020562</t>
  </si>
  <si>
    <t>[C@@H]1(O)C/C(=C\C=C2\[C@]3([H])CC[C@@]([C@@](C)([H])CCCC(O)(C)C)([H])[C@@]3(C)CCC\2)/CCC1</t>
  </si>
  <si>
    <t>LJMDYVKRZKWSKK-UDMMNZRLSA-N</t>
  </si>
  <si>
    <t>C26H44O2</t>
  </si>
  <si>
    <t>FT1636PR</t>
  </si>
  <si>
    <t>2-oxo-5-amino-pentanoic acid</t>
  </si>
  <si>
    <t>2-氧代-5-氨基戊酸</t>
  </si>
  <si>
    <t>HMDB0006272</t>
  </si>
  <si>
    <t>LMFA01060169</t>
  </si>
  <si>
    <t>C01110</t>
  </si>
  <si>
    <t>C(=O)(CCCN)C(=O)O</t>
  </si>
  <si>
    <t>BWHGMFYTDQEALD-UHFFFAOYSA-N</t>
  </si>
  <si>
    <t>137.0602, 149.9609, 153.9927, 154.0122, 154.0485, 154.0606, 154.0843, 154.0959, 154.9900, 155.0694</t>
  </si>
  <si>
    <t>FT3412PR</t>
  </si>
  <si>
    <t>L-beta-aspartyl-L-leucine</t>
  </si>
  <si>
    <t>L-β-天冬氨酰-L-亮氨酸</t>
  </si>
  <si>
    <t>HMDB0011166</t>
  </si>
  <si>
    <t>CC(C)CC(NC(=O)CC(N)C(O)=O)C(O)=O</t>
  </si>
  <si>
    <t>IYJILWQAFPUBHP-UHFFFAOYSA-N</t>
  </si>
  <si>
    <t>Peptidomimetics</t>
  </si>
  <si>
    <t>Hybrid peptides</t>
  </si>
  <si>
    <t>拟肽剂</t>
  </si>
  <si>
    <t>混合肽</t>
  </si>
  <si>
    <t>FT4316PR</t>
  </si>
  <si>
    <t>7-Methyloctanoylcarnitine</t>
  </si>
  <si>
    <t>7-甲基辛酰肉碱</t>
  </si>
  <si>
    <t>HMDB0241051</t>
  </si>
  <si>
    <t>CC(C)CCCCCC(=O)OC(CC([O-])=O)C[N+](C)(C)C</t>
  </si>
  <si>
    <t>XHDNKNHXZIJLOY-UHFFFAOYSA-N</t>
  </si>
  <si>
    <t>C16H31NO4</t>
  </si>
  <si>
    <t>FT0879NR</t>
  </si>
  <si>
    <t>Vinyl carbamate</t>
  </si>
  <si>
    <t>氨基甲酸乙烯酯</t>
  </si>
  <si>
    <t>HMDB0259822</t>
  </si>
  <si>
    <t>NC(=O)OC=C</t>
  </si>
  <si>
    <t>LVLANIHJQRZTPY-UHFFFAOYSA-N</t>
  </si>
  <si>
    <t>C3H5NO2</t>
  </si>
  <si>
    <t>FT2479NR</t>
  </si>
  <si>
    <t>15-oxo-octadecanoic acid</t>
  </si>
  <si>
    <t>15-氧代十八烷酸</t>
  </si>
  <si>
    <t>LMFA02000259</t>
  </si>
  <si>
    <t>C(CCCCCCCCCCCCCC(=O)CCC)(=O)O</t>
  </si>
  <si>
    <t>ZNCSJRIRJLKPNR-UHFFFAOYSA-N</t>
  </si>
  <si>
    <t>FT1074NR</t>
  </si>
  <si>
    <t>N-Acetyl-L-glutamic acid</t>
  </si>
  <si>
    <t>N-乙酰-L-谷氨酸</t>
  </si>
  <si>
    <t>HMDB0001138</t>
  </si>
  <si>
    <t>C00624</t>
  </si>
  <si>
    <t>hsa00220,hsa00470</t>
  </si>
  <si>
    <t>Arginine biosynthesis|D-Amino acid metabolism</t>
  </si>
  <si>
    <t>R-HSA-1430728,R-HSA-70635,R-HSA-71291</t>
  </si>
  <si>
    <t>Metabolism|Urea cycle|Metabolism of amino acids and derivatives</t>
  </si>
  <si>
    <t>1188-37-0</t>
  </si>
  <si>
    <t>CC(=O)N[C@@H](CCC(O)=O)C(O)=O</t>
  </si>
  <si>
    <t>RFMMMVDNIPUKGG-YFKPBYRVSA-N</t>
  </si>
  <si>
    <t>C7H11NO5</t>
  </si>
  <si>
    <t>FT0733NR</t>
  </si>
  <si>
    <t>4-Hydroxystachydrine</t>
  </si>
  <si>
    <t>4-羟基水苏碱</t>
  </si>
  <si>
    <t>HMDB0029230</t>
  </si>
  <si>
    <t>[H]OC1C[C@H](C([O-])=O)[N+](C)(C)C1</t>
  </si>
  <si>
    <t>MUNWAHDYFVYIKH-PRJDIBJQSA-N</t>
  </si>
  <si>
    <t>FT3857PR</t>
  </si>
  <si>
    <t>hydroxyisovaleroyl carnitine</t>
  </si>
  <si>
    <t>羟基异戊酰肉碱</t>
  </si>
  <si>
    <t>HMDB0062555</t>
  </si>
  <si>
    <t>LMFA07070073</t>
  </si>
  <si>
    <t>O(C(CC(C)C)=O)C(CC(=O)[O-])(C[N+](C)(C)C)O</t>
  </si>
  <si>
    <t>DHRNMNHPSWBJEN-UHFFFAOYSA-N</t>
  </si>
  <si>
    <t>261.0446, 279.0198, 279.0558, 279.0894, 279.1192, 279.1565, 279.1909, 279.2271, 280.0607, 280.0910</t>
  </si>
  <si>
    <t>C12H23NO5</t>
  </si>
  <si>
    <t>FT5870PR</t>
  </si>
  <si>
    <t>Cholestane-3b,5a,6b,(25R)26-tetrol</t>
  </si>
  <si>
    <t>胆甾烷-3b,5a,6b,(25R)26-四醇</t>
  </si>
  <si>
    <t>LMST01010458</t>
  </si>
  <si>
    <t>[C@]12(C[C@@H](O)[C@@]3(O)C[C@@H](O)CC[C@]3(C)[C@@]1([H])CC[C@]1(C)[C@@]([H])([C@@](C)([H])CCC[C@@H](C)CO)CC[C@@]21[H])[H]</t>
  </si>
  <si>
    <t>PFYSRSDOSXYIFG-JKYVJSSTSA-N</t>
  </si>
  <si>
    <t>C27H48O4</t>
  </si>
  <si>
    <t>FT4114PR</t>
  </si>
  <si>
    <t>Cymatherelactone</t>
  </si>
  <si>
    <t>西马内酯</t>
  </si>
  <si>
    <t>LMFA07040130</t>
  </si>
  <si>
    <t>[C@H]12[C@@H]([C@@H]3[C@@H](O3)C1)C=CCCCCC(O[C@H](CC)[C@@H]1C[C@@H]21)=O</t>
  </si>
  <si>
    <t>FIICQHIPIFWHRY-HFOVYDPPSA-N</t>
  </si>
  <si>
    <t>C18H26O3</t>
  </si>
  <si>
    <t>FT4589PR</t>
  </si>
  <si>
    <t>8,11-Eicosadiynoic acid</t>
  </si>
  <si>
    <t>8,11-二十碳二烯酸</t>
  </si>
  <si>
    <t>LMFA01030688</t>
  </si>
  <si>
    <t>82073-91-4</t>
  </si>
  <si>
    <t>C(CCCCCCC#CCC#CCCCCCCCC)(=O)O</t>
  </si>
  <si>
    <t>AJBBHZDIKZCZAI-UHFFFAOYSA-N</t>
  </si>
  <si>
    <t>186.9308, 205.4094, 251.4526, 257.6159, 262.2971, 277.2140, 299.0624, 302.6867, 322.2735, 322.3078</t>
  </si>
  <si>
    <t>FT3039NR</t>
  </si>
  <si>
    <t>ent-16b,19-Kauranediol 19-acetate</t>
  </si>
  <si>
    <t>ent-16b,19-贝壳杉二醇 19-乙酸酯</t>
  </si>
  <si>
    <t>HMDB0036801</t>
  </si>
  <si>
    <t>30320-70-8</t>
  </si>
  <si>
    <t>CC(=O)OCC1(C)CCCC2(C)C3CCC4CC3(CC4(C)O)CCC12</t>
  </si>
  <si>
    <t>AELNFENJKQXLPW-UHFFFAOYSA-N</t>
  </si>
  <si>
    <t>51.06851, 59.01365, 70.08391, 70.13005, 70.34937, 76.57671, 117.41074, 142.9977, 302.70074, 347.25922</t>
  </si>
  <si>
    <t>C22H36O3</t>
  </si>
  <si>
    <t>FT5772PR</t>
  </si>
  <si>
    <t>PE(O-16:0/0:0)</t>
  </si>
  <si>
    <t>磷脂酰乙醇胺(O-16:0/0:0)</t>
  </si>
  <si>
    <t>LMGP02060002</t>
  </si>
  <si>
    <t>[C@](COP(=O)(O)OCCN)([H])(O)COCCCCCCCCCCCCCCCC</t>
  </si>
  <si>
    <t>OKXWJISJKQKUTN-OAQYLSRUSA-N</t>
  </si>
  <si>
    <t>C21H46NO6P</t>
  </si>
  <si>
    <t>FT0812PR</t>
  </si>
  <si>
    <t>Guanidoacetic acid</t>
  </si>
  <si>
    <t>胍基乙酸</t>
  </si>
  <si>
    <t>HMDB0000128</t>
  </si>
  <si>
    <t>C00581</t>
  </si>
  <si>
    <t>R-HSA-1430728,R-HSA-71288,R-HSA-71291</t>
  </si>
  <si>
    <t>Metabolism|Creatine metabolism|Metabolism of amino acids and derivatives</t>
  </si>
  <si>
    <t>352-97-6</t>
  </si>
  <si>
    <t>NC(=N)NCC(O)=O</t>
  </si>
  <si>
    <t>BPMFZUMJYQTVII-UHFFFAOYSA-N</t>
  </si>
  <si>
    <t>C3H7N3O2</t>
  </si>
  <si>
    <t>FT0726NR</t>
  </si>
  <si>
    <t>2-Methylcyclohexanone</t>
  </si>
  <si>
    <t>2-甲基环己酮</t>
  </si>
  <si>
    <t>HMDB0031539</t>
  </si>
  <si>
    <t>583-60-8</t>
  </si>
  <si>
    <t>CC1CCCCC1=O</t>
  </si>
  <si>
    <t>LFSAPCRASZRSKS-UHFFFAOYSA-N</t>
  </si>
  <si>
    <t>112.9974, 113.0605, 135.1480, 140.3436, 142.6672, 148.1437, 156.8947, 156.9870, 157.0866, 158.0823</t>
  </si>
  <si>
    <t>C7H12O</t>
  </si>
  <si>
    <t>FT2484PR</t>
  </si>
  <si>
    <t>2-[Bis-(2-hydroxy-ethyl)-amino]-2-hydroxymethyl-propane-1,3-diol</t>
  </si>
  <si>
    <t>双(2-羟乙基)氨基(三羟甲基)甲烷</t>
  </si>
  <si>
    <t>HMDB0249241</t>
  </si>
  <si>
    <t>OCCN(CCO)C(CO)(CO)CO</t>
  </si>
  <si>
    <t>OWMVSZAMULFTJU-UHFFFAOYSA-N</t>
  </si>
  <si>
    <t>C8H19NO5</t>
  </si>
  <si>
    <t>FT6628PR</t>
  </si>
  <si>
    <t>PC(18:0(11cp)/0:0)</t>
  </si>
  <si>
    <t>磷脂酰胆碱(18:0(11cp)/0:0)</t>
  </si>
  <si>
    <t>LMGP01050145</t>
  </si>
  <si>
    <t>[C@](COP(=O)([O-])OCC[N+](C)(C)C)([H])(O)COC(CCCCCCCCCC1CC1CCCCCC)=O</t>
  </si>
  <si>
    <t>JMNXFZCXVGEDAC-NRUKRLKBSA-N</t>
  </si>
  <si>
    <t>FT5805PR</t>
  </si>
  <si>
    <t>24-Oxo-1alpha,23,25-trihydroxyvitamin D3</t>
  </si>
  <si>
    <t>24-氧代-1α,23,25-三羟维生素 D3</t>
  </si>
  <si>
    <t>HMDB0060129</t>
  </si>
  <si>
    <t>C[C@H](C[C@@H](O)C(=O)C(C)(C)O)[C@H]1CC[C@H]2\C(CCC[C@]12C)=C\C=C1/C[C@@H](O)C[C@H](O)C1=C</t>
  </si>
  <si>
    <t>ARRIBDAUGOLZSJ-VWPGOWEMSA-N</t>
  </si>
  <si>
    <t>FT2889NR</t>
  </si>
  <si>
    <t>5S-HpEPE</t>
  </si>
  <si>
    <t>5S-过氧氢脂肪酸</t>
  </si>
  <si>
    <t>LMFA03070001</t>
  </si>
  <si>
    <t>C(O)(=O)CCC[C@H](OO)/C=C/C=C\C/C=C\C/C=C\C/C=C\CC</t>
  </si>
  <si>
    <t>NKXYOIJDQPQELO-GHWNLOBHSA-N</t>
  </si>
  <si>
    <t>285.1837, 287.1975, 302.6782, 302.7144, 305.2084, 317.1728, 319.1886, 333.1085, 333.2041, 334.2073</t>
  </si>
  <si>
    <t>C20H30O4</t>
  </si>
  <si>
    <t>FT3887NR</t>
  </si>
  <si>
    <t>3-Hydroxycholest-8(14)-en-15-one</t>
  </si>
  <si>
    <t>3-羟基-10,13-二甲基-17-(6-甲基庚烷-2-基)-1,2,3,4,5,6,7,9,11,12,16,17-十二氢环戊基[a] 15-菲一</t>
  </si>
  <si>
    <t>HMDB0246892</t>
  </si>
  <si>
    <t>CC(C)CCCC(C)C1CC(=O)C2=C3CCC4CC(O)CCC4(C)C3CCC12C</t>
  </si>
  <si>
    <t>LINVVMHRTUSXHL-UHFFFAOYSA-N</t>
  </si>
  <si>
    <t>C27H44O2</t>
  </si>
  <si>
    <t>FT5092PR</t>
  </si>
  <si>
    <t>1-O-(2-methoxy-hexadecyl)-sn-glycerol</t>
  </si>
  <si>
    <t>1-O-(2-甲氧基-十六烷基)-sn-甘油</t>
  </si>
  <si>
    <t>LMGL01020037</t>
  </si>
  <si>
    <t>C(CCCCCC(OC)COC[C@@](O)(CO)[H])CCCCCCCC</t>
  </si>
  <si>
    <t>LMVRXHKEYGPTCX-XJDOXCRVSA-N</t>
  </si>
  <si>
    <t>Glycerolipids</t>
  </si>
  <si>
    <t>Monoradylglycerols</t>
  </si>
  <si>
    <t>甘油脂</t>
  </si>
  <si>
    <t>单自由基甘油</t>
  </si>
  <si>
    <t>C20H42O4</t>
  </si>
  <si>
    <t>FT1231PR</t>
  </si>
  <si>
    <t>xi-2,5-Dihydro-2,4-dimethylthiazole</t>
  </si>
  <si>
    <t>xi-2,5-二氢-2,4-二甲基噻唑</t>
  </si>
  <si>
    <t>HMDB0040331</t>
  </si>
  <si>
    <t>CC1SCC(C)=N1</t>
  </si>
  <si>
    <t>PLOCKLWJINZHTI-UHFFFAOYSA-N</t>
  </si>
  <si>
    <t>Thiazolines</t>
  </si>
  <si>
    <t>噻唑啉类</t>
  </si>
  <si>
    <t>88.0120, 88.0219, 88.0355, 88.2309, 89.0255, 105.0693, 109.2022, 133.0651, 133.0798, 133.1005</t>
  </si>
  <si>
    <t>C5H9NS</t>
  </si>
  <si>
    <t>FT2724PR</t>
  </si>
  <si>
    <t>N-Acetylisoputreanine</t>
  </si>
  <si>
    <t>N-乙酰异腐胺</t>
  </si>
  <si>
    <t>HMDB0094713</t>
  </si>
  <si>
    <t>CC(O)=NCCCNCCCC(O)=O</t>
  </si>
  <si>
    <t>YGIAGXACEXFIDU-UHFFFAOYSA-N</t>
  </si>
  <si>
    <t>C9H18N2O3</t>
  </si>
  <si>
    <t>FT2507NR</t>
  </si>
  <si>
    <t>DL-13-hydroxy stearic acid</t>
  </si>
  <si>
    <t>13-羟基十八酸</t>
  </si>
  <si>
    <t>HMDB0061662</t>
  </si>
  <si>
    <t>LMFA02000131</t>
  </si>
  <si>
    <t>C(CCCCCCCCCC(O)CCCCC)CC(=O)O</t>
  </si>
  <si>
    <t>MRWKWISFCDSNQN-UHFFFAOYSA-N</t>
  </si>
  <si>
    <t>FT3350NR</t>
  </si>
  <si>
    <t>4-(4-Amino-2,3-dichlorophenyl)-5,6-dichlorobenzene-1,2,3-triamine</t>
  </si>
  <si>
    <t>4-(4-氨基-2,3-二氯苯基)-5,6-二氯苯-1,2,3-三胺</t>
  </si>
  <si>
    <t>HMDB0258055</t>
  </si>
  <si>
    <t>NC1=C(Cl)C(Cl)=C(C=C1)C1=C(N)C(N)=C(N)C(Cl)=C1Cl</t>
  </si>
  <si>
    <t>KRGZFDSEUZCSAT-UHFFFAOYSA-N</t>
  </si>
  <si>
    <t>Biphenyls and derivatives</t>
  </si>
  <si>
    <t>联苯及其衍生物</t>
  </si>
  <si>
    <t>92.9045, 112.9852, 112.9922, 180.9726, 205.3922, 248.9598, 316.9470, 355.1587, 365.3951, 385.1672</t>
  </si>
  <si>
    <t>C12H10Cl4N4</t>
  </si>
  <si>
    <t>FT5081NR</t>
  </si>
  <si>
    <t>Pubescenol</t>
  </si>
  <si>
    <t>阴毛醇</t>
  </si>
  <si>
    <t>LMPR0104300001</t>
  </si>
  <si>
    <t>[C@@]12(O)[C@@H](OC(=O)C)C(=C)CC(OC(=O)C)C(=O)C(C)(C)C=C[C@@H](C)C(=O)C1(OC(=O)C)C[C@H](C)[C@@H]2OC1C=CC=CC=1</t>
  </si>
  <si>
    <t>MTGQAODUFPLLOP-IAXITCCYSA-N</t>
  </si>
  <si>
    <t>285.1759, 286.1275, 314.0476, 432.9939, 539.2780, 560.1827, 583.2552, 583.3622, 584.2551, 608.1851</t>
  </si>
  <si>
    <t>C32H40O10</t>
  </si>
  <si>
    <t>FT5233PR</t>
  </si>
  <si>
    <t>MG(0:0/20:4-OH(16R)/0:0)</t>
  </si>
  <si>
    <t>甘油一酯(0:0/20:4-OH(16R)/0:0)</t>
  </si>
  <si>
    <t>HMDB0260522</t>
  </si>
  <si>
    <t>CCCC[C@@H](O)\C=C/C\C=C/C\C=C/C\C=C/CCCC(=O)OC(CO)CO</t>
  </si>
  <si>
    <t>UOQFFCLZKUFYEK-ATYNMDANSA-N</t>
  </si>
  <si>
    <t>Endocannabinoids</t>
  </si>
  <si>
    <t>内源性大麻素</t>
  </si>
  <si>
    <t>C23H38O5</t>
  </si>
  <si>
    <t>FT6048PR</t>
  </si>
  <si>
    <t>1alpha,25-dihydroxy-11alpha-[(1R)-oxiranyl]vitamin D3</t>
  </si>
  <si>
    <t>1α,25-二羟基-11α-[(1R)-环氧乙烷基]维生素 D3</t>
  </si>
  <si>
    <t>LMST03020411</t>
  </si>
  <si>
    <t>[C@@H]1(O)C(=C)/C(=C\C=C2\[C@]3([H])CC[C@@]([C@@](C)([H])CCCC(O)(C)C)([H])[C@@]3(C)C[C@@H]([C@]3([H])CO3)C\2)/C[C@@H](O)C1</t>
  </si>
  <si>
    <t>RVRKNKJCAWZWEY-LOVJLTMUSA-N</t>
  </si>
  <si>
    <t>C29H46O4</t>
  </si>
  <si>
    <t>FT0880PR</t>
  </si>
  <si>
    <t>2-Piperidone</t>
  </si>
  <si>
    <t>2-氮己环酮</t>
  </si>
  <si>
    <t>HMDB0011749</t>
  </si>
  <si>
    <t>675-20-7</t>
  </si>
  <si>
    <t>O=C1CCCCN1</t>
  </si>
  <si>
    <t>XUWHAWMETYGRKB-UHFFFAOYSA-N</t>
  </si>
  <si>
    <t>Piperidinones</t>
  </si>
  <si>
    <t>哌啶酮类</t>
  </si>
  <si>
    <t>FT1825NR</t>
  </si>
  <si>
    <t>Norepinephrine sulfate</t>
  </si>
  <si>
    <t>硫酸去甲肾上腺素</t>
  </si>
  <si>
    <t>HMDB0002062</t>
  </si>
  <si>
    <t>77469-51-3</t>
  </si>
  <si>
    <t>NC[C@H](O)C1=CC(O)=C(OS(O)(=O)=O)C=C1</t>
  </si>
  <si>
    <t>CVJMZWLHUCMEKO-ZETCQYMHSA-N</t>
  </si>
  <si>
    <t>C8H11NO6S</t>
  </si>
  <si>
    <t>FT2246NR</t>
  </si>
  <si>
    <t>4-nonenal</t>
  </si>
  <si>
    <t>(反式)-4-壬烯醛</t>
  </si>
  <si>
    <t>HMDB0032535</t>
  </si>
  <si>
    <t>LMFA06000043</t>
  </si>
  <si>
    <t>2277-16-9</t>
  </si>
  <si>
    <t>C(CC/C=C/CCC([H])=O)C</t>
  </si>
  <si>
    <t>QPULDJYQYDGZEI-AATRIKPKSA-N</t>
  </si>
  <si>
    <t>FT4525NR</t>
  </si>
  <si>
    <t>Nebrosteroid L</t>
  </si>
  <si>
    <t>黑类固醇L</t>
  </si>
  <si>
    <t>LMST01031112</t>
  </si>
  <si>
    <t>[C@]12([C@@H](OC(=O)C)C=C3C[C@@H](O)CC[C@]3(C([H])=O)[C@@]1([H])CC[C@]1(C)[C@@]([H])([C@@](C)([H])CCC(=C)C(C)C)CC[C@@]21[H])[H]</t>
  </si>
  <si>
    <t>IBIAIUYXFVWVBU-VGBUTIAVSA-N</t>
  </si>
  <si>
    <t>Ergostane steroids</t>
  </si>
  <si>
    <t>麦角甾烷类固醇</t>
  </si>
  <si>
    <t>199.0780, 232.4220, 255.2326, 259.0988, 323.1755, 323.1859, 323.2199, 455.3204, 491.1556, 515.3313</t>
  </si>
  <si>
    <t>FT2938PR</t>
  </si>
  <si>
    <t>Spermic acid 2</t>
  </si>
  <si>
    <t>精胺酸 2</t>
  </si>
  <si>
    <t>HMDB0013075</t>
  </si>
  <si>
    <t>14209-33-7</t>
  </si>
  <si>
    <t>OC(=O)CCNCCCCNCCC(O)=O</t>
  </si>
  <si>
    <t>DGMOQCHIPOPXEK-UHFFFAOYSA-N</t>
  </si>
  <si>
    <t>C10H20N2O4</t>
  </si>
  <si>
    <t>FT3673PR</t>
  </si>
  <si>
    <t>3,4-Pyrrolidinediol, 2-(p-methoxybenzyl)-, 3-acetate, (2S,3R,4R)-</t>
  </si>
  <si>
    <t>茴香霉素</t>
  </si>
  <si>
    <t>HMDB0243530</t>
  </si>
  <si>
    <t>COC1=CC=C(CC2NCC(O)C2OC(C)=O)C=C1</t>
  </si>
  <si>
    <t>YKJYKKNCCRKFSL-UHFFFAOYSA-N</t>
  </si>
  <si>
    <t>C14H19NO4</t>
  </si>
  <si>
    <t>FT4865PR</t>
  </si>
  <si>
    <t>2-Aminoethyl oleate</t>
  </si>
  <si>
    <t>2-氨基油酸乙酯</t>
  </si>
  <si>
    <t>HMDB0245016</t>
  </si>
  <si>
    <t>CCCCCCCCC=CCCCCCCCC(=O)OCCN</t>
  </si>
  <si>
    <t>VPHOSDZKGZRSAI-UHFFFAOYSA-N</t>
  </si>
  <si>
    <t>FT2195PR</t>
  </si>
  <si>
    <t>N-Acetyl-L-aspartic acid</t>
  </si>
  <si>
    <t>N-乙酰基-L-天冬氨酸</t>
  </si>
  <si>
    <t>HMDB0000812</t>
  </si>
  <si>
    <t>C01042</t>
  </si>
  <si>
    <t>R-HSA-1430728,R-HSA-71291,R-HSA-8963693,R-HSA-8964539</t>
  </si>
  <si>
    <t>Metabolism|Metabolism of amino acids and derivatives|Aspartate and asparagine metabolism|Glutamate and glutamine metabolism</t>
  </si>
  <si>
    <t>997-55-7</t>
  </si>
  <si>
    <t>CC(=O)N[C@@H](CC(O)=O)C(O)=O</t>
  </si>
  <si>
    <t>OTCCIMWXFLJLIA-BYPYZUCNSA-N</t>
  </si>
  <si>
    <t>C6H9NO5</t>
  </si>
  <si>
    <t>FT1988NR</t>
  </si>
  <si>
    <t>2,9-heptadecadien-4,6-diyn-1,8-diol</t>
  </si>
  <si>
    <t>2,9-十七碳二烯-4,6-二炔-1,8-二醇</t>
  </si>
  <si>
    <t>LMFA05000022</t>
  </si>
  <si>
    <t>C(/C#CC#CC(O)/C=C/CCCCCCC)=C\CO</t>
  </si>
  <si>
    <t>UECWLXACMXYTFN-IFQMDVHZSA-N</t>
  </si>
  <si>
    <t>C17H24O2</t>
  </si>
  <si>
    <t>FT3086NR</t>
  </si>
  <si>
    <t>20:3(5Z,13Z,16Z)</t>
  </si>
  <si>
    <t>脂肪酸(20:3)</t>
  </si>
  <si>
    <t>LMFA01030863</t>
  </si>
  <si>
    <t>C(CCC/C=C\CCCCCC/C=C\C/C=C\CCC)(=O)O</t>
  </si>
  <si>
    <t>CTIYMRZSJKVQFR-RWDPQMMFSA-N</t>
  </si>
  <si>
    <t>65.1264, 66.1135, 68.8813, 68.9021, 78.6377, 86.4871, 205.3784, 205.3997, 302.7008, 338.2342</t>
  </si>
  <si>
    <t>FT3792NR</t>
  </si>
  <si>
    <t>Nutriacholic acid</t>
  </si>
  <si>
    <t>7-酮基石胆酸</t>
  </si>
  <si>
    <t>HMDB0000467</t>
  </si>
  <si>
    <t>4651-67-6</t>
  </si>
  <si>
    <t>[H][C@@]12CCC([C@@H](C)CCC(O)=O)[C@@]1(C)CC[C@@]1([H])[C@@]2([H])C(=O)C[C@]2([H])C[C@H](O)CC[C@]12C</t>
  </si>
  <si>
    <t>DXOCDBGWDZAYRQ-QPVZPPSOSA-N</t>
  </si>
  <si>
    <t>FT0993NR</t>
  </si>
  <si>
    <t>3,5,5-Trimethyl-2-cyclohexen-1-one</t>
  </si>
  <si>
    <t>异佛尔酮</t>
  </si>
  <si>
    <t>HMDB0031195</t>
  </si>
  <si>
    <t>C14743</t>
  </si>
  <si>
    <t>78-59-1</t>
  </si>
  <si>
    <t>CC1=CC(=O)CC(C)(C)C1</t>
  </si>
  <si>
    <t>HJOVHMDZYOCNQW-UHFFFAOYSA-N</t>
  </si>
  <si>
    <t>FT0046NR</t>
  </si>
  <si>
    <t>METHACRYLIC ACID</t>
  </si>
  <si>
    <t>2-甲基-2-丙烯酸的均聚物</t>
  </si>
  <si>
    <t>HMDB0254514</t>
  </si>
  <si>
    <t>CC(=C)C(O)=O</t>
  </si>
  <si>
    <t>CERQOIWHTDAKMF-UHFFFAOYSA-N</t>
  </si>
  <si>
    <t>C4H6O2</t>
  </si>
  <si>
    <t>FT1451PR</t>
  </si>
  <si>
    <t>2,5-Anhydro-D-mannose</t>
  </si>
  <si>
    <t>2,5-脱水-D-甘露糖</t>
  </si>
  <si>
    <t>HMDB0245490</t>
  </si>
  <si>
    <t>OCC1OC(C=O)C(O)C1O</t>
  </si>
  <si>
    <t>LKAPTZKZHMOIRE-UHFFFAOYSA-N</t>
  </si>
  <si>
    <t>C6H10O5</t>
  </si>
  <si>
    <t>FT5779PR</t>
  </si>
  <si>
    <t>hydroxyoctadecenoylcarnitine</t>
  </si>
  <si>
    <t>羟基十八烯酰肉碱</t>
  </si>
  <si>
    <t>HMDB0253282</t>
  </si>
  <si>
    <t>C[N+](C)(C)CC(O)(CC([O-])=O)C(=O)C=CCCCCCCCCCCCCCCCO</t>
  </si>
  <si>
    <t>WJOJWPDTZQACGG-UHFFFAOYSA-N</t>
  </si>
  <si>
    <t>FT3647PR</t>
  </si>
  <si>
    <t>Ginsenoyne J</t>
  </si>
  <si>
    <t>人参皂甙J</t>
  </si>
  <si>
    <t>HMDB0040373</t>
  </si>
  <si>
    <t>141947-41-3</t>
  </si>
  <si>
    <t>CCCCCCC\C=C\CC#C\C=C\C(O)C=C</t>
  </si>
  <si>
    <t>AZYMFOSYSFSUMW-QLJIQFCGSA-N</t>
  </si>
  <si>
    <t>153.5459, 168.0257, 203.1428, 205.4045, 206.1408, 219.1741, 263.4128, 264.1603, 264.2316, 286.2080</t>
  </si>
  <si>
    <t>C17H26O</t>
  </si>
  <si>
    <t>FT3752PR</t>
  </si>
  <si>
    <t>16-Hexadecanolide</t>
  </si>
  <si>
    <t>氧杂环十七烷-2-酮</t>
  </si>
  <si>
    <t>LMFA07040054</t>
  </si>
  <si>
    <t>C1(OCCCCCCCCCCCCCCC1)=O</t>
  </si>
  <si>
    <t>LOKPJYNMYCVCRM-UHFFFAOYSA-N</t>
  </si>
  <si>
    <t>C16H30O2</t>
  </si>
  <si>
    <t>FT1865PR</t>
  </si>
  <si>
    <t>2-Methyladipic acid</t>
  </si>
  <si>
    <t>2-甲基己二酸</t>
  </si>
  <si>
    <t>HMDB0029167</t>
  </si>
  <si>
    <t>626-70-0</t>
  </si>
  <si>
    <t>CC(CCCC(O)=O)C(O)=O</t>
  </si>
  <si>
    <t>JZUMVFMLJGSMRF-UHFFFAOYSA-N</t>
  </si>
  <si>
    <t>FT4566PR</t>
  </si>
  <si>
    <t>(S)-malyl N-acetyl-alpha-D-glucosaminide</t>
  </si>
  <si>
    <t>(S)-丙氨酰 N-乙酰基-α-D-氨基葡萄糖苷</t>
  </si>
  <si>
    <t>LMFA13010059</t>
  </si>
  <si>
    <t>O[C@H]1[C@@H]([C@H]([C@@H](O[C@@H](CC(O)=O)C(O)=O)O[C@@H]1CO)NC(C)=O)O</t>
  </si>
  <si>
    <t>COBMRTSHZAUOCY-BVKYVCSXSA-N</t>
  </si>
  <si>
    <t>C12H19NO10</t>
  </si>
  <si>
    <t>FT5587PR</t>
  </si>
  <si>
    <t>Petasitenine</t>
  </si>
  <si>
    <t>蜂斗菜烯碱</t>
  </si>
  <si>
    <t>HMDB0030328</t>
  </si>
  <si>
    <t>C10359</t>
  </si>
  <si>
    <t>60102-37-6</t>
  </si>
  <si>
    <t>C[C@H]1O[C@]11C[C@@H](C)[C@@](C)(O)C(=O)OC\C2=C\CN(C)CC[C@@H](OC1=O)C2=O</t>
  </si>
  <si>
    <t>CZQLULNMKQAIQL-PFDMWMSASA-N</t>
  </si>
  <si>
    <t>Azaspirodecane derivatives</t>
  </si>
  <si>
    <t>氮杂螺癸烷衍生物</t>
  </si>
  <si>
    <t>88.0217, 115.3473, 119.9938, 182.0544, 182.6224, 205.4087, 249.7437, 299.1383, 403.1129, 420.1400</t>
  </si>
  <si>
    <t>C19H27NO7</t>
  </si>
  <si>
    <t>FT3558PR</t>
  </si>
  <si>
    <t>3-Hydroxyhippuric acid sulfate</t>
  </si>
  <si>
    <t>3-羟基马尿酸硫酸盐</t>
  </si>
  <si>
    <t>HMDB0304909</t>
  </si>
  <si>
    <t>ON(CC(=O)OS(O)(=O)=O)C(=O)C1=CC=CC=C1</t>
  </si>
  <si>
    <t>ZYEMKIHYSVDTSN-UHFFFAOYSA-N</t>
  </si>
  <si>
    <t>131.0731, 152.2724, 180.2640, 200.0032, 205.3939, 205.4134, 216.9820, 218.9958, 234.9917, 235.8713</t>
  </si>
  <si>
    <t>C9H9NO7S</t>
  </si>
  <si>
    <t>FT3215NR</t>
  </si>
  <si>
    <t>2-Methyl-1,4-naphthalenediol bis(dihydrogen phosphate)</t>
  </si>
  <si>
    <t xml:space="preserve"> 2-甲基-1,4-萘二醇双(磷酸二氢)</t>
  </si>
  <si>
    <t>HMDB0032721</t>
  </si>
  <si>
    <t>84-98-0</t>
  </si>
  <si>
    <t>CC1=C(OP(O)(O)=O)C2=CC=CC=C2C(OP(O)(O)=O)=C1</t>
  </si>
  <si>
    <t>JTNHOVZOOVVGHI-UHFFFAOYSA-N</t>
  </si>
  <si>
    <t>93.0342, 119.9480, 164.9275, 172.9910, 173.0052, 207.3039, 232.3492, 232.9466, 255.1570, 368.9707</t>
  </si>
  <si>
    <t>C11H12O8P2</t>
  </si>
  <si>
    <t>FT4057PR</t>
  </si>
  <si>
    <t>16-hydroxy-9E-hexadecenoic acid</t>
  </si>
  <si>
    <t>16-羟基-9E-十六烯酸</t>
  </si>
  <si>
    <t>LMFA01050192</t>
  </si>
  <si>
    <t>C(CCCCCCC/C=C/CCCCCCO)(=O)O</t>
  </si>
  <si>
    <t>RPQJFAIEPUKQHK-HNQUOIGGSA-N</t>
  </si>
  <si>
    <t>FT5408PR</t>
  </si>
  <si>
    <t>Setariol</t>
  </si>
  <si>
    <t>狗尾草醇</t>
  </si>
  <si>
    <t>HMDB0041583</t>
  </si>
  <si>
    <t>142942-85-6</t>
  </si>
  <si>
    <t>CC(CO)CCCC(=C)C1CCC2(O)C3=CCC4CC(O)CCC44CC34CCC12C</t>
  </si>
  <si>
    <t>LHQZNTIWWWUEJH-UHFFFAOYSA-N</t>
  </si>
  <si>
    <t>C27H42O3</t>
  </si>
  <si>
    <t>FT0966NR</t>
  </si>
  <si>
    <t>D-Tyrosine</t>
  </si>
  <si>
    <t>DL-酪氨酸-D2</t>
  </si>
  <si>
    <t>HMDB0250803</t>
  </si>
  <si>
    <t>C01536</t>
  </si>
  <si>
    <t>556-03-6</t>
  </si>
  <si>
    <t>NC(CC1=CC=C(O)C=C1)C(O)=O</t>
  </si>
  <si>
    <t>OUYCCCASQSFEME-UHFFFAOYSA-N</t>
  </si>
  <si>
    <t>FT7010PR</t>
  </si>
  <si>
    <t>Gilteritinib</t>
  </si>
  <si>
    <t>吉列替尼</t>
  </si>
  <si>
    <t>HMDB0252717</t>
  </si>
  <si>
    <t>CCC1=C(NC2CCOCC2)N=C(NC2=CC=C(N3CCC(CC3)N3CCN(C)CC3)C(OC)=C2)C(=N1)C(N)=O</t>
  </si>
  <si>
    <t>GYQYAJJFPNQOOW-UHFFFAOYSA-N</t>
  </si>
  <si>
    <t>344.1714, 387.8005, 423.4523, 438.6242, 466.2326, 467.2422, 522.5862, 531.9496, 591.3170, 592.3148</t>
  </si>
  <si>
    <t>C29H44N8O3</t>
  </si>
  <si>
    <t>FT4110PR</t>
  </si>
  <si>
    <t>5-O-Methylvisamminol</t>
  </si>
  <si>
    <t>5-O-甲维阿斯米醇</t>
  </si>
  <si>
    <t>LMPK13110002</t>
  </si>
  <si>
    <t>C09016</t>
  </si>
  <si>
    <t>C12C(=O)C=C(C)OC=1C=C1O[C@H](C(O)(C)C)CC1=C2OC</t>
  </si>
  <si>
    <t>DGFLRNOCLJGHLY-ZDUSSCGKSA-N</t>
  </si>
  <si>
    <t>181.9861, 220.2219, 237.6596, 245.8756, 291.1203, 291.1562, 291.1941, 291.3294, 302.6837, 302.7169</t>
  </si>
  <si>
    <t>C16H18O5</t>
  </si>
  <si>
    <t>FT1575NR</t>
  </si>
  <si>
    <t>1-(2-Hydroxyethyl)-2-hydroxymethyl-5-nitroimidazole</t>
  </si>
  <si>
    <t>羟基甲硝唑-D4</t>
  </si>
  <si>
    <t>HMDB0246690</t>
  </si>
  <si>
    <t>OCCN1C(CO)=NC=C1[N+]([O-])=O</t>
  </si>
  <si>
    <t>AEHPOYAOLCAMIU-UHFFFAOYSA-N</t>
  </si>
  <si>
    <t>164.0297, 164.0712, 164.1035, 165.0748, 184.2341, 187.9425, 205.3948, 232.0583, 233.0280, 233.1542</t>
  </si>
  <si>
    <t>C6H9N3O4</t>
  </si>
  <si>
    <t>FT2299NR</t>
  </si>
  <si>
    <t>Ellagic acid</t>
  </si>
  <si>
    <t>鞣花酸</t>
  </si>
  <si>
    <t>HMDB0002899</t>
  </si>
  <si>
    <t>C10788</t>
  </si>
  <si>
    <t>476-66-4</t>
  </si>
  <si>
    <t>OC1=C(O)C2=C3C(=C1)C(=O)OC1=C3C(=CC(O)=C1O)C(=O)O2</t>
  </si>
  <si>
    <t>AFSDNFLWKVMVRB-UHFFFAOYSA-N</t>
  </si>
  <si>
    <t>Tannins</t>
  </si>
  <si>
    <t>Hydrolyzable tannins</t>
  </si>
  <si>
    <t>单宁</t>
  </si>
  <si>
    <t>可水解单宁</t>
  </si>
  <si>
    <t>C14H6O8</t>
  </si>
  <si>
    <t>FT2510NR</t>
  </si>
  <si>
    <t>3-Hydroxycinnamoylglycine sulfate</t>
  </si>
  <si>
    <t>3-羟基肉桂酰甘氨酸硫酸盐</t>
  </si>
  <si>
    <t>HMDB0304916</t>
  </si>
  <si>
    <t>[H]\C(=C(\[H])C1=CC(OS(O)(=O)=O)=CC=C1)C(O)=NCC(O)=O</t>
  </si>
  <si>
    <t>WPJJXVNETDTTMH-SNAWJCMRSA-N</t>
  </si>
  <si>
    <t>C11H11NO7S</t>
  </si>
  <si>
    <t>FT3146PR</t>
  </si>
  <si>
    <t>Morph</t>
  </si>
  <si>
    <t>变形</t>
  </si>
  <si>
    <t>HMDB0254890</t>
  </si>
  <si>
    <t>CC1(O)CC(NN2CCOCC2)=C(O)C1=O</t>
  </si>
  <si>
    <t>LIHDYIAAKPQZSN-UHFFFAOYSA-N</t>
  </si>
  <si>
    <t>Oxazinanes</t>
  </si>
  <si>
    <t>Morpholines</t>
  </si>
  <si>
    <t>噁嗪烷类</t>
  </si>
  <si>
    <t>吗啉类</t>
  </si>
  <si>
    <t>C10H16N2O4</t>
  </si>
  <si>
    <t>FT6215PR</t>
  </si>
  <si>
    <t>PC(O-16:0(15Me)/0:0)</t>
  </si>
  <si>
    <t>磷脂酰胆碱(O-16:0(15Me)/0:0)</t>
  </si>
  <si>
    <t>LMGP01060044</t>
  </si>
  <si>
    <t>[C@](COP(=O)([O-])OCC[N+](C)(C)C)([H])(O)COCCCCCCCCCCCCCCC(C)C</t>
  </si>
  <si>
    <t>RQCNXHQIZGDHRA-RUZDIDTESA-N</t>
  </si>
  <si>
    <t>C25H54NO6P</t>
  </si>
  <si>
    <t>FT1717PR</t>
  </si>
  <si>
    <t>2-Aminonicotinic acid</t>
  </si>
  <si>
    <t>2-氨基烟酸</t>
  </si>
  <si>
    <t>HMDB0061680</t>
  </si>
  <si>
    <t>NC1=C(C=CC=N1)C(O)=O</t>
  </si>
  <si>
    <t>KPIVDNYJNOPGBE-UHFFFAOYSA-N</t>
  </si>
  <si>
    <t>139.0738, 139.0864, 139.1122, 141.0532, 156.0205, 156.0647, 156.0779, 156.1016, 156.1380, 156.1587</t>
  </si>
  <si>
    <t>FT3507NR</t>
  </si>
  <si>
    <t>MG(18:1/0:0/0:0)</t>
  </si>
  <si>
    <t>甘油一酯(18:1/0:0/0:0)</t>
  </si>
  <si>
    <t>HMDB0011567</t>
  </si>
  <si>
    <t>129784-87-8</t>
  </si>
  <si>
    <t>[H][C@](O)(CO)COC(=O)CCCCCCC\C=C/CCCCCCCC</t>
  </si>
  <si>
    <t>RZRNAYUHWVFMIP-QJRAZLAKSA-N</t>
  </si>
  <si>
    <t>60.1177, 65.9816, 65.9862, 68.8281, 71.8536, 78.5222, 92.6518, 181.8842, 298.8838, 348.3016</t>
  </si>
  <si>
    <t>C21H40O4</t>
  </si>
  <si>
    <t>FT2503NR</t>
  </si>
  <si>
    <t>2-methyl-hexadecanedioic acid</t>
  </si>
  <si>
    <t>2-甲基-十六烷二酸</t>
  </si>
  <si>
    <t>LMFA01170023</t>
  </si>
  <si>
    <t>C(C(C)CCCCCCCCCCCCCC(=O)O)(=O)O</t>
  </si>
  <si>
    <t>LCEXLICTPWSGLL-UHFFFAOYSA-N</t>
  </si>
  <si>
    <t>C17H32O4</t>
  </si>
  <si>
    <t>FT2543PR</t>
  </si>
  <si>
    <t>Plantagonine</t>
  </si>
  <si>
    <t>车前草碱</t>
  </si>
  <si>
    <t>HMDB0033482</t>
  </si>
  <si>
    <t>21857-97-6</t>
  </si>
  <si>
    <t>CC1CCC2=C1C=NC=C2C(O)=O</t>
  </si>
  <si>
    <t>RLNQBGQGMYNOCX-UHFFFAOYSA-N</t>
  </si>
  <si>
    <t>FT4936PR</t>
  </si>
  <si>
    <t>Carbocyclic Thromboxane A2</t>
  </si>
  <si>
    <t>碳环血栓烷A2</t>
  </si>
  <si>
    <t>74034-56-3</t>
  </si>
  <si>
    <t>CCCCCC(C=CC1CC2CC(C2)C1CC=CCCCC(=O)O)O</t>
  </si>
  <si>
    <t>ZIWNJZLXPXFNGN-GXTQQWMXSA-N</t>
  </si>
  <si>
    <t>FT5417PR</t>
  </si>
  <si>
    <t>4-Hexadecenoylcarnitine</t>
  </si>
  <si>
    <t>4-十六碳酰肉碱</t>
  </si>
  <si>
    <t>HMDB0241471</t>
  </si>
  <si>
    <t>CCCCCCCCCCCC=CCCC(=O)OC(CC([O-])=O)C[N+](C)(C)C</t>
  </si>
  <si>
    <t>NLXHMYCEARKWRB-UHFFFAOYSA-N</t>
  </si>
  <si>
    <t>C23H43NO4</t>
  </si>
  <si>
    <t>FT3437PR</t>
  </si>
  <si>
    <t>Dehydrocostus lactone</t>
  </si>
  <si>
    <t>去氢木香内酯</t>
  </si>
  <si>
    <t>HMDB0250946</t>
  </si>
  <si>
    <t>C=C1CCC2C1C1OC(=O)C(=C)C1CCC2=C</t>
  </si>
  <si>
    <t>NETSQGRTUNRXEO-UHFFFAOYSA-N</t>
  </si>
  <si>
    <t>C15H18O2</t>
  </si>
  <si>
    <t>FT0673NR</t>
  </si>
  <si>
    <t>Thieno[2,3-b]pyridin-4-ol</t>
  </si>
  <si>
    <t>噻吩并[2,3-B]吡啶-4-醇</t>
  </si>
  <si>
    <t>HMDB0258984</t>
  </si>
  <si>
    <t>O=C1C=CNC2=C1C=CS2</t>
  </si>
  <si>
    <t>OGLNUUIOLDYMHM-UHFFFAOYSA-N</t>
  </si>
  <si>
    <t>Thienopyridines</t>
  </si>
  <si>
    <t>噻吩并吡啶类</t>
  </si>
  <si>
    <t>107.2734, 115.4407, 118.0299, 122.0068, 132.2000, 136.0161, 150.0015, 151.0046, 151.0396, 160.8548</t>
  </si>
  <si>
    <t>C7H5NOS</t>
  </si>
  <si>
    <t>FT2733NR</t>
  </si>
  <si>
    <t>p-Coumaric acid glucuronide</t>
  </si>
  <si>
    <t>对香豆酸葡萄糖苷酸</t>
  </si>
  <si>
    <t>HMDB0240550</t>
  </si>
  <si>
    <t>[H]\C(=C(\[H])C1=CC=C(O[C@]2([H])O[C@]([H])(C(O)=O)[C@@]([H])(O)[C@]([H])(O)[C@@]2([H])O)C=C1)C(O)=O</t>
  </si>
  <si>
    <t>SOKJXEKPKWKYKR-KPGYTNHDSA-N</t>
  </si>
  <si>
    <t>C15H16O9</t>
  </si>
  <si>
    <t>FT3764PR</t>
  </si>
  <si>
    <t>Cadabicilone</t>
  </si>
  <si>
    <t>卡达比西隆</t>
  </si>
  <si>
    <t>HMDB0037559</t>
  </si>
  <si>
    <t>14804-47-8</t>
  </si>
  <si>
    <t>CC1C2CCC3(C)CCC(=O)C(C)C3C2OC1=O</t>
  </si>
  <si>
    <t>BXRGGUXPWTWACZ-UHFFFAOYSA-N</t>
  </si>
  <si>
    <t>255.1378, 261.6403, 261.6716, 262.1411, 264.1427, 264.6447, 273.1460, 273.6507, 370.1684, 559.0172</t>
  </si>
  <si>
    <t>C15H22O3</t>
  </si>
  <si>
    <t>FT7779PR</t>
  </si>
  <si>
    <t>DG(a-25:0/0:0/20:5-3OH)</t>
  </si>
  <si>
    <t>甘油二酯(a-25:0/0:0/20:5-3OH)</t>
  </si>
  <si>
    <t>HMDB0298244</t>
  </si>
  <si>
    <t>CC\C=C/C[C@@H](O)\C=C\C=C\C=C/C=C\[C@H](O)[C@@H](O)CCCC(=O)OC[C@H](O)COC(=O)CCCCCCCCCCCCCCCCCCCCC(C)CC</t>
  </si>
  <si>
    <t>UHZGEISRAQBLDF-RPKBUPDQSA-N</t>
  </si>
  <si>
    <t>C48H84O8</t>
  </si>
  <si>
    <t>FT4983PR</t>
  </si>
  <si>
    <t>Allithiamine</t>
  </si>
  <si>
    <t>蒜硫胺</t>
  </si>
  <si>
    <t>HMDB0031758</t>
  </si>
  <si>
    <t>554-44-9</t>
  </si>
  <si>
    <t>C\C(N(CC1=C(N)N=C(C)N=C1)C=O)=C(\CCO)SSCC=C</t>
  </si>
  <si>
    <t>WNCAVNGLACHSRZ-SDNWHVSQSA-N</t>
  </si>
  <si>
    <t>C15H22N4O2S2</t>
  </si>
  <si>
    <t>FT4018PR</t>
  </si>
  <si>
    <t>6-Octenoylcarnitine</t>
  </si>
  <si>
    <t>6-辛烯酰肉碱</t>
  </si>
  <si>
    <t>HMDB0241700</t>
  </si>
  <si>
    <t>CC=CCCCCC(=O)OC(CC([O-])=O)C[N+](C)(C)C</t>
  </si>
  <si>
    <t>ZPJMKKPQYMXJIF-UHFFFAOYSA-N</t>
  </si>
  <si>
    <t>FT1933NR</t>
  </si>
  <si>
    <t>Ieodomycin B</t>
  </si>
  <si>
    <t>碘霉素B</t>
  </si>
  <si>
    <t>LMFA07040110</t>
  </si>
  <si>
    <t>[C@@H]1(OC(=O)C[C@@H](O)C1)CC/C(/C)=C/C=C</t>
  </si>
  <si>
    <t>UFMCBVUOEQAWAI-LTJOXERKSA-N</t>
  </si>
  <si>
    <t>Delta valerolactones</t>
  </si>
  <si>
    <t xml:space="preserve"> δ戊内酯</t>
  </si>
  <si>
    <t>FT2713PR</t>
  </si>
  <si>
    <t>5-Hydroxy-L-tryptophan</t>
  </si>
  <si>
    <t>DL-5-羟色胺酸</t>
  </si>
  <si>
    <t>HMDB0000472</t>
  </si>
  <si>
    <t>C00643</t>
  </si>
  <si>
    <t>hsa00380,hsa04726</t>
  </si>
  <si>
    <t>Tryptophan metabolism|Serotonergic synapse</t>
  </si>
  <si>
    <t>4350-09-8</t>
  </si>
  <si>
    <t>C1=CC2=C(C=C1O)C(=CN2)CC(C(=O)O)N</t>
  </si>
  <si>
    <t>LDCYZAJDBXYCGN-UHFFFAOYSA-N</t>
  </si>
  <si>
    <t>FT4083NR</t>
  </si>
  <si>
    <t>Etodolac acyl glucuronide</t>
  </si>
  <si>
    <t>依托度酸酰基葡萄糖苷酸</t>
  </si>
  <si>
    <t>HMDB0060916</t>
  </si>
  <si>
    <t>CCC1=C2NC3=C(CCOC3(CC)CC(=O)OC3O[C@@H]([C@@H](O)[C@H](O)[C@H]3O)C(O)=O)C2=CC=C1</t>
  </si>
  <si>
    <t>XJZNMEMKZBFUIZ-JSXGDUDQSA-N</t>
  </si>
  <si>
    <t>127.5515, 142.6307, 175.0248, 270.1136, 271.1210, 286.1128, 286.1439, 345.7385, 462.1769, 462.2530</t>
  </si>
  <si>
    <t>C23H29NO9</t>
  </si>
  <si>
    <t>FT3888NR</t>
  </si>
  <si>
    <t>22-Hydroxyvitamin D3</t>
  </si>
  <si>
    <t>22-羟基维生素D3</t>
  </si>
  <si>
    <t>LMST03020678</t>
  </si>
  <si>
    <t>C1/C(=C/C=C2\CCC[C@]3(C)[C@@]([H])([C@]([H])(C)[C@H](O)CCC(C)C)CC[C@@]\23[H])/C(=C)CC[C@@H]1O</t>
  </si>
  <si>
    <t>OCHNORYGWPYCAK-ROIDTVJZSA-N</t>
  </si>
  <si>
    <t>FT1251NR</t>
  </si>
  <si>
    <t>8-aminocaprylic acid</t>
  </si>
  <si>
    <t>8-氨基辛酸</t>
  </si>
  <si>
    <t>HMDB0247418</t>
  </si>
  <si>
    <t>LMFA01100059</t>
  </si>
  <si>
    <t>1002-57-9</t>
  </si>
  <si>
    <t>OC(CCCCCCCN)=O</t>
  </si>
  <si>
    <t>UQXNEWQGGVUVQA-UHFFFAOYSA-N</t>
  </si>
  <si>
    <t>163.0509, 165.7370, 174.1140, 177.3136, 187.0587, 200.3029, 204.0862, 204.1234, 205.0896, 205.1278</t>
  </si>
  <si>
    <t>FT2902PR</t>
  </si>
  <si>
    <t>Suspensolide</t>
  </si>
  <si>
    <t>悬浮固体</t>
  </si>
  <si>
    <t>LMFA07040014</t>
  </si>
  <si>
    <t>C1(CCCC(=CCOC(=O)CC=1)C)C</t>
  </si>
  <si>
    <t>RVKDTQISXMBQEU-NSJFVGFPSA-N</t>
  </si>
  <si>
    <t>159.1167, 167.1430, 177.1272, 194.1148, 194.1534, 195.1377, 212.0517, 212.1276, 212.1640, 213.1486</t>
  </si>
  <si>
    <t>FT2499NR</t>
  </si>
  <si>
    <t>Norwedelic acid</t>
  </si>
  <si>
    <t>挪威海藻酸</t>
  </si>
  <si>
    <t>LMPK12160052</t>
  </si>
  <si>
    <t>C1(O)=CC(O)=C(C2OC3C=C(O)C(O)=CC=3C=2C(O)=O)C(O)=C1</t>
  </si>
  <si>
    <t>OYMZVRJQIIYPTP-UHFFFAOYSA-N</t>
  </si>
  <si>
    <t>2-arylbenzofuran flavonoids</t>
  </si>
  <si>
    <t>2-芳基苯并呋喃类黄酮</t>
  </si>
  <si>
    <t>C15H10O8</t>
  </si>
  <si>
    <t>FT4411NR</t>
  </si>
  <si>
    <t>6alpha-hydroxy-castasterone</t>
  </si>
  <si>
    <t>6α-羟基-卡斯特酮</t>
  </si>
  <si>
    <t>HMDB0304235</t>
  </si>
  <si>
    <t>CC(C)C(C)C(O)C(O)C(C)C1CCC2C3CC(O)C4CC(O)C(O)CC4(C)C3CCC12C</t>
  </si>
  <si>
    <t>CVXIEYXJQSRIAC-UHFFFAOYSA-N</t>
  </si>
  <si>
    <t>103.2140, 205.3919, 285.5890, 319.4616, 335.6270, 348.8601, 362.1613, 406.8600, 411.3071, 501.2765</t>
  </si>
  <si>
    <t>C28H50O5</t>
  </si>
  <si>
    <t>FT4916PR</t>
  </si>
  <si>
    <t>Urocortisone</t>
  </si>
  <si>
    <t>四氢可的松</t>
  </si>
  <si>
    <t>LMST02030098</t>
  </si>
  <si>
    <t>C05470</t>
  </si>
  <si>
    <t>53-05-4</t>
  </si>
  <si>
    <t>[C@@]12([H])CC[C@](O)(C(=O)CO)[C@@]1(C)CC(=O)[C@]1([H])[C@@]3(C)CC[C@@H](O)C[C@@]3([H])CC[C@@]21[H]</t>
  </si>
  <si>
    <t>SYGWGHVTLUBCEM-ZIZPXRJBSA-N</t>
  </si>
  <si>
    <t>FT5659PR</t>
  </si>
  <si>
    <t>Glyceryl lactooleate</t>
  </si>
  <si>
    <t>乳油酸甘油酯</t>
  </si>
  <si>
    <t>HMDB0032298</t>
  </si>
  <si>
    <t>LMFA07010900</t>
  </si>
  <si>
    <t>30283-16-0</t>
  </si>
  <si>
    <t>O=C(CCCCCCC/C=C\CCCCCCCC)OC(COC(C)C(O)=O)CO</t>
  </si>
  <si>
    <t>KOLAFJFESDNVMY-KHPPLWFESA-N</t>
  </si>
  <si>
    <t>107.3253, 107.3319, 187.2934, 200.1115, 302.7059, 331.3795, 340.4961, 412.5142, 429.3182, 430.3211</t>
  </si>
  <si>
    <t>C24H44O6</t>
  </si>
  <si>
    <t>FT7090PR</t>
  </si>
  <si>
    <t>Colocynthenin F</t>
  </si>
  <si>
    <t>秋菊素F</t>
  </si>
  <si>
    <t>LMST01010457</t>
  </si>
  <si>
    <t>[C@@]12(C)C(=O)C[C@]3(C)[C@]([H])([C@H](O)C[C@@]3(C)[C@]1([H])CC=C(C(C)(C)C(=O)O)[C@@]2([H])CC(O)=O)[C@](O)(C)C(=O)CCC(OC(C)=O)(C)C</t>
  </si>
  <si>
    <t>JRWYAESVJOLYCQ-FBZMDERGSA-N</t>
  </si>
  <si>
    <t>142.8767, 148.1656, 191.8405, 323.2734, 355.0726, 370.4608, 399.9771, 416.3160, 423.8838, 434.3266</t>
  </si>
  <si>
    <t>C32H48O10</t>
  </si>
  <si>
    <t>FT1756PR</t>
  </si>
  <si>
    <t>2-Aminoheptanedioic acid</t>
  </si>
  <si>
    <t>DL-2-氨基庚二酸</t>
  </si>
  <si>
    <t>HMDB0034252</t>
  </si>
  <si>
    <t>3721-85-5</t>
  </si>
  <si>
    <t>NC(CCCCC(O)=O)C(O)=O</t>
  </si>
  <si>
    <t>JUQLUIFNNFIIKC-UHFFFAOYSA-N</t>
  </si>
  <si>
    <t>C7H13NO4</t>
  </si>
  <si>
    <t>FT4482PR</t>
  </si>
  <si>
    <t>5'-Phosphoribosyl-N-formylglycinamide</t>
  </si>
  <si>
    <t>5'-磷酸核糖基-N-甲酰甘氨酰胺</t>
  </si>
  <si>
    <t>HMDB0001308</t>
  </si>
  <si>
    <t>C04376</t>
  </si>
  <si>
    <t>349-34-8</t>
  </si>
  <si>
    <t>O[C@H]1[C@@H](O)[C@H](NC(=O)CNC=O)O[C@@H]1COP(O)(O)=O</t>
  </si>
  <si>
    <t>VDXLUNDMVKSKHO-XVFCMESISA-N</t>
  </si>
  <si>
    <t>Glycinamide ribonucleotides</t>
  </si>
  <si>
    <t>甘氨酰胺核糖核苷酸</t>
  </si>
  <si>
    <t>C8H15N2O9P</t>
  </si>
  <si>
    <t>FT3090NR</t>
  </si>
  <si>
    <t>N-Palmitoyl Proline</t>
  </si>
  <si>
    <t>N-棕榈酰脯氨酸</t>
  </si>
  <si>
    <t>HMDB0241931</t>
  </si>
  <si>
    <t>CCCCCCCCCCCCCCCC(=O)N1CCCC1C(O)=O</t>
  </si>
  <si>
    <t>XOAIXMQPJQVGRV-UHFFFAOYSA-N</t>
  </si>
  <si>
    <t>C21H39NO3</t>
  </si>
  <si>
    <t>FT4299PR</t>
  </si>
  <si>
    <t>14,15-LTA4</t>
  </si>
  <si>
    <t>14,15-白三烯A4</t>
  </si>
  <si>
    <t>LMFA03020037</t>
  </si>
  <si>
    <t>R-HSA-1430728,R-HSA-2142691,R-HSA-2142753,R-HSA-556833,R-HSA-8978868</t>
  </si>
  <si>
    <t>Metabolism|Synthesis of Leukotrienes (LT) and Eoxins (EX)|Arachidonic acid metabolism|Metabolism of lipids|Fatty acid metabolism</t>
  </si>
  <si>
    <t>C(/C/C=C\C=C\C=C\[C@@H]1O[C@H]1CCCCC)=C/CCCC(O)=O</t>
  </si>
  <si>
    <t>URDQSJSEGRMOIT-FDMWOPBLSA-N</t>
  </si>
  <si>
    <t>C20H30O3</t>
  </si>
  <si>
    <t>FT4992PR</t>
  </si>
  <si>
    <t>Hydrojuglone glucoside</t>
  </si>
  <si>
    <t>氢胡桃酮葡萄糖苷</t>
  </si>
  <si>
    <t>HMDB0041191</t>
  </si>
  <si>
    <t>22427-33-4</t>
  </si>
  <si>
    <t>OCC1OC(OC2=CC=CC3=C(O)C=CC(O)=C23)C(O)C(O)C1O</t>
  </si>
  <si>
    <t>PUKLOSMRXIAWPE-UHFFFAOYSA-N</t>
  </si>
  <si>
    <t>183.0199, 196.0517, 205.3982, 224.0471, 283.2424, 328.8186, 338.1251, 356.0706, 356.1366, 356.1845</t>
  </si>
  <si>
    <t>C16H18O8</t>
  </si>
  <si>
    <t>FT6565PR</t>
  </si>
  <si>
    <t>alpha-Tocopherol phosphate</t>
  </si>
  <si>
    <t>2,5,7,8-四甲基-2-(4,8,12-三甲基十三烷基)色满-6-基]磷酸二氢酯</t>
  </si>
  <si>
    <t>HMDB0248245</t>
  </si>
  <si>
    <t>CC(C)CCCC(C)CCCC(C)CCCC1(C)CCC2=C(C)C(OP(O)(O)=O)=C(C)C(C)=C2O1</t>
  </si>
  <si>
    <t>JUIUXBHZFNHITF-UHFFFAOYSA-N</t>
  </si>
  <si>
    <t>Quinone and hydroquinone lipids</t>
  </si>
  <si>
    <t>醌和氢醌脂质</t>
  </si>
  <si>
    <t>C29H51O5P</t>
  </si>
  <si>
    <t>FT2299PR</t>
  </si>
  <si>
    <t>Medicanine</t>
  </si>
  <si>
    <t>HMDB0038625</t>
  </si>
  <si>
    <t>91106-30-8</t>
  </si>
  <si>
    <t>OCCCN1CCC1C(O)=O</t>
  </si>
  <si>
    <t>ROVDTLLPFWAZJC-UHFFFAOYSA-N</t>
  </si>
  <si>
    <t>FT2166NR</t>
  </si>
  <si>
    <t>(2S,3S,4S,5R)-3,4,5-Trihydroxy-6-sulfooxyoxane-2-carboxylic acid</t>
  </si>
  <si>
    <t>(2S,3S,4S,5R)-3,4,5-三羟基-6-磺氧基恶烷-2-羧酸</t>
  </si>
  <si>
    <t>HMDB0258086</t>
  </si>
  <si>
    <t>OC1C(O)C(OS(O)(=O)=O)OC(C1O)C(O)=O</t>
  </si>
  <si>
    <t>OQFRCXVRZLHNQY-UHFFFAOYSA-N</t>
  </si>
  <si>
    <t>C6H10O10S</t>
  </si>
  <si>
    <t>FT1653NR</t>
  </si>
  <si>
    <t>Monomenthyl succinate</t>
  </si>
  <si>
    <t>琥珀酸单薄荷酯</t>
  </si>
  <si>
    <t>HMDB0036143</t>
  </si>
  <si>
    <t>188709-97-9</t>
  </si>
  <si>
    <t>CC(C)C1CCC(C)CC1OC(=O)CCC(O)=O</t>
  </si>
  <si>
    <t>BLILOGGUTRWFNI-UHFFFAOYSA-N</t>
  </si>
  <si>
    <t>FT2478NR</t>
  </si>
  <si>
    <t>8E-Heptadecenedioic acid</t>
  </si>
  <si>
    <t>8E-十七碳二元酸</t>
  </si>
  <si>
    <t>LMFA01170053</t>
  </si>
  <si>
    <t>C(CCCCCC/C=C/CCCCCCCC(=O)O)(=O)O</t>
  </si>
  <si>
    <t>VDTSYDDUGXHLDV-OWOJBTEDSA-N</t>
  </si>
  <si>
    <t>C17H30O4</t>
  </si>
  <si>
    <t>FT2429NR</t>
  </si>
  <si>
    <t>Laurolitsine</t>
  </si>
  <si>
    <t>HMDB0040974</t>
  </si>
  <si>
    <t>C16984</t>
  </si>
  <si>
    <t>5890-18-6</t>
  </si>
  <si>
    <t>COC1=C(O)C=C2CC3NCCC4=CC(O)=C(OC)C(C2=C1)=C34</t>
  </si>
  <si>
    <t>KYVJVURXKAZJRK-UHFFFAOYSA-N</t>
  </si>
  <si>
    <t>FT3635PR</t>
  </si>
  <si>
    <t>Aspartylphenylalanine</t>
  </si>
  <si>
    <t>天冬氨酰苯丙氨酸</t>
  </si>
  <si>
    <t>HMDB0000706</t>
  </si>
  <si>
    <t>13433-09-5</t>
  </si>
  <si>
    <t>N[C@@H](CC(O)=O)C(=O)N[C@@H](CC1=CC=CC=C1)C(O)=O</t>
  </si>
  <si>
    <t>YZQCXOFQZKCETR-UWVGGRQHSA-N</t>
  </si>
  <si>
    <t>C13H16N2O5</t>
  </si>
  <si>
    <t>FT0474PR</t>
  </si>
  <si>
    <t>Homocysteine thiolactone</t>
  </si>
  <si>
    <t>同型半胱氨酸硫内酯</t>
  </si>
  <si>
    <t>HMDB0002287</t>
  </si>
  <si>
    <t>3622-59-1</t>
  </si>
  <si>
    <t>NC1CCSC1=O</t>
  </si>
  <si>
    <t>KIWQWJKWBHZMDT-UHFFFAOYSA-N</t>
  </si>
  <si>
    <t>C4H7NOS</t>
  </si>
  <si>
    <t>FT1095NR</t>
  </si>
  <si>
    <t>5R-Hydroxy-4S-methylheptan-3-one</t>
  </si>
  <si>
    <t>5R-羟基-4S-甲基-3-庚酮</t>
  </si>
  <si>
    <t>LMFA12000093</t>
  </si>
  <si>
    <t>CCC(=O)[C@@H](C)[C@H](O)CC</t>
  </si>
  <si>
    <t>GEZUGFBWAPDBGZ-NKWVEPMBSA-N</t>
  </si>
  <si>
    <t>C8H16O2</t>
  </si>
  <si>
    <t>FT4309PR</t>
  </si>
  <si>
    <t>Geraldone</t>
  </si>
  <si>
    <t>杰拉尔多内</t>
  </si>
  <si>
    <t>HMDB0133330</t>
  </si>
  <si>
    <t>LMPK12110043</t>
  </si>
  <si>
    <t>C10047</t>
  </si>
  <si>
    <t>C1(O)=CC2OC(C3C=C(OC)C(O)=CC=3)=CC(=O)C=2C=C1</t>
  </si>
  <si>
    <t>OUMMPAFEQHTYIZ-UHFFFAOYSA-N</t>
  </si>
  <si>
    <t>C16H12O5</t>
  </si>
  <si>
    <t>FT1040NR</t>
  </si>
  <si>
    <t>2-Hydroxyphenylacetic acid</t>
  </si>
  <si>
    <t>邻羟基苯乙酸</t>
  </si>
  <si>
    <t>HMDB0000669</t>
  </si>
  <si>
    <t>C05852</t>
  </si>
  <si>
    <t>614-75-5</t>
  </si>
  <si>
    <t>OC(=O)CC1=C(O)C=CC=C1</t>
  </si>
  <si>
    <t>CCVYRRGZDBSHFU-UHFFFAOYSA-N</t>
  </si>
  <si>
    <t>Phenylacetic acids</t>
  </si>
  <si>
    <t>苯乙酸类</t>
  </si>
  <si>
    <t>C8H8O3</t>
  </si>
  <si>
    <t>FT2480PR</t>
  </si>
  <si>
    <t>3-Methyl-L-histidine</t>
  </si>
  <si>
    <t>3-甲基组氨酸</t>
  </si>
  <si>
    <t>HMDB0000479</t>
  </si>
  <si>
    <t>C01152</t>
  </si>
  <si>
    <t>368-16-1</t>
  </si>
  <si>
    <t>[H][C@](N)(CC1=CN=CN1C)C(O)=O</t>
  </si>
  <si>
    <t>JDHILDINMRGULE-LURJTMIESA-N</t>
  </si>
  <si>
    <t>C7H11N3O2</t>
  </si>
  <si>
    <t>FT2981NR</t>
  </si>
  <si>
    <t>N-Palmitoyl Serine</t>
  </si>
  <si>
    <t>N-棕榈酰丝氨酸</t>
  </si>
  <si>
    <t>HMDB0241932</t>
  </si>
  <si>
    <t>CCCCCCCCCCCCCCCC(=O)NC(CO)C(O)=O</t>
  </si>
  <si>
    <t>BFVRFWIQTACAPT-UHFFFAOYSA-N</t>
  </si>
  <si>
    <t>FT5417NR</t>
  </si>
  <si>
    <t>Thymidine-5'-phosphate</t>
  </si>
  <si>
    <t>胸腺嘧啶脱氧核苷酸</t>
  </si>
  <si>
    <t>HMDB0001227</t>
  </si>
  <si>
    <t>C00364</t>
  </si>
  <si>
    <t>hsa00240,hsa01523</t>
  </si>
  <si>
    <t>Pyrimidine metabolism|Antifolate resistance</t>
  </si>
  <si>
    <t>33430-62-5</t>
  </si>
  <si>
    <t>CC1=CN([C@H]2C[C@H](O)[C@@H](COP(O)(O)=O)O2)C(=O)NC1=O</t>
  </si>
  <si>
    <t>GYOZYWVXFNDGLU-XLPZGREQSA-N</t>
  </si>
  <si>
    <t>Pyrimidine nucleotides</t>
  </si>
  <si>
    <t>Pyrimidine deoxyribonucleotides</t>
  </si>
  <si>
    <t>嘧啶核苷酸</t>
  </si>
  <si>
    <t>嘧啶脱氧核糖核苷酸</t>
  </si>
  <si>
    <t>302.7007, 305.0148, 307.0307, 313.0641, 329.0394, 350.9686, 351.0203, 643.0154, 643.1107, 644.1133</t>
  </si>
  <si>
    <t>C10H15N2O8P</t>
  </si>
  <si>
    <t>FT0788NR</t>
  </si>
  <si>
    <t>p-Acetaminobenzaldehyde</t>
  </si>
  <si>
    <t>对乙酰氨基苯甲醛</t>
  </si>
  <si>
    <t>122-85-0</t>
  </si>
  <si>
    <t>CC(=O)NC1=CC=C(C=C1)C=O</t>
  </si>
  <si>
    <t>SKLUWKYNZNXSLX-UHFFFAOYSA-N</t>
  </si>
  <si>
    <t>Anilides</t>
  </si>
  <si>
    <t>苯胺类</t>
  </si>
  <si>
    <t>FT1637PR</t>
  </si>
  <si>
    <t>3-Hydroxyproline</t>
  </si>
  <si>
    <t>3-羟基脯氨酸</t>
  </si>
  <si>
    <t>HMDB0245903</t>
  </si>
  <si>
    <t>OC1CCNC1C(O)=O</t>
  </si>
  <si>
    <t>BJBUEDPLEOHJGE-UHFFFAOYSA-N</t>
  </si>
  <si>
    <t>FT2506NR</t>
  </si>
  <si>
    <t>3-hydroxy Stearic Acid</t>
  </si>
  <si>
    <t>3-羟基硬脂酸</t>
  </si>
  <si>
    <t>LMFA02000121</t>
  </si>
  <si>
    <t>17773-30-7</t>
  </si>
  <si>
    <t>C(O)(CCCCCCCCCCCCCCC)CC(=O)O</t>
  </si>
  <si>
    <t>POMQYTSPMKEQNB-UHFFFAOYSA-N</t>
  </si>
  <si>
    <t>FT1752PR</t>
  </si>
  <si>
    <t>Sulfoacetic acid</t>
  </si>
  <si>
    <t>磺基乙酸</t>
  </si>
  <si>
    <t>HMDB0258590</t>
  </si>
  <si>
    <t>C14179</t>
  </si>
  <si>
    <t>123-43-3</t>
  </si>
  <si>
    <t>OC(=O)CS(O)(=O)=O</t>
  </si>
  <si>
    <t>AGGIJOLULBJGTQ-UHFFFAOYSA-N</t>
  </si>
  <si>
    <t>C2H4O5S</t>
  </si>
  <si>
    <t>FT2353PR</t>
  </si>
  <si>
    <t>D-1,5-Anhydrofructose</t>
  </si>
  <si>
    <t>1,5-脱水-D-果糖</t>
  </si>
  <si>
    <t>HMDB0041561</t>
  </si>
  <si>
    <t>75414-43-6</t>
  </si>
  <si>
    <t>OCC1OCC(=O)C(O)C1O</t>
  </si>
  <si>
    <t>OCLOLUFOLJIQDC-UHFFFAOYSA-N</t>
  </si>
  <si>
    <t>FT1306PR</t>
  </si>
  <si>
    <t>L-prolinamide</t>
  </si>
  <si>
    <t>DL-脯氨酰胺</t>
  </si>
  <si>
    <t>HMDB0253910</t>
  </si>
  <si>
    <t>NC(=O)C1CCCN1</t>
  </si>
  <si>
    <t>VLJNHYLEOZPXFW-UHFFFAOYSA-N</t>
  </si>
  <si>
    <t>C5H10N2O</t>
  </si>
  <si>
    <t>FT2608NR</t>
  </si>
  <si>
    <t>4-(4'-O-Acetyl-alpha-L-rhamnosyloxy)benzaldehyde</t>
  </si>
  <si>
    <t>4-(4'-O-乙酰基-α-L-鼠李糖氧基)苯甲醛</t>
  </si>
  <si>
    <t>HMDB0039958</t>
  </si>
  <si>
    <t>159733-92-3</t>
  </si>
  <si>
    <t>C[C@@H]1O[C@@H](OC2=CC=C(C=O)C=C2)[C@H](O)[C@H](O)[C@H]1OC(C)=O</t>
  </si>
  <si>
    <t>YHVJUTOZYWQYSQ-QOWRVZOFSA-N</t>
  </si>
  <si>
    <t>C15H18O7</t>
  </si>
  <si>
    <t>FT1432NR</t>
  </si>
  <si>
    <t>1-nitronaphthalene</t>
  </si>
  <si>
    <t>硝基萘</t>
  </si>
  <si>
    <t>HMDB0062188</t>
  </si>
  <si>
    <t>C14040</t>
  </si>
  <si>
    <t>hsa00980</t>
  </si>
  <si>
    <t>Metabolism of xenobiotics by cytochrome P450</t>
  </si>
  <si>
    <t>86-57-7</t>
  </si>
  <si>
    <t>O=N(=O)C1=CC=CC2=CC=CC=C12</t>
  </si>
  <si>
    <t>RJKGJBPXVHTNJL-UHFFFAOYSA-N</t>
  </si>
  <si>
    <t>Nitronaphthalenes</t>
  </si>
  <si>
    <t>Level 4</t>
  </si>
  <si>
    <t>68.8111, 68.9227, 70.7163, 87.9252, 114.4665, 138.7068, 146.0610, 156.0455, 174.0919, 218.0825</t>
  </si>
  <si>
    <t>C10H7NO2</t>
  </si>
  <si>
    <t>FT2895PR</t>
  </si>
  <si>
    <t>Cyclopropylpyrroloindole</t>
  </si>
  <si>
    <t>环丙基吡咯并吲哚</t>
  </si>
  <si>
    <t>HMDB0250679</t>
  </si>
  <si>
    <t>C1CC1C1=CC2=CC=C3N=CC=C3C2=N1</t>
  </si>
  <si>
    <t>ANDCDPBTSFSYLB-UHFFFAOYSA-N</t>
  </si>
  <si>
    <t>Pyrroloindoles</t>
  </si>
  <si>
    <t>吡咯并吲哚</t>
  </si>
  <si>
    <t>C13H10N2</t>
  </si>
  <si>
    <t>FT1860PR</t>
  </si>
  <si>
    <t>2-O-Methyl-L-fucose</t>
  </si>
  <si>
    <t>2-O-甲基-L-岩藻糖</t>
  </si>
  <si>
    <t>HMDB0033789</t>
  </si>
  <si>
    <t>1887228-22-9</t>
  </si>
  <si>
    <t>CO[C@@H]1[C@H](O)O[C@@H](C)[C@@H](O)[C@H]1O</t>
  </si>
  <si>
    <t>YLAMTMNJXPWCQN-CXNFULCWSA-N</t>
  </si>
  <si>
    <t>FT2635PR</t>
  </si>
  <si>
    <t>N-Formylmethionine</t>
  </si>
  <si>
    <t>N-甲酰基-L-甲硫氨酸</t>
  </si>
  <si>
    <t>HMDB0001015</t>
  </si>
  <si>
    <t>CSCC[C@H](NC=O)C(O)=O</t>
  </si>
  <si>
    <t>PYUSHNKNPOHWEZ-YFKPBYRVSA-N</t>
  </si>
  <si>
    <t>FT0820NR</t>
  </si>
  <si>
    <t>Quinolinic acid</t>
  </si>
  <si>
    <t>喹啉酸</t>
  </si>
  <si>
    <t>HMDB0000232</t>
  </si>
  <si>
    <t>C03722</t>
  </si>
  <si>
    <t>hsa00380,hsa00410,hsa00760</t>
  </si>
  <si>
    <t>Tryptophan metabolism|beta-Alanine metabolism|Nicotinate and nicotinamide metabolism</t>
  </si>
  <si>
    <t>89-00-9</t>
  </si>
  <si>
    <t>OC(=O)C1=CC=CN=C1C(O)=O</t>
  </si>
  <si>
    <t>GJAWHXHKYYXBSV-UHFFFAOYSA-N</t>
  </si>
  <si>
    <t>C7H5NO4</t>
  </si>
  <si>
    <t>FT1851NR</t>
  </si>
  <si>
    <t>4-Hydroxy-3-(3-methyl-2-butenyl)acetophenone</t>
  </si>
  <si>
    <t>4-羟基-3-(3-甲基-2-丁烯基)苯乙酮</t>
  </si>
  <si>
    <t>HMDB0030770</t>
  </si>
  <si>
    <t>C10702</t>
  </si>
  <si>
    <t>26932-05-8</t>
  </si>
  <si>
    <t>CC(C)=CCC1=C(O)C=CC(=C1)C(C)=O</t>
  </si>
  <si>
    <t>QJAPFSSVKIZTMR-UHFFFAOYSA-N</t>
  </si>
  <si>
    <t>C13H16O2</t>
  </si>
  <si>
    <t>FT0784PR</t>
  </si>
  <si>
    <t>2-(2-Hydroxypropan-2-ylamino)propan-2-ol</t>
  </si>
  <si>
    <t>2-(2-羟基丙-2-氨基)丙-2-醇</t>
  </si>
  <si>
    <t>HMDB0257796</t>
  </si>
  <si>
    <t>CC(C)(O)NC(C)(C)O</t>
  </si>
  <si>
    <t>YFMRYKUIKVHBCZ-UHFFFAOYSA-N</t>
  </si>
  <si>
    <t>C6H15NO2</t>
  </si>
  <si>
    <t>FT4396PR</t>
  </si>
  <si>
    <t>2-Deoxy-2,3-dehydro-n-acetyl-neuraminic acid</t>
  </si>
  <si>
    <t>N-乙酰-2,3-二脱氢-2-脱氧神经氨酸</t>
  </si>
  <si>
    <t>HMDB0245680</t>
  </si>
  <si>
    <t>CC(=O)NC1C(O)C=C(OC1C(O)C(O)CO)C(O)=O</t>
  </si>
  <si>
    <t>JINJZWSZQKHCIP-UHFFFAOYSA-N</t>
  </si>
  <si>
    <t>C11H17NO8</t>
  </si>
  <si>
    <t>FT2060PR</t>
  </si>
  <si>
    <t>1H-Indole-2,3-dione</t>
  </si>
  <si>
    <t>靛红</t>
  </si>
  <si>
    <t>HMDB0061933</t>
  </si>
  <si>
    <t>C11129</t>
  </si>
  <si>
    <t>91-56-5</t>
  </si>
  <si>
    <t>O=C1NC2=CC=CC=C2C1=O</t>
  </si>
  <si>
    <t>JXDYKVIHCLTXOP-UHFFFAOYSA-N</t>
  </si>
  <si>
    <t>C8H5NO2</t>
  </si>
  <si>
    <t>FT0289NR</t>
  </si>
  <si>
    <t>L-Aspartate-semialdehyde</t>
  </si>
  <si>
    <t>L-天冬氨酸半醛</t>
  </si>
  <si>
    <t>HMDB0012249</t>
  </si>
  <si>
    <t>C00441</t>
  </si>
  <si>
    <t>hsa00260,hsa00270,hsa00330,hsa00400</t>
  </si>
  <si>
    <t>Glycine, serine and threonine metabolism|Cysteine and methionine metabolism|Arginine and proline metabolism|Phenylalanine, tyrosine and tryptophan biosynthesis</t>
  </si>
  <si>
    <t>2338-03-6</t>
  </si>
  <si>
    <t>N[C@@H](CC=O)C(O)=O</t>
  </si>
  <si>
    <t>HOSWPDPVFBCLSY-VKHMYHEASA-N</t>
  </si>
  <si>
    <t>C4H7NO3</t>
  </si>
  <si>
    <t>FT3078PR</t>
  </si>
  <si>
    <t>Elenaic acid</t>
  </si>
  <si>
    <t>埃琳娜酸</t>
  </si>
  <si>
    <t>HMDB0039136</t>
  </si>
  <si>
    <t>34422-12-3</t>
  </si>
  <si>
    <t>COC(=O)C1=COC(C)C(C=O)C1CC(O)=O</t>
  </si>
  <si>
    <t>MQFAJBBHEYTHKF-UHFFFAOYSA-N</t>
  </si>
  <si>
    <t>C11H14O6</t>
  </si>
  <si>
    <t>FT5644PR</t>
  </si>
  <si>
    <t>oscr#34</t>
  </si>
  <si>
    <t>19-(3,6-二脱氧-α-L-阿拉伯-吡喃己糖基氧基)-十九烷酸</t>
  </si>
  <si>
    <t>LMFA13040063</t>
  </si>
  <si>
    <t>O[C@@H]1C[C@@H](O)[C@H](C)O[C@H]1OCCCCCCCCCCCCCCCCCCC(=O)O</t>
  </si>
  <si>
    <t>DUCJPMRHUUCBAA-XJTUCQONSA-N</t>
  </si>
  <si>
    <t>C25H48O6</t>
  </si>
  <si>
    <t>FT6166PR</t>
  </si>
  <si>
    <t>(17alpha,23S)-Epoxy-28,29-dihydroxy-27-norlanost-8-ene-3,24-dione</t>
  </si>
  <si>
    <t>(17α,23S)-环氧-28,29-二羟基-27-降兰诺斯特-8-烯-3,24-二酮</t>
  </si>
  <si>
    <t>HMDB0035624</t>
  </si>
  <si>
    <t>CCC(=O)C1CC(C)C2(CCC3(C)C4=C(CCC23C)C2(C)CCC(=O)C(CO)(CO)C2CC4)O1</t>
  </si>
  <si>
    <t>DIKWKAQBKMFLHS-UHFFFAOYSA-N</t>
  </si>
  <si>
    <t>C29H44O5</t>
  </si>
  <si>
    <t>FT4106PR</t>
  </si>
  <si>
    <t>Mono-(3-carboxypropyl) phthalate</t>
  </si>
  <si>
    <t>单(3-羧基丙基)邻苯二甲酸酯-D4</t>
  </si>
  <si>
    <t>HMDB0061748</t>
  </si>
  <si>
    <t>OC(=O)CCCOC(=O)C1=CC=CC=C1C(O)=O</t>
  </si>
  <si>
    <t>IYTPMLIWBZMBSL-UHFFFAOYSA-N</t>
  </si>
  <si>
    <t>188.0798, 211.0701, 283.0840, 290.9893, 291.0268, 291.1192, 291.1559, 291.1930, 291.2288, 295.5943</t>
  </si>
  <si>
    <t>C12H12O6</t>
  </si>
  <si>
    <t>FT2523NR</t>
  </si>
  <si>
    <t>MG(0:0/i-14:0/0:0)</t>
  </si>
  <si>
    <t>甘油单酯(0:0/i-14:0/0:0)</t>
  </si>
  <si>
    <t>HMDB0072853</t>
  </si>
  <si>
    <t>[H]C(CO)(CO)OC(=O)CCCCCCCCCCC(C)C</t>
  </si>
  <si>
    <t>ISFYNKZIPZNFFO-UHFFFAOYSA-N</t>
  </si>
  <si>
    <t>116.9742, 153.0568, 165.3085, 218.8384, 255.2326, 257.0973, 301.0859, 301.1554, 302.6894, 314.4846</t>
  </si>
  <si>
    <t>C17H34O4</t>
  </si>
  <si>
    <t>FT3504PR</t>
  </si>
  <si>
    <t>Arginylproline</t>
  </si>
  <si>
    <t>精脯氨酸</t>
  </si>
  <si>
    <t>HMDB0028717</t>
  </si>
  <si>
    <t>2418-69-1</t>
  </si>
  <si>
    <t>N[C@@H](CCCNC(N)=N)C(=O)N1CCC[C@H]1C(O)=O</t>
  </si>
  <si>
    <t>LQJAALCCPOTJGB-YUMQZZPRSA-N</t>
  </si>
  <si>
    <t>C11H21N5O3</t>
  </si>
  <si>
    <t>FT1556NR</t>
  </si>
  <si>
    <t>9-dodecen-1-ol</t>
  </si>
  <si>
    <t>9反-十二碳烯醇</t>
  </si>
  <si>
    <t>LMFA05000024</t>
  </si>
  <si>
    <t>C(/CC)=C\CCCCCCCCO</t>
  </si>
  <si>
    <t>GJNNIRNIXNLOJP-ONEGZZNKSA-N</t>
  </si>
  <si>
    <t>66.0720, 68.8700, 99.9254, 116.9280, 127.0411, 158.6589, 185.9261, 229.1434, 229.1807, 230.1547</t>
  </si>
  <si>
    <t>C12H24O</t>
  </si>
  <si>
    <t>FT4129NR</t>
  </si>
  <si>
    <t>1-(2-methoxy-5Z-hexadecenyl)-sn-glycero-3-phosphoethanolamine</t>
  </si>
  <si>
    <t>1-(2-甲氧基-5Z-十六烯基)-sn-甘油-3-磷酸乙醇胺</t>
  </si>
  <si>
    <t>LMGP02060018</t>
  </si>
  <si>
    <t>[C@](COP(=O)(O)OCCN)([H])(O)COCC(OC)CC/C=C\CCCCCCCCCC</t>
  </si>
  <si>
    <t>GIYHJKMZJHZKIU-WWKOBSEMSA-N</t>
  </si>
  <si>
    <t>FT5307PR</t>
  </si>
  <si>
    <t>25-hydroxyvitamin D3</t>
  </si>
  <si>
    <t>骨化二醇一水合物</t>
  </si>
  <si>
    <t>HMDB0003550</t>
  </si>
  <si>
    <t>LMST03020246</t>
  </si>
  <si>
    <t>C01561</t>
  </si>
  <si>
    <t>hsa00100,hsa04928,hsa05152</t>
  </si>
  <si>
    <t>Steroid biosynthesis|Parathyroid hormone synthesis, secretion and action|Tuberculosis</t>
  </si>
  <si>
    <t>R-HSA-1430728,R-HSA-1643685,R-HSA-196791,R-HSA-211859,R-HSA-211897,R-HSA-211916,R-HSA-211945,R-HSA-556833,R-HSA-5579014,R-HSA-5579029,R-HSA-5668914,R-HSA-8957322</t>
  </si>
  <si>
    <t>Metabolism|Disease|Vitamin D (calciferol) metabolism|Biological oxidations|Cytochrome P450 - arranged by substrate type|Vitamins|Phase I - Functionalization of compounds|Metabolism of lipids|Defective CYP27B1 causes VDDR1A|Metabolic disorders of biological oxidation enzymes|Diseases of metabolism|Metabolism of steroids</t>
  </si>
  <si>
    <t>19356-17-3</t>
  </si>
  <si>
    <t>C1C(=C)/C(=C\C=C2\[C@]3([H])CC[C@@]([H])([C@@]3(C)CCC\2)[C@]([H])(C)CCCC(O)(C)C)/C[C@@H](O)C1</t>
  </si>
  <si>
    <t>JWUBBDSIWDLEOM-DTOXIADCSA-N</t>
  </si>
  <si>
    <t>FT4998PR</t>
  </si>
  <si>
    <t>trans-brassidic acid</t>
  </si>
  <si>
    <t>13-二十二烯酸</t>
  </si>
  <si>
    <t>LMFA01030090</t>
  </si>
  <si>
    <t>C08316</t>
  </si>
  <si>
    <t>C(/CCCCCCCC)=C\CCCCCCCCCCCC(=O)O</t>
  </si>
  <si>
    <t>DPUOLQHDNGRHBS-MDZDMXLPSA-N</t>
  </si>
  <si>
    <t>242.4680, 261.3282, 262.2535, 303.3039, 310.3101, 321.3148, 336.4758, 338.2942, 338.3412, 356.2849</t>
  </si>
  <si>
    <t>FT5145PR</t>
  </si>
  <si>
    <t>trans-2-Tetradecenoylcarnitine</t>
  </si>
  <si>
    <t>反式-2-十四碳烯酰肉碱</t>
  </si>
  <si>
    <t>HMDB0013329</t>
  </si>
  <si>
    <t>1256380-19-4</t>
  </si>
  <si>
    <t>CCCCCCCCCCC\C=C\C(=O)O[C@H](CC(O)=O)C[N+](C)(C)C</t>
  </si>
  <si>
    <t>BUBHHSHBKWNLLG-CLHDZIPGSA-O</t>
  </si>
  <si>
    <t>124.5281, 130.5048, 205.4025, 276.4974, 277.6360, 311.2203, 317.9313, 370.2545, 370.2949, 370.3497</t>
  </si>
  <si>
    <t>C21H40NO4</t>
  </si>
  <si>
    <t>FT4410NR</t>
  </si>
  <si>
    <t>3alpha,7alpha,12alpha,16alpha-Tetrahydroxy-5beta-cholestan-26-oic acid</t>
  </si>
  <si>
    <t>3α,7α,12α,16α-四羟基-5β-胆甾坦-26-油酸</t>
  </si>
  <si>
    <t>LMST04030210</t>
  </si>
  <si>
    <t>C1[C@]2(C)[C@@]3([H])C[C@H](O)[C@]4(C)[C@@]([H])([C@]([H])(C)CCCC(C)C(=O)O)[C@H](O)C[C@@]4([H])[C@]3([H])[C@H](O)C[C@]2([H])C[C@H](O)C1</t>
  </si>
  <si>
    <t>RZONGASFCUAARL-FQOXINNRSA-N</t>
  </si>
  <si>
    <t>69.22467, 69.22896, 72.44848, 82.79923, 88.98778, 89.02425, 165.45403, 221.44481, 234.76331, 501.27878</t>
  </si>
  <si>
    <t>C27H46O6</t>
  </si>
  <si>
    <t>FT3435NR</t>
  </si>
  <si>
    <t>N-Linoleoyl Leucine</t>
  </si>
  <si>
    <t>N-亚油酰亮氨酸</t>
  </si>
  <si>
    <t>HMDB0241979</t>
  </si>
  <si>
    <t>CCCCCC=CCC=CCCCCCCCC(=O)NC(CC(C)C)C(O)=O</t>
  </si>
  <si>
    <t>CICRQSYFFGMUEH-UHFFFAOYSA-N</t>
  </si>
  <si>
    <t>119.2542, 130.0871, 137.2646, 156.4573, 164.3522, 265.1258, 273.1660, 299.8614, 302.6698, 392.3162</t>
  </si>
  <si>
    <t>C24H43NO3</t>
  </si>
  <si>
    <t>FT2807PR</t>
  </si>
  <si>
    <t>Methionyl-Glycine</t>
  </si>
  <si>
    <t>蛋氨酰甘氨酸</t>
  </si>
  <si>
    <t>HMDB0028973</t>
  </si>
  <si>
    <t>CSCCC(N)C(=O)NCC(O)=O</t>
  </si>
  <si>
    <t>QXOHLNCNYLGICT-UHFFFAOYSA-N</t>
  </si>
  <si>
    <t>C7H14N2O3S</t>
  </si>
  <si>
    <t>FT2741NR</t>
  </si>
  <si>
    <t>15S-HpEDE</t>
  </si>
  <si>
    <t>LMFA01040030</t>
  </si>
  <si>
    <t>145375-41-3</t>
  </si>
  <si>
    <t>C(/C=C\C=C\[C@@H](OO)CCCCC)CCCCCCCCC(=O)O</t>
  </si>
  <si>
    <t>KEXNVBSLXJLOPR-XMSPSUPSSA-N</t>
  </si>
  <si>
    <t>FT3915NR</t>
  </si>
  <si>
    <t>eta-Tocopherol</t>
  </si>
  <si>
    <t>等生育酚</t>
  </si>
  <si>
    <t>HMDB0034254</t>
  </si>
  <si>
    <t>91-86-1</t>
  </si>
  <si>
    <t>CC(C)CCCC(C)CCCC(C)CCCC1(C)CCC2=C(O1)C=C(C)C(O)=C2</t>
  </si>
  <si>
    <t>PZZKGQBMBVYPGR-UHFFFAOYSA-N</t>
  </si>
  <si>
    <t>FT4611PR</t>
  </si>
  <si>
    <t>4-Hydroxypenbutolol</t>
  </si>
  <si>
    <t>4-羟基喷丁洛尔</t>
  </si>
  <si>
    <t>HMDB0246463</t>
  </si>
  <si>
    <t>CC(C)(C)NCC(O)COC1=C(C=C(O)C=C1)C1CCCC1</t>
  </si>
  <si>
    <t>PYXBIIXXYVBVLU-UHFFFAOYSA-N</t>
  </si>
  <si>
    <t>4-alkoxyphenols</t>
  </si>
  <si>
    <t xml:space="preserve"> 4-烷氧基酚类</t>
  </si>
  <si>
    <t>C18H29NO3</t>
  </si>
  <si>
    <t>FT1880NR</t>
  </si>
  <si>
    <t>Trinexapac-ethyl</t>
  </si>
  <si>
    <t>抗倒酯</t>
  </si>
  <si>
    <t>HMDB0259248</t>
  </si>
  <si>
    <t>C18541</t>
  </si>
  <si>
    <t>CCOC(=O)C1CC(=O)C(=C(O)C2CC2)C(=O)C1</t>
  </si>
  <si>
    <t>RVKCCVTVZORVGD-QXMHVHEDSA-N</t>
  </si>
  <si>
    <t>Vinylogous acids</t>
  </si>
  <si>
    <t>乙烯酸</t>
  </si>
  <si>
    <t>C13H16O5</t>
  </si>
  <si>
    <t>FT1915NR</t>
  </si>
  <si>
    <t>Imidazole acetol-phosphate</t>
  </si>
  <si>
    <t>咪唑乙酰醇磷酸酯</t>
  </si>
  <si>
    <t>HMDB0012236</t>
  </si>
  <si>
    <t>C01267</t>
  </si>
  <si>
    <t>99979-59-6</t>
  </si>
  <si>
    <t>OP(O)(=O)OCC(=O)CC1=CNC=N1</t>
  </si>
  <si>
    <t>YCFFMSOLUMRAMD-UHFFFAOYSA-N</t>
  </si>
  <si>
    <t>186.9305, 186.9547, 187.0066, 187.0472, 187.6629, 188.0099, 237.5609, 254.9933, 255.1137, 255.2317</t>
  </si>
  <si>
    <t>C6H9N2O5P</t>
  </si>
  <si>
    <t>FT2706NR</t>
  </si>
  <si>
    <t>Camonagrel</t>
  </si>
  <si>
    <t>卡莫格雷</t>
  </si>
  <si>
    <t>HMDB0249574</t>
  </si>
  <si>
    <t>OC(=O)C1CCC2=C1C=CC(OCCN1C=CN=C1)=C2</t>
  </si>
  <si>
    <t>IRWWXLHSNMVHNY-UHFFFAOYSA-N</t>
  </si>
  <si>
    <t>Indanes</t>
  </si>
  <si>
    <t>茚满类</t>
  </si>
  <si>
    <t>C15H16N2O3</t>
  </si>
  <si>
    <t>FT3854PR</t>
  </si>
  <si>
    <t>rhamnetin 3-rhamninoside</t>
  </si>
  <si>
    <t>鼠李素3-鼠李糖苷</t>
  </si>
  <si>
    <t>HMDB0304579</t>
  </si>
  <si>
    <t>OC[C@H](O)[C@H](O)[C@@H](O)C(=O)C(=O)\C=C\C1=CC=C(O)C=C1</t>
  </si>
  <si>
    <t>MWIKBJCXYZPTLV-FQPJXEIISA-N</t>
  </si>
  <si>
    <t>C14H16O7</t>
  </si>
  <si>
    <t>FT3320PR</t>
  </si>
  <si>
    <t>3-methyl-5-carboxypropyl-2-furanpropanoic acid</t>
  </si>
  <si>
    <t>3-甲基-5-羧丙基-2-呋喃丙酸</t>
  </si>
  <si>
    <t>LMFA01150049</t>
  </si>
  <si>
    <t>C(C(=O)O)CCC1=CC(C)=C(CCC(=O)O)O1</t>
  </si>
  <si>
    <t>HZVYFXMSXIRDBK-UHFFFAOYSA-N</t>
  </si>
  <si>
    <t>209.9446, 209.9637, 220.4496, 223.0756, 223.0962, 223.1666, 241.0812, 241.1056, 241.1570, 241.2162</t>
  </si>
  <si>
    <t>C12H16O5</t>
  </si>
  <si>
    <t>FT2841PR</t>
  </si>
  <si>
    <t>10-Hydroxy-2-decenoic acid</t>
  </si>
  <si>
    <t>10-羟基-2-癸烯酸</t>
  </si>
  <si>
    <t>HMDB0244269</t>
  </si>
  <si>
    <t>OCCCCCCCC=CC(O)=O</t>
  </si>
  <si>
    <t>QHBZHVUGQROELI-UHFFFAOYSA-N</t>
  </si>
  <si>
    <t>FT4600PR</t>
  </si>
  <si>
    <t>Anandamide (18:2, n-6)</t>
  </si>
  <si>
    <t>亚油酰乙醇酰胺</t>
  </si>
  <si>
    <t>HMDB0012252</t>
  </si>
  <si>
    <t>LMFA08040004</t>
  </si>
  <si>
    <t>68171-52-8</t>
  </si>
  <si>
    <t>C(C/C=C\C/C=C\CCCCC)CCCCCC(=O)NCCO</t>
  </si>
  <si>
    <t>KQXDGUVSAAQARU-HZJYTTRNSA-N</t>
  </si>
  <si>
    <t>C20H37NO2</t>
  </si>
  <si>
    <t>FT2759PR</t>
  </si>
  <si>
    <t>D-Sorbitol</t>
  </si>
  <si>
    <t>山梨糖醇</t>
  </si>
  <si>
    <t>HMDB0000247</t>
  </si>
  <si>
    <t>C00794</t>
  </si>
  <si>
    <t>hsa00051,hsa00052,hsa02010,hsa05415</t>
  </si>
  <si>
    <t>Fructose and mannose metabolism|Galactose metabolism|ABC transporters|Diabetic cardiomyopathy</t>
  </si>
  <si>
    <t>R-HSA-1430728,R-HSA-5652084,R-HSA-5652227,R-HSA-71387</t>
  </si>
  <si>
    <t>Metabolism|Fructose metabolism|Fructose biosynthesis|Metabolism of carbohydrates</t>
  </si>
  <si>
    <t>50-70-4</t>
  </si>
  <si>
    <t>OC[C@H](O)[C@@H](O)[C@H](O)[C@H](O)CO</t>
  </si>
  <si>
    <t>FBPFZTCFMRRESA-JGWLITMVSA-N</t>
  </si>
  <si>
    <t>FT3291NR</t>
  </si>
  <si>
    <t>2-Methyl-5-(8,11-pentadecadienyl)-1,3-benzenediol</t>
  </si>
  <si>
    <t>2-甲基-5-(8,11-十五碳二烯基)-1,3-苯二酚</t>
  </si>
  <si>
    <t>HMDB0038909</t>
  </si>
  <si>
    <t>50423-14-8</t>
  </si>
  <si>
    <t>CCC\C=C\C\C=C/CCCCCCCC1=CC(O)=C(C)C(O)=C1</t>
  </si>
  <si>
    <t>IZGYQWUVUWZOPQ-NKEWZBFXSA-N</t>
  </si>
  <si>
    <t>69.0970, 69.1031, 78.2770, 83.0357, 104.8224, 118.6721, 192.3959, 207.7386, 273.7635, 318.2119</t>
  </si>
  <si>
    <t>FT0852NR</t>
  </si>
  <si>
    <t>(S,E)-2,6-Dimethyl-5,7-octadiene-2,3-diol</t>
  </si>
  <si>
    <t>(S,E)-2,6-二甲基-5,7-辛二烯-2,3-二醇</t>
  </si>
  <si>
    <t>HMDB0035122</t>
  </si>
  <si>
    <t>261917-31-1</t>
  </si>
  <si>
    <t>C\C(C=C)=C/CC(O)C(C)(C)O</t>
  </si>
  <si>
    <t>BTHAWHOTHGQIKC-SOFGYWHQSA-N</t>
  </si>
  <si>
    <t>66.0795, 68.7046, 78.5294, 97.0660, 125.0970, 156.8679, 169.0342, 169.0510, 169.0871, 169.1229</t>
  </si>
  <si>
    <t>C10H18O2</t>
  </si>
  <si>
    <t>FT2061PR</t>
  </si>
  <si>
    <t>Thiomorpholine 3-carboxylate</t>
  </si>
  <si>
    <t>3-硫代吗啉羧酸</t>
  </si>
  <si>
    <t>HMDB0059611</t>
  </si>
  <si>
    <t>C03901</t>
  </si>
  <si>
    <t>20960-92-3</t>
  </si>
  <si>
    <t>OC(=O)C1CSCCN1</t>
  </si>
  <si>
    <t>JOKIQGQOKXGHDV-UHFFFAOYSA-N</t>
  </si>
  <si>
    <t>C5H9NO2S</t>
  </si>
  <si>
    <t>FT1416NR</t>
  </si>
  <si>
    <t>Tyrosol 4-sulfate</t>
  </si>
  <si>
    <t>酪醇-4-硫酸盐</t>
  </si>
  <si>
    <t>HMDB0041785</t>
  </si>
  <si>
    <t>OCCC1=CC=C(OS(O)(=O)=O)C=C1</t>
  </si>
  <si>
    <t>VCRXMIQBQGCAAL-UHFFFAOYSA-N</t>
  </si>
  <si>
    <t>72.1361, 78.5991, 78.8413, 79.9572, 80.9648, 137.0604, 139.1989, 155.4497, 217.0171, 218.0209</t>
  </si>
  <si>
    <t>FT0484NR</t>
  </si>
  <si>
    <t>2-Phenylacetamide</t>
  </si>
  <si>
    <t>2-苯基乙酰胺</t>
  </si>
  <si>
    <t>HMDB0010715</t>
  </si>
  <si>
    <t>C02505</t>
  </si>
  <si>
    <t>103-81-1</t>
  </si>
  <si>
    <t>NC(=O)CC1=CC=CC=C1</t>
  </si>
  <si>
    <t>LSBDFXRDZJMBSC-UHFFFAOYSA-N</t>
  </si>
  <si>
    <t>Phenylacetamides</t>
  </si>
  <si>
    <t>苯乙酰胺类</t>
  </si>
  <si>
    <t>72.7050, 92.0251, 132.1752, 134.0247, 134.0365, 134.0467, 134.0608, 134.8649, 135.0315, 135.0450</t>
  </si>
  <si>
    <t>C8H9NO</t>
  </si>
  <si>
    <t>FT2182PR</t>
  </si>
  <si>
    <t>Xylitol</t>
  </si>
  <si>
    <t>木糖醇</t>
  </si>
  <si>
    <t>HMDB0002917</t>
  </si>
  <si>
    <t>C00379</t>
  </si>
  <si>
    <t>hsa00040,hsa02010</t>
  </si>
  <si>
    <t>Pentose and glucuronate interconversions|ABC transporters</t>
  </si>
  <si>
    <t>R-HSA-1430728,R-HSA-5661270,R-HSA-71387</t>
  </si>
  <si>
    <t>Metabolism|Formation of xylulose-5-phosphate|Metabolism of carbohydrates</t>
  </si>
  <si>
    <t>87-99-0</t>
  </si>
  <si>
    <t>OC[C@H](O)[C@@H](O)[C@H](O)CO</t>
  </si>
  <si>
    <t>HEBKCHPVOIAQTA-SCDXWVJYSA-N</t>
  </si>
  <si>
    <t>FT2644NR</t>
  </si>
  <si>
    <t>Phytanic acid</t>
  </si>
  <si>
    <t>植烷酸</t>
  </si>
  <si>
    <t>HMDB0000801</t>
  </si>
  <si>
    <t>C01607</t>
  </si>
  <si>
    <t>R-HSA-1430728,R-HSA-389599,R-HSA-390918,R-HSA-556833,R-HSA-8978868</t>
  </si>
  <si>
    <t>Metabolism|Alpha-oxidation of phytanate|Peroxisomal lipid metabolism|Metabolism of lipids|Fatty acid metabolism</t>
  </si>
  <si>
    <t>14721-66-5</t>
  </si>
  <si>
    <t>CC(C)CCCC(C)CCCC(C)CCCC(C)CC(O)=O</t>
  </si>
  <si>
    <t>RLCKHJSFHOZMDR-UHFFFAOYSA-N</t>
  </si>
  <si>
    <t>FT5327PR</t>
  </si>
  <si>
    <t>(5E)-8-Hydroxytetradec-5-enoylcarnitine</t>
  </si>
  <si>
    <t>(5E)-8-羟基十四-5-烯酰肉碱</t>
  </si>
  <si>
    <t>HMDB0241364</t>
  </si>
  <si>
    <t>CCCCCCC(O)CC=CCCCC(=O)OC(CC([O-])=O)C[N+](C)(C)C</t>
  </si>
  <si>
    <t>FDDDTNWQHGZLMB-UHFFFAOYSA-N</t>
  </si>
  <si>
    <t>71.7599, 74.9860, 78.4302, 78.4658, 85.0288, 105.6083, 144.9920, 205.4031, 271.9597, 386.2898</t>
  </si>
  <si>
    <t>FT4945PR</t>
  </si>
  <si>
    <t>21,22,23,24-Tetrahydroporphyrin</t>
  </si>
  <si>
    <t>21,22,23,24-四氢卟啉</t>
  </si>
  <si>
    <t>HMDB0260008</t>
  </si>
  <si>
    <t>N1C2=CC=C1\C=C1/N\C(\C=C1)=C/C1=CC=C(N1)\C=C1/N\C(\C=C1)=C/2</t>
  </si>
  <si>
    <t>ZKSVMRIKVRPHQK-CEVVSZFKSA-N</t>
  </si>
  <si>
    <t>Porphyrins</t>
  </si>
  <si>
    <t>卟啉</t>
  </si>
  <si>
    <t>199.0572, 228.0853, 229.0679, 243.0837, 244.0786, 274.0891, 302.8539, 321.2076, 350.9855, 351.0994</t>
  </si>
  <si>
    <t>C20H16N4</t>
  </si>
  <si>
    <t>FT2199PR</t>
  </si>
  <si>
    <t>INDOLE-2-ACETIC ACID</t>
  </si>
  <si>
    <t>吲哚-2-乙酸</t>
  </si>
  <si>
    <t>HMDB0253468</t>
  </si>
  <si>
    <t>OC(=O)CC1=CC2=CC=CC=C2N1</t>
  </si>
  <si>
    <t>QOPBEBWGSGFROG-UHFFFAOYSA-N</t>
  </si>
  <si>
    <t>135.9451, 146.9613, 149.0232, 158.0612, 158.9607, 174.6748, 176.0703, 176.1067, 176.9717, 177.0111</t>
  </si>
  <si>
    <t>FT5289NR</t>
  </si>
  <si>
    <t>Quercetin 7-(6''-galloylglucoside)</t>
  </si>
  <si>
    <t>槲皮素7-(6''-没食子酰葡萄糖苷)</t>
  </si>
  <si>
    <t>LMPK12110565</t>
  </si>
  <si>
    <t>C1C=C(O)C(O)=CC=1C1=C(O)C(=O)C2C(O)=CC(O[C@H]3[C@H](O)[C@@H](O)[C@H](O)[C@@H](COC(=O)C4C=C(O)C(O)=C(O)C=4)O3)=CC=2O1</t>
  </si>
  <si>
    <t>USBMLXYFQKQZDJ-JXOXKRRHSA-N</t>
  </si>
  <si>
    <t>175.0246, 189.0554, 205.3858, 359.1138, 395.6058, 439.0696, 492.7905, 504.0982, 535.1447, 615.1010</t>
  </si>
  <si>
    <t>C28H24O16</t>
  </si>
  <si>
    <t>FT2015PR</t>
  </si>
  <si>
    <t>L-trans-5-Hydroxy-2-piperidinecarboxylic acid</t>
  </si>
  <si>
    <t>5-羟基哌啶-2-羧酸</t>
  </si>
  <si>
    <t>HMDB0029426</t>
  </si>
  <si>
    <t>50439-45-7</t>
  </si>
  <si>
    <t>OC1CCC(NC1)C(O)=O</t>
  </si>
  <si>
    <t>RKEYKDXXZCICFZ-UHFFFAOYSA-N</t>
  </si>
  <si>
    <t>FT5955PR</t>
  </si>
  <si>
    <t>3alpha,7alpha,12alpha-Trihydroxy-5beta-cholest-23-en-26-oic acid</t>
  </si>
  <si>
    <t>3α,7α,12α-三羟基-5β-胆甾醇-23-en-26-油酸</t>
  </si>
  <si>
    <t>LMST04030065</t>
  </si>
  <si>
    <t>C1[C@]2(C)[C@@]3([H])C[C@H](O)[C@]4(C)[C@@]([H])([C@]([H])(C)C/C=C/C(C)C(O)=O)CC[C@@]4([H])[C@]3([H])[C@H](O)C[C@]2([H])C[C@H](O)C1</t>
  </si>
  <si>
    <t>QSXDPPCWQOXDPP-GFQZIOBESA-N</t>
  </si>
  <si>
    <t>C27H44O5</t>
  </si>
  <si>
    <t>FT3669NR</t>
  </si>
  <si>
    <t>1-O-(2R-methoxy-4Z,7Z,10Z,13Z,16Z-docosapentaenyl)-sn-glycerol</t>
  </si>
  <si>
    <t>1-O-(2R-甲氧基-4Z,7Z,10Z,13Z,16Z-二十二碳五烯基)-sn-甘油</t>
  </si>
  <si>
    <t>LMGL01020045</t>
  </si>
  <si>
    <t>[C@](CO)([H])(O)COC[C@H](OC)C/C=C\C/C=C\C/C=C\C/C=C\C/C=C\CCCCC</t>
  </si>
  <si>
    <t>RFSQCYQEULVFET-KPIMEWLJSA-N</t>
  </si>
  <si>
    <t>251.0457, 260.8273, 281.1151, 291.1799, 302.6844, 314.0040, 375.3261, 418.9750, 419.3157, 429.7222</t>
  </si>
  <si>
    <t>C26H44O4</t>
  </si>
  <si>
    <t>FT1693NR</t>
  </si>
  <si>
    <t>6,10-Dimethyl-5(E),9-undecadien-2-one</t>
  </si>
  <si>
    <t>香叶基丙酮</t>
  </si>
  <si>
    <t>LMFA11000696</t>
  </si>
  <si>
    <t>CC(=O)CC/C=C(\C)/CC/C=C(\C)/C</t>
  </si>
  <si>
    <t>HNZUNIKWNYHEJJ-FMIVXFBMSA-N</t>
  </si>
  <si>
    <t>154.0635, 181.1593, 195.1389, 195.1749, 217.8930, 223.0276, 239.0666, 239.1279, 239.1644, 245.0360</t>
  </si>
  <si>
    <t>FT1698NR</t>
  </si>
  <si>
    <t>5-Methoxyindole-3-acetic acid</t>
  </si>
  <si>
    <t>5-甲氧基吲哚乙酸酯</t>
  </si>
  <si>
    <t>HMDB0004096</t>
  </si>
  <si>
    <t>C05660</t>
  </si>
  <si>
    <t>3471-31-6</t>
  </si>
  <si>
    <t>COC1=CC2=C(NC=C2CC(O)=O)C=C1</t>
  </si>
  <si>
    <t>COCNDHOPIHDTHK-UHFFFAOYSA-N</t>
  </si>
  <si>
    <t>FT3192PR</t>
  </si>
  <si>
    <t>12-hydroxy-3Z-dodecenoic acid</t>
  </si>
  <si>
    <t>12-羟基-3Z-十二烯酸</t>
  </si>
  <si>
    <t>LMFA01050170</t>
  </si>
  <si>
    <t>C(C/C=C\CCCCCCCCO)(=O)O</t>
  </si>
  <si>
    <t>RRJILZUCEDMMNU-VURMDHGXSA-N</t>
  </si>
  <si>
    <t>FT5851PR</t>
  </si>
  <si>
    <t>7alpha,12alpha,24-trihydroxy-5beta-cholestan-3-one</t>
  </si>
  <si>
    <t>7α,12α,24-三羟基-5β-胆甾坦-3-酮</t>
  </si>
  <si>
    <t>LMST04030172</t>
  </si>
  <si>
    <t>[C@]12(C)[C@@H](O)C[C@@]3([H])[C@@]([H])([C@H](O)C[C@]4([H])CC(=O)CC[C@]34C)[C@]1([H])CC[C@]2([H])[C@H](C)CCC(O)C(C)C</t>
  </si>
  <si>
    <t>OESDJUYDQFBVDE-DEPJWOTISA-N</t>
  </si>
  <si>
    <t>82.3936, 85.0288, 97.5190, 113.0965, 143.5786, 144.1014, 311.2591, 366.5878, 452.2997, 452.3730</t>
  </si>
  <si>
    <t>FT5178NR</t>
  </si>
  <si>
    <t>PS-PC</t>
  </si>
  <si>
    <t>1-棕榈酰-2-琥珀酰-sn-甘油-磷酸胆碱</t>
  </si>
  <si>
    <t>LMGP20010022</t>
  </si>
  <si>
    <t>[C@](COP(=O)([O-])OCC[N+](C)(C)C)([H])(OC(CCC(=O)O)=O)COC(CCCCCCCCCCCCCCC)=O</t>
  </si>
  <si>
    <t>GEUVQGBCEQLWKK-RUZDIDTESA-N</t>
  </si>
  <si>
    <t>67.9304, 70.8009, 70.8059, 72.9930, 73.9830, 112.9854, 205.3901, 465.0778, 483.0811, 594.3426</t>
  </si>
  <si>
    <t>C28H54NO10P</t>
  </si>
  <si>
    <t>FT5431PR</t>
  </si>
  <si>
    <t>O-palmitoylcarnitine</t>
  </si>
  <si>
    <t>棕榈酰肉碱</t>
  </si>
  <si>
    <t>HMDB0240783</t>
  </si>
  <si>
    <t>LMFA07070098</t>
  </si>
  <si>
    <t>C02990</t>
  </si>
  <si>
    <t>hsa00071</t>
  </si>
  <si>
    <t>Fatty acid degradation</t>
  </si>
  <si>
    <t>C(CC([O-])=O)(C[N+](C)(C)C)OC(=O)CCCCCCCCCCCCCCC</t>
  </si>
  <si>
    <t>XOMRRQXKHMYMOC-UHFFFAOYSA-N</t>
  </si>
  <si>
    <t>205.3933, 205.4123, 239.2370, 244.5714, 341.2679, 370.2402, 400.2156, 400.2421, 400.3413, 401.3434</t>
  </si>
  <si>
    <t>C23H45NO4</t>
  </si>
  <si>
    <t>FT2249NR</t>
  </si>
  <si>
    <t>2-Ethylbenzothiazoline sulfonic acid</t>
  </si>
  <si>
    <t>2-乙基苯并噻唑啉磺酸</t>
  </si>
  <si>
    <t>HMDB0257728</t>
  </si>
  <si>
    <t>CCC1(NC2=CC=CC=C2S1)S(O)(=O)=O</t>
  </si>
  <si>
    <t>JLQILQOFXAXNKA-UHFFFAOYSA-N</t>
  </si>
  <si>
    <t>80.9707, 92.0500, 112.3872, 132.0451, 212.0017, 212.0398, 212.0500, 213.0052, 233.9822, 279.9887</t>
  </si>
  <si>
    <t>C9H11NO3S2</t>
  </si>
  <si>
    <t>FT1986NR</t>
  </si>
  <si>
    <t>Kanzonol Q</t>
  </si>
  <si>
    <t>康佐醇Q</t>
  </si>
  <si>
    <t>HMDB0041192</t>
  </si>
  <si>
    <t>17053-75-7</t>
  </si>
  <si>
    <t>COC1=C2C=CC(=O)OC2=CC2=C1CCC(C)(C)O2</t>
  </si>
  <si>
    <t>HJUDWPJIBKIYQS-UHFFFAOYSA-N</t>
  </si>
  <si>
    <t>Pyranocoumarins</t>
  </si>
  <si>
    <t>吡喃香豆素类</t>
  </si>
  <si>
    <t>C15H16O4</t>
  </si>
  <si>
    <t>FT2449NR</t>
  </si>
  <si>
    <t>Taltrimide</t>
  </si>
  <si>
    <t>他曲米特</t>
  </si>
  <si>
    <t>HMDB0258703</t>
  </si>
  <si>
    <t>CC(C)NS(=O)(=O)CCN1C(=O)C2=CC=CC=C2C1=O</t>
  </si>
  <si>
    <t>NZKNHIQZWSVJGP-UHFFFAOYSA-N</t>
  </si>
  <si>
    <t>Isoindoles and derivatives</t>
  </si>
  <si>
    <t>Isoindolines</t>
  </si>
  <si>
    <t>异吲哚及其衍生物</t>
  </si>
  <si>
    <t>异吲哚啉</t>
  </si>
  <si>
    <t>90.6673, 112.9849, 140.9810, 159.1022, 186.7373, 227.0896, 281.6671, 281.8857, 302.6930, 309.2748</t>
  </si>
  <si>
    <t>C13H16N2O4S</t>
  </si>
  <si>
    <t>FT4862NR</t>
  </si>
  <si>
    <t>PS(O-18:0/0:0)</t>
  </si>
  <si>
    <t>磷脂酰丝氨酸(O-18:0/0:0)</t>
  </si>
  <si>
    <t>LMGP03060002</t>
  </si>
  <si>
    <t>C(O)(=O)[C@@]([H])(N)COP(OC[C@]([H])(O)COCCCCCCCCCCCCCCCCCC)(=O)O</t>
  </si>
  <si>
    <t>LLZPQHOZAQNDCM-PKTZIBPZSA-N</t>
  </si>
  <si>
    <t>Glycerophosphoserines</t>
  </si>
  <si>
    <t>甘油磷酸丝氨酸</t>
  </si>
  <si>
    <t>245.5771, 250.2706, 271.2273, 272.2301, 315.6060, 496.3035, 497.3067, 556.2225, 556.3242, 557.3266</t>
  </si>
  <si>
    <t>C24H50NO8P</t>
  </si>
  <si>
    <t>FT3396NR</t>
  </si>
  <si>
    <t>Glucose lactate pyruvate</t>
  </si>
  <si>
    <t>葡萄糖乳酸丙酮酸</t>
  </si>
  <si>
    <t>HMDB0252783</t>
  </si>
  <si>
    <t>CC(O)C(=O)OOC(=O)C(=O)CC1(O)OC(CO)C(O)C(O)C1O</t>
  </si>
  <si>
    <t>FWQWYTQHEPIGFR-UHFFFAOYSA-N</t>
  </si>
  <si>
    <t>250.5163, 273.0720, 291.0829, 291.1612, 351.0221, 353.0217, 379.3159, 388.9775, 389.0469, 406.3690</t>
  </si>
  <si>
    <t>C12H18O12</t>
  </si>
  <si>
    <t>FT3801PR</t>
  </si>
  <si>
    <t>Fusarochromanone</t>
  </si>
  <si>
    <t>镰孢色酮</t>
  </si>
  <si>
    <t>HMDB0033514</t>
  </si>
  <si>
    <t>104653-89-6</t>
  </si>
  <si>
    <t>CC1(C)CC(=O)C2=C(O1)C=CC(C(=O)CC(N)CO)=C2N</t>
  </si>
  <si>
    <t>COSICWYFCAPPJB-UHFFFAOYSA-N</t>
  </si>
  <si>
    <t>229.1371, 230.1206, 240.1043, 252.8716, 258.0845, 258.1155, 273.9940, 275.1418, 275.2337, 276.2947</t>
  </si>
  <si>
    <t>C15H20N2O4</t>
  </si>
  <si>
    <t>FT5025PR</t>
  </si>
  <si>
    <t>(5alpha)-23-Methyl-4-aza-21-norchol-1-ene-3,20-dione</t>
  </si>
  <si>
    <t>(5α)-23-甲基-4-氮杂-21-去甲胆-1-烯-3,20-二酮</t>
  </si>
  <si>
    <t>HMDB0259689</t>
  </si>
  <si>
    <t>CC(C)CC(=O)C1CCC2C3CCC4NC(=O)C=CC4(C)C3CCC12C</t>
  </si>
  <si>
    <t>RDPJISLOFXUIDK-UHFFFAOYSA-N</t>
  </si>
  <si>
    <t>242.9086, 245.2271, 263.2386, 281.2289, 295.2464, 302.7063, 323.2405, 341.2505, 358.2777, 359.2398</t>
  </si>
  <si>
    <t>C23H35NO2</t>
  </si>
  <si>
    <t>FT1463NR</t>
  </si>
  <si>
    <t>Cerulenin</t>
  </si>
  <si>
    <t>变蓝菌素</t>
  </si>
  <si>
    <t>HMDB0015168</t>
  </si>
  <si>
    <t>C12058</t>
  </si>
  <si>
    <t>17397-89-6</t>
  </si>
  <si>
    <t>CC=CCC=CCCC(=O)[C@H]1O[C@H]1C(N)=O</t>
  </si>
  <si>
    <t>GVEZIHKRYBHEFX-GHMZBOCLSA-N</t>
  </si>
  <si>
    <t>Oxirane carboxylic acids and derivatives</t>
  </si>
  <si>
    <t>环氧乙烷羧酸及其衍生物</t>
  </si>
  <si>
    <t>78.5225, 121.1025, 154.9905, 198.8835, 205.3864, 205.4048, 218.1964, 222.0758, 222.1131, 223.0974</t>
  </si>
  <si>
    <t>C12H17NO3</t>
  </si>
  <si>
    <t>FT4332PR</t>
  </si>
  <si>
    <t>Octadeca-2,9-dienoic acid</t>
  </si>
  <si>
    <t>十八-2,9-二烯酸</t>
  </si>
  <si>
    <t>HMDB0302650</t>
  </si>
  <si>
    <t>CCCCCCCCC=CCCCCCC=CC(O)=O</t>
  </si>
  <si>
    <t>JUDVSKZBHCGCJO-UHFFFAOYSA-N</t>
  </si>
  <si>
    <t>159.1168, 161.1321, 175.1481, 205.4047, 215.1790, 303.1427, 303.1799, 303.1923, 303.2310, 309.5499</t>
  </si>
  <si>
    <t>FT1727NR</t>
  </si>
  <si>
    <t>hydroxystilbene</t>
  </si>
  <si>
    <t>羟基二苯乙烯</t>
  </si>
  <si>
    <t>HMDB0253294</t>
  </si>
  <si>
    <t>OC1=CC=CC=C1C=CC1=CC=CC=C1</t>
  </si>
  <si>
    <t>AYPZAZPOYROADP-UHFFFAOYSA-N</t>
  </si>
  <si>
    <t>183.0818, 199.0292, 205.3995, 206.1234, 231.1668, 241.0866, 241.1428, 241.1805, 242.0896, 255.6372</t>
  </si>
  <si>
    <t>C14H12O</t>
  </si>
  <si>
    <t>FT2354PR</t>
  </si>
  <si>
    <t>2,6-dihydroxy-4-methoxybenzoic acid</t>
  </si>
  <si>
    <t>COc1cc(O)c(C(=O)O)c(O)c1</t>
  </si>
  <si>
    <t>FMWLFUMFGLGSCD-UHFFFAOYSA-N</t>
  </si>
  <si>
    <t>161.9693, 167.0335, 167.1062, 167.1425, 185.0043, 185.0441, 185.0745, 185.0956, 185.1141, 185.1531</t>
  </si>
  <si>
    <t>C8H8O5</t>
  </si>
  <si>
    <t>FT1707PR</t>
  </si>
  <si>
    <t>(±)-2-Hydroxy-2-phenylacetonitrile</t>
  </si>
  <si>
    <t>扁桃腈</t>
  </si>
  <si>
    <t>HMDB0034666</t>
  </si>
  <si>
    <t>C00561</t>
  </si>
  <si>
    <t>613-88-7</t>
  </si>
  <si>
    <t>OC(C#N)C1=CC=CC=C1</t>
  </si>
  <si>
    <t>NNICRUQPODTGRU-UHFFFAOYSA-N</t>
  </si>
  <si>
    <t>C8H7NO</t>
  </si>
  <si>
    <t>FT3276PR</t>
  </si>
  <si>
    <t>(E)-4-(3,4,5-trimethoxyphenyl)but-3-en-2-one</t>
  </si>
  <si>
    <t>COc1cc(/C=C/C(C)=O)cc(OC)c1OC</t>
  </si>
  <si>
    <t>DPZIOGVAJXVGGL-AATRIKPKSA-N</t>
  </si>
  <si>
    <t>212.7477, 213.9219, 219.1744, 219.2108, 237.0148, 237.1093, 237.1483, 237.1771, 237.2206, 249.4568</t>
  </si>
  <si>
    <t>C13H16O4</t>
  </si>
  <si>
    <t>FT1844NR</t>
  </si>
  <si>
    <t>Bis-A-tda</t>
  </si>
  <si>
    <t>敌枯双</t>
  </si>
  <si>
    <t>HMDB0249237</t>
  </si>
  <si>
    <t>C(NC1=NN=CS1)NC1=NN=CS1</t>
  </si>
  <si>
    <t>WMAHFAYLCMTHCB-UHFFFAOYSA-N</t>
  </si>
  <si>
    <t>113.9885, 120.8274, 174.9968, 180.9723, 200.9337, 232.8632, 248.9743, 249.0224, 249.1485, 249.9833</t>
  </si>
  <si>
    <t>C5H6N6S2</t>
  </si>
  <si>
    <t>FT2753NR</t>
  </si>
  <si>
    <t>Uridine 2'-phosphate</t>
  </si>
  <si>
    <t>尿苷-2'-磷酸</t>
  </si>
  <si>
    <t>HMDB0011641</t>
  </si>
  <si>
    <t>C03031</t>
  </si>
  <si>
    <t>131-83-9</t>
  </si>
  <si>
    <t>OC[C@H]1O[C@H]([C@H](OP(O)(O)=O)[C@@H]1O)N1C=CC(=O)NC1=O</t>
  </si>
  <si>
    <t>HQIDPEYTETUCNF-XVFCMESISA-N</t>
  </si>
  <si>
    <t>C9H13N2O9P</t>
  </si>
  <si>
    <t>FT1328PR</t>
  </si>
  <si>
    <t>Arecoline</t>
  </si>
  <si>
    <t>氢溴酸槟榔碱</t>
  </si>
  <si>
    <t>HMDB0030353</t>
  </si>
  <si>
    <t>C10129</t>
  </si>
  <si>
    <t>63-75-2</t>
  </si>
  <si>
    <t>COC(=O)C1=CCCN(C)C1</t>
  </si>
  <si>
    <t>HJJPJSXJAXAIPN-UHFFFAOYSA-N</t>
  </si>
  <si>
    <t>C8H13NO2</t>
  </si>
  <si>
    <t>FT1518NR</t>
  </si>
  <si>
    <t>5-Phenyl-1,3-oxazinane-2,4-dione</t>
  </si>
  <si>
    <t>5-苯基-1,3-恶嗪烷-2,4-二酮</t>
  </si>
  <si>
    <t>HMDB0060400</t>
  </si>
  <si>
    <t>C16596</t>
  </si>
  <si>
    <t>hsa00982</t>
  </si>
  <si>
    <t>Drug metabolism - cytochrome P450</t>
  </si>
  <si>
    <t>OC1=NC(=O)OCC1C1=CC=CC=C1</t>
  </si>
  <si>
    <t>YPIQXPKZXKWWSZ-UHFFFAOYSA-N</t>
  </si>
  <si>
    <t>C10H9NO3</t>
  </si>
  <si>
    <t>FT4423PR</t>
  </si>
  <si>
    <t>Estriol</t>
  </si>
  <si>
    <t>雌三醇</t>
  </si>
  <si>
    <t>50-27-1</t>
  </si>
  <si>
    <t>CC12CCC3C(C1CC(C2O)O)CCC4=C3C=CC(=C4)O</t>
  </si>
  <si>
    <t>PROQIPRRNZUXQM-UHFFFAOYSA-N</t>
  </si>
  <si>
    <t>298.1586, 302.7092, 304.2394, 311.2605, 311.3120, 312.0304, 314.0299, 341.1992, 359.2099, 396.3518</t>
  </si>
  <si>
    <t>C18H24O3</t>
  </si>
  <si>
    <t>FT2663NR</t>
  </si>
  <si>
    <t>Met-Glu</t>
  </si>
  <si>
    <t>蛋氨酰-谷氨酸</t>
  </si>
  <si>
    <t>CSCCC(C(=O)NC(CCC(=O)O)C(=O)O)N</t>
  </si>
  <si>
    <t>ADHNYKZHPOEULM-BQBZGAKWSA-N</t>
  </si>
  <si>
    <t>251.0649, 255.0596, 269.0749, 269.1086, 295.0542, 313.0648, 313.0950, 313.1293, 313.1501, 314.0670</t>
  </si>
  <si>
    <t>C10H18N2O5S1</t>
  </si>
  <si>
    <t>FT1356PR</t>
  </si>
  <si>
    <t>Norvaline</t>
  </si>
  <si>
    <t>正缬氨酸</t>
  </si>
  <si>
    <t>HMDB0013716</t>
  </si>
  <si>
    <t>C01799</t>
  </si>
  <si>
    <t>760-78-1</t>
  </si>
  <si>
    <t>CCC[C@@H](N)C(O)=O</t>
  </si>
  <si>
    <t>SNDPXSYFESPGGJ-SCSAIBSYSA-N</t>
  </si>
  <si>
    <t>FT3113PR</t>
  </si>
  <si>
    <t>Methyl dihydrojasmonate</t>
  </si>
  <si>
    <t>二氢茉莉酮酸甲酯</t>
  </si>
  <si>
    <t>HMDB0031740</t>
  </si>
  <si>
    <t>24851-98-7</t>
  </si>
  <si>
    <t>CCCCC[C@@H]1[C@@H](CC(=O)OC)CCC1=O</t>
  </si>
  <si>
    <t>KVWWIYGFBYDJQC-GHMZBOCLSA-N</t>
  </si>
  <si>
    <t>C13H22O3</t>
  </si>
  <si>
    <t>FT2197PR</t>
  </si>
  <si>
    <t>L-Dihydroorotic acid</t>
  </si>
  <si>
    <t>L-二氢乳清酸</t>
  </si>
  <si>
    <t>HMDB0003349</t>
  </si>
  <si>
    <t>C00337</t>
  </si>
  <si>
    <t>hsa00240</t>
  </si>
  <si>
    <t>Pyrimidine metabolism</t>
  </si>
  <si>
    <t>5988-19-2</t>
  </si>
  <si>
    <t>OC(=O)[C@@H]1CC(=O)NC(=O)N1</t>
  </si>
  <si>
    <t>UFIVEPVSAGBUSI-REOHCLBHSA-N</t>
  </si>
  <si>
    <t>C5H6N2O4</t>
  </si>
  <si>
    <t>FT1329PR</t>
  </si>
  <si>
    <t>3-Ethyl-5-hydroxy-4,5-dimethyl-pyrrolin-2-one</t>
  </si>
  <si>
    <t>3-乙基-5-羟基-4,5-二甲基-吡咯啉-2-酮</t>
  </si>
  <si>
    <t>HMDB0253169</t>
  </si>
  <si>
    <t>CCC1=C(C)C(C)(O)NC1=O</t>
  </si>
  <si>
    <t>BTIPRYZZYXEGPM-UHFFFAOYSA-N</t>
  </si>
  <si>
    <t>FT1881NR</t>
  </si>
  <si>
    <t>Valencic acid</t>
  </si>
  <si>
    <t>戊酸</t>
  </si>
  <si>
    <t>HMDB0302558</t>
  </si>
  <si>
    <t>CC(C)=CCOC1=CC=C(C=C1)C(O)=O</t>
  </si>
  <si>
    <t>KLZJDQVTNOMAKU-UHFFFAOYSA-N</t>
  </si>
  <si>
    <t>FT5975PR</t>
  </si>
  <si>
    <t>PE(O-18:0/0:0)</t>
  </si>
  <si>
    <t>磷脂酰乙醇胺(O-18:0/0:0)</t>
  </si>
  <si>
    <t>LMGP02060003</t>
  </si>
  <si>
    <t>[C@](COP(=O)(O)OCCN)([H])(O)COCCCCCCCCCCCCCCCCCC</t>
  </si>
  <si>
    <t>JIJGULMDDZORPH-HSZRJFAPSA-N</t>
  </si>
  <si>
    <t>FT3503PR</t>
  </si>
  <si>
    <t>2-(1,2,3,4-Tetrahydroxybutyl)thiazolidine-4-carboxylic acid</t>
  </si>
  <si>
    <t>2-(1,2,3,4-四羟基丁基)噻唑烷-4-羧酸</t>
  </si>
  <si>
    <t>HMDB0244783</t>
  </si>
  <si>
    <t>OCC(O)C(O)C(O)C1NC(CS1)C(O)=O</t>
  </si>
  <si>
    <t>AGZXTDUDXXPCMJ-UHFFFAOYSA-N</t>
  </si>
  <si>
    <t>C8H15NO6S</t>
  </si>
  <si>
    <t>FT1559NR</t>
  </si>
  <si>
    <t>3-Amino-4-sulfanylbutane-1-sulfonic acid</t>
  </si>
  <si>
    <t>3-氨基-4-硫基丁烷-1-磺酸</t>
  </si>
  <si>
    <t>HMDB0257610</t>
  </si>
  <si>
    <t>NC(CS)CCS(O)(=O)=O</t>
  </si>
  <si>
    <t>GHOHRLXVWJYYKJ-UHFFFAOYSA-N</t>
  </si>
  <si>
    <t>115.0201, 119.0347, 121.6062, 166.2020, 167.0206, 205.3983, 230.0336, 230.1537, 231.0310, 250.6246</t>
  </si>
  <si>
    <t>C4H11NO3S2</t>
  </si>
  <si>
    <t>FT3854NR</t>
  </si>
  <si>
    <t>Nidulin</t>
  </si>
  <si>
    <t>巢曲菌素</t>
  </si>
  <si>
    <t>LMPK13080015</t>
  </si>
  <si>
    <t>C1(C)=C(Cl)C(O)=C(Cl)C2OC3=C(/C(/C)=C/C)C(Cl)=C(OC)C(C)=C3OC(=O)C1=2</t>
  </si>
  <si>
    <t>FSINAZMQWFDQSD-VOTSOKGWSA-N</t>
  </si>
  <si>
    <t>Depsides and depsidones</t>
  </si>
  <si>
    <t>缩西西酯和缩西酮类</t>
  </si>
  <si>
    <t>205.3996, 233.0271, 245.0967, 302.6984, 309.0582, 347.5407, 373.0202, 374.0222, 374.8603, 441.0093</t>
  </si>
  <si>
    <t>C20H17O5Cl3</t>
  </si>
  <si>
    <t>FT5059PR</t>
  </si>
  <si>
    <t>9-deoxy-9-methylene-16,16-dimethyl -PGE2</t>
  </si>
  <si>
    <t>甲烯前列素</t>
  </si>
  <si>
    <t>LMFA03010059</t>
  </si>
  <si>
    <t>61263-35-2</t>
  </si>
  <si>
    <t>[C@H]1(/C=C/[C@@H](O)C(C)(C)CCCC)[C@H](O)CC(=C)[C@@H]1C/C=C\CCCC(=O)O</t>
  </si>
  <si>
    <t>WMLGLMGSFIXSGO-KTXJXPLISA-N</t>
  </si>
  <si>
    <t>C23H38O4</t>
  </si>
  <si>
    <t>FT3797NR</t>
  </si>
  <si>
    <t>5Z,9Z,21Z-hexacosatrienoic acid</t>
  </si>
  <si>
    <t>5Z,9Z,21Z-二十六碳三烯酸</t>
  </si>
  <si>
    <t>LMFA01031125</t>
  </si>
  <si>
    <t>C(CCC/C=C\CC/C=C\CCCCCCCCCC/C=C\CCCC)(=O)O</t>
  </si>
  <si>
    <t>ZQDRALTVWXQWTF-KSJLKCSLSA-N</t>
  </si>
  <si>
    <t>139.1124, 139.3243, 153.8686, 171.1022, 276.3546, 277.2162, 295.2262, 435.3470, 444.1985, 457.6423</t>
  </si>
  <si>
    <t>C26H46O2</t>
  </si>
  <si>
    <t>FT3243PR</t>
  </si>
  <si>
    <t>Danielone</t>
  </si>
  <si>
    <t>Α-羟基乙酰丁香酮</t>
  </si>
  <si>
    <t>HMDB0031704</t>
  </si>
  <si>
    <t>C10674</t>
  </si>
  <si>
    <t>90426-22-5</t>
  </si>
  <si>
    <t>COC1=CC(=CC(OC)=C1O)C(=O)CO</t>
  </si>
  <si>
    <t>ZTBAPEIDNUHRNC-UHFFFAOYSA-N</t>
  </si>
  <si>
    <t>C10H12O5</t>
  </si>
  <si>
    <t>FT4060PR</t>
  </si>
  <si>
    <t>9,14-dimethylpentadecanoic acid</t>
  </si>
  <si>
    <t>9,14-二甲基十五烷酸</t>
  </si>
  <si>
    <t>LMFA01020281</t>
  </si>
  <si>
    <t>CC(C)CCCCC(C)CCCCCCCC(O)=O</t>
  </si>
  <si>
    <t>HOTWXTNEUCIUPL-UHFFFAOYSA-N</t>
  </si>
  <si>
    <t>106.0865, 116.9502, 175.4726, 205.4028, 213.9314, 220.9352, 288.2590, 288.2893, 289.1263, 302.7164</t>
  </si>
  <si>
    <t>C17H34O2</t>
  </si>
  <si>
    <t>FT1576NR</t>
  </si>
  <si>
    <t>Desmethylmisonidazole</t>
  </si>
  <si>
    <t>3-(2-硝基-1H-咪唑-1-基)-1,2-丙二醇</t>
  </si>
  <si>
    <t>HMDB0244560</t>
  </si>
  <si>
    <t>OCC(O)CN1C=CN=C1[N+]([O-])=O</t>
  </si>
  <si>
    <t>NUGLIYXAARVRPQ-UHFFFAOYSA-N</t>
  </si>
  <si>
    <t>Organic 1,3-dipolar compounds</t>
  </si>
  <si>
    <t>Allyl-type 1,3-dipolar organic compounds</t>
  </si>
  <si>
    <t>Organic nitro compounds</t>
  </si>
  <si>
    <t>1,3-偶极有机化合物</t>
  </si>
  <si>
    <t>烯丙基型1,3-偶极有机化合物</t>
  </si>
  <si>
    <t>有机硝基化合物</t>
  </si>
  <si>
    <t>FT5050PR</t>
  </si>
  <si>
    <t>3-hydroxydodecanoylcarnitine</t>
  </si>
  <si>
    <t>3-羟基十二烷酰肉碱</t>
  </si>
  <si>
    <t>HMDB0061638</t>
  </si>
  <si>
    <t>LMFA07070039</t>
  </si>
  <si>
    <t>O(C(CC(O)CCCCCCCCC)=O)C(CC([O-])=O)C[N+](C)(C)C</t>
  </si>
  <si>
    <t>ULWDPUHFMOBGFJ-UHFFFAOYSA-N</t>
  </si>
  <si>
    <t>FT2122PR</t>
  </si>
  <si>
    <t>2-Amino-3-cyclohexylpropanoic acid</t>
  </si>
  <si>
    <t>2-氨基-3-环己基丙酸</t>
  </si>
  <si>
    <t>HMDB0244979</t>
  </si>
  <si>
    <t>NC(CC1CCCCC1)C(O)=O</t>
  </si>
  <si>
    <t>ORQXBVXKBGUSBA-UHFFFAOYSA-N</t>
  </si>
  <si>
    <t>130.9663, 137.0961, 148.9770, 154.1231, 155.0951, 155.1065, 155.1456, 172.1332, 173.0809, 173.1171</t>
  </si>
  <si>
    <t>C9H17NO2</t>
  </si>
  <si>
    <t>FT2868NR</t>
  </si>
  <si>
    <t>Methyl dihydrophaseate</t>
  </si>
  <si>
    <t>二氢相甲酯</t>
  </si>
  <si>
    <t>HMDB0039376</t>
  </si>
  <si>
    <t>COC(=O)\C=C(/C)\C=C\C1(O)C2(C)COC1(C)CC(O)C2</t>
  </si>
  <si>
    <t>QNMHUZMKLBWTQM-LCAICKDSSA-N</t>
  </si>
  <si>
    <t>79.1940, 126.9042, 144.9167, 150.0012, 173.8711, 189.2647, 218.0830, 235.0008, 240.0876, 255.1127</t>
  </si>
  <si>
    <t>C16H24O5</t>
  </si>
  <si>
    <t>FT4320NR</t>
  </si>
  <si>
    <t>(25S)-5alpha-cholestan-3beta,6beta,15alpha,16beta,26-pentol</t>
  </si>
  <si>
    <t>(25S)-5α-胆固醇-3β,6β,15α,16β,26-戊醇</t>
  </si>
  <si>
    <t>LMST01010323</t>
  </si>
  <si>
    <t>C1[C@]2(C)[C@@]3([H])CC[C@]4(C)[C@@]([H])([C@]([H])(C)CCC[C@H](C)CO)[C@@H](O)[C@H](O)[C@@]4([H])[C@]3([H])C[C@@H](O)[C@@]2([H])C[C@@H](O)C1</t>
  </si>
  <si>
    <t>LOHYQIICSUGJLE-ULEKDTFZSA-N</t>
  </si>
  <si>
    <t>60.1467, 63.44904, 66.06816, 67.16223, 68.87984, 69.13811, 75.00858, 85.21571, 89.3635, 106.36681</t>
  </si>
  <si>
    <t>C27H48O5</t>
  </si>
  <si>
    <t>FT4625NR</t>
  </si>
  <si>
    <t>Carboxydextran</t>
  </si>
  <si>
    <t>羧基葡聚糖</t>
  </si>
  <si>
    <t>HMDB0249656</t>
  </si>
  <si>
    <t>OCC1OC(OCC2OC(OCC(O)C(O)C(O)C(O)C(=O)C(O)=O)C(O)C(O)C2O)C(O)C(O)C1O</t>
  </si>
  <si>
    <t>HRAUDGDCDVYEMN-UHFFFAOYSA-N</t>
  </si>
  <si>
    <t>C19H32O18</t>
  </si>
  <si>
    <t>FT4843PR</t>
  </si>
  <si>
    <t>Pro-Pro-Phe</t>
  </si>
  <si>
    <t>脯氨酰-脯氨酰-苯丙氨酸</t>
  </si>
  <si>
    <t>C1CC(NC1)C(=O)N2CCCC2C(=O)NC(CC3=CC=CC=C3)C(=O)O</t>
  </si>
  <si>
    <t>NAIPAPCKKRCMBL-JYJNAYRXSA-N</t>
  </si>
  <si>
    <t>C19H25N3O4</t>
  </si>
  <si>
    <t>FT2660NR</t>
  </si>
  <si>
    <t>L-Homocystine</t>
  </si>
  <si>
    <t>L-同型半胱氨酸</t>
  </si>
  <si>
    <t>HMDB0000676</t>
  </si>
  <si>
    <t>C01817</t>
  </si>
  <si>
    <t>626-72-2</t>
  </si>
  <si>
    <t>NC(CCSSCC[C@H](N)C(O)=O)C(O)=O</t>
  </si>
  <si>
    <t>ZTVZLYBCZNMWCF-ZBHICJROSA-N</t>
  </si>
  <si>
    <t>C8H16N2O4S2</t>
  </si>
  <si>
    <t>FT3027PR</t>
  </si>
  <si>
    <t>3,4-Dihydro-2,2,5,7,8-pentamethyl-2H-1-benzopyran-6-ol</t>
  </si>
  <si>
    <t>3,4-二氢-2,2,5,7,8-五甲基-2H-1-苯并吡喃-6-酚</t>
  </si>
  <si>
    <t>HMDB0040217</t>
  </si>
  <si>
    <t>950-99-2</t>
  </si>
  <si>
    <t>CC1=C(O)C(C)=C2CCC(C)(C)OC2=C1C</t>
  </si>
  <si>
    <t>SEBPXHSZHLFWRL-UHFFFAOYSA-N</t>
  </si>
  <si>
    <t>179.1439, 192.9745, 193.1584, 203.1424, 203.1794, 206.1616, 221.0729, 221.1172, 221.1540, 221.1857</t>
  </si>
  <si>
    <t>C14H20O2</t>
  </si>
  <si>
    <t>FT4935PR</t>
  </si>
  <si>
    <t>alpha-Cortolone</t>
  </si>
  <si>
    <t>Β-皮甾酮四醇</t>
  </si>
  <si>
    <t>HMDB0003128</t>
  </si>
  <si>
    <t>LMST02030227</t>
  </si>
  <si>
    <t>C05481</t>
  </si>
  <si>
    <t>516-42-7</t>
  </si>
  <si>
    <t>C[C@@]12CC(=O)[C@@H]3[C@H](CC[C@H]4C[C@@H](O)CC[C@]43C)[C@H]1CC[C@@]2(O)[C@H](O)CO</t>
  </si>
  <si>
    <t>JXCOSKURGJMQSG-AZQJGLEESA-N</t>
  </si>
  <si>
    <t>FT4440PR</t>
  </si>
  <si>
    <t>(3,7)-Decadienoylcarnitine</t>
  </si>
  <si>
    <t>(3,7)-癸二烯酰肉碱</t>
  </si>
  <si>
    <t>HMDB0241107</t>
  </si>
  <si>
    <t>CCC=CCCC=CCC(=O)OC(CC([O-])=O)C[N+](C)(C)C</t>
  </si>
  <si>
    <t>IRFDAIMRDBYONP-UHFFFAOYSA-N</t>
  </si>
  <si>
    <t>123.1158, 133.1011, 151.1109, 158.9643, 175.9529, 205.3953, 205.4146, 253.1428, 302.6932, 312.2163</t>
  </si>
  <si>
    <t>FT0815NR</t>
  </si>
  <si>
    <t>a,b-dihydroxy-isobutyric acid</t>
  </si>
  <si>
    <t>2,3-二羟基-2-甲基-丙酸</t>
  </si>
  <si>
    <t>HMDB0002601</t>
  </si>
  <si>
    <t>LMFA01050400</t>
  </si>
  <si>
    <t>21620-60-0</t>
  </si>
  <si>
    <t>C(=O)(O)C(O)(C)CO</t>
  </si>
  <si>
    <t>DGADNPLBVRLJGD-UHFFFAOYSA-N</t>
  </si>
  <si>
    <t>139.9109, 146.9948, 149.0092, 149.0197, 150.0092, 165.0406, 165.0562, 166.0141, 166.0523, 181.7017</t>
  </si>
  <si>
    <t>FT3573PR</t>
  </si>
  <si>
    <t>Buntansin A</t>
  </si>
  <si>
    <t>丁苯甲素A</t>
  </si>
  <si>
    <t>HMDB0035086</t>
  </si>
  <si>
    <t>52525-63-0</t>
  </si>
  <si>
    <t>COC1=C(C=C2C=CC(=O)OC2=C1)C(O)=O</t>
  </si>
  <si>
    <t>GQYZDAIERJIQDI-UHFFFAOYSA-N</t>
  </si>
  <si>
    <t>C11H8O5</t>
  </si>
  <si>
    <t>FT3609PR</t>
  </si>
  <si>
    <t>Panaxytriol</t>
  </si>
  <si>
    <t>人参炔三醇</t>
  </si>
  <si>
    <t>HMDB0031928</t>
  </si>
  <si>
    <t>LMFA05000027</t>
  </si>
  <si>
    <t>C16792</t>
  </si>
  <si>
    <t>87005-03-6</t>
  </si>
  <si>
    <t>C(O)(C=C)C#CC#CCC(O)C(O)CCCCCCC</t>
  </si>
  <si>
    <t>RDIMTXDFGHNINN-UHFFFAOYSA-N</t>
  </si>
  <si>
    <t>C17H26O3</t>
  </si>
  <si>
    <t>FT4908PR</t>
  </si>
  <si>
    <t>Miraxanthin-V</t>
  </si>
  <si>
    <t>米黄素-V</t>
  </si>
  <si>
    <t>C08557</t>
  </si>
  <si>
    <t>5375-64-4</t>
  </si>
  <si>
    <t>C1C(NC(=CC1=CC=NCCC2=CC(=C(C=C2)O)O)C(=O)O)C(=O)O</t>
  </si>
  <si>
    <t>PDKFHZWVCCZUIF-DJSQHCOFSA-N</t>
  </si>
  <si>
    <t>C17H18N2O6</t>
  </si>
  <si>
    <t>FT1197PR</t>
  </si>
  <si>
    <t>Dopaminechrome</t>
  </si>
  <si>
    <t>多巴胺色素</t>
  </si>
  <si>
    <t>HMDB0248311</t>
  </si>
  <si>
    <t>O=C1C=C2CCNC2=CC1=O</t>
  </si>
  <si>
    <t>XDEURYRPQDIBSL-UHFFFAOYSA-N</t>
  </si>
  <si>
    <t>C8H7NO2</t>
  </si>
  <si>
    <t>FT4932PR</t>
  </si>
  <si>
    <t>Gallicynoic acid D</t>
  </si>
  <si>
    <t>没食子酸 D</t>
  </si>
  <si>
    <t>LMFA01050578</t>
  </si>
  <si>
    <t>C(CCC(=O)O)CCCC/C=C\C(O)C#CC(O)CCCC</t>
  </si>
  <si>
    <t>ABCUJZSRBYAWAE-XFXZXTDPSA-N</t>
  </si>
  <si>
    <t>FT6161PR</t>
  </si>
  <si>
    <t>Lupinisoflavone N</t>
  </si>
  <si>
    <t>羽扇豆异黄酮N</t>
  </si>
  <si>
    <t>LMPK12050284</t>
  </si>
  <si>
    <t>C1(O)C(CC(O)C(O)(C)C)=C(O)C2C(=O)C(C3=C(O)C4CC(C(O)(C)C)OC=4C=C3)=COC=2C=1</t>
  </si>
  <si>
    <t>VWJDUNSQXRTRSD-UHFFFAOYSA-N</t>
  </si>
  <si>
    <t>164.1066, 169.0647, 173.1011, 174.6302, 197.0597, 199.6392, 229.0860, 314.1746, 469.1171, 490.2087</t>
  </si>
  <si>
    <t>C25H28O9</t>
  </si>
  <si>
    <t>FT2035NR</t>
  </si>
  <si>
    <t>O-Succinyl-L-homoserine</t>
  </si>
  <si>
    <t>O-琥珀酰-L-高丝氨酸</t>
  </si>
  <si>
    <t>HMDB0255868</t>
  </si>
  <si>
    <t>NC(CCOC(=O)CCC(O)=O)C(O)=O</t>
  </si>
  <si>
    <t>GNISQJGXJIDKDJ-UHFFFAOYSA-N</t>
  </si>
  <si>
    <t>C8H13NO6</t>
  </si>
  <si>
    <t>FT7201PR</t>
  </si>
  <si>
    <t>5,6,7,4'-Tetrahydroxyflavanone 6,7-diglucoside</t>
  </si>
  <si>
    <t>5,6,7,4'-四羟基黄烷酮6,7-二葡萄糖苷</t>
  </si>
  <si>
    <t>HMDB0301984</t>
  </si>
  <si>
    <t>LMPK12140616</t>
  </si>
  <si>
    <t>C1(O[C@H]2[C@H](O)[C@@H](O)[C@H](O)[C@@H](CO)O2)C(O[C@H]2[C@H](O)[C@@H](O)[C@H](O)[C@@H](CO)O2)=C(O)C2C(=O)CC(C3C=CC(O)=CC=3)OC=2C=1</t>
  </si>
  <si>
    <t>YIVXUBJSZSRYMU-BPQPTMSLSA-N</t>
  </si>
  <si>
    <t>314.9909, 315.0793, 315.1933, 316.0818, 337.0612, 341.0367, 358.9365, 359.0431, 638.7948, 651.1332</t>
  </si>
  <si>
    <t>C27H32O16</t>
  </si>
  <si>
    <t>FT2037PR</t>
  </si>
  <si>
    <t>3-Methoxysalicylic acid</t>
  </si>
  <si>
    <t>3-甲氧基水杨酸</t>
  </si>
  <si>
    <t>HMDB0059713</t>
  </si>
  <si>
    <t>877-22-5</t>
  </si>
  <si>
    <t>COC1=CC=CC(C(O)=O)=C1O</t>
  </si>
  <si>
    <t>AUZQQIPZESHNMG-UHFFFAOYSA-N</t>
  </si>
  <si>
    <t>127.0389, 127.0556, 127.0608, 128.0423, 128.9506, 146.9612, 151.0387, 169.0141, 169.0492, 170.0528</t>
  </si>
  <si>
    <t>FT3562PR</t>
  </si>
  <si>
    <t>(3E)-Hexenoylcarnitine</t>
  </si>
  <si>
    <t>(3E)-己烯酰肉碱</t>
  </si>
  <si>
    <t>HMDB0241669</t>
  </si>
  <si>
    <t>CCC=CCC(=O)OC(CC([O-])=O)C[N+](C)(C)C</t>
  </si>
  <si>
    <t>DNFRMZAQEXNASR-UHFFFAOYSA-N</t>
  </si>
  <si>
    <t>194.0192, 199.0960, 205.4026, 207.8765, 235.8707, 257.9809, 258.1695, 258.1985, 259.1157, 261.5310</t>
  </si>
  <si>
    <t>C13H23NO4</t>
  </si>
  <si>
    <t>FT5773PR</t>
  </si>
  <si>
    <t>7-Methyl-cholic acid</t>
  </si>
  <si>
    <t>7-甲基胆酸</t>
  </si>
  <si>
    <t>HMDB0244296</t>
  </si>
  <si>
    <t>CC(CCC(O)=O)C1CCC2C3C(CC(O)C12C)C1(C)CCC(O)CC1CC3(C)O</t>
  </si>
  <si>
    <t>YSLVYCWXAPPBIQ-UHFFFAOYSA-N</t>
  </si>
  <si>
    <t>66.5261, 66.6190, 69.3428, 69.3547, 69.4809, 78.7869, 82.5166, 85.0284, 171.5298, 440.3398</t>
  </si>
  <si>
    <t>FT6006PR</t>
  </si>
  <si>
    <t>Butyl (S)-3-hydroxybutyrate [arabinosyl-(1-&gt;6)-glucoside]</t>
  </si>
  <si>
    <t>(S)-3-羟基丁酸丁酯[阿拉伯糖基-(1-&gt;6)-葡萄糖苷]</t>
  </si>
  <si>
    <t>HMDB0039214</t>
  </si>
  <si>
    <t>CCCCOC(=O)CC(C)OC1OC(COC2OCC(O)C(O)C2O)C(O)C(O)C1O</t>
  </si>
  <si>
    <t>MLIAQAVEASULJH-UHFFFAOYSA-N</t>
  </si>
  <si>
    <t>C19H34O12</t>
  </si>
  <si>
    <t>FT6037PR</t>
  </si>
  <si>
    <t>Edtmp</t>
  </si>
  <si>
    <t>乙二胺四亚甲基膦酸</t>
  </si>
  <si>
    <t>HMDB0244617</t>
  </si>
  <si>
    <t>OP(O)(=O)CN(CCN(CP(O)(O)=O)CP(O)(O)=O)CP(O)(O)=O</t>
  </si>
  <si>
    <t>NFDRPXJGHKJRLJ-UHFFFAOYSA-N</t>
  </si>
  <si>
    <t>64.2324, 66.9688, 69.8511, 112.8959, 114.8925, 121.4540, 194.6534, 403.0076, 436.9494, 438.9840</t>
  </si>
  <si>
    <t>C6H20N2O12P4</t>
  </si>
  <si>
    <t>FT1674NR</t>
  </si>
  <si>
    <t>SCHEMBL15819399</t>
  </si>
  <si>
    <t>C=CC(CCCC)OS(=O)(=O)O</t>
  </si>
  <si>
    <t>WTRUQSTWBODFRS-UHFFFAOYSA-N</t>
  </si>
  <si>
    <t>142.6272, 145.1447, 151.4494, 183.6792, 195.1382, 195.6612, 223.0279, 224.0281, 239.0666, 241.0391</t>
  </si>
  <si>
    <t>C7H14O4S</t>
  </si>
  <si>
    <t>FT2120NR</t>
  </si>
  <si>
    <t>Confertifoline</t>
  </si>
  <si>
    <t>密叶辛木素</t>
  </si>
  <si>
    <t>C09376</t>
  </si>
  <si>
    <t>1811-23-0</t>
  </si>
  <si>
    <t>CC1(CCCC2(C1CCC3=C2COC3=O)C)C</t>
  </si>
  <si>
    <t>ZERYGJQXPPRRCW-SWLSCSKDSA-N</t>
  </si>
  <si>
    <t>Naphthofurans</t>
  </si>
  <si>
    <t>萘并呋喃类</t>
  </si>
  <si>
    <t>166.0114, 205.3992, 238.4553, 268.8303, 269.1309, 269.1665, 269.1773, 269.1850, 269.2112, 269.2440</t>
  </si>
  <si>
    <t>C15H22O2</t>
  </si>
  <si>
    <t>FT5175NR</t>
  </si>
  <si>
    <t>DG(a-15:0/18:1-O(9S,10R)/0:0)</t>
  </si>
  <si>
    <t>甘油二酯(a-15:0/18:1-O(9S,10R)/0:0)</t>
  </si>
  <si>
    <t>HMDB0297591</t>
  </si>
  <si>
    <t>CCCCC\C=C/CC1OC1CCCCCCCC(=O)O[C@@H](CO)COC(=O)CCCCCCCCCCC(C)CC</t>
  </si>
  <si>
    <t>FCWVXXNHUUVYTL-QARITTFUSA-N</t>
  </si>
  <si>
    <t>Diradylglycerols</t>
  </si>
  <si>
    <t>双甘油酯</t>
  </si>
  <si>
    <t>115.6764, 122.6518, 205.3854, 205.4046, 245.6211, 302.6982, 307.5236, 407.7733, 593.4842, 609.4891</t>
  </si>
  <si>
    <t>C36H66O6</t>
  </si>
  <si>
    <t>FT2706PR</t>
  </si>
  <si>
    <t>DL-O-Phosphoserine</t>
  </si>
  <si>
    <t>DL-O-磷酸丝氨酸</t>
  </si>
  <si>
    <t>HMDB0001721</t>
  </si>
  <si>
    <t>C01005</t>
  </si>
  <si>
    <t>hsa00260,hsa00270,hsa00970</t>
  </si>
  <si>
    <t>Glycine, serine and threonine metabolism|Cysteine and methionine metabolism|Aminoacyl-tRNA biosynthesis</t>
  </si>
  <si>
    <t>17885-08-4</t>
  </si>
  <si>
    <t>NC(COP(O)(O)=O)C(O)=O</t>
  </si>
  <si>
    <t>BZQFBWGGLXLEPQ-UHFFFAOYSA-N</t>
  </si>
  <si>
    <t>C3H8NO6P</t>
  </si>
  <si>
    <t>FT3121PR</t>
  </si>
  <si>
    <t>1-(2,3-Dihydro-1H-pyrrolizin-5-yl)-1,4-pentanedione</t>
  </si>
  <si>
    <t>1-(2,3-二氢-1H-吡咯嗪-5-基)-1,4-戊二酮</t>
  </si>
  <si>
    <t>HMDB0040046</t>
  </si>
  <si>
    <t>97073-10-4</t>
  </si>
  <si>
    <t>CC(=O)CCC(=O)C1=CC=C2CCCN12</t>
  </si>
  <si>
    <t>BDWPPPWPSZSWII-UHFFFAOYSA-N</t>
  </si>
  <si>
    <t>Pyrrolizines</t>
  </si>
  <si>
    <t>吡咯嗪</t>
  </si>
  <si>
    <t>C12H15NO2</t>
  </si>
  <si>
    <t>FT2430PR</t>
  </si>
  <si>
    <t>Amidinophenylpyruvic acid</t>
  </si>
  <si>
    <t>脒基苯丙酮酸</t>
  </si>
  <si>
    <t>HMDB0248299</t>
  </si>
  <si>
    <t>NC(=N)C(C(=O)C(O)=O)C1=CC=CC=C1</t>
  </si>
  <si>
    <t>MPXCPPIJRDRZES-UHFFFAOYSA-N</t>
  </si>
  <si>
    <t>C10H10N2O3</t>
  </si>
  <si>
    <t>FT2838PR</t>
  </si>
  <si>
    <t>(2s,3r,4s,5r)-3,4,5-Trihydroxy-6-oxopiperidine-2-carboxylic acid</t>
  </si>
  <si>
    <t>(2s,3r,4s,5r)-3,4,5-三羟基-6-氧代哌啶-2-甲酸</t>
  </si>
  <si>
    <t>HMDB0242545</t>
  </si>
  <si>
    <t>OC1C(O)C(NC(=O)C1O)C(O)=O</t>
  </si>
  <si>
    <t>YEWOHTVJCCDCCS-UHFFFAOYSA-N</t>
  </si>
  <si>
    <t>C6H9NO6</t>
  </si>
  <si>
    <t>FT1366PR</t>
  </si>
  <si>
    <t>Acetylphosphate</t>
  </si>
  <si>
    <t>乙酰磷酸</t>
  </si>
  <si>
    <t>HMDB0001494</t>
  </si>
  <si>
    <t>C00227</t>
  </si>
  <si>
    <t>hsa00430,hsa00620</t>
  </si>
  <si>
    <t>Taurine and hypotaurine metabolism|Pyruvate metabolism</t>
  </si>
  <si>
    <t>590-54-5</t>
  </si>
  <si>
    <t>CC(=O)OP(O)(O)=O</t>
  </si>
  <si>
    <t>LIPOUNRJVLNBCD-UHFFFAOYSA-N</t>
  </si>
  <si>
    <t>FT3372PR</t>
  </si>
  <si>
    <t>N-Undecanoylglycine</t>
  </si>
  <si>
    <t>N-十一酰甘氨酸</t>
  </si>
  <si>
    <t>HMDB0013286</t>
  </si>
  <si>
    <t>CCCCCCCCCCC(=O)NCC(O)=O</t>
  </si>
  <si>
    <t>HEUQYIQQCNOXOG-UHFFFAOYSA-N</t>
  </si>
  <si>
    <t>173.1320, 180.1746, 181.1583, 198.1850, 208.1696, 226.1266, 226.1797, 227.1638, 245.0987, 245.1749</t>
  </si>
  <si>
    <t>C13H25NO3</t>
  </si>
  <si>
    <t>FT3296PR</t>
  </si>
  <si>
    <t>TCH9TXL5LW</t>
  </si>
  <si>
    <t>COc1cc(CC(=O)O)c(C(C)=O)c(OC)c1</t>
  </si>
  <si>
    <t>OGPFVADTZNLDMH-UHFFFAOYSA-N</t>
  </si>
  <si>
    <t>193.1390, 194.0878, 203.0703, 211.0620, 219.8956, 221.0804, 239.0908, 239.1647, 240.0950, 255.7153</t>
  </si>
  <si>
    <t>C12H14O5</t>
  </si>
  <si>
    <t>FT4375PR</t>
  </si>
  <si>
    <t>Propylenediamine tetra-acetic acid</t>
  </si>
  <si>
    <t>1,2-丙二胺-N,N,N',N'-四乙酸</t>
  </si>
  <si>
    <t>HMDB0246676</t>
  </si>
  <si>
    <t>CC(CN(CC(O)=O)CC(O)=O)N(CC(O)=O)CC(O)=O</t>
  </si>
  <si>
    <t>XNCSCQSQSGDGES-UHFFFAOYSA-N</t>
  </si>
  <si>
    <t>160.0924, 174.0758, 174.1130, 235.2970, 247.0965, 261.0718, 261.1075, 289.1024, 307.0808, 307.1129</t>
  </si>
  <si>
    <t>C11H18N2O8</t>
  </si>
  <si>
    <t>FT3497PR</t>
  </si>
  <si>
    <t>Demeton-S-methyl</t>
  </si>
  <si>
    <t>内吸磷-S-甲基</t>
  </si>
  <si>
    <t>HMDB0250995</t>
  </si>
  <si>
    <t>C18655</t>
  </si>
  <si>
    <t>919-86-8</t>
  </si>
  <si>
    <t>CCSCCSP(=O)(OC)OC</t>
  </si>
  <si>
    <t>WEBQKRLKWNIYKK-UHFFFAOYSA-N</t>
  </si>
  <si>
    <t>Organophosphorus compounds</t>
  </si>
  <si>
    <t>Organothiophosphorus compounds</t>
  </si>
  <si>
    <t>有机磷化合物</t>
  </si>
  <si>
    <t>有机硫代磷化合物</t>
  </si>
  <si>
    <t>234.9989, 235.2042, 235.9829, 252.9475, 253.0095, 253.0591, 253.1419, 253.1806, 253.2074, 254.0109</t>
  </si>
  <si>
    <t>C6H15O3PS2</t>
  </si>
  <si>
    <t>FT6870PR</t>
  </si>
  <si>
    <t>4'-Hydroxyechinenone</t>
  </si>
  <si>
    <t>4'-羟基海胆酮</t>
  </si>
  <si>
    <t>LMPR01070778</t>
  </si>
  <si>
    <t>C1C(C)(C)C(/C=C/C(/C)=C/C=C/C(/C)=C/C=C/C=C(\C)/C=C/C=C(\C)/C=C/C2=C(C)C(O)CCC2(C)C)=C(C)C(=O)C1</t>
  </si>
  <si>
    <t>RONAGRFBGGXGHB-DKLMTRRASA-N</t>
  </si>
  <si>
    <t>Tetraterpenoids</t>
  </si>
  <si>
    <t>四萜类化合物</t>
  </si>
  <si>
    <t>C40H54O2</t>
  </si>
  <si>
    <t>FT2791NR</t>
  </si>
  <si>
    <t>S-Methyl-L-methioninate</t>
  </si>
  <si>
    <t>S-甲基-L-蛋氨酸</t>
  </si>
  <si>
    <t>HMDB0257404</t>
  </si>
  <si>
    <t>C[S+](C)CCC(N)C([O-])=O</t>
  </si>
  <si>
    <t>YDBYJHTYSHBBAU-UHFFFAOYSA-N</t>
  </si>
  <si>
    <t>C6H13NO2S</t>
  </si>
  <si>
    <t>FT4278PR</t>
  </si>
  <si>
    <t>2beta,9xi-Dihydroxy-8-oxo-1(10),4,11(13)-germacratrien-12,6alpha-olide</t>
  </si>
  <si>
    <t>2β,9ξ-二羟基-8-氧代-1(10),4,11(13)-格尔玛烯三烯-12,6α-内酯</t>
  </si>
  <si>
    <t>HMDB0036662</t>
  </si>
  <si>
    <t>C\C1=C\C2OC(=O)C(=C)C2C(O)C(=O)\C(C)=C/C(O)C1</t>
  </si>
  <si>
    <t>BPDUDXQLWXZOHB-SFECMWDFSA-N</t>
  </si>
  <si>
    <t>C15H18O5</t>
  </si>
  <si>
    <t>FT2086PR</t>
  </si>
  <si>
    <t>Mevalonic acid</t>
  </si>
  <si>
    <t>甲羟戊酸</t>
  </si>
  <si>
    <t>HMDB0000227</t>
  </si>
  <si>
    <t>LMFA01050352</t>
  </si>
  <si>
    <t>C00418</t>
  </si>
  <si>
    <t>hsa00900,hsa04216</t>
  </si>
  <si>
    <t>Terpenoid backbone biosynthesis|Ferroptosis</t>
  </si>
  <si>
    <t>17817-88-8</t>
  </si>
  <si>
    <t>C(C[C@](C)(O)CCO)(=O)O</t>
  </si>
  <si>
    <t>KJTLQQUUPVSXIM-ZCFIWIBFSA-N</t>
  </si>
  <si>
    <t>C6H12O4</t>
  </si>
  <si>
    <t>FT1899NR</t>
  </si>
  <si>
    <t>2-propoxycarbonylbenzoic acid</t>
  </si>
  <si>
    <t>2-丙氧基羰基苯甲酸</t>
  </si>
  <si>
    <t>CCCOC(=O)C1=CC=CC=C1C(=O)O</t>
  </si>
  <si>
    <t>NFOQRIXSEYVCJP-UHFFFAOYSA-N</t>
  </si>
  <si>
    <t>185.0337, 196.7883, 205.3878, 209.1555, 212.6836, 253.0478, 253.0710, 253.1019, 253.1379, 254.0745</t>
  </si>
  <si>
    <t>C11H12O4</t>
  </si>
  <si>
    <t>FT2322PR</t>
  </si>
  <si>
    <t>2-Hydroxy-L-methionine</t>
  </si>
  <si>
    <t>2-羟基-L-蛋氨酸</t>
  </si>
  <si>
    <t>HMDB0246915</t>
  </si>
  <si>
    <t>CSCCC(N)(O)C(O)=O</t>
  </si>
  <si>
    <t>AQPJRTNUBAWORL-UHFFFAOYSA-N</t>
  </si>
  <si>
    <t>FT6189PR</t>
  </si>
  <si>
    <t>5-methylnonadecanoylcarnitine</t>
  </si>
  <si>
    <t>5-甲基十九酰肉碱</t>
  </si>
  <si>
    <t>HMDB0240906</t>
  </si>
  <si>
    <t>CCCCCCCCCCCCCCC(C)CCCC(=O)OC(CC([O-])=O)C[N+](C)(C)C</t>
  </si>
  <si>
    <t>CQVQEXQVKBCQIR-UHFFFAOYSA-N</t>
  </si>
  <si>
    <t>C27H53NO4</t>
  </si>
  <si>
    <t>FT5541PR</t>
  </si>
  <si>
    <t>3-MethylHexadecanoylcarnitine</t>
  </si>
  <si>
    <t>3-甲基十六酰肉碱</t>
  </si>
  <si>
    <t>HMDB0240862</t>
  </si>
  <si>
    <t>CCCCCCCCCCCCCC(C)CC(=O)OC(CC([O-])=O)C[N+](C)(C)C</t>
  </si>
  <si>
    <t>PSVDVCBWHPUWGB-UHFFFAOYSA-N</t>
  </si>
  <si>
    <t>C24H47NO4</t>
  </si>
  <si>
    <t>FT4548PR</t>
  </si>
  <si>
    <t>3-Hydroxymugineic acid</t>
  </si>
  <si>
    <t>3-羟基麦根酸</t>
  </si>
  <si>
    <t>HMDB0033927</t>
  </si>
  <si>
    <t>74235-23-7</t>
  </si>
  <si>
    <t>OC(CN1CC(O)C1C(O)=O)C(NCCC(O)C(O)=O)C(O)=O</t>
  </si>
  <si>
    <t>QPIOQLJXMZWNFJ-UHFFFAOYSA-N</t>
  </si>
  <si>
    <t>C12H20N2O9</t>
  </si>
  <si>
    <t>FT6967PR</t>
  </si>
  <si>
    <t>(4E,15E)-Bilirubin</t>
  </si>
  <si>
    <t>(4E,15E)-胆红素</t>
  </si>
  <si>
    <t>HMDB0240584</t>
  </si>
  <si>
    <t>69853-44-7</t>
  </si>
  <si>
    <t>CC1=C(C=C)\C(NC1=O)=C/C1=C(C)C(CCC(O)=O)=C(CC2=C(CCC(O)=O)C(C)=C(N2)\C=C2\NC(=O)C(C=C)=C2C)N1</t>
  </si>
  <si>
    <t>BPYKTIZUTYGOLE-BMNRKXRESA-N</t>
  </si>
  <si>
    <t>299.1386, 300.1464, 301.1552, 490.2115, 508.2223, 550.2304, 568.1409, 568.2434, 585.2698, 586.2713</t>
  </si>
  <si>
    <t>FT7021PR</t>
  </si>
  <si>
    <t>Mesobilirubinogen</t>
  </si>
  <si>
    <t>四氫中膽紅素</t>
  </si>
  <si>
    <t>HMDB0001898</t>
  </si>
  <si>
    <t>C05790</t>
  </si>
  <si>
    <t>14684-37-8</t>
  </si>
  <si>
    <t>CCC1=C(C)C(=O)NC1CC1=C(C)C(CCC(O)=O)=C(CC2=C(CCC(O)=O)C(C)=C(CC3NC(=O)C(CC)=C3C)N2)N1</t>
  </si>
  <si>
    <t>OBHRVMZSZIDDEK-UHFFFAOYSA-N</t>
  </si>
  <si>
    <t>250.3974, 298.6425, 303.1699, 303.2101, 343.1659, 344.1751, 355.0711, 403.6523, 468.2486, 593.3321</t>
  </si>
  <si>
    <t>C33H44N4O6</t>
  </si>
  <si>
    <t>FT6411PR</t>
  </si>
  <si>
    <t>Beloranib</t>
  </si>
  <si>
    <t>贝罗尼布</t>
  </si>
  <si>
    <t>HMDB0248934</t>
  </si>
  <si>
    <t>COC1C(CCC2(CO2)C1C1(C)OC1CC=C(C)C)OC(=O)C=CC1=CC=C(OCCN(C)C)C=C1</t>
  </si>
  <si>
    <t>ZEZFKUBILQRZCK-UHFFFAOYSA-N</t>
  </si>
  <si>
    <t>Cinnamic acid esters</t>
  </si>
  <si>
    <t>肉桂酸酯</t>
  </si>
  <si>
    <t>126.0219, 128.6450, 215.1798, 267.2924, 339.2637, 446.5487, 464.2829, 482.2911, 486.6308, 500.3063</t>
  </si>
  <si>
    <t>C29H41NO6</t>
  </si>
  <si>
    <t>FT2029NR</t>
  </si>
  <si>
    <t>3,4-dimethyl-5-carboxyethyl-2-furanhexanoic acid</t>
  </si>
  <si>
    <t>3,4-二甲基-5-羧乙基-2-呋喃己酸</t>
  </si>
  <si>
    <t>LMFA01150061</t>
  </si>
  <si>
    <t>C(CCCC(=O)O)CC1=C(C)C(C)=C(CCC(=O)O)O1</t>
  </si>
  <si>
    <t>ISVSHKJFDAGMDH-UHFFFAOYSA-N</t>
  </si>
  <si>
    <t>57.3169, 59.9072, 65.3966, 92.9285, 110.1779, 129.1829, 205.3843, 205.4067, 263.1259, 263.1575</t>
  </si>
  <si>
    <t>FT5395PR</t>
  </si>
  <si>
    <t>Deoxycorticosterone acetate</t>
  </si>
  <si>
    <t>醋酸脱氧皮质酮</t>
  </si>
  <si>
    <t>HMDB0251003</t>
  </si>
  <si>
    <t>CC(=O)OCC(=O)C1CCC2C3CCC4=CC(=O)CCC4(C)C3CCC12C</t>
  </si>
  <si>
    <t>VPGRYOFKCNULNK-UHFFFAOYSA-N</t>
  </si>
  <si>
    <t>C23H32O4</t>
  </si>
  <si>
    <t>FT6608PR</t>
  </si>
  <si>
    <t>1-linoleoyl-sn-glycero-3-phosphocholine</t>
  </si>
  <si>
    <t>1-亚油酰-sn-甘油-3-磷酸胆碱</t>
  </si>
  <si>
    <t>LMGP01050137</t>
  </si>
  <si>
    <t>O(C[C@H](COP(OCC[N+](C)(C)C)([O-])=O)O)C(=O)CCCCCCC/C=C\C/C=C\CCCCCC</t>
  </si>
  <si>
    <t>FKSLBYVOWOXWMB-YTBCMDLOSA-N</t>
  </si>
  <si>
    <t>C27H52NO7P</t>
  </si>
  <si>
    <t>FT5666PR</t>
  </si>
  <si>
    <t>Boviquinone 4</t>
  </si>
  <si>
    <t>牛醌4</t>
  </si>
  <si>
    <t>HMDB0030057</t>
  </si>
  <si>
    <t>28129-52-4</t>
  </si>
  <si>
    <t>CC(C)=CCC\C(C)=C\CC\C(C)=C\CC\C(C)=C\CC1=C(O)C(=O)C=C(O)C1=O</t>
  </si>
  <si>
    <t>FXIRKSMTDSBFCE-YKBIRWAZSA-N</t>
  </si>
  <si>
    <t>243.1742, 263.1794, 293.2258, 295.2047, 295.2418, 319.2415, 337.2518, 412.2837, 413.2870, 430.2944</t>
  </si>
  <si>
    <t>C26H36O4</t>
  </si>
  <si>
    <t>FT3450PR</t>
  </si>
  <si>
    <t>Naphazoline</t>
  </si>
  <si>
    <t>萘甲唑林</t>
  </si>
  <si>
    <t>HMDB0015656</t>
  </si>
  <si>
    <t>835-31-4</t>
  </si>
  <si>
    <t>C(C1=NCCN1)C1=CC=CC2=CC=CC=C12</t>
  </si>
  <si>
    <t>CNIIGCLFLJGOGP-UHFFFAOYSA-N</t>
  </si>
  <si>
    <t>C14H14N2</t>
  </si>
  <si>
    <t>FT4357PR</t>
  </si>
  <si>
    <t>(5E)-3-Hydroxyhept-5-enoylcarnitine</t>
  </si>
  <si>
    <t>(5E)-3-羟基庚-5-烯酰肉碱</t>
  </si>
  <si>
    <t>HMDB0241686</t>
  </si>
  <si>
    <t>CC=CCC(O)CC(=O)OC(CC([O-])=O)C[N+](C)(C)C</t>
  </si>
  <si>
    <t>ODXVXZSLYPJSLI-UHFFFAOYSA-N</t>
  </si>
  <si>
    <t>162.1530, 163.1155, 173.0920, 205.4033, 262.3501, 302.7008, 305.0139, 305.1560, 305.2070, 306.0628</t>
  </si>
  <si>
    <t>C14H25NO5</t>
  </si>
  <si>
    <t>FT3616NR</t>
  </si>
  <si>
    <t>19-oxodesacetylcinobufagin</t>
  </si>
  <si>
    <t>19-氧化去乙酰华蟾素</t>
  </si>
  <si>
    <t>LMST01130017</t>
  </si>
  <si>
    <t>C1[C@]2(C=O)[C@@]3([H])CC[C@]4(C)[C@@]([H])(C5=COC(=O)C=C5)[C@@H](O)[C@H]5O[C@@]45[C@]3([H])CC[C@]2([H])C[C@@H](O)C1</t>
  </si>
  <si>
    <t>JNBBHUNHDKWCIR-DFJCLZAPSA-N</t>
  </si>
  <si>
    <t>Steroid lactones</t>
  </si>
  <si>
    <t>类固醇内酯</t>
  </si>
  <si>
    <t>70.2056, 70.3243, 96.9599, 96.9670, 140.9805, 385.8055, 412.7111, 413.1997, 413.3293, 414.1997</t>
  </si>
  <si>
    <t>FT1419NR</t>
  </si>
  <si>
    <t>3-Dehydroshikimate</t>
  </si>
  <si>
    <t>(-)-3-脱氢草酸</t>
  </si>
  <si>
    <t>2922-42-1</t>
  </si>
  <si>
    <t>C1C(C(C(=O)C=C1C(=O)O)O)O</t>
  </si>
  <si>
    <t>SLWWJZMPHJJOPH-UHFFFAOYSA-N</t>
  </si>
  <si>
    <t>C7H8O5</t>
  </si>
  <si>
    <t>FT3631NR</t>
  </si>
  <si>
    <t>6-Thioxanthine 5'-monophosphate</t>
  </si>
  <si>
    <t>6-硫代黄嘌呤5'-单磷酸盐</t>
  </si>
  <si>
    <t>HMDB0060418</t>
  </si>
  <si>
    <t>C16618</t>
  </si>
  <si>
    <t>hsa00983</t>
  </si>
  <si>
    <t>Drug metabolism - other enzymes</t>
  </si>
  <si>
    <t>3237-49-8</t>
  </si>
  <si>
    <t>O[C@@H]1[C@@H](COP(O)(O)=O)O[C@H]([C@@H]1O)N1C=NC2=C1N=C(O)N=C2S</t>
  </si>
  <si>
    <t>WMRIOGFRJLQENF-UUOKFMHZSA-N</t>
  </si>
  <si>
    <t>Purine nucleotides</t>
  </si>
  <si>
    <t>Purine ribonucleotides</t>
  </si>
  <si>
    <t>嘌呤核苷酸</t>
  </si>
  <si>
    <t>嘌呤核糖核苷酸</t>
  </si>
  <si>
    <t>357.0284, 357.1318, 357.1614, 358.0311, 358.7527, 412.8435, 414.8574, 414.9870, 415.9919, 417.1529</t>
  </si>
  <si>
    <t>C10H13N4O8PS</t>
  </si>
  <si>
    <t>FT4287PR</t>
  </si>
  <si>
    <t>Emmotin A</t>
  </si>
  <si>
    <t>大茴香碱A</t>
  </si>
  <si>
    <t>LMPR0103200001</t>
  </si>
  <si>
    <t>C1=C(COC)C2C(=O)[C@H](O)[C@@H](C(O)(C)C)CC=2C(C)=C1</t>
  </si>
  <si>
    <t>GRTATZFIZSZURL-GXTWGEPZSA-N</t>
  </si>
  <si>
    <t>Tetralins</t>
  </si>
  <si>
    <t>四氢化萘</t>
  </si>
  <si>
    <t>205.3906, 205.4097, 245.0786, 301.0106, 301.0470, 301.0561, 301.1404, 301.2480, 302.0160, 302.1437</t>
  </si>
  <si>
    <t>FT4747PR</t>
  </si>
  <si>
    <t>1-O-(2R-methoxy-4Z-tetradecenyl)-sn-glycerol</t>
  </si>
  <si>
    <t>1-O-(2R-甲氧基-4Z-十四烯基)-sn-甘油</t>
  </si>
  <si>
    <t>LMGL01020046</t>
  </si>
  <si>
    <t>[C@](CO)([H])(O)COC[C@H](OC)C/C=C\CCCCCCCCC</t>
  </si>
  <si>
    <t>XZKXXUBJRRVEBN-IXTIOBCPSA-N</t>
  </si>
  <si>
    <t>104.0706, 173.6017, 180.5512, 242.2476, 245.3169, 249.9481, 286.2735, 334.2946, 335.2256, 335.2972</t>
  </si>
  <si>
    <t>FT6657PR</t>
  </si>
  <si>
    <t>24-Methylpentacosanoylcarnitine</t>
  </si>
  <si>
    <t>24-甲基二十烷酰肉碱</t>
  </si>
  <si>
    <t>HMDB0241027</t>
  </si>
  <si>
    <t>CC(C)CCCCCCCCCCCCCCCCCCCCCCC(=O)OC(CC([O-])=O)C[N+](C)(C)C</t>
  </si>
  <si>
    <t>GQJBVTWYBGOXIM-UHFFFAOYSA-N</t>
  </si>
  <si>
    <t>150.8088, 208.1441, 233.6701, 235.5038, 302.6966, 481.4252, 540.4002, 540.4980, 540.5948, 541.5060</t>
  </si>
  <si>
    <t>C33H65NO4</t>
  </si>
  <si>
    <t>FT1006PR</t>
  </si>
  <si>
    <t>2-Aminoacrylic acid</t>
  </si>
  <si>
    <t>2-氨基丙烯酸</t>
  </si>
  <si>
    <t>HMDB0003609</t>
  </si>
  <si>
    <t>C02218</t>
  </si>
  <si>
    <t>28453-71-6</t>
  </si>
  <si>
    <t>NC(=C)C(O)=O</t>
  </si>
  <si>
    <t>UQBOJOOOTLPNST-UHFFFAOYSA-N</t>
  </si>
  <si>
    <t>FT4312PR</t>
  </si>
  <si>
    <t>Glutamylhistidine</t>
  </si>
  <si>
    <t>谷氨酰组氨酸</t>
  </si>
  <si>
    <t>HMDB0028821</t>
  </si>
  <si>
    <t>21435-29-0</t>
  </si>
  <si>
    <t>N[C@@H](CCC(O)=O)C(=O)N[C@@H](CC1=CNC=N1)C(O)=O</t>
  </si>
  <si>
    <t>HKTRDWYCAUTRRL-YUMQZZPRSA-N</t>
  </si>
  <si>
    <t>C11H16N4O5</t>
  </si>
  <si>
    <t>FT7005PR</t>
  </si>
  <si>
    <t>(1R)-Perindopril t-Butylamine Salt</t>
  </si>
  <si>
    <t>(1R)-培哚普利叔丁胺盐</t>
  </si>
  <si>
    <t>CC/C=C\C/C=C\C/C=C\C/C=C\C/C=C\C/C=C\CCC(=O)O[C@H](CO)COP(=O)([O-])OCC[N+](C)(C)C</t>
  </si>
  <si>
    <t>FTLVGMFFHDRYDI-APPDJCNMSA-N</t>
  </si>
  <si>
    <t>568.9990, 569.1090, 575.9894, 576.1039, 583.1043, 590.3206, 591.3251, 597.6526, 605.1915, 612.7490</t>
  </si>
  <si>
    <t>FT2424PR</t>
  </si>
  <si>
    <t>(E)-3-Methyl-4-decen-1-ol</t>
  </si>
  <si>
    <t>(E)-3-甲基-4-癸烯-1-醇</t>
  </si>
  <si>
    <t>HMDB0031065</t>
  </si>
  <si>
    <t>LMFA05000558</t>
  </si>
  <si>
    <t>24404-71-5</t>
  </si>
  <si>
    <t>CCCCC/C=C/C(C)CCO</t>
  </si>
  <si>
    <t>JDCKKTBNCHNHRR-BQYQJAHWSA-N</t>
  </si>
  <si>
    <t>170.1187, 177.9632, 182.7431, 188.0692, 188.1071, 188.1284, 188.1597, 188.2006, 189.1264, 192.1232</t>
  </si>
  <si>
    <t>C11H22O</t>
  </si>
  <si>
    <t>FT3245PR</t>
  </si>
  <si>
    <t>3-[(2-Oxoacetyl)oxy]-4-(trimethylazaniumyl)butanoate</t>
  </si>
  <si>
    <t>3-[(2-氧代乙酰基)氧基]-4-(三甲基氮鎓基)丁酸酯</t>
  </si>
  <si>
    <t>HMDB0241791</t>
  </si>
  <si>
    <t>C[N+](C)(C)CC(CC([O-])=O)OC(=O)C=O</t>
  </si>
  <si>
    <t>PMHVEZKBYYNQIG-UHFFFAOYSA-N</t>
  </si>
  <si>
    <t>C9H15NO5</t>
  </si>
  <si>
    <t>FT5103NR</t>
  </si>
  <si>
    <t>PS(O-20:0/0:0)</t>
  </si>
  <si>
    <t>磷脂酰丝氨酸(O-20:0/0:0)</t>
  </si>
  <si>
    <t>LMGP03060001</t>
  </si>
  <si>
    <t>C(O)(=O)[C@@]([H])(N)COP(OC[C@]([H])(O)COCCCCCCCCCCCCCCCCCCCC)(=O)O</t>
  </si>
  <si>
    <t>ZEPUSHULPSPFJG-RPBOFIJWSA-N</t>
  </si>
  <si>
    <t>157.9706, 224.0698, 299.2584, 448.3061, 516.2947, 524.3341, 525.3436, 528.9794, 584.2748, 584.3575</t>
  </si>
  <si>
    <t>C26H54NO8P</t>
  </si>
  <si>
    <t>FT1206PR</t>
  </si>
  <si>
    <t>3,4-Dihydro-5-(5-methyl-2-furanyl)-2H-pyrrole</t>
  </si>
  <si>
    <t>3,4-二氢-5-(5-甲基-2-呋喃基)-2H-吡咯</t>
  </si>
  <si>
    <t>HMDB0040050</t>
  </si>
  <si>
    <t>118248-26-3</t>
  </si>
  <si>
    <t>CC1=CC=C(O1)C1=NCCC1</t>
  </si>
  <si>
    <t>FCHSRBDFHOMGQE-UHFFFAOYSA-N</t>
  </si>
  <si>
    <t>Heteroaromatic compounds</t>
  </si>
  <si>
    <t>杂芳香族化合物</t>
  </si>
  <si>
    <t>C9H11NO</t>
  </si>
  <si>
    <t>FT2196NR</t>
  </si>
  <si>
    <t>5-Methyl-2'-deoxycytidine</t>
  </si>
  <si>
    <t>2 '-脱氧-5-甲基胞苷</t>
  </si>
  <si>
    <t>HMDB0002224</t>
  </si>
  <si>
    <t>C03592</t>
  </si>
  <si>
    <t>838-07-3</t>
  </si>
  <si>
    <t>CC1=CN(C(=O)N=C1N)C2CC(C(O2)CO)O</t>
  </si>
  <si>
    <t>LUCHPKXVUGJYGU-XLPZGREQSA-N</t>
  </si>
  <si>
    <t>Pyrimidine 2'-deoxyribonucleosides</t>
  </si>
  <si>
    <t>嘧啶2'-脱氧核糖核苷</t>
  </si>
  <si>
    <t>C10H15N3O4</t>
  </si>
  <si>
    <t>FT3039PR</t>
  </si>
  <si>
    <t>Propyl 1-(propylsulfinyl)propyl disulfide</t>
  </si>
  <si>
    <t>1-(丙基亚磺酰基)丙基二硫醚</t>
  </si>
  <si>
    <t>HMDB0033071</t>
  </si>
  <si>
    <t>CCCSSC(CC)S(=O)CCC</t>
  </si>
  <si>
    <t>NIBWKLISDHVING-UHFFFAOYSA-N</t>
  </si>
  <si>
    <t>Organosulfur compounds</t>
  </si>
  <si>
    <t>Sulfoxides</t>
  </si>
  <si>
    <t>有机硫化合物</t>
  </si>
  <si>
    <t>亚砜</t>
  </si>
  <si>
    <t>223.0872, 223.1114, 223.1317, 223.1690, 224.9766, 224.9894, 225.0426, 227.0219, 227.0431, 229.0009</t>
  </si>
  <si>
    <t>C9H20OS3</t>
  </si>
  <si>
    <t>FT1089NR</t>
  </si>
  <si>
    <t>Cysteinyl-Serine</t>
  </si>
  <si>
    <t>胱氨酰丝氨酸</t>
  </si>
  <si>
    <t>HMDB0028784</t>
  </si>
  <si>
    <t>NC(CS)C(O)=NC(CO)C(O)=O</t>
  </si>
  <si>
    <t>YXQDRIRSAHTJKM-UHFFFAOYSA-N</t>
  </si>
  <si>
    <t>C6H12N2O4S</t>
  </si>
  <si>
    <t>FT5393PR</t>
  </si>
  <si>
    <t>2-(7-chloro-5-methyl-4-oxo-3-phenylpyridazino[4,5-b]indol-1-yl)-N,N-dimethylacetamide</t>
  </si>
  <si>
    <t>2-(7-氯-5-甲基-4-氧代-3-苯基-4,5-二氢-3H-哒嗪[4,5-B]吲哚-1-基)-N,N-二甲基乙酰胺</t>
  </si>
  <si>
    <t>HMDB0245629</t>
  </si>
  <si>
    <t>CN(C)C(=O)CC1=NN(C2=CC=CC=C2)C(=O)C2=C1C1=C(C=C(Cl)C=C1)N2C</t>
  </si>
  <si>
    <t>HJSQVJOROCIILI-UHFFFAOYSA-N</t>
  </si>
  <si>
    <t>N-alkylindoles</t>
  </si>
  <si>
    <t xml:space="preserve"> N-烷基吲哚</t>
  </si>
  <si>
    <t>211.5932, 243.0836, 273.0989, 273.1302, 287.1103, 288.1056, 318.1153, 375.5048, 395.1255, 395.7144</t>
  </si>
  <si>
    <t>C21H19ClN4O2</t>
  </si>
  <si>
    <t>FT4486PR</t>
  </si>
  <si>
    <t>L-Saccharopine</t>
  </si>
  <si>
    <t>糖碱</t>
  </si>
  <si>
    <t>HMDB0000279</t>
  </si>
  <si>
    <t>C00449</t>
  </si>
  <si>
    <t>997-68-2</t>
  </si>
  <si>
    <t>N[C@@H](CCCCN[C@@H](CCC(O)=O)C(O)=O)C(O)=O</t>
  </si>
  <si>
    <t>ZDGJAHTZVHVLOT-YUMQZZPRSA-N</t>
  </si>
  <si>
    <t>C11H20N2O6</t>
  </si>
  <si>
    <t>FT5029NR</t>
  </si>
  <si>
    <t>PC(4:0/18:1)</t>
  </si>
  <si>
    <t>磷脂酰胆碱(4:0/18:1)</t>
  </si>
  <si>
    <t>LMGP01011221</t>
  </si>
  <si>
    <t>[C@](COP(=O)([O-])OCC[N+](C)(C)C)([H])(OC(CCCCCCC/C=C\CCCCCCCC)=O)COC(CCC)=O</t>
  </si>
  <si>
    <t>IMHOVHFGWLRYFW-KYEYSNFOSA-N</t>
  </si>
  <si>
    <t>C30H58NO8P</t>
  </si>
  <si>
    <t>FT5456NR</t>
  </si>
  <si>
    <t>2-Hydroxy-7,8-dehydrograndiflorone</t>
  </si>
  <si>
    <t>2-羟基-7,8-脱氢大花酮</t>
  </si>
  <si>
    <t>LMPK12120415</t>
  </si>
  <si>
    <t>C1=CC=CC(O)=C1/C=C/C(=O)C1=C(O)C(C)(C)C(=O)C(C)(C)C1=O</t>
  </si>
  <si>
    <t>MMHKTAWKXGOREF-MDZDMXLPSA-N</t>
  </si>
  <si>
    <t>C19H20O5</t>
  </si>
  <si>
    <t>FT3203PR</t>
  </si>
  <si>
    <t>3,5-Dihydroxyphenylvaleric acid</t>
  </si>
  <si>
    <t>3,5-二羟基苯基戊酸</t>
  </si>
  <si>
    <t>HMDB0240450</t>
  </si>
  <si>
    <t>OC(=O)CCCCC1=CC(O)=CC(O)=C1</t>
  </si>
  <si>
    <t>QHXNJIMVPAFCPR-UHFFFAOYSA-N</t>
  </si>
  <si>
    <t>FT2450PR</t>
  </si>
  <si>
    <t>Prenylcysteine</t>
  </si>
  <si>
    <t>异戊二烯半胱氨酸</t>
  </si>
  <si>
    <t>HMDB0256764</t>
  </si>
  <si>
    <t>CC(C)=CCNC(CS)C(O)=O</t>
  </si>
  <si>
    <t>PGSOFWOYBQXDSO-UHFFFAOYSA-N</t>
  </si>
  <si>
    <t>152.4179, 166.9431, 166.9871, 167.0556, 173.0463, 173.0628, 190.0027, 190.0689, 190.0892, 190.1199</t>
  </si>
  <si>
    <t>C8H15NO2S</t>
  </si>
  <si>
    <t>FT3700NR</t>
  </si>
  <si>
    <t>Triclabendazole sulfone</t>
  </si>
  <si>
    <t>三氯苯咪唑砜</t>
  </si>
  <si>
    <t>HMDB0259182</t>
  </si>
  <si>
    <t>CS(=O)(=O)C1=NC2=CC(OC3=C(Cl)C(Cl)=CC=C3)=C(Cl)C=C2N1</t>
  </si>
  <si>
    <t>ZEIHWBIRYIXBSV-UHFFFAOYSA-N</t>
  </si>
  <si>
    <t>Benzimidazoles</t>
  </si>
  <si>
    <t>Sulfinylbenzimidazoles</t>
  </si>
  <si>
    <t>苯并咪唑类</t>
  </si>
  <si>
    <t>亚磺酰苯并咪唑类</t>
  </si>
  <si>
    <t>288.9359, 289.0130, 289.9376, 290.1901, 294.8853, 302.7038, 355.0420, 356.9234, 377.5096, 412.8685</t>
  </si>
  <si>
    <t>C14H9Cl3N2O3S</t>
  </si>
  <si>
    <t>FT7049PR</t>
  </si>
  <si>
    <t>Polidocanol</t>
  </si>
  <si>
    <t>聚醚醇</t>
  </si>
  <si>
    <t>HMDB0256665</t>
  </si>
  <si>
    <t>C13493</t>
  </si>
  <si>
    <t>3055-99-0</t>
  </si>
  <si>
    <t>CCCCCCCCCCCCOCCOCCOCCOCCOCCOCCOCCOCCOCCO</t>
  </si>
  <si>
    <t>ONJQDTZCDSESIW-UHFFFAOYSA-N</t>
  </si>
  <si>
    <t>99.8068, 133.0856, 138.1699, 177.1113, 205.3995, 228.2126, 399.8508, 417.9867, 583.4389, 600.4700</t>
  </si>
  <si>
    <t>C30H62O10</t>
  </si>
  <si>
    <t>FT2419PR</t>
  </si>
  <si>
    <t>7-oxo-8-amino-nonanoic acid</t>
  </si>
  <si>
    <t>8-氨基-7-氧代壬酸</t>
  </si>
  <si>
    <t>LMFA01060168</t>
  </si>
  <si>
    <t>C01092</t>
  </si>
  <si>
    <t>hsa00780</t>
  </si>
  <si>
    <t>Biotin metabolism</t>
  </si>
  <si>
    <t>C(CCCCC(=O)O)C(=O)C(N)C</t>
  </si>
  <si>
    <t>GUAHPAJOXVYFON-UHFFFAOYSA-N</t>
  </si>
  <si>
    <t>153.0908, 160.0732, 164.9418, 170.1173, 170.1345, 171.1014, 188.0694, 188.1287, 189.1110, 205.4010</t>
  </si>
  <si>
    <t>C9H17NO3</t>
  </si>
  <si>
    <t>FT2100NR</t>
  </si>
  <si>
    <t>Nasutin A</t>
  </si>
  <si>
    <t>纳苏丁A</t>
  </si>
  <si>
    <t>HMDB0255467</t>
  </si>
  <si>
    <t>OC1=CC2=C3C(=C1)C(=O)OC1=C3C(=CC(O)=C1)C(=O)O2</t>
  </si>
  <si>
    <t>HMANVBHOIJJXNQ-UHFFFAOYSA-N</t>
  </si>
  <si>
    <t>79.9573, 80.9650, 121.0657, 145.2646, 170.5463, 201.0222, 205.3996, 269.1310, 269.1826, 269.2110</t>
  </si>
  <si>
    <t>C14H6O6</t>
  </si>
  <si>
    <t>FT0923PR</t>
  </si>
  <si>
    <t>L-Azetidine-2-carboxylic acid</t>
  </si>
  <si>
    <t>(S)-L-2-羧基环丁胺</t>
  </si>
  <si>
    <t>C08267</t>
  </si>
  <si>
    <t>2133-34-8</t>
  </si>
  <si>
    <t>C1CNC1C(=O)O</t>
  </si>
  <si>
    <t>IADUEWIQBXOCDZ-VKHMYHEASA-N</t>
  </si>
  <si>
    <t>C4H7NO2</t>
  </si>
  <si>
    <t>FT2197NR</t>
  </si>
  <si>
    <t>5-Methyldeoxycytidine</t>
  </si>
  <si>
    <t>5-甲基脱氧胞苷</t>
  </si>
  <si>
    <t>CC1=CN([C@H]2CC(O)[C@@H](CO)O2)C(=O)N=C1N</t>
  </si>
  <si>
    <t>LUCHPKXVUGJYGU-SPDVFEMOSA-N</t>
  </si>
  <si>
    <t>FT0772PR</t>
  </si>
  <si>
    <t>Sulfate</t>
  </si>
  <si>
    <t>四氧化硫</t>
  </si>
  <si>
    <t>HMDB0001448</t>
  </si>
  <si>
    <t>C00059</t>
  </si>
  <si>
    <t>hsa00230,hsa00270,hsa00920,hsa02010</t>
  </si>
  <si>
    <t>Purine metabolism|Cysteine and methionine metabolism|Sulfur metabolism|ABC transporters</t>
  </si>
  <si>
    <t>14808-79-8</t>
  </si>
  <si>
    <t>OS(O)(=O)=O</t>
  </si>
  <si>
    <t>QAOWNCQODCNURD-UHFFFAOYSA-N</t>
  </si>
  <si>
    <t>Non-metal sulfates</t>
  </si>
  <si>
    <t>非金属硫酸盐</t>
  </si>
  <si>
    <t>H2O4S</t>
  </si>
  <si>
    <t>FT3689PR</t>
  </si>
  <si>
    <t>Biotin</t>
  </si>
  <si>
    <t>生物素</t>
  </si>
  <si>
    <t>HMDB0000030</t>
  </si>
  <si>
    <t>C00120</t>
  </si>
  <si>
    <t>hsa00780,hsa02010,hsa04977</t>
  </si>
  <si>
    <t>Biotin metabolism|ABC transporters|Vitamin digestion and absorption</t>
  </si>
  <si>
    <t>R-HSA-1430728,R-HSA-1643685,R-HSA-196780,R-HSA-196849,R-HSA-196854,R-HSA-3296482,R-HSA-3323169,R-HSA-3371599,R-HSA-382551,R-HSA-425397,R-HSA-425407,R-HSA-5668914</t>
  </si>
  <si>
    <t>Metabolism|Disease|Biotin transport and metabolism|Metabolism of water-soluble vitamins and cofactors|Metabolism of vitamins and cofactors|Defects in vitamin and cofactor metabolism|Defects in biotin (Btn) metabolism|Defective HLCS causes multiple carboxylase deficiency|Transport of small molecules|Transport of vitamins, nucleosides, and related molecules|SLC-mediated transmembrane transport|Diseases of metabolism</t>
  </si>
  <si>
    <t>58-85-5</t>
  </si>
  <si>
    <t>[H][C@]12CS[C@@H](CCCCC(O)=O)[C@@]1([H])NC(=O)N2</t>
  </si>
  <si>
    <t>YBJHBAHKTGYVGT-ZKWXMUAHSA-N</t>
  </si>
  <si>
    <t>C10H16N2O3S</t>
  </si>
  <si>
    <t>FT3847PR</t>
  </si>
  <si>
    <t>(4E,8E,10E-d18:3)sphingosine</t>
  </si>
  <si>
    <t>(4E,8E,10E-d18:3)鞘氨醇</t>
  </si>
  <si>
    <t>LMSP01080013</t>
  </si>
  <si>
    <t>C([C@H](N)[C@H](O)/C=C/CC/C=C/C=C/CCCCCCC)O</t>
  </si>
  <si>
    <t>PZVYDNWEQXJZPQ-IYAOGOEGSA-N</t>
  </si>
  <si>
    <t>FT1144NR</t>
  </si>
  <si>
    <t>4-Carboxyphenylglycine</t>
  </si>
  <si>
    <t>RS)-4-羧苯基甘氨酸</t>
  </si>
  <si>
    <t>HMDB0002016</t>
  </si>
  <si>
    <t>7292-81-1</t>
  </si>
  <si>
    <t>NC(C(O)=O)C1=CC=C(C=C1)C(O)=O</t>
  </si>
  <si>
    <t>VTMJKPGFERYGJF-UHFFFAOYSA-N</t>
  </si>
  <si>
    <t>70.6553, 106.0659, 106.0739, 150.0555, 150.0687, 151.7913, 178.1943, 178.9922, 194.0150, 194.0449</t>
  </si>
  <si>
    <t>FT4549NR</t>
  </si>
  <si>
    <t>D-Mannose 1-phosphate</t>
  </si>
  <si>
    <t>D-甘露糖1-磷酸</t>
  </si>
  <si>
    <t>HMDB0006330</t>
  </si>
  <si>
    <t>C00636</t>
  </si>
  <si>
    <t>hsa00051,hsa00520</t>
  </si>
  <si>
    <t>Fructose and mannose metabolism|Amino sugar and nucleotide sugar metabolism</t>
  </si>
  <si>
    <t>R-HSA-392499,R-HSA-446193,R-HSA-446203,R-HSA-446205,R-HSA-446219,R-HSA-597592</t>
  </si>
  <si>
    <t>Metabolism of proteins|Biosynthesis of the N-glycan precursor (dolichol lipid-linked oligosaccharide, LLO) and transfer to a nascent protein|Asparagine N-linked glycosylation|Synthesis of GDP-mannose|Synthesis of substrates in N-glycan biosythesis|Post-translational protein modification</t>
  </si>
  <si>
    <t>15978-07-1</t>
  </si>
  <si>
    <t>OC[C@H]1O[C@H](OP(O)(O)=O)[C@@H](O)[C@@H](O)[C@@H]1O</t>
  </si>
  <si>
    <t>HXXFSFRBOHSIMQ-RWOPYEJCSA-N</t>
  </si>
  <si>
    <t>FT2033NR</t>
  </si>
  <si>
    <t>5-(L-alanin-3-yl)-2-hydroxy-cis,cis-muconate 6-semialdehyde</t>
  </si>
  <si>
    <t>5-(L-丙氨酰-3-基)-2-羟基-顺式、顺式-6-琥珀酸半醛</t>
  </si>
  <si>
    <t>LMFA01170073</t>
  </si>
  <si>
    <t>C04797</t>
  </si>
  <si>
    <t>C(/C=O)(=C/C=C(/O)\C(=O)O)\C[C@H](N)C(=O)O</t>
  </si>
  <si>
    <t>OAPFPZKGGMKELA-WEBQFGJISA-N</t>
  </si>
  <si>
    <t>C9H11NO6</t>
  </si>
  <si>
    <t>FT1897NR</t>
  </si>
  <si>
    <t>Isoquinolinesulfonamide</t>
  </si>
  <si>
    <t>异喹啉磺酰胺</t>
  </si>
  <si>
    <t>HMDB0253686</t>
  </si>
  <si>
    <t>NS(=O)(=O)C1=NC=CC2=CC=CC=C12</t>
  </si>
  <si>
    <t>GZZCYMXZJQCAJU-UHFFFAOYSA-N</t>
  </si>
  <si>
    <t>Isoquinolines and derivatives</t>
  </si>
  <si>
    <t>异喹啉及其衍生物</t>
  </si>
  <si>
    <t>66.4244, 71.0499, 112.9852, 117.0554, 117.0628, 118.0584, 185.0428, 185.0578, 205.3943, 209.1555</t>
  </si>
  <si>
    <t>C9H8N2O2S</t>
  </si>
  <si>
    <t>FT0860NR</t>
  </si>
  <si>
    <t>Capric acid</t>
  </si>
  <si>
    <t>癸酸</t>
  </si>
  <si>
    <t>HMDB0000511</t>
  </si>
  <si>
    <t>LMFA01010010</t>
  </si>
  <si>
    <t>C01571</t>
  </si>
  <si>
    <t>R-HSA-1430728,R-HSA-1643685,R-HSA-2980736,R-HSA-382551,R-HSA-392499,R-HSA-422085,R-HSA-425397,R-HSA-425407,R-HSA-556833,R-HSA-5619102,R-HSA-5619108,R-HSA-5619115,R-HSA-75105,R-HSA-804914,R-HSA-8978868</t>
  </si>
  <si>
    <t>Metabolism|Disease|Peptide hormone metabolism|Transport of small molecules|Metabolism of proteins|Synthesis, secretion, and deacylation of Ghrelin|Transport of vitamins, nucleosides, and related molecules|SLC-mediated transmembrane transport|Metabolism of lipids|SLC transporter disorders|Defective SLC27A4 causes ichthyosis prematurity syndrome (IPS)|Disorders of transmembrane transporters|Fatty acyl-CoA biosynthesis|Transport of fatty acids|Fatty acid metabolism</t>
  </si>
  <si>
    <t>334-48-5</t>
  </si>
  <si>
    <t>CCCCCCCCCC(=O)O</t>
  </si>
  <si>
    <t>GHVNFZFCNZKVNT-UHFFFAOYSA-N</t>
  </si>
  <si>
    <t>127.1127, 171.0189, 171.0652, 171.1031, 171.1214, 171.1386, 171.1558, 171.9463, 171.9820, 172.1417</t>
  </si>
  <si>
    <t>C10H20O2</t>
  </si>
  <si>
    <t>FT3368PR</t>
  </si>
  <si>
    <t>Hydrocotarnine</t>
  </si>
  <si>
    <t>氢化可塔宁</t>
  </si>
  <si>
    <t>HMDB0033701</t>
  </si>
  <si>
    <t>C13534</t>
  </si>
  <si>
    <t>550-10-7</t>
  </si>
  <si>
    <t>COC1=C2CN(C)CCC2=CC2=C1OCO2</t>
  </si>
  <si>
    <t>XXANNZJIZQTCBP-UHFFFAOYSA-N</t>
  </si>
  <si>
    <t>C12H15NO3</t>
  </si>
  <si>
    <t>FT3617PR</t>
  </si>
  <si>
    <t>Fructosyl valine</t>
  </si>
  <si>
    <t>果糖酰缬氨酸</t>
  </si>
  <si>
    <t>HMDB0252496</t>
  </si>
  <si>
    <t>CC(C)C(NC1(CO)OC(CO)C(O)C1O)C(O)=O</t>
  </si>
  <si>
    <t>KVUAQCKXYIJBCP-UHFFFAOYSA-N</t>
  </si>
  <si>
    <t>C11H21NO7</t>
  </si>
  <si>
    <t>FT3714PR</t>
  </si>
  <si>
    <t>3-carboxy-4-methyl-5-pentyl-2-furanpropanoic acid</t>
  </si>
  <si>
    <t>3-羧基-4-甲基-5-戊基-2-呋喃丙酸</t>
  </si>
  <si>
    <t>HMDB0061643</t>
  </si>
  <si>
    <t>LMFA01150047</t>
  </si>
  <si>
    <t>C(CC)CCC1=C(C)C(C(=O)O)=C(CCC(=O)O)O1</t>
  </si>
  <si>
    <t>RIJDKRLRDVBUHJ-UHFFFAOYSA-N</t>
  </si>
  <si>
    <t>223.1318, 228.8753, 231.2055, 233.1903, 251.1275, 251.1630, 251.2013, 269.1095, 269.1391, 269.2481</t>
  </si>
  <si>
    <t>FT2145PR</t>
  </si>
  <si>
    <t>D-Xylose</t>
  </si>
  <si>
    <t>D-木糖</t>
  </si>
  <si>
    <t>HMDB0000098</t>
  </si>
  <si>
    <t>C00181</t>
  </si>
  <si>
    <t>hsa00040,hsa00520,hsa02010</t>
  </si>
  <si>
    <t>Pentose and glucuronate interconversions|Amino sugar and nucleotide sugar metabolism|ABC transporters</t>
  </si>
  <si>
    <t>58-86-6</t>
  </si>
  <si>
    <t>O[C@@H]1COC(O)[C@H](O)[C@H]1O</t>
  </si>
  <si>
    <t>SRBFZHDQGSBBOR-IOVATXLUSA-N</t>
  </si>
  <si>
    <t>FT2270NR</t>
  </si>
  <si>
    <t>S-aminomethyldihydrolipoamide</t>
  </si>
  <si>
    <t xml:space="preserve"> S-氨基甲基二氢硫辛酰胺</t>
  </si>
  <si>
    <t>HMDB0006239</t>
  </si>
  <si>
    <t>LMFA08010025</t>
  </si>
  <si>
    <t>C(CC(S)CCCCC(N)=O)SCN</t>
  </si>
  <si>
    <t>KALYVIJGKPJBQV-UHFFFAOYSA-N</t>
  </si>
  <si>
    <t>184.0354, 184.7941, 188.6510, 205.3992, 212.0021, 213.0052, 213.0375, 213.9979, 214.0327, 281.1003</t>
  </si>
  <si>
    <t>C9H20N2OS2</t>
  </si>
  <si>
    <t>FT4113NR</t>
  </si>
  <si>
    <t>1-Piperidinyloxy, 4-(((dodecyloxy)hydroxyphosphinyl)oxy)-2,2,6,6-tetramethyl-</t>
  </si>
  <si>
    <t>1-哌啶基氧基，4-(((十二烷氧基羟基膦基)氧基)-2,2,6,6-四甲基-</t>
  </si>
  <si>
    <t>HMDB0248372</t>
  </si>
  <si>
    <t>CCCCCCCCCCCCOP(O)(=O)OC1CC(C)(C)N([O])C(C)(C)C1</t>
  </si>
  <si>
    <t>VNPFSLNALGAUGL-UHFFFAOYSA-N</t>
  </si>
  <si>
    <t>75.0086, 85.0288, 87.0087, 113.0235, 124.1317, 137.3561, 187.1297, 205.3990, 465.2830, 466.9310</t>
  </si>
  <si>
    <t>C21H43NO5P</t>
  </si>
  <si>
    <t>FT4046NR</t>
  </si>
  <si>
    <t>Haloxon</t>
  </si>
  <si>
    <t>哈洛克酮</t>
  </si>
  <si>
    <t>HMDB0253044</t>
  </si>
  <si>
    <t>CC1=C(Cl)C(=O)OC2=C1C=CC(OP(=O)(OCCCl)OCCCl)=C2</t>
  </si>
  <si>
    <t>KULDXINYXFTXMO-UHFFFAOYSA-N</t>
  </si>
  <si>
    <t>186.9789, 187.0068, 187.0216, 189.0016, 205.3996, 254.9941, 322.9807, 390.9682, 458.9737, 459.1531</t>
  </si>
  <si>
    <t>C14H14Cl3O6P</t>
  </si>
  <si>
    <t>FT2893NR</t>
  </si>
  <si>
    <t>Creatinine citrate</t>
  </si>
  <si>
    <t>柠檬酸肌酐</t>
  </si>
  <si>
    <t>HMDB0250529</t>
  </si>
  <si>
    <t>CN1C2=NOC(=O)CC3(O)CC(=O)OC1(OC3=O)C(=O)N2</t>
  </si>
  <si>
    <t>UASUGYXGXCQNJH-UHFFFAOYSA-N</t>
  </si>
  <si>
    <t>221.3611, 251.9518, 265.9515, 265.9916, 266.0197, 267.0219, 275.6729, 305.9367, 335.0469, 341.5675</t>
  </si>
  <si>
    <t>C10H9N3O8</t>
  </si>
  <si>
    <t>FT0593NR</t>
  </si>
  <si>
    <t>4-Methylthiazole</t>
  </si>
  <si>
    <t>4-甲基噻唑</t>
  </si>
  <si>
    <t>HMDB0033116</t>
  </si>
  <si>
    <t>693-95-8</t>
  </si>
  <si>
    <t>CC1=CSC=N1</t>
  </si>
  <si>
    <t>QMHIMXFNBOYPND-UHFFFAOYSA-N</t>
  </si>
  <si>
    <t>Thiazoles</t>
  </si>
  <si>
    <t>噻唑类</t>
  </si>
  <si>
    <t>91.6379, 97.0755, 100.0767, 101.0604, 134.1804, 141.2255, 144.0120, 144.0450, 144.0658, 145.0155</t>
  </si>
  <si>
    <t>C4H5NS</t>
  </si>
  <si>
    <t>FT2810PR</t>
  </si>
  <si>
    <t>Threonylserine</t>
  </si>
  <si>
    <t>苏氨酰丝氨酸</t>
  </si>
  <si>
    <t>HMDB0029070</t>
  </si>
  <si>
    <t>61043-86-5</t>
  </si>
  <si>
    <t>C[C@@H](O)[C@H](N)C(=O)N[C@@H](CO)C(O)=O</t>
  </si>
  <si>
    <t>GXDLGHLJTHMDII-WISUUJSJSA-N</t>
  </si>
  <si>
    <t>C7H14N2O5</t>
  </si>
  <si>
    <t>FT0588PR</t>
  </si>
  <si>
    <t>N,N'-DIMETHYLTHIOUREA</t>
  </si>
  <si>
    <t>N,N'-二甲基硫脲</t>
  </si>
  <si>
    <t>HMDB0255274</t>
  </si>
  <si>
    <t>CNC(S)=NC</t>
  </si>
  <si>
    <t>VLCDUOXHFNUCKK-UHFFFAOYSA-N</t>
  </si>
  <si>
    <t>Thioureas</t>
  </si>
  <si>
    <t>硫脲类</t>
  </si>
  <si>
    <t>C3H8N2S</t>
  </si>
  <si>
    <t>FT2118NR</t>
  </si>
  <si>
    <t>Fukinanolide</t>
  </si>
  <si>
    <t>岩藻内酯</t>
  </si>
  <si>
    <t>HMDB0303560</t>
  </si>
  <si>
    <t>CC1CCCC2CC3(CC12C)C(=C)COC3=O</t>
  </si>
  <si>
    <t>OVXAYHNZXBOVPV-UHFFFAOYSA-N</t>
  </si>
  <si>
    <t>122.0248, 124.0876, 138.4511, 170.5253, 170.6953, 205.3929, 252.7919, 269.1307, 269.2109, 270.1327</t>
  </si>
  <si>
    <t>FT6790PR</t>
  </si>
  <si>
    <t>16-Acetylpriverogenin A</t>
  </si>
  <si>
    <t>16-乙酰丙酮原A</t>
  </si>
  <si>
    <t>HMDB0034529</t>
  </si>
  <si>
    <t>26339-85-5</t>
  </si>
  <si>
    <t>CC(=O)OC1CC2(C)C(=CCC3C4(C)CCC(O)C(C)(C)C4CCC23C)C2CC(C)(C)CC(O)C12C=O</t>
  </si>
  <si>
    <t>RVLOLIBRTUMCPC-UHFFFAOYSA-N</t>
  </si>
  <si>
    <t>C32H50O5</t>
  </si>
  <si>
    <t>FT1348NR</t>
  </si>
  <si>
    <t>(3S)-3-hydroxycyclocitral</t>
  </si>
  <si>
    <t>(3S)-3-羟基环柠檬醛</t>
  </si>
  <si>
    <t>HMDB0303972</t>
  </si>
  <si>
    <t>C19731</t>
  </si>
  <si>
    <t>[H][C@@]1(O)CC(C)=C(C=O)C(C)(C)C1</t>
  </si>
  <si>
    <t>SWPMTVXRLXPNDP-MRVPVSSYSA-N</t>
  </si>
  <si>
    <t>107.7223, 125.0970, 133.8682, 151.1127, 155.6724, 169.1229, 180.4077, 195.1031, 213.1136, 213.1482</t>
  </si>
  <si>
    <t>C10H16O2</t>
  </si>
  <si>
    <t>FT4150PR</t>
  </si>
  <si>
    <t>Coriandrone B</t>
  </si>
  <si>
    <t>芫荽酮B</t>
  </si>
  <si>
    <t>HMDB0037775</t>
  </si>
  <si>
    <t>139906-04-0</t>
  </si>
  <si>
    <t>COC1=C2CC(O)C(C)(C)OC2=C2C(=O)OC(C)CC2=C1</t>
  </si>
  <si>
    <t>BWHXOOBBSCGLBC-UHFFFAOYSA-N</t>
  </si>
  <si>
    <t>C16H20O5</t>
  </si>
  <si>
    <t>FT3575NR</t>
  </si>
  <si>
    <t>MG(0:0/22:2/0:0)</t>
  </si>
  <si>
    <t>甘油一酯(0:0/22:2/0:0)</t>
  </si>
  <si>
    <t>HMDB0011553</t>
  </si>
  <si>
    <t>[H]C(CO)(CO)OC(=O)CCCCCCCCCCC\C=C/C\C=C/CCCCC</t>
  </si>
  <si>
    <t>PFISEVUKDJTNGO-HZJYTTRNSA-N</t>
  </si>
  <si>
    <t>C25H46O4</t>
  </si>
  <si>
    <t>FT3909NR</t>
  </si>
  <si>
    <t>7beta,12alpha-Dihydroxy-3-oxo-5beta-cholestan-26-oic acid</t>
  </si>
  <si>
    <t>7β,12α-二羟基-3-氧代-5β-胆甾坦-26-油酸</t>
  </si>
  <si>
    <t>LMST04030049</t>
  </si>
  <si>
    <t>C1[C@]2(C)[C@@]3([H])C[C@H](O)[C@]4(C)[C@@]([H])([C@]([H])(C)CCCC(C)C(O)=O)CC[C@@]4([H])[C@]3([H])[C@@H](O)C[C@]2([H])CC(=O)C1</t>
  </si>
  <si>
    <t>IPDDUDDXZPWYCG-LKDFVFIKSA-N</t>
  </si>
  <si>
    <t>FT7902PR</t>
  </si>
  <si>
    <t>PC(22:5/20:1)</t>
  </si>
  <si>
    <t>磷脂酰胆碱(22:5/20:1)</t>
  </si>
  <si>
    <t>HMDB0008669</t>
  </si>
  <si>
    <t>CCCCCCCC\C=C/CCCCCCCCCC(=O)O[C@]([H])(COC(=O)CC\C=C/C\C=C/C\C=C/C\C=C/C\C=C/CCCCC)COP([O-])(=O)OCC[N+](C)(C)C</t>
  </si>
  <si>
    <t>GSPUWDQBHFMAQP-IVXDRBJVSA-N</t>
  </si>
  <si>
    <t>193.7445, 261.2420, 261.9543, 302.7103, 454.2918, 472.2231, 472.3029, 472.3804, 473.3067, 884.6065</t>
  </si>
  <si>
    <t>C50H88NO8P</t>
  </si>
  <si>
    <t>FT5505PR</t>
  </si>
  <si>
    <t>Corchoionol C 9-glucoside</t>
  </si>
  <si>
    <t>科乔木酚 C 9-葡萄糖苷</t>
  </si>
  <si>
    <t>HMDB0029772</t>
  </si>
  <si>
    <t>CC(OC1OC(CO)C(O)C(O)C1O)\C=C\C1(O)C(C)=CC(=O)CC1(C)C</t>
  </si>
  <si>
    <t>SWYRVCGNMNAFEK-AATRIKPKSA-N</t>
  </si>
  <si>
    <t>C19H30O8</t>
  </si>
  <si>
    <t>FT3380NR</t>
  </si>
  <si>
    <t>Annocherin A</t>
  </si>
  <si>
    <t>安诺舍林A</t>
  </si>
  <si>
    <t>HMDB0033399</t>
  </si>
  <si>
    <t>218281-62-0</t>
  </si>
  <si>
    <t>CC(=O)OCC1(O)CC23CC1CCC2C1(C)CCCC(C)(COC(C)=O)C1CC3</t>
  </si>
  <si>
    <t>OQDCKOUFTOKDOD-UHFFFAOYSA-N</t>
  </si>
  <si>
    <t>205.3842, 205.4048, 243.1351, 275.1257, 300.2620, 302.6923, 375.2154, 387.2509, 388.2602, 412.0125</t>
  </si>
  <si>
    <t>C24H38O5</t>
  </si>
  <si>
    <t>FT3581PR</t>
  </si>
  <si>
    <t>Sugeonyl acetate</t>
  </si>
  <si>
    <t>乙酸苏吉尼酯</t>
  </si>
  <si>
    <t>C17506</t>
  </si>
  <si>
    <t>CC1CCC2C(C3=C(C(=O)CC13C2(C)C)C)OC(=O)C</t>
  </si>
  <si>
    <t>FHGRIGPOCXOGPU-LUBMOKJXSA-N</t>
  </si>
  <si>
    <t>FT3927NR</t>
  </si>
  <si>
    <t>Deoxycholylglycine</t>
  </si>
  <si>
    <t>脱氧胆甘氨酸</t>
  </si>
  <si>
    <t>HMDB0242414</t>
  </si>
  <si>
    <t>CC(CCC(=O)NCC(O)=O)C1CCC2C3CCC4CC(O)CCC4(C)C3CC(O)C12C</t>
  </si>
  <si>
    <t>WVULKSPCQVQLCU-UHFFFAOYSA-N</t>
  </si>
  <si>
    <t>196.8543, 205.3860, 205.4084, 284.0483, 302.6813, 312.6053, 387.1194, 402.2989, 448.3063, 449.3146</t>
  </si>
  <si>
    <t>FT3032PR</t>
  </si>
  <si>
    <t>(2S)-2-(4-Chloroanilino)propanoic acid</t>
  </si>
  <si>
    <t>（2S）-2-[（4-氯苯基）氨基]丙酸</t>
  </si>
  <si>
    <t>HMDB0243595</t>
  </si>
  <si>
    <t>CC(NC1=CC=C(Cl)C=C1)C(O)=O</t>
  </si>
  <si>
    <t>LKAFPNQADHUXMM-UHFFFAOYSA-N</t>
  </si>
  <si>
    <t>C9H10ClNO2</t>
  </si>
  <si>
    <t>FT2730NR</t>
  </si>
  <si>
    <t>4-Hydroxyifosfamide</t>
  </si>
  <si>
    <t>4-羟基异环磷酰胺</t>
  </si>
  <si>
    <t>HMDB0013861</t>
  </si>
  <si>
    <t>C16553</t>
  </si>
  <si>
    <t>67292-64-2</t>
  </si>
  <si>
    <t>OC1CCOP(=O)(NCCCl)N1CCCl</t>
  </si>
  <si>
    <t>JHUJMHKRHQPBRG-UHFFFAOYSA-N</t>
  </si>
  <si>
    <t>Oxazaphosphinanes</t>
  </si>
  <si>
    <t>Isofamides</t>
  </si>
  <si>
    <t>氧氮杂膦类</t>
  </si>
  <si>
    <t>异磷酰胺</t>
  </si>
  <si>
    <t>117.0644, 121.1775, 124.4302, 158.0007, 174.9979, 185.0427, 205.3933, 219.7355, 253.0310, 281.0290</t>
  </si>
  <si>
    <t>C7H15Cl2N2O3P</t>
  </si>
  <si>
    <t>FT2710PR</t>
  </si>
  <si>
    <t>(3R,4R,5R)-1,3,4,5,6-Pentahydroxyhexan-2-one</t>
  </si>
  <si>
    <t>(3R,4R,5R)-1,3,4,5,6-五羟基己烷-2-酮</t>
  </si>
  <si>
    <t>HMDB0246950</t>
  </si>
  <si>
    <t>C01452</t>
  </si>
  <si>
    <t>OCC(O)C(O)C(O)C(=O)CO</t>
  </si>
  <si>
    <t>BJHIKXHVCXFQLS-UHFFFAOYSA-N</t>
  </si>
  <si>
    <t>171.9921, 174.9931, 175.1475, 179.9710, 203.0521, 203.0733, 203.1049, 203.1426, 203.1787, 204.1390</t>
  </si>
  <si>
    <t>FT4781PR</t>
  </si>
  <si>
    <t>5-(2R-hydroxy-pentadecyl)resorcinol</t>
  </si>
  <si>
    <t>5-(2R-羟基十五烷基)间苯二酚</t>
  </si>
  <si>
    <t>LMPK15030042</t>
  </si>
  <si>
    <t>C1(O)C=C(C[C@H](O)CCCCCCCCCCCCC)C=C(O)C=1</t>
  </si>
  <si>
    <t>IYXFMXYFVCIIAN-LJQANCHMSA-N</t>
  </si>
  <si>
    <t>205.3924, 205.4153, 213.0434, 263.2354, 319.2629, 335.7183, 337.1743, 337.2730, 338.2754, 338.8396</t>
  </si>
  <si>
    <t>C21H36O3</t>
  </si>
  <si>
    <t>FT2668NR</t>
  </si>
  <si>
    <t>Arabinosylhypoxanthine</t>
  </si>
  <si>
    <t>阿糖肌苷</t>
  </si>
  <si>
    <t>HMDB0003040</t>
  </si>
  <si>
    <t>7013-16-3</t>
  </si>
  <si>
    <t>OC[C@H]1OC([C@@H](O)[C@@H]1O)N1C=NC2=C1NC=NC2=O</t>
  </si>
  <si>
    <t>UGQMRVRMYYASKQ-KBNQYOMWSA-N</t>
  </si>
  <si>
    <t>91.0218, 93.0010, 187.8117, 205.3816, 205.4013, 231.7524, 297.0483, 303.5343, 313.2370, 315.0574</t>
  </si>
  <si>
    <t>FT1437PR</t>
  </si>
  <si>
    <t>3-Hydroxyquinolin-2(1h)-One</t>
  </si>
  <si>
    <t>3-羟基喹啉-2(1h)-酮</t>
  </si>
  <si>
    <t>HMDB0245908</t>
  </si>
  <si>
    <t>OC1=CC2=CC=CC=C2N=C1O</t>
  </si>
  <si>
    <t>BERPCVULMUPOER-UHFFFAOYSA-N</t>
  </si>
  <si>
    <t>C9H7NO2</t>
  </si>
  <si>
    <t>FT1983NR</t>
  </si>
  <si>
    <t>5-Methylthioribulose 1-phosphate</t>
  </si>
  <si>
    <t>5-甲基硫核酮糖1-磷酸</t>
  </si>
  <si>
    <t>HMDB0001299</t>
  </si>
  <si>
    <t>C04582</t>
  </si>
  <si>
    <t>86316-83-8</t>
  </si>
  <si>
    <t>CSC[C@@H](O)[C@@H](O)C(=O)COP(O)(O)=O</t>
  </si>
  <si>
    <t>CNSJRYUMVMWNMC-RITPCOANSA-N</t>
  </si>
  <si>
    <t>C6H13O7PS</t>
  </si>
  <si>
    <t>FT2305PR</t>
  </si>
  <si>
    <t>3-amino-octanoic acid</t>
  </si>
  <si>
    <t>3-氨基辛酸</t>
  </si>
  <si>
    <t>LMFA01100020</t>
  </si>
  <si>
    <t>C(CC(N)CCCCC)(=O)O</t>
  </si>
  <si>
    <t>FYHHDJRMDOBZJF-UHFFFAOYSA-N</t>
  </si>
  <si>
    <t>FT5115PR</t>
  </si>
  <si>
    <t>1-O-(2-methoxy-4-hexadecenyl)-sn-glycerol</t>
  </si>
  <si>
    <t>1-O-(2-甲氧基-4-十六烯基)-sn-甘油</t>
  </si>
  <si>
    <t>LMGL01020038</t>
  </si>
  <si>
    <t>C(=C/CCCCCCCCCCC)/CC(OC)COC[C@@](O)(CO)[H]</t>
  </si>
  <si>
    <t>VFDINTHTYMZZND-LGDHRSLRSA-N</t>
  </si>
  <si>
    <t>134.9698, 157.2555, 207.9994, 255.1222, 279.7532, 287.1576, 331.2617, 367.1342, 367.2451, 368.2488</t>
  </si>
  <si>
    <t>C20H40O4</t>
  </si>
  <si>
    <t>FT2907NR</t>
  </si>
  <si>
    <t>(2R,3R)-3,5,7,3',5'-Pentahydroxyflavan</t>
  </si>
  <si>
    <t>(2R,3R)-3,5,7,3',5'-五羟基黄烷</t>
  </si>
  <si>
    <t>LMPK12020024</t>
  </si>
  <si>
    <t>C1(O)C=C2O[C@H](C3C=C(O)C=C(O)C=3)[C@H](O)CC2=C(O)C=1</t>
  </si>
  <si>
    <t>MKXNQWPXEHIMRX-UKRRQHHQSA-N</t>
  </si>
  <si>
    <t>Flavans</t>
  </si>
  <si>
    <t>黄烷</t>
  </si>
  <si>
    <t>129.0549, 183.0295, 196.3327, 199.0592, 205.3872, 231.0240, 266.9933, 335.0389, 335.0814, 347.2586</t>
  </si>
  <si>
    <t>C15H14O6</t>
  </si>
  <si>
    <t>FT4581NR</t>
  </si>
  <si>
    <t>Genistein sulfate</t>
  </si>
  <si>
    <t>硫酸金雀异黄酮</t>
  </si>
  <si>
    <t>HMDB0242177</t>
  </si>
  <si>
    <t>[H]C1(CO)O[C@@]([H])(OC2=C3OS(=O)(=O)OC4=C(C(=O)C(=C3O)C(O4)=C2)C2=CC=C(O)C=C2)C([H])(O)C([H])(O)[C@]1([H])O</t>
  </si>
  <si>
    <t>VTCHIESVVACVBD-DMKRFUROSA-N</t>
  </si>
  <si>
    <t>Isoflavonoid O-glycosides</t>
  </si>
  <si>
    <t>异黄酮O-苷</t>
  </si>
  <si>
    <t>94.0657, 131.2569, 167.6859, 269.0451, 269.0770, 349.0028, 525.0333, 526.0341, 526.2073, 533.4082</t>
  </si>
  <si>
    <t>C21H18O14S</t>
  </si>
  <si>
    <t>FT3608PR</t>
  </si>
  <si>
    <t>2-(1-sec-Butoxycarbonyl-2-piperidyl)acetic acid</t>
  </si>
  <si>
    <t>2-(1-仲丁氧羰基-2-哌啶基)乙酸</t>
  </si>
  <si>
    <t>CCC(C)OC(=O)N1CCCCC1CC(=O)O</t>
  </si>
  <si>
    <t>OMRINPAHALFCIC-UHFFFAOYSA-N</t>
  </si>
  <si>
    <t>164.9297, 175.0468, 179.7665, 189.0611, 203.0394, 261.0452, 261.1291, 261.1795, 262.1291, 262.1635</t>
  </si>
  <si>
    <t>FT2696NR</t>
  </si>
  <si>
    <t>Cappariloside A</t>
  </si>
  <si>
    <t>卡帕里洛苷A</t>
  </si>
  <si>
    <t>HMDB0034937</t>
  </si>
  <si>
    <t>229483-41-4</t>
  </si>
  <si>
    <t>OCC1OC(OC2=CC=CC3=C2C(CC#N)=CN3)C(O)C(O)C1O</t>
  </si>
  <si>
    <t>ZVFUTZQNUQUJLW-UHFFFAOYSA-N</t>
  </si>
  <si>
    <t>C16H18N2O6</t>
  </si>
  <si>
    <t>FT3417PR</t>
  </si>
  <si>
    <t>12-methoxyherbertene-1,2-diol</t>
  </si>
  <si>
    <t>12-甲氧基山伯烯-1,2-二醇</t>
  </si>
  <si>
    <t>LMPR0103160004</t>
  </si>
  <si>
    <t>C1(O)=CC(COC)=CC([C@@]2(C)CCCC2(C)C)=C1O</t>
  </si>
  <si>
    <t>WBWSSBOUYGDHAI-MRXNPFEDSA-N</t>
  </si>
  <si>
    <t>FT1929PR</t>
  </si>
  <si>
    <t>1-Pyrimidinylpiperazine</t>
  </si>
  <si>
    <t>丁螺环酮EP杂质A</t>
  </si>
  <si>
    <t>HMDB0061017</t>
  </si>
  <si>
    <t>20980-22-7</t>
  </si>
  <si>
    <t>C1CN(CCN1)C1=NC=CC=N1</t>
  </si>
  <si>
    <t>MRBFGEHILMYPTF-UHFFFAOYSA-N</t>
  </si>
  <si>
    <t>Diazinanes</t>
  </si>
  <si>
    <t>Piperazines</t>
  </si>
  <si>
    <t>二嗪烷类</t>
  </si>
  <si>
    <t>哌嗪类</t>
  </si>
  <si>
    <t>165.0440, 165.0644, 165.0774, 165.0895, 165.1127, 165.1259, 166.0977, 166.1227, 166.7632, 171.0638</t>
  </si>
  <si>
    <t>C8H12N4</t>
  </si>
  <si>
    <t>FT6257PR</t>
  </si>
  <si>
    <t>(-)-Epigallocatechin 3-glucuronide</t>
  </si>
  <si>
    <t>(-)-表没食子儿茶素-3-葡萄糖醛酸苷</t>
  </si>
  <si>
    <t>HMDB0041639</t>
  </si>
  <si>
    <t>O[C@@H]1[C@@H](O)[C@H](O[C@@H]2CC3=C(O[C@@H]2C2=CC(O)=C(O)C(O)=C2)C=C(O)C=C3O)O[C@@H]([C@H]1O)C(O)=O</t>
  </si>
  <si>
    <t>ZTOAOZDTXSRHIB-BBGDWMAASA-N</t>
  </si>
  <si>
    <t>C21H22O13</t>
  </si>
  <si>
    <t>FT2588NR</t>
  </si>
  <si>
    <t>2R-HpOTrE</t>
  </si>
  <si>
    <t>2R-氢过氧十八碳三烯酸</t>
  </si>
  <si>
    <t>LMFA02000031</t>
  </si>
  <si>
    <t>C([C@H](OO)CCCCCC/C=C\C/C=C(/O)\C/C=C\CC)(=O)O</t>
  </si>
  <si>
    <t>JFASLUAXMZUDIC-HWVTWIRUSA-N</t>
  </si>
  <si>
    <t>C18H30O5</t>
  </si>
  <si>
    <t>FT5516PR</t>
  </si>
  <si>
    <t>Heteranthin</t>
  </si>
  <si>
    <t>菊花素</t>
  </si>
  <si>
    <t>LMPR01070602</t>
  </si>
  <si>
    <t>C1(C)(C)[C@H](/C=C/C(/C)=C/C=C/C(/C)=C/C=C/C=C(\C)/C(=O)OC)C(C)=CC(=O)C1</t>
  </si>
  <si>
    <t>NRLVZXUWVPUCFW-WFCITUQGSA-N</t>
  </si>
  <si>
    <t>239.1788, 241.1584, 241.1946, 263.1786, 293.2256, 295.2048, 295.2416, 319.2415, 337.2518, 412.2837</t>
  </si>
  <si>
    <t>C26H34O3</t>
  </si>
  <si>
    <t>FT7165PR</t>
  </si>
  <si>
    <t>Withanoside XI</t>
  </si>
  <si>
    <t>茄苷XI</t>
  </si>
  <si>
    <t>LMST01160029</t>
  </si>
  <si>
    <t>O1C(=O)C(CO)=C(C)C[C@]1([H])[C@](O)([C@]1([H])[C@@]2(C)CC[C@@]3([H])[C@@]([H])(CC=C4C[C@@H](O[C@H]5[C@H](O)[C@@H](O)[C@H](O)[C@@H](CO)O5)C[C@H](O)[C@@]43C)[C@]2([H])CC1)C</t>
  </si>
  <si>
    <t>PPVGSQLWWLPFCH-MESVUKEDSA-N</t>
  </si>
  <si>
    <t>240.2709, 292.1637, 302.7090, 371.3796, 461.3245, 472.5199, 570.9052, 637.3588, 638.3601, 667.1029</t>
  </si>
  <si>
    <t>C34H52O11</t>
  </si>
  <si>
    <t>FT5590PR</t>
  </si>
  <si>
    <t>1-Cyclopropyl-3-(3-(5-(morpholinomethyl)-1H-benzo[d]imidazol-2-yl)-1H-pyrazol-4-yl)urea</t>
  </si>
  <si>
    <t>1-环丙基-3-(3-(5-(吗啉代甲基)-1H-苯并[d]咪唑-2-基)-1H-吡唑-4-基)脲</t>
  </si>
  <si>
    <t>HMDB0248690</t>
  </si>
  <si>
    <t>O=C(NC1CC1)NC1=C(NN=C1)C1=NC2=C(N1)C=C(CN1CCOCC1)C=C2</t>
  </si>
  <si>
    <t>LOLPPWBBNUVNQZ-UHFFFAOYSA-N</t>
  </si>
  <si>
    <t>110.9260, 119.9933, 178.3814, 191.4642, 290.9864, 299.1386, 302.6952, 324.3025, 403.1112, 420.1406</t>
  </si>
  <si>
    <t>C19H23N7O2</t>
  </si>
  <si>
    <t>FT5451PR</t>
  </si>
  <si>
    <t>1alpha,2alpha,25-trihydroxy-19-norvitamin D3</t>
  </si>
  <si>
    <t>1α,2α,25-三羟基-19-去甲维生素 D3</t>
  </si>
  <si>
    <t>LMST03020547</t>
  </si>
  <si>
    <t>[C@@H]1(O)C/C(=C\C=C2\[C@]3([H])CC[C@@]([C@@](C)([H])CCCC(O)(C)C)([H])[C@@]3(C)CCC\2)/C[C@@H](O)[C@@H]1O</t>
  </si>
  <si>
    <t>CAGYDFRJDSWOLS-YUAOTPKASA-N</t>
  </si>
  <si>
    <t>FT3938NR</t>
  </si>
  <si>
    <t>Uridine 5'-diphosphate</t>
  </si>
  <si>
    <t>尿苷 5'-二磷酸</t>
  </si>
  <si>
    <t>HMDB0000295</t>
  </si>
  <si>
    <t>C00015</t>
  </si>
  <si>
    <t>R-HSA-1430728,R-HSA-1474244,R-HSA-1474290,R-HSA-156580,R-HSA-156588,R-HSA-157118,R-HSA-162582,R-HSA-1643685,R-HSA-1650814,R-HSA-189445,R-HSA-189483,R-HSA-1912399,R-HSA-1912422,R-HSA-211859,R-HSA-392499,R-HSA-5173105,R-HSA-5173214,R-HSA-5663205,R-HSA-597592,R-HSA-9678108,R-HSA-9679506,R-HSA-9683673,R-HSA-9683686,R-HSA-9683701,R-HSA-9694516,R-HSA-9694635,R-HSA-9694719,R-HSA-9748784,R-HSA-9749641,R-HSA-9772573,R-HSA-9824446</t>
  </si>
  <si>
    <t>Metabolism|Extracellular matrix organization|Collagen formation|Phase II - Conjugation of compounds|Glucuronidation|Signaling by NOTCH|Signal Transduction|Disease|Collagen biosynthesis and modifying enzymes|Metabolism of porphyrins|Heme degradation|Pre-NOTCH Processing in the Endoplasmic Reticulum|Pre-NOTCH Expression and Processing|Biological oxidations|Metabolism of proteins|O-linked glycosylation|O-glycosylation of TSR domain-containing proteins|Infectious disease|Post-translational protein modification|SARS-CoV-1 Infection|SARS-CoV Infections|Maturation of protein 3a|Maturation of spike protein|Translation of Structural Proteins|SARS-CoV-2 Infection|Translation of Structural Proteins|Maturation of protein 3a|Drug ADME|Aspirin ADME|Late SARS-CoV-2 Infection Events|Viral Infection Pathways</t>
  </si>
  <si>
    <t>58-98-0</t>
  </si>
  <si>
    <t>O[C@H]1[C@@H](O)[C@@H](O[C@@H]1COP(O)(=O)OP(O)(O)=O)N1C=CC(=O)NC1=O</t>
  </si>
  <si>
    <t>XCCTYIAWTASOJW-XVFCMESISA-N</t>
  </si>
  <si>
    <t>Pyrimidine ribonucleotides</t>
  </si>
  <si>
    <t>嘧啶核糖核苷酸</t>
  </si>
  <si>
    <t>C9H14N2O12P2</t>
  </si>
  <si>
    <t>FT2412PR</t>
  </si>
  <si>
    <t>6-Chloro-N-(1-methylethyl)-1,3,5-triazine-2,4-diamine</t>
  </si>
  <si>
    <t>二丁基阿特拉津</t>
  </si>
  <si>
    <t>HMDB0033249</t>
  </si>
  <si>
    <t>C06559</t>
  </si>
  <si>
    <t>6190-65-4</t>
  </si>
  <si>
    <t>CC(C)NC1=NC(N)=NC(Cl)=N1</t>
  </si>
  <si>
    <t>DFWFIQKMSFGDCQ-UHFFFAOYSA-N</t>
  </si>
  <si>
    <t>Triazines</t>
  </si>
  <si>
    <t>Aminotriazines</t>
  </si>
  <si>
    <t>三嗪类</t>
  </si>
  <si>
    <t>氨基三嗪类</t>
  </si>
  <si>
    <t>164.9415, 170.0598, 181.9517, 182.9527, 187.4252, 188.0304, 188.0703, 188.1222, 188.7188, 188.7385</t>
  </si>
  <si>
    <t>C6H10ClN5</t>
  </si>
  <si>
    <t>FT6599PR</t>
  </si>
  <si>
    <t>Deoxycholylcysteine</t>
  </si>
  <si>
    <t>脱氧胆酰半胱氨酸</t>
  </si>
  <si>
    <t>HMDB0242415</t>
  </si>
  <si>
    <t>CC(CCC(=O)NC(CS)C(O)=O)C1CCC2C3CCC4CC(O)CCC4(C)C3CC(O)C12C</t>
  </si>
  <si>
    <t>CBETXCRGHYBMPS-UHFFFAOYSA-N</t>
  </si>
  <si>
    <t>C27H45NO5S</t>
  </si>
  <si>
    <t>FT4458NR</t>
  </si>
  <si>
    <t>Bis(2-hydroxyethyl) terephthalate</t>
  </si>
  <si>
    <t>双(2-羟基乙基)对苯二甲酸酯</t>
  </si>
  <si>
    <t>HMDB0249245</t>
  </si>
  <si>
    <t>OCCOC(=O)C1=CC=C(C=C1)C(=O)OCCO</t>
  </si>
  <si>
    <t>QPKOBORKPHRBPS-UHFFFAOYSA-N</t>
  </si>
  <si>
    <t>C12H14O6</t>
  </si>
  <si>
    <t>FT5506PR</t>
  </si>
  <si>
    <t>Icotinib</t>
  </si>
  <si>
    <t>埃克替尼</t>
  </si>
  <si>
    <t>HMDB0253369</t>
  </si>
  <si>
    <t>C#CC1=CC=CC(NC2=NC=NC3=CC4=C(OCCOCCOCCO4)C=C23)=C1</t>
  </si>
  <si>
    <t>QQLKULDARVNMAL-UHFFFAOYSA-N</t>
  </si>
  <si>
    <t>Diazanaphthalenes</t>
  </si>
  <si>
    <t>Benzodiazines</t>
  </si>
  <si>
    <t>二氮杂萘</t>
  </si>
  <si>
    <t>苯并二嗪类</t>
  </si>
  <si>
    <t>147.3366, 188.0703, 188.0890, 205.0969, 205.1176, 205.4082, 219.9309, 285.6440, 320.3438, 422.9208</t>
  </si>
  <si>
    <t>C22H21N3O4</t>
  </si>
  <si>
    <t>FT5268PR</t>
  </si>
  <si>
    <t>Gln-Pro-Leu</t>
  </si>
  <si>
    <t>谷氨酰胺酰-脯氨酰-亮氨酸</t>
  </si>
  <si>
    <t>CC(C)CC(C(=O)O)NC(=O)C1CCCN1C(=O)C(CCC(=O)N)N</t>
  </si>
  <si>
    <t>XQDGOJPVMSWZSO-SRVKXCTJSA-N</t>
  </si>
  <si>
    <t>C16H28N4O5</t>
  </si>
  <si>
    <t>FT4557NR</t>
  </si>
  <si>
    <t>PS(18:2/0:0)</t>
  </si>
  <si>
    <t>磷脂酰丝氨酸(18:2/0:0)</t>
  </si>
  <si>
    <t>HMDB0240604</t>
  </si>
  <si>
    <t>LMGP03050011</t>
  </si>
  <si>
    <t>1218913-82-6</t>
  </si>
  <si>
    <t>C(O)(=O)[C@@]([H])(N)COP(OC[C@]([H])(O)COC(CCCCCCC/C=C\C/C=C\CCCCC)=O)(=O)O</t>
  </si>
  <si>
    <t>HLISFLFEEBTXRV-FRZHUQNDSA-N</t>
  </si>
  <si>
    <t>C24H44NO9P</t>
  </si>
  <si>
    <t>FT2979PR</t>
  </si>
  <si>
    <t>5-Pentyltetrahydro-2-oxo-3-furancarboxylic acid</t>
  </si>
  <si>
    <t>5-戊基四氢-2-氧代-3-呋喃甲酸</t>
  </si>
  <si>
    <t>HMDB0030989</t>
  </si>
  <si>
    <t>CCCCCC1CC(C(O)=O)C(=O)O1</t>
  </si>
  <si>
    <t>RXLCOVRNIXYZMX-UHFFFAOYSA-N</t>
  </si>
  <si>
    <t>205.3924, 217.3101, 217.3310, 218.0740, 218.1384, 218.1872, 218.9488, 219.1410, 219.1746, 228.1294</t>
  </si>
  <si>
    <t>FT2866NR</t>
  </si>
  <si>
    <t>Lonchocarpan</t>
  </si>
  <si>
    <t>隆乔卡潘</t>
  </si>
  <si>
    <t>LMPK12080035</t>
  </si>
  <si>
    <t>C1(O)C=CC2CC(C3C(OC)=CC(O)=C(OC)C=3OC)COC=2C=1</t>
  </si>
  <si>
    <t>PBWGVJJXWOVHFM-UHFFFAOYSA-N</t>
  </si>
  <si>
    <t>O-methylated isoflavonoids</t>
  </si>
  <si>
    <t xml:space="preserve"> O-甲基化异黄酮</t>
  </si>
  <si>
    <t>137.1671, 149.0607, 194.9238, 203.2494, 219.1391, 263.1283, 266.0784, 285.1098, 302.6903, 331.1154</t>
  </si>
  <si>
    <t>C18H20O6</t>
  </si>
  <si>
    <t>FT6781PR</t>
  </si>
  <si>
    <t>LysoPG(20:3/0:0)</t>
  </si>
  <si>
    <t>溶血磷脂酰甘油(20:3/0:0)</t>
  </si>
  <si>
    <t>CC\C=C/C\C=C/C\C=C/CCCCCCCCCC(=O)OCC(O)COP(O)(=O)OCC(O)CO</t>
  </si>
  <si>
    <t>DOAHYXIAGJMIQT-PDBXOOCHNA-N</t>
  </si>
  <si>
    <t>551.8315, 552.3293, 552.8319, 552.9332, 553.3249, 578.2894, 579.2932, 580.2898, 581.2899, 1115.0034</t>
  </si>
  <si>
    <t>C26H47O9P</t>
  </si>
  <si>
    <t>FT4457PR</t>
  </si>
  <si>
    <t>11beta-Hydroxyprogesterone</t>
  </si>
  <si>
    <t>11β-羟孕酮</t>
  </si>
  <si>
    <t>HMDB0004031</t>
  </si>
  <si>
    <t>LMST02030168</t>
  </si>
  <si>
    <t>C05498</t>
  </si>
  <si>
    <t>600-57-7</t>
  </si>
  <si>
    <t>C1CC2[C@@](C)([C@@]3([H])[C@@H](O)C[C@@]4([C@H](CC[C@@]4([H])[C@]13[H])C(=O)C)C)CCC(=O)C=2</t>
  </si>
  <si>
    <t>BFZHCUBIASXHPK-ATWVFEABSA-N</t>
  </si>
  <si>
    <t>FT2527PR</t>
  </si>
  <si>
    <t>Alanylserine</t>
  </si>
  <si>
    <t>丙氨酰丝氨酸</t>
  </si>
  <si>
    <t>HMDB0028696</t>
  </si>
  <si>
    <t>3303-41-1</t>
  </si>
  <si>
    <t>C[C@H](N)C(=O)N[C@@H](CO)C(O)=O</t>
  </si>
  <si>
    <t>IPWKGIFRRBGCJO-IMJSIDKUSA-N</t>
  </si>
  <si>
    <t>FT2626NR</t>
  </si>
  <si>
    <t>Histidylarginine</t>
  </si>
  <si>
    <t>组酰精氨酸</t>
  </si>
  <si>
    <t>HMDB0028879</t>
  </si>
  <si>
    <t>77369-21-2</t>
  </si>
  <si>
    <t>N[C@@H](CC1=CN=CN1)C(=O)N[C@@H](CCCNC(N)=N)C(O)=O</t>
  </si>
  <si>
    <t>NIKBMHGRNAPJFW-IUCAKERBSA-N</t>
  </si>
  <si>
    <t>174.9563, 181.1594, 205.3927, 206.8471, 224.1680, 225.1493, 242.1757, 264.1578, 265.1635, 310.1648</t>
  </si>
  <si>
    <t>C12H21N7O3</t>
  </si>
  <si>
    <t>FT3827NR</t>
  </si>
  <si>
    <t>N-Palmitoyl Histidine</t>
  </si>
  <si>
    <t>N-棕榈酰组氨酸</t>
  </si>
  <si>
    <t>HMDB0241926</t>
  </si>
  <si>
    <t>CCCCCCCCCCCCCCCC(=O)NC(CC1=CN=CN1)C(O)=O</t>
  </si>
  <si>
    <t>XHUZOURAPKCNRA-UHFFFAOYSA-N</t>
  </si>
  <si>
    <t>C22H39N3O3</t>
  </si>
  <si>
    <t>FT0829PR</t>
  </si>
  <si>
    <t>Benzofuran</t>
  </si>
  <si>
    <t>2,3-苯并呋喃</t>
  </si>
  <si>
    <t>HMDB0032929</t>
  </si>
  <si>
    <t>C14512</t>
  </si>
  <si>
    <t>271-89-6</t>
  </si>
  <si>
    <t>O1C=CC2=C1C=CC=C2</t>
  </si>
  <si>
    <t>IANQTJSKSUMEQM-UHFFFAOYSA-N</t>
  </si>
  <si>
    <t>Benzofurans</t>
  </si>
  <si>
    <t>苯并呋喃类</t>
  </si>
  <si>
    <t>109.0648, 115.4934, 119.0492, 119.0588, 119.0689, 119.0851, 120.0445, 120.0550, 120.0810, 128.9617</t>
  </si>
  <si>
    <t>C8H6O</t>
  </si>
  <si>
    <t>FT4877NR</t>
  </si>
  <si>
    <t>2,5-Diaminopyrimidine nucleoside triphosphate</t>
  </si>
  <si>
    <t>2,5-二氨基嘧啶核苷三磷酸</t>
  </si>
  <si>
    <t>HMDB0006821</t>
  </si>
  <si>
    <t>C05923</t>
  </si>
  <si>
    <t>hsa00790</t>
  </si>
  <si>
    <t>Folate biosynthesis</t>
  </si>
  <si>
    <t>NC1=NC(N[C@@H]2O[C@H](COP(O)(=O)OP(O)(=O)OP(O)(O)=O)[C@@H](O)[C@H]2O)=C(N)C(=O)N1</t>
  </si>
  <si>
    <t>CRXOALRUOMUPMC-UMMCILCDSA-N</t>
  </si>
  <si>
    <t>111.0079, 191.0204, 208.0306, 221.1578, 284.1148, 296.4644, 302.6778, 302.7095, 343.9942, 558.0039</t>
  </si>
  <si>
    <t>C9H18N5O14P3</t>
  </si>
  <si>
    <t>FT4744NR</t>
  </si>
  <si>
    <t>E-Petromylidene B</t>
  </si>
  <si>
    <t>E-亚石油基B</t>
  </si>
  <si>
    <t>LMST04010451</t>
  </si>
  <si>
    <t>C1/C(=C\C2=CC=CC=C2)/C(=O)C[C@]2([H])C[C@@H](O)[C@@]3([H])[C@]4([H])CC[C@H]([C@H](C)CCCOS(O)(=O)=O)[C@@]4(C)[C@@H](O)C[C@]3([H])[C@@]12C</t>
  </si>
  <si>
    <t>ONEUIDDHJDKZIJ-OOJMVHTQSA-N</t>
  </si>
  <si>
    <t>C31H44O7S</t>
  </si>
  <si>
    <t>FT5118PR</t>
  </si>
  <si>
    <t>3-hydroxyundecanoyl carnitine</t>
  </si>
  <si>
    <t>3-羟基十一碳酰肉碱</t>
  </si>
  <si>
    <t>HMDB0061637</t>
  </si>
  <si>
    <t>CCCCCCCCC(O)CC(=O)OC(CC([O-])=O)C[N+](C)(C)C</t>
  </si>
  <si>
    <t>WJHMEFKQZOKPMH-UHFFFAOYSA-N</t>
  </si>
  <si>
    <t>C18H35NO5</t>
  </si>
  <si>
    <t>FT2495PR</t>
  </si>
  <si>
    <t>N-Carboxyethyl-g-aminobutyric acid</t>
  </si>
  <si>
    <t>4-(2-甲酸基-乙基氨基)-丁酸</t>
  </si>
  <si>
    <t>HMDB0002201</t>
  </si>
  <si>
    <t>4386-03-2</t>
  </si>
  <si>
    <t>OC(=O)CCCNCCC(O)=O</t>
  </si>
  <si>
    <t>SRGQUICKDUQCKO-UHFFFAOYSA-N</t>
  </si>
  <si>
    <t>FT5532PR</t>
  </si>
  <si>
    <t>estradiol cypionate</t>
  </si>
  <si>
    <t>环丙酸雌二醇</t>
  </si>
  <si>
    <t>HMDB0251962</t>
  </si>
  <si>
    <t>CC12CCC3C(CCC4=CC(O)=CC=C34)C1CCC2OC(=O)CCC1CCCC1</t>
  </si>
  <si>
    <t>UOACKFBJUYNSLK-UHFFFAOYSA-N</t>
  </si>
  <si>
    <t>243.2100, 252.1589, 264.1586, 278.1756, 304.1896, 321.2574, 332.2212, 339.2676, 414.2995, 415.3036</t>
  </si>
  <si>
    <t>C26H36O3</t>
  </si>
  <si>
    <t>FT4518PR</t>
  </si>
  <si>
    <t>Isoleucyl-Tyrosine</t>
  </si>
  <si>
    <t>异亮氨酰-酪氨酸</t>
  </si>
  <si>
    <t>HMDB0028919</t>
  </si>
  <si>
    <t>CCC(C)C(N)C(=O)NC(CC1=CC=C(O)C=C1)C(O)=O</t>
  </si>
  <si>
    <t>MUFXDFWAJSPHIQ-UHFFFAOYSA-N</t>
  </si>
  <si>
    <t>240.1021, 254.1189, 268.0835, 274.0081, 282.1118, 299.1398, 316.9778, 317.1153, 317.1494, 317.2434</t>
  </si>
  <si>
    <t>C15H22N2O4</t>
  </si>
  <si>
    <t>FT3529NR</t>
  </si>
  <si>
    <t>3-(1-Hydroxymethyl-1-propenyl)pentanedioic acid</t>
  </si>
  <si>
    <t>3-(1-羟甲基-1-丙烯基)戊二酸</t>
  </si>
  <si>
    <t>HMDB0033092</t>
  </si>
  <si>
    <t>C\C=C(/CO)C(CC(O)=O)CC(O)=O</t>
  </si>
  <si>
    <t>FUMUSIMACHNZQF-QHHAFSJGSA-N</t>
  </si>
  <si>
    <t>C9H14O5</t>
  </si>
  <si>
    <t>FT0145PR</t>
  </si>
  <si>
    <t>Urea</t>
  </si>
  <si>
    <t>HMDB0000294</t>
  </si>
  <si>
    <t>C00086</t>
  </si>
  <si>
    <t>hsa00220,hsa00230,hsa00240,hsa00330,hsa00780,hsa02010,hsa05120</t>
  </si>
  <si>
    <t>Arginine biosynthesis|Purine metabolism|Pyrimidine metabolism|Arginine and proline metabolism|Biotin metabolism|ABC transporters|Epithelial cell signaling in Helicobacter pylori infection</t>
  </si>
  <si>
    <t>R-HSA-1430728,R-HSA-351143,R-HSA-351202,R-HSA-382551,R-HSA-425366,R-HSA-425407,R-HSA-432047,R-HSA-445717,R-HSA-70635,R-HSA-71291</t>
  </si>
  <si>
    <t>Metabolism|Agmatine biosynthesis|Metabolism of polyamines|Transport of small molecules|Transport of bile salts and organic acids, metal ions and amine compounds|SLC-mediated transmembrane transport|Passive transport by Aquaporins|Aquaporin-mediated transport|Urea cycle|Metabolism of amino acids and derivatives</t>
  </si>
  <si>
    <t>57-13-6</t>
  </si>
  <si>
    <t>NC(N)=O</t>
  </si>
  <si>
    <t>XSQUKJJJFZCRTK-UHFFFAOYSA-N</t>
  </si>
  <si>
    <t>CH4N2O</t>
  </si>
  <si>
    <t>FT1278PR</t>
  </si>
  <si>
    <t>L-Cysteinesulfinic acid</t>
  </si>
  <si>
    <t>L-半胱亚磺酸</t>
  </si>
  <si>
    <t>HMDB0000996</t>
  </si>
  <si>
    <t>C00606</t>
  </si>
  <si>
    <t>hsa00270,hsa00430</t>
  </si>
  <si>
    <t>Cysteine and methionine metabolism|Taurine and hypotaurine metabolism</t>
  </si>
  <si>
    <t>1115-65-7</t>
  </si>
  <si>
    <t>N[C@@H](CS(O)=O)C(O)=O</t>
  </si>
  <si>
    <t>ADVPTQAUNPRNPO-REOHCLBHSA-N</t>
  </si>
  <si>
    <t>C3H7NO4S</t>
  </si>
  <si>
    <t>FT4438PR</t>
  </si>
  <si>
    <t>Piperettine</t>
  </si>
  <si>
    <t>HMDB0034371</t>
  </si>
  <si>
    <t>583-34-6</t>
  </si>
  <si>
    <t>O=C(\C=C\C=C\C=C\C1=CC2=C(OCO2)C=C1)N1CCCCC1</t>
  </si>
  <si>
    <t>DLKOUKNODPCIHZ-UMYWTXKFSA-N</t>
  </si>
  <si>
    <t>169.0645, 169.0799, 197.0594, 199.0750, 205.4071, 205.4805, 227.0699, 302.6903, 312.1591, 313.7074</t>
  </si>
  <si>
    <t>C19H21NO3</t>
  </si>
  <si>
    <t>FT2303NR</t>
  </si>
  <si>
    <t>FT-0665222</t>
  </si>
  <si>
    <t>Cc1ccccc1OC1OC(C(=O)O)C(O)C(O)C1O</t>
  </si>
  <si>
    <t>UPSZSICMSBXXRN-UHFFFAOYSA-N</t>
  </si>
  <si>
    <t>146.9827, 157.0138, 164.3991, 175.0247, 195.9593, 205.3864, 282.9913, 283.0818, 283.1915, 283.2683</t>
  </si>
  <si>
    <t>C13H16O7</t>
  </si>
  <si>
    <t>FT3140PR</t>
  </si>
  <si>
    <t>Glucose ketone</t>
  </si>
  <si>
    <t>葡萄糖酮</t>
  </si>
  <si>
    <t>HMDB0252777</t>
  </si>
  <si>
    <t>OCC1OC2(O)C(=O)C2(O)C(O)C1O</t>
  </si>
  <si>
    <t>KVPIGVPHHSOZLC-UHFFFAOYSA-N</t>
  </si>
  <si>
    <t>133.9755, 142.0861, 147.1165, 173.1318, 200.9984, 205.3948, 205.4136, 229.0313, 229.1194, 229.1549</t>
  </si>
  <si>
    <t>C7H10O7</t>
  </si>
  <si>
    <t>FT0069PR</t>
  </si>
  <si>
    <t>Phenol</t>
  </si>
  <si>
    <t>福林酚/酚试剂</t>
  </si>
  <si>
    <t>HMDB0000228</t>
  </si>
  <si>
    <t>C15584</t>
  </si>
  <si>
    <t>R-HSA-1430728,R-HSA-156580,R-HSA-156584,R-HSA-156588,R-HSA-211859,R-HSA-211897,R-HSA-211945,R-HSA-211981,R-HSA-211999,R-HSA-9748784,R-HSA-9749641</t>
  </si>
  <si>
    <t>Metabolism|Phase II - Conjugation of compounds|Cytosolic sulfonation of small molecules|Glucuronidation|Biological oxidations|Cytochrome P450 - arranged by substrate type|Phase I - Functionalization of compounds|Xenobiotics|CYP2E1 reactions|Drug ADME|Aspirin ADME</t>
  </si>
  <si>
    <t>108-95-2</t>
  </si>
  <si>
    <t>OC1=CC=CC=C1</t>
  </si>
  <si>
    <t>ISWSIDIOOBJBQZ-UHFFFAOYSA-N</t>
  </si>
  <si>
    <t>1-hydroxy-4-unsubstituted benzenoids</t>
  </si>
  <si>
    <t xml:space="preserve"> 1-羟基-4-未取代的苯类化合物</t>
  </si>
  <si>
    <t>C6H6O</t>
  </si>
  <si>
    <t>FT5349NR</t>
  </si>
  <si>
    <t>2''-O-Vanilloylvitexin</t>
  </si>
  <si>
    <t>2''-O-香草酰牡荆素</t>
  </si>
  <si>
    <t>LMPK12110257</t>
  </si>
  <si>
    <t>C1([C@H]2[C@H](OC(C3C=CC(O)=C(OC)C=3)=O)[C@H](O)[C@@H](O)[C@@H](CO)O2)C(O)=CC(O)=C2C(=O)C=C(C3C=CC(O)=CC=3)OC=12</t>
  </si>
  <si>
    <t>QMQSMTIVSXVODH-AHKXSMEFSA-N</t>
  </si>
  <si>
    <t>292.0869, 307.0513, 313.0636, 334.9507, 335.0108, 335.0467, 335.1410, 336.0497, 627.1376, 628.1402</t>
  </si>
  <si>
    <t>C29H26O13</t>
  </si>
  <si>
    <t>FT4536NR</t>
  </si>
  <si>
    <t>Bofumustine</t>
  </si>
  <si>
    <t>博夫莫司汀</t>
  </si>
  <si>
    <t>HMDB0249337</t>
  </si>
  <si>
    <t>CC1(C)OC2C(COC(=O)C3=CC=C(C=C3)[N+]([O-])=O)OC(NC(=O)N(CCCl)N=O)C2O1</t>
  </si>
  <si>
    <t>YASNUXZKZNVXIS-UHFFFAOYSA-N</t>
  </si>
  <si>
    <t>82.6781, 121.0294, 123.1032, 179.9903, 215.4443, 231.5165, 302.6863, 313.0709, 361.1154, 401.0862</t>
  </si>
  <si>
    <t>C18H21ClN4O9</t>
  </si>
  <si>
    <t>FT3791NR</t>
  </si>
  <si>
    <t>Mesuagin</t>
  </si>
  <si>
    <t>梅苏阿金</t>
  </si>
  <si>
    <t>HMDB0035876</t>
  </si>
  <si>
    <t>LMPK12100030</t>
  </si>
  <si>
    <t>21721-08-4</t>
  </si>
  <si>
    <t>C12OC(C)(C)C=CC=1C1OC(=O)C=C(C3C=CC=CC=3)C=1C(O)=C2C(=O)C(C)C</t>
  </si>
  <si>
    <t>SVCPILBFQWTZFW-UHFFFAOYSA-N</t>
  </si>
  <si>
    <t>Neoflavonoids</t>
  </si>
  <si>
    <t>Prenylated neoflavonoids</t>
  </si>
  <si>
    <t>新黄酮类化合物</t>
  </si>
  <si>
    <t>异戊二烯化新黄酮类化合物</t>
  </si>
  <si>
    <t>108.7921, 205.3996, 262.4674, 302.6928, 313.9378, 367.0475, 367.1577, 367.8731, 368.1614, 435.1450</t>
  </si>
  <si>
    <t>C24H22O5</t>
  </si>
  <si>
    <t>FT5545PR</t>
  </si>
  <si>
    <t>5-(3',4',5'-trihydroxyphenyl)-gamma-valerolactone-O-methyl-5'-O-glucuronide</t>
  </si>
  <si>
    <t>5-(3',4',5'-三羟基苯基)-γ-戊内酯-O-甲基-5'-O-葡萄糖醛酸苷</t>
  </si>
  <si>
    <t>HMDB0060028</t>
  </si>
  <si>
    <t>COC1=C(O)C(O[C@H]2O[C@H]([C@H](O)[C@@H](O)[C@@H]2O)C(O)=O)=CC(CC2CCC(=O)O2)=C1</t>
  </si>
  <si>
    <t>KPVLDYMZFUPBJG-VHXBZSDJSA-N</t>
  </si>
  <si>
    <t>309.0981, 351.1070, 355.1018, 355.8962, 369.1187, 379.1012, 379.1907, 385.6556, 397.1138, 415.1240</t>
  </si>
  <si>
    <t>C18H22O11</t>
  </si>
  <si>
    <t>FT5047NR</t>
  </si>
  <si>
    <t>D-Sedoheptulose 7-phosphate</t>
  </si>
  <si>
    <t>D-景天庚酮糖7-磷酸</t>
  </si>
  <si>
    <t>HMDB0001068</t>
  </si>
  <si>
    <t>C05382</t>
  </si>
  <si>
    <t>89927-08-2</t>
  </si>
  <si>
    <t>OC[C@]1(O)O[C@H](COP(O)(O)=O)[C@@H](O)[C@@H](O)[C@@H]1O</t>
  </si>
  <si>
    <t>CBIDVWSRUUODHL-OVHBTUCOSA-N</t>
  </si>
  <si>
    <t>C7H15O10P</t>
  </si>
  <si>
    <t>FT4515PR</t>
  </si>
  <si>
    <t>Nicotinamide mononucleotide</t>
  </si>
  <si>
    <t>β-烟酰胺单核苷酸</t>
  </si>
  <si>
    <t>HMDB0000229</t>
  </si>
  <si>
    <t>C00455</t>
  </si>
  <si>
    <t>1094-61-7</t>
  </si>
  <si>
    <t>C1=CC(=C[N+](=C1)C2C(C(C(O2)COP(=O)(O)[O-])O)O)C(=O)N</t>
  </si>
  <si>
    <t>DAYLJWODMCOQEW-TURQNECASA-N</t>
  </si>
  <si>
    <t>Pyridine nucleotides</t>
  </si>
  <si>
    <t>Nicotinamide nucleotides</t>
  </si>
  <si>
    <t>吡啶核苷酸</t>
  </si>
  <si>
    <t>烟酰胺核苷酸</t>
  </si>
  <si>
    <t>C11H15N2O8P</t>
  </si>
  <si>
    <t>FT0901PR</t>
  </si>
  <si>
    <t>2-Hydroxybenzaldehyde</t>
  </si>
  <si>
    <t>水杨醛</t>
  </si>
  <si>
    <t>HMDB0034170</t>
  </si>
  <si>
    <t>C06202</t>
  </si>
  <si>
    <t>90-02-8</t>
  </si>
  <si>
    <t>OC1=CC=CC=C1C=O</t>
  </si>
  <si>
    <t>SMQUZDBALVYZAC-UHFFFAOYSA-N</t>
  </si>
  <si>
    <t>123.0557, 123.0648, 123.0806, 123.0918, 123.1167, 124.0392, 124.0482, 124.0752, 134.0115, 140.0344</t>
  </si>
  <si>
    <t>C7H6O2</t>
  </si>
  <si>
    <t>FT4930PR</t>
  </si>
  <si>
    <t>Porfiromycin</t>
  </si>
  <si>
    <t>泊福霉素</t>
  </si>
  <si>
    <t>HMDB0256703</t>
  </si>
  <si>
    <t>COC12C3C(CN1C1=C(C2COC(N)=O)C(=O)C(N)=C(C)C1=O)N3C</t>
  </si>
  <si>
    <t>HRHKSTOGXBBQCB-UHFFFAOYSA-N</t>
  </si>
  <si>
    <t>Indolequinones</t>
  </si>
  <si>
    <t>吲哚醌类</t>
  </si>
  <si>
    <t>69.8148, 69.9487, 72.8810, 164.9633, 205.3989, 308.0835, 308.1251, 308.1666, 326.1372, 349.1889</t>
  </si>
  <si>
    <t>C16H20N4O5</t>
  </si>
  <si>
    <t>FT1976NR</t>
  </si>
  <si>
    <t>THIARABINE</t>
  </si>
  <si>
    <t>硫拉宾</t>
  </si>
  <si>
    <t>HMDB0258974</t>
  </si>
  <si>
    <t>NC1=NC(=O)N(C=C1)C1SC(CO)C(O)C1O</t>
  </si>
  <si>
    <t>GAKJJSAXUFZQTL-UHFFFAOYSA-N</t>
  </si>
  <si>
    <t>Nucleoside and nucleotide analogues</t>
  </si>
  <si>
    <t>Thionucleosides</t>
  </si>
  <si>
    <t>核苷和核苷酸类似物</t>
  </si>
  <si>
    <t>硫代核苷</t>
  </si>
  <si>
    <t>258.0541, 302.6867, 312.7855, 345.8640, 351.1628, 352.1640, 416.2594, 496.0046, 498.0331, 525.7729</t>
  </si>
  <si>
    <t>C9H13N3O4S</t>
  </si>
  <si>
    <t>FT0875PR</t>
  </si>
  <si>
    <t>N-Methyl-N-nitrosourea</t>
  </si>
  <si>
    <t>1-甲基-1-亚硝基脲</t>
  </si>
  <si>
    <t>HMDB0255181</t>
  </si>
  <si>
    <t>C14595</t>
  </si>
  <si>
    <t>684-93-5</t>
  </si>
  <si>
    <t>CN(N=O)C(O)=N</t>
  </si>
  <si>
    <t>ZRKWMRDKSOPRRS-UHFFFAOYSA-N</t>
  </si>
  <si>
    <t>121.0286, 121.0397, 121.0486, 121.0641, 121.1014, 122.0315, 122.0603, 122.0692, 122.0963, 136.9459</t>
  </si>
  <si>
    <t>C2H5N3O2</t>
  </si>
  <si>
    <t>FT3009PR</t>
  </si>
  <si>
    <t>2,2-Disulfanylbutanedioic acid</t>
  </si>
  <si>
    <t>2,2-二硫基丁二酸</t>
  </si>
  <si>
    <t>HMDB0257653</t>
  </si>
  <si>
    <t>OC(=O)CC(S)(S)C(O)=O</t>
  </si>
  <si>
    <t>QOKYAILCOIEKMY-UHFFFAOYSA-N</t>
  </si>
  <si>
    <t>104.0841, 179.9751, 199.9172, 202.8861, 205.1600, 205.4012, 220.9343, 221.0790, 221.1150, 221.1538</t>
  </si>
  <si>
    <t>C4H6O4S2</t>
  </si>
  <si>
    <t>FT4216PR</t>
  </si>
  <si>
    <t>Panaquinquecol 4</t>
  </si>
  <si>
    <t>泛喹啉4</t>
  </si>
  <si>
    <t>HMDB0038939</t>
  </si>
  <si>
    <t>145427-82-3</t>
  </si>
  <si>
    <t>CCCCCCCC1OC1CC#CC#CC(=O)C1CO1</t>
  </si>
  <si>
    <t>ZDTPCVGIYZHVNO-UHFFFAOYSA-N</t>
  </si>
  <si>
    <t>302.7000, 312.0269, 313.0319, 313.1674, 314.0299, 315.0338, 330.0373, 331.1787, 332.0409, 355.0575</t>
  </si>
  <si>
    <t>FT3158NR</t>
  </si>
  <si>
    <t>Thyrotropin-releasing factor</t>
  </si>
  <si>
    <t>促甲状腺素释放因子</t>
  </si>
  <si>
    <t>HMDB0259062</t>
  </si>
  <si>
    <t>NC(=O)C1CCCN1C(=O)C(CC1=CNC=N1)NC(=O)C1CCC(=O)N1</t>
  </si>
  <si>
    <t>XNSAINXGIQZQOO-UHFFFAOYSA-N</t>
  </si>
  <si>
    <t>221.1537, 221.1743, 222.1579, 236.1049, 236.1311, 279.7228, 293.1752, 302.6775, 361.1630, 376.1753</t>
  </si>
  <si>
    <t>C16H22N6O4</t>
  </si>
  <si>
    <t>FT1124PR</t>
  </si>
  <si>
    <t>Dibutylamine</t>
  </si>
  <si>
    <t>二正丁胺</t>
  </si>
  <si>
    <t>HMDB0251174</t>
  </si>
  <si>
    <t>CCCCNCCCC</t>
  </si>
  <si>
    <t>JQVDAXLFBXTEQA-UHFFFAOYSA-N</t>
  </si>
  <si>
    <t>130.0502, 130.0650, 130.0862, 130.1225, 130.1589, 130.9663, 131.0688, 131.0853, 131.1620, 148.9767</t>
  </si>
  <si>
    <t>C8H19N</t>
  </si>
  <si>
    <t>FT3395PR</t>
  </si>
  <si>
    <t>L-cysteine, S-(5-amino-2-hydroxyphenyl)-</t>
  </si>
  <si>
    <t>Nc1ccc(O)c(SC[C@H](N)C(=O)O)c1</t>
  </si>
  <si>
    <t>AJRWCFGVLFPFNZ-LURJTMIESA-N</t>
  </si>
  <si>
    <t>202.0554, 202.1005, 202.8378, 205.4082, 228.0790, 245.1025, 246.0902, 246.1362, 247.0907, 267.4656</t>
  </si>
  <si>
    <t>C9H12N2O3S</t>
  </si>
  <si>
    <t>FT5250PR</t>
  </si>
  <si>
    <t>SCHEMBL20398949</t>
  </si>
  <si>
    <t>CCCCC/C=C\CCCCCCCCCCC(O)=NCC(=O)O</t>
  </si>
  <si>
    <t>MNJZCMQANMRHTQ-SREVYHEPSA-N</t>
  </si>
  <si>
    <t>262.1861, 262.2525, 262.3367, 263.2538, 280.2636, 302.7057, 360.2290, 360.2910, 378.2393, 378.3000</t>
  </si>
  <si>
    <t>C20H37NO3</t>
  </si>
  <si>
    <t>FT7916PR</t>
  </si>
  <si>
    <t>2-Hydroxy-4-octenoyl-CoA</t>
  </si>
  <si>
    <t xml:space="preserve"> 2-羟基-4-辛烯酰辅酶A</t>
  </si>
  <si>
    <t>HMDB0301460</t>
  </si>
  <si>
    <t>CCCC=CCC(O)C(=O)SCCNC(=O)CCNC(=O)C(O)C(C)(C)COP(O)(=O)OP(O)(=O)OCC1OC(C(O)C1OP(O)(O)=O)N1C=NC2=C1N=CN=C2N</t>
  </si>
  <si>
    <t>XSFIBSWXDGWINY-UHFFFAOYSA-N</t>
  </si>
  <si>
    <t>Fatty acyl thioesters</t>
  </si>
  <si>
    <t>脂肪酰硫酯</t>
  </si>
  <si>
    <t>194.1349, 293.0976, 293.1351, 391.7758, 631.9313, 638.0988, 644.7601, 662.3318, 917.2926, 921.9106</t>
  </si>
  <si>
    <t>C29H48N7O18P3S</t>
  </si>
  <si>
    <t>FT7050PR</t>
  </si>
  <si>
    <t>Drimianin E</t>
  </si>
  <si>
    <t>德里米安宁E</t>
  </si>
  <si>
    <t>LMST01130057</t>
  </si>
  <si>
    <t>C1[C@@]2(CO)C(CC[C@]3([H])[C@]2([H])[C@@H](O)C[C@@]2(C)[C@]3(O)CC[C@]2([H])C2C=CC(=O)OC=2)=C[C@@H](O[C@H]2[C@H](O)[C@@H](O)[C@H](O)[C@@H](CO)O2)C1</t>
  </si>
  <si>
    <t>XOMLCGRQUAAWNH-AZBKCQEPSA-N</t>
  </si>
  <si>
    <t>283.1053, 285.1233, 299.1392, 300.1471, 301.1183, 301.1556, 344.9070, 393.7870, 411.1530, 601.2651</t>
  </si>
  <si>
    <t>C30H42O11</t>
  </si>
  <si>
    <t>FT4891NR</t>
  </si>
  <si>
    <t>5-Acetoxy-tetradeca-2E,4E,6E-trienoic acid</t>
  </si>
  <si>
    <t>5-乙酰氧基-2E,4E,6E-十四碳三烯酸</t>
  </si>
  <si>
    <t>LMFA01050551</t>
  </si>
  <si>
    <t>C(/C=C/C=C(\OC(=O)C)/C=C/CCCCCCC)(=O)O</t>
  </si>
  <si>
    <t>YQFHNRBXJBNOLE-HBCXVKFPSA-N</t>
  </si>
  <si>
    <t>C16H24O4</t>
  </si>
  <si>
    <t>FT1376NR</t>
  </si>
  <si>
    <t>L-Sorbose</t>
  </si>
  <si>
    <t>L-山梨糖</t>
  </si>
  <si>
    <t>HMDB0001266</t>
  </si>
  <si>
    <t>C08356</t>
  </si>
  <si>
    <t>470-15-5</t>
  </si>
  <si>
    <t>OC[C@@]1(O)OC[C@H](O)[C@@H](O)[C@@H]1O</t>
  </si>
  <si>
    <t>LKDRXBCSQODPBY-BGPJRJDNSA-N</t>
  </si>
  <si>
    <t>146.9822, 147.0658, 149.1283, 153.1276, 197.0561, 197.1184, 200.7897, 215.0339, 215.0727, 215.1264</t>
  </si>
  <si>
    <t>FT0995NR</t>
  </si>
  <si>
    <t>4-hydroxy-undecanoic acid</t>
  </si>
  <si>
    <t>4-羟基十一酸</t>
  </si>
  <si>
    <t>LMFA01050163</t>
  </si>
  <si>
    <t>C(CCC(O)CCCCCCC)(=O)O</t>
  </si>
  <si>
    <t>XEXIVNNTJNBUGV-UHFFFAOYSA-N</t>
  </si>
  <si>
    <t>C11H22O3</t>
  </si>
  <si>
    <t>FT3173PR</t>
  </si>
  <si>
    <t>Dihydrolipoate</t>
  </si>
  <si>
    <t>二氢硫辛酸</t>
  </si>
  <si>
    <t>HMDB0012210</t>
  </si>
  <si>
    <t>C02147</t>
  </si>
  <si>
    <t>hsa00785</t>
  </si>
  <si>
    <t>Lipoic acid metabolism</t>
  </si>
  <si>
    <t>462-20-4</t>
  </si>
  <si>
    <t>OC(=O)CCCCC(S)CCS</t>
  </si>
  <si>
    <t>IZFHEQBZOYJLPK-UHFFFAOYSA-N</t>
  </si>
  <si>
    <t>C8H16O2S2</t>
  </si>
  <si>
    <t>FT1805PR</t>
  </si>
  <si>
    <t>L-Hypoglycin A</t>
  </si>
  <si>
    <t>L-低甘氨酸A</t>
  </si>
  <si>
    <t>HMDB0029427</t>
  </si>
  <si>
    <t>C08287</t>
  </si>
  <si>
    <t>156-56-9</t>
  </si>
  <si>
    <t>NC(CC1CC1=C)C(O)=O</t>
  </si>
  <si>
    <t>OOJZCXFXPZGUBJ-UHFFFAOYSA-N</t>
  </si>
  <si>
    <t>141.1019, 141.9587, 142.0860, 146.9612, 148.9764, 153.9557, 158.9611, 159.1126, 159.9681, 169.9770</t>
  </si>
  <si>
    <t>C7H11NO2</t>
  </si>
  <si>
    <t>FT0619PR</t>
  </si>
  <si>
    <t>Cyclooctyne</t>
  </si>
  <si>
    <t>环辛炔</t>
  </si>
  <si>
    <t>HMDB0250663</t>
  </si>
  <si>
    <t>C1CCCC#CCC1</t>
  </si>
  <si>
    <t>ZPWOOKQUDFIEIX-UHFFFAOYSA-N</t>
  </si>
  <si>
    <t>Hydrocarbons</t>
  </si>
  <si>
    <t>Unsaturated hydrocarbons</t>
  </si>
  <si>
    <t>Acetylenes</t>
  </si>
  <si>
    <t>碳氢化合物</t>
  </si>
  <si>
    <t>不饱和烃</t>
  </si>
  <si>
    <t>乙炔</t>
  </si>
  <si>
    <t>98.5129, 107.0857, 109.0654, 109.0769, 109.0835, 109.0877, 109.1014, 109.5769, 110.0604, 113.9638</t>
  </si>
  <si>
    <t>C8H12</t>
  </si>
  <si>
    <t>FT0969PR</t>
  </si>
  <si>
    <t>2-Aminoethanesulfonamide</t>
  </si>
  <si>
    <t>2-氨基乙基磺酰胺</t>
  </si>
  <si>
    <t>HMDB0245014</t>
  </si>
  <si>
    <t>NCCS(N)(=O)=O</t>
  </si>
  <si>
    <t>MVQXBXLDXSQURK-UHFFFAOYSA-N</t>
  </si>
  <si>
    <t>C2H8N2O2S</t>
  </si>
  <si>
    <t>FT4714NR</t>
  </si>
  <si>
    <t>TG(8:0/8:0/i-13:0)</t>
  </si>
  <si>
    <t>甘油三酯(8:0/8:0/i-13:0)</t>
  </si>
  <si>
    <t>HMDB0071529</t>
  </si>
  <si>
    <t>[H][C@](COC(=O)CCCCCCC)(COC(=O)CCCCCCCCCC(C)C)OC(=O)CCCCCCC</t>
  </si>
  <si>
    <t>OQNUJPBDBZJLKB-LJAQVGFWSA-N</t>
  </si>
  <si>
    <t>Triradylcglycerols</t>
  </si>
  <si>
    <t>三自由基甘油</t>
  </si>
  <si>
    <t>495.4420, 521.4180, 536.2524, 539.2378, 539.2764, 539.4310, 539.5857, 539.6243, 540.4343, 542.6360</t>
  </si>
  <si>
    <t>C32H60O6</t>
  </si>
  <si>
    <t>FT2908PR</t>
  </si>
  <si>
    <t>Ribose 1-phosphate</t>
  </si>
  <si>
    <t>1-磷酸核糖</t>
  </si>
  <si>
    <t>HMDB0001489</t>
  </si>
  <si>
    <t>C00620</t>
  </si>
  <si>
    <t>hsa00030,hsa00230</t>
  </si>
  <si>
    <t>Pentose phosphate pathway|Purine metabolism</t>
  </si>
  <si>
    <t>14075-00-4</t>
  </si>
  <si>
    <t>OC[C@H]1O[C@H](OP(O)(O)=O)[C@H](O)[C@@H]1O</t>
  </si>
  <si>
    <t>YXJDFQJKERBOBM-TXICZTDVSA-N</t>
  </si>
  <si>
    <t>FT4218PR</t>
  </si>
  <si>
    <t>Asparaginyl-Phenylalanine</t>
  </si>
  <si>
    <t>天冬酰胺基-苯丙氨酸</t>
  </si>
  <si>
    <t>HMDB0028738</t>
  </si>
  <si>
    <t>NC(CC(N)=O)C(=O)NC(CC1=CC=CC=C1)C(O)=O</t>
  </si>
  <si>
    <t>OMSMPWHEGLNQOD-UHFFFAOYSA-N</t>
  </si>
  <si>
    <t>C13H17N3O4</t>
  </si>
  <si>
    <t>FT7828PR</t>
  </si>
  <si>
    <t>PA(i-19:0/i-24:0)</t>
  </si>
  <si>
    <t>磷脂酸(i-19:0/i-24:0)</t>
  </si>
  <si>
    <t>HMDB0115829</t>
  </si>
  <si>
    <t>[H][C@@](COC(=O)CCCCCCCCCCCCCCCC(C)C)(COP(O)(O)=O)OC(=O)CCCCCCCCCCCCCCCCCCCCC(C)C</t>
  </si>
  <si>
    <t>QPRQHTGZQFCFFI-USYZEHPZSA-N</t>
  </si>
  <si>
    <t>358.2816, 359.2876, 360.2927, 376.2919, 377.2983, 377.4144, 378.3024, 395.3086, 807.6251, 825.6310</t>
  </si>
  <si>
    <t>C46H91O8P</t>
  </si>
  <si>
    <t>FT1088NR</t>
  </si>
  <si>
    <t>Nitroxoline</t>
  </si>
  <si>
    <t>5-硝基-8-羟基喹啉</t>
  </si>
  <si>
    <t>HMDB0015491</t>
  </si>
  <si>
    <t>4008-48-4</t>
  </si>
  <si>
    <t>OC1=C2N=CC=CC2=C(C=C1)[N+]([O-])=O</t>
  </si>
  <si>
    <t>RJIWZDNTCBHXAL-UHFFFAOYSA-N</t>
  </si>
  <si>
    <t>Nitroquinolines and derivatives</t>
  </si>
  <si>
    <t>硝基喹啉及其衍生物</t>
  </si>
  <si>
    <t>140.7741, 143.0257, 144.8972, 144.9604, 160.8919, 161.0236, 174.0165, 189.0188, 189.0398, 205.4001</t>
  </si>
  <si>
    <t>C9H6N2O3</t>
  </si>
  <si>
    <t>FT1164PR</t>
  </si>
  <si>
    <t>2,4-Dimethylthiazole</t>
  </si>
  <si>
    <t>2,4-二甲基噻唑</t>
  </si>
  <si>
    <t>HMDB0032974</t>
  </si>
  <si>
    <t>541-58-2</t>
  </si>
  <si>
    <t>CC1=NC(C)=CS1</t>
  </si>
  <si>
    <t>OBSLLHNATPQFMJ-UHFFFAOYSA-N</t>
  </si>
  <si>
    <t>C5H7NS</t>
  </si>
  <si>
    <t>FT2280NR</t>
  </si>
  <si>
    <t>Petroselaidic acid</t>
  </si>
  <si>
    <t>十八碳烯酸(反-6)</t>
  </si>
  <si>
    <t>HMDB0303337</t>
  </si>
  <si>
    <t>LMFA01030067</t>
  </si>
  <si>
    <t>C(CCCCCCCC)CC/C=C/CCCCC(=O)O</t>
  </si>
  <si>
    <t>CNVZJPUDSLNTQU-OUKQBFOZSA-N</t>
  </si>
  <si>
    <t>137.1209, 140.4078, 205.3902, 205.4103, 213.8072, 280.6212, 281.1242, 281.2481, 282.2512, 302.6935</t>
  </si>
  <si>
    <t>FT2949NR</t>
  </si>
  <si>
    <t>Furocarpic acid</t>
  </si>
  <si>
    <t>8-(5-己基呋喃-2-基)辛酸</t>
  </si>
  <si>
    <t>HMDB0112099</t>
  </si>
  <si>
    <t>LMFA01150001</t>
  </si>
  <si>
    <t>C13798</t>
  </si>
  <si>
    <t>C1C=C(CCCCCCCC(=O)O)OC=1CCCCCC</t>
  </si>
  <si>
    <t>SZNVIDWMWMWUCY-UHFFFAOYSA-N</t>
  </si>
  <si>
    <t>68.9950, 72.0277, 78.7211, 86.4323, 117.3459, 129.3836, 225.2223, 271.2274, 271.2606, 339.2151</t>
  </si>
  <si>
    <t>C18H30O3</t>
  </si>
  <si>
    <t>FT1388NR</t>
  </si>
  <si>
    <t>Glutamine lactate</t>
  </si>
  <si>
    <t>谷氨酰胺乳酸</t>
  </si>
  <si>
    <t>HMDB0252811</t>
  </si>
  <si>
    <t>CC(O)C(=O)OOC(=O)C(N)CCC(N)=O</t>
  </si>
  <si>
    <t>OEHVJXBNLPHFCT-UHFFFAOYSA-N</t>
  </si>
  <si>
    <t>FT1493NR</t>
  </si>
  <si>
    <t>1-Naphthalenesulfonyl chloride</t>
  </si>
  <si>
    <t>1-萘磺酰氯</t>
  </si>
  <si>
    <t>HMDB0243956</t>
  </si>
  <si>
    <t>ClS(=O)(=O)C1=CC=CC2=CC=CC=C12</t>
  </si>
  <si>
    <t>DASJFYAPNPUBGG-UHFFFAOYSA-N</t>
  </si>
  <si>
    <t>Naphthalene sulfonic acids and derivatives</t>
  </si>
  <si>
    <t>萘磺酸及其衍生物</t>
  </si>
  <si>
    <t>167.5723, 168.0254, 171.0743, 179.0809, 198.0385, 224.9546, 224.9792, 225.0470, 225.0853, 226.0905</t>
  </si>
  <si>
    <t>C10H7ClO2S</t>
  </si>
  <si>
    <t>FT6285PR</t>
  </si>
  <si>
    <t>Osimertinib metabolite M6</t>
  </si>
  <si>
    <t>奥西替尼中间体</t>
  </si>
  <si>
    <t>HMDB0248754</t>
  </si>
  <si>
    <t>COC1=C(NC2=NC=CC(=N2)C2=CNC3=CC=CC=C23)C=C(NC(=O)C=C)C(=C1)N(C)CCN(C)C</t>
  </si>
  <si>
    <t>IQNVEOMHJHBNHC-UHFFFAOYSA-N</t>
  </si>
  <si>
    <t>281.8654, 299.0605, 302.7110, 338.6992, 362.2754, 439.2736, 442.8045, 457.2217, 457.2832, 503.2879</t>
  </si>
  <si>
    <t>C27H31N7O2</t>
  </si>
  <si>
    <t>FT1113PR</t>
  </si>
  <si>
    <t>3-Methylene-indolenine</t>
  </si>
  <si>
    <t>3-亚甲基假吲哚</t>
  </si>
  <si>
    <t>HMDB0011664</t>
  </si>
  <si>
    <t>R-HSA-1430728,R-HSA-211859,R-HSA-211897,R-HSA-211945,R-HSA-211981</t>
  </si>
  <si>
    <t>Metabolism|Biological oxidations|Cytochrome P450 - arranged by substrate type|Phase I - Functionalization of compounds|Xenobiotics</t>
  </si>
  <si>
    <t>40642-83-9</t>
  </si>
  <si>
    <t>C=C1C=NC2=CC=CC=C12</t>
  </si>
  <si>
    <t>BCNUXXXHEIUHJB-UHFFFAOYSA-N</t>
  </si>
  <si>
    <t>130.0416, 130.0487, 130.0651, 130.0863, 130.0940, 130.1223, 130.1588, 130.9663, 131.0683, 148.9769</t>
  </si>
  <si>
    <t>C9H7N</t>
  </si>
  <si>
    <t>FT1766PR</t>
  </si>
  <si>
    <t>2-(Dimethylamino)ethyl methacrylate</t>
  </si>
  <si>
    <t>2-甲基-2-丙烯-2-(二甲基氨基)乙酯的均聚物</t>
  </si>
  <si>
    <t>HMDB0244940</t>
  </si>
  <si>
    <t>CN(C)CCOC(=O)C(C)=C</t>
  </si>
  <si>
    <t>JKNCOURZONDCGV-UHFFFAOYSA-N</t>
  </si>
  <si>
    <t>FT2039PR</t>
  </si>
  <si>
    <t>2,6-diamino-4-hydroxy-5-formamidopyrimidine</t>
  </si>
  <si>
    <t>2,6-二氨基-4-羟基-5-甲酰胺嘧啶</t>
  </si>
  <si>
    <t>HMDB0304046</t>
  </si>
  <si>
    <t>NC1=NC(=O)[C-](NC=O)C(N)=[N+]1</t>
  </si>
  <si>
    <t>BKXIMINDJGDBPF-UHFFFAOYSA-N</t>
  </si>
  <si>
    <t>N-arylamides</t>
  </si>
  <si>
    <t xml:space="preserve"> N-芳基酰胺</t>
  </si>
  <si>
    <t>C5H6N5O2</t>
  </si>
  <si>
    <t>FT4550NR</t>
  </si>
  <si>
    <t>Pratenol A</t>
  </si>
  <si>
    <t>普拉替诺A</t>
  </si>
  <si>
    <t>HMDB0040630</t>
  </si>
  <si>
    <t>147838-41-3</t>
  </si>
  <si>
    <t>CC1(O)OC(=O)C=C1C1=COC2=C(C1)C=CC(O)=C2</t>
  </si>
  <si>
    <t>AICICGKRUHSXCE-UHFFFAOYSA-N</t>
  </si>
  <si>
    <t>C14H12O5</t>
  </si>
  <si>
    <t>FT1750PR</t>
  </si>
  <si>
    <t>5-Pentyloxazole</t>
  </si>
  <si>
    <t>5-戊基恶唑</t>
  </si>
  <si>
    <t>HMDB0038792</t>
  </si>
  <si>
    <t>84027-84-9</t>
  </si>
  <si>
    <t>CCCCCC1=CN=CO1</t>
  </si>
  <si>
    <t>RZCKQDLMEGXPFA-UHFFFAOYSA-N</t>
  </si>
  <si>
    <t>Oxazoles</t>
  </si>
  <si>
    <t>恶唑类</t>
  </si>
  <si>
    <t>C8H13NO</t>
  </si>
  <si>
    <t>FT4829NR</t>
  </si>
  <si>
    <t>PS(20:0/0:0)</t>
  </si>
  <si>
    <t>磷脂酰丝氨酸(20:0/0:0)</t>
  </si>
  <si>
    <t>LMGP03050012</t>
  </si>
  <si>
    <t>C(O)(=O)[C@@]([H])(N)COP(OC[C@]([H])(O)COC(CCCCCCCCCCCCCCCCCCC)=O)(=O)O</t>
  </si>
  <si>
    <t>JRLGKCGUDLONSO-RPWUZVMVSA-N</t>
  </si>
  <si>
    <t>267.1992, 267.2323, 267.2661, 268.2349, 283.2418, 327.2319, 492.3087, 493.3103, 552.3143, 553.3169</t>
  </si>
  <si>
    <t>C26H52NO9P</t>
  </si>
  <si>
    <t>FT4326PR</t>
  </si>
  <si>
    <t>N-Acetylcystathionine</t>
  </si>
  <si>
    <t>N-乙酰胱硫醚</t>
  </si>
  <si>
    <t>HMDB0002381</t>
  </si>
  <si>
    <t>20619-80-1</t>
  </si>
  <si>
    <t>CC(=O)NC(CSCC[C@H](N)C(O)=O)C(O)=O</t>
  </si>
  <si>
    <t>QWACVTVBTRSCRL-PKPIPKONSA-N</t>
  </si>
  <si>
    <t>C9H16N2O5S</t>
  </si>
  <si>
    <t>FT1443PR</t>
  </si>
  <si>
    <t>Valpromide</t>
  </si>
  <si>
    <t>丙戊酰胺</t>
  </si>
  <si>
    <t>HMDB0259756</t>
  </si>
  <si>
    <t>CCCC(CCC)C(N)=O</t>
  </si>
  <si>
    <t>OMOMUFTZPTXCHP-UHFFFAOYSA-N</t>
  </si>
  <si>
    <t>116.9714, 121.9665, 122.0191, 129.7356, 144.0369, 144.0665, 144.0806, 144.1005, 144.1380, 145.1014</t>
  </si>
  <si>
    <t>C8H17NO</t>
  </si>
  <si>
    <t>FT0592NR</t>
  </si>
  <si>
    <t>1-O-Pentylglycerol</t>
  </si>
  <si>
    <t>1-O-戊基甘油</t>
  </si>
  <si>
    <t>HMDB0243976</t>
  </si>
  <si>
    <t>CCCCCOCC(O)CO</t>
  </si>
  <si>
    <t>FQJXITFHANYMET-UHFFFAOYSA-N</t>
  </si>
  <si>
    <t>75.0086, 78.6768, 85.9407, 97.4017, 100.0766, 142.8995, 143.1072, 144.0455, 144.0665, 154.5005</t>
  </si>
  <si>
    <t>C8H18O3</t>
  </si>
  <si>
    <t>FT1114PR</t>
  </si>
  <si>
    <t>3-Phenyl-2-propenenitrile</t>
  </si>
  <si>
    <t>3-苯基-2-丙烯腈</t>
  </si>
  <si>
    <t>HMDB0303365</t>
  </si>
  <si>
    <t>N#C\C=C/C1=CC=CC=C1</t>
  </si>
  <si>
    <t>ZWKNLRXFUTWSOY-DAXSKMNVSA-N</t>
  </si>
  <si>
    <t>FT0071NR</t>
  </si>
  <si>
    <t>Carbamimidothioic acid, methyl ester</t>
  </si>
  <si>
    <t>硫代氨基甲酰亚胺甲酯</t>
  </si>
  <si>
    <t>HMDB0257408</t>
  </si>
  <si>
    <t>867-44-7</t>
  </si>
  <si>
    <t>CSC(N)=N</t>
  </si>
  <si>
    <t>SDDKIZNHOCEXTF-UHFFFAOYSA-N</t>
  </si>
  <si>
    <t>Isothioureas</t>
  </si>
  <si>
    <t>异硫脲类</t>
  </si>
  <si>
    <t>C2H6N2S</t>
  </si>
  <si>
    <t>FT3751NR</t>
  </si>
  <si>
    <t>3,4-Dihydroxyphenylvaleric acid 3 glucuronide</t>
  </si>
  <si>
    <t>3,4-二羟基苯基戊酸3葡萄糖苷酸</t>
  </si>
  <si>
    <t>HMDB0240445</t>
  </si>
  <si>
    <t>[H][C@@]1(OC2=C(O)C=CC(CCCCC(O)=O)=C2)O[C@]([H])(C(O)=O)C([H])(O)[C@]([H])(O)C1([H])O</t>
  </si>
  <si>
    <t>PFXCVFMGZFVRNQ-IASGZQPQSA-N</t>
  </si>
  <si>
    <t>147.0297, 157.3794, 191.0191, 208.2760, 209.0299, 239.0941, 368.5244, 389.3361, 412.3962, 431.1184</t>
  </si>
  <si>
    <t>FT2624NR</t>
  </si>
  <si>
    <t>Fexinidazole Sulfone</t>
  </si>
  <si>
    <t>非昔硝唑砜</t>
  </si>
  <si>
    <t>HMDB0252241</t>
  </si>
  <si>
    <t>CN1C(COC2=CC=C(C=C2)S(C)(=O)=O)=NC=C1[N+]([O-])=O</t>
  </si>
  <si>
    <t>YMIAMMYJWRZXIX-UHFFFAOYSA-N</t>
  </si>
  <si>
    <t>Benzenesulfonyl compounds</t>
  </si>
  <si>
    <t>苯磺酰基化合物</t>
  </si>
  <si>
    <t>168.2365, 174.9548, 175.0245, 221.7523, 251.0744, 269.0448, 382.6787, 401.6877, 445.0763, 495.6417</t>
  </si>
  <si>
    <t>C12H13N3O5S</t>
  </si>
  <si>
    <t>FT4489NR</t>
  </si>
  <si>
    <t>1alpha,25-dihydroxy-24a-homo-26,27-dimethyl-22-thiavitamin D3</t>
  </si>
  <si>
    <t>1α，25-二羟基-24a-同型-26，27-二甲基-22-硫代维生素 D3</t>
  </si>
  <si>
    <t>LMST03020423</t>
  </si>
  <si>
    <t>[C@@H]1(O)C(=C)/C(=C\C=C2\[C@]3([H])CC[C@@]([C@@](C)([H])SCCCC(O)(CC)CC)([H])[C@@]3(C)CCC\2)/C[C@@H](O)C1</t>
  </si>
  <si>
    <t>GNEXJYOKNRBVDF-BEZYGUFHSA-N</t>
  </si>
  <si>
    <t>153.7549, 174.4756, 205.3884, 205.4076, 268.2401, 302.6853, 448.3061, 473.4561, 511.2290, 511.3043</t>
  </si>
  <si>
    <t>C29H48O3S</t>
  </si>
  <si>
    <t>FT5419PR</t>
  </si>
  <si>
    <t>5-Sinapoylquinic acid</t>
  </si>
  <si>
    <t>5-芥子酰奎尼酸</t>
  </si>
  <si>
    <t>HMDB0301714</t>
  </si>
  <si>
    <t>COC1=CC(\C=C\C(=O)O[C@@H]2C[C@@](O)(C[C@@H](O)[C@H]2O)C(O)=O)=CC(OC)=C1O</t>
  </si>
  <si>
    <t>DTJWTKVKHOJHJK-RVBNATNPSA-N</t>
  </si>
  <si>
    <t>141.0182, 181.0857, 223.0962, 274.8957, 302.7117, 339.1085, 341.8062, 381.1173, 399.1288, 402.4688</t>
  </si>
  <si>
    <t>C18H22O10</t>
  </si>
  <si>
    <t>FT5721NR</t>
  </si>
  <si>
    <t>Beta-Cryptoxanthin palmitoleate</t>
  </si>
  <si>
    <t>β-隐黄质棕榈油酸酯</t>
  </si>
  <si>
    <t>LMPR01070696</t>
  </si>
  <si>
    <t>C1C(C)(C)C(/C=C/C(/C)=C/C=C/C(/C)=C/C=C/C=C(\C)/C=C/C=C(\C)/C=C/C2=C(C)CCCC2(C)C)=C(C)C[C@H]1OC(CCCCCCC/C=C\CCCCCC)=O</t>
  </si>
  <si>
    <t>BPCXMAYEGVVXMK-IQLCJWNESA-N</t>
  </si>
  <si>
    <t>410.2987, 411.1030, 411.1731, 411.3046, 411.4679, 412.3087, 413.4335, 628.9703, 823.6165, 824.6195</t>
  </si>
  <si>
    <t>C56H84O2</t>
  </si>
  <si>
    <t>FT7006PR</t>
  </si>
  <si>
    <t>dolichyl-4-D-xylosyl phosphate</t>
  </si>
  <si>
    <t>4-D-木糖基磷酸多醇酯</t>
  </si>
  <si>
    <t>LMPR03080011</t>
  </si>
  <si>
    <t>C01191</t>
  </si>
  <si>
    <t>C(/C=C(\C)/CC/C=C(\C)/CC/C=C(\C)/C)C/C(=C\CCC(CCOP(O[C@H]1[C@H](O)[C@@H](O)[C@H](O)CO1)(O)=O)C)/C</t>
  </si>
  <si>
    <t>QNWDPUAQSUCTOR-SHADHPJFSA-N</t>
  </si>
  <si>
    <t>Polyprenols</t>
  </si>
  <si>
    <t>聚戊烯醇</t>
  </si>
  <si>
    <t>104.1072, 106.4441, 124.9994, 184.0731, 184.0890, 205.4123, 302.7047, 572.3715, 590.3781, 591.3793</t>
  </si>
  <si>
    <t>C30H53O8P</t>
  </si>
  <si>
    <t>FT5760PR</t>
  </si>
  <si>
    <t>8-Propanoylneosolaniol</t>
  </si>
  <si>
    <t>8-丙酰茄醇</t>
  </si>
  <si>
    <t>HMDB0038562</t>
  </si>
  <si>
    <t>111112-47-1</t>
  </si>
  <si>
    <t>CCC(=O)O[C@H]1C[C@@]2(COC(C)=O)[C@H](O[C@@H]3[C@H](O)[C@@H](OC(C)=O)[C@@]2(C)[C@]32CO2)C=C1C</t>
  </si>
  <si>
    <t>ZSGWJLBSFZRJAT-MLXHEQMXSA-N</t>
  </si>
  <si>
    <t>65.6048, 66.2618, 72.6821, 74.4352, 81.7432, 132.7323, 217.0323, 237.7340, 245.1504, 439.1913</t>
  </si>
  <si>
    <t>C22H30O9</t>
  </si>
  <si>
    <t>FT0053NR</t>
  </si>
  <si>
    <t>Cyanate</t>
  </si>
  <si>
    <t>正氰酸</t>
  </si>
  <si>
    <t>HMDB0002078</t>
  </si>
  <si>
    <t>C01417</t>
  </si>
  <si>
    <t>hsa00910</t>
  </si>
  <si>
    <t>Nitrogen metabolism</t>
  </si>
  <si>
    <t>71000-82-3</t>
  </si>
  <si>
    <t>OC#N</t>
  </si>
  <si>
    <t>XLJMAIOERFSOGZ-UHFFFAOYSA-N</t>
  </si>
  <si>
    <t>Organic oxoanionic compounds</t>
  </si>
  <si>
    <t>Cyanates</t>
  </si>
  <si>
    <t>有机氧阴离子化合物</t>
  </si>
  <si>
    <t>氰酸盐</t>
  </si>
  <si>
    <t>CHNO</t>
  </si>
  <si>
    <t>FT6265PR</t>
  </si>
  <si>
    <t>Chenodeoxycholyltaurine</t>
  </si>
  <si>
    <t>鹅去氧胆牛磺酸</t>
  </si>
  <si>
    <t>HMDB0242411</t>
  </si>
  <si>
    <t>CC(CCC(=O)NCCS(O)(=O)=O)C1CCC2C3C(O)CC4CC(O)CCC4(C)C3CCC12C</t>
  </si>
  <si>
    <t>BHTRKEVKTKCXOH-UHFFFAOYSA-N</t>
  </si>
  <si>
    <t>227.5039, 243.1798, 243.2090, 321.2592, 339.2691, 380.2497, 464.2827, 465.2895, 482.2944, 500.3065</t>
  </si>
  <si>
    <t>FT3299PR</t>
  </si>
  <si>
    <t>(9S,13S)-1a,1b-dihomo-jasmonic acid</t>
  </si>
  <si>
    <t>(9S,13S)-1a,1b-二高茉莉酸</t>
  </si>
  <si>
    <t>LMFA02010011</t>
  </si>
  <si>
    <t>C(CCC[C@@H]1[C@H](C/C=C\CC)C(=O)CC1)(=O)O</t>
  </si>
  <si>
    <t>LVQJNKFFJNUFNY-WGPFEIJOSA-N</t>
  </si>
  <si>
    <t>179.1055, 179.1427, 193.1582, 193.1767, 203.1428, 221.1535, 239.0887, 239.1638, 239.2368, 240.0993</t>
  </si>
  <si>
    <t>C14H22O3</t>
  </si>
  <si>
    <t>FT0346NR</t>
  </si>
  <si>
    <t>Benzenemethanol, 2-methoxy-</t>
  </si>
  <si>
    <t>2-甲氧基苯甲醇</t>
  </si>
  <si>
    <t>COC1=CC=CC=C1CO</t>
  </si>
  <si>
    <t>WYLYBQSHRJMURN-UHFFFAOYSA-N</t>
  </si>
  <si>
    <t>Benzyl alcohols</t>
  </si>
  <si>
    <t>苯甲醇</t>
  </si>
  <si>
    <t>67.5590, 68.2714, 77.8581, 119.0351, 119.0499, 119.0597, 120.0539, 122.8101, 133.1300, 139.2922</t>
  </si>
  <si>
    <t>C8H10O2</t>
  </si>
  <si>
    <t>FT1198NR</t>
  </si>
  <si>
    <t>Methylisopelletierine</t>
  </si>
  <si>
    <t>甲基异石榴皮碱</t>
  </si>
  <si>
    <t>HMDB0030326</t>
  </si>
  <si>
    <t>C06184</t>
  </si>
  <si>
    <t>CN1CCCCC1CC(C)=O</t>
  </si>
  <si>
    <t>TYHJMEIBGDDCPA-UHFFFAOYSA-N</t>
  </si>
  <si>
    <t>158.1030, 158.1183, 158.1296, 159.1211, 159.6765, 196.1628, 200.0110, 200.1286, 201.0218, 201.1126</t>
  </si>
  <si>
    <t>C9H17NO</t>
  </si>
  <si>
    <t>FT1714NR</t>
  </si>
  <si>
    <t>S-methyl-5-thio-D-ribulose 1-phosphate(2-)</t>
  </si>
  <si>
    <t xml:space="preserve"> S-甲基-5-硫代-D-核酮糖1-磷酸(2-)</t>
  </si>
  <si>
    <t>HMDB0062647</t>
  </si>
  <si>
    <t>CSCC(O)C(O)C(=O)COP(O)(O)=O</t>
  </si>
  <si>
    <t>CNSJRYUMVMWNMC-UHFFFAOYSA-N</t>
  </si>
  <si>
    <t>104.9535, 121.0359, 121.0441, 129.0195, 143.0260, 173.0579, 205.0348, 240.9934, 241.1433, 241.1829</t>
  </si>
  <si>
    <t>FT2495NR</t>
  </si>
  <si>
    <t>Thioxanthine monophosphate</t>
  </si>
  <si>
    <t>一磷酸硫黄嘌呤</t>
  </si>
  <si>
    <t>HMDB0060876</t>
  </si>
  <si>
    <t>OC1=NC2=C(N=CN2OP(O)(O)=O)C(S)=N1</t>
  </si>
  <si>
    <t>OAOIXPPCQSJBRI-UHFFFAOYSA-N</t>
  </si>
  <si>
    <t>C5H5N4O5PS</t>
  </si>
  <si>
    <t>FT7823PR</t>
  </si>
  <si>
    <t>DG(a-25:0/0:0/22:6-OH)</t>
  </si>
  <si>
    <t>甘油二酯(a-25:0/0:0/22:6-OH)</t>
  </si>
  <si>
    <t>HMDB0298260</t>
  </si>
  <si>
    <t>CC\C=C/C\C=C/C\C=C/C\C=C/C=C\C(O)C\C=C/CCC(=O)OC[C@H](O)COC(=O)CCCCCCCCCCCCCCCCCCCCC(C)CC</t>
  </si>
  <si>
    <t>ACTNSEXSOLJRRM-IHMNDBAUSA-N</t>
  </si>
  <si>
    <t>373.2726, 377.2979, 377.3485, 395.3091, 438.0410, 650.1931, 726.7206, 821.6022, 844.4316, 850.6110</t>
  </si>
  <si>
    <t>C50H86O6</t>
  </si>
  <si>
    <t>FT6316PR</t>
  </si>
  <si>
    <t>PE(20:2/0:0)</t>
  </si>
  <si>
    <t>磷脂酰乙醇胺(20:2/0:0)</t>
  </si>
  <si>
    <t>HMDB0011513</t>
  </si>
  <si>
    <t>LMGP02050021</t>
  </si>
  <si>
    <t>[C@](COP(=O)(O)OCCN)([H])(O)COC(CCCCCCCCC/C=C\C/C=C\CCCCC)=O</t>
  </si>
  <si>
    <t>QJHRNPQXCMXOOH-XBJNFHHOSA-N</t>
  </si>
  <si>
    <t>181.0256, 184.0736, 205.4008, 240.0993, 266.6238, 305.3906, 365.3052, 447.2826, 488.3079, 506.3630</t>
  </si>
  <si>
    <t>FT2524NR</t>
  </si>
  <si>
    <t>ethyl tetradecanoate</t>
  </si>
  <si>
    <t>十四酸乙酯-D27</t>
  </si>
  <si>
    <t>HMDB0034153</t>
  </si>
  <si>
    <t>LMFA07010468</t>
  </si>
  <si>
    <t>124-06-1</t>
  </si>
  <si>
    <t>O=C(CCCCCCCCCCCCC)OCC</t>
  </si>
  <si>
    <t>MMKRHZKQPFCLLS-UHFFFAOYSA-N</t>
  </si>
  <si>
    <t>66.4536, 66.4815, 69.3099, 69.3137, 69.3246, 72.3584, 176.8209, 205.3962, 302.5726, 302.7071</t>
  </si>
  <si>
    <t>FT4963NR</t>
  </si>
  <si>
    <t>4-Hprog</t>
  </si>
  <si>
    <t>HMDB0246436</t>
  </si>
  <si>
    <t>CC(C=CC1=C(C)CCCC1(C)C)=CC=CC(C)=CC(=O)NC1=CC=C(OC2OC(C(O)C(O)C2O)C(O)=O)C=C1</t>
  </si>
  <si>
    <t>UVITUJIIRZWOPU-UHFFFAOYSA-N</t>
  </si>
  <si>
    <t>323.4662, 339.0383, 441.8297, 486.8737, 498.2885, 499.2934, 520.2693, 526.1758, 566.2758, 567.2812</t>
  </si>
  <si>
    <t>C32H41NO8</t>
  </si>
  <si>
    <t>FT3143NR</t>
  </si>
  <si>
    <t>Aflatoxin B2</t>
  </si>
  <si>
    <t>黄曲霉毒素 B2</t>
  </si>
  <si>
    <t>HMDB0035208</t>
  </si>
  <si>
    <t>C16753</t>
  </si>
  <si>
    <t>7220-81-7</t>
  </si>
  <si>
    <t>COC1=CC2=C(C3CCOC3O2)C2=C1C1=C(C(=O)CC1)C(=O)O2</t>
  </si>
  <si>
    <t>WWSYXEZEXMQWHT-UHFFFAOYSA-N</t>
  </si>
  <si>
    <t>Furanocoumarins</t>
  </si>
  <si>
    <t>呋喃香豆素类</t>
  </si>
  <si>
    <t>C17H14O6</t>
  </si>
  <si>
    <t>FT3169NR</t>
  </si>
  <si>
    <t>4,5-LTA4</t>
  </si>
  <si>
    <t>4,5-白三烯A4</t>
  </si>
  <si>
    <t>HMDB0302077</t>
  </si>
  <si>
    <t>LMFA03020034</t>
  </si>
  <si>
    <t>C02645</t>
  </si>
  <si>
    <t>C(/C=C\CCCCC)/C=C\C=C\C=C\C[C@H]1O[C@@H]1CCC(O)=O</t>
  </si>
  <si>
    <t>ANXVUHHMAOYZPG-BOCYDZBOSA-N</t>
  </si>
  <si>
    <t>FT0787NR</t>
  </si>
  <si>
    <t>Acamprosate</t>
  </si>
  <si>
    <t>阿坎酸</t>
  </si>
  <si>
    <t>HMDB0014797</t>
  </si>
  <si>
    <t>77337-76-9</t>
  </si>
  <si>
    <t>CC(=O)NCCCS(O)(=O)=O</t>
  </si>
  <si>
    <t>AFCGFAGUEYAMAO-UHFFFAOYSA-N</t>
  </si>
  <si>
    <t>C5H11NO4S</t>
  </si>
  <si>
    <t>FT2371PR</t>
  </si>
  <si>
    <t>Dodecylamine</t>
  </si>
  <si>
    <t>十二烷基伯胺</t>
  </si>
  <si>
    <t>HMDB0251571</t>
  </si>
  <si>
    <t>CCCCCCCCCCCCN</t>
  </si>
  <si>
    <t>JRBPAEWTRLWTQC-UHFFFAOYSA-N</t>
  </si>
  <si>
    <t>C12H27N</t>
  </si>
  <si>
    <t>FT3498PR</t>
  </si>
  <si>
    <t>pyrazoloacridone</t>
  </si>
  <si>
    <t>吡唑并吖啶酮</t>
  </si>
  <si>
    <t>HMDB0256952</t>
  </si>
  <si>
    <t>O=C1CC=C2N=C3C=CC4=NN=CC4=C3C=C2C1</t>
  </si>
  <si>
    <t>YZUYZKPCYQMFAH-UHFFFAOYSA-N</t>
  </si>
  <si>
    <t>Benzoquinolines</t>
  </si>
  <si>
    <t>苯并喹啉类</t>
  </si>
  <si>
    <t>197.1168, 205.3871, 205.4072, 207.1013, 235.0964, 252.9910, 253.1064, 253.1390, 253.1807, 253.2152</t>
  </si>
  <si>
    <t>C14H9N3O</t>
  </si>
  <si>
    <t>FT3695NR</t>
  </si>
  <si>
    <t>Losoxantrone</t>
  </si>
  <si>
    <t>洛索蒽醌</t>
  </si>
  <si>
    <t>HMDB0254168</t>
  </si>
  <si>
    <t>OCCNCCNC1=C2C3=C(C=C1)N(CCNCCO)N=C3C1=C(C(O)=CC=C1)C2=O</t>
  </si>
  <si>
    <t>YROQEQPFUCPDCP-UHFFFAOYSA-N</t>
  </si>
  <si>
    <t>Anthracenes</t>
  </si>
  <si>
    <t>蒽</t>
  </si>
  <si>
    <t>72.2886, 112.2688, 121.6576, 205.3835, 205.4035, 212.0376, 279.4667, 283.3874, 317.5465, 424.1988</t>
  </si>
  <si>
    <t>C22H27N5O4</t>
  </si>
  <si>
    <t>FT3615PR</t>
  </si>
  <si>
    <t>N-Gluconyl ethanolamine</t>
  </si>
  <si>
    <t>N-葡萄糖基乙醇胺</t>
  </si>
  <si>
    <t>HMDB0032293</t>
  </si>
  <si>
    <t>686298-93-1</t>
  </si>
  <si>
    <t>OCCNC(=O)C(O)C(O)C(O)C(O)CO</t>
  </si>
  <si>
    <t>DTMUKVUZNZJFNO-UHFFFAOYSA-N</t>
  </si>
  <si>
    <t>186.0864, 188.0655, 201.0733, 217.0681, 218.0764, 244.7296, 262.0898, 262.1424, 262.1921, 268.9610</t>
  </si>
  <si>
    <t>C8H17NO7</t>
  </si>
  <si>
    <t>FT7808PR</t>
  </si>
  <si>
    <t>DG(a-25:0/PGE2/0:0)</t>
  </si>
  <si>
    <t>甘油二酯(a-25:0/PGE2/0:0)</t>
  </si>
  <si>
    <t>HMDB0298150</t>
  </si>
  <si>
    <t>CCCCC[C@H](O)\C=C\[C@H]1[C@H](O)CC(=O)[C@@H]1C\C=C/CCCC(=O)O[C@@H](CO)COC(=O)CCCCCCCCCCCCCCCCCCCCC(C)CC</t>
  </si>
  <si>
    <t>GKMAGWYWGDNHLZ-RCGIIJIDSA-N</t>
  </si>
  <si>
    <t>C48H86O8</t>
  </si>
  <si>
    <t>FT4956PR</t>
  </si>
  <si>
    <t>C16 Sphingosine-1-phosphate</t>
  </si>
  <si>
    <t>C16-1-磷酸鞘氨醇</t>
  </si>
  <si>
    <t>HMDB0060061</t>
  </si>
  <si>
    <t>LMSP01050005</t>
  </si>
  <si>
    <t>OP(OC[C@]([H])(N)[C@]([H])(O)/C=C/CCCCCCCCCCC)(=O)O</t>
  </si>
  <si>
    <t>IQHNJQKWEMCXAD-YYZTVXDQSA-N</t>
  </si>
  <si>
    <t>167.8503, 200.1242, 205.4083, 219.2106, 236.2369, 236.2643, 266.9062, 302.6960, 334.2147, 352.2289</t>
  </si>
  <si>
    <t>C16H34NO5P</t>
  </si>
  <si>
    <t>FT5828NR</t>
  </si>
  <si>
    <t>PC(24:0/20:4-3OH(5S,6R,15S))</t>
  </si>
  <si>
    <t>磷脂酰胆碱(24:0/20:4-3OH(5S,6R,15S))</t>
  </si>
  <si>
    <t>HMDB0288634</t>
  </si>
  <si>
    <t>[H][C@@](COC(=O)CCCCCCCCCCCCCCCCCCCCCCC)(COP([O-])(=O)OCC[N+](C)(C)C)OC(=O)CCC[C@H](O)[C@@H](O)\C=C\C=C\C=C/C=C/[C@@H](O)CCCCC</t>
  </si>
  <si>
    <t>CSWUXSFUGCEPEU-VRFAFZRSSA-N</t>
  </si>
  <si>
    <t>254.2219, 255.2332, 262.5171, 302.6942, 364.2712, 478.2931, 538.2211, 538.3141, 539.3178, 748.5479</t>
  </si>
  <si>
    <t>C52H96NO11P</t>
  </si>
  <si>
    <t>FT7935PR</t>
  </si>
  <si>
    <t>1-oleoyl-2-Dihydrosterculoyl-3-O-alpha-d-galactopyranosyl-(1-&gt;2)-alpha-d-glucosyl-sn-glycerol</t>
  </si>
  <si>
    <t>1-油酰基-2-二氢梧桐酰基-3-O-α-D-吡喃半乳糖基-(1-&gt;2)-α-D-葡萄糖基-sn-甘油</t>
  </si>
  <si>
    <t>LMGL05010070</t>
  </si>
  <si>
    <t>O([C@@H]1[C@H](O[C@@H]2[C@H](O)[C@@H](O)[C@@H](O)[C@@H](CO)O2)[C@@H](O)[C@H](O)[C@@H](CO)O1)C[C@]([H])(OC(CCCCCCCC1CC1CCCCCCCC)=O)COC(CCCCCCC/C=C\CCCCCCCC)=O</t>
  </si>
  <si>
    <t>MHLLXJRWJJFHKF-DCCWOIOJSA-N</t>
  </si>
  <si>
    <t>502.2478, 502.3280, 517.3566, 520.3392, 520.5241, 521.3415, 523.3469, 604.5128, 873.1775, 947.6725</t>
  </si>
  <si>
    <t>C52H94O15</t>
  </si>
  <si>
    <t>FT0339PR</t>
  </si>
  <si>
    <t>2,6-Dihydroxypyridine</t>
  </si>
  <si>
    <t>2,6-二羟基吡啶</t>
  </si>
  <si>
    <t>C03056</t>
  </si>
  <si>
    <t>626-06-2</t>
  </si>
  <si>
    <t>C1=CC(=O)NC(=C1)O</t>
  </si>
  <si>
    <t>WLFXSECCHULRRO-UHFFFAOYSA-N</t>
  </si>
  <si>
    <t>C5H5NO2</t>
  </si>
  <si>
    <t>FT1851PR</t>
  </si>
  <si>
    <t>2-Ethyl-3-hydroxy-2,4,4-trimethyloxazolidine</t>
  </si>
  <si>
    <t>2-乙基-3-羟基-2,4,4-三甲基恶唑烷</t>
  </si>
  <si>
    <t>HMDB0245114</t>
  </si>
  <si>
    <t>CCC1(C)OCC(C)(C)N1O</t>
  </si>
  <si>
    <t>WZZOSBRJFGEGCU-UHFFFAOYSA-N</t>
  </si>
  <si>
    <t>Oxazolidines</t>
  </si>
  <si>
    <t>恶唑烷类</t>
  </si>
  <si>
    <t>FT5116PR</t>
  </si>
  <si>
    <t>Fentiazac</t>
  </si>
  <si>
    <t>氯苯噻乙酸</t>
  </si>
  <si>
    <t>HMDB0252226</t>
  </si>
  <si>
    <t>OC(=O)CC1=C(N=C(S1)C1=CC=CC=C1)C1=CC=C(Cl)C=C1</t>
  </si>
  <si>
    <t>JIEKMACRVQTPRC-UHFFFAOYSA-N</t>
  </si>
  <si>
    <t>265.0205, 280.0112, 281.9900, 282.9984, 306.0172, 324.0009, 324.1162, 325.0028, 367.9392, 367.9913</t>
  </si>
  <si>
    <t>C17H12ClNO2S</t>
  </si>
  <si>
    <t>FT3186NR</t>
  </si>
  <si>
    <t>Nervonic acid</t>
  </si>
  <si>
    <t>二十四碳烯酸</t>
  </si>
  <si>
    <t>HMDB0002368</t>
  </si>
  <si>
    <t>LMFA01030092</t>
  </si>
  <si>
    <t>C08323</t>
  </si>
  <si>
    <t>506-37-6</t>
  </si>
  <si>
    <t>C(CCCCCCCCCCC(=O)O)CC/C=C\CCCCCCCC</t>
  </si>
  <si>
    <t>GWHCXVQVJPWHRF-KTKRTIGZSA-N</t>
  </si>
  <si>
    <t>73.2911, 92.8623, 121.1934, 123.1944, 196.6008, 205.4022, 209.1372, 222.0679, 302.6988, 365.3415</t>
  </si>
  <si>
    <t>C24H46O2</t>
  </si>
  <si>
    <t>FT0686NR</t>
  </si>
  <si>
    <t>3,7-dimethyl-2-octenoic acid</t>
  </si>
  <si>
    <t>3,7-二甲基-2-辛烯酸</t>
  </si>
  <si>
    <t>LMFA01020105</t>
  </si>
  <si>
    <t>C(C(C)C)CC/C(/C)=C/C(=O)O</t>
  </si>
  <si>
    <t>BQQFWOQXMICUGN-VQHVLOKHSA-N</t>
  </si>
  <si>
    <t>121.6496, 122.0373, 124.4498, 135.0813, 136.0164, 139.8361, 151.0398, 151.1126, 152.0350, 152.1163</t>
  </si>
  <si>
    <t>FT0960NR</t>
  </si>
  <si>
    <t>3-Ethylundecan-2,4-dione</t>
  </si>
  <si>
    <t>3-乙基十一烷-2,4-二酮</t>
  </si>
  <si>
    <t>LMFA12000249</t>
  </si>
  <si>
    <t>CC(=O)C(C)C(=O)CCCCCCC</t>
  </si>
  <si>
    <t>BKGWAHFRRDOJBN-UHFFFAOYSA-N</t>
  </si>
  <si>
    <t>C12H22O2</t>
  </si>
  <si>
    <t>FT5969PR</t>
  </si>
  <si>
    <t>Sarcodon scabrosus Depsipeptide</t>
  </si>
  <si>
    <t>粗肉藻缩酚肽</t>
  </si>
  <si>
    <t>HMDB0041421</t>
  </si>
  <si>
    <t>CCC(C)C1NC(=O)C(OC(=O)C(NC(=O)C(C)NC(=O)C(OC1=O)C(C)C)C(C)O)C(C)C</t>
  </si>
  <si>
    <t>ZZZCVVSDKFDQJU-UHFFFAOYSA-N</t>
  </si>
  <si>
    <t>Depsipeptides</t>
  </si>
  <si>
    <t>缩酚肽</t>
  </si>
  <si>
    <t>278.2476, 296.2586, 302.7088, 307.2272, 314.2691, 365.5709, 407.2181, 450.2610, 468.1055, 468.2717</t>
  </si>
  <si>
    <t>C23H39N3O8</t>
  </si>
  <si>
    <t>FT0290NR</t>
  </si>
  <si>
    <t>4-Acetyl-2-methylpyridine</t>
  </si>
  <si>
    <t>4-乙酰基-2-甲基吡啶</t>
  </si>
  <si>
    <t>HMDB0040223</t>
  </si>
  <si>
    <t>2732-28-7</t>
  </si>
  <si>
    <t>CC(=O)C1=CC=NC(C)=C1</t>
  </si>
  <si>
    <t>NIGBUKPEJHINOG-UHFFFAOYSA-N</t>
  </si>
  <si>
    <t>FT3683PR</t>
  </si>
  <si>
    <t>L-2-Aminoethyl seryl phosphate</t>
  </si>
  <si>
    <t>L-2-氨基乙基丝氨酸磷酸酯</t>
  </si>
  <si>
    <t>HMDB0031950</t>
  </si>
  <si>
    <t>C03872</t>
  </si>
  <si>
    <t>1186-34-1</t>
  </si>
  <si>
    <t>NCCOP(O)(=O)OCC(N)C(O)=O</t>
  </si>
  <si>
    <t>UQDJGEHQDNVPGU-UHFFFAOYSA-N</t>
  </si>
  <si>
    <t>C5H13N2O6P</t>
  </si>
  <si>
    <t>FT2803PR</t>
  </si>
  <si>
    <t>4-O-methyl d-glucaric acid</t>
  </si>
  <si>
    <t>CO[C@@H]([C@H](O)[C@@H](O)C(=O)O)[C@H](O)C(=O)O</t>
  </si>
  <si>
    <t>MDGDZMIEJCCPTI-MBMOQRBOSA-N</t>
  </si>
  <si>
    <t>90.9819, 95.6565, 122.9242, 138.9064, 147.4955, 161.6206, 205.4064, 207.0140, 207.0501, 207.0976</t>
  </si>
  <si>
    <t>C7H12O8</t>
  </si>
  <si>
    <t>FT0713NR</t>
  </si>
  <si>
    <t>2-Mercaptopyridine</t>
  </si>
  <si>
    <t>2-吡啶硫酮</t>
  </si>
  <si>
    <t>HMDB0245194</t>
  </si>
  <si>
    <t>SC1=CC=CC=N1</t>
  </si>
  <si>
    <t>WHMDPDGBKYUEMW-UHFFFAOYSA-N</t>
  </si>
  <si>
    <t>69.7444, 79.7187, 84.9904, 88.0035, 88.9878, 89.0242, 113.0607, 134.2338, 156.0120, 156.0659</t>
  </si>
  <si>
    <t>C5H5NS</t>
  </si>
  <si>
    <t>FT2700NR</t>
  </si>
  <si>
    <t>Brassica oleracea Alkaloid</t>
  </si>
  <si>
    <t>甘蓝生物碱</t>
  </si>
  <si>
    <t>HMDB0033602</t>
  </si>
  <si>
    <t>OC(=O)C1CSC2=NC=C3C(=NC4=CC=CC=C34)N12</t>
  </si>
  <si>
    <t>CVIDYHVNYYVOGW-UHFFFAOYSA-N</t>
  </si>
  <si>
    <t>112.9855, 118.1602, 155.1920, 180.0661, 202.0484, 205.3971, 248.0536, 270.0356, 292.5049, 316.0402</t>
  </si>
  <si>
    <t>C13H9N3O2S</t>
  </si>
  <si>
    <t>FT2905PR</t>
  </si>
  <si>
    <t>Allo-hydroxycitric acid lactone</t>
  </si>
  <si>
    <t>别羟基柠檬酸内酯</t>
  </si>
  <si>
    <t>HMDB0259498</t>
  </si>
  <si>
    <t>OC(=O)C1OC(=O)CC1(O)C(O)=O</t>
  </si>
  <si>
    <t>PFHZIWAVXDSFTB-UHFFFAOYSA-N</t>
  </si>
  <si>
    <t>C6H6O7</t>
  </si>
  <si>
    <t>FT2209NR</t>
  </si>
  <si>
    <t>His-Ser</t>
  </si>
  <si>
    <t>组氨酰-丝氨酸</t>
  </si>
  <si>
    <t>C1=C(NC=N1)CC(C(=O)NC(CO)C(=O)O)N</t>
  </si>
  <si>
    <t>KRBMQYPTDYSENE-UHFFFAOYSA-N</t>
  </si>
  <si>
    <t>187.0414, 202.7441, 205.3888, 205.4086, 208.9533, 217.0519, 277.0411, 277.0729, 277.1415, 278.0761</t>
  </si>
  <si>
    <t>C9H14N4O4</t>
  </si>
  <si>
    <t>FT3255PR</t>
  </si>
  <si>
    <t>2-(2-Chlorobenzamido)acetic acid</t>
  </si>
  <si>
    <t>2-氯苯甲酰氨基乙酸</t>
  </si>
  <si>
    <t>HMDB0244743</t>
  </si>
  <si>
    <t>OC(=O)CNC(=O)C1=CC=CC=C1Cl</t>
  </si>
  <si>
    <t>GVHWTQYNZUNGIA-UHFFFAOYSA-N</t>
  </si>
  <si>
    <t>C9H8ClNO3</t>
  </si>
  <si>
    <t>FT3272NR</t>
  </si>
  <si>
    <t>Docosahexaenoicacid(DHA)</t>
  </si>
  <si>
    <t>二十二碳六烯酸(DHA)</t>
  </si>
  <si>
    <t>HMDB0244316</t>
  </si>
  <si>
    <t>CCCCCCCCCC=CC=CC=CC=CC=CC=CC(O)=O</t>
  </si>
  <si>
    <t>DVSZKTAMJJTWFG-UHFFFAOYSA-N</t>
  </si>
  <si>
    <t>68.5565, 71.4344, 74.6600, 78.2611, 130.1829, 178.7292, 205.3909, 303.8470, 332.6238, 395.6337</t>
  </si>
  <si>
    <t>FT1322NR</t>
  </si>
  <si>
    <t>4-hydroxy-tridecanoic acid</t>
  </si>
  <si>
    <t>4-羟基十三烷酸</t>
  </si>
  <si>
    <t>LMFA01050041</t>
  </si>
  <si>
    <t>C(C(O)CCCCCCCCC)CC(=O)O</t>
  </si>
  <si>
    <t>XGRUVWYMXLQICK-UHFFFAOYSA-N</t>
  </si>
  <si>
    <t>70.7597, 73.7444, 73.9069, 75.0085, 167.1442, 180.0305, 211.0353, 211.0544, 211.1344, 211.1698</t>
  </si>
  <si>
    <t>C13H26O3</t>
  </si>
  <si>
    <t>FT2485PR</t>
  </si>
  <si>
    <t>Pentedrone</t>
  </si>
  <si>
    <t>戊二酮</t>
  </si>
  <si>
    <t>HMDB0256280</t>
  </si>
  <si>
    <t>CCCC(NC)C(=O)C1=CC=CC=C1</t>
  </si>
  <si>
    <t>WLIWIUNEJRETFX-UHFFFAOYSA-N</t>
  </si>
  <si>
    <t>C12H17NO</t>
  </si>
  <si>
    <t>FT1321NR</t>
  </si>
  <si>
    <t>METHYLEUGENOLGLYCOL</t>
  </si>
  <si>
    <t>COc1ccc(CC(O)CO)cc1OC</t>
  </si>
  <si>
    <t>NZKYZDCTLPYISK-UHFFFAOYSA-N</t>
  </si>
  <si>
    <t>156.2917, 163.5496, 167.1075, 167.1429, 193.0862, 194.5130, 211.0364, 211.0971, 211.1341, 212.1009</t>
  </si>
  <si>
    <t>C11H16O4</t>
  </si>
  <si>
    <t>FT4570NR</t>
  </si>
  <si>
    <t>Madasiatic acid</t>
  </si>
  <si>
    <t>崩大碗酸</t>
  </si>
  <si>
    <t>HMDB0035118</t>
  </si>
  <si>
    <t>26532-66-1</t>
  </si>
  <si>
    <t>CC1CCC2(CCC3(C)C(=CCC4C5(C)CC(O)C(O)C(C)(C)C5C(O)CC34C)C2C1C)C(O)=O</t>
  </si>
  <si>
    <t>WRACWYWAPQQRKC-UHFFFAOYSA-N</t>
  </si>
  <si>
    <t>C30H48O5</t>
  </si>
  <si>
    <t>FT5005PR</t>
  </si>
  <si>
    <t>(8Z,10E)-Dodeca-8,10-dienoylcarnitine</t>
  </si>
  <si>
    <t>C/C=C/C=C/CCCCCCC(=O)OC(CC(=O)[O-])C[N+](C)(C)C</t>
  </si>
  <si>
    <t>NLHJPGJTTGDGIA-BSWSSELBSA-N</t>
  </si>
  <si>
    <t>221.1530, 229.1584, 243.2110, 247.1686, 261.1848, 275.2004, 321.2565, 339.2677, 357.2782, 358.2830</t>
  </si>
  <si>
    <t>C19H33NO4</t>
  </si>
  <si>
    <t>FT3230NR</t>
  </si>
  <si>
    <t>Docosanal</t>
  </si>
  <si>
    <t>二十二烷醛</t>
  </si>
  <si>
    <t>HMDB0251560</t>
  </si>
  <si>
    <t>CCCCCCCCCCCCCCCCCCCCCC=O</t>
  </si>
  <si>
    <t>ULCXRAFXRZTNRO-UHFFFAOYSA-N</t>
  </si>
  <si>
    <t>63.3727, 65.5180, 69.1266, 72.0364, 93.0456, 140.2934, 205.3962, 233.1019, 250.0401, 369.3370</t>
  </si>
  <si>
    <t>C22H44O</t>
  </si>
  <si>
    <t>FT3181NR</t>
  </si>
  <si>
    <t>11S-HETE</t>
  </si>
  <si>
    <t>11S-羟基二十碳四烯酸</t>
  </si>
  <si>
    <t>LMFA03060003</t>
  </si>
  <si>
    <t>54886-50-9</t>
  </si>
  <si>
    <t>C(O)(=O)CCC/C=C\C/C=C\C[C@H](O)/C=C/C=C\CCCCC</t>
  </si>
  <si>
    <t>GCZRCCHPLVMMJE-YZGNWCGPSA-N</t>
  </si>
  <si>
    <t>64.30856, 69.64923, 70.16078, 293.08539, 297.24304, 297.28162, 365.2305</t>
  </si>
  <si>
    <t>C20H32O3</t>
  </si>
  <si>
    <t>FT2318PR</t>
  </si>
  <si>
    <t>8-Oxoguanine</t>
  </si>
  <si>
    <t>8-氧代鸟嘌呤</t>
  </si>
  <si>
    <t>HMDB0041820</t>
  </si>
  <si>
    <t>C20155</t>
  </si>
  <si>
    <t>R-HSA-110331,R-HSA-73884,R-HSA-73894,R-HSA-73927,R-HSA-73929</t>
  </si>
  <si>
    <t>Cleavage of the damaged purine|Base Excision Repair|DNA Repair|Depurination|Base-Excision Repair, AP Site Formation</t>
  </si>
  <si>
    <t>82014-86-6</t>
  </si>
  <si>
    <t>OC1=NC(=N)N=C2NC(=O)N=C12</t>
  </si>
  <si>
    <t>UBKVUFQGVWHZIR-UHFFFAOYSA-N</t>
  </si>
  <si>
    <t>C5H3N5O2</t>
  </si>
  <si>
    <t>FT5252NR</t>
  </si>
  <si>
    <t>PC(18:1/2:0)</t>
  </si>
  <si>
    <t>磷脂酰胆碱(18:1/2:0)</t>
  </si>
  <si>
    <t>LMGP01010878</t>
  </si>
  <si>
    <t>[C@](COP(=O)([O-])OCC[N+](C)(C)C)([H])(OC(C)=O)COC(CCCCCCC/C=C/CCCCCCCC)=O</t>
  </si>
  <si>
    <t>WHHNGIKQIRHPSY-FQFCXHBISA-N</t>
  </si>
  <si>
    <t>89.0242, 89.0304, 99.8455, 279.2326, 302.7054, 382.2913, 504.3074, 511.2233, 540.3870, 608.3557</t>
  </si>
  <si>
    <t>C28H54NO8P</t>
  </si>
  <si>
    <t>FT1803PR</t>
  </si>
  <si>
    <t>1,5-Naphthalenediamine</t>
  </si>
  <si>
    <t>1,5-萘二胺</t>
  </si>
  <si>
    <t>HMDB0244231</t>
  </si>
  <si>
    <t>C19463</t>
  </si>
  <si>
    <t>2243-62-1</t>
  </si>
  <si>
    <t>NC1=CC=CC2=C1C=CC=C2N</t>
  </si>
  <si>
    <t>KQSABULTKYLFEV-UHFFFAOYSA-N</t>
  </si>
  <si>
    <t>142.0650, 146.9611, 148.9769, 153.9557, 158.9610, 159.0914, 159.1160, 160.0755, 169.9772, 176.9715</t>
  </si>
  <si>
    <t>C10H10N2</t>
  </si>
  <si>
    <t>FT3317PR</t>
  </si>
  <si>
    <t>Methyl 4-chloro-1H-indole-3-acetate</t>
  </si>
  <si>
    <t>(4-氯-1H-吲哚-3-基)乙酸甲酯</t>
  </si>
  <si>
    <t>HMDB0032937</t>
  </si>
  <si>
    <t>19077-78-2</t>
  </si>
  <si>
    <t>COC(=O)CC1=CNC2=CC=CC(Cl)=C12</t>
  </si>
  <si>
    <t>SYPGJEURLIGNPE-UHFFFAOYSA-N</t>
  </si>
  <si>
    <t>241.0149, 241.0264, 241.0732, 241.1309, 241.1471, 241.2150, 242.0091, 242.0405, 242.0756, 242.9949</t>
  </si>
  <si>
    <t>C11H10ClNO2</t>
  </si>
  <si>
    <t>FT5919PR</t>
  </si>
  <si>
    <t>2-Deoxy-25-Methyldolichosterone</t>
  </si>
  <si>
    <t>2-脱氧-25-甲基白甾酮</t>
  </si>
  <si>
    <t>HMDB0301793</t>
  </si>
  <si>
    <t>121044-89-1</t>
  </si>
  <si>
    <t>[H][C@@]1(CC[C@@]2([H])[C@]3([H])CC(=O)[C@@]4([H])C[C@H](O)CC[C@]4(C)[C@@]3([H])CC[C@]12C)[C@H](C)[C@@H](O)[C@H](O)C(=C)C(C)(C)C</t>
  </si>
  <si>
    <t>VWEHHIHNZFXYIU-DFEYTUJKSA-N</t>
  </si>
  <si>
    <t>115.3457, 143.0338, 150.3089, 205.1246, 214.0729, 257.7490, 399.2744, 461.2131, 461.3659, 462.3699</t>
  </si>
  <si>
    <t>C29H48O4</t>
  </si>
  <si>
    <t>FT1505NR</t>
  </si>
  <si>
    <t>3-(3-Hydroxyphenyl)-2-methylpropionic acid</t>
  </si>
  <si>
    <t>3-(3-羟基苯基)-2-甲基丙酸</t>
  </si>
  <si>
    <t>HMDB0060734</t>
  </si>
  <si>
    <t>46207-82-3</t>
  </si>
  <si>
    <t>CC(CC1=CC(O)=CC=C1)C(O)=O</t>
  </si>
  <si>
    <t>ZTHRBJCNTAYZRE-UHFFFAOYSA-N</t>
  </si>
  <si>
    <t>163.1122, 181.0867, 181.1230, 182.0903, 182.1274, 201.5319, 209.2121, 224.5629, 225.0778, 225.1137</t>
  </si>
  <si>
    <t>FT3027NR</t>
  </si>
  <si>
    <t>Daidzein sulfate</t>
  </si>
  <si>
    <t>硫酸黄豆苷元</t>
  </si>
  <si>
    <t>HMDB0242171</t>
  </si>
  <si>
    <t>OC1=CC=C(C=C1)C1=C2OC3=C(C1=O)C(OS(=O)(=O)O2)=CC(O)=C3</t>
  </si>
  <si>
    <t>VACVCGSNLIGRFV-UHFFFAOYSA-N</t>
  </si>
  <si>
    <t>185.1396, 205.3946, 210.9401, 211.0133, 257.0087, 266.7655, 279.0007, 324.5823, 328.9938, 347.0028</t>
  </si>
  <si>
    <t>C15H8O8S</t>
  </si>
  <si>
    <t>FT4804NR</t>
  </si>
  <si>
    <t>Musabalbisiane C</t>
  </si>
  <si>
    <t>穆萨巴尔比西亚内C</t>
  </si>
  <si>
    <t>HMDB0038682</t>
  </si>
  <si>
    <t>143183-60-2</t>
  </si>
  <si>
    <t>C\C=C(/C)C(=O)O[C@@H]1CC[C@]2(CO)[C@@]3(C[C@H](O[C@H]3O)C3=COC=C3)[C@H](CO)C[C@@H](O)[C@]2(CO)[C@@]1(CO)CC(O)=O</t>
  </si>
  <si>
    <t>CPJNTZBFGMGXON-DFBMNNFESA-N</t>
  </si>
  <si>
    <t>C28H40O12</t>
  </si>
  <si>
    <t>FT4268NR</t>
  </si>
  <si>
    <t>11-beta-hydroxyandrosterone-3-glucuronide</t>
  </si>
  <si>
    <t>11-β-羟基雄甾酮-3-葡萄糖苷酸</t>
  </si>
  <si>
    <t>HMDB10351</t>
  </si>
  <si>
    <t>LMST05010030</t>
  </si>
  <si>
    <t>O([C@H]1C[C@@]2([H])CC[C@@]3([H])[C@]4([H])CCC(=O)[C@@]4(C)C[C@H](O)[C@]3([H])[C@@]2(C)CC1)[C@H]1[C@H](O)[C@H]([C@H](O)[C@@H](C(=O)O)O1)O</t>
  </si>
  <si>
    <t>BRPLOVMHAFXVOQ-FCDCEIOTSA-N</t>
  </si>
  <si>
    <t>183.4124, 205.3972, 210.4738, 276.9579, 285.1762, 343.2418, 350.4964, 481.1635, 481.2437, 482.2498</t>
  </si>
  <si>
    <t>C25H38O9</t>
  </si>
  <si>
    <t>FT4111NR</t>
  </si>
  <si>
    <t>5alpha-Androstan-17beta-ol-3-one glucosiduronate</t>
  </si>
  <si>
    <t>5α-Androstan-17beta-ol-3-one 葡萄糖醛酸</t>
  </si>
  <si>
    <t>HMDB0246662</t>
  </si>
  <si>
    <t>CC12CCC3C(CCC4CC(=O)CCC34C)C1CCC2OC1OC(C(O)C(O)C1O)C(O)=O</t>
  </si>
  <si>
    <t>CLQMBSSRTBUNDV-UHFFFAOYSA-N</t>
  </si>
  <si>
    <t>101.1250, 110.0840, 113.0240, 119.3833, 177.7212, 192.9288, 302.6813, 302.7153, 396.8230, 465.2484</t>
  </si>
  <si>
    <t>C25H38O8</t>
  </si>
  <si>
    <t>FT1327NR</t>
  </si>
  <si>
    <t>6-Hydroxyindole sulfate</t>
  </si>
  <si>
    <t>6-羟基吲哚硫酸盐</t>
  </si>
  <si>
    <t>HMDB0240651</t>
  </si>
  <si>
    <t>OS(=O)(=O)OC1=CC=C2C=CNC2=C1</t>
  </si>
  <si>
    <t>QRHHXPIYYXPEMG-UHFFFAOYSA-N</t>
  </si>
  <si>
    <t>65.9686, 71.87539, 72.33584, 80.96489, 105.96032, 119.51283, 159.56607, 163.94099, 205.39291, 212.00189</t>
  </si>
  <si>
    <t>FT4277NR</t>
  </si>
  <si>
    <t>(25R)-5beta-cholestane-3alpha,7alpha,12alpha,26-tetrol</t>
  </si>
  <si>
    <t>(25R)-5β-胆甾烷-3α,7α,12α,26-四醇</t>
  </si>
  <si>
    <t>LMST04030160</t>
  </si>
  <si>
    <t>C1[C@H](O)CC[C@]2(C)[C@]3(C[C@H](O)[C@@]4([C@](CC[C@@]4([H])[C@]3([H])[C@H](O)C[C@]12[H])([C@H](C)CCC[C@@H](C)CO)[H])C)[H]</t>
  </si>
  <si>
    <t>XJZGNVBLVFOSKJ-IUFSEJPUSA-N</t>
  </si>
  <si>
    <t>313.5738, 392.2304, 403.0498, 437.3620, 442.3231, 442.4808, 469.5966, 481.2517, 481.3069, 482.3070</t>
  </si>
  <si>
    <t>FT1223NR</t>
  </si>
  <si>
    <t>Phosphoenolpyruvate</t>
  </si>
  <si>
    <t>磷酸烯醇式丙酮酸钾</t>
  </si>
  <si>
    <t>HMDB0000263</t>
  </si>
  <si>
    <t>C00074</t>
  </si>
  <si>
    <t>hsa00010,hsa00020,hsa00400,hsa00440,hsa00620,hsa04922,hsa04964,hsa05230</t>
  </si>
  <si>
    <t>Glycolysis / Gluconeogenesis|Citrate cycle (TCA cycle)|Phenylalanine, tyrosine and tryptophan biosynthesis|Phosphonate and phosphinate metabolism|Pyruvate metabolism|Glucagon signaling pathway|Proximal tubule bicarbonate reclamation|Central carbon metabolism in cancer</t>
  </si>
  <si>
    <t>138-08-9</t>
  </si>
  <si>
    <t>OC(=O)C(=C)OP(O)(O)=O</t>
  </si>
  <si>
    <t>DTBNBXWJWCWCIK-UHFFFAOYSA-N</t>
  </si>
  <si>
    <t>C3H5O6P</t>
  </si>
  <si>
    <t>FT2784NR</t>
  </si>
  <si>
    <t>Endothion</t>
  </si>
  <si>
    <t>因毒磷</t>
  </si>
  <si>
    <t>HMDB0251802</t>
  </si>
  <si>
    <t>C18982</t>
  </si>
  <si>
    <t>2778-04-3</t>
  </si>
  <si>
    <t>COC1=COC(CSP(=O)(OC)OC)=CC1=O</t>
  </si>
  <si>
    <t>YCAGGFXSFQFVQL-UHFFFAOYSA-N</t>
  </si>
  <si>
    <t>234.9829, 235.0202, 239.0141, 239.0372, 262.4016, 263.0165, 264.9930, 302.6967, 324.9746, 325.0142</t>
  </si>
  <si>
    <t>C9H13O6PS</t>
  </si>
  <si>
    <t>FT7809PR</t>
  </si>
  <si>
    <t>DG(a-25:0/0:0/PGE2)</t>
  </si>
  <si>
    <t>甘油二酯(a-25:0/0:0/PGE2)</t>
  </si>
  <si>
    <t>HMDB0298152</t>
  </si>
  <si>
    <t>CCCCC[C@H](O)\C=C\[C@H]1[C@H](O)CC(=O)[C@@H]1C\C=C/CCCC(=O)OC[C@H](O)COC(=O)CCCCCCCCCCCCCCCCCCCCC(C)CC</t>
  </si>
  <si>
    <t>BSINAAHJDOMUCX-GDJJJXBISA-N</t>
  </si>
  <si>
    <t>FT4962PR</t>
  </si>
  <si>
    <t>Anandamide (20:2, n-6)</t>
  </si>
  <si>
    <t>Anandamide（20:2，n-6）</t>
  </si>
  <si>
    <t>LMFA08040002</t>
  </si>
  <si>
    <t>C(C/C=C\C/C=C\CCCCC)CCCCCCCC(=O)NCCO</t>
  </si>
  <si>
    <t>MWQCBVWCBTUPDQ-HZJYTTRNSA-N</t>
  </si>
  <si>
    <t>179.1799, 184.0727, 205.4043, 264.2687, 317.2836, 335.2938, 348.8670, 352.3201, 358.3392, 361.2884</t>
  </si>
  <si>
    <t>C22H41NO2</t>
  </si>
  <si>
    <t>FT2172NR</t>
  </si>
  <si>
    <t>(2S,4S)-Monatin</t>
  </si>
  <si>
    <t>(2S,4S)-2-氨基-4-羧基-4-羟基-5-(3-吲哚基)戊酸</t>
  </si>
  <si>
    <t>HMDB0041309</t>
  </si>
  <si>
    <t>146142-94-1</t>
  </si>
  <si>
    <t>NC(CC(O)(CC1=CNC2=CC=CC=C12)C(O)=O)C(O)=O</t>
  </si>
  <si>
    <t>RMLYXMMBIZLGAQ-UHFFFAOYSA-N</t>
  </si>
  <si>
    <t>C14H16N2O5</t>
  </si>
  <si>
    <t>FT0565NR</t>
  </si>
  <si>
    <t>6-hydroxy caprylic acid</t>
  </si>
  <si>
    <t>6-羟基辛酸</t>
  </si>
  <si>
    <t>LMFA01050022</t>
  </si>
  <si>
    <t>C(CCC(O)CC)CC(=O)O</t>
  </si>
  <si>
    <t>BUKOWKOPJSGGQK-UHFFFAOYSA-N</t>
  </si>
  <si>
    <t>65.7232, 65.7438, 65.7567, 68.3539, 72.9929, 76.3683, 85.8577, 103.3678, 120.3130, 141.0916</t>
  </si>
  <si>
    <t>FT3206NR</t>
  </si>
  <si>
    <t>12R-HETrE</t>
  </si>
  <si>
    <t>12R-羟基二十碳三烯酸</t>
  </si>
  <si>
    <t>HMDB0062290</t>
  </si>
  <si>
    <t>LMFA03050012</t>
  </si>
  <si>
    <t>C(/CC[C@@H](O)C/C=C\CCCCC)=C/C/C=C\CCCC(=O)O</t>
  </si>
  <si>
    <t>RFAKHEWADWLSJX-ZIQRGBBDSA-N</t>
  </si>
  <si>
    <t>C20H34O3</t>
  </si>
  <si>
    <t>FT4380PR</t>
  </si>
  <si>
    <t>Capsiate</t>
  </si>
  <si>
    <t>辣椒素酯</t>
  </si>
  <si>
    <t>HMDB0034780</t>
  </si>
  <si>
    <t>C20203</t>
  </si>
  <si>
    <t>COC1=C(O)C=CC(COC(=O)CCCC\C=C\C(C)C)=C1</t>
  </si>
  <si>
    <t>ZICNYIDDNJYKCP-SOFGYWHQSA-N</t>
  </si>
  <si>
    <t>C18H26O4</t>
  </si>
  <si>
    <t>FT4180PR</t>
  </si>
  <si>
    <t>N-(1-Deoxy-1-fructosyl)proline</t>
  </si>
  <si>
    <t>N-(1-脱氧-1-果糖基)脯氨酸</t>
  </si>
  <si>
    <t>HMDB0038493</t>
  </si>
  <si>
    <t>29118-61-4</t>
  </si>
  <si>
    <t>OC[C@H]1OC(O)(CN2CCCC2C(O)=O)[C@@H](O)[C@@H]1O</t>
  </si>
  <si>
    <t>GSFRYAKUDPPHHG-MKSMHYHASA-N</t>
  </si>
  <si>
    <t>C11H19NO7</t>
  </si>
  <si>
    <t>FT1577NR</t>
  </si>
  <si>
    <t>N-Carboxyacetyl-D-phenylalanine</t>
  </si>
  <si>
    <t>N-羧乙酰基-D-苯丙氨酸</t>
  </si>
  <si>
    <t>HMDB0039102</t>
  </si>
  <si>
    <t>OC(=O)CC(=O)NC(CC1=CC=CC=C1)C(O)=O</t>
  </si>
  <si>
    <t>IHAMOIOWKITHQZ-UHFFFAOYSA-N</t>
  </si>
  <si>
    <t>C12H13NO5</t>
  </si>
  <si>
    <t>FT3343PR</t>
  </si>
  <si>
    <t>Dioctylamine</t>
  </si>
  <si>
    <t>二正辛胺</t>
  </si>
  <si>
    <t>HMDB0251428</t>
  </si>
  <si>
    <t>CCCCCCCCNCCCCCCCC</t>
  </si>
  <si>
    <t>LAWOZCWGWDVVSG-UHFFFAOYSA-N</t>
  </si>
  <si>
    <t>126.2668, 141.9584, 169.0736, 185.9839, 205.3872, 205.4078, 236.7731, 242.2532, 242.2836, 242.3121</t>
  </si>
  <si>
    <t>C16H35N</t>
  </si>
  <si>
    <t>FT0176NR</t>
  </si>
  <si>
    <t>Ammonia pyruvate</t>
  </si>
  <si>
    <t>丙酮酸铵</t>
  </si>
  <si>
    <t>HMDB0248343</t>
  </si>
  <si>
    <t>CC(=O)C(=O)ON</t>
  </si>
  <si>
    <t>PMIWXMLVUYTUDM-UHFFFAOYSA-N</t>
  </si>
  <si>
    <t>C3H5NO3</t>
  </si>
  <si>
    <t>FT1347NR</t>
  </si>
  <si>
    <t>6-endo-Hydroxyfenchone</t>
  </si>
  <si>
    <t>6-内羟基小茴香酮</t>
  </si>
  <si>
    <t>HMDB0240639</t>
  </si>
  <si>
    <t>851210-94-1</t>
  </si>
  <si>
    <t>CC1(C)[C@H]2C[C@@H](O)[C@](C)(C2)C1=O</t>
  </si>
  <si>
    <t>RBJVDSYEMJHFOC-PJKMHFRUSA-N</t>
  </si>
  <si>
    <t>169.1231, 205.3811, 205.4034, 212.9984, 213.0223, 213.0461, 213.0564, 213.1127, 213.1490, 214.0254</t>
  </si>
  <si>
    <t>FT2219PR</t>
  </si>
  <si>
    <t>(E)-Raphanusanin</t>
  </si>
  <si>
    <t>HMDB0041083</t>
  </si>
  <si>
    <t>128463-44-5</t>
  </si>
  <si>
    <t>CS\C=C1\CCNC1=S</t>
  </si>
  <si>
    <t>BVYUPEKENRMVJK-PLNGDYQASA-N</t>
  </si>
  <si>
    <t>Thiolactams</t>
  </si>
  <si>
    <t>硫代内酰胺类</t>
  </si>
  <si>
    <t>159.0805, 169.9777, 176.9559, 176.9719, 177.0127, 177.0513, 177.0658, 177.0882, 177.1273, 177.1634</t>
  </si>
  <si>
    <t>C6H9NS2</t>
  </si>
  <si>
    <t>FT2929PR</t>
  </si>
  <si>
    <t>5-Ethyl-2E-undecen-4-one</t>
  </si>
  <si>
    <t>5-乙基-2E-十一烯-4-酮</t>
  </si>
  <si>
    <t>LMFA12000250</t>
  </si>
  <si>
    <t>C/C=C/C(=O)C(CC)CCCCCC</t>
  </si>
  <si>
    <t>OGFAPWMNVLDLSD-BJMVGYQFSA-N</t>
  </si>
  <si>
    <t>FT0631NR</t>
  </si>
  <si>
    <t>Methylphosphate</t>
  </si>
  <si>
    <t>磷酸甲酯</t>
  </si>
  <si>
    <t>HMDB0061711</t>
  </si>
  <si>
    <t>812-00-0</t>
  </si>
  <si>
    <t>COP(O)(O)=O</t>
  </si>
  <si>
    <t>CAAULPUQFIIOTL-UHFFFAOYSA-N</t>
  </si>
  <si>
    <t>CH5O4P</t>
  </si>
  <si>
    <t>FT1220NR</t>
  </si>
  <si>
    <t>4-methoxybenzalcyanoacetic acid</t>
  </si>
  <si>
    <t>4-甲氧基苯亚甲基氰基乙酸</t>
  </si>
  <si>
    <t>COc1ccc(C=C(C#N)C(=O)O)cc1</t>
  </si>
  <si>
    <t>KMHNRJDDHTZZDZ-UHFFFAOYSA-N</t>
  </si>
  <si>
    <t>Cinnamic acids</t>
  </si>
  <si>
    <t>肉桂酸</t>
  </si>
  <si>
    <t>68.8896, 68.9093, 72.0868, 80.8875, 93.7901, 116.9286, 202.0093, 202.0508, 205.3813, 205.4015</t>
  </si>
  <si>
    <t>C11H9NO3</t>
  </si>
  <si>
    <t>FT0047NR</t>
  </si>
  <si>
    <t>3-Methylbutan-2-one</t>
  </si>
  <si>
    <t>3-甲基-2-丁酮</t>
  </si>
  <si>
    <t>LMFA12000024</t>
  </si>
  <si>
    <t>CC(=O)C(C)C</t>
  </si>
  <si>
    <t>SYBYTAAJFKOIEJ-UHFFFAOYSA-N</t>
  </si>
  <si>
    <t>C5H10O</t>
  </si>
  <si>
    <t>FT3585NR</t>
  </si>
  <si>
    <t>20-Carboxyleukotriene B4</t>
  </si>
  <si>
    <t>20-羧基白三烯B4</t>
  </si>
  <si>
    <t>HMDB0245560</t>
  </si>
  <si>
    <t>OC(CCCC(O)=O)C=CC=CC=CC(O)CC=CCCCCC(O)=O</t>
  </si>
  <si>
    <t>SXWGPVJGNOLNHT-UHFFFAOYSA-N</t>
  </si>
  <si>
    <t>190.4408, 193.0347, 206.8974, 215.6150, 235.1696, 274.8852, 342.8713, 351.0865, 411.2012, 411.3026</t>
  </si>
  <si>
    <t>C20H30O6</t>
  </si>
  <si>
    <t>FT5123NR</t>
  </si>
  <si>
    <t>Kolaflavanone</t>
  </si>
  <si>
    <t>可拉黄烷酮</t>
  </si>
  <si>
    <t>HMDB0253817</t>
  </si>
  <si>
    <t>COC1=CC=C(C=C1O)C1OC2=C(C3C(OC4=CC(O)=CC(O)=C4C3=O)C3=CC=C(O)C=C3)C(O)=CC(O)=C2C(=O)C1O</t>
  </si>
  <si>
    <t>GJWXCPDVDRIBKP-UHFFFAOYSA-N</t>
  </si>
  <si>
    <t>Biflavonoids and polyflavonoids</t>
  </si>
  <si>
    <t>双黄酮和多黄酮</t>
  </si>
  <si>
    <t>C31H24O12</t>
  </si>
  <si>
    <t>FT1889NR</t>
  </si>
  <si>
    <t>Tizanidine</t>
  </si>
  <si>
    <t>替扎尼定</t>
  </si>
  <si>
    <t>HMDB0014835</t>
  </si>
  <si>
    <t>C07452</t>
  </si>
  <si>
    <t>51322-75-9</t>
  </si>
  <si>
    <t>ClC1=C(NC2=NCCN2)C2=NSN=C2C=C1</t>
  </si>
  <si>
    <t>XFYDIVBRZNQMJC-UHFFFAOYSA-N</t>
  </si>
  <si>
    <t>Benzothiadiazoles</t>
  </si>
  <si>
    <t>苯并噻二唑类</t>
  </si>
  <si>
    <t>123.0447, 123.7700, 160.7594, 167.0182, 167.0344, 179.4751, 205.3969, 205.4170, 251.1492, 252.0120</t>
  </si>
  <si>
    <t>C9H8ClN5S</t>
  </si>
  <si>
    <t>FT2422PR</t>
  </si>
  <si>
    <t>1-Methyl-4-(2'-methylphenyl)-1,2,3,6-tetrahydropyridine</t>
  </si>
  <si>
    <t>1-甲基-4-(2'-甲基苯基)-1,2,3,6-四氢吡啶</t>
  </si>
  <si>
    <t>HMDB0254279</t>
  </si>
  <si>
    <t>CN1CCC(=CC1)C1=CC=CC=C1C</t>
  </si>
  <si>
    <t>BORHNVHYIYTKKC-UHFFFAOYSA-N</t>
  </si>
  <si>
    <t>Toluenes</t>
  </si>
  <si>
    <t>甲苯</t>
  </si>
  <si>
    <t>C13H17N</t>
  </si>
  <si>
    <t>FT1853NR</t>
  </si>
  <si>
    <t>Petroraspailyne B2</t>
  </si>
  <si>
    <t>巴西石油B2</t>
  </si>
  <si>
    <t>LMGL01030006</t>
  </si>
  <si>
    <t>OC[C@]([H])(O)CO/C=C\C#CCCCCCC(C)CC</t>
  </si>
  <si>
    <t>CRMYJHMHQKEGTQ-SKUFQGSASA-N</t>
  </si>
  <si>
    <t>Glycerol vinyl ethers</t>
  </si>
  <si>
    <t>甘油乙烯基醚</t>
  </si>
  <si>
    <t>180.9723, 192.1160, 205.1956, 205.3951, 248.9481, 248.9726, 249.0826, 249.1538, 249.1844, 250.1443</t>
  </si>
  <si>
    <t>FT2669NR</t>
  </si>
  <si>
    <t>1-(2-Benzoylphenyl)-1,3-dimethylurea</t>
  </si>
  <si>
    <t>1-(2-苯甲酰苯基)-1,3-二甲基脲</t>
  </si>
  <si>
    <t>HMDB0260229</t>
  </si>
  <si>
    <t>CNC(=O)N(C)C1=CC=CC=C1C(=O)C1=CC=CC=C1</t>
  </si>
  <si>
    <t>BCTHZXMPHDMIDM-UHFFFAOYSA-N</t>
  </si>
  <si>
    <t>86.2873, 106.0659, 150.0556, 150.0690, 162.0558, 198.2603, 269.1276, 313.0793, 313.1184, 313.2368</t>
  </si>
  <si>
    <t>FT4337NR</t>
  </si>
  <si>
    <t>3-Dehydroteasterone</t>
  </si>
  <si>
    <t>3-脱氢睾酮</t>
  </si>
  <si>
    <t>LMST01030131</t>
  </si>
  <si>
    <t>C15792</t>
  </si>
  <si>
    <t>[C@]12(CC(=O)[C@@]3([H])CC(=O)CC[C@]3(C)[C@@]1([H])CC[C@]1(C)[C@@]([H])([C@@](C)([H])[C@@H](O)[C@H](O)[C@@H](C)C(C)C)CC[C@@]21[H])[H]</t>
  </si>
  <si>
    <t>SVBMASFUJDIDJC-XFJIFGBKSA-N</t>
  </si>
  <si>
    <t>C28H46O4</t>
  </si>
  <si>
    <t>FT2146NR</t>
  </si>
  <si>
    <t>3-(3-methylfuran-2,5-diyl)-dipropionic acid</t>
  </si>
  <si>
    <t>3-(3-甲基呋喃-2,5-二基)-二丙酸</t>
  </si>
  <si>
    <t>LMFA01150046</t>
  </si>
  <si>
    <t>C1(CCC(=O)O)OC(CCC(=O)O)=CC=1C</t>
  </si>
  <si>
    <t>LVVGOPQBDMGEIB-UHFFFAOYSA-N</t>
  </si>
  <si>
    <t>113.5465, 138.8086, 139.0396, 172.4920, 195.0651, 205.3820, 205.4009, 211.0240, 238.0755, 271.2275</t>
  </si>
  <si>
    <t>FT3122NR</t>
  </si>
  <si>
    <t>Fujikinetin</t>
  </si>
  <si>
    <t>藤激素</t>
  </si>
  <si>
    <t>LMPK12050112</t>
  </si>
  <si>
    <t>C1(O)=CC2OC=C(C3C=CC4OCOC=4C=3)C(=O)C=2C=C1OC</t>
  </si>
  <si>
    <t>QMDVDQRHFDCVKB-UHFFFAOYSA-N</t>
  </si>
  <si>
    <t>72.2484, 92.1260, 112.9876, 121.0292, 121.0383, 163.0400, 250.9782, 302.6918, 351.5975, 357.0261</t>
  </si>
  <si>
    <t>C17H12O6</t>
  </si>
  <si>
    <t>FT4985PR</t>
  </si>
  <si>
    <t>5beta-Chola-3,8(14),11-trien-24-oic Acid</t>
  </si>
  <si>
    <t>5β-Chola-3,8(14),11-三烯-24-油酸</t>
  </si>
  <si>
    <t>LMST04010327</t>
  </si>
  <si>
    <t>C1[C@]2(C)[C@@]3([H])C=C[C@]4(C)[C@@]([H])([C@]([H])(C)CCC(O)=O)CCC4=C3CC[C@]2([H])C=CC1</t>
  </si>
  <si>
    <t>SDCFNOCWBVAGES-LVARZUFQSA-N</t>
  </si>
  <si>
    <t>254.2029, 255.2093, 259.1687, 261.1837, 273.1848, 319.2412, 337.2522, 355.2624, 355.3661, 356.2653</t>
  </si>
  <si>
    <t>C24H34O2</t>
  </si>
  <si>
    <t>FT3044PR</t>
  </si>
  <si>
    <t>Rolafagrel</t>
  </si>
  <si>
    <t>罗拉格雷</t>
  </si>
  <si>
    <t>HMDB0257292</t>
  </si>
  <si>
    <t>OC(=O)C1=CC2=C(CCC(=C2)N2C=CN=C2)C=C1</t>
  </si>
  <si>
    <t>DQEDSIVMYUUZCK-UHFFFAOYSA-N</t>
  </si>
  <si>
    <t>Naphthalenecarboxylic acids and derivatives</t>
  </si>
  <si>
    <t>萘甲酸及其衍生物</t>
  </si>
  <si>
    <t>C14H12N2O2</t>
  </si>
  <si>
    <t>FT0171NR</t>
  </si>
  <si>
    <t>Tetrahydro-2-methyl-3-furanol</t>
  </si>
  <si>
    <t>四氢-2-甲基-3-呋喃醇</t>
  </si>
  <si>
    <t>HMDB0039799</t>
  </si>
  <si>
    <t>29848-44-0</t>
  </si>
  <si>
    <t>CC1OCCC1O</t>
  </si>
  <si>
    <t>ZFVWBUVYNPLIIS-UHFFFAOYSA-N</t>
  </si>
  <si>
    <t>C5H10O2</t>
  </si>
  <si>
    <t>FT4578PR</t>
  </si>
  <si>
    <t>4-coumaroylshikimate</t>
  </si>
  <si>
    <t>4-香豆酰莽草酸酯</t>
  </si>
  <si>
    <t>HMDB0304174</t>
  </si>
  <si>
    <t>OC1C=C(CC(OC(=O)C=CC2=CC=C(O)C=C2)C1O)C(O)=O</t>
  </si>
  <si>
    <t>GVECSFFLZYNEBO-UHFFFAOYSA-N</t>
  </si>
  <si>
    <t>78.2626, 87.3879, 123.0550, 123.0680, 138.2071, 173.0788, 248.6357, 256.7131, 321.0937, 321.1356</t>
  </si>
  <si>
    <t>C16H16O7</t>
  </si>
  <si>
    <t>FT2358PR</t>
  </si>
  <si>
    <t>2-(2-Butoxyethoxy)ethanol</t>
  </si>
  <si>
    <t>二乙二醇丁醚</t>
  </si>
  <si>
    <t>HMDB0244918</t>
  </si>
  <si>
    <t>CCCCOCCOCCO</t>
  </si>
  <si>
    <t>OAYXUHPQHDHDDZ-UHFFFAOYSA-N</t>
  </si>
  <si>
    <t>149.0957, 149.1325, 161.9452, 161.9696, 167.1063, 167.1437, 185.1146, 185.1535, 186.1180, 200.3778</t>
  </si>
  <si>
    <t>FT1985NR</t>
  </si>
  <si>
    <t>Propylparaben sulfate</t>
  </si>
  <si>
    <t>对羟基苯甲酸丙酯硫酸盐</t>
  </si>
  <si>
    <t>HMDB0240718</t>
  </si>
  <si>
    <t>CCCOC(=O)C1=CC=C(OS([O-])(=O)=O)C=C1</t>
  </si>
  <si>
    <t>WEKBGFBWJOHXKR-UHFFFAOYSA-M</t>
  </si>
  <si>
    <t>137.0238, 139.0070, 146.9386, 156.6797, 179.0532, 179.0577, 179.0711, 205.3864, 259.0286, 259.0586</t>
  </si>
  <si>
    <t>M-</t>
  </si>
  <si>
    <t>C10H11O6S</t>
  </si>
  <si>
    <t>FT3615NR</t>
  </si>
  <si>
    <t>Bis-(4-methylumbelliferyl)phosphate</t>
  </si>
  <si>
    <t>BIS-MUP,二(4-甲基伞形酮)磷酸酯</t>
  </si>
  <si>
    <t>HMDB0246897</t>
  </si>
  <si>
    <t>CC1=CC(=O)OC2=C1C=CC(OP(O)(=O)OC1=CC3=C(C=C1)C(C)=CC(=O)O3)=C2</t>
  </si>
  <si>
    <t>FEGSOIMPQDYXJD-UHFFFAOYSA-N</t>
  </si>
  <si>
    <t>186.7694, 205.3944, 233.0791, 233.1059, 277.0686, 345.0182, 345.0561, 411.3268, 413.0434, 428.9804</t>
  </si>
  <si>
    <t>C20H15O8P</t>
  </si>
  <si>
    <t>FT4716PR</t>
  </si>
  <si>
    <t>5-Hydroxydecanoylcarnitine</t>
  </si>
  <si>
    <t>5-羟基癸酰肉碱</t>
  </si>
  <si>
    <t>HMDB0241061</t>
  </si>
  <si>
    <t>CCCCCC(O)CCCC(=O)OC(CC([O-])=O)C[N+](C)(C)C</t>
  </si>
  <si>
    <t>DUMQXZAINOHDGF-UHFFFAOYSA-N</t>
  </si>
  <si>
    <t>176.9884, 255.1588, 273.1697, 291.1859, 314.0848, 332.0956, 332.1459, 332.2426, 333.1453, 333.2516</t>
  </si>
  <si>
    <t>FT2149PR</t>
  </si>
  <si>
    <t>4-Ethyl-5-propylthiazole</t>
  </si>
  <si>
    <t>4-乙基-5-丙基噻唑</t>
  </si>
  <si>
    <t>HMDB0040064</t>
  </si>
  <si>
    <t>57246-61-4</t>
  </si>
  <si>
    <t>CCCC1=C(CC)N=CS1</t>
  </si>
  <si>
    <t>RXMRQNDYNJNUQS-UHFFFAOYSA-N</t>
  </si>
  <si>
    <t>C8H13NS</t>
  </si>
  <si>
    <t>FT5442PR</t>
  </si>
  <si>
    <t>N-oleoyl histidine</t>
  </si>
  <si>
    <t>N-油酰组氨酸</t>
  </si>
  <si>
    <t>LMFA08020133</t>
  </si>
  <si>
    <t>C1(N=CNC=1)C[C@]([H])(NC(CCCCCCC/C=C\CCCCCCCC)=O)C(=O)O</t>
  </si>
  <si>
    <t>QJFAABXOMYWNGP-DYYZXQNHSA-N</t>
  </si>
  <si>
    <t>C24H41N3O3</t>
  </si>
  <si>
    <t>FT7125PR</t>
  </si>
  <si>
    <t>5,6-Diepicapsokarpoxanthin</t>
  </si>
  <si>
    <t>5,6-二癸卡黄素</t>
  </si>
  <si>
    <t>LMPR01071019</t>
  </si>
  <si>
    <t>C1C(C)(C)[C@@](O)(/C=C/C(/C)=C/C=C/C(/C)=C/C=C/C=C(\C)/C=C/C=C(\C)/C=C/C([C@]2(C)C[C@@H](O)CC2(C)C)=O)[C@@](C)(O)C[C@H]1O</t>
  </si>
  <si>
    <t>LYYDEPKDTUIGFR-XCFOYWHTSA-N</t>
  </si>
  <si>
    <t>C40H58O5</t>
  </si>
  <si>
    <t>FT2452NR</t>
  </si>
  <si>
    <t>(S)-2-Methyl-1-butanol O-beta-D-Glucopyranoside</t>
  </si>
  <si>
    <t>(S)-2-甲基-1-丁醇O-β-D-吡喃葡萄糖苷</t>
  </si>
  <si>
    <t>HMDB0303770</t>
  </si>
  <si>
    <t>CCC(C)COC1OC(CO)C(O)C(O)C1O</t>
  </si>
  <si>
    <t>DMALNKYCYUUBGC-UHFFFAOYSA-N</t>
  </si>
  <si>
    <t>C11H22O6</t>
  </si>
  <si>
    <t>FT7845PR</t>
  </si>
  <si>
    <t>PC(20:4-OH(5S)/P-18:0)</t>
  </si>
  <si>
    <t>磷脂酰胆碱(20:4-OH(5S)/P-18:0)</t>
  </si>
  <si>
    <t>HMDB0289536</t>
  </si>
  <si>
    <t>[H][C@@](COC(=O)CCC[C@H](O)\C=C\C=C/C\C=C/C\C=C/CCCCC)(COP([O-])(=O)OCC[N+](C)(C)C)O\C=C\CCCCCCCCCCCCCCCC</t>
  </si>
  <si>
    <t>SLESQVIUPOAEHX-HTJPHARASA-N</t>
  </si>
  <si>
    <t>185.0761, 202.6997, 302.6890, 406.5189, 649.5147, 650.5203, 665.0938, 773.5123, 832.5807, 833.5913</t>
  </si>
  <si>
    <t>C46H84NO8P</t>
  </si>
  <si>
    <t>FT0170NR</t>
  </si>
  <si>
    <t>Pivalic acid</t>
  </si>
  <si>
    <t>三甲基乙酸</t>
  </si>
  <si>
    <t>HMDB0041992</t>
  </si>
  <si>
    <t>LMFA01020073</t>
  </si>
  <si>
    <t>75-98-9</t>
  </si>
  <si>
    <t>C(C)(C)(C)C(=O)O</t>
  </si>
  <si>
    <t>IUGYQRQAERSCNH-UHFFFAOYSA-N</t>
  </si>
  <si>
    <t>FT2025NR</t>
  </si>
  <si>
    <t>3-(Isothiocyanatomethyl)-1-methoxy-1H-indole</t>
  </si>
  <si>
    <t>3-(异硫氰酸甲酯)-1-甲氧基-1H-吲哚</t>
  </si>
  <si>
    <t>HMDB0038463</t>
  </si>
  <si>
    <t>126769-93-5</t>
  </si>
  <si>
    <t>CON1C=C(CN=C=S)C2=CC=CC=C12</t>
  </si>
  <si>
    <t>FLURSKCCKANNKS-UHFFFAOYSA-N</t>
  </si>
  <si>
    <t>68.50599, 105.77999, 128.65814, 193.43301, 195.06325, 196.09427, 262.98682</t>
  </si>
  <si>
    <t>C11H10N2OS</t>
  </si>
  <si>
    <t>FT3014NR</t>
  </si>
  <si>
    <t>ent-6,16-Kauradien-19-oic acid</t>
  </si>
  <si>
    <t>ent-6,16-康醇二烯-19-酸</t>
  </si>
  <si>
    <t>HMDB0036697</t>
  </si>
  <si>
    <t>77280-78-5</t>
  </si>
  <si>
    <t>CC12CCCC(C)(C1C=CC13CC(CCC21)C(=C)C3)C(O)=O</t>
  </si>
  <si>
    <t>CZTZKVUEUYRGFD-UHFFFAOYSA-N</t>
  </si>
  <si>
    <t>C20H28O2</t>
  </si>
  <si>
    <t>FT1355PR</t>
  </si>
  <si>
    <t>2R-Hydroxymethyl-3S-hydroxypyrolidine</t>
  </si>
  <si>
    <t>2R-羟甲基-3S-羟基吡咯烷</t>
  </si>
  <si>
    <t>HMDB0304601</t>
  </si>
  <si>
    <t>OC[C@H]1NCC[C@@H]1O</t>
  </si>
  <si>
    <t>TYLFLHPQWQQWRD-UHNVWZDZSA-N</t>
  </si>
  <si>
    <t>82.0633, 94.2348, 96.0787, 101.6702, 114.0889, 124.8937, 126.7990, 140.0680, 141.0712, 152.4628</t>
  </si>
  <si>
    <t>FT3603PR</t>
  </si>
  <si>
    <t>Solanolone</t>
  </si>
  <si>
    <t>茄醇酮</t>
  </si>
  <si>
    <t>HMDB0033262</t>
  </si>
  <si>
    <t>105933-57-1</t>
  </si>
  <si>
    <t>CC1=C(O)C=C2C(=O)C(O)C3CCC(O)C(O)C3C2=C1</t>
  </si>
  <si>
    <t>MBBMNXMKZBEZIP-UHFFFAOYSA-N</t>
  </si>
  <si>
    <t>Phenanthrenes and derivatives</t>
  </si>
  <si>
    <t>Hydrophenanthrenes</t>
  </si>
  <si>
    <t>菲及其衍生物</t>
  </si>
  <si>
    <t>氢菲</t>
  </si>
  <si>
    <t>205.4067, 229.1792, 230.0041, 230.0728, 230.1261, 230.9716, 237.9924, 256.0028, 261.0657, 261.1155</t>
  </si>
  <si>
    <t>FT1626NR</t>
  </si>
  <si>
    <t>1-(4-Methoxyphenyl)-1-penten-3-one</t>
  </si>
  <si>
    <t>1-(4-甲氧苯基)-1-戊烯-3-酮</t>
  </si>
  <si>
    <t>HMDB0030905</t>
  </si>
  <si>
    <t>104-27-8</t>
  </si>
  <si>
    <t>CCC(=O)\C=C\C1=CC=C(OC)C=C1</t>
  </si>
  <si>
    <t>SLDQOBRACOQXGE-QPJJXVBHSA-N</t>
  </si>
  <si>
    <t>C12H14O2</t>
  </si>
  <si>
    <t>FT2415PR</t>
  </si>
  <si>
    <t>AKOS017839944</t>
  </si>
  <si>
    <t>C#CCNCC(O)=NCC(=O)O</t>
  </si>
  <si>
    <t>NCXCQLLPUVFEQF-UHFFFAOYSA-N</t>
  </si>
  <si>
    <t>171.0762, 171.0939, 171.1116, 171.1488, 188.0356, 188.0723, 188.1028, 188.1390, 188.1738, 205.4087</t>
  </si>
  <si>
    <t>C7H10N2O3</t>
  </si>
  <si>
    <t>FT0678PR</t>
  </si>
  <si>
    <t>Aminomethanesulfonic acid</t>
  </si>
  <si>
    <t>氨基甲磺酸</t>
  </si>
  <si>
    <t>HMDB0248321</t>
  </si>
  <si>
    <t>NCS(O)(=O)=O</t>
  </si>
  <si>
    <t>OBESRABRARNZJB-UHFFFAOYSA-N</t>
  </si>
  <si>
    <t>CH5NO3S</t>
  </si>
  <si>
    <t>FT3725PR</t>
  </si>
  <si>
    <t>Octadecylamine</t>
  </si>
  <si>
    <t>十八胺</t>
  </si>
  <si>
    <t>HMDB0029586</t>
  </si>
  <si>
    <t>124-30-1</t>
  </si>
  <si>
    <t>CCCCCCCCCCCCCCCCCCN</t>
  </si>
  <si>
    <t>REYJJPSVUYRZGE-UHFFFAOYSA-N</t>
  </si>
  <si>
    <t>105.3695, 113.8661, 184.8884, 205.4069, 215.6976, 270.2502, 270.2789, 270.3144, 271.2256, 272.8388</t>
  </si>
  <si>
    <t>C18H39N</t>
  </si>
  <si>
    <t>FT1811NR</t>
  </si>
  <si>
    <t>1,3,2-Dioxathiolane 2,2-dioxide</t>
  </si>
  <si>
    <t>硫酸乙烯酯</t>
  </si>
  <si>
    <t>HMDB0252075</t>
  </si>
  <si>
    <t>O=S1(=O)OCCO1</t>
  </si>
  <si>
    <t>ZPFAVCIQZKRBGF-UHFFFAOYSA-N</t>
  </si>
  <si>
    <t>C2H4O4S</t>
  </si>
  <si>
    <t>FT0127PR</t>
  </si>
  <si>
    <t>Acetamide</t>
  </si>
  <si>
    <t>乙酰胺</t>
  </si>
  <si>
    <t>HMDB0031645</t>
  </si>
  <si>
    <t>C06244</t>
  </si>
  <si>
    <t>60-35-5</t>
  </si>
  <si>
    <t>CC(N)=O</t>
  </si>
  <si>
    <t>DLFVBJFMPXGRIB-UHFFFAOYSA-N</t>
  </si>
  <si>
    <t>C2H5NO</t>
  </si>
  <si>
    <t>FT2397NR</t>
  </si>
  <si>
    <t>SCHEMBL18755187</t>
  </si>
  <si>
    <t>CC1OC(OC2C(O)OC(C)C(O)C2O)C(O)C(O)C1O</t>
  </si>
  <si>
    <t>LGZDMFLDPIGJEV-UHFFFAOYSA-N</t>
  </si>
  <si>
    <t>C12H22O9</t>
  </si>
  <si>
    <t>FT1960NR</t>
  </si>
  <si>
    <t>4-Benzyl-2-methyl-1,2,4-thiadiazolidine-3,5-dione</t>
  </si>
  <si>
    <t>4-苄基-2-甲基-1,2,4-噻二唑烷-3,5-二酮</t>
  </si>
  <si>
    <t>HMDB0258758</t>
  </si>
  <si>
    <t>R-HSA-1643685,R-HSA-5663205,R-HSA-9678108,R-HSA-9679506,R-HSA-9683610,R-HSA-9683701,R-HSA-9694516,R-HSA-9694631,R-HSA-9694635,R-HSA-9772573,R-HSA-9824446</t>
  </si>
  <si>
    <t>Disease|Infectious disease|SARS-CoV-1 Infection|SARS-CoV Infections|Maturation of nucleoprotein|Translation of Structural Proteins|SARS-CoV-2 Infection|Maturation of nucleoprotein|Translation of Structural Proteins|Late SARS-CoV-2 Infection Events|Viral Infection Pathways</t>
  </si>
  <si>
    <t>CN1SC(=O)N(CC2=CC=CC=C2)C1=O</t>
  </si>
  <si>
    <t>JDSJDASOXWCHPN-UHFFFAOYSA-N</t>
  </si>
  <si>
    <t>167.0371, 178.4346, 184.8581, 189.0018, 197.0542, 205.3929, 218.6125, 246.8832, 256.9858, 257.1766</t>
  </si>
  <si>
    <t>C10H10N2O2S</t>
  </si>
  <si>
    <t>FT1241NR</t>
  </si>
  <si>
    <t>9-Methyl-3-(2-methylpropyl)purine-2,6-dione</t>
  </si>
  <si>
    <t>9-甲基-3-(2-甲基丙基)嘌呤-2,6-二酮</t>
  </si>
  <si>
    <t>HMDB0258040</t>
  </si>
  <si>
    <t>CC(C)CN1C2=C(N=CN2C)C(=O)NC1=O</t>
  </si>
  <si>
    <t>YXCDYYGEQLPJAZ-UHFFFAOYSA-N</t>
  </si>
  <si>
    <t>C10H14N4O2</t>
  </si>
  <si>
    <t>FT3031NR</t>
  </si>
  <si>
    <t>CHEMBL5222656</t>
  </si>
  <si>
    <t>COc1c(S(=O)(=O)O)cc2c(c1OC)C(=O)c1ccccc1C2=O</t>
  </si>
  <si>
    <t>QGQOPCZPUAKPAV-UHFFFAOYSA-N</t>
  </si>
  <si>
    <t>Anthraquinones</t>
  </si>
  <si>
    <t>蒽醌类</t>
  </si>
  <si>
    <t>66.0616, 69.1963, 75.0086, 78.9334, 88.8010, 142.9956, 252.0422, 267.0658, 268.0695, 347.0233</t>
  </si>
  <si>
    <t>C16H12O7S</t>
  </si>
  <si>
    <t>FT2925PR</t>
  </si>
  <si>
    <t>2-(4-Methyl-5-thiazolyl)ethyl isobutyrate</t>
  </si>
  <si>
    <t>2-甲基丙酸 2-(5-甲基-4-噻唑基)乙酯</t>
  </si>
  <si>
    <t>HMDB0032422</t>
  </si>
  <si>
    <t>94021-42-8</t>
  </si>
  <si>
    <t>CC(C)C(=O)OCCC1=C(C)SC=N1</t>
  </si>
  <si>
    <t>KMEDDQQKAPHCLF-UHFFFAOYSA-N</t>
  </si>
  <si>
    <t>C10H15NO2S</t>
  </si>
  <si>
    <t>FT2947PR</t>
  </si>
  <si>
    <t>Fencamfamine</t>
  </si>
  <si>
    <t>芬坎法明</t>
  </si>
  <si>
    <t>HMDB0015508</t>
  </si>
  <si>
    <t>1209-98-9</t>
  </si>
  <si>
    <t>CCNC1C2CCC(C2)C1C1=CC=CC=C1</t>
  </si>
  <si>
    <t>IKFBPFGUINLYQI-UHFFFAOYSA-N</t>
  </si>
  <si>
    <t>C15H21N</t>
  </si>
  <si>
    <t>FT0122NR</t>
  </si>
  <si>
    <t>3-Methyl-1,2-cyclopentanedione</t>
  </si>
  <si>
    <t>3-甲基环戊烷-1,2-二酮</t>
  </si>
  <si>
    <t>HMDB0031543</t>
  </si>
  <si>
    <t>765-70-8</t>
  </si>
  <si>
    <t>CC1CCC(=O)C1=O</t>
  </si>
  <si>
    <t>OACYKCIZDVVNJL-UHFFFAOYSA-N</t>
  </si>
  <si>
    <t>65.0396, 65.5960, 65.6564, 68.3270, 68.3967, 76.9634, 78.0717, 81.8217, 92.9278, 93.0343</t>
  </si>
  <si>
    <t>C6H8O2</t>
  </si>
  <si>
    <t>FT1797PR</t>
  </si>
  <si>
    <t>Erythronic acid</t>
  </si>
  <si>
    <t>三羥丁酸</t>
  </si>
  <si>
    <t>HMDB0000613</t>
  </si>
  <si>
    <t>13752-84-6</t>
  </si>
  <si>
    <t>OC[C@@H](O)[C@@H](O)C(O)=O</t>
  </si>
  <si>
    <t>JPIJQSOTBSSVTP-PWNYCUMCSA-N</t>
  </si>
  <si>
    <t>C4H8O5</t>
  </si>
  <si>
    <t>FT1509PR</t>
  </si>
  <si>
    <t>2-Ethoxythiazole</t>
  </si>
  <si>
    <t>2-乙氧基噻唑</t>
  </si>
  <si>
    <t>HMDB0041282</t>
  </si>
  <si>
    <t>15679-19-3</t>
  </si>
  <si>
    <t>CCOC1=NC=CS1</t>
  </si>
  <si>
    <t>NDUWJHRKDYXRAD-UHFFFAOYSA-N</t>
  </si>
  <si>
    <t>C5H7NOS</t>
  </si>
  <si>
    <t>FT1857PR</t>
  </si>
  <si>
    <t>5-(2-Hydroxyethyl)-4-methylthiazole</t>
  </si>
  <si>
    <t>4-甲基-5-(β-羟乙基)噻唑</t>
  </si>
  <si>
    <t>HMDB0032985</t>
  </si>
  <si>
    <t>C04294</t>
  </si>
  <si>
    <t>hsa00730</t>
  </si>
  <si>
    <t>Thiamine metabolism</t>
  </si>
  <si>
    <t>137-00-8</t>
  </si>
  <si>
    <t>CC1=C(CCO)SC=N1</t>
  </si>
  <si>
    <t>BKAWJIRCKVUVED-UHFFFAOYSA-N</t>
  </si>
  <si>
    <t>C6H9NOS</t>
  </si>
  <si>
    <t>FT3751PR</t>
  </si>
  <si>
    <t>Myristoyl-EA</t>
  </si>
  <si>
    <t>肉豆蔻酰胺 MEA</t>
  </si>
  <si>
    <t>LMFA08040042</t>
  </si>
  <si>
    <t>C(CCCCCCCCCCCC)C(=O)NCCO</t>
  </si>
  <si>
    <t>JHIXEZNTXMFXEK-UHFFFAOYSA-N</t>
  </si>
  <si>
    <t>90.4434, 100.0757, 205.4032, 210.7370, 254.2474, 254.2780, 269.0451, 272.2579, 272.2906, 273.1652</t>
  </si>
  <si>
    <t>C16H33NO2</t>
  </si>
  <si>
    <t>FT3812NR</t>
  </si>
  <si>
    <t>Albanin C</t>
  </si>
  <si>
    <t>阿尔巴宁C</t>
  </si>
  <si>
    <t>HMDB0033756</t>
  </si>
  <si>
    <t>73343-43-8</t>
  </si>
  <si>
    <t>CC(C)=CCC1=C(OC2=C(C(O)=CC3=C2CC(O3)C(C)(C)O)C1=O)C1=C(O)C=C(O)C=C1</t>
  </si>
  <si>
    <t>ZDJLVJJUSHPYOI-UHFFFAOYSA-N</t>
  </si>
  <si>
    <t>Flavones</t>
  </si>
  <si>
    <t>黄酮类</t>
  </si>
  <si>
    <t>67.6042, 70.7815, 96.9598, 183.4340, 267.9818, 345.1672, 357.0971, 369.1734, 437.0563, 437.1603</t>
  </si>
  <si>
    <t>FT3396PR</t>
  </si>
  <si>
    <t>dihydropyridazinone 6a</t>
  </si>
  <si>
    <t>左西孟旦杂质</t>
  </si>
  <si>
    <t>HMDB0060861</t>
  </si>
  <si>
    <t>C[C@@H]1CC(=O)NN=C1C1=CC=C(NC(C)=O)C=C1</t>
  </si>
  <si>
    <t>GDZXNMWZXLDEKG-MRVPVSSYSA-N</t>
  </si>
  <si>
    <t>187.0961, 188.0407, 188.0703, 188.0903, 188.0990, 200.1176, 201.1019, 229.0967, 246.1234, 246.1697</t>
  </si>
  <si>
    <t>C13H15N3O2</t>
  </si>
  <si>
    <t>FT2391NR</t>
  </si>
  <si>
    <t>Purpald</t>
  </si>
  <si>
    <t>4-氨基-3-肼基-5-巯基-1,2,4-三氮唑</t>
  </si>
  <si>
    <t>HMDB0244791</t>
  </si>
  <si>
    <t>NN=C1NN=C(S)N1N</t>
  </si>
  <si>
    <t>RDIMQHBOTMWMJA-UHFFFAOYSA-N</t>
  </si>
  <si>
    <t>Triazoles</t>
  </si>
  <si>
    <t>三唑类</t>
  </si>
  <si>
    <t>C2H6N6S</t>
  </si>
  <si>
    <t>FT2112NR</t>
  </si>
  <si>
    <t>Olivetolic acid</t>
  </si>
  <si>
    <t>2,4-二羟基-6-戊基苯甲酸</t>
  </si>
  <si>
    <t>LMPK15040016</t>
  </si>
  <si>
    <t>C1(O)C=C(CCCCC)C(C(O)=O)=C(O)C=1</t>
  </si>
  <si>
    <t>SXFKFRRXJUJGSS-UHFFFAOYSA-N</t>
  </si>
  <si>
    <t>145.1469, 147.0813, 149.0966, 183.2024, 193.0864, 225.1137, 269.1023, 269.1307, 269.1782, 269.2103</t>
  </si>
  <si>
    <t>C12H16O4</t>
  </si>
  <si>
    <t>FT2929NR</t>
  </si>
  <si>
    <t>1,2,3,4-Tetrahydro-1-[1-hydroxy-3-(4-hydroxyphenyl)-2-propenyl]-6,7-dimethoxy-2-naphthalenol</t>
  </si>
  <si>
    <t>1,2,3,4-四氢-1-[1-羟基-3-(4-羟基苯基)-2-丙烯基]-6,7-二甲氧基-2-萘酚</t>
  </si>
  <si>
    <t>HMDB0041401</t>
  </si>
  <si>
    <t>163811-76-5</t>
  </si>
  <si>
    <t>COC1=C(OC)C=C2C(C(O)\C=C/C3=CC=C(O)C=C3)C(O)CCC2=C1</t>
  </si>
  <si>
    <t>KAYRJPGARKNUEX-UITAMQMPSA-N</t>
  </si>
  <si>
    <t>106.6959, 110.0179, 116.6519, 131.0560, 134.9132, 151.0394, 172.1416, 257.0808, 337.0391, 337.1415</t>
  </si>
  <si>
    <t>C21H24O5</t>
  </si>
  <si>
    <t>FT4771PR</t>
  </si>
  <si>
    <t>Yucalexin P17</t>
  </si>
  <si>
    <t>优卡素P17</t>
  </si>
  <si>
    <t>HMDB0036752</t>
  </si>
  <si>
    <t>119642-82-9</t>
  </si>
  <si>
    <t>CC1(C)C(O)C(=O)CC2(C)C3CC(O)C(C)(C=C)C=C3CCC12</t>
  </si>
  <si>
    <t>OKNGHMJLXXXEEZ-UHFFFAOYSA-N</t>
  </si>
  <si>
    <t>FT2230PR</t>
  </si>
  <si>
    <t>Isoalliin</t>
  </si>
  <si>
    <t>异蒜氨酸</t>
  </si>
  <si>
    <t>HMDB0029441</t>
  </si>
  <si>
    <t>C08295</t>
  </si>
  <si>
    <t>23315-20-0</t>
  </si>
  <si>
    <t>C\C=C/S(=O)CC(N)C(O)=O</t>
  </si>
  <si>
    <t>OKYHUOHBRKWCQJ-IHWYPQMZSA-N</t>
  </si>
  <si>
    <t>FT1435NR</t>
  </si>
  <si>
    <t>Phosphohydroxypyruvic acid</t>
  </si>
  <si>
    <t>2-氧代-3-(磷酰氧基)丙酸</t>
  </si>
  <si>
    <t>HMDB0001024</t>
  </si>
  <si>
    <t>C03232</t>
  </si>
  <si>
    <t>hsa00260,hsa00270</t>
  </si>
  <si>
    <t>Glycine, serine and threonine metabolism|Cysteine and methionine metabolism</t>
  </si>
  <si>
    <t>R-HSA-1430728,R-HSA-71291,R-HSA-977347</t>
  </si>
  <si>
    <t>Metabolism|Metabolism of amino acids and derivatives|Serine biosynthesis</t>
  </si>
  <si>
    <t>3913-50-6</t>
  </si>
  <si>
    <t>OC(=O)C(=O)COP(O)(O)=O</t>
  </si>
  <si>
    <t>LFLUCDOSQPJJBE-UHFFFAOYSA-N</t>
  </si>
  <si>
    <t>150.9465, 168.2190, 170.9612, 172.9403, 172.9764, 188.9714, 190.9705, 190.9874, 205.4000, 218.9820</t>
  </si>
  <si>
    <t>C3H5O7P</t>
  </si>
  <si>
    <t>FT3486PR</t>
  </si>
  <si>
    <t>vanillyl alcohol 4-sulfate</t>
  </si>
  <si>
    <t>香草醇 4-硫酸盐</t>
  </si>
  <si>
    <t>COc1cc(CO)ccc1OS(=O)(=O)O</t>
  </si>
  <si>
    <t>LGXHPUANUXIBJQ-UHFFFAOYSA-N</t>
  </si>
  <si>
    <t>198.9537, 205.9880, 206.0479, 213.3167, 220.8373, 224.0580, 229.4469, 252.0529, 252.1169, 252.1585</t>
  </si>
  <si>
    <t>C8H10O6S</t>
  </si>
  <si>
    <t>FT4517PR</t>
  </si>
  <si>
    <t>Mono(1-ethylhexyl) phthalate</t>
  </si>
  <si>
    <t>邻苯二甲酸单(1-乙基己基)酯</t>
  </si>
  <si>
    <t>HMDB0245642</t>
  </si>
  <si>
    <t>CCCCCC(CC)OC(=O)C1=CC=CC=C1C(O)=O</t>
  </si>
  <si>
    <t>SVRGUNPFMROZBU-UHFFFAOYSA-N</t>
  </si>
  <si>
    <t>222.2722, 222.8904, 244.8702, 256.8201, 258.4850, 258.8160, 317.0144, 317.0841, 317.1153, 317.1764</t>
  </si>
  <si>
    <t>FT2370PR</t>
  </si>
  <si>
    <t>2-undecenal</t>
  </si>
  <si>
    <t>反-2-十一烯醛</t>
  </si>
  <si>
    <t>HMDB0040247</t>
  </si>
  <si>
    <t>LMFA06000065</t>
  </si>
  <si>
    <t>2463-77-6</t>
  </si>
  <si>
    <t>C(C)CCCCCC/C=C/C([H])=O</t>
  </si>
  <si>
    <t>PANBRUWVURLWGY-MDZDMXLPSA-N</t>
  </si>
  <si>
    <t>C11H20O</t>
  </si>
  <si>
    <t>FT5324PR</t>
  </si>
  <si>
    <t>N-Palmitoyl Lysine</t>
  </si>
  <si>
    <t>N-棕榈酰赖氨酸</t>
  </si>
  <si>
    <t>HMDB0241929</t>
  </si>
  <si>
    <t>CCCCCCCCCCCCCCCC(=O)NC(CCCCN)C(O)=O</t>
  </si>
  <si>
    <t>OLDGKSQBWGEFNM-UHFFFAOYSA-N</t>
  </si>
  <si>
    <t>C22H44N2O3</t>
  </si>
  <si>
    <t>FT0828PR</t>
  </si>
  <si>
    <t>2-Hydroxypurine</t>
  </si>
  <si>
    <t>1,3-二氢-2H-嘌呤-2-酮</t>
  </si>
  <si>
    <t>HMDB0245165</t>
  </si>
  <si>
    <t>OC1=NC=C2NC=NC2=N1</t>
  </si>
  <si>
    <t>CRIZPXKICGBNKG-UHFFFAOYSA-N</t>
  </si>
  <si>
    <t>FT1482NR</t>
  </si>
  <si>
    <t>Methylisoeugenol</t>
  </si>
  <si>
    <t>顺式-甲基异丁香油酚</t>
  </si>
  <si>
    <t>HMDB0041553</t>
  </si>
  <si>
    <t>C10478</t>
  </si>
  <si>
    <t>6379-72-2</t>
  </si>
  <si>
    <t>COC1=C(OC)C=C(\C=C/C)C=C1</t>
  </si>
  <si>
    <t>NNWHUJCUHAELCL-PLNGDYQASA-N</t>
  </si>
  <si>
    <t>188.8536, 192.0221, 194.0661, 194.9544, 203.9863, 223.0284, 223.0968, 223.1348, 224.0609, 224.1001</t>
  </si>
  <si>
    <t>FT4666PR</t>
  </si>
  <si>
    <t>2-Hydroxyundecanoylcarnitine</t>
  </si>
  <si>
    <t>2-羟基十一酰肉碱</t>
  </si>
  <si>
    <t>HMDB0241149</t>
  </si>
  <si>
    <t>CCCCCCCCCC(O)C(=O)OC(CC([O-])=O)C[N+](C)(C)C</t>
  </si>
  <si>
    <t>BDFCOAFDDQLSCO-UHFFFAOYSA-N</t>
  </si>
  <si>
    <t>269.1744, 306.2906, 314.6600, 328.1140, 328.1542, 328.1997, 328.2475, 328.3680, 329.1121, 329.2497</t>
  </si>
  <si>
    <t>FT2966PR</t>
  </si>
  <si>
    <t>Trimethylolmelamine</t>
  </si>
  <si>
    <t>三羟甲基三聚氰胺</t>
  </si>
  <si>
    <t>HMDB0259242</t>
  </si>
  <si>
    <t>OCNC1=NC(NCO)=NC(NCO)=N1</t>
  </si>
  <si>
    <t>USDJGQLNFPZEON-UHFFFAOYSA-N</t>
  </si>
  <si>
    <t>C6H12N6O3</t>
  </si>
  <si>
    <t>FT4533PR</t>
  </si>
  <si>
    <t>Dansylcadaverine</t>
  </si>
  <si>
    <t>N-(5-氨基戊基)-5-(二甲基氨基)萘-1-磺酰胺</t>
  </si>
  <si>
    <t>HMDB0250850</t>
  </si>
  <si>
    <t>CN(C)C1=CC=CC2=C1C=CC=C2S(=O)(=O)NCCCCCN</t>
  </si>
  <si>
    <t>MLEBFEHOJICQQS-UHFFFAOYSA-N</t>
  </si>
  <si>
    <t>318.2718, 318.6230, 318.6658, 319.6285, 368.5392, 378.0664, 418.7127, 613.2332, 613.3395, 614.3431</t>
  </si>
  <si>
    <t>C17H25N3O2S</t>
  </si>
  <si>
    <t>FT5588PR</t>
  </si>
  <si>
    <t>N-(((2,7-Dimethyl-9H-fluoren-9-yl)methoxy)carbonyl)-L-leucine</t>
  </si>
  <si>
    <t xml:space="preserve"> N-(((2,7-二甲基-9H-芴-9-基)甲氧基)羰基)-L-亮氨酸</t>
  </si>
  <si>
    <t>HMDB0255763</t>
  </si>
  <si>
    <t>CC(C)CC(NC(=O)OCC1C2=C(C=CC(C)=C2)C2=C1C=C(C)C=C2)C(O)=O</t>
  </si>
  <si>
    <t>SEHPSBSPFWAVPK-UHFFFAOYSA-N</t>
  </si>
  <si>
    <t>93.6953, 115.2032, 150.0284, 271.1439, 280.3137, 299.0996, 299.1385, 300.1435, 305.4092, 365.9445</t>
  </si>
  <si>
    <t>C23H27NO4</t>
  </si>
  <si>
    <t>FT4247PR</t>
  </si>
  <si>
    <t>(-)-Norushinsunine</t>
  </si>
  <si>
    <t>HMDB0302139</t>
  </si>
  <si>
    <t>OC1C2NCCC3=CC4=C(OCO4)C(C4=C1C=CC=C4)=C23</t>
  </si>
  <si>
    <t>CKIYSMRPIBQTHQ-UHFFFAOYSA-N</t>
  </si>
  <si>
    <t>Hydroxy-7-aporphines</t>
  </si>
  <si>
    <t>羟基-7-阿朴啡</t>
  </si>
  <si>
    <t>FT0900PR</t>
  </si>
  <si>
    <t>Iminodicarbonsaure</t>
  </si>
  <si>
    <t>亚氨基二碳脲</t>
  </si>
  <si>
    <t>HMDB0253431</t>
  </si>
  <si>
    <t>OC(=O)NC(O)=O</t>
  </si>
  <si>
    <t>BUZRUIZTMOKRPB-UHFFFAOYSA-N</t>
  </si>
  <si>
    <t>100.0246, 100.0442, 101.0252, 118.0349, 120.8214, 123.0400, 123.0551, 123.0796, 124.0391, 129.6558</t>
  </si>
  <si>
    <t>C2H3NO4</t>
  </si>
  <si>
    <t>FT1374PR</t>
  </si>
  <si>
    <t>4-Hydroxybenzylamine</t>
  </si>
  <si>
    <t>4-(氨基甲基)苯酚</t>
  </si>
  <si>
    <t>HMDB0032578</t>
  </si>
  <si>
    <t>696-60-6</t>
  </si>
  <si>
    <t>NCC1=CC=C(O)C=C1</t>
  </si>
  <si>
    <t>RQJDUEKERVZLLU-UHFFFAOYSA-N</t>
  </si>
  <si>
    <t>Phenylmethylamines</t>
  </si>
  <si>
    <t>苯甲胺</t>
  </si>
  <si>
    <t>C7H9NO</t>
  </si>
  <si>
    <t>FT3339PR</t>
  </si>
  <si>
    <t>1-Naphthyl phosphate</t>
  </si>
  <si>
    <t>1-萘磷酸钠盐，一水</t>
  </si>
  <si>
    <t>HMDB0243962</t>
  </si>
  <si>
    <t>OP(O)(=O)OC1=CC=CC2=CC=CC=C12</t>
  </si>
  <si>
    <t>YNXICDMQCQPQEW-UHFFFAOYSA-N</t>
  </si>
  <si>
    <t>169.9838, 185.9843, 196.0523, 200.0270, 200.0468, 200.0658, 205.3965, 205.4158, 224.0477, 242.2472</t>
  </si>
  <si>
    <t>C10H9O4P</t>
  </si>
  <si>
    <t>FT3617NR</t>
  </si>
  <si>
    <t>19-carboxy-19-demethyltelocinobufagin</t>
  </si>
  <si>
    <t>19-羧基-19-去甲基蟾蜍精</t>
  </si>
  <si>
    <t>LMST01130062</t>
  </si>
  <si>
    <t>C1[C@]2(C(O)=O)[C@@]3([H])CC[C@]4(C)[C@@]([H])(C5=COC(=O)C=C5)CC[C@]4(O)[C@]3([H])CC[C@]2(O)C[C@@H](O)C1</t>
  </si>
  <si>
    <t>LGVVDJZGLCVYTA-IFUCZAKDSA-N</t>
  </si>
  <si>
    <t>C24H32O7</t>
  </si>
  <si>
    <t>FT5846NR</t>
  </si>
  <si>
    <t>PC(22:0/LTE4)</t>
  </si>
  <si>
    <t>磷脂酰胆碱(22:0/LTE4)</t>
  </si>
  <si>
    <t>HMDB0287797</t>
  </si>
  <si>
    <t>CCCCCCCCCCCCCCCCCCCCCC(=O)OC[C@H](COP([O-])(=O)OCC[N+](C)(C)C)OC(=O)[C@@H](N)CS[C@H](\C=C\C=C\C=C/C\C=C/CCCCC)[C@@H](O)CCCC(O)=O</t>
  </si>
  <si>
    <t>JJIPIYFFUROVDC-FXKJKKOYSA-N</t>
  </si>
  <si>
    <t>196.0378, 234.7866, 281.2483, 282.2501, 343.7043, 478.2931, 515.6430, 999.6468, 1010.6757, 1029.8486</t>
  </si>
  <si>
    <t>C53H97N2O11PS</t>
  </si>
  <si>
    <t>FT1528NR</t>
  </si>
  <si>
    <t>Hispidin</t>
  </si>
  <si>
    <t>牛奶树碱</t>
  </si>
  <si>
    <t>HMDB0253181</t>
  </si>
  <si>
    <t>OC1=CC(=O)OC(C=CC2=CC=C(O)C(O)=C2)=C1</t>
  </si>
  <si>
    <t>SGJNQVTUYXCBKH-UHFFFAOYSA-N</t>
  </si>
  <si>
    <t>C13H10O5</t>
  </si>
  <si>
    <t>FT1534NR</t>
  </si>
  <si>
    <t>8,8-Diethoxy-2,6-dimethyl-2-octanol</t>
  </si>
  <si>
    <t>8,8-二乙氧基-2,6-二甲基-2-辛醇</t>
  </si>
  <si>
    <t>HMDB0034557</t>
  </si>
  <si>
    <t>7779-94-4</t>
  </si>
  <si>
    <t>CCOC(CC(C)CCCC(C)(C)O)OCC</t>
  </si>
  <si>
    <t>XOJDKWNFMFCXNE-UHFFFAOYSA-N</t>
  </si>
  <si>
    <t>C14H30O3</t>
  </si>
  <si>
    <t>FT3395NR</t>
  </si>
  <si>
    <t>Benthamianin</t>
  </si>
  <si>
    <t>本塞米宁</t>
  </si>
  <si>
    <t>LMPK12113388</t>
  </si>
  <si>
    <t>C1(O)=CC2OC3C4C=CC(O)=C(O)C=4COC=3C(=O)C=2C(O)=C1OC</t>
  </si>
  <si>
    <t>PXMLYJQOBCTZQP-UHFFFAOYSA-N</t>
  </si>
  <si>
    <t>139.0658, 182.3991, 183.0151, 183.0293, 183.0688, 183.6628, 184.0326, 187.0067, 389.0482, 390.0532</t>
  </si>
  <si>
    <t>C17H12O8</t>
  </si>
  <si>
    <t>FT2538NR</t>
  </si>
  <si>
    <t>Ethoxzolamide</t>
  </si>
  <si>
    <t>乙氧苯噻唑胺</t>
  </si>
  <si>
    <t>HMDB0014456</t>
  </si>
  <si>
    <t>452-35-7</t>
  </si>
  <si>
    <t>CCOC1=CC2=C(C=C1)N=C(S2)S(N)(=O)=O</t>
  </si>
  <si>
    <t>OUZWUKMCLIBBOG-UHFFFAOYSA-N</t>
  </si>
  <si>
    <t>C9H10N2O3S2</t>
  </si>
  <si>
    <t>FT3622PR</t>
  </si>
  <si>
    <t>3-Hydroxyvalerylcarnitine</t>
  </si>
  <si>
    <t>3-羟基戊酰肉碱</t>
  </si>
  <si>
    <t>HMDB0241654</t>
  </si>
  <si>
    <t>CCC(O)CC(=O)OC(CC([O-])=O)C[N+](C)(C)C</t>
  </si>
  <si>
    <t>SHDVOJJCEZGPBX-UHFFFAOYSA-N</t>
  </si>
  <si>
    <t>80.5655, 80.5718, 85.0288, 111.1373, 133.6202, 145.0491, 185.0815, 205.4025, 262.1418, 262.1657</t>
  </si>
  <si>
    <t>FT3563PR</t>
  </si>
  <si>
    <t>7-Ethyltridecane-4,6-dione</t>
  </si>
  <si>
    <t>7-乙基十三烷-4,6-二酮</t>
  </si>
  <si>
    <t>LMFA12000262</t>
  </si>
  <si>
    <t>CCCC(=O)CC(=O)C(CC)CCCCCC</t>
  </si>
  <si>
    <t>ZDIRYKYTPBOIJD-UHFFFAOYSA-N</t>
  </si>
  <si>
    <t>C15H28O2</t>
  </si>
  <si>
    <t>FT0175NR</t>
  </si>
  <si>
    <t>Pyruvatoxime</t>
  </si>
  <si>
    <t>丙酮毒肟</t>
  </si>
  <si>
    <t>HMDB0002455</t>
  </si>
  <si>
    <t>C02193</t>
  </si>
  <si>
    <t>2211-14-5</t>
  </si>
  <si>
    <t>C\C(=N/O)C(O)=O</t>
  </si>
  <si>
    <t>MVGBKLTYYAYYGY-DUXPYHPUSA-N</t>
  </si>
  <si>
    <t>Oximes</t>
  </si>
  <si>
    <t>肟类</t>
  </si>
  <si>
    <t>FT6523PR</t>
  </si>
  <si>
    <t>2-O-alpha-D-Glucopyranosyl-O-beta-D-galactopyranosylhydroxylysine</t>
  </si>
  <si>
    <t>2-O-α-D-吡喃葡萄糖基-O-β-D-吡喃半乳糖基羟基赖氨酸</t>
  </si>
  <si>
    <t>HMDB0246739</t>
  </si>
  <si>
    <t>NCC(CCC(N)C(O)=O)OC1OC(CO)C(O)C(O)C1OC1OC(CO)C(O)C(O)C1O</t>
  </si>
  <si>
    <t>UTIRJVJBKWSIOX-UHFFFAOYSA-N</t>
  </si>
  <si>
    <t>165.7643, 173.9708, 241.0806, 284.9951, 285.0704, 285.1643, 341.3657, 359.9914, 504.2805, 525.1658</t>
  </si>
  <si>
    <t>C18H34N2O13</t>
  </si>
  <si>
    <t>FT2961PR</t>
  </si>
  <si>
    <t>2-C-methyl-D-erythritol-4-phosphate</t>
  </si>
  <si>
    <t>甲基-D-赤藓醇磷酸盐</t>
  </si>
  <si>
    <t>HMDB0304061</t>
  </si>
  <si>
    <t>C11434</t>
  </si>
  <si>
    <t>hsa00900</t>
  </si>
  <si>
    <t>Terpenoid backbone biosynthesis</t>
  </si>
  <si>
    <t>[H][C@@](O)(COP(O)(O)=O)[C@@](C)(O)CO</t>
  </si>
  <si>
    <t>XMWHRVNVKDKBRG-UHNVWZDZSA-N</t>
  </si>
  <si>
    <t>171.0767, 173.0807, 189.0866, 199.0966, 205.3977, 217.0476, 217.0834, 217.1052, 217.1562, 217.1944</t>
  </si>
  <si>
    <t>C5H13O7P</t>
  </si>
  <si>
    <t>FT0189NR</t>
  </si>
  <si>
    <t>butane-1,2,3,4-tetrol</t>
  </si>
  <si>
    <t>赤藓醇</t>
  </si>
  <si>
    <t>C(C(C(CO)O)O)O</t>
  </si>
  <si>
    <t>UNXHWFMMPAWVPI-UHFFFAOYSA-N</t>
  </si>
  <si>
    <t>68.8234, 71.8528, 73.0294, 74.9936, 84.0157, 103.0397, 103.9200, 107.6435, 109.9952, 116.6657</t>
  </si>
  <si>
    <t>FT1989NR</t>
  </si>
  <si>
    <t>Anteisotridecanoic acid</t>
  </si>
  <si>
    <t>10-甲基十二烷酸</t>
  </si>
  <si>
    <t>LMFA01020005</t>
  </si>
  <si>
    <t>7416-57-1</t>
  </si>
  <si>
    <t>C(C)(CC)CCCCCCCCC(=O)O</t>
  </si>
  <si>
    <t>YETWOCQNUTWSQA-UHFFFAOYSA-N</t>
  </si>
  <si>
    <t>C13H26O2</t>
  </si>
  <si>
    <t>FT5776NR</t>
  </si>
  <si>
    <t>Cysteine-glutathione disulfide</t>
  </si>
  <si>
    <t>半胱氨酸-谷胱甘肽二硫化物</t>
  </si>
  <si>
    <t>HMDB0250707</t>
  </si>
  <si>
    <t>NC(CSC(=S)C(NC(=O)CCC(N)C(O)=O)C(=O)NCC(O)=O)C(O)O</t>
  </si>
  <si>
    <t>GNTARDAHCXNJEX-UHFFFAOYSA-N</t>
  </si>
  <si>
    <t>348.2283, 394.0976, 472.8254, 503.3820, 579.6022, 622.5209, 633.1506, 650.6672, 671.0950, 780.0930</t>
  </si>
  <si>
    <t>C13H22N4O8S2</t>
  </si>
  <si>
    <t>FT1687NR</t>
  </si>
  <si>
    <t>3-Methylbenzaldehyde</t>
  </si>
  <si>
    <t>3-甲基苯甲醛</t>
  </si>
  <si>
    <t>HMDB0029637</t>
  </si>
  <si>
    <t>C07209</t>
  </si>
  <si>
    <t>620-23-5</t>
  </si>
  <si>
    <t>CC1=CC(C=O)=CC=C1</t>
  </si>
  <si>
    <t>OVWYEQOVUDKZNU-UHFFFAOYSA-N</t>
  </si>
  <si>
    <t>Benzoyl derivatives</t>
  </si>
  <si>
    <t>苯甲酰衍生物</t>
  </si>
  <si>
    <t>C8H8O</t>
  </si>
  <si>
    <t>FT4108NR</t>
  </si>
  <si>
    <t>CMP-2-aminoethylphosphonate</t>
  </si>
  <si>
    <t>CMP-2-氨基乙基膦酸酯</t>
  </si>
  <si>
    <t>HMDB0060067</t>
  </si>
  <si>
    <t>C05673</t>
  </si>
  <si>
    <t>NCCP(O)(=O)OP(O)(=O)OC[C@H]1O[C@H]([C@H](O)[C@@H]1O)N1C=CC(=N)N=C1O</t>
  </si>
  <si>
    <t>FBADRUOBFLBKJQ-PEBGCTIMSA-N</t>
  </si>
  <si>
    <t>217.1072, 261.0739, 289.1062, 329.0165, 329.0614, 396.9892, 397.0486, 465.0379, 465.1380, 465.3063</t>
  </si>
  <si>
    <t>C11H20N4O10P2</t>
  </si>
  <si>
    <t>FT4206NR</t>
  </si>
  <si>
    <t>(9S,10E,12Z)-9-Hydroxyoctadeca-10,12-dienoylcarnitine</t>
  </si>
  <si>
    <t>CCCCC/C=C/C=C/C(O)CCCCCCCC(=O)OC(CC(=O)[O-])C[N+](C)(C)C</t>
  </si>
  <si>
    <t>JDHXMTDUIVMIEK-XILAHJMDSA-N</t>
  </si>
  <si>
    <t>122.9465, 122.9596, 135.3074, 205.3993, 237.5729, 302.6892, 342.3737, 474.2889, 475.2622, 498.5173</t>
  </si>
  <si>
    <t>FT1445PR</t>
  </si>
  <si>
    <t>Nitrosylsulfuric acid</t>
  </si>
  <si>
    <t>亚硝基硫酸</t>
  </si>
  <si>
    <t>HMDB0034828</t>
  </si>
  <si>
    <t>7782-78-7</t>
  </si>
  <si>
    <t>OS(=O)(=O)ON=O</t>
  </si>
  <si>
    <t>VQTGUFBGYOIUFS-UHFFFAOYSA-N</t>
  </si>
  <si>
    <t>HNO5S</t>
  </si>
  <si>
    <t>FT2390NR</t>
  </si>
  <si>
    <t>Pongone</t>
  </si>
  <si>
    <t>蓬戈内</t>
  </si>
  <si>
    <t>LMPK12110011</t>
  </si>
  <si>
    <t>C12OC=CC1=CC1C(=O)C=C(C3C=C(OC)C=CC=3)OC=1C=2</t>
  </si>
  <si>
    <t>URNICEODGHJCAQ-UHFFFAOYSA-N</t>
  </si>
  <si>
    <t>174.0066, 191.0864, 205.3978, 220.5689, 226.6676, 263.0711, 291.0657, 291.1601, 292.0682, 302.6785</t>
  </si>
  <si>
    <t>C18H12O4</t>
  </si>
  <si>
    <t>FT7047PR</t>
  </si>
  <si>
    <t>OOV-PE</t>
  </si>
  <si>
    <t>1-(9Z-十八烯酰基)-2-(5-氧代-戊酰基)-sn-甘油-3-磷酸乙醇胺</t>
  </si>
  <si>
    <t>LMGP20020037</t>
  </si>
  <si>
    <t>[C@](COP(=O)(O)OCCN)([H])(OC(CCCC=O)=O)COC(CCCCCCC/C=C\CCCCCCCC)=O</t>
  </si>
  <si>
    <t>IVBGFILLQAZJOY-RASRKNKNSA-N</t>
  </si>
  <si>
    <t>C28H52NO9P</t>
  </si>
  <si>
    <t>FT1132NR</t>
  </si>
  <si>
    <t>1-nitrosonaphthalene</t>
  </si>
  <si>
    <t>1-亚硝基萘</t>
  </si>
  <si>
    <t>HMDB0062189</t>
  </si>
  <si>
    <t>C14788</t>
  </si>
  <si>
    <t>21711-65-9</t>
  </si>
  <si>
    <t>O=NC1=CC=CC2=CC=CC=C12</t>
  </si>
  <si>
    <t>HXOPMUIUKYURIC-UHFFFAOYSA-N</t>
  </si>
  <si>
    <t>112.0029, 112.0118, 113.0131, 118.2574, 119.2704, 121.7417, 130.0224, 135.0312, 174.0122, 192.0225</t>
  </si>
  <si>
    <t>C10H7NO</t>
  </si>
  <si>
    <t>FT3382NR</t>
  </si>
  <si>
    <t>7,8-Dehydro-3,4-dihydro-beta-ionol</t>
  </si>
  <si>
    <t>脱氢二氢母紫罗兰醇</t>
  </si>
  <si>
    <t>HMDB0036184</t>
  </si>
  <si>
    <t>57069-86-0</t>
  </si>
  <si>
    <t>CC(O)CCC1=C(C)C=CCC1(C)C</t>
  </si>
  <si>
    <t>WPGXAVCJKGSOBD-UHFFFAOYSA-N</t>
  </si>
  <si>
    <t>FT1598PR</t>
  </si>
  <si>
    <t>1H-Indazol-3-amine</t>
  </si>
  <si>
    <t>3-氨基吲唑</t>
  </si>
  <si>
    <t>HMDB0244882</t>
  </si>
  <si>
    <t>N=C1NNC2=CC=CC=C12</t>
  </si>
  <si>
    <t>YDTDKKULPWTHRV-UHFFFAOYSA-N</t>
  </si>
  <si>
    <t>Benzopyrazoles</t>
  </si>
  <si>
    <t>Indazoles</t>
  </si>
  <si>
    <t>苯并吡唑</t>
  </si>
  <si>
    <t>吲唑类</t>
  </si>
  <si>
    <t>151.0981, 151.1086, 151.1326, 152.0169, 152.0297, 152.0701, 152.0827, 152.1068, 152.1206, 152.1434</t>
  </si>
  <si>
    <t>C7H7N3</t>
  </si>
  <si>
    <t>FT3729NR</t>
  </si>
  <si>
    <t>Prednisolone butyrate</t>
  </si>
  <si>
    <t>丁酸泼尼松龙</t>
  </si>
  <si>
    <t>HMDB0256746</t>
  </si>
  <si>
    <t>CCCC(=O)OC1=CC(=O)C=C2CCC3C4CCC(O)(C(=O)CO)C4(C)CC(O)C3C12C</t>
  </si>
  <si>
    <t>JPFAJILMLKRJFU-UHFFFAOYSA-N</t>
  </si>
  <si>
    <t>84.1545, 96.9598, 112.9846, 148.1553, 210.8190, 238.4752, 269.9887, 322.0580, 406.8499, 427.2149</t>
  </si>
  <si>
    <t>C25H34O7</t>
  </si>
  <si>
    <t>FT1076NR</t>
  </si>
  <si>
    <t>Cyclohexylcarbamic Acid</t>
  </si>
  <si>
    <t>O=C(O)NC1CCCCC1</t>
  </si>
  <si>
    <t>OQQXGCLLMDQESN-UHFFFAOYSA-N</t>
  </si>
  <si>
    <t>FT2649PR</t>
  </si>
  <si>
    <t>Ecgoninium Methyl Ester(1+)</t>
  </si>
  <si>
    <t xml:space="preserve"> Ecgoninium 甲酯(1+)</t>
  </si>
  <si>
    <t>HMDB0062751</t>
  </si>
  <si>
    <t>[H][C@@]12CC[C@@]([H])([NH+]1C)[C@@]([H])(C(=O)OC)[C@@]([H])(O)C2</t>
  </si>
  <si>
    <t>QIQNNBXHAYSQRY-UYXSQOIJSA-O</t>
  </si>
  <si>
    <t>C10H18NO3</t>
  </si>
  <si>
    <t>FT7659PR</t>
  </si>
  <si>
    <t>Termitomycesphin D</t>
  </si>
  <si>
    <t>鸡枞菌素 D</t>
  </si>
  <si>
    <t>LMSP05010098</t>
  </si>
  <si>
    <t>C([C@H](NC([C@H](O)CCCCCCCCCCCCCCCC)=O)[C@H](O)/C=C/C/C=C/C(O)(C)CCCCCCCCC)O[C@H]1[C@H](O)[C@@H](O)[C@H](O)[C@@H](CO)O1</t>
  </si>
  <si>
    <t>QAILYARUQKXWON-FLBUHPAXSA-N</t>
  </si>
  <si>
    <t>Glycosphingolipids</t>
  </si>
  <si>
    <t>鞘糖脂</t>
  </si>
  <si>
    <t>C43H81NO10</t>
  </si>
  <si>
    <t>FT1441NR</t>
  </si>
  <si>
    <t>Brassilexin</t>
  </si>
  <si>
    <t>油菜素</t>
  </si>
  <si>
    <t>HMDB0039638</t>
  </si>
  <si>
    <t>119752-76-0</t>
  </si>
  <si>
    <t>N1C2=C(C=NS2)C2=CC=CC=C12</t>
  </si>
  <si>
    <t>NHMBEDDKDVIBQD-UHFFFAOYSA-N</t>
  </si>
  <si>
    <t>C9H6N2S</t>
  </si>
  <si>
    <t>FT0655NR</t>
  </si>
  <si>
    <t>Dihydrojasmone</t>
  </si>
  <si>
    <t>二氢茉莉酮</t>
  </si>
  <si>
    <t>HMDB0031565</t>
  </si>
  <si>
    <t>1128-08-1</t>
  </si>
  <si>
    <t>CCCCCC1=C(C)CCC1=O</t>
  </si>
  <si>
    <t>YCIXWYOBMVNGTB-UHFFFAOYSA-N</t>
  </si>
  <si>
    <t>C11H18O</t>
  </si>
  <si>
    <t>FT2642NR</t>
  </si>
  <si>
    <t>9-hydroxy-10-oxo-12-octadecenoic acid</t>
  </si>
  <si>
    <t>9-羟基-10-氧代-12-十八烯酸</t>
  </si>
  <si>
    <t>LMFA02000170</t>
  </si>
  <si>
    <t>C(=O)(C/C=C/CCCCC)C(O)CCCCCCCC(=O)O</t>
  </si>
  <si>
    <t>KUSHOISAFGTTRU-JXMROGBWSA-N</t>
  </si>
  <si>
    <t>99.0812, 115.7461, 155.6241, 156.0385, 167.1435, 211.1328, 302.6834, 302.7182, 311.2223, 311.2583</t>
  </si>
  <si>
    <t>FT7058PR</t>
  </si>
  <si>
    <t>PI(20:4/0:0)</t>
  </si>
  <si>
    <t>磷脂酰肌醇(20:4/0:0)</t>
  </si>
  <si>
    <t>HMDB0256523</t>
  </si>
  <si>
    <t>CCCCCC=CCC=CCC=CCC=CCCCC(=O)OCC(O)COP(O)(=O)OC1C(O)C(O)C(O)C(O)C1O</t>
  </si>
  <si>
    <t>LXUGKKVCSTYZFK-UHFFFAOYSA-N</t>
  </si>
  <si>
    <t>Glycerophosphoinositols</t>
  </si>
  <si>
    <t>甘油磷酸肌醇</t>
  </si>
  <si>
    <t>C29H49O12P</t>
  </si>
  <si>
    <t>FT2896NR</t>
  </si>
  <si>
    <t>D-4'-Phosphopantothenate</t>
  </si>
  <si>
    <t>D-4'-泛磷酸酯</t>
  </si>
  <si>
    <t>HMDB0001016</t>
  </si>
  <si>
    <t>C03492</t>
  </si>
  <si>
    <t>hsa00410,hsa00770</t>
  </si>
  <si>
    <t>beta-Alanine metabolism|Pantothenate and CoA biosynthesis</t>
  </si>
  <si>
    <t>5875-50-3</t>
  </si>
  <si>
    <t>CC(C)(COP(O)(O)=O)[C@@H](O)C(=O)NCCC(O)=O</t>
  </si>
  <si>
    <t>XHFVGHPGDLDEQO-ZETCQYMHSA-N</t>
  </si>
  <si>
    <t>C9H18NO8P</t>
  </si>
  <si>
    <t>FT3876NR</t>
  </si>
  <si>
    <t>3-Methylpentadecanoylcarnitine</t>
  </si>
  <si>
    <t>3-甲基十五酰肉碱</t>
  </si>
  <si>
    <t>HMDB0240848</t>
  </si>
  <si>
    <t>CCCCCCCCCCCCC(C)CC(=O)OC(CC([O-])=O)C[N+](C)(C)C</t>
  </si>
  <si>
    <t>UPPYCLCCZXINQI-UHFFFAOYSA-N</t>
  </si>
  <si>
    <t>72.0969, 72.2937, 72.3031, 89.3308, 97.0971, 111.4239, 205.3973, 255.2329, 272.6771, 302.7000</t>
  </si>
  <si>
    <t>FT7844PR</t>
  </si>
  <si>
    <t>PC(18:1/20:3)</t>
  </si>
  <si>
    <t>磷脂酰胆碱(18:1/20:3)</t>
  </si>
  <si>
    <t>HMDB0008079</t>
  </si>
  <si>
    <t>LMGP01012154</t>
  </si>
  <si>
    <t>[C@](COP(=O)([O-])OCC[N+](C)(C)C)([H])(OC(CCC/C=C\C/C=C\C/C=C\CCCCCCCC)=O)COC(CCCCCCCCC/C=C\CCCCCC)=O</t>
  </si>
  <si>
    <t>GUKWLDDRYZDHHJ-QQZUSIKJSA-N</t>
  </si>
  <si>
    <t>184.0925, 185.0761, 198.3253, 261.7867, 302.7043, 312.0649, 649.5167, 773.5031, 832.5818, 833.5932</t>
  </si>
  <si>
    <t>FT1775NR</t>
  </si>
  <si>
    <t>Olaquindox</t>
  </si>
  <si>
    <t>喹乙醇-D4</t>
  </si>
  <si>
    <t>HMDB0255930</t>
  </si>
  <si>
    <t>CC1=N(=O)C2=CC=CC=C2N(=O)=C1C(O)=NCCO</t>
  </si>
  <si>
    <t>TURHTASYUMWZCC-UHFFFAOYSA-N</t>
  </si>
  <si>
    <t>C12H13N3O4</t>
  </si>
  <si>
    <t>FT2082NR</t>
  </si>
  <si>
    <t>Furanogermenone</t>
  </si>
  <si>
    <t>呋喃姜酮</t>
  </si>
  <si>
    <t>HMDB0036766</t>
  </si>
  <si>
    <t>C17488</t>
  </si>
  <si>
    <t>81678-18-4</t>
  </si>
  <si>
    <t>C[C@H]1CCC=C(C)CC2=C(CC1=O)C(C)=CO2</t>
  </si>
  <si>
    <t>ZLESWHXADLWJPV-VQNWOSHQSA-N</t>
  </si>
  <si>
    <t>C15H20O2</t>
  </si>
  <si>
    <t>FT4693PR</t>
  </si>
  <si>
    <t>4,8 dimethylnonanoyl carnitine</t>
  </si>
  <si>
    <t>4,8二甲基壬酰肉碱</t>
  </si>
  <si>
    <t>HMDB0006202</t>
  </si>
  <si>
    <t>LMFA07070046</t>
  </si>
  <si>
    <t>R-HSA-1430728,R-HSA-389887,R-HSA-390918,R-HSA-556833,R-HSA-8978868</t>
  </si>
  <si>
    <t>Metabolism|Beta-oxidation of pristanoyl-CoA|Peroxisomal lipid metabolism|Metabolism of lipids|Fatty acid metabolism</t>
  </si>
  <si>
    <t>C(C(OC(=O)CCC(C)CCCC(C)C)CC([O-])=O)[N+](C)(C)C</t>
  </si>
  <si>
    <t>DDTDJDZHDFMZED-UHFFFAOYSA-N</t>
  </si>
  <si>
    <t>82.0414, 85.0288, 86.8093, 98.9844, 174.9922, 176.9889, 271.1909, 302.7010, 312.1031, 330.2634</t>
  </si>
  <si>
    <t>C18H35NO4</t>
  </si>
  <si>
    <t>FT2446PR</t>
  </si>
  <si>
    <t>Nitrobenzodiazepine</t>
  </si>
  <si>
    <t>硝基苯二氮卓类</t>
  </si>
  <si>
    <t>HMDB0255641</t>
  </si>
  <si>
    <t>[O-][N+](=O)C1=NNC2=CC=CC=C2C=C1</t>
  </si>
  <si>
    <t>VMGLACFXZWXTMP-UHFFFAOYSA-N</t>
  </si>
  <si>
    <t>Benzodiazepines</t>
  </si>
  <si>
    <t>苯并二氮杂卓</t>
  </si>
  <si>
    <t>148.9770, 149.0232, 149.0342, 149.0444, 153.6370, 166.9869, 167.0560, 190.0028, 190.1256, 219.7950</t>
  </si>
  <si>
    <t>C9H7N3O2</t>
  </si>
  <si>
    <t>FT4990NR</t>
  </si>
  <si>
    <t>4-Chloro-2-nitrobenzylalcohol</t>
  </si>
  <si>
    <t>4-氯-2-硝基苯甲醇</t>
  </si>
  <si>
    <t>HMDB0249542</t>
  </si>
  <si>
    <t>CNC1=CC=C2OC(CC3OC4(CCC3C)OC(C(C)C(=O)C3=CC=CN3)C(C)CC4C)=NC2=C1C(O)=O</t>
  </si>
  <si>
    <t>HIYAVKIYRIFSCZ-UHFFFAOYSA-N</t>
  </si>
  <si>
    <t>Benzoxazoles</t>
  </si>
  <si>
    <t>苯并噁唑类</t>
  </si>
  <si>
    <t>501.2782, 505.8293, 506.3161, 507.3141, 507.9463, 508.3213, 568.2624, 568.3448, 569.2652, 675.2998</t>
  </si>
  <si>
    <t>C29H37N3O6</t>
  </si>
  <si>
    <t>FT5386PR</t>
  </si>
  <si>
    <t>(4E,7E,13E)-Hexadeca-4,7,13-trienoylcarnitine</t>
  </si>
  <si>
    <t>CC/C=C/CCCC/C=C/C/C=C/CCC(=O)OC(CC(=O)[O-])C[N+](C)(C)C</t>
  </si>
  <si>
    <t>XEUQLYBZSCJURZ-GDDCFCEESA-N</t>
  </si>
  <si>
    <t>121.1010, 145.8474, 157.0488, 191.1792, 226.7121, 246.5897, 355.1639, 383.8958, 392.8829, 394.2946</t>
  </si>
  <si>
    <t>C23H39NO4</t>
  </si>
  <si>
    <t>FT4133NR</t>
  </si>
  <si>
    <t>N-Stearoyl Histidine</t>
  </si>
  <si>
    <t>N-硬脂酰组氨酸</t>
  </si>
  <si>
    <t>HMDB0241943</t>
  </si>
  <si>
    <t>CCCCCCCCCCCCCCCCCC(=O)NC(CC1=CN=CN1)C(O)=O</t>
  </si>
  <si>
    <t>FGJOQQQRZNFKBP-UHFFFAOYSA-N</t>
  </si>
  <si>
    <t>121.2112, 121.2408, 168.0426, 185.2590, 230.3483, 269.2487, 377.2467, 466.3297, 466.4065, 467.3324</t>
  </si>
  <si>
    <t>C24H43N3O3</t>
  </si>
  <si>
    <t>FT1704PR</t>
  </si>
  <si>
    <t>Isoindole</t>
  </si>
  <si>
    <t>异吲哚</t>
  </si>
  <si>
    <t>HMDB0245764</t>
  </si>
  <si>
    <t>N1C=C2C=CC=CC2=C1</t>
  </si>
  <si>
    <t>VHMICKWLTGFITH-UHFFFAOYSA-N</t>
  </si>
  <si>
    <t>Isoindoles</t>
  </si>
  <si>
    <t>C8H7N</t>
  </si>
  <si>
    <t>FT2903NR</t>
  </si>
  <si>
    <t>1,3-Dinitrobenzene</t>
  </si>
  <si>
    <t>二硝基苯</t>
  </si>
  <si>
    <t>HMDB0244170</t>
  </si>
  <si>
    <t>[O-][N+](=O)C1=CC(=CC=C1)[N+]([O-])=O</t>
  </si>
  <si>
    <t>WDCYWAQPCXBPJA-UHFFFAOYSA-N</t>
  </si>
  <si>
    <t>Nitrobenzenes</t>
  </si>
  <si>
    <t>硝基苯</t>
  </si>
  <si>
    <t>175.0364, 205.3944, 209.0433, 229.1281, 231.0623, 233.0791, 241.3417, 277.0688, 291.0374, 335.0267</t>
  </si>
  <si>
    <t>C6H4N2O4</t>
  </si>
  <si>
    <t>FT0241PR</t>
  </si>
  <si>
    <t>2-Amino-3-sulfanylpropanal</t>
  </si>
  <si>
    <t>2-氨基-3-硫烷基丙醛</t>
  </si>
  <si>
    <t>HMDB0244781</t>
  </si>
  <si>
    <t>NC(CS)C=O</t>
  </si>
  <si>
    <t>BOTPEONKTLJMSH-UHFFFAOYSA-N</t>
  </si>
  <si>
    <t>Thiols</t>
  </si>
  <si>
    <t>Alkylthiols</t>
  </si>
  <si>
    <t>硫醇</t>
  </si>
  <si>
    <t>烷基硫醇</t>
  </si>
  <si>
    <t>C3H7NOS</t>
  </si>
  <si>
    <t>FT0345NR</t>
  </si>
  <si>
    <t>Propionic acid</t>
  </si>
  <si>
    <t>丙酸</t>
  </si>
  <si>
    <t>HMDB0000237</t>
  </si>
  <si>
    <t>LMFA01010003</t>
  </si>
  <si>
    <t>C00163</t>
  </si>
  <si>
    <t>hsa00640,hsa00760,hsa04973,hsa04974</t>
  </si>
  <si>
    <t>Propanoate metabolism|Nicotinate and nicotinamide metabolism|Carbohydrate digestion and absorption|Protein digestion and absorption</t>
  </si>
  <si>
    <t>R-HSA-1430728,R-HSA-162582,R-HSA-196807,R-HSA-196849,R-HSA-196854,R-HSA-197264,R-HSA-372790,R-HSA-373076,R-HSA-381753,R-HSA-382551,R-HSA-388396,R-HSA-416476,R-HSA-425393,R-HSA-425407,R-HSA-428643,R-HSA-444209,R-HSA-500792,R-HSA-9709957</t>
  </si>
  <si>
    <t>Metabolism|Signal Transduction|Nicotinate metabolism|Metabolism of water-soluble vitamins and cofactors|Metabolism of vitamins and cofactors|Nicotinamide salvaging|Signaling by GPCR|Class A/1 (Rhodopsin-like receptors)|Olfactory Signaling Pathway|Transport of small molecules|GPCR downstream signalling|G alpha (q) signalling events|Transport of inorganic cations/anions and amino acids/oligopeptides|SLC-mediated transmembrane transport|Organic anion transporters|Free fatty acid receptors|GPCR ligand binding|Sensory Perception</t>
  </si>
  <si>
    <t>79-09-4</t>
  </si>
  <si>
    <t>CCC(=O)O</t>
  </si>
  <si>
    <t>XBDQKXXYIPTUBI-UHFFFAOYSA-N</t>
  </si>
  <si>
    <t>C3H6O2</t>
  </si>
  <si>
    <t>FT2113NR</t>
  </si>
  <si>
    <t>Senkyunolide H</t>
  </si>
  <si>
    <t>CCC/C=C1\OC(=O)C2=C1CCC(O)C2O</t>
  </si>
  <si>
    <t>DQNGMIQSXNGHOA-WTKPLQERSA-N</t>
  </si>
  <si>
    <t>FT5524PR</t>
  </si>
  <si>
    <t>Trp-Gly-Glu</t>
  </si>
  <si>
    <t>色氨酰-甘氨酰-谷氨酸</t>
  </si>
  <si>
    <t>C1=CC=C2C(=C1)C(=CN2)CC(C(=O)NCC(=O)NC(CCC(=O)O)C(=O)O)N</t>
  </si>
  <si>
    <t>DZIKVMCFXIIETR-JSGCOSHPSA-N</t>
  </si>
  <si>
    <t>C18H22N4O6</t>
  </si>
  <si>
    <t>FT5303PR</t>
  </si>
  <si>
    <t>Ilaprazole sulfone</t>
  </si>
  <si>
    <t>2-[(4-甲氧基-3-甲基-2-吡啶基)甲基]磺酰基]-6-(1H-吡咯-1-基)-1H-苯并咪唑</t>
  </si>
  <si>
    <t>HMDB0253395</t>
  </si>
  <si>
    <t>COC1=C(C)C(CS(=O)(=O)C2=NC3=C(N2)C=C(C=C3)N2C=CC=C2)=NC=C1</t>
  </si>
  <si>
    <t>VKIMQHKFWOTNOJ-UHFFFAOYSA-N</t>
  </si>
  <si>
    <t>208.8911, 209.0148, 254.2492, 256.8196, 266.8507, 302.7017, 308.8741, 383.0301, 389.5975, 403.5215</t>
  </si>
  <si>
    <t>C19H18N4O3S</t>
  </si>
  <si>
    <t>FT5228NR</t>
  </si>
  <si>
    <t>Kaempferol 3-(3''-acetyl-alpha-L-arabinofuranoside)-7-rhamnoside</t>
  </si>
  <si>
    <t>山奈酚 3-(3''-乙酰基-α-L-阿拉伯呋喃糖苷)-7-鼠李糖苷</t>
  </si>
  <si>
    <t>LMPK12111900</t>
  </si>
  <si>
    <t>C1(O[C@@H]2O[C@@H](C)[C@H](O)[C@@H](O)[C@H]2O)=CC2OC(C3C=CC(O)=CC=3)=C(O[C@@H]3O[C@@H](CO)[C@H](OC(C)=O)[C@H]3O)C(=O)C=2C(O)=C1</t>
  </si>
  <si>
    <t>MNRMSQIWNSFWSH-DQURVDMQSA-N</t>
  </si>
  <si>
    <t>302.6793, 311.6563, 312.9782, 312.9962, 313.0647, 313.1330, 313.1498, 314.0680, 314.4837, 605.1551</t>
  </si>
  <si>
    <t>C28H30O15</t>
  </si>
  <si>
    <t>FT0494PR</t>
  </si>
  <si>
    <t>1-(Diethylamino)ethanol</t>
  </si>
  <si>
    <t xml:space="preserve"> 1-(二乙氨基)乙醇</t>
  </si>
  <si>
    <t>HMDB0247953</t>
  </si>
  <si>
    <t>CCN(CC)C(C)O</t>
  </si>
  <si>
    <t>RQNOFUZGXHSHOT-UHFFFAOYSA-N</t>
  </si>
  <si>
    <t>C6H15NO</t>
  </si>
  <si>
    <t>FT3019NR</t>
  </si>
  <si>
    <t>Nocodazole</t>
  </si>
  <si>
    <t>诺考达唑</t>
  </si>
  <si>
    <t>HMDB0255688</t>
  </si>
  <si>
    <t>C13719</t>
  </si>
  <si>
    <t>31430-18-9</t>
  </si>
  <si>
    <t>COC(=O)NC1=NC2=CC=C(C=C2N1)C(=O)C1=CC=CS1</t>
  </si>
  <si>
    <t>KYRVNWMVYQXFEU-UHFFFAOYSA-N</t>
  </si>
  <si>
    <t>C14H11N3O3S</t>
  </si>
  <si>
    <t>FT3133NR</t>
  </si>
  <si>
    <t>Asp-Ser-Cys</t>
  </si>
  <si>
    <t>天冬氨酰-丝氨酰-半胱氨酸</t>
  </si>
  <si>
    <t>C(C(C(=O)NC(CO)C(=O)NC(CS)C(=O)O)N)C(=O)O</t>
  </si>
  <si>
    <t>FIAKNCXQFFKSSI-ZLUOBGJFSA-N</t>
  </si>
  <si>
    <t>C10H17N3O7S1</t>
  </si>
  <si>
    <t>FT5574PR</t>
  </si>
  <si>
    <t>z2-Tocopherol</t>
  </si>
  <si>
    <t>z2-生育酚</t>
  </si>
  <si>
    <t>HMDB0034253</t>
  </si>
  <si>
    <t>17976-95-3</t>
  </si>
  <si>
    <t>CC(C)CCCC(C)CCCC(C)CCCC1(C)CCC2=C(C)C(O)=C(C)C=C2O1</t>
  </si>
  <si>
    <t>WZVWUSABZGIQJZ-UHFFFAOYSA-N</t>
  </si>
  <si>
    <t>302.6881, 341.4660, 355.2837, 364.5085, 376.5734, 417.2069, 417.3760, 417.4772, 417.5086, 418.3793</t>
  </si>
  <si>
    <t>C28H48O2</t>
  </si>
  <si>
    <t>FT6615PR</t>
  </si>
  <si>
    <t>(24R)-11alpha,20,24-trihydroxyecdysone</t>
  </si>
  <si>
    <t>(24R)-11α,20,24-三羟基蜕皮酮</t>
  </si>
  <si>
    <t>LMST01010177</t>
  </si>
  <si>
    <t>C12=CC([C@]3([H])C[C@@H](O)[C@@H](O)C[C@]3(C)[C@@]1([H])[C@H](O)C[C@@]1(C)[C@@]2(O)CC[C@@]1([C@](O)(C)[C@H](O)C[C@@H](O)C(O)(C)C)[H])=O</t>
  </si>
  <si>
    <t>JZLJYAKQIWKLJN-GZOLVMJQSA-N</t>
  </si>
  <si>
    <t>101.7905, 117.4557, 122.6352, 276.0747, 284.9656, 359.2548, 400.2853, 448.3829, 535.2861, 564.9790</t>
  </si>
  <si>
    <t>C27H44O9</t>
  </si>
  <si>
    <t>FT3083NR</t>
  </si>
  <si>
    <t>7-Hydroxymethyl-12-methylbenz[a]anthracene sulfate</t>
  </si>
  <si>
    <t>7-羟甲基-12-甲基苯并[a]蒽硫酸盐</t>
  </si>
  <si>
    <t>HMDB0060420</t>
  </si>
  <si>
    <t>C19562</t>
  </si>
  <si>
    <t>hsa00980,hsa05204</t>
  </si>
  <si>
    <t>Metabolism of xenobiotics by cytochrome P450|Chemical carcinogenesis - DNA adducts</t>
  </si>
  <si>
    <t>80733-96-6</t>
  </si>
  <si>
    <t>CC1=C2C3=CC=CC=C3C=CC2=C(COS(O)(=O)=O)C2=CC=CC=C12</t>
  </si>
  <si>
    <t>WYUDBEMLROEPHR-UHFFFAOYSA-N</t>
  </si>
  <si>
    <t>165.4715, 195.1017, 205.3984, 217.0842, 239.0921, 261.0420, 261.0741, 287.4820, 288.5684, 351.0687</t>
  </si>
  <si>
    <t>C20H16O4S</t>
  </si>
  <si>
    <t>FT4798PR</t>
  </si>
  <si>
    <t>Annoglabasin E</t>
  </si>
  <si>
    <t>安格拉巴辛E</t>
  </si>
  <si>
    <t>HMDB0036262</t>
  </si>
  <si>
    <t>106454-60-8</t>
  </si>
  <si>
    <t>CC1(CO)CCCC2(C)C3CCC4CC3(CC4C(O)=O)CCC12</t>
  </si>
  <si>
    <t>LKXILSFITASWCO-UHFFFAOYSA-N</t>
  </si>
  <si>
    <t>FT0696PR</t>
  </si>
  <si>
    <t>2-Aminopyridine</t>
  </si>
  <si>
    <t>2-氨基吡啶</t>
  </si>
  <si>
    <t>HMDB0245026</t>
  </si>
  <si>
    <t>NC1=CC=CC=N1</t>
  </si>
  <si>
    <t>ICSNLGPSRYBMBD-UHFFFAOYSA-N</t>
  </si>
  <si>
    <t>112.0594, 112.0765, 112.0870, 112.0949, 112.1108, 113.0346, 113.0708, 113.0897, 113.1071, 117.9597</t>
  </si>
  <si>
    <t>C5H6N2</t>
  </si>
  <si>
    <t>FT2151PR</t>
  </si>
  <si>
    <t>2-Aminobicyclo[2.2.1]heptane-2-carboxylic acid</t>
  </si>
  <si>
    <t>2-氨基-2-去甲菠烷羧酸</t>
  </si>
  <si>
    <t>HMDB0245588</t>
  </si>
  <si>
    <t>20448-79-7</t>
  </si>
  <si>
    <t>NC1(CC2CCC1C2)C(O)=O</t>
  </si>
  <si>
    <t>MPUVBVXDFRDIPT-UHFFFAOYSA-N</t>
  </si>
  <si>
    <t>155.0703, 155.1179, 156.1016, 167.9715, 169.9771, 172.9563, 172.9768, 173.0799, 173.1153, 173.1283</t>
  </si>
  <si>
    <t>FT2769NR</t>
  </si>
  <si>
    <t>11,12-epoxy-14Z-Eicosenoic acid</t>
  </si>
  <si>
    <t>11,12-环氧-14Z-二十碳烯酸</t>
  </si>
  <si>
    <t>LMFA01070024</t>
  </si>
  <si>
    <t>O1C(C/C=C\CCCCC)C1CCCCCCCCCC(O)=O</t>
  </si>
  <si>
    <t>DTMJFRNHKXMKBD-XFXZXTDPSA-N</t>
  </si>
  <si>
    <t>62.3188, 64.5644, 64.5680, 64.6073, 70.3025, 70.3341, 142.5267, 147.6117, 205.4003, 323.2588</t>
  </si>
  <si>
    <t>C20H36O3</t>
  </si>
  <si>
    <t>FT4650NR</t>
  </si>
  <si>
    <t>(4E,6E,10Z,13Z,16Z,19Z)-8-Hydroxydocosa-4,6,10,13,16,19-hexaenoylcarnitine</t>
  </si>
  <si>
    <t>(4E,6E,10Z,13Z,16Z,19Z)-8-羟基二十二碳六烯酸-4,6,10,13,16,19-己烯酰肉碱</t>
  </si>
  <si>
    <t>HMDB0241624</t>
  </si>
  <si>
    <t>CCC=CCC=CCC=CCC=CCC(O)C=CC=CCCC(=O)OC(CC([O-])=O)C[N+](C)(C)C</t>
  </si>
  <si>
    <t>SIKRBCBTMHIBGN-UHFFFAOYSA-N</t>
  </si>
  <si>
    <t>128.9593, 129.9643, 129.9755, 218.6602, 275.0942, 310.8363, 340.2077, 355.0344, 356.6272, 533.1396</t>
  </si>
  <si>
    <t>C29H45NO5</t>
  </si>
  <si>
    <t>FT6396PR</t>
  </si>
  <si>
    <t>3-O-alpha-L-rhamnopyranosyl-3-hydroxyoctanoyl-3-hydroxydecanoic acid</t>
  </si>
  <si>
    <t>3-O-α-L-吡喃鼠李糖基-3-羟基辛酰基-3-羟基癸酸</t>
  </si>
  <si>
    <t>LMFA13030010</t>
  </si>
  <si>
    <t>O([C@H]1[C@H](O)[C@H](O)[C@@H](O)[C@H](C)O1)C(CCCCC)CC(=O)OC(CCCCCCC)CC(=O)O</t>
  </si>
  <si>
    <t>BUOVURSHNWNFHV-ADJCYOJGSA-N</t>
  </si>
  <si>
    <t>68.6312, 74.7526, 132.3984, 182.0574, 210.0523, 269.1256, 269.1585, 400.7065, 444.9776, 515.2625</t>
  </si>
  <si>
    <t>C24H44O9</t>
  </si>
  <si>
    <t>FT4364PR</t>
  </si>
  <si>
    <t>Glutaminylhistidine</t>
  </si>
  <si>
    <t>谷氨酰胺酰组氨酸</t>
  </si>
  <si>
    <t>HMDB0028799</t>
  </si>
  <si>
    <t>104018-08-8</t>
  </si>
  <si>
    <t>[H][C@](N)(CCC(O)=N)C(O)=N[C@@]([H])(CC1=CN=CN1)C(O)=O</t>
  </si>
  <si>
    <t>JZOYFBPIEHCDFV-YUMQZZPRSA-N</t>
  </si>
  <si>
    <t>199.0937, 200.1020, 205.4069, 215.0885, 230.1122, 232.0913, 245.0990, 261.0938, 262.1014, 306.1155</t>
  </si>
  <si>
    <t>C11H17N5O4</t>
  </si>
  <si>
    <t>FT4374NR</t>
  </si>
  <si>
    <t>Ikarisoside E</t>
  </si>
  <si>
    <t>苦参苷E</t>
  </si>
  <si>
    <t>LMPK12111838</t>
  </si>
  <si>
    <t>C12OC(C)(C)C=CC=1C1OC(C3C=CC(O)=CC=3)=C(O[C@H]3[C@H](O)[C@H](O)[C@@H](O)[C@H](C)O3)C(=O)C=1C(O)=C2</t>
  </si>
  <si>
    <t>FRKNVAWDQIICIE-JVERBMLMSA-N</t>
  </si>
  <si>
    <t>225.0642, 226.0687, 271.0701, 293.0524, 302.6888, 361.0403, 397.7261, 429.1536, 451.1355, 497.1383</t>
  </si>
  <si>
    <t>C26H26O10</t>
  </si>
  <si>
    <t>FT4052PR</t>
  </si>
  <si>
    <t>(E)-3,5,4'-Trimethoxystilbene</t>
  </si>
  <si>
    <t>(E)-3,5,4'-三甲氧基芪</t>
  </si>
  <si>
    <t>HMDB0245633</t>
  </si>
  <si>
    <t>COC1=CC=C(C=CC2=CC(OC)=CC(OC)=C2)C=C1</t>
  </si>
  <si>
    <t>GDHNBPHYVRHYCC-UHFFFAOYSA-N</t>
  </si>
  <si>
    <t>C17H18O3</t>
  </si>
  <si>
    <t>FT0525PR</t>
  </si>
  <si>
    <t>Isobutyl isocyanide</t>
  </si>
  <si>
    <t>异丁基异氰化物</t>
  </si>
  <si>
    <t>HMDB0253611</t>
  </si>
  <si>
    <t>CC(C)C[N+]#[C-]</t>
  </si>
  <si>
    <t>SSWVVEYZXQCZNK-UHFFFAOYSA-N</t>
  </si>
  <si>
    <t>C5H9N</t>
  </si>
  <si>
    <t>FT5084NR</t>
  </si>
  <si>
    <t>Physapruin B</t>
  </si>
  <si>
    <t>灭蝇素B</t>
  </si>
  <si>
    <t>HMDB0040671</t>
  </si>
  <si>
    <t>CCCCOC12CC=CC(=O)C1(C)C1CCC3(C)C(O)(CCC3(O)C(C)(O)C3CC(C)=C(C)C(=O)O3)C1CC2OC(C)=O</t>
  </si>
  <si>
    <t>BUTLOLBCWDNVGA-UHFFFAOYSA-N</t>
  </si>
  <si>
    <t>142.3719, 151.2582, 180.9725, 205.3874, 241.2218, 285.1228, 316.4754, 400.0773, 408.2532, 583.2577</t>
  </si>
  <si>
    <t>C34H50O9</t>
  </si>
  <si>
    <t>FT7144PR</t>
  </si>
  <si>
    <t>Corrigendum</t>
  </si>
  <si>
    <t>勘误表</t>
  </si>
  <si>
    <t>HMDB0250456</t>
  </si>
  <si>
    <t>CC1=CC=C(C=C1)S(=O)(=O)N1CCCCN(C2=CC=CC=C2COCC2=CC=CC=C12)S(=O)(=O)C1=CC=C(C)C=C1</t>
  </si>
  <si>
    <t>XBSLHVDTLLLOEL-UHFFFAOYSA-N</t>
  </si>
  <si>
    <t>337.0612, 337.1357, 337.1566, 337.1849, 338.0656, 338.6315, 412.9685, 592.8578, 629.0331, 629.1515</t>
  </si>
  <si>
    <t>C32H34N2O5S2</t>
  </si>
  <si>
    <t>FT1748NR</t>
  </si>
  <si>
    <t>1-Sulfonylurea</t>
  </si>
  <si>
    <t>1-磺酰脲</t>
  </si>
  <si>
    <t>HMDB0258598</t>
  </si>
  <si>
    <t>OC(=N)N=S(=O)=O</t>
  </si>
  <si>
    <t>YROXIXLRRCOBKF-UHFFFAOYSA-N</t>
  </si>
  <si>
    <t>Sulfonylureas</t>
  </si>
  <si>
    <t>磺酰脲类</t>
  </si>
  <si>
    <t>CH2N2O3S</t>
  </si>
  <si>
    <t>FT1281NR</t>
  </si>
  <si>
    <t>1-Naphthalenesulfonic acid</t>
  </si>
  <si>
    <t>1-萘磺酸</t>
  </si>
  <si>
    <t>HMDB0243955</t>
  </si>
  <si>
    <t>C16201</t>
  </si>
  <si>
    <t>85-47-2</t>
  </si>
  <si>
    <t>OS(=O)(=O)C1=CC=CC2=CC=CC=C12</t>
  </si>
  <si>
    <t>PSZYNBSKGUBXEH-UHFFFAOYSA-N</t>
  </si>
  <si>
    <t>C10H8O3S</t>
  </si>
  <si>
    <t>FT3685PR</t>
  </si>
  <si>
    <t>Clothianidin</t>
  </si>
  <si>
    <t>噻虫嗪杂质1</t>
  </si>
  <si>
    <t>HMDB0250370</t>
  </si>
  <si>
    <t>C18508</t>
  </si>
  <si>
    <t>CN\C(NCC1=CN=C(Cl)S1)=N/[N+]([O-])=O</t>
  </si>
  <si>
    <t>PGOOBECODWQEAB-UHFFFAOYSA-N</t>
  </si>
  <si>
    <t>156.9945, 159.0098, 172.0059, 182.0268, 187.0341, 200.0370, 226.0160, 244.0254, 249.1854, 267.1566</t>
  </si>
  <si>
    <t>C6H8ClN5O2S</t>
  </si>
  <si>
    <t>FT3957PR</t>
  </si>
  <si>
    <t>bendazac</t>
  </si>
  <si>
    <t>苄达酸</t>
  </si>
  <si>
    <t>HMDB0248946</t>
  </si>
  <si>
    <t>OC(=O)COC1=NN(CC2=CC=CC=C2)C2=CC=CC=C12</t>
  </si>
  <si>
    <t>BYFMCKSPFYVMOU-UHFFFAOYSA-N</t>
  </si>
  <si>
    <t>265.1796, 282.2782, 283.0705, 283.1072, 283.1447, 283.1674, 283.1773, 283.2848, 302.6910, 302.7231</t>
  </si>
  <si>
    <t>C16H14N2O3</t>
  </si>
  <si>
    <t>FT6609PR</t>
  </si>
  <si>
    <t>(18Z)-Tricos-18-enoylcarnitine</t>
  </si>
  <si>
    <t>(18Z)-Tricos-18-烯酰肉碱</t>
  </si>
  <si>
    <t>HMDB0241627</t>
  </si>
  <si>
    <t>CCCCC=CCCCCCCCCCCCCCCCCC(=O)OC(CC([O-])=O)C[N+](C)(C)C</t>
  </si>
  <si>
    <t>HKHVWGOJOZSRTP-UHFFFAOYSA-N</t>
  </si>
  <si>
    <t>74.7660, 78.1156, 86.0967, 87.1762, 104.0996, 104.1072, 124.9998, 184.0729, 384.3084, 534.3910</t>
  </si>
  <si>
    <t>C30H57NO4</t>
  </si>
  <si>
    <t>FT3354NR</t>
  </si>
  <si>
    <t>5,3',4',5'-Tetramethoxy-6,7-methylenedioxyflavone</t>
  </si>
  <si>
    <t>5,3',4',5'-四甲氧基-6,7-亚甲二氧基黄酮</t>
  </si>
  <si>
    <t>LMPK12111277</t>
  </si>
  <si>
    <t>C12OCOC1=C(OC)C1C(=O)C=C(C3C=C(OC)C(OC)=C(OC)C=3)OC=1C=2</t>
  </si>
  <si>
    <t>RDZNHJODRABSNK-UHFFFAOYSA-N</t>
  </si>
  <si>
    <t>C20H18O8</t>
  </si>
  <si>
    <t>FT4029PR</t>
  </si>
  <si>
    <t>Hydroxynalidixic acid</t>
  </si>
  <si>
    <t>羟基萘啶酸</t>
  </si>
  <si>
    <t>HMDB0060826</t>
  </si>
  <si>
    <t>3759-18-0</t>
  </si>
  <si>
    <t>CCN1C=C(C(O)=O)C(=O)C2=CC=C(CO)N=C12</t>
  </si>
  <si>
    <t>FRJDYPGZHOEEKU-UHFFFAOYSA-N</t>
  </si>
  <si>
    <t>Naphthyridines</t>
  </si>
  <si>
    <t>萘啶类</t>
  </si>
  <si>
    <t>C12H12N2O4</t>
  </si>
  <si>
    <t>FT2304NR</t>
  </si>
  <si>
    <t>[(2S,3S,4R,5R)-3,4,5,6-Tetrahydroxyhexan-2-yl] 2-hydroxypropanoate</t>
  </si>
  <si>
    <t>[(2S,3S,4R,5R)-3,4,5,6-四羟基己-2-基]2-羟基丙酸酯</t>
  </si>
  <si>
    <t>HMDB0258092</t>
  </si>
  <si>
    <t>CC(O)C(=O)OC(C)C(O)C(O)C(O)CO</t>
  </si>
  <si>
    <t>WFCVVZULUDBANE-UHFFFAOYSA-N</t>
  </si>
  <si>
    <t>103.0401, 111.2367, 111.6988, 130.0871, 146.9828, 173.8196, 205.3913, 225.0458, 283.1932, 302.6974</t>
  </si>
  <si>
    <t>C9H18O7</t>
  </si>
  <si>
    <t>FT2720NR</t>
  </si>
  <si>
    <t>1,3Z,6Z,9Z-Eicosatetraene</t>
  </si>
  <si>
    <t>1,3Z,6Z,9Z-二十碳四烯</t>
  </si>
  <si>
    <t>LMFA11000158</t>
  </si>
  <si>
    <t>C=C/C=C\C/C=C\C/C=C\CCCCCCCCCC</t>
  </si>
  <si>
    <t>LGPUNUKMUITHAN-JTBMWNAQSA-N</t>
  </si>
  <si>
    <t>Olefins</t>
  </si>
  <si>
    <t>烯烃</t>
  </si>
  <si>
    <t>55.88037, 59.01352, 69.36479, 82.38444, 127.13348, 154.94746, 214.42314, 319.22769, 319.26413</t>
  </si>
  <si>
    <t>C20H34</t>
  </si>
  <si>
    <t>FT5229NR</t>
  </si>
  <si>
    <t>5-Pyrimidinecarboxylic acid, 1,4-dihydro-2-((2-(2-methylpropoxy)phenyl)amino)-4-oxo-</t>
  </si>
  <si>
    <t>5-嘧啶甲酸，1,4-二氢-2-((2-(2-甲基丙氧基)苯基)氨基)-4-氧代-</t>
  </si>
  <si>
    <t>HMDB0243486</t>
  </si>
  <si>
    <t>CCC(C)OC1=CC=CC=C1NC1=NC=C(C(O)=O)C(=O)N1</t>
  </si>
  <si>
    <t>GPASXNHOXQCREW-UHFFFAOYSA-N</t>
  </si>
  <si>
    <t>305.0901, 307.1073, 319.1056, 321.1218, 374.4676, 524.1930, 561.2441, 587.2270, 605.2375, 606.2393</t>
  </si>
  <si>
    <t>FT3240NR</t>
  </si>
  <si>
    <t>Trans-petroselinic acid ethanolamide</t>
  </si>
  <si>
    <t>反式岩芹酸乙醇酰胺</t>
  </si>
  <si>
    <t>LMFA08040062</t>
  </si>
  <si>
    <t>C(O)CNC(CCCC/C=C/CCCCCCCCCCC)=O</t>
  </si>
  <si>
    <t>NNPTVHABBUVOGA-OUKQBFOZSA-N</t>
  </si>
  <si>
    <t>106.5116, 129.5722, 130.5605, 150.9549, 157.0470, 163.9549, 188.8296, 295.6227, 302.6789, 302.7144</t>
  </si>
  <si>
    <t>FT2643NR</t>
  </si>
  <si>
    <t>7Z-Octadecen-11-one</t>
  </si>
  <si>
    <t>7Z-十八烯-11-一</t>
  </si>
  <si>
    <t>LMFA12000199</t>
  </si>
  <si>
    <t>CCCCCC/C=C\CCC(=O)CCCCCCC</t>
  </si>
  <si>
    <t>LOKJWEJWAVZFDE-QBFSEMIESA-N</t>
  </si>
  <si>
    <t>85.2991, 145.6576, 150.7510, 192.4757, 200.2147, 254.7706, 267.2679, 293.2461, 311.2586, 315.6130</t>
  </si>
  <si>
    <t>C18H34O</t>
  </si>
  <si>
    <t>FT2891PR</t>
  </si>
  <si>
    <t>N-Acetylamrinone</t>
  </si>
  <si>
    <t>N-乙酰氨力酮</t>
  </si>
  <si>
    <t>HMDB0255062</t>
  </si>
  <si>
    <t>CC(=O)NC1=CC(=CNC1=O)C1=CC=NC=C1</t>
  </si>
  <si>
    <t>QJXRAYQFXMRDHL-UHFFFAOYSA-N</t>
  </si>
  <si>
    <t>Bipyridines and oligopyridines</t>
  </si>
  <si>
    <t>联吡啶和寡吡啶</t>
  </si>
  <si>
    <t>C12H11N3O2</t>
  </si>
  <si>
    <t>FT0214PR</t>
  </si>
  <si>
    <t>Cyclopentylamine</t>
  </si>
  <si>
    <t>环戊胺</t>
  </si>
  <si>
    <t>HMDB0250671</t>
  </si>
  <si>
    <t>NC1CCCC1</t>
  </si>
  <si>
    <t>NISGSNTVMOOSJQ-UHFFFAOYSA-N</t>
  </si>
  <si>
    <t>78.1401, 78.1663, 78.2372, 80.0674, 85.8939, 86.0061, 86.0604, 86.0835, 86.0968, 86.3007</t>
  </si>
  <si>
    <t>C5H11N</t>
  </si>
  <si>
    <t>FT2715NR</t>
  </si>
  <si>
    <t>11-Methoxynoryangonin</t>
  </si>
  <si>
    <t>11-甲氧基野杨素</t>
  </si>
  <si>
    <t>HMDB0030754</t>
  </si>
  <si>
    <t>77900-31-3</t>
  </si>
  <si>
    <t>COC1=CC(=O)OC(\C=C/C2=CC(OC)=C(O)C=C2)=C1</t>
  </si>
  <si>
    <t>YHVDGZPFCGLBOW-HYXAFXHYSA-N</t>
  </si>
  <si>
    <t>Kavalactones</t>
  </si>
  <si>
    <t>卡瓦内酯</t>
  </si>
  <si>
    <t>C15H14O5</t>
  </si>
  <si>
    <t>FT3198NR</t>
  </si>
  <si>
    <t>L-gamma-Glutamyl-S-allylthio-L-cysteine</t>
  </si>
  <si>
    <t>L-γ-谷氨酰-S-烯丙硫基-L-半胱氨酸</t>
  </si>
  <si>
    <t>HMDB0038515</t>
  </si>
  <si>
    <t>NC(CCC(=O)NC(CSSCC=C)C(O)=O)C(O)=O</t>
  </si>
  <si>
    <t>VTEHWEWRSAXLHY-UHFFFAOYSA-N</t>
  </si>
  <si>
    <t>131.2366, 152.2711, 167.5308, 197.3333, 211.0976, 218.3736, 233.0789, 252.0696, 255.0879, 277.0687</t>
  </si>
  <si>
    <t>C11H18N2O5S2</t>
  </si>
  <si>
    <t>FT4797PR</t>
  </si>
  <si>
    <t>Isocupressic acid</t>
  </si>
  <si>
    <t>异柏酸</t>
  </si>
  <si>
    <t>HMDB0253626</t>
  </si>
  <si>
    <t>CC(CCC1C(=C)CCC2C1(C)CCCC2(C)C(O)=O)=CCO</t>
  </si>
  <si>
    <t>DOYKMKZYLAAOGH-UHFFFAOYSA-N</t>
  </si>
  <si>
    <t>FT4833PR</t>
  </si>
  <si>
    <t>14,19-Dihydroaspidospermatine</t>
  </si>
  <si>
    <t>14,19-二氢冬精胺</t>
  </si>
  <si>
    <t>HMDB0030359</t>
  </si>
  <si>
    <t>CCC1C2N3CCC22C(CC1CC3)N(C(C)=O)C1=C2C=CC=C1OC</t>
  </si>
  <si>
    <t>KNCZYJAUVPNGON-UHFFFAOYSA-N</t>
  </si>
  <si>
    <t>Strychnos alkaloids</t>
  </si>
  <si>
    <t>马钱子生物碱</t>
  </si>
  <si>
    <t>C21H28N2O2</t>
  </si>
  <si>
    <t>FT5315NR</t>
  </si>
  <si>
    <t>Proanthocyanidin A5'</t>
  </si>
  <si>
    <t>原花青素A5'</t>
  </si>
  <si>
    <t>HMDB0037657</t>
  </si>
  <si>
    <t>111466-30-9</t>
  </si>
  <si>
    <t>O[C@@H]1CC2=C(O)C=C3O[C@]4(OC5=CC(O)=CC(O)=C5[C@H]([C@@H]4O)C3=C2O[C@@H]1C1=CC=C(O)C(O)=C1)C1=CC=C(O)C(O)=C1</t>
  </si>
  <si>
    <t>NSEWTSAADLNHNH-JXCVSLFXSA-N</t>
  </si>
  <si>
    <t>301.0354, 311.0215, 327.5216, 328.9444, 329.0384, 329.1292, 330.0404, 330.5639, 374.9201, 621.1283</t>
  </si>
  <si>
    <t>C30H24O12</t>
  </si>
  <si>
    <t>FT4553PR</t>
  </si>
  <si>
    <t>Augustine</t>
  </si>
  <si>
    <t>奥古斯丁</t>
  </si>
  <si>
    <t>HMDB0248723</t>
  </si>
  <si>
    <t>COC1CC2N3CCC2(C2OC12)C1=CC2=C(OCO2)C=C1C3</t>
  </si>
  <si>
    <t>QLRRUWXMMVXORS-UHFFFAOYSA-N</t>
  </si>
  <si>
    <t>Amaryllidaceae alkaloids</t>
  </si>
  <si>
    <t>Crinine- and Haemanthamine-type amaryllidaceae alkaloids</t>
  </si>
  <si>
    <t>石蒜科生物碱</t>
  </si>
  <si>
    <t xml:space="preserve"> Crinine 和 Haemanthamine 型石蒜科生物碱</t>
  </si>
  <si>
    <t>130.0651, 144.1013, 176.0705, 201.3609, 205.4046, 260.0918, 302.6981, 319.0754, 319.1646, 344.1232</t>
  </si>
  <si>
    <t>C17H19NO4</t>
  </si>
  <si>
    <t>FT3200NR</t>
  </si>
  <si>
    <t>Ketophenylbutazone</t>
  </si>
  <si>
    <t>酮基保太松</t>
  </si>
  <si>
    <t>HMDB0041914</t>
  </si>
  <si>
    <t>853-34-9</t>
  </si>
  <si>
    <t>CC(=O)CCC1C(=O)N(N(C1=O)C1=CC=CC=C1)C1=CC=CC=C1</t>
  </si>
  <si>
    <t>LGYTZKPVOAIUKX-UHFFFAOYSA-N</t>
  </si>
  <si>
    <t>C19H18N2O3</t>
  </si>
  <si>
    <t>FT5066NR</t>
  </si>
  <si>
    <t>16-Glutaryloxy-1alpha,25-dihydroxy-20-epivitamin D3</t>
  </si>
  <si>
    <t xml:space="preserve"> 16-戊二酰氧基-1α,25-二羟基-20-表维生素 D3</t>
  </si>
  <si>
    <t>LMST03020635</t>
  </si>
  <si>
    <t>C1/C(=C/C=C2\CCC[C@]3(C)[C@@]([H])([C@@]([H])(C)CCCC(O)(C)C)[C@H](OC(=O)CCCC(=O)O)C[C@@]\23[H])/C(=C)[C@@H](O)C[C@@H]1O</t>
  </si>
  <si>
    <t>BSFJAECYHQSOSY-ONZABAPRSA-N</t>
  </si>
  <si>
    <t>61.9920, 61.9959, 68.0532, 74.0580, 118.1515, 121.7705, 279.2331, 386.3176, 576.1130, 581.3208</t>
  </si>
  <si>
    <t>C32H50O7</t>
  </si>
  <si>
    <t>FT2483PR</t>
  </si>
  <si>
    <t>D,L-Buthionine</t>
  </si>
  <si>
    <t>DL-丁基巯基丁氨酸</t>
  </si>
  <si>
    <t>HMDB0250809</t>
  </si>
  <si>
    <t>CCCCSCCC(N)C(O)=O</t>
  </si>
  <si>
    <t>LAXXPOJCFVMVAX-UHFFFAOYSA-N</t>
  </si>
  <si>
    <t>148.9215, 171.2012, 175.0787, 189.5820, 192.0656, 192.0838, 192.1028, 192.1377, 195.2074, 205.4032</t>
  </si>
  <si>
    <t>C8H17NO2S</t>
  </si>
  <si>
    <t>FT3362NR</t>
  </si>
  <si>
    <t>MG(0:0/i-20:0/0:0)</t>
  </si>
  <si>
    <t>甘油单酯(0:0/i-20:0/0:0)</t>
  </si>
  <si>
    <t>HMDB0072859</t>
  </si>
  <si>
    <t>[H]C(CO)(CO)OC(=O)CCCCCCCCCCCCCCCCC(C)C</t>
  </si>
  <si>
    <t>DTNBVZXPKGNLQF-UHFFFAOYSA-N</t>
  </si>
  <si>
    <t>65.8807, 65.9071, 68.6834, 71.6700, 82.1520, 130.3684, 196.0052, 246.9983, 297.2432, 385.3317</t>
  </si>
  <si>
    <t>C23H46O4</t>
  </si>
  <si>
    <t>FT4313PR</t>
  </si>
  <si>
    <t>5-Oxooctanoylcarnitine</t>
  </si>
  <si>
    <t>5-氧代辛酰肉碱</t>
  </si>
  <si>
    <t>HMDB0241736</t>
  </si>
  <si>
    <t>CCCC(=O)CCCC(=O)OC(CC([O-])=O)C[N+](C)(C)C</t>
  </si>
  <si>
    <t>XEMFPXZZSZXNTC-UHFFFAOYSA-N</t>
  </si>
  <si>
    <t>C15H27NO5</t>
  </si>
  <si>
    <t>FT1021PR</t>
  </si>
  <si>
    <t>5-Butyloxazole</t>
  </si>
  <si>
    <t>5-丁基恶唑</t>
  </si>
  <si>
    <t>HMDB0038289</t>
  </si>
  <si>
    <t>77311-06-9</t>
  </si>
  <si>
    <t>CCCCC1=CN=CO1</t>
  </si>
  <si>
    <t>HVDQDMRCRULNJN-UHFFFAOYSA-N</t>
  </si>
  <si>
    <t>125.0903, 126.0550, 126.0661, 126.0925, 126.1026, 126.1184, 126.1274, 127.0394, 127.0751, 127.0860</t>
  </si>
  <si>
    <t>C7H11NO</t>
  </si>
  <si>
    <t>FT4098PR</t>
  </si>
  <si>
    <t>Hydroxy-gamma-sanshool</t>
  </si>
  <si>
    <t>羟基-Γ-山椒素</t>
  </si>
  <si>
    <t>LMFA08020325</t>
  </si>
  <si>
    <t>C17827</t>
  </si>
  <si>
    <t>C(/C=C/C=C/CC/C=C\C=C\C=C\C)(=O)NCC(C)(C)O</t>
  </si>
  <si>
    <t>CRPPMKFSMRODIQ-JDXPBYPHSA-N</t>
  </si>
  <si>
    <t>C18H27NO2</t>
  </si>
  <si>
    <t>FT5183PR</t>
  </si>
  <si>
    <t>2-(4-Allyl-2,6-dimethoxyphenoxy)-1-(3,4-methylenedioxyphenyl)-1-propanol</t>
  </si>
  <si>
    <t>2-(4-烯丙基-2,6-二甲氧基苯氧基)-1-(3,4-亚甲二氧基苯基)-1-丙醇</t>
  </si>
  <si>
    <t>HMDB0030826</t>
  </si>
  <si>
    <t>50354-29-5</t>
  </si>
  <si>
    <t>COC1=CC(CC=C)=CC(OC)=C1OC(C)C(O)C1=CC2=C(OCO2)C=C1</t>
  </si>
  <si>
    <t>RRMZKOOCNBRGQT-UHFFFAOYSA-N</t>
  </si>
  <si>
    <t>C21H24O6</t>
  </si>
  <si>
    <t>FT2814NR</t>
  </si>
  <si>
    <t>14-Methyloctadecan-2-one</t>
  </si>
  <si>
    <t>14-甲基十八烷-2-酮</t>
  </si>
  <si>
    <t>LMFA12000200</t>
  </si>
  <si>
    <t>CC(=O)CCCCCCCCCCCC(C)CCCC</t>
  </si>
  <si>
    <t>FUVQABBYCOUMQQ-UHFFFAOYSA-N</t>
  </si>
  <si>
    <t>73.9795, 77.4270, 89.0240, 101.0159, 195.7384, 205.3959, 255.2319, 281.2839, 302.6855, 327.2899</t>
  </si>
  <si>
    <t>C19H38O</t>
  </si>
  <si>
    <t>FT3388PR</t>
  </si>
  <si>
    <t>(10betaH,11xi)-11-Hydroxy-13-nor-6-eremophilen-8-one</t>
  </si>
  <si>
    <t>(10βH,11xi)-11-羟基-13-去甲-6-雅榄蓝烯-8-酮</t>
  </si>
  <si>
    <t>HMDB0037605</t>
  </si>
  <si>
    <t>348615-40-7</t>
  </si>
  <si>
    <t>CC(O)C1=CC2(C)C(C)CCCC2CC1=O</t>
  </si>
  <si>
    <t>YAQFZWZUAZKHAL-UHFFFAOYSA-N</t>
  </si>
  <si>
    <t>FT2323NR</t>
  </si>
  <si>
    <t>1-(5-Phenyl-1,2,4-thiadiazol-3-yl)-3-sulfanylideneurea</t>
  </si>
  <si>
    <t>1-(5-苯基-1,2,4-噻二唑-3-基)-3-磺基神经素</t>
  </si>
  <si>
    <t>HMDB0260234</t>
  </si>
  <si>
    <t>O=C(NC1=NSC(=N1)C1=CC=CC=C1)N=S</t>
  </si>
  <si>
    <t>NRHGUSADCJTUOX-UHFFFAOYSA-N</t>
  </si>
  <si>
    <t>93.0345, 94.4352, 100.6886, 101.5004, 150.0437, 172.9909, 189.5298, 212.9842, 223.5887, 256.9743</t>
  </si>
  <si>
    <t>C9H6N4OS2</t>
  </si>
  <si>
    <t>FT4425NR</t>
  </si>
  <si>
    <t>alpha,beta-Methylene ATP</t>
  </si>
  <si>
    <t>α,β-亚甲基 ATP</t>
  </si>
  <si>
    <t>HMDB0248246</t>
  </si>
  <si>
    <t>NC1=NC=NC2=C1N=CN2C1OC(COP(O)(=O)CP(O)(=O)OP(O)(O)=O)C(O)C1O</t>
  </si>
  <si>
    <t>CAWZRIXWFRFUQB-UHFFFAOYSA-N</t>
  </si>
  <si>
    <t>243.2472, 248.9604, 250.8197, 275.0709, 299.9736, 300.0479, 302.7143, 311.8705, 368.0323, 436.0230</t>
  </si>
  <si>
    <t>C11H18N5O12P3</t>
  </si>
  <si>
    <t>FT4706NR</t>
  </si>
  <si>
    <t>FT-0670561</t>
  </si>
  <si>
    <t>CC12CCC3C(CCC4C(C)(C(=O)OC5OC(C(=O)O)C(O)C(O)C5O)CCCC34C)(CC1=O)C2</t>
  </si>
  <si>
    <t>HIZZTUWFGBYLHI-UHFFFAOYSA-N</t>
  </si>
  <si>
    <t>133.0131, 148.6457, 157.0140, 157.4648, 175.0243, 193.0349, 205.3929, 227.4437, 275.3774, 539.2491</t>
  </si>
  <si>
    <t>C26H38O9</t>
  </si>
  <si>
    <t>FT4734PR</t>
  </si>
  <si>
    <t>(S)-p-Menth-1-ene-4,7-diol 4-glucoside</t>
  </si>
  <si>
    <t>(S)-对-薄荷-1-烯-4,7-二醇4-葡萄糖苷</t>
  </si>
  <si>
    <t>HMDB0038981</t>
  </si>
  <si>
    <t>359875-77-7</t>
  </si>
  <si>
    <t>CC(C)C1(CCC(CO)=CC1)OC1OC(CO)C(O)C(O)C1O</t>
  </si>
  <si>
    <t>WBDMFFSFFQSHFV-UHFFFAOYSA-N</t>
  </si>
  <si>
    <t>205.4051, 252.3201, 302.7146, 331.6666, 332.9776, 333.1877, 333.3107, 334.1900, 334.7192, 334.7583</t>
  </si>
  <si>
    <t>FT5162PR</t>
  </si>
  <si>
    <t>Ptilodene</t>
  </si>
  <si>
    <t>普替洛烯</t>
  </si>
  <si>
    <t>LMFA03000022</t>
  </si>
  <si>
    <t>C(CCC/C=C\C/C=C\CC(O)/C=C/C=C/C(=O)/C=C/CC)(=O)O</t>
  </si>
  <si>
    <t>ZHQGOCLBNWZRIU-YAPLNPGCSA-N</t>
  </si>
  <si>
    <t>FT5652PR</t>
  </si>
  <si>
    <t>MG(22:2/0:0/0:0)</t>
  </si>
  <si>
    <t>甘油单酯(22:2/0:0/0:0)</t>
  </si>
  <si>
    <t>HMDB0011583</t>
  </si>
  <si>
    <t>[H][C@](O)(CO)COC(=O)CCCCCCCCCCC\C=C/C\C=C/CCCCC</t>
  </si>
  <si>
    <t>UCYPOAPUDLUXQX-VXOKBQSKSA-N</t>
  </si>
  <si>
    <t>267.2680, 369.2992, 390.1911, 426.0971, 426.1551, 428.3727, 428.4787, 428.5121, 429.3741, 430.6057</t>
  </si>
  <si>
    <t>FT1606PR</t>
  </si>
  <si>
    <t>2-(dimethylamino)ethyl hydrogen sulfate</t>
  </si>
  <si>
    <t>CN(C)CCOS(=O)(=O)O</t>
  </si>
  <si>
    <t>WYVFVMUROJPJSS-UHFFFAOYSA-N</t>
  </si>
  <si>
    <t>C4H11NO4S</t>
  </si>
  <si>
    <t>FT1898NR</t>
  </si>
  <si>
    <t>Benzoyl meso-tartaric acid</t>
  </si>
  <si>
    <t>苯甲酰内消旋酒石酸</t>
  </si>
  <si>
    <t>HMDB0039511</t>
  </si>
  <si>
    <t>65621-34-3</t>
  </si>
  <si>
    <t>OC(C(OC(=O)C1=CC=CC=C1)C(O)=O)C(O)=O</t>
  </si>
  <si>
    <t>JXXURQWKKCNUBH-UHFFFAOYSA-N</t>
  </si>
  <si>
    <t>C11H10O7</t>
  </si>
  <si>
    <t>FT1995NR</t>
  </si>
  <si>
    <t>2-amino-3-(4-sulfooxyphenyl)propanoic Acid</t>
  </si>
  <si>
    <t>NC(Cc1ccc(OS(=O)(=O)O)cc1)C(=O)O</t>
  </si>
  <si>
    <t>CIQHWLTYGMYQQR-UHFFFAOYSA-N</t>
  </si>
  <si>
    <t>FT4355NR</t>
  </si>
  <si>
    <t>(3beta,5alpha,6beta,24R)-Stigmastane-3,5,6-triol</t>
  </si>
  <si>
    <t>（3β,5α,6β,24R）-豆甾烷-3,5,6-三醇</t>
  </si>
  <si>
    <t>HMDB0030014</t>
  </si>
  <si>
    <t>LMST01040240</t>
  </si>
  <si>
    <t>C1C[C@H](O)C[C@]2(O)[C@H](O)C[C@]3([H])[C@@]([H])([C@]21C)CC[C@]1(C)[C@@]([H])([C@H](C)CC[C@@H](CC)C(C)C)CC[C@]13[H]</t>
  </si>
  <si>
    <t>VGSSUFQMXBFFTM-METNKUIYSA-N</t>
  </si>
  <si>
    <t>100.3517, 112.4005, 188.5367, 205.3915, 214.4501, 233.8235, 421.9792, 440.3896, 475.3747, 493.3884</t>
  </si>
  <si>
    <t>C29H52O3</t>
  </si>
  <si>
    <t>FT7497PR</t>
  </si>
  <si>
    <t>PA(a-15:0/TXB2)</t>
  </si>
  <si>
    <t>磷脂酸(a-15:0/TXB2)</t>
  </si>
  <si>
    <t>HMDB0266937</t>
  </si>
  <si>
    <t>CCCCC[C@H](O)\C=C\[C@H]1OC(O)C[C@H](O)[C@@H]1C\C=C/CCCC(=O)O[C@H](COC(=O)CCCCCCCCCCC(C)CC)COP(O)(O)=O</t>
  </si>
  <si>
    <t>WSTJYUWSQYSNLI-YPBOUJILSA-N</t>
  </si>
  <si>
    <t>519.3245, 520.3271, 625.5181, 766.5731, 767.5825, 1013.6526, 1014.4830, 1014.6552, 1014.9047, 1015.6574</t>
  </si>
  <si>
    <t>C38H69O12P</t>
  </si>
  <si>
    <t>FT6935PR</t>
  </si>
  <si>
    <t>Chaetoglobosin N</t>
  </si>
  <si>
    <t>毛球蛋白N</t>
  </si>
  <si>
    <t>HMDB0031919</t>
  </si>
  <si>
    <t>156980-59-5</t>
  </si>
  <si>
    <t>CC(C1NC(=O)C23C1C(C)C1(C)OC1C2\C=C\CC(C)\C=C(C)/C(=O)C(=O)CCC3=O)C1=CNC2=C1C=CC=C2</t>
  </si>
  <si>
    <t>KPZHIOQEYKRXQD-OIJFLVMVSA-N</t>
  </si>
  <si>
    <t>Chaetoglobosins</t>
  </si>
  <si>
    <t>毛球蛋白</t>
  </si>
  <si>
    <t>297.1231, 299.1382, 302.7176, 328.1440, 402.1798, 463.2118, 522.2266, 537.2494, 581.2386, 582.2435</t>
  </si>
  <si>
    <t>C33H38N2O5</t>
  </si>
  <si>
    <t>FT7660PR</t>
  </si>
  <si>
    <t>PC(17:2/18:0)</t>
  </si>
  <si>
    <t>磷脂酰胆碱(17:2/18:0)</t>
  </si>
  <si>
    <t>LMGP01011561</t>
  </si>
  <si>
    <t>[C@](COP(=O)([O-])OCC[N+](C)(C)C)([H])(OC(CCCCCCCCCCCCCCCCC)=O)COC(CCCCCCC/C=C\C/C=C\CCCC)=O</t>
  </si>
  <si>
    <t>IWVKTDGDSGYDKO-SAYJRJQVSA-N</t>
  </si>
  <si>
    <t>C43H82NO8P</t>
  </si>
  <si>
    <t>FT1861NR</t>
  </si>
  <si>
    <t>4-(2-Pyridylazo)resorcinol</t>
  </si>
  <si>
    <t>4-(2-吡啶偶氮)-1,3-苯二酚</t>
  </si>
  <si>
    <t>HMDB0246287</t>
  </si>
  <si>
    <t>OC1=CC(O)=C(C=C1)N=NC1=CC=CC=N1</t>
  </si>
  <si>
    <t>RJNYNDHYSJRRDW-UHFFFAOYSA-N</t>
  </si>
  <si>
    <t>185.4981, 191.0191, 192.0232, 198.0420, 201.5267, 202.0178, 205.8917, 210.6349, 250.0386, 250.1443</t>
  </si>
  <si>
    <t>C11H9N3O2</t>
  </si>
  <si>
    <t>FT2180PR</t>
  </si>
  <si>
    <t>4-Hydroxybenzohydrazide</t>
  </si>
  <si>
    <t>4-羟基苯甲酰肼</t>
  </si>
  <si>
    <t>HMDB0246451</t>
  </si>
  <si>
    <t>NNC(=O)C1=CC=C(O)C=C1</t>
  </si>
  <si>
    <t>ZMZGIVVRBMFZSG-UHFFFAOYSA-N</t>
  </si>
  <si>
    <t>158.0931, 166.0256, 174.9552, 175.0132, 175.0188, 175.0477, 175.0754, 175.1105, 175.1477, 176.0662</t>
  </si>
  <si>
    <t>FT0226PR</t>
  </si>
  <si>
    <t>2-Methylpropanimidamide</t>
  </si>
  <si>
    <t>2-甲基丙脒</t>
  </si>
  <si>
    <t>HMDB0245237</t>
  </si>
  <si>
    <t>CC(C)C(N)=N</t>
  </si>
  <si>
    <t>NDAJNMAAXXIADY-UHFFFAOYSA-N</t>
  </si>
  <si>
    <t>Amidines</t>
  </si>
  <si>
    <t>脒类</t>
  </si>
  <si>
    <t>87.0920, 87.1018, 87.1081, 87.1218, 87.2983, 88.0219, 88.0396, 88.0760, 88.0869, 88.0954</t>
  </si>
  <si>
    <t>C4H10N2</t>
  </si>
  <si>
    <t>FT3311NR</t>
  </si>
  <si>
    <t>Amaronol B</t>
  </si>
  <si>
    <t>阿马罗诺B</t>
  </si>
  <si>
    <t>LMPK12130075</t>
  </si>
  <si>
    <t>C1(O)C=C2OC(O)(CC3C=C(O)C(OC)=C(O)C=3)C(=O)C2=C(O)C=1</t>
  </si>
  <si>
    <t>YCDTYNVODFTPCZ-UHFFFAOYSA-N</t>
  </si>
  <si>
    <t>Aurone flavonoids</t>
  </si>
  <si>
    <t>Auronols</t>
  </si>
  <si>
    <t>奥罗酮类黄酮</t>
  </si>
  <si>
    <t>橙醇</t>
  </si>
  <si>
    <t>199.0060, 259.0265, 285.4854, 319.0460, 377.1972, 378.9221, 379.0100, 379.0683, 379.1805, 380.0723</t>
  </si>
  <si>
    <t>C16H14O8</t>
  </si>
  <si>
    <t>FT3739PR</t>
  </si>
  <si>
    <t>Dehydroabietane</t>
  </si>
  <si>
    <t>脱氢松香烷</t>
  </si>
  <si>
    <t>HMDB0302739</t>
  </si>
  <si>
    <t>CC(C)C1=CC=C2C(CCC3C(C)(C)CCCC23C)=C1</t>
  </si>
  <si>
    <t>QUUCYKKMFLJLFS-UHFFFAOYSA-N</t>
  </si>
  <si>
    <t>187.1473, 189.1635, 201.1639, 205.3911, 205.4127, 215.0831, 215.1793, 217.1932, 229.1938, 271.2415</t>
  </si>
  <si>
    <t>C20H30</t>
  </si>
  <si>
    <t>FT4001PR</t>
  </si>
  <si>
    <t>4-[3,4,5-Trihydroxy-6-(hydroxymethyl)oxan-2-yl]oxybenzaldehyde</t>
  </si>
  <si>
    <t>4-[3,4,5-三羟基-6-(羟甲基)氧杂环己烷-2-基]氧基苯甲醛</t>
  </si>
  <si>
    <t>HMDB0253067</t>
  </si>
  <si>
    <t>OCC1OC(OC2=CC=C(C=O)C=C2)C(O)C(O)C1O</t>
  </si>
  <si>
    <t>OLZAGZCCJJBKNZ-UHFFFAOYSA-N</t>
  </si>
  <si>
    <t>226.0259, 228.8963, 233.8995, 238.8781, 243.8838, 261.8941, 284.9595, 285.0994, 285.1307, 285.3009</t>
  </si>
  <si>
    <t>FT5168NR</t>
  </si>
  <si>
    <t>3''-O-Caffeoylcosmosiin</t>
  </si>
  <si>
    <t>3''-O-咖啡酰大紫素</t>
  </si>
  <si>
    <t>HMDB0037345</t>
  </si>
  <si>
    <t>79366-62-4</t>
  </si>
  <si>
    <t>OCC1OC(OC2=CC(O)=C3C(=O)C=C(OC3=C2)C2=CC=C(O)C=C2)C(O)C(OC(=O)\C=C\C2=CC(O)=C(O)C=C2)C1O</t>
  </si>
  <si>
    <t>GKSHQQDCYIESFY-KRXBUXKQSA-N</t>
  </si>
  <si>
    <t>65.25633, 99.54703, 121.02917, 205.39594, 209.04523, 255.44463, 383.09378, 446.08026, 593.1283</t>
  </si>
  <si>
    <t>C30H26O13</t>
  </si>
  <si>
    <t>FT3358NR</t>
  </si>
  <si>
    <t>prednisolone-16alpha-carboxylic acid</t>
  </si>
  <si>
    <t>泼尼松龙-16α-羧酸</t>
  </si>
  <si>
    <t>LMST02030226</t>
  </si>
  <si>
    <t>[C@]12([C@]3([H])[C@]([H])([C@@]4([H])[C@](C)(C[C@@H]3O)[C@](C(=O)CO)(O)[C@H](C(O)=O)C4)CCC1=CC(=O)C=C2)C</t>
  </si>
  <si>
    <t>KDXQRWCHLWOYTA-YENSXTRCSA-N</t>
  </si>
  <si>
    <t>C22H28O7</t>
  </si>
  <si>
    <t>FT4966NR</t>
  </si>
  <si>
    <t>PC(19:3/0:0)</t>
  </si>
  <si>
    <t>磷脂酰胆碱(19:3/0:0)</t>
  </si>
  <si>
    <t>LMGP01050003</t>
  </si>
  <si>
    <t>[C@](COP(=O)([O-])OCC[N+](C)(C)C)([H])(O)COC(CCCCCCCC/C=C\C/C=C\C/C=C\CC)=O</t>
  </si>
  <si>
    <t>YWILQZMMAROEQS-MQIAJVHNSA-N</t>
  </si>
  <si>
    <t>C27H50NO7P</t>
  </si>
  <si>
    <t>FT2821PR</t>
  </si>
  <si>
    <t>3-Hydroxy-4-aminopyridine sulfate</t>
  </si>
  <si>
    <t>4-氨基-3-吡啶醇硫酸酯</t>
  </si>
  <si>
    <t>HMDB0061120</t>
  </si>
  <si>
    <t>NC1=C(OS(O)(=O)=O)C=NC=C1</t>
  </si>
  <si>
    <t>UHYGMFPQJLJNNE-UHFFFAOYSA-N</t>
  </si>
  <si>
    <t>185.0484, 185.0665, 185.0831, 188.1057, 188.9557, 189.9572, 196.0976, 203.0594, 208.0453, 208.0988</t>
  </si>
  <si>
    <t>C5H6N2O4S</t>
  </si>
  <si>
    <t>FT3162PR</t>
  </si>
  <si>
    <t>N-Decanoylglycine</t>
  </si>
  <si>
    <t>N-癸酰甘氨酸</t>
  </si>
  <si>
    <t>HMDB0013267</t>
  </si>
  <si>
    <t>CCCCCCCCCC(=O)NCC(O)=O</t>
  </si>
  <si>
    <t>WRRYZYASRAUROW-UHFFFAOYSA-N</t>
  </si>
  <si>
    <t>68.2985, 87.1473, 93.8605, 95.2497, 100.0119, 128.9511, 158.9613, 212.1638, 230.1907, 231.1114</t>
  </si>
  <si>
    <t>FT4498NR</t>
  </si>
  <si>
    <t>Implitapide</t>
  </si>
  <si>
    <t>英普他派</t>
  </si>
  <si>
    <t>HMDB0259646</t>
  </si>
  <si>
    <t>CC1=NC2=C(C3=CC=CC=C3N2CC2=CC(=CC=C2)C(C2CCCC2)C(=O)NC(CO)C2=CC=CC=C2)C(C)=C1</t>
  </si>
  <si>
    <t>AMNXBQPRODZJQR-UHFFFAOYSA-N</t>
  </si>
  <si>
    <t>Pyridoindoles</t>
  </si>
  <si>
    <t>吡啶并吲哚</t>
  </si>
  <si>
    <t>302.6984, 355.0679, 388.3214, 432.3110, 433.3132, 512.0900, 512.2676, 512.4059, 512.4473, 513.2704</t>
  </si>
  <si>
    <t>C35H37N3O2</t>
  </si>
  <si>
    <t>FT5782PR</t>
  </si>
  <si>
    <t>Sulfoxone</t>
  </si>
  <si>
    <t>阿地砜钠</t>
  </si>
  <si>
    <t>HMDB0015276</t>
  </si>
  <si>
    <t>144-75-2</t>
  </si>
  <si>
    <t>OS(=O)CNC1=CC=C(C=C1)S(=O)(=O)C1=CC=C(NCS(O)=O)C=C1</t>
  </si>
  <si>
    <t>NEDPPCHNEOMTJV-UHFFFAOYSA-N</t>
  </si>
  <si>
    <t>139.5160, 153.0283, 182.0688, 189.0664, 232.9567, 232.9623, 232.9851, 383.1768, 442.3048, 442.9813</t>
  </si>
  <si>
    <t>C14H16N2O6S3</t>
  </si>
  <si>
    <t>FT1532NR</t>
  </si>
  <si>
    <t>4-undecynoic acid</t>
  </si>
  <si>
    <t>4-十一碳酸</t>
  </si>
  <si>
    <t>LMFA01030612</t>
  </si>
  <si>
    <t>C(CCC#CCCCCCC)(=O)O</t>
  </si>
  <si>
    <t>RICXZQBDWBCFKY-UHFFFAOYSA-N</t>
  </si>
  <si>
    <t>115.3923, 130.9831, 146.8535, 158.9785, 159.4134, 183.1386, 205.3952, 221.8083, 227.1281, 227.1650</t>
  </si>
  <si>
    <t>C11H18O2</t>
  </si>
  <si>
    <t>FT5425PR</t>
  </si>
  <si>
    <t>Calcitriol D6</t>
  </si>
  <si>
    <t>骨化三醇D6</t>
  </si>
  <si>
    <t>HMDB0242363</t>
  </si>
  <si>
    <t>CC(CCCC(C)(C)O)C1CCC2C(CCCC12C)=CC=C1CC(O)CC(O)C1=C</t>
  </si>
  <si>
    <t>GMRQFYUYWCNGIN-UHFFFAOYSA-N</t>
  </si>
  <si>
    <t>69.4874, 69.4918, 101.6964, 118.7305, 201.0297, 293.4913, 381.3135, 386.2561, 399.3254, 418.8877</t>
  </si>
  <si>
    <t>C27H44O3</t>
  </si>
  <si>
    <t>FT4363NR</t>
  </si>
  <si>
    <t>DG(2:0/0:0/PGJ2)</t>
  </si>
  <si>
    <t>甘油二酯(2:0/0:0/PGJ2)</t>
  </si>
  <si>
    <t>HMDB0296921</t>
  </si>
  <si>
    <t>CCCCC[C@H](O)\C=C\[C@@H]1[C@@H](C\C=C/CCCC(=O)OC[C@H](O)COC(C)=O)C=CC1=O</t>
  </si>
  <si>
    <t>SFIBBHUOEANMLY-AFBJFUDOSA-N</t>
  </si>
  <si>
    <t>C25H38O7</t>
  </si>
  <si>
    <t>FT2353NR</t>
  </si>
  <si>
    <t>Methylhalfordinol</t>
  </si>
  <si>
    <t>甲基氟啶醇</t>
  </si>
  <si>
    <t>HMDB0038571</t>
  </si>
  <si>
    <t>33864-03-8</t>
  </si>
  <si>
    <t>COC1=CC=C(C=C1)C1=CN=C(O1)C1=CN=CC=C1</t>
  </si>
  <si>
    <t>LHPXYPROPRFEQE-UHFFFAOYSA-N</t>
  </si>
  <si>
    <t>143.0263, 159.1172, 160.9986, 173.7709, 192.0970, 205.3915, 286.9553, 287.0595, 302.7028, 304.3759</t>
  </si>
  <si>
    <t>C15H12N2O2</t>
  </si>
  <si>
    <t>FT3784NR</t>
  </si>
  <si>
    <t>Certonardosterol G</t>
  </si>
  <si>
    <t>西托纳甾醇G</t>
  </si>
  <si>
    <t>LMST01010480</t>
  </si>
  <si>
    <t>C1[C@]2(C)[C@@]3([H])CC[C@]4(C)[C@@]([H])([C@]([H])(C)/C=C/[C@H](O)C(C)C)C[C@@H](O)[C@@]4([H])[C@]3([H])C[C@H](O)[C@@]2([H])C[C@@H](O)C1</t>
  </si>
  <si>
    <t>PNJDDNGAXOYFJN-JMNWVQTPSA-N</t>
  </si>
  <si>
    <t>FT3095PR</t>
  </si>
  <si>
    <t>4-amino-4-deoxychorismate</t>
  </si>
  <si>
    <t>4-氨基-4-脱氧分支酸</t>
  </si>
  <si>
    <t>HMDB0304170</t>
  </si>
  <si>
    <t>C11355</t>
  </si>
  <si>
    <t>133442-18-9</t>
  </si>
  <si>
    <t>N[C@@H]1C=CC(=C[C@H]1OC(=C)C(O)=O)C(O)=O</t>
  </si>
  <si>
    <t>OIUJHGOLFKDBSU-HTQZYQBOSA-N</t>
  </si>
  <si>
    <t>169.0494, 180.0650, 200.7389, 203.0348, 208.0605, 226.0708, 226.0957, 226.1574, 226.1806, 229.4462</t>
  </si>
  <si>
    <t>C10H11NO5</t>
  </si>
  <si>
    <t>FT4176PR</t>
  </si>
  <si>
    <t>Metanephrine sulfate</t>
  </si>
  <si>
    <t>硫酸变肾上腺素</t>
  </si>
  <si>
    <t>HMDB0240719</t>
  </si>
  <si>
    <t>CNCC(O)C1=CC(OC)=C(OS(O)(=O)=O)C=C1</t>
  </si>
  <si>
    <t>WGKGYPCZXNIECS-UHFFFAOYSA-N</t>
  </si>
  <si>
    <t>C10H15NO6S</t>
  </si>
  <si>
    <t>FT4802NR</t>
  </si>
  <si>
    <t>Metronidazole benzoate</t>
  </si>
  <si>
    <t>苯酰甲硝唑</t>
  </si>
  <si>
    <t>HMDB0254688</t>
  </si>
  <si>
    <t>CC1=NC=C(N1CCOC(=O)C1=CC=CC=C1)[N+]([O-])=O</t>
  </si>
  <si>
    <t>CUUCCLJJOWSASK-UHFFFAOYSA-N</t>
  </si>
  <si>
    <t>C13H13N3O4</t>
  </si>
  <si>
    <t>FT3825PR</t>
  </si>
  <si>
    <t>5-Methyl-4-((1R,6R)-3-methyl-6-(1-methylethenyl)-2-cyclohexen-1-yl)-1,3-benzenediol</t>
  </si>
  <si>
    <t>5-甲基-4-((1R,6R)-3-甲基-6-(1-甲基乙烯基)-2-环己烯-1-基)-1,3-苯二酚</t>
  </si>
  <si>
    <t>HMDB0255836</t>
  </si>
  <si>
    <t>CC(=C)C1CCC(C)=CC1C1=C(O)C=C(O)C=C1C</t>
  </si>
  <si>
    <t>KDZOUSULXZNDJH-UHFFFAOYSA-N</t>
  </si>
  <si>
    <t>C17H22O2</t>
  </si>
  <si>
    <t>FT5546PR</t>
  </si>
  <si>
    <t>11,12,14-Trihydroxy-7-methoxy-8,11,13-abietatrien-20,6-olide</t>
  </si>
  <si>
    <t>11,12,14-三羟基-7-甲氧基-8,11,13-枞树三烯-20,6-内酯</t>
  </si>
  <si>
    <t>HMDB0031932</t>
  </si>
  <si>
    <t>197649-67-5</t>
  </si>
  <si>
    <t>COC1C2OC(=O)C3(CCCC(C)(C)C23)C2=C1C(O)=C(C(C)C)C(O)=C2O</t>
  </si>
  <si>
    <t>LBJNLIBZUVWVTE-UHFFFAOYSA-N</t>
  </si>
  <si>
    <t>76.2666, 89.8293, 142.9384, 179.2109, 206.0038, 218.5948, 237.5384, 306.6538, 415.1521, 415.2199</t>
  </si>
  <si>
    <t>C21H28O6</t>
  </si>
  <si>
    <t>FT5853NR</t>
  </si>
  <si>
    <t>GM4(d18:1/16:0)</t>
  </si>
  <si>
    <t xml:space="preserve"> GM4(d18:1/16:0)</t>
  </si>
  <si>
    <t>LMSP0601AA01</t>
  </si>
  <si>
    <t>[C@](CO[C@@H]1O[C@H](CO)[C@H](O)[C@H](O[C@]2(O[C@@]([H])([C@H](O)[C@H](O)CO)[C@H](NC(=O)C)[C@@H](O)C2)C(O)=O)[C@H]1O)([H])(NC(CCCCCCCCCCCCCCC)=O)[C@]([H])(O)/C=C/CCCCCCCCCCCCC</t>
  </si>
  <si>
    <t>PKLSFJOTJYLMTM-LXKOWMRQSA-N</t>
  </si>
  <si>
    <t>224.0694, 228.6334, 255.2324, 324.1227, 344.0394, 480.2403, 480.3084, 530.3010, 975.6265, 1025.6379</t>
  </si>
  <si>
    <t>C51H94N2O16</t>
  </si>
  <si>
    <t>FT5065PR</t>
  </si>
  <si>
    <t>Thaumatin b, recombinant</t>
  </si>
  <si>
    <t>索马甜b</t>
  </si>
  <si>
    <t>HMDB0032529</t>
  </si>
  <si>
    <t>53850-34-3</t>
  </si>
  <si>
    <t>CC(=O)NC1=CC=C(C=C1)S(=O)(=O)N1CCN(CC1)C1CCCCCC1</t>
  </si>
  <si>
    <t>IVPOQXWRUMMORK-UHFFFAOYSA-N</t>
  </si>
  <si>
    <t>Benzenesulfonamides</t>
  </si>
  <si>
    <t>苯磺酰胺类</t>
  </si>
  <si>
    <t>167.2361, 205.3939, 205.4129, 231.4127, 360.4253, 362.1903, 362.3274, 362.6924, 363.1934, 701.3897</t>
  </si>
  <si>
    <t>C19H29N3O3S</t>
  </si>
  <si>
    <t>FT5547PR</t>
  </si>
  <si>
    <t>Nerigliatin</t>
  </si>
  <si>
    <t>银杏叶苷</t>
  </si>
  <si>
    <t>HMDB0259505</t>
  </si>
  <si>
    <t>CN(C)C(=O)C1=NC=C(OC2=CC(=CC3=C2C=C(C)O3)C(O)=NC2=NC=C(C)N=C2)C=N1</t>
  </si>
  <si>
    <t>MASKQITXHVYVFL-UHFFFAOYSA-N</t>
  </si>
  <si>
    <t>72.0739, 78.7721, 86.4193, 101.6424, 123.2913, 138.0832, 142.9385, 205.4018, 302.7078, 332.3414</t>
  </si>
  <si>
    <t>C22H20N6O4</t>
  </si>
  <si>
    <t>FT4601NR</t>
  </si>
  <si>
    <t>SCHEMBL7292028</t>
  </si>
  <si>
    <t>COc1ccc(CC(NC(=O)c2ccc(C(=N)N)cc2)C(=O)N2CCC(OCC(=O)O)CC2)cc1</t>
  </si>
  <si>
    <t>FMCLCBYDAIUIRA-UHFFFAOYSA-N</t>
  </si>
  <si>
    <t>113.0241, 151.0394, 175.0246, 182.0578, 260.1405, 275.1646, 319.1546, 351.1792, 456.0627, 527.2117</t>
  </si>
  <si>
    <t>C25H30N4O6</t>
  </si>
  <si>
    <t>FT6374PR</t>
  </si>
  <si>
    <t>5-Methyltricosanoylcarnitine</t>
  </si>
  <si>
    <t>5-甲基二十烷酰肉碱</t>
  </si>
  <si>
    <t>HMDB0240969</t>
  </si>
  <si>
    <t>CCCCCCCCCCCCCCCCCCC(C)CCCC(=O)OC(CC([O-])=O)C[N+](C)(C)C</t>
  </si>
  <si>
    <t>LHTZUHRNOLWZNI-UHFFFAOYSA-N</t>
  </si>
  <si>
    <t>133.0856, 144.1016, 167.1523, 205.3959, 236.5390, 327.2003, 355.7604, 453.3925, 512.4677, 513.4746</t>
  </si>
  <si>
    <t>C31H61NO4</t>
  </si>
  <si>
    <t>FT3976PR</t>
  </si>
  <si>
    <t>N-(3-Phenoxycinnamyl)acetohydroxamic acid</t>
  </si>
  <si>
    <t>N-(3-苯氧基肉桂基)乙酰异羟肟酸</t>
  </si>
  <si>
    <t>HMDB0249488</t>
  </si>
  <si>
    <t>CC(=O)N(O)CC=CC1=CC(OC2=CC=CC=C2)=CC=C1</t>
  </si>
  <si>
    <t>CEUDWZXMLMKPNN-UHFFFAOYSA-N</t>
  </si>
  <si>
    <t>Diphenylethers</t>
  </si>
  <si>
    <t>二苯醚</t>
  </si>
  <si>
    <t>92.09923, 110.05959, 135.04411, 147.0638, 173.05838, 201.05434, 242.88361, 284.12759, 284.29419</t>
  </si>
  <si>
    <t>C17H17NO3</t>
  </si>
  <si>
    <t>FT5751PR</t>
  </si>
  <si>
    <t>1-(2-methoxy-13-methyl-tetradecanyl)-sn-glycero-3-phosphoethanolamine</t>
  </si>
  <si>
    <t>1-(2-甲氧基-13-甲基-十四烷基)-sn-甘油-3-磷酸乙醇胺</t>
  </si>
  <si>
    <t>LMGP02060011</t>
  </si>
  <si>
    <t>[C@](COP(=O)(O)OCCN)([H])(O)COCC(OC)CCCCCCCCCCC(C)C</t>
  </si>
  <si>
    <t>VVIJTQGRSFRVAZ-VQCQRNETSA-N</t>
  </si>
  <si>
    <t>FT3399PR</t>
  </si>
  <si>
    <t>S-3-oxodecanoyl cysteamine</t>
  </si>
  <si>
    <t>S-3-氧代癸酰半胱胺</t>
  </si>
  <si>
    <t>HMDB0059773</t>
  </si>
  <si>
    <t>CCCCCCCC(=O)CC(=O)SCCN</t>
  </si>
  <si>
    <t>LGPPHMDEKCAPLE-UHFFFAOYSA-N</t>
  </si>
  <si>
    <t>105.0004, 116.0525, 123.1170, 129.8446, 142.1590, 157.1040, 183.1179, 200.1467, 229.1255, 246.1520</t>
  </si>
  <si>
    <t>C12H23NO2S</t>
  </si>
  <si>
    <t>FT2757NR</t>
  </si>
  <si>
    <t>Neobanol</t>
  </si>
  <si>
    <t>新苯酚</t>
  </si>
  <si>
    <t>LMPK12070107</t>
  </si>
  <si>
    <t>C12OC=CC1=CC1C3OC4=CC5OCOC=5C=C4C3(O)COC=1C=2</t>
  </si>
  <si>
    <t>QVTNCCTYKIEOIS-UHFFFAOYSA-N</t>
  </si>
  <si>
    <t>Furanoisoflavonoids</t>
  </si>
  <si>
    <t>呋喃异黄酮</t>
  </si>
  <si>
    <t>C18H12O6</t>
  </si>
  <si>
    <t>FT1412NR</t>
  </si>
  <si>
    <t>3-hydroxybenzoic acid-3-O-sulphate</t>
  </si>
  <si>
    <t>3-羟基苯甲酸-3-O-硫酸盐</t>
  </si>
  <si>
    <t>HMDB0059968</t>
  </si>
  <si>
    <t>OC(=O)C1=CC(OS(O)(=O)=O)=CC=C1</t>
  </si>
  <si>
    <t>MZYPOJMKJHCOQG-UHFFFAOYSA-N</t>
  </si>
  <si>
    <t>110.5917, 127.8380, 149.0274, 172.9768, 172.9900, 187.0593, 201.5061, 216.9796, 217.0889, 235.3466</t>
  </si>
  <si>
    <t>C7H6O6S</t>
  </si>
  <si>
    <t>FT2198NR</t>
  </si>
  <si>
    <t>5-(3,4-Dihydroxyphenyl)-1-(piperidin-1-yl)pentan-1-one</t>
  </si>
  <si>
    <t>5-(3,4-二羟基苯基)-1-(哌啶-1-基)戊-1-酮</t>
  </si>
  <si>
    <t>C1CCN(CC1)C(=O)CCCCC2=CC(=C(C=C2)O)O</t>
  </si>
  <si>
    <t>JSFJGMJMGMXHKO-UHFFFAOYSA-N</t>
  </si>
  <si>
    <t>N-acylpiperidines</t>
  </si>
  <si>
    <t xml:space="preserve"> N-酰基哌啶</t>
  </si>
  <si>
    <t>91.7281, 95.8863, 111.7666, 132.0751, 172.9386, 205.4001, 233.1542, 237.9226, 250.5780, 276.1598</t>
  </si>
  <si>
    <t>C16H23NO3</t>
  </si>
  <si>
    <t>FT1351PR</t>
  </si>
  <si>
    <t>2-Sulfamoylacetic Acid</t>
  </si>
  <si>
    <t>2-氨磺酰乙酸</t>
  </si>
  <si>
    <t>HMDB0245317</t>
  </si>
  <si>
    <t>NS(=O)(=O)CC(O)=O</t>
  </si>
  <si>
    <t>FUYOZIVWKHUWQX-UHFFFAOYSA-N</t>
  </si>
  <si>
    <t>C2H5NO4S</t>
  </si>
  <si>
    <t>FT3324PR</t>
  </si>
  <si>
    <t>(E,E)-2,4-Decadienoic isobutylamide</t>
  </si>
  <si>
    <t>CIS-墙草碱</t>
  </si>
  <si>
    <t>HMDB0030951</t>
  </si>
  <si>
    <t>LMFA08020162</t>
  </si>
  <si>
    <t>18836-52-7</t>
  </si>
  <si>
    <t>CCCCC/C=C\C=C\C(NCC(C)C)=O</t>
  </si>
  <si>
    <t>MAGQQZHFHJDIRE-QNRZBPGKSA-N</t>
  </si>
  <si>
    <t>188.2372, 200.1568, 200.2006, 200.2452, 200.2541, 201.2056, 205.3978, 223.1692, 241.1013, 241.2171</t>
  </si>
  <si>
    <t>C14H25NO</t>
  </si>
  <si>
    <t>FT3680NR</t>
  </si>
  <si>
    <t>20-Dihydroprednisolonic acid</t>
  </si>
  <si>
    <t>CC12C=CC(=O)C=C1CCC1C2C(O)CC2(C)C1CCC2(O)C(O)C(=O)O</t>
  </si>
  <si>
    <t>MABTYSTXQLOOCI-UHFFFAOYSA-N</t>
  </si>
  <si>
    <t>54.26834, 62.7741, 130.90123, 145.42503, 205.39957, 233.77438, 268.74603, 302.68488, 337.48447, 426.54138</t>
  </si>
  <si>
    <t>FT3474NR</t>
  </si>
  <si>
    <t>2-Hydroxy-22-methyltetracosanoic acid</t>
  </si>
  <si>
    <t>2-羟基-22-甲基二十烷酸</t>
  </si>
  <si>
    <t>HMDB0040909</t>
  </si>
  <si>
    <t>LMFA01030969</t>
  </si>
  <si>
    <t>52900-16-0</t>
  </si>
  <si>
    <t>CCC(CCCCCCCCCCCCCCCCCCCC(C(O)=O)O)C</t>
  </si>
  <si>
    <t>IJYLBYZUFMZUOS-UHFFFAOYSA-N</t>
  </si>
  <si>
    <t>63.9432, 66.6058, 66.6096, 72.5227, 111.9184, 122.8284, 205.4041, 341.1142, 378.4607, 397.3699</t>
  </si>
  <si>
    <t>C25H50O3</t>
  </si>
  <si>
    <t>FT2758NR</t>
  </si>
  <si>
    <t>3,4,5-trihydroxy-6-[(E)-3-phenylprop-2-enoyl]oxyoxane-2-carboxylic acid</t>
  </si>
  <si>
    <t>3,4,5-三羟基-6-[(E)-3-苯基丙-2-烯酰基]氧代氧杂环己烷-2-羧酸</t>
  </si>
  <si>
    <t>O=C(/C=C/c1ccccc1)OC1OC(C(=O)O)C(O)C(O)C1O</t>
  </si>
  <si>
    <t>OLQFUCUMPWIDSC-VOTSOKGWSA-N</t>
  </si>
  <si>
    <t>233.1058, 236.0290, 254.9200, 255.0240, 255.0869, 255.1107, 277.0687, 278.0722, 302.0134, 323.0713</t>
  </si>
  <si>
    <t>C15H16O8</t>
  </si>
  <si>
    <t>FT1818NR</t>
  </si>
  <si>
    <t>p-Hydroxyphenobarbital</t>
  </si>
  <si>
    <t>4-羟基苯巴比妥-D5</t>
  </si>
  <si>
    <t>HMDB0060537</t>
  </si>
  <si>
    <t>379-34-0</t>
  </si>
  <si>
    <t>CCC1(C(=O)NC(=O)NC1=O)C1=CC=C(O)C=C1</t>
  </si>
  <si>
    <t>IEPXMKJNWPXDBP-UHFFFAOYSA-N</t>
  </si>
  <si>
    <t>FT3498NR</t>
  </si>
  <si>
    <t>MG(0:0/a-21:0/0:0)[rac]</t>
  </si>
  <si>
    <t>甘油单酯(0:0/a-21:0/0:0)[rac]</t>
  </si>
  <si>
    <t>HMDB0072864</t>
  </si>
  <si>
    <t>[H]C(CO)(CO)OC(=O)CCCCCCCCCCCCCCCCC(C)CC</t>
  </si>
  <si>
    <t>YOMCPWBJAMXFOQ-UHFFFAOYSA-N</t>
  </si>
  <si>
    <t>70.7220, 73.8711, 73.8983, 74.2664, 77.2930, 117.6145, 127.0260, 213.6262, 302.6997, 399.3468</t>
  </si>
  <si>
    <t>C24H48O4</t>
  </si>
  <si>
    <t>FT7938PR</t>
  </si>
  <si>
    <t>PE(24:1/LTE4)</t>
  </si>
  <si>
    <t>磷脂酰乙醇胺(24:1/LTE4)</t>
  </si>
  <si>
    <t>HMDB0284580</t>
  </si>
  <si>
    <t>CCCCCCCC\C=C/CCCCCCCCCCCCCC(=O)OC[C@H](COP(O)(=O)OCCN)OC(=O)[C@@H](N)CS[C@H](\C=C\C=C\C=C/C\C=C/CCCCC)[C@@H](O)CCCC(O)=O</t>
  </si>
  <si>
    <t>DTLHILHBWUAAFN-OPDUMTOVSA-N</t>
  </si>
  <si>
    <t>991.8467, 992.6741, 1002.6685, 1003.1506, 1013.4008, 1013.6522, 1013.8283, 1014.6545, 1508.9777, 1509.9661</t>
  </si>
  <si>
    <t>C52H93N2O11PS</t>
  </si>
  <si>
    <t>FT5821PR</t>
  </si>
  <si>
    <t>Axillarin 7-sulfate</t>
  </si>
  <si>
    <t>酸枣甙7-硫酸盐</t>
  </si>
  <si>
    <t>LMPK12112974</t>
  </si>
  <si>
    <t>C1C=C(O)C(O)=CC=1C1=C(OC)C(=O)C2C(O)=C(OC)C(OS(=O)(=O)O)=CC=2O1</t>
  </si>
  <si>
    <t>AYBWPCJLKMIOED-UHFFFAOYSA-N</t>
  </si>
  <si>
    <t>380.8978, 381.0129, 402.8463, 403.0068, 403.1301, 403.9525, 404.0067, 412.9724, 448.9999, 449.3596</t>
  </si>
  <si>
    <t>C17H14O11S</t>
  </si>
  <si>
    <t>FT7642PR</t>
  </si>
  <si>
    <t>DG(5-iso PGF2VI/0:0/a-25:0)</t>
  </si>
  <si>
    <t>甘油二酯(5-iso PGF2VI/0:0/a-25:0)</t>
  </si>
  <si>
    <t>HMDB0298193</t>
  </si>
  <si>
    <t>CCCCC[C@@H](O)\C=C\[C@H]1[C@H](O)C[C@H](O)[C@H]1C\C=C/CC(=O)OC[C@@H](O)COC(=O)CCCCCCCCCCCCCCCCCCCCC(C)CC</t>
  </si>
  <si>
    <t>ZCBRPICMWBHULG-YKTUHBJISA-N</t>
  </si>
  <si>
    <t>C46H84O8</t>
  </si>
  <si>
    <t>FT6630PR</t>
  </si>
  <si>
    <t>(13Z,16Z)-Hexacosa-13,16-dienoylcarnitine</t>
  </si>
  <si>
    <t>(13Z,16Z)-Hexacosa-13,16-二烯酰肉碱</t>
  </si>
  <si>
    <t>HMDB0241642</t>
  </si>
  <si>
    <t>CCCCCCCCCC=CCC=CCCCCCCCCCCCC(=O)OC(CC([O-])=O)C[N+](C)(C)C</t>
  </si>
  <si>
    <t>MWKXNXCYWIZFMV-UHFFFAOYSA-N</t>
  </si>
  <si>
    <t>85.0289, 86.0966, 104.1069, 124.9994, 184.0735, 299.0612, 378.3702, 405.9010, 536.3728, 536.4649</t>
  </si>
  <si>
    <t>C33H61NO4</t>
  </si>
  <si>
    <t>FT1073NR</t>
  </si>
  <si>
    <t>Glutarylglycine</t>
  </si>
  <si>
    <t>戊二酰甘氨酸</t>
  </si>
  <si>
    <t>HMDB0000590</t>
  </si>
  <si>
    <t>17686-38-3</t>
  </si>
  <si>
    <t>OC(=O)CCCC(=O)NCC(O)=O</t>
  </si>
  <si>
    <t>NBLKTRLPZFCMJG-UHFFFAOYSA-N</t>
  </si>
  <si>
    <t>FT3992NR</t>
  </si>
  <si>
    <t>Melatonin glucuronide</t>
  </si>
  <si>
    <t>褪黑素葡萄糖苷酸</t>
  </si>
  <si>
    <t>HMDB0060830</t>
  </si>
  <si>
    <t>COC1=CC2=C(C=C1)N(C=C2CCNC(C)=O)C1OC(C(O)C(O)C1O)C(O)=O</t>
  </si>
  <si>
    <t>GXNGLFUTEZJKRQ-UHFFFAOYSA-N</t>
  </si>
  <si>
    <t>1-pyranosylindoles</t>
  </si>
  <si>
    <t>1-吡喃吲哚</t>
  </si>
  <si>
    <t>C19H24N2O8</t>
  </si>
  <si>
    <t>FT3313NR</t>
  </si>
  <si>
    <t>Diethyl L-malate</t>
  </si>
  <si>
    <t>苹果酸二乙酯</t>
  </si>
  <si>
    <t>HMDB0040220</t>
  </si>
  <si>
    <t>7554-28-1</t>
  </si>
  <si>
    <t>CCOC(=O)CC(O)C(=O)OCC</t>
  </si>
  <si>
    <t>VKNUORWMCINMRB-UHFFFAOYSA-N</t>
  </si>
  <si>
    <t>114.8093, 119.4483, 174.9557, 185.1174, 187.0076, 242.9435, 287.0003, 364.1521, 379.1604, 381.4990</t>
  </si>
  <si>
    <t>C8H14O5</t>
  </si>
  <si>
    <t>FT1548NR</t>
  </si>
  <si>
    <t>(2-hydroxy-5-prop-2-enylphenyl) hydrogen sulate</t>
  </si>
  <si>
    <t>(2-羟基-5-丙-2-烯基苯基)硫酸氢盐</t>
  </si>
  <si>
    <t>C=CCc1ccc(O)c(OS(=O)(=O)O)c1</t>
  </si>
  <si>
    <t>NZJJNEPAJGOQNB-UHFFFAOYSA-N</t>
  </si>
  <si>
    <t>102.9568, 127.9391, 128.8796, 143.2212, 149.0605, 149.3953, 191.8767, 229.0171, 229.1442, 230.0192</t>
  </si>
  <si>
    <t>FT4911PR</t>
  </si>
  <si>
    <t>N-Feruloyl dopamine, trans-</t>
  </si>
  <si>
    <t>N-阿魏酰多巴胺，反式-</t>
  </si>
  <si>
    <t>COC1=C(C=CC(=C1)C=CC(=O)NCCC2=CC(=C(C=C2)O)O)O</t>
  </si>
  <si>
    <t>ZRLYUFOWFPPSTD-QPJJXVBHSA-N</t>
  </si>
  <si>
    <t>C18H19NO5</t>
  </si>
  <si>
    <t>FT4112NR</t>
  </si>
  <si>
    <t>Etiocholan-3alpha-ol-17-one 3-glucuronide</t>
  </si>
  <si>
    <t>乙硫胆烷-3α-ol-17-酮3-葡萄糖苷酸</t>
  </si>
  <si>
    <t>HMDB0004484</t>
  </si>
  <si>
    <t>LMST05010014</t>
  </si>
  <si>
    <t>C11136</t>
  </si>
  <si>
    <t>3602-09-3</t>
  </si>
  <si>
    <t>[C@H]1([C@H]([C@H](O)[C@@H](O)[C@@H](O1)O[C@@H]1CC[C@@]2(C)[C@]([H])(CC[C@@]3([H])[C@]4([H])CCC(=O)[C@]4(CC[C@@]32[H])C)C1)O)C(O)=O</t>
  </si>
  <si>
    <t>VFUIRAVTUVCQTF-SDHZCXLISA-N</t>
  </si>
  <si>
    <t>182.0839, 201.8580, 205.3905, 265.2307, 289.1075, 367.1559, 429.5208, 465.1352, 465.2480, 465.3071</t>
  </si>
  <si>
    <t>FT2540NR</t>
  </si>
  <si>
    <t>L-enantiomer</t>
  </si>
  <si>
    <t>D-1,2:4,5-二邻异丙二烯-B-D-红-2,3-己基</t>
  </si>
  <si>
    <t>HMDB0253884</t>
  </si>
  <si>
    <t>CC1(C)OC2COC3(COC(C)(C)O3)C(=O)C2O1</t>
  </si>
  <si>
    <t>IVWWFWFVSWOTLP-UHFFFAOYSA-N</t>
  </si>
  <si>
    <t>Dioxolopyrans</t>
  </si>
  <si>
    <t>二氧并吡喃类</t>
  </si>
  <si>
    <t>C12H18O6</t>
  </si>
  <si>
    <t>FT2604NR</t>
  </si>
  <si>
    <t>4-Nitrothiophenol</t>
  </si>
  <si>
    <t>4-硝基苯硫醇</t>
  </si>
  <si>
    <t>HMDB0246550</t>
  </si>
  <si>
    <t>[O-][N+](=O)C1=CC=C(S)C=C1</t>
  </si>
  <si>
    <t>AXBVSRMHOPMXBA-UHFFFAOYSA-N</t>
  </si>
  <si>
    <t>C6H5NO2S</t>
  </si>
  <si>
    <t>FT4732PR</t>
  </si>
  <si>
    <t>Citpressine II</t>
  </si>
  <si>
    <t>西加压素II</t>
  </si>
  <si>
    <t>HMDB0029324</t>
  </si>
  <si>
    <t>81525-59-9</t>
  </si>
  <si>
    <t>COC1=CC2=C(C(O)=C1)C(=O)C1=C(N2C)C(OC)=C(OC)C=C1</t>
  </si>
  <si>
    <t>CHCYJKZBXNSGCG-UHFFFAOYSA-N</t>
  </si>
  <si>
    <t>241.0968, 255.1119, 257.1297, 283.1075, 290.9618, 301.1180, 302.6860, 302.7205, 332.9736, 333.1519</t>
  </si>
  <si>
    <t>C17H17NO5</t>
  </si>
  <si>
    <t>FT5086PR</t>
  </si>
  <si>
    <t>7-Chloro-6-demethylcepharadione B</t>
  </si>
  <si>
    <t>7-氯-6-去甲基头孢二酮B</t>
  </si>
  <si>
    <t>HMDB0039757</t>
  </si>
  <si>
    <t>149682-95-1</t>
  </si>
  <si>
    <t>COC1=C(OC)C2=C3C(NC(=O)C(=O)C3=C1)=C(Cl)C1=CC=CC=C21</t>
  </si>
  <si>
    <t>DBNFUUYMTAGFDM-UHFFFAOYSA-N</t>
  </si>
  <si>
    <t>4,5-dioxoaporphines</t>
  </si>
  <si>
    <t xml:space="preserve"> 4,5-二氧代卟啉</t>
  </si>
  <si>
    <t>152.3370, 155.9737, 186.9798, 188.9722, 205.3964, 205.4141, 218.6794, 274.0395, 279.0411, 364.0347</t>
  </si>
  <si>
    <t>C18H12ClNO4</t>
  </si>
  <si>
    <t>FT6643PR</t>
  </si>
  <si>
    <t>(17Z)-Hexacos-17-enoylcarnitine</t>
  </si>
  <si>
    <t>(17Z)-Hexacos-17-烯酰肉碱</t>
  </si>
  <si>
    <t>HMDB0241641</t>
  </si>
  <si>
    <t>CCCCCCCCC=CCCCCCCCCCCCCCCCC(=O)OC(CC([O-])=O)C[N+](C)(C)C</t>
  </si>
  <si>
    <t>IEXHCKQROJJVJL-UHFFFAOYSA-N</t>
  </si>
  <si>
    <t>184.0729, 205.4104, 289.7278, 302.7123, 394.4038, 520.3755, 538.3858, 538.4806, 539.4842, 560.9358</t>
  </si>
  <si>
    <t>C33H63NO4</t>
  </si>
  <si>
    <t>FT0865NR</t>
  </si>
  <si>
    <t>Isoniazid</t>
  </si>
  <si>
    <t>异烟肼</t>
  </si>
  <si>
    <t>HMDB0015086</t>
  </si>
  <si>
    <t>C07054</t>
  </si>
  <si>
    <t>R-HSA-1430728,R-HSA-156580,R-HSA-156582,R-HSA-211859</t>
  </si>
  <si>
    <t>Metabolism|Phase II - Conjugation of compounds|Acetylation|Biological oxidations</t>
  </si>
  <si>
    <t>54-85-3</t>
  </si>
  <si>
    <t>NNC(=O)C1=CC=NC=C1</t>
  </si>
  <si>
    <t>QRXWMOHMRWLFEY-UHFFFAOYSA-N</t>
  </si>
  <si>
    <t>C6H7N3O</t>
  </si>
  <si>
    <t>FT0587NR</t>
  </si>
  <si>
    <t>2-Thiobarbituric acid</t>
  </si>
  <si>
    <t>4,6-二羟基-2-巯基嘧啶</t>
  </si>
  <si>
    <t>HMDB0245321</t>
  </si>
  <si>
    <t>O=C1CC(=O)NC(=S)N1</t>
  </si>
  <si>
    <t>RVBUGGBMJDPOST-UHFFFAOYSA-N</t>
  </si>
  <si>
    <t>C4H4N2O2S</t>
  </si>
  <si>
    <t>FT2333NR</t>
  </si>
  <si>
    <t>17-hydroxy-heptadecanoic acid</t>
  </si>
  <si>
    <t>17-羟基十七烷酸</t>
  </si>
  <si>
    <t>LMFA01050053</t>
  </si>
  <si>
    <t>C(CCCCCCCCCCCCCCO)CC(=O)O</t>
  </si>
  <si>
    <t>JHRQMZPLCYCFPI-UHFFFAOYSA-N</t>
  </si>
  <si>
    <t>C17H34O3</t>
  </si>
  <si>
    <t>FT1558NR</t>
  </si>
  <si>
    <t>HPAA sulfate</t>
  </si>
  <si>
    <t>HPAA硫酸盐</t>
  </si>
  <si>
    <t>HMDB0240381</t>
  </si>
  <si>
    <t>40712-60-5</t>
  </si>
  <si>
    <t>CC(=O)NC1=CC=CC=C1OS(O)(=O)=O</t>
  </si>
  <si>
    <t>JCVGTUVGDOWZJE-UHFFFAOYSA-N</t>
  </si>
  <si>
    <t>62.9029, 77.6536, 79.9573, 94.9246, 99.9253, 150.0556, 185.9259, 205.3995, 230.0124, 230.1542</t>
  </si>
  <si>
    <t>C8H9NO5S</t>
  </si>
  <si>
    <t>FT1236NR</t>
  </si>
  <si>
    <t>7,7,8,8-Tetracyanoquinodimethane</t>
  </si>
  <si>
    <t>7,7,8,8-四氰基对苯二醌二甲烷</t>
  </si>
  <si>
    <t>HMDB0244685</t>
  </si>
  <si>
    <t>N#CC(C#N)=C1C=CC(C=C1)=C(C#N)C#N</t>
  </si>
  <si>
    <t>PCCVSPMFGIFTHU-UHFFFAOYSA-N</t>
  </si>
  <si>
    <t>Hydrocarbon derivatives</t>
  </si>
  <si>
    <t>Quinodimethanes</t>
  </si>
  <si>
    <t>P-quinodimethanes</t>
  </si>
  <si>
    <t>碳氢化合物衍生物</t>
  </si>
  <si>
    <t>醌二甲烷类</t>
  </si>
  <si>
    <t>对醌二甲烷</t>
  </si>
  <si>
    <t>167.0205, 173.0265, 173.0563, 185.0561, 185.0926, 203.0151, 203.0365, 203.0687, 203.1034, 204.0400</t>
  </si>
  <si>
    <t>C12H4N4</t>
  </si>
  <si>
    <t>FT4017NR</t>
  </si>
  <si>
    <t>3-[4-(1-Imidazolylmethyl)phenyl]-2-propenoic acid</t>
  </si>
  <si>
    <t>3-[4-(1-咪唑基甲基)苯基]-2-丙烯酸</t>
  </si>
  <si>
    <t>HMDB0245302</t>
  </si>
  <si>
    <t>OC(=O)C=CC1=CC=C(CN2C=CN=C2)C=C1</t>
  </si>
  <si>
    <t>SHZKQBHERIJWAO-UHFFFAOYSA-N</t>
  </si>
  <si>
    <t>C13H12N2O2</t>
  </si>
  <si>
    <t>FT3908NR</t>
  </si>
  <si>
    <t>1alpha-hydroxy-22-oxavitamin D3</t>
  </si>
  <si>
    <t>1α-羟基-22-氧代维生素 D3</t>
  </si>
  <si>
    <t>LMST03020044</t>
  </si>
  <si>
    <t>[C@@H]1(O)C(=C)/C(=C\C=C2\[C@]3([H])CC[C@@]([C@@](C)([H])OCCC(C)C)([H])[C@@]3(C)CCC\2)/C[C@@H](O)C1</t>
  </si>
  <si>
    <t>OSURJGQBRKBWMU-JRTYMHBXSA-N</t>
  </si>
  <si>
    <t>68.7484, 95.4962, 108.5874, 125.0971, 142.2715, 166.3726, 169.0861, 240.7050, 447.3105, 447.3762</t>
  </si>
  <si>
    <t>C26H42O3</t>
  </si>
  <si>
    <t>FT5101PR</t>
  </si>
  <si>
    <t>N-Myristoyl Asparagine</t>
  </si>
  <si>
    <t>N-肉豆蔻酰天冬酰胺</t>
  </si>
  <si>
    <t>HMDB0242047</t>
  </si>
  <si>
    <t>CCCCCCCCCCCCCC(=O)NC(CC(N)=O)C(O)=O</t>
  </si>
  <si>
    <t>XCYGCBVZSVXYON-UHFFFAOYSA-N</t>
  </si>
  <si>
    <t>126.2256, 159.2678, 165.9541, 178.0768, 194.1148, 194.1338, 205.3972, 263.5599, 302.7148, 314.2393</t>
  </si>
  <si>
    <t>C18H34N2O4</t>
  </si>
  <si>
    <t>FT5071NR</t>
  </si>
  <si>
    <t>7-O-acetyl-6-epi-19,20-epoxycytochalasin P</t>
  </si>
  <si>
    <t xml:space="preserve"> 7-O-乙酰基-6-epi-19,20-环氧细胞松弛素 P</t>
  </si>
  <si>
    <t>LMPK11000018</t>
  </si>
  <si>
    <t>[C@@H]1(C)[C@@](O)(C)[C@@H](OC(=O)C)[C@]2([H])C=CC[C@H](C)C(=O)[C@@](O)(C)[C@H]3O[C@@H]3[C@@H](OC(=O)C)[C@@]32C(=O)N[C@@H](CC2C=CC=CC=2)[C@]13[H]</t>
  </si>
  <si>
    <t>GNJAKHROYCBGQY-BLOALNRTSA-N</t>
  </si>
  <si>
    <t>166.3404, 205.3974, 444.4857, 457.5232, 514.2833, 515.2858, 536.2656, 582.2711, 583.2750, 598.9213</t>
  </si>
  <si>
    <t>C32H41NO9</t>
  </si>
  <si>
    <t>FT3777PR</t>
  </si>
  <si>
    <t>5-Hydroxylysinonorleucine</t>
  </si>
  <si>
    <t>5-羟基赖氨酸正亮氨酸</t>
  </si>
  <si>
    <t>HMDB0246805</t>
  </si>
  <si>
    <t>CC(CCC(N)C(O)=O)NC(CCC(O)CN)C(O)=O</t>
  </si>
  <si>
    <t>BJACJWXYKGBVRX-UHFFFAOYSA-N</t>
  </si>
  <si>
    <t>180.9040, 197.8434, 230.1332, 244.0636, 244.1722, 256.1656, 273.9525, 274.0883, 274.1753, 274.9554</t>
  </si>
  <si>
    <t>C12H25N3O5</t>
  </si>
  <si>
    <t>FT4400PR</t>
  </si>
  <si>
    <t>16-epi-16-J1-PhytoP</t>
  </si>
  <si>
    <t>LMFA02030068</t>
  </si>
  <si>
    <t>C(CCCCCCC[C@@H]1C=CC(=O)[C@@H]1/C=C/[C@H](O)CC)(=O)O</t>
  </si>
  <si>
    <t>FWGSZKXOWWJSMJ-DJVMPUSXSA-N</t>
  </si>
  <si>
    <t>132.0655, 137.4653, 141.7421, 160.0599, 205.4037, 272.4898, 302.7050, 309.1356, 309.2030, 309.2445</t>
  </si>
  <si>
    <t>C18H28O4</t>
  </si>
  <si>
    <t>FT3138PR</t>
  </si>
  <si>
    <t>3-Nitro-2-nitrooxybenzoic acid</t>
  </si>
  <si>
    <t>3-硝基-2-硝基氧基苯甲酸</t>
  </si>
  <si>
    <t>HMDB0257673</t>
  </si>
  <si>
    <t>OC(=O)C1=C(O[N+]([O-])=O)C(=CC=C1)[N+]([O-])=O</t>
  </si>
  <si>
    <t>SWVZFBQBTSLCKF-UHFFFAOYSA-N</t>
  </si>
  <si>
    <t>220.9686, 225.9773, 229.0081, 229.0345, 229.0663, 229.1026, 229.1223, 229.1418, 229.1623, 229.2361</t>
  </si>
  <si>
    <t>C7H4N2O7</t>
  </si>
  <si>
    <t>FT5143PR</t>
  </si>
  <si>
    <t>5-hydroxy saxagliptin</t>
  </si>
  <si>
    <t>5-羟基沙格列汀</t>
  </si>
  <si>
    <t>HMDB0061099</t>
  </si>
  <si>
    <t>[H]C12CC3(O)CC(O)(C1)CC(C2)(C3)[C@H](N)C(=O)N1[C@@H]2C[C@@H]2C[C@@H]1C#N</t>
  </si>
  <si>
    <t>GAWUJFVQGSLSSZ-HREDRMPBSA-N</t>
  </si>
  <si>
    <t>84.0809, 111.66603, 112.51326, 115.54569, 130.08624, 147.11287, 211.07974, 370.15277</t>
  </si>
  <si>
    <t>C18H25N3O3</t>
  </si>
  <si>
    <t>FT4019NR</t>
  </si>
  <si>
    <t>1-palmitoylglycerol 3-phosphate</t>
  </si>
  <si>
    <t>1-棕榈酰甘油 3-磷酸酯</t>
  </si>
  <si>
    <t>HMDB0007853</t>
  </si>
  <si>
    <t>LMGP10050041</t>
  </si>
  <si>
    <t>C04036</t>
  </si>
  <si>
    <t>C(=O)(OCC(O)COP(O)(O)=O)CCCCCCCCCCCCCCC</t>
  </si>
  <si>
    <t>YNDYKPRNFWPPFU-UHFFFAOYSA-N</t>
  </si>
  <si>
    <t>C19H39O7P</t>
  </si>
  <si>
    <t>FT4407NR</t>
  </si>
  <si>
    <t>5-S-Glutathionyl-aminochrome reduced</t>
  </si>
  <si>
    <t>5-S-谷胱甘肽-氨基铬还原</t>
  </si>
  <si>
    <t>HMDB0060086</t>
  </si>
  <si>
    <t>N[C@H](CCC(O)=N[C@@H](CSC1=C2CCNC2=CC(O)=C1O)C(O)=NCC(O)=O)C(O)=O</t>
  </si>
  <si>
    <t>OWLBFEJNNSEXED-KOLCDFICSA-N</t>
  </si>
  <si>
    <t>129.0554, 142.1051, 149.1985, 197.0428, 222.0364, 281.0998, 281.1331, 315.9742, 473.9863, 501.1358</t>
  </si>
  <si>
    <t>C18H24N4O8S</t>
  </si>
  <si>
    <t>FT4100NR</t>
  </si>
  <si>
    <t>11-Hydroxyheptadecanoylcarnitine</t>
  </si>
  <si>
    <t>11-羟基十七烷酰肉碱</t>
  </si>
  <si>
    <t>HMDB0241514</t>
  </si>
  <si>
    <t>CCCCCCC(O)CCCCCCCCCC(=O)OC(CC([O-])=O)C[N+](C)(C)C</t>
  </si>
  <si>
    <t>PHOYWWUWAMRPJA-UHFFFAOYSA-N</t>
  </si>
  <si>
    <t>C24H47NO5</t>
  </si>
  <si>
    <t>FT4958PR</t>
  </si>
  <si>
    <t>methyl 5R,6R-epoxy-9E-eicosen-7-ynoate</t>
  </si>
  <si>
    <t>5R,6R-环氧-9E-二十碳烯-7-炔酸甲酯</t>
  </si>
  <si>
    <t>LMFA01070047</t>
  </si>
  <si>
    <t>C([C@H]1O[C@@H]1C#C/C=C/CCCCCCCCCC)CCC(OC)=O</t>
  </si>
  <si>
    <t>IFPYWNUVVZGOJV-OKLSWEBGSA-N</t>
  </si>
  <si>
    <t>220.1691, 225.7579, 240.1582, 252.1954, 285.0319, 334.2720, 344.8803, 352.2835, 352.3337, 352.3559</t>
  </si>
  <si>
    <t>C21H34O3</t>
  </si>
  <si>
    <t>FT1788NR</t>
  </si>
  <si>
    <t>1-Methoxyphenazine</t>
  </si>
  <si>
    <t>1-甲氧基吩嗪</t>
  </si>
  <si>
    <t>HMDB0243918</t>
  </si>
  <si>
    <t>COC1=C2N=C3C=CC=CC3=NC2=CC=C1</t>
  </si>
  <si>
    <t>ZYDGCYWJDWIJCS-UHFFFAOYSA-N</t>
  </si>
  <si>
    <t>188.7702, 192.0540, 205.3945, 242.0609, 244.9881, 245.0483, 245.1265, 246.0092, 246.0517, 246.0749</t>
  </si>
  <si>
    <t>C13H10N2O</t>
  </si>
  <si>
    <t>FT5538PR</t>
  </si>
  <si>
    <t>3-hydroxypalmitoleoylcarnitine</t>
  </si>
  <si>
    <t>3-羟基棕榈油酰肉碱</t>
  </si>
  <si>
    <t>HMDB0240770</t>
  </si>
  <si>
    <t>LMFA07070044</t>
  </si>
  <si>
    <t>O(C(CC(O)CCCCC/C=C\CCCCCC)=O)C(CC(=O)[O-])C[N+](C)(C)C</t>
  </si>
  <si>
    <t>XIOFWXBRLXTMQD-KHPPLWFESA-N</t>
  </si>
  <si>
    <t>74.6770, 77.9703, 85.0288, 94.2768, 156.7067, 339.2682, 391.6142, 406.2590, 414.3216, 439.4323</t>
  </si>
  <si>
    <t>FT4265NR</t>
  </si>
  <si>
    <t>CDP-ethanolamine</t>
  </si>
  <si>
    <t>胞苷5'-二磷酸乙醇胺</t>
  </si>
  <si>
    <t>HMDB0001564</t>
  </si>
  <si>
    <t>C00570</t>
  </si>
  <si>
    <t>3036-18-8</t>
  </si>
  <si>
    <t>NCCOP(O)(=O)OP(O)(=O)OC[C@H]1O[C@H]([C@H](O)[C@@H]1O)N1C=CC(N)=NC1=O</t>
  </si>
  <si>
    <t>WVIMUEUQJFPNDK-PEBGCTIMSA-N</t>
  </si>
  <si>
    <t>294.2520, 296.1091, 345.0153, 345.0560, 369.5173, 412.9800, 413.0437, 455.1501, 465.3434, 481.0307</t>
  </si>
  <si>
    <t>C11H20N4O11P2</t>
  </si>
  <si>
    <t>FT2205NR</t>
  </si>
  <si>
    <t>Creatinine aspartate</t>
  </si>
  <si>
    <t>天冬氨酸肌酐</t>
  </si>
  <si>
    <t>HMDB0250526</t>
  </si>
  <si>
    <t>CN1C(N)=NC(=O)C11OC(=O)CC(N)C(=O)O1</t>
  </si>
  <si>
    <t>QOEACSSLKSYGRF-UHFFFAOYSA-N</t>
  </si>
  <si>
    <t>97.2665, 121.0291, 140.9802, 158.9858, 205.3995, 209.0121, 209.0449, 209.3802, 277.0325, 277.1450</t>
  </si>
  <si>
    <t>C8H10N4O5</t>
  </si>
  <si>
    <t>FT2610NR</t>
  </si>
  <si>
    <t>3,5-Bis(1,1-dimethylethyl)-4-hydroxy-benzoic acid ethyl ester</t>
  </si>
  <si>
    <t>3,5-二叔丁基-4-羟基苯甲酸甲酯</t>
  </si>
  <si>
    <t>HMDB0061935</t>
  </si>
  <si>
    <t>COC(=O)C1=CC(=C(O)C(=C1)C(C)(C)C)C(C)(C)C</t>
  </si>
  <si>
    <t>UPVYFJALDJUSOV-UHFFFAOYSA-N</t>
  </si>
  <si>
    <t>234.6500, 241.1805, 247.2054, 252.7187, 265.2169, 265.2469, 291.1939, 302.6910, 309.1681, 309.2076</t>
  </si>
  <si>
    <t>FT2044NR</t>
  </si>
  <si>
    <t>Tyrphostin 47</t>
  </si>
  <si>
    <t>化合物 T24908</t>
  </si>
  <si>
    <t>HMDB0259355</t>
  </si>
  <si>
    <t>NC(=S)C(=CC1=CC(O)=C(O)C=C1)C#N</t>
  </si>
  <si>
    <t>ZGHQGWOETPXKLY-UHFFFAOYSA-N</t>
  </si>
  <si>
    <t>106.1528, 112.9854, 129.0554, 129.9753, 130.0589, 147.0659, 165.6115, 197.0214, 197.0426, 220.9679</t>
  </si>
  <si>
    <t>FT2270PR</t>
  </si>
  <si>
    <t>3-(but-3-en-1-yn-1-yl)-6-methyl-1,2-dithiine</t>
  </si>
  <si>
    <t>3-(丁-3-烯-1-炔-1-基)-6-甲基-1,2-二硫英</t>
  </si>
  <si>
    <t>LMFA12000365</t>
  </si>
  <si>
    <t>C1C=C(C#CC=C)SSC=1C</t>
  </si>
  <si>
    <t>SEXDKVHSFVCQMZ-UHFFFAOYSA-N</t>
  </si>
  <si>
    <t>Dithiins</t>
  </si>
  <si>
    <t>二硫化物</t>
  </si>
  <si>
    <t>139.9633, 139.9877, 139.9996, 140.9509, 145.1012, 163.1115, 163.1476, 181.0628, 181.1215, 181.1585</t>
  </si>
  <si>
    <t>C9H8S2</t>
  </si>
  <si>
    <t>FT2760NR</t>
  </si>
  <si>
    <t>Irtemazole</t>
  </si>
  <si>
    <t>伊替马唑</t>
  </si>
  <si>
    <t>HMDB0253588</t>
  </si>
  <si>
    <t>CC1=NC2=C(N1)C=C(C=C2)C(N1C=CN=C1)C1=CC=CC=C1</t>
  </si>
  <si>
    <t>DCGOMTSIZLGUOK-UHFFFAOYSA-N</t>
  </si>
  <si>
    <t>C18H16N4</t>
  </si>
  <si>
    <t>FT5785PR</t>
  </si>
  <si>
    <t>16-Methyl-epi-nigakihemiacetal B</t>
  </si>
  <si>
    <t>16-甲基表紫半缩醛B</t>
  </si>
  <si>
    <t>HMDB0039886</t>
  </si>
  <si>
    <t>COC1CC2C(C)=C(OC)C(=O)C3C2(C)C(CC2C(C)C=C(OC)C(=O)C32C)O1</t>
  </si>
  <si>
    <t>MSXBIQMJEOYRDV-UHFFFAOYSA-N</t>
  </si>
  <si>
    <t>182.9745, 189.0658, 243.5928, 261.5556, 302.6951, 302.7283, 353.0099, 410.1621, 440.5578, 443.1873</t>
  </si>
  <si>
    <t>C23H32O6</t>
  </si>
  <si>
    <t>FT1156NR</t>
  </si>
  <si>
    <t>S-Propenylcysteine</t>
  </si>
  <si>
    <t>S-丙烯基半胱氨酸</t>
  </si>
  <si>
    <t>HMDB0302212</t>
  </si>
  <si>
    <t>C\C=C\SC[C@H](N)C(O)=O</t>
  </si>
  <si>
    <t>HYGGRRPFVXHQQW-HRJJCQLASA-N</t>
  </si>
  <si>
    <t>131.4943, 148.9015, 160.8415, 161.7548, 167.0218, 180.0158, 195.8106, 196.0233, 197.0196, 197.0520</t>
  </si>
  <si>
    <t>C6H11NO2S</t>
  </si>
  <si>
    <t>FT2071NR</t>
  </si>
  <si>
    <t>Chrycolide</t>
  </si>
  <si>
    <t>绿藻内酯</t>
  </si>
  <si>
    <t>HMDB0035145</t>
  </si>
  <si>
    <t>91362-91-3</t>
  </si>
  <si>
    <t>OC1=CC=CC2=C1C(=O)OC2C1=CC=CS1</t>
  </si>
  <si>
    <t>CLGIBOHWUJNNKL-UHFFFAOYSA-N</t>
  </si>
  <si>
    <t>Benzofuranones</t>
  </si>
  <si>
    <t>苯并呋喃酮类</t>
  </si>
  <si>
    <t>174.9967, 190.9916, 205.4026, 219.0291, 226.5431, 248.9799, 266.5192, 266.9873, 267.0175, 270.8045</t>
  </si>
  <si>
    <t>C12H8O3S</t>
  </si>
  <si>
    <t>FT4230PR</t>
  </si>
  <si>
    <t>12Z,15Z-octadecadienoic acid</t>
  </si>
  <si>
    <t>12Z,15Z-十八碳二烯酸</t>
  </si>
  <si>
    <t>LMFA01030302</t>
  </si>
  <si>
    <t>C(CCCCCCCCCC/C=C\C/C=C\CC)(=O)O</t>
  </si>
  <si>
    <t>JVDHPAUNFBGCFT-CWWKMNTPSA-N</t>
  </si>
  <si>
    <t>263.2378, 280.2653, 281.2478, 298.2766, 298.3097, 299.0580, 299.2588, 300.0602, 302.6917, 302.7245</t>
  </si>
  <si>
    <t>FT2957NR</t>
  </si>
  <si>
    <t>N(1)-Acetylsulfamethoxazole</t>
  </si>
  <si>
    <t>N(1)-乙酰磺胺甲恶唑</t>
  </si>
  <si>
    <t>HMDB0255280</t>
  </si>
  <si>
    <t>CC(=O)N(C1=NOC(C)=C1)S(=O)(=O)C1=CC=C(N)C=C1</t>
  </si>
  <si>
    <t>WOTJLXVSBKKTTH-UHFFFAOYSA-N</t>
  </si>
  <si>
    <t>167.1075, 169.2265, 205.4019, 211.0971, 233.0780, 255.0869, 277.0680, 302.6951, 339.9989, 340.0658</t>
  </si>
  <si>
    <t>C12H13N3O4S</t>
  </si>
  <si>
    <t>FT3723NR</t>
  </si>
  <si>
    <t>2-sulooxybutanedioic acid</t>
  </si>
  <si>
    <t>2-磺酰基丁二酸</t>
  </si>
  <si>
    <t>O=C(O)CC(OS(=O)(=O)O)C(=O)O</t>
  </si>
  <si>
    <t>NEDXTJCJRKUSGT-UHFFFAOYSA-N</t>
  </si>
  <si>
    <t>C4H6O8S</t>
  </si>
  <si>
    <t>FT3293NR</t>
  </si>
  <si>
    <t>2-Methyl-1,1,4-trioxo-N-(2-pyridinyl)-3H-1$l^{6},2-benzothiazine-3-carboxamide</t>
  </si>
  <si>
    <t>2-甲基-1,1,4-三氧代-N-(2-吡啶基)-3H-1$l^{6},2-苯并噻嗪-3-甲酰胺</t>
  </si>
  <si>
    <t>HMDB0257567</t>
  </si>
  <si>
    <t>CN1C(C(=O)NC2=CC=CC=N2)C(=O)C2=CC=CC=C2S1(=O)=O</t>
  </si>
  <si>
    <t>MNSCVRXKDINXEY-UHFFFAOYSA-N</t>
  </si>
  <si>
    <t>Benzothiazines</t>
  </si>
  <si>
    <t>苯并噻嗪类</t>
  </si>
  <si>
    <t>122.2745, 148.0375, 154.0471, 178.7520, 218.4591, 219.9032, 291.0835, 313.0646, 318.8618, 350.4255</t>
  </si>
  <si>
    <t>C15H13N3O4S</t>
  </si>
  <si>
    <t>FT1472NR</t>
  </si>
  <si>
    <t>Ninhydrin</t>
  </si>
  <si>
    <t>茚三酮</t>
  </si>
  <si>
    <t>HMDB0255614</t>
  </si>
  <si>
    <t>OC1(O)C(=O)C2=CC=CC=C2C1=O</t>
  </si>
  <si>
    <t>FEMOMIGRRWSMCU-UHFFFAOYSA-N</t>
  </si>
  <si>
    <t>Indanones</t>
  </si>
  <si>
    <t>茚满酮类</t>
  </si>
  <si>
    <t>C9H6O4</t>
  </si>
  <si>
    <t>FT3145PR</t>
  </si>
  <si>
    <t>L-Prolyl-4-hydroxy-L-prolin</t>
  </si>
  <si>
    <t>L-脯氨酰-4-羟基-L-脯氨酸</t>
  </si>
  <si>
    <t>HMDB0256781</t>
  </si>
  <si>
    <t>OC1CC(N(C1)C(=O)C1CCCN1)C(O)=O</t>
  </si>
  <si>
    <t>ONPXCLZMBSJLSP-UHFFFAOYSA-N</t>
  </si>
  <si>
    <t>228.2828, 228.9745, 229.0528, 229.0782, 229.0966, 229.1191, 229.1553, 229.2365, 230.0331, 230.1200</t>
  </si>
  <si>
    <t>FT3394PR</t>
  </si>
  <si>
    <t>4-[(Hydroxymethyl)nitrosoamino]-1-(3-pyridinyl)-1-butanone</t>
  </si>
  <si>
    <t>4-[(羟甲基)亚硝基氨基]-1-(3-吡啶基)-1-丁酮</t>
  </si>
  <si>
    <t>HMDB0062382</t>
  </si>
  <si>
    <t>C19563</t>
  </si>
  <si>
    <t>OCN(CCCC(=O)C1=CN=CC=C1)N=O</t>
  </si>
  <si>
    <t>DADWKWOJOMSGPK-UHFFFAOYSA-N</t>
  </si>
  <si>
    <t>164.4434, 179.2178, 204.9989, 205.0144, 205.0598, 205.1057, 205.1159, 205.7990, 223.0703, 246.0859</t>
  </si>
  <si>
    <t>C10H13N3O3</t>
  </si>
  <si>
    <t>FT2661NR</t>
  </si>
  <si>
    <t>5,5-Diphenyl-2-thiohydantoin</t>
  </si>
  <si>
    <t>5,5-二苯基-2-硫代海因</t>
  </si>
  <si>
    <t>HMDB0246851</t>
  </si>
  <si>
    <t>O=C1NC(=S)NC1(C1=CC=CC=C1)C1=CC=CC=C1</t>
  </si>
  <si>
    <t>AMDPNECWKZZEBQ-UHFFFAOYSA-N</t>
  </si>
  <si>
    <t>225.0851, 237.0488, 251.0631, 255.0593, 269.0749, 269.1089, 295.0538, 313.0646, 313.1515, 314.0679</t>
  </si>
  <si>
    <t>C15H12N2OS</t>
  </si>
  <si>
    <t>FT3607PR</t>
  </si>
  <si>
    <t>gamma-Glutamylisoleucine</t>
  </si>
  <si>
    <t>γ-谷氨酰异亮氨酸</t>
  </si>
  <si>
    <t>HMDB0011170</t>
  </si>
  <si>
    <t>23632-83-9</t>
  </si>
  <si>
    <t>CC[C@H](C)[C@H](NC(=O)CC[C@H](N)C(O)=O)C(O)=O</t>
  </si>
  <si>
    <t>SNCKGJWJABDZHI-ZKWXMUAHSA-N</t>
  </si>
  <si>
    <t>107.7346, 130.0485, 132.1019, 198.1125, 205.4020, 237.9056, 244.1174, 257.7265, 261.0276, 261.1289</t>
  </si>
  <si>
    <t>FT4704PR</t>
  </si>
  <si>
    <t>N-(3-oxo-dodecanoyl)-homoserine thiolactone</t>
  </si>
  <si>
    <t>N-(3-氧代-十二酰基)-高丝氨酸硫内酯</t>
  </si>
  <si>
    <t>LMFA08020241</t>
  </si>
  <si>
    <t>[C@@H]1(CCSC1=O)NC(=O)CC(=O)CCCCCCCCC</t>
  </si>
  <si>
    <t>DTKPMZLHSRTKNJ-AWEZNQCLSA-N</t>
  </si>
  <si>
    <t>242.1566, 251.1450, 252.9945, 254.9921, 268.1725, 285.2010, 286.1817, 300.3109, 314.1769, 331.2043</t>
  </si>
  <si>
    <t>C16H27NO3S</t>
  </si>
  <si>
    <t>FT7196PR</t>
  </si>
  <si>
    <t>PE(14:1/14:1)</t>
  </si>
  <si>
    <t>磷脂酰乙醇胺(14:1/14:1)</t>
  </si>
  <si>
    <t>HMDB0008855</t>
  </si>
  <si>
    <t>LMGP02011238</t>
  </si>
  <si>
    <t>C00350</t>
  </si>
  <si>
    <t>hsa00563,hsa00564,hsa04136,hsa04140,hsa05130,hsa05167</t>
  </si>
  <si>
    <t>Glycosylphosphatidylinositol (GPI)-anchor biosynthesis|Glycerophospholipid metabolism|Autophagy - other|Autophagy - animal|Pathogenic Escherichia coli infection|Kaposi sarcoma-associated herpesvirus infection</t>
  </si>
  <si>
    <t>[C@](COP(=O)(O)OCCN)([H])(OC(CCCCCCC/C=C\CCCC)=O)COC(CCCCCCC/C=C\CCCC)=O</t>
  </si>
  <si>
    <t>NMAFIXDXWCNTFK-HFQSORNJSA-N</t>
  </si>
  <si>
    <t>C33H62NO8P</t>
  </si>
  <si>
    <t>FT5428PR</t>
  </si>
  <si>
    <t>Tofisopam</t>
  </si>
  <si>
    <t>托非索洋</t>
  </si>
  <si>
    <t>HMDB0015699</t>
  </si>
  <si>
    <t>22345-47-7</t>
  </si>
  <si>
    <t>CCC1C2=CC(OC)=C(OC)C=C2C(=NN=C1C)C1=CC(OC)=C(OC)C=C1</t>
  </si>
  <si>
    <t>RUJBDQSFYCKFAA-UHFFFAOYSA-N</t>
  </si>
  <si>
    <t>111.0873, 120.9662, 176.8923, 190.2387, 205.3923, 205.4115, 266.4717, 302.2450, 382.2148, 400.2220</t>
  </si>
  <si>
    <t>C22H26N2O4</t>
  </si>
  <si>
    <t>FT5595NR</t>
  </si>
  <si>
    <t>Ritonavir</t>
  </si>
  <si>
    <t>利托那韦</t>
  </si>
  <si>
    <t>HMDB0014646</t>
  </si>
  <si>
    <t>C07240</t>
  </si>
  <si>
    <t>155213-67-5</t>
  </si>
  <si>
    <t>CC(C)[C@H](NC(=O)N(C)CC1=CSC(=N1)C(C)C)C(=O)N[C@H](C[C@H](O)[C@H](CC1=CC=CC=C1)NC(=O)OCC1=CN=CS1)CC1=CC=CC=C1</t>
  </si>
  <si>
    <t>NCDNCNXCDXHOMX-XGKFQTDJSA-N</t>
  </si>
  <si>
    <t>248.9601, 256.8309, 273.9948, 284.0283, 302.6929, 316.9472, 491.4511, 497.3890, 599.9184, 662.6885</t>
  </si>
  <si>
    <t>C37H48N6O5S2</t>
  </si>
  <si>
    <t>FT3778NR</t>
  </si>
  <si>
    <t>N-[(3R)-2,3-Dihydro-1-methyl-2-oxo-5-phenyl-1H-1,4-benzodiazepin-3-yl]-N'-(3-methylphenyl)urea</t>
  </si>
  <si>
    <t>N-[(3R)-2,3-二氢-1-甲基-2-氧代-5-苯基-1H-1,4-苯二氮卓-3-基]-N'-(3-甲基苯基)脲</t>
  </si>
  <si>
    <t>HMDB0244429</t>
  </si>
  <si>
    <t>CN1C2=CC=CC=C2C(=NC(NC(=O)NC2=CC=CC(C)=C2)C1=O)C1=CC=CC=C1</t>
  </si>
  <si>
    <t>KDFQABSFVYLGPM-UHFFFAOYSA-N</t>
  </si>
  <si>
    <t>1,4-benzodiazepines</t>
  </si>
  <si>
    <t xml:space="preserve"> 1,4-苯二氮卓类</t>
  </si>
  <si>
    <t>94.1687, 112.0455, 129.0555, 180.9804, 256.5311, 281.0999, 281.1333, 313.0590, 414.9916, 433.1470</t>
  </si>
  <si>
    <t>C24H22N4O2</t>
  </si>
  <si>
    <t>FT4267NR</t>
  </si>
  <si>
    <t>Artocarpin</t>
  </si>
  <si>
    <t>阿托果品</t>
  </si>
  <si>
    <t>LMPK12110898</t>
  </si>
  <si>
    <t>C1(OC)=CC2OC(C3C(O)=CC(O)=CC=3)=C(C/C=C(\C)/C)C(=O)C=2C(O)=C1C/C=C(\C)/C</t>
  </si>
  <si>
    <t>AAXZLRPBJQFZQA-UHFFFAOYSA-N</t>
  </si>
  <si>
    <t>87.9973, 96.9597, 107.3260, 123.9768, 125.5689, 176.5062, 337.1526, 413.1404, 413.1996, 481.1861</t>
  </si>
  <si>
    <t>C26H28O6</t>
  </si>
  <si>
    <t>FT5772NR</t>
  </si>
  <si>
    <t>TG(14:0/22:6/16:0)</t>
  </si>
  <si>
    <t>甘油三酯(14:0/22:6/16:0)</t>
  </si>
  <si>
    <t>HMDB0042903</t>
  </si>
  <si>
    <t>[H][C@](COC(=O)CCCCCCCCCCCCC)(COC(=O)CCCCCCCCCCCCCCC)OC(=O)CC\C=C/C\C=C/C\C=C/C\C=C/C\C=C/C\C=C/CC</t>
  </si>
  <si>
    <t>JCUCHDYOBULFOE-QNNUUXIXSA-N</t>
  </si>
  <si>
    <t>301.2378, 302.6981, 355.6055, 357.3572, 391.3821, 401.3456, 403.3615, 447.3522, 579.9659, 657.5851</t>
  </si>
  <si>
    <t>C55H94O6</t>
  </si>
  <si>
    <t>FT4931PR</t>
  </si>
  <si>
    <t>4-hydroxy-2-nonenal-[Cys-Gly] conjugate</t>
  </si>
  <si>
    <t>4-羟基-2-壬烯醛-[Cys-Gly] 缀合物</t>
  </si>
  <si>
    <t>HMDB0304175</t>
  </si>
  <si>
    <t>CCCCCC(O)C(CC=O)SCC([N+])C(=O)NCC([O-])=O</t>
  </si>
  <si>
    <t>XLGVEZUMGDAHMH-UHFFFAOYSA-M</t>
  </si>
  <si>
    <t>C14H23N2O5S</t>
  </si>
  <si>
    <t>FT1087NR</t>
  </si>
  <si>
    <t>4-Nitroquinoline N-oxide</t>
  </si>
  <si>
    <t>4-硝基喹啉-N-氧化物</t>
  </si>
  <si>
    <t>HMDB0246549</t>
  </si>
  <si>
    <t>C03474</t>
  </si>
  <si>
    <t>56-57-5</t>
  </si>
  <si>
    <t>O=N(=O)C1=CC=N(=O)C2=CC=CC=C12</t>
  </si>
  <si>
    <t>YHQDZJICGQWFHK-UHFFFAOYSA-N</t>
  </si>
  <si>
    <t>FT3059NR</t>
  </si>
  <si>
    <t>Biapenem</t>
  </si>
  <si>
    <t>比阿培南</t>
  </si>
  <si>
    <t>HMDB0249178</t>
  </si>
  <si>
    <t>CC(O)C1C2C(C)C(SC3CN4C=NC=[N+]4C3)=C(N2C1=O)C([O-])=O</t>
  </si>
  <si>
    <t>MRMBZHPJVKCOMA-UHFFFAOYSA-N</t>
  </si>
  <si>
    <t>C15H18N4O4S</t>
  </si>
  <si>
    <t>FT0441NR</t>
  </si>
  <si>
    <t>2-Methylbenzimidazole</t>
  </si>
  <si>
    <t>2-甲基苯并咪唑</t>
  </si>
  <si>
    <t>HMDB0245225</t>
  </si>
  <si>
    <t>CC1=NC2=CC=CC=C2N1</t>
  </si>
  <si>
    <t>LDZYRENCLPUXAX-UHFFFAOYSA-N</t>
  </si>
  <si>
    <t>C8H8N2</t>
  </si>
  <si>
    <t>FT6040PR</t>
  </si>
  <si>
    <t>m-Trigallic acid</t>
  </si>
  <si>
    <t>间三没食子酸</t>
  </si>
  <si>
    <t>HMDB0030559</t>
  </si>
  <si>
    <t>2131-66-0</t>
  </si>
  <si>
    <t>OC(=O)C1=CC(O)=C(O)C(OC(=O)C2=CC(O)=C(O)C(OC(=O)C3=CC(O)=C(O)C(O)=C3)=C2)=C1</t>
  </si>
  <si>
    <t>QUXNYZHQBWMPNX-UHFFFAOYSA-N</t>
  </si>
  <si>
    <t>182.0996, 205.4027, 213.3328, 219.6411, 228.8012, 245.3336, 251.3278, 277.6606, 302.0186, 346.0088</t>
  </si>
  <si>
    <t>C21H14O13</t>
  </si>
  <si>
    <t>FT3374NR</t>
  </si>
  <si>
    <t>Anileridine</t>
  </si>
  <si>
    <t>阿尼乐定</t>
  </si>
  <si>
    <t>HMDB0015049</t>
  </si>
  <si>
    <t>144-14-9</t>
  </si>
  <si>
    <t>CCOC(=O)C1(CCN(CCC2=CC=C(N)C=C2)CC1)C1=CC=CC=C1</t>
  </si>
  <si>
    <t>LKYQLAWMNBFNJT-UHFFFAOYSA-N</t>
  </si>
  <si>
    <t>90.3754, 96.9598, 118.6938, 190.0240, 219.0243, 248.4901, 318.9820, 387.1838, 388.1863, 394.9555</t>
  </si>
  <si>
    <t>C22H28N2O2</t>
  </si>
  <si>
    <t>FT3136NR</t>
  </si>
  <si>
    <t>N-margaroyl taurine</t>
  </si>
  <si>
    <t>N-玛加酰牛磺酸</t>
  </si>
  <si>
    <t>LMFA08020247</t>
  </si>
  <si>
    <t>C(CNC(CCCCCCCCCCCCCCCC)=O)S(O)(=O)=O</t>
  </si>
  <si>
    <t>NKUBJVWCFAYGAD-UHFFFAOYSA-N</t>
  </si>
  <si>
    <t>112.1476, 161.0256, 187.0040, 205.3981, 248.3292, 280.2648, 302.6873, 345.3628, 351.1248, 358.2436</t>
  </si>
  <si>
    <t>C19H39NO4S</t>
  </si>
  <si>
    <t>FT3387PR</t>
  </si>
  <si>
    <t>N-(3-oxo-heptanoyl)-homoserine lactone</t>
  </si>
  <si>
    <t>N-(3-氧代-庚酰基)-高丝氨酸内酯</t>
  </si>
  <si>
    <t>LMFA08030033</t>
  </si>
  <si>
    <t>[C@@H]1(CCOC1=O)NC(=O)CC(=O)CCCC</t>
  </si>
  <si>
    <t>WMGXONSYPOENKA-VIFPVBQESA-N</t>
  </si>
  <si>
    <t>203.1273, 205.4061, 219.5200, 228.1215, 231.2665, 245.0746, 245.0993, 245.1327, 245.1902, 267.9412</t>
  </si>
  <si>
    <t>C11H17NO4</t>
  </si>
  <si>
    <t>FT3495NR</t>
  </si>
  <si>
    <t>5alpha-Pregnan-3beta,20beta-diol 20-sulfate</t>
  </si>
  <si>
    <t>5α-Pregnan-3β,20β-二醇20-硫酸酯</t>
  </si>
  <si>
    <t>HMDB0240580</t>
  </si>
  <si>
    <t>103674-15-3</t>
  </si>
  <si>
    <t>[H][C@@]1(CC[C@@]2([H])[C@]3([H])CC[C@@]4([H])C[C@@H](O)CC[C@]4(C)[C@@]3([H])CC[C@]12C)[C@@H](C)OS(O)(=O)=O</t>
  </si>
  <si>
    <t>NOGKXXMAHGCQBS-XFHAOOBSSA-N</t>
  </si>
  <si>
    <t>109.3598, 194.9242, 205.3961, 240.5448, 397.1854, 399.0639, 399.2204, 399.3413, 400.2232, 401.2617</t>
  </si>
  <si>
    <t>C21H36O5S</t>
  </si>
  <si>
    <t>FT7063PR</t>
  </si>
  <si>
    <t>Butein 4'-arabinosyl-(1-&gt;4)-galactoside</t>
  </si>
  <si>
    <t>紫芥因 4'-阿拉伯糖基-(1-&gt;4)-半乳糖苷</t>
  </si>
  <si>
    <t>LMPK12120103</t>
  </si>
  <si>
    <t>C1(O[C@H]2[C@H](O)[C@@H](O)[C@@H](O[C@H]3[C@H](O)[C@@H](O)[C@@H](O)CO3)[C@@H](CO)O2)C=CC(C(=O)/C=C/C2C=CC(O)=C(O)C=2)=C(O)C=1</t>
  </si>
  <si>
    <t>UEBCNBNOYVLOPQ-SLVOMXBGSA-N</t>
  </si>
  <si>
    <t>C26H30O14</t>
  </si>
  <si>
    <t>FT4782PR</t>
  </si>
  <si>
    <t>methyl 5R,6R-epoxy-7-eicosynoate</t>
  </si>
  <si>
    <t>5R,6R-环氧-7-二十氰酸甲酯</t>
  </si>
  <si>
    <t>LMFA01070041</t>
  </si>
  <si>
    <t>C([C@H]1O[C@@H]1C#CCCCCCCCCCCCC)CCC(OC)=O</t>
  </si>
  <si>
    <t>GFJBVECADOXVQF-WOJBJXKFSA-N</t>
  </si>
  <si>
    <t>175.1473, 185.0107, 189.0052, 225.0413, 245.2266, 263.2362, 335.6889, 337.1725, 337.2730, 352.4174</t>
  </si>
  <si>
    <t>FT3212PR</t>
  </si>
  <si>
    <t>1,3-di-t-butyl-2,5-dimethoxybenzene</t>
  </si>
  <si>
    <t>1,3-二叔丁基-2,5-二甲氧基苯</t>
  </si>
  <si>
    <t>COc1cc(C(C)(C)C)c(OC)c(C(C)(C)C)c1</t>
  </si>
  <si>
    <t>NNKODSVQEJJWIJ-UHFFFAOYSA-N</t>
  </si>
  <si>
    <t>C16H26O2</t>
  </si>
  <si>
    <t>FT3269NR</t>
  </si>
  <si>
    <t>Orange I</t>
  </si>
  <si>
    <t>橙黄Ⅰ</t>
  </si>
  <si>
    <t>HMDB0032886</t>
  </si>
  <si>
    <t>523-44-4</t>
  </si>
  <si>
    <t>OC1=CC=C(\N=N/C2=CC=C(C=C2)S(O)(=O)=O)C2=CC=CC=C12</t>
  </si>
  <si>
    <t>PURJGKXXWJKIQR-ZCXUNETKSA-N</t>
  </si>
  <si>
    <t>Naphthols and derivatives</t>
  </si>
  <si>
    <t>萘酚及其衍生物</t>
  </si>
  <si>
    <t>185.5029, 205.3918, 217.0842, 261.0732, 263.5357, 301.0651, 302.7045, 345.0567, 373.0445, 373.0917</t>
  </si>
  <si>
    <t>C16H12N2O4S</t>
  </si>
  <si>
    <t>FT4279PR</t>
  </si>
  <si>
    <t>SCHEMBL4371865</t>
  </si>
  <si>
    <t>CC(O)=NC(C)C(O)=NC(Cc1ccccc1)C(=O)O</t>
  </si>
  <si>
    <t>ZUASFFBDGJGAQI-UHFFFAOYSA-N</t>
  </si>
  <si>
    <t>C14H18N2O4</t>
  </si>
  <si>
    <t>FT4514NR</t>
  </si>
  <si>
    <t>Nonacosane-1,29-dioic acid</t>
  </si>
  <si>
    <t>十九烷-1,29-二酸</t>
  </si>
  <si>
    <t>LMFA01170153</t>
  </si>
  <si>
    <t>C(CCCCCCCCCCCCCCCCCCCCCCCCCCCC(=O)O)(=O)O</t>
  </si>
  <si>
    <t>BHZDBSUDGBEJDI-UHFFFAOYSA-N</t>
  </si>
  <si>
    <t>84.8905, 121.1190, 135.2277, 151.2086, 174.4825, 297.3516, 314.6081, 315.2537, 458.8345, 513.4169</t>
  </si>
  <si>
    <t>C29H56O4</t>
  </si>
  <si>
    <t>FT5714NR</t>
  </si>
  <si>
    <t>DG(13M5/13M5/0:0)</t>
  </si>
  <si>
    <t>甘油二酯(13M5/13M5/0:0)</t>
  </si>
  <si>
    <t>HMDB0116419</t>
  </si>
  <si>
    <t>[H][C@](CO)(COC(=O)CCCCCCCCCCCCC1=C(C)C=C(CCCCC)O1)OC(=O)CCCCCCCCCCCCC1=C(C)C=C(CCCCC)O1</t>
  </si>
  <si>
    <t>YABOAJMVLWCNEC-GWHBCOKCSA-N</t>
  </si>
  <si>
    <t>280.7376, 302.6884, 315.8693, 407.2799, 408.2840, 411.2571, 411.3046, 411.3670, 683.2468, 819.5931</t>
  </si>
  <si>
    <t>C49H84O7</t>
  </si>
  <si>
    <t>FT1568NR</t>
  </si>
  <si>
    <t>Alafosfalin</t>
  </si>
  <si>
    <t>阿拉福林</t>
  </si>
  <si>
    <t>HMDB0248096</t>
  </si>
  <si>
    <t>CC(N)C(=O)NC(C)P(O)(O)=O</t>
  </si>
  <si>
    <t>BHAYDBSYOBONRV-UHFFFAOYSA-N</t>
  </si>
  <si>
    <t>141.0666, 159.0100, 169.0617, 173.0082, 185.0567, 225.8504, 231.0313, 231.0631, 232.0365, 253.7283</t>
  </si>
  <si>
    <t>C5H13N2O4P</t>
  </si>
  <si>
    <t>FT4605NR</t>
  </si>
  <si>
    <t>Chaetoglobosin B</t>
  </si>
  <si>
    <t>毛球蛋白B</t>
  </si>
  <si>
    <t>LMPK11000033</t>
  </si>
  <si>
    <t>C1(C)=C(C)C(O)[C@@H]2C=CC[C@H](C)C=C(C)[C@@H](O)C(=O)C=CC(=O)[C@@]32C(=O)N[C@@H](CC2=CNC4C=CC=CC2=4)[C@]13[H]</t>
  </si>
  <si>
    <t>VUEFRYQBOMQOMV-BEQOWTTGSA-N</t>
  </si>
  <si>
    <t>168.2809, 188.0187, 192.2506, 223.0725, 384.6223, 387.9707, 391.2849, 459.2720, 460.2820, 527.2610</t>
  </si>
  <si>
    <t>C32H36N2O5</t>
  </si>
  <si>
    <t>FT2195NR</t>
  </si>
  <si>
    <t>2,5-Dioxopyrrolidin-1-yl 2-(acetylthio)acetate</t>
  </si>
  <si>
    <t>N-丁二酸，S-乙酰基巯基乙二醇酯</t>
  </si>
  <si>
    <t>HMDB0247382</t>
  </si>
  <si>
    <t>CC(=O)SCC(=O)ON1C(=O)CCC1=O</t>
  </si>
  <si>
    <t>FLCQLSRLQIPNLM-UHFFFAOYSA-N</t>
  </si>
  <si>
    <t>Pyrrolidones</t>
  </si>
  <si>
    <t>吡咯烷酮</t>
  </si>
  <si>
    <t>204.0321, 205.3993, 208.5890, 221.3020, 230.0123, 232.0281, 248.0217, 248.7551, 276.0180, 278.5957</t>
  </si>
  <si>
    <t>FT6548PR</t>
  </si>
  <si>
    <t>4-Methyltetracosanoylcarnitine</t>
  </si>
  <si>
    <t>4-甲基二十烷酰肉碱</t>
  </si>
  <si>
    <t>HMDB0241004</t>
  </si>
  <si>
    <t>CCCCCCCCCCCCCCCCCCCCC(C)CCC(=O)OC(CC([O-])=O)C[N+](C)(C)C</t>
  </si>
  <si>
    <t>ZWPWOILCNDWOHK-UHFFFAOYSA-N</t>
  </si>
  <si>
    <t>C32H63NO4</t>
  </si>
  <si>
    <t>FT1010PR</t>
  </si>
  <si>
    <t>diazoacetylglycine</t>
  </si>
  <si>
    <t>[N-]=[N+]=CC(=O)NCC(=O)O</t>
  </si>
  <si>
    <t>BNJUXSYZZCTXTF-UHFFFAOYSA-N</t>
  </si>
  <si>
    <t>C4H5N3O3</t>
  </si>
  <si>
    <t>FT4020NR</t>
  </si>
  <si>
    <t>lithocholic acid sulfate</t>
  </si>
  <si>
    <t>硫酸石胆酸</t>
  </si>
  <si>
    <t>HMDB0000907</t>
  </si>
  <si>
    <t>LMST05020015</t>
  </si>
  <si>
    <t>34669-57-3</t>
  </si>
  <si>
    <t>C1C[C@@H](OS(O)(=O)=O)C[C@@]2([H])CC[C@]3([H])[C@@]([H])([C@]21C)CC[C@]1(C)[C@@]([H])([C@@H](CCC(=O)O)C)CC[C@]13[H]</t>
  </si>
  <si>
    <t>AXDXVEYHEODSPN-HVATVPOCSA-N</t>
  </si>
  <si>
    <t>245.7329, 302.3544, 302.6938, 303.0357, 310.0873, 336.8691, 403.9445, 455.1725, 455.2468, 455.3333</t>
  </si>
  <si>
    <t>C24H40O6S</t>
  </si>
  <si>
    <t>FT1435PR</t>
  </si>
  <si>
    <t>6-Amino-5-chloropyrimidine-2,4(1H,3H)-dione</t>
  </si>
  <si>
    <t>6-氨基-5-氯嘧啶-2,4(1H,3H)-二酮</t>
  </si>
  <si>
    <t>HMDB0246937</t>
  </si>
  <si>
    <t>NC1=C(Cl)C(=O)NC(=O)N1</t>
  </si>
  <si>
    <t>SPEJHKMQDKKCTG-UHFFFAOYSA-N</t>
  </si>
  <si>
    <t>69.9472, 74.4270, 79.4641, 83.9478, 84.9601, 97.9917, 102.9704, 116.0021, 125.9864, 143.9976</t>
  </si>
  <si>
    <t>C4H4ClN3O2</t>
  </si>
  <si>
    <t>FT4789NR</t>
  </si>
  <si>
    <t>Armochaetoglasin K</t>
  </si>
  <si>
    <t>LMPK11000032</t>
  </si>
  <si>
    <t>[C@@H]1(C)[C@](O)(C)[C@@H](O)[C@@H]2C=CC[C@H](C)C=C(C)C(=O)[C@H](O)CCC(=O)[C@@]32C(=O)N[C@@H](CC2=CNC4C=CC=CC2=4)[C@]13[H]</t>
  </si>
  <si>
    <t>RDGPYVKATNNNKN-DNGZFULMSA-N</t>
  </si>
  <si>
    <t>412.3066, 414.2745, 423.2142, 433.2857, 479.2920, 480.2959, 501.2722, 547.0809, 547.2794, 548.2838</t>
  </si>
  <si>
    <t>C32H40N2O6</t>
  </si>
  <si>
    <t>FT3047PR</t>
  </si>
  <si>
    <t>(1-Methylpiperidine-3-carbonyl)glycine</t>
  </si>
  <si>
    <t>(1-甲基哌啶-3-羰基)甘氨酸</t>
  </si>
  <si>
    <t>CN1CCCC(C(O)=NCC(=O)O)C1</t>
  </si>
  <si>
    <t>NISYTMYPDAEKGO-UHFFFAOYSA-N</t>
  </si>
  <si>
    <t>C9H16N2O3</t>
  </si>
  <si>
    <t>FT3175PR</t>
  </si>
  <si>
    <t>Dambonitol</t>
  </si>
  <si>
    <t>橡胶肌醇</t>
  </si>
  <si>
    <t>HMDB0033942</t>
  </si>
  <si>
    <t>523-94-4</t>
  </si>
  <si>
    <t>CO[C@H]1[C@H](O)[C@@H](O)[C@H](O)[C@@H](OC)[C@H]1O</t>
  </si>
  <si>
    <t>MMCIFJWGSIWJLP-RRNBHUGPSA-N</t>
  </si>
  <si>
    <t>179.9715, 185.0415, 187.8402, 189.9557, 199.0215, 207.9666, 231.0477, 231.0839, 231.1384, 231.2107</t>
  </si>
  <si>
    <t>C8H16O6</t>
  </si>
  <si>
    <t>FT7830PR</t>
  </si>
  <si>
    <t>PE(18:4/TXB2)</t>
  </si>
  <si>
    <t>磷脂酰乙醇胺(18:4/TXB2)</t>
  </si>
  <si>
    <t>HMDB0261752</t>
  </si>
  <si>
    <t>CCCCC[C@H](O)\C=C\[C@H]1OC(O)C[C@H](O)[C@@H]1C\C=C/CCCC(=O)O[C@H](COC(=O)CCCC\C=C/C\C=C/C\C=C/C\C=C/CC)COP(O)(=O)OCCN</t>
  </si>
  <si>
    <t>LSLAYWHSTBNELQ-LHJLOQSCSA-N</t>
  </si>
  <si>
    <t>590.3190, 719.9783, 743.3071, 814.1594, 826.6580, 1061.6457, 1085.6460, 1086.6526, 1109.6505, 1110.6538</t>
  </si>
  <si>
    <t>C43H72NO12P</t>
  </si>
  <si>
    <t>FT4910PR</t>
  </si>
  <si>
    <t>16-J1-PhytoP</t>
  </si>
  <si>
    <t>LMFA02030067</t>
  </si>
  <si>
    <t>C(CCCCCCC[C@@H]1C=CC(=O)[C@@H]1/C=C/[C@@H](O)CC)(=O)O</t>
  </si>
  <si>
    <t>FWGSZKXOWWJSMJ-PHMYGAEPSA-N</t>
  </si>
  <si>
    <t>FT4290PR</t>
  </si>
  <si>
    <t>3-(4-Carboxybenzylidene)-6-hydroxycamphor</t>
  </si>
  <si>
    <t>3-(4-羧基亚苄基)-6-羟基樟脑</t>
  </si>
  <si>
    <t>HMDB0245779</t>
  </si>
  <si>
    <t>CC1(C)C2CC(O)C1(C)C(=O)C2=CC1=CC=C(C=C1)C(O)=O</t>
  </si>
  <si>
    <t>YIGAUUYAYZNMIO-UHFFFAOYSA-N</t>
  </si>
  <si>
    <t>99.7148, 113.8033, 156.0035, 245.0786, 301.0609, 301.0993, 301.1404, 301.2451, 302.1432, 318.0718</t>
  </si>
  <si>
    <t>C18H20O4</t>
  </si>
  <si>
    <t>FT1414NR</t>
  </si>
  <si>
    <t>Poly(oxy-1,2-ethanediyl), I+/--sulfo-I-phenoxy-</t>
  </si>
  <si>
    <t>聚（氧-1,2-乙烷二基），I+/--磺基-I-苯氧基-</t>
  </si>
  <si>
    <t>O=S(=O)(O)OCCOc1ccccc1</t>
  </si>
  <si>
    <t>MMOKERXNMOBWHM-UHFFFAOYSA-N</t>
  </si>
  <si>
    <t>171.0401, 173.0090, 173.0255, 173.0928, 211.1944, 217.0155, 217.0505, 217.0752, 218.0187, 218.1455</t>
  </si>
  <si>
    <t>FT3489NR</t>
  </si>
  <si>
    <t>2-Cyano-3-[3-ethoxy-4-hydroxy-5-[(phenylthio)methyl]phenyl]-2-propenamide</t>
  </si>
  <si>
    <t>Α-氰基-(3-乙氧基-4-羟基-5-苯基硫代甲基)肉桂酰胺</t>
  </si>
  <si>
    <t>HMDB0248195</t>
  </si>
  <si>
    <t>CCOC1=CC(C=C(C#N)C(N)=O)=CC(CSC2=CC=CC=C2)=C1O</t>
  </si>
  <si>
    <t>YKLMGKWXBLSKPK-UHFFFAOYSA-N</t>
  </si>
  <si>
    <t>74.6873, 74.7152, 78.2803, 112.9853, 219.1380, 263.1286, 285.1080, 331.1161, 343.0513, 353.1003</t>
  </si>
  <si>
    <t>C19H18N2O3S</t>
  </si>
  <si>
    <t>FT4112PR</t>
  </si>
  <si>
    <t>Derricidin</t>
  </si>
  <si>
    <t>德里西丁</t>
  </si>
  <si>
    <t>LMPK12120040</t>
  </si>
  <si>
    <t>C1(OC/C=C(\C)/C)=CC=C(C(=O)/C=C/C2C=CC=CC=2)C(O)=C1</t>
  </si>
  <si>
    <t>DGUGLZYULGVSIZ-DHZHZOJOSA-N</t>
  </si>
  <si>
    <t>C20H20O3</t>
  </si>
  <si>
    <t>FT1216NR</t>
  </si>
  <si>
    <t>2-amino-muconic acid</t>
  </si>
  <si>
    <t>2-氨基粘多酸</t>
  </si>
  <si>
    <t>HMDB0001241</t>
  </si>
  <si>
    <t>LMFA01170082</t>
  </si>
  <si>
    <t>C02220</t>
  </si>
  <si>
    <t>4548-99-6</t>
  </si>
  <si>
    <t>C(=O)(O)/C(/N)=C\C=C/C(=O)O</t>
  </si>
  <si>
    <t>ZRHONLCTYUYMIQ-HSFFGMMNSA-N</t>
  </si>
  <si>
    <t>C6H7NO4</t>
  </si>
  <si>
    <t>FT2904NR</t>
  </si>
  <si>
    <t>2'-Phosphophloretin</t>
  </si>
  <si>
    <t>2'-磷酸根蛋白</t>
  </si>
  <si>
    <t>HMDB0245540</t>
  </si>
  <si>
    <t>OC1=CC=C(CCC(=O)C2=C(O)C=C(O)C=C2OP(O)(O)=O)C=C1</t>
  </si>
  <si>
    <t>PHNOWZISRACWQS-UHFFFAOYSA-N</t>
  </si>
  <si>
    <t>C15H15O8P</t>
  </si>
  <si>
    <t>FT3757PR</t>
  </si>
  <si>
    <t>2,5-Diisothiocyanatobenzenesulfonate</t>
  </si>
  <si>
    <t>2,5-二异硫氰酸苯磺酸盐</t>
  </si>
  <si>
    <t>HMDB0245499</t>
  </si>
  <si>
    <t>OS(=O)(=O)C1=C(C=CC(=C1)N=C=S)N=C=S</t>
  </si>
  <si>
    <t>GAZYMQNPYHXJCK-UHFFFAOYSA-N</t>
  </si>
  <si>
    <t>205.3981, 205.9597, 214.9169, 221.9328, 231.0644, 232.9279, 249.9243, 272.9440, 273.0945, 273.1682</t>
  </si>
  <si>
    <t>C8H4N2O3S3</t>
  </si>
  <si>
    <t>FT3668NR</t>
  </si>
  <si>
    <t>Iguratimod</t>
  </si>
  <si>
    <t>艾拉莫德</t>
  </si>
  <si>
    <t>HMDB0253390</t>
  </si>
  <si>
    <t>CS(=O)(=O)NC1=C(OC2=CC=CC=C2)C=C2C(=O)C(=COC2=C1)N=CO</t>
  </si>
  <si>
    <t>ANMATWQYLIFGOK-UHFFFAOYSA-N</t>
  </si>
  <si>
    <t>140.3680, 170.6933, 181.0056, 186.3091, 198.0323, 199.9497, 205.3903, 283.0097, 398.8424, 419.0544</t>
  </si>
  <si>
    <t>C17H14N2O6S</t>
  </si>
  <si>
    <t>FT2427PR</t>
  </si>
  <si>
    <t>3-Oxalomalic acid</t>
  </si>
  <si>
    <t xml:space="preserve"> 3-草酰苹果酸</t>
  </si>
  <si>
    <t>HMDB0245962</t>
  </si>
  <si>
    <t>C01990</t>
  </si>
  <si>
    <t>hsa00630</t>
  </si>
  <si>
    <t>Glyoxylate and dicarboxylate metabolism</t>
  </si>
  <si>
    <t>OC(C(C(O)=O)C(=O)C(O)=O)C(O)=O</t>
  </si>
  <si>
    <t>YILAUJBAPQXZGM-UHFFFAOYSA-N</t>
  </si>
  <si>
    <t>C6H6O8</t>
  </si>
  <si>
    <t>FT7968PR</t>
  </si>
  <si>
    <t>GM4(d18:1/18:0)</t>
  </si>
  <si>
    <t xml:space="preserve"> GM4(d18:1/18:0)</t>
  </si>
  <si>
    <t>LMSP0601AA02</t>
  </si>
  <si>
    <t>[C@](CO[C@@H]1O[C@H](CO)[C@H](O)[C@H](O[C@]2(O[C@@]([H])([C@H](O)[C@H](O)CO)[C@H](NC(=O)C)[C@@H](O)C2)C(O)=O)[C@H]1O)([H])(NC(CCCCCCCCCCCCCCCCC)=O)[C@]([H])(O)/C=C/CCCCCCCCCCCCC</t>
  </si>
  <si>
    <t>ZZZGALYQBDIVPQ-TUMZNNEGSA-N</t>
  </si>
  <si>
    <t>547.3574, 560.3700, 599.4377, 649.4529, 1041.1707, 1041.6862, 1041.8783, 1042.0828, 1042.2062, 1042.6830</t>
  </si>
  <si>
    <t>C53H98N2O16</t>
  </si>
  <si>
    <t>FT3338NR</t>
  </si>
  <si>
    <t>Azetirelin</t>
  </si>
  <si>
    <t>阿泽瑞林</t>
  </si>
  <si>
    <t>HMDB0248799</t>
  </si>
  <si>
    <t>NC(=O)C1CCCN1C(=O)C(CC1=CN=CN1)NC(=O)C1CC(=O)N1</t>
  </si>
  <si>
    <t>WBGUMUGCONUXFK-UHFFFAOYSA-N</t>
  </si>
  <si>
    <t>69.9688, 72.8696, 163.0401, 180.0659, 202.0482, 205.3842, 205.4023, 255.9264, 343.6989, 383.1215</t>
  </si>
  <si>
    <t>C15H20N6O4</t>
  </si>
  <si>
    <t>FT4715NR</t>
  </si>
  <si>
    <t>TG(13:0/8:0/8:0)</t>
  </si>
  <si>
    <t>甘油三酯(13:0/8:0/8:0)</t>
  </si>
  <si>
    <t>HMDB0096561</t>
  </si>
  <si>
    <t>[H][C@@](COC(=O)CCCCCCC)(COC(=O)CCCCCCCCCCCC)OC(=O)CCCCCCC</t>
  </si>
  <si>
    <t>WTYSFSPLNGZQKE-GDLZYMKVSA-N</t>
  </si>
  <si>
    <t>302.7008, 313.2380, 315.2528, 330.5422, 335.2963, 418.8667, 521.4208, 539.4311, 539.5278, 540.4346</t>
  </si>
  <si>
    <t>FT4250NR</t>
  </si>
  <si>
    <t>1beta,3beta,5beta,14beta,16beta-pentahydroxy-bufa-20,22-dienolide</t>
  </si>
  <si>
    <t>1β,3β,5β,14β,16β-五羟基-bufa-20,22-二烯内酯</t>
  </si>
  <si>
    <t>LMST01130040</t>
  </si>
  <si>
    <t>[C@H]1(O)[C@]2(C)[C@@]3([H])CC[C@]4(C)[C@@]([H])(C5=COC(=O)C=C5)[C@@H](O)C[C@]4(O)[C@]3([H])CC[C@]2(O)C[C@@H](O)C1</t>
  </si>
  <si>
    <t>MLCCELAAOHCIOY-JVCAUVCHSA-N</t>
  </si>
  <si>
    <t>124.0829, 137.4740, 143.5748, 162.5683, 179.5866, 205.3953, 303.0481, 479.0802, 479.2285, 479.3036</t>
  </si>
  <si>
    <t>C24H34O7</t>
  </si>
  <si>
    <t>FT4686NR</t>
  </si>
  <si>
    <t>29-demethylgeodisterol-O-sulfite</t>
  </si>
  <si>
    <t>29-去甲基地甾醇-O-亚硫酸盐</t>
  </si>
  <si>
    <t>LMST01031091</t>
  </si>
  <si>
    <t>C1C2[C@@]3([H])CC[C@]4(C)[C@@]([H])([C@](O)(C)CCC(=C)C(C)C)[C@@H](O)C[C@@]4([H])[C@]3([H])CCC=2C=C(OS(O)(=O)=O)C=1</t>
  </si>
  <si>
    <t>JOGWUZSAGSFJKC-KZPPUNKBSA-N</t>
  </si>
  <si>
    <t>102.9565, 171.3619, 205.3985, 302.6889, 411.3057, 469.1874, 469.2623, 469.3332, 470.2668, 537.2499</t>
  </si>
  <si>
    <t>C27H40O6S</t>
  </si>
  <si>
    <t>FT4181PR</t>
  </si>
  <si>
    <t>Gingerol</t>
  </si>
  <si>
    <t>5-羟基-1-(4-羟基-3-甲氧基-环己基)癸-3-酮</t>
  </si>
  <si>
    <t>HMDB0005783</t>
  </si>
  <si>
    <t>C10462</t>
  </si>
  <si>
    <t>58253-27-3</t>
  </si>
  <si>
    <t>CCCCCC(O)CC(=O)CCC1=CC=C(O)C(OC)=C1</t>
  </si>
  <si>
    <t>NLDDIKRKFXEWBK-UHFFFAOYSA-N</t>
  </si>
  <si>
    <t>239.1281, 253.6292, 254.1330, 262.6377, 274.1450, 295.1468, 295.1906, 295.2256, 302.7104, 303.9096</t>
  </si>
  <si>
    <t>FT3092NR</t>
  </si>
  <si>
    <t>(2S,4R,5S)-4,5,6-Trihydroxy-2-[hydroxy(phosphonooxy)phosphoryl]oxy-3-oxohexanoic acid</t>
  </si>
  <si>
    <t>(2S,4R,5S)-4,5,6-三羟基-2-[羟基(膦酰氧基)磷酰基]氧基-3-氧代己酸</t>
  </si>
  <si>
    <t>HMDB0260134</t>
  </si>
  <si>
    <t>OCC(O)C(O)C(=O)C(OP(O)(=O)OP(O)(O)=O)C(O)=O</t>
  </si>
  <si>
    <t>MWKCAAZRJZZSMC-UHFFFAOYSA-N</t>
  </si>
  <si>
    <t>Organic pyrophosphates</t>
  </si>
  <si>
    <t>有机焦磷酸盐</t>
  </si>
  <si>
    <t>C6H12O13P2</t>
  </si>
  <si>
    <t>FT1254NR</t>
  </si>
  <si>
    <t>Pantothenol</t>
  </si>
  <si>
    <t>DL-泛醇</t>
  </si>
  <si>
    <t>HMDB0304820</t>
  </si>
  <si>
    <t>CC(C)(CO)C(O)C(=O)NCCCO</t>
  </si>
  <si>
    <t>SNPLKNRPJHDVJA-UHFFFAOYSA-N</t>
  </si>
  <si>
    <t>95.7434, 99.0448, 102.0558, 116.2611, 121.8690, 129.0548, 131.5866, 204.1235, 205.3877, 205.4088</t>
  </si>
  <si>
    <t>C9H19NO4</t>
  </si>
  <si>
    <t>FT2114NR</t>
  </si>
  <si>
    <t>1-deoxypentalenic acid</t>
  </si>
  <si>
    <t>1-脱氧戊烯酸</t>
  </si>
  <si>
    <t>LMPR0103890004</t>
  </si>
  <si>
    <t>[C@@]12([H])[C@@]3([C@@]([H])(CC[C@H]3C)C(C(O)=O)=C1)CC(C)(C)C2</t>
  </si>
  <si>
    <t>DCFDRCCHOOORSB-DSKWVYQCSA-N</t>
  </si>
  <si>
    <t>269.0471, 269.0601, 269.1306, 269.1562, 269.1837, 269.2024, 269.2146, 269.2400, 270.1340, 270.2584</t>
  </si>
  <si>
    <t>FT3339NR</t>
  </si>
  <si>
    <t>4-(2-(1-(4-Chlorocinnamyl)piperazin-4-yl)ethyl)benzoate</t>
  </si>
  <si>
    <t>4-(2-(1-(4-氯肉桂基)哌嗪-4-基)乙基)苯甲酸酯</t>
  </si>
  <si>
    <t>HMDB0246282</t>
  </si>
  <si>
    <t>[O-]C(=O)C1=CC=C(CC[NH+]2CCN(CC=CC3=CC=C(Cl)C=C3)CC2)C=C1</t>
  </si>
  <si>
    <t>YQIGCNRBMYEJID-UHFFFAOYSA-N</t>
  </si>
  <si>
    <t>Phenethylamines</t>
  </si>
  <si>
    <t>苯乙胺类</t>
  </si>
  <si>
    <t>116.5159, 127.3123, 149.0854, 209.4202, 246.9443, 314.9313, 381.2438, 383.1528, 384.1549, 392.5871</t>
  </si>
  <si>
    <t>C22H25ClN2O2</t>
  </si>
  <si>
    <t>FT6322PR</t>
  </si>
  <si>
    <t>11-Hydroxyprogesterone 11-glucuronide</t>
  </si>
  <si>
    <t>11A-羟基孕酮Β-D-葡糖苷酸</t>
  </si>
  <si>
    <t>HMDB0010364</t>
  </si>
  <si>
    <t>LMST05010031</t>
  </si>
  <si>
    <t>77710-64-6</t>
  </si>
  <si>
    <t>C12CCC3=CC(=O)CC[C@]3(C)C1C(O[C@H]1[C@H](O)[C@@H](O)[C@H](O)[C@@H](C(=O)O)O1)C[C@]1(C)[C@@H](C(=O)C)CCC21</t>
  </si>
  <si>
    <t>WVTMNZAPPOMZST-UCMXSJKRSA-N</t>
  </si>
  <si>
    <t>295.2048, 299.2485, 302.6916, 302.7227, 313.2161, 331.2246, 453.0190, 471.2382, 489.2464, 507.2627</t>
  </si>
  <si>
    <t>C27H38O9</t>
  </si>
  <si>
    <t>FT2302NR</t>
  </si>
  <si>
    <t>Benzenesulfinic acid</t>
  </si>
  <si>
    <t>苯亚磺酸</t>
  </si>
  <si>
    <t>HMDB0248983</t>
  </si>
  <si>
    <t>O[S@@](=O)C1=CC=CC=C1</t>
  </si>
  <si>
    <t>JEHKKBHWRAXMCH-UHFFFAOYSA-N</t>
  </si>
  <si>
    <t>79.4790, 121.7627, 198.0321, 205.3973, 225.0641, 241.5176, 283.0094, 283.2279, 283.2638, 302.6933</t>
  </si>
  <si>
    <t>C6H6O2S</t>
  </si>
  <si>
    <t>FT3239NR</t>
  </si>
  <si>
    <t>SCHEMBL6888800</t>
  </si>
  <si>
    <t>O=C(O)CCCCCCCCCCCCCCCCC(O)=NCC(=O)O</t>
  </si>
  <si>
    <t>DQYBPWHCFPSXIO-UHFFFAOYSA-N</t>
  </si>
  <si>
    <t>182.1187, 251.2512, 297.2430, 306.2437, 307.9644, 311.2236, 322.4393, 349.3011, 370.2597, 370.3393</t>
  </si>
  <si>
    <t>C20H37NO5</t>
  </si>
  <si>
    <t>FT4294PR</t>
  </si>
  <si>
    <t>Dibutylphthalic acid</t>
  </si>
  <si>
    <t>HMDB0251177</t>
  </si>
  <si>
    <t>CCCCC1=C(CCCC)C(C(O)=O)=C(C=C1)C(O)=O</t>
  </si>
  <si>
    <t>NUONTTMMRCYJMI-UHFFFAOYSA-N</t>
  </si>
  <si>
    <t>76.2074, 76.2548, 76.2784, 79.6322, 116.3772, 164.7492, 173.1358, 184.8872, 242.1791, 301.1405</t>
  </si>
  <si>
    <t>FT4794PR</t>
  </si>
  <si>
    <t>2-Hydroxydodeca-5,8-dienoylcarnitine</t>
  </si>
  <si>
    <t>2-羟基十二-5,8-二烯酰肉碱</t>
  </si>
  <si>
    <t>HMDB0241250</t>
  </si>
  <si>
    <t>CCCC=CCC=CCCC(O)C(=O)OC(CC([O-])=O)C[N+](C)(C)C</t>
  </si>
  <si>
    <t>UXUYZLFFEOVXFC-UHFFFAOYSA-N</t>
  </si>
  <si>
    <t>74.6442, 85.0286, 93.0699, 107.9665, 135.1167, 159.1161, 191.7759, 273.0898, 338.2326, 338.2773</t>
  </si>
  <si>
    <t>C19H33NO5</t>
  </si>
  <si>
    <t>FT1921NR</t>
  </si>
  <si>
    <t>Aspartyl-Serine</t>
  </si>
  <si>
    <t>天冬氨酰-丝氨酸</t>
  </si>
  <si>
    <t>HMDB0028762</t>
  </si>
  <si>
    <t>NC(CC(O)=O)C(=O)NC(CO)C(O)=O</t>
  </si>
  <si>
    <t>DWBZEJHQQIURML-UHFFFAOYSA-N</t>
  </si>
  <si>
    <t>183.0187, 186.9269, 197.0537, 211.0702, 237.0494, 254.9787, 255.0086, 255.0388, 255.0681, 255.2312</t>
  </si>
  <si>
    <t>C7H12N2O6</t>
  </si>
  <si>
    <t>FT2921PR</t>
  </si>
  <si>
    <t>Methyl 2-amino-3-(4-chlorophenyl)propanoate</t>
  </si>
  <si>
    <t>2-氨基-3-(4-氯苯基)丙酸甲酯</t>
  </si>
  <si>
    <t>HMDB0254564</t>
  </si>
  <si>
    <t>COC(=O)C(N)CC1=CC=C(Cl)C=C1</t>
  </si>
  <si>
    <t>FBHPVOLRIXZZMD-UHFFFAOYSA-N</t>
  </si>
  <si>
    <t>149.9608, 154.0268, 154.0416, 158.0268, 172.9570, 172.9765, 214.0629, 214.0861, 214.1489, 214.2161</t>
  </si>
  <si>
    <t>C10H12ClNO2</t>
  </si>
  <si>
    <t>FT3222NR</t>
  </si>
  <si>
    <t>Acrylfentanyl</t>
  </si>
  <si>
    <t>丙烯酰芬太尼</t>
  </si>
  <si>
    <t>HMDB0259663</t>
  </si>
  <si>
    <t>C=CC(=O)N(C1CCN(CCC2=CC=CC=C2)CC1)C1=CC=CC=C1</t>
  </si>
  <si>
    <t>RFQNLMWUIJJEQF-UHFFFAOYSA-N</t>
  </si>
  <si>
    <t>96.9526, 96.9599, 113.2314, 151.8549, 164.9273, 194.2794, 276.7185, 346.9217, 369.1734, 370.1768</t>
  </si>
  <si>
    <t>C22H26N2O</t>
  </si>
  <si>
    <t>FT3057PR</t>
  </si>
  <si>
    <t>Hexamethylene bisacetamide</t>
  </si>
  <si>
    <t>N,N'-六亚甲基双乙酰胺</t>
  </si>
  <si>
    <t>HMDB0041901</t>
  </si>
  <si>
    <t>3073-59-4</t>
  </si>
  <si>
    <t>CC(O)=NCCCCCCN=C(C)O</t>
  </si>
  <si>
    <t>BNQSTAOJRULKNX-UHFFFAOYSA-N</t>
  </si>
  <si>
    <t>C10H20N2O2</t>
  </si>
  <si>
    <t>FT1815PR</t>
  </si>
  <si>
    <t>Cycloalliin</t>
  </si>
  <si>
    <t>5-甲基硫代吗啉-3-羧酸1-氧化物</t>
  </si>
  <si>
    <t>HMDB0029417</t>
  </si>
  <si>
    <t>455-41-4</t>
  </si>
  <si>
    <t>CC1CS(=O)CC(N1)C(O)=O</t>
  </si>
  <si>
    <t>JYMHODZXTIGVPA-UHFFFAOYSA-N</t>
  </si>
  <si>
    <t>FT1826NR</t>
  </si>
  <si>
    <t>urea glutamate</t>
  </si>
  <si>
    <t>谷氨酸尿素</t>
  </si>
  <si>
    <t>HMDB0259716</t>
  </si>
  <si>
    <t>NC1CCC(=O)ON(OC1=O)C(N)=O</t>
  </si>
  <si>
    <t>IPWDRBKGZXGXRV-UHFFFAOYSA-N</t>
  </si>
  <si>
    <t>191.0192, 199.0928, 202.0481, 205.3978, 212.3856, 220.0585, 248.0537, 248.0962, 248.9727, 260.3943</t>
  </si>
  <si>
    <t>C6H9N3O5</t>
  </si>
  <si>
    <t>FT3038PR</t>
  </si>
  <si>
    <t>Cystine</t>
  </si>
  <si>
    <t>DL-胱氨酸-D6</t>
  </si>
  <si>
    <t>HMDB0250712</t>
  </si>
  <si>
    <t>C01420</t>
  </si>
  <si>
    <t>NC(CSSCC(N)C(O)=O)C(O)=O</t>
  </si>
  <si>
    <t>LEVWYRKDKASIDU-UHFFFAOYSA-N</t>
  </si>
  <si>
    <t>FT6482PR</t>
  </si>
  <si>
    <t>15-(3,4-Dimethyl-5-propylfuran-2-yl)pentadecanoylcarnitine</t>
  </si>
  <si>
    <t>15-(3,4-二甲基-5-丙基呋喃-2-基)十五酰肉碱</t>
  </si>
  <si>
    <t>HMDB0241840</t>
  </si>
  <si>
    <t>CCCC1=C(C)C(C)=C(CCCCCCCCCCCCCCC(=O)OC(CC([O-])=O)C[N+](C)(C)C)O1</t>
  </si>
  <si>
    <t>SQSBHVAAANYHNR-UHFFFAOYSA-N</t>
  </si>
  <si>
    <t>C31H55NO5</t>
  </si>
  <si>
    <t>FT7788PR</t>
  </si>
  <si>
    <t>PE(22:2/18:3)</t>
  </si>
  <si>
    <t>磷脂酰乙醇胺(22:2/18:3)</t>
  </si>
  <si>
    <t>HMDB0009557</t>
  </si>
  <si>
    <t>LMGP02011086</t>
  </si>
  <si>
    <t>[C@](COP(=O)(O)OCCN)([H])(OC(CCCCCCC/C=C\C/C=C\C/C=C\CC)=O)COC(CCCCCCCCCCC/C=C\C/C=C\CCCCC)=O</t>
  </si>
  <si>
    <t>QISXRGLAZUIPCG-QPBWJCTOSA-N</t>
  </si>
  <si>
    <t>C45H80NO8P</t>
  </si>
  <si>
    <t>FT4736NR</t>
  </si>
  <si>
    <t>(13Z,16Z)-3-Hydroxydocosa-13,16-dienoylcarnitine</t>
  </si>
  <si>
    <t>(13Z,16Z)-3-羟基二十二碳六烯酸-13,16-二烯酰肉碱</t>
  </si>
  <si>
    <t>HMDB0241604</t>
  </si>
  <si>
    <t>CCCCCC=CCC=CCCCCCCCCCC(O)CC(=O)OC(CC([O-])=O)C[N+](C)(C)C</t>
  </si>
  <si>
    <t>CBUQBBHYLMSDAB-UHFFFAOYSA-N</t>
  </si>
  <si>
    <t>C29H53NO5</t>
  </si>
  <si>
    <t>FT0745PR</t>
  </si>
  <si>
    <t>Hydroperoxyurea</t>
  </si>
  <si>
    <t>氢过氧脲</t>
  </si>
  <si>
    <t>HMDB0260341</t>
  </si>
  <si>
    <t>NC(=O)NOO</t>
  </si>
  <si>
    <t>DEPNJEZNWSVKCX-UHFFFAOYSA-N</t>
  </si>
  <si>
    <t>CH4N2O3</t>
  </si>
  <si>
    <t>FT4626NR</t>
  </si>
  <si>
    <t>CHEMBL1208154</t>
  </si>
  <si>
    <t>CC(C)=CC(=O)C[C@@H](C)[C@H]1CC[C@H]2[C@@H]3C[C@H](O)[C@H]4C[C@@H](OS(=O)(=O)O)CC[C@]4(C)C3=CC[C@]12C</t>
  </si>
  <si>
    <t>TWWRXGPUWVXLBB-ASEFAEEDSA-N</t>
  </si>
  <si>
    <t>81.0128, 89.1542, 116.9284, 135.8902, 154.5753, 205.4038, 270.4182, 296.5718, 302.6902, 386.7597</t>
  </si>
  <si>
    <t>C27H42O6S</t>
  </si>
  <si>
    <t>FT5314PR</t>
  </si>
  <si>
    <t>5-Hydroxypentadecanoylcarnitine</t>
  </si>
  <si>
    <t>5-羟基十五酰肉碱</t>
  </si>
  <si>
    <t>HMDB0241434</t>
  </si>
  <si>
    <t>CCCCCCCCCCC(O)CCCC(=O)OC(CC([O-])=O)C[N+](C)(C)C</t>
  </si>
  <si>
    <t>FBGNJEDMAHOUHV-UHFFFAOYSA-N</t>
  </si>
  <si>
    <t>70.3973, 70.4176, 70.4420, 70.4465, 73.4650, 73.4910, 76.7930, 85.0288, 85.3225, 384.3097</t>
  </si>
  <si>
    <t>C22H43NO5</t>
  </si>
  <si>
    <t>FT0355PR</t>
  </si>
  <si>
    <t>Benzene oxide</t>
  </si>
  <si>
    <t>氧化苯</t>
  </si>
  <si>
    <t>HMDB0248977</t>
  </si>
  <si>
    <t>C01782</t>
  </si>
  <si>
    <t>hsa05208</t>
  </si>
  <si>
    <t>Chemical carcinogenesis - reactive oxygen species</t>
  </si>
  <si>
    <t>O1C2C=CC=CC12</t>
  </si>
  <si>
    <t>WDFZWSZNOFELJY-UHFFFAOYSA-N</t>
  </si>
  <si>
    <t>95.0686, 95.0858, 95.0927, 95.1201, 96.0447, 99.5717, 105.0450, 105.1725, 109.5701, 114.7187</t>
  </si>
  <si>
    <t>FT0397NR</t>
  </si>
  <si>
    <t>hydroxycarbonate</t>
  </si>
  <si>
    <t>羟基碳酸盐</t>
  </si>
  <si>
    <t>HMDB0253259</t>
  </si>
  <si>
    <t>OOC(=O)OO</t>
  </si>
  <si>
    <t>NKCVNYJQLIWBHK-UHFFFAOYSA-N</t>
  </si>
  <si>
    <t>68.2220, 71.1911, 71.2200, 71.2240, 74.4197, 74.4562, 85.0292, 93.9549, 118.2994, 129.0556</t>
  </si>
  <si>
    <t>CH2O5</t>
  </si>
  <si>
    <t>FT3324NR</t>
  </si>
  <si>
    <t>Myricetin 3,4'-dimethyl ether</t>
  </si>
  <si>
    <t>杨梅素3,4'-二甲醚</t>
  </si>
  <si>
    <t>LMPK12112789</t>
  </si>
  <si>
    <t>C1(O)=CC2OC(C3C=C(O)C(OC)=C(O)C=3)=C(OC)C(=O)C=2C(O)=C1</t>
  </si>
  <si>
    <t>MVJHAGLBHWPKLS-UHFFFAOYSA-N</t>
  </si>
  <si>
    <t>111.0085, 157.0110, 167.0208, 191.0195, 201.0376, 216.7707, 219.4773, 313.0539, 381.0286, 400.1305</t>
  </si>
  <si>
    <t>C17H14O8</t>
  </si>
  <si>
    <t>FT7865PR</t>
  </si>
  <si>
    <t>PC(18:0/20:1)</t>
  </si>
  <si>
    <t>磷脂酰胆碱(18:0/20:1)</t>
  </si>
  <si>
    <t>HMDB0008044</t>
  </si>
  <si>
    <t>LMGP01010783</t>
  </si>
  <si>
    <t>[C@](COP(=O)([O-])OCC[N+](C)(C)C)([H])(OC(CCCCCCCCC/C=C\CCCCCCCC)=O)COC(CCCCCCCCCCCCCCCCC)=O</t>
  </si>
  <si>
    <t>PDGHHNMEFVJAAM-UQBBPPAYSA-N</t>
  </si>
  <si>
    <t>359.2870, 373.2735, 377.2500, 377.2981, 391.2830, 395.3090, 426.3209, 430.3451, 431.2760, 821.6025</t>
  </si>
  <si>
    <t>C46H90NO8P</t>
  </si>
  <si>
    <t>FT1444NR</t>
  </si>
  <si>
    <t>Cystathionine sulfoxide</t>
  </si>
  <si>
    <t>胱硫醚亚砜</t>
  </si>
  <si>
    <t>HMDB0002399</t>
  </si>
  <si>
    <t>54927-81-0</t>
  </si>
  <si>
    <t>N[C@@H](CCS(=O)C[C@H](N)C(O)=O)C(O)=O</t>
  </si>
  <si>
    <t>JNUGGJHCMRWUDV-FMMPLYQGSA-N</t>
  </si>
  <si>
    <t>C7H14N2O5S</t>
  </si>
  <si>
    <t>FT1581NR</t>
  </si>
  <si>
    <t>Protocatechuic acid 4-O-sulfate</t>
  </si>
  <si>
    <t>原儿茶酸4-O-硫酸盐</t>
  </si>
  <si>
    <t>HMDB0240382</t>
  </si>
  <si>
    <t>76496-12-3</t>
  </si>
  <si>
    <t>OC(=O)C1=CC(O)=C(OS(O)(=O)=O)C=C1</t>
  </si>
  <si>
    <t>NGQYUDIZIPNWJV-UHFFFAOYSA-N</t>
  </si>
  <si>
    <t>C7H6O7S</t>
  </si>
  <si>
    <t>FT2748NR</t>
  </si>
  <si>
    <t>(2R,3S)-3-(6-Amino-9H-purin-9-yl)nonan-2-ol</t>
  </si>
  <si>
    <t>(2R,3S)-3-(6-氨基-9H-嘌呤-9-基)壬-2-醇</t>
  </si>
  <si>
    <t>HMDB0242539</t>
  </si>
  <si>
    <t>CCCCCCC(C(C)O)N1C=NC2=C1N=CN=C2N</t>
  </si>
  <si>
    <t>IOSAAWHGJUZBOG-UHFFFAOYSA-N</t>
  </si>
  <si>
    <t>136.8835, 138.9142, 140.6098, 155.2436, 171.1082, 189.2947, 207.7206, 218.2018, 227.2925, 302.6973</t>
  </si>
  <si>
    <t>C14H23N5O</t>
  </si>
  <si>
    <t>FT6551PR</t>
  </si>
  <si>
    <t>5,4'-Dihydrox-3-methoxy-6,7-methylenedioxyflavone 4'-glucuronide</t>
  </si>
  <si>
    <t>5,4'-二羟基-3-甲氧基-6,7-亚甲二氧基黄酮 4'-葡萄糖苷酸</t>
  </si>
  <si>
    <t>HMDB0301965</t>
  </si>
  <si>
    <t>LMPK12112850</t>
  </si>
  <si>
    <t>C1C=C(O[C@H]2[C@H](O)[C@@H](O)[C@H](O)[C@@H](C(=O)O)O2)C=CC=1C1=C(OC)C(=O)C2C(O)=C3OCOC3=CC=2O1</t>
  </si>
  <si>
    <t>QZRLCSNTKHSVAP-QJAHINBCSA-N</t>
  </si>
  <si>
    <t>123.0439, 136.0752, 165.0544, 182.0642, 182.0809, 243.0051, 302.0187, 346.0086, 405.9077, 527.0815</t>
  </si>
  <si>
    <t>C23H20O13</t>
  </si>
  <si>
    <t>FT6200PR</t>
  </si>
  <si>
    <t>Gentamicin</t>
  </si>
  <si>
    <t>庆大霉素</t>
  </si>
  <si>
    <t>HMDB0014936</t>
  </si>
  <si>
    <t>C00505</t>
  </si>
  <si>
    <t>1403-66-3</t>
  </si>
  <si>
    <t>CNC(C)C1CCC(N)C(OC2C(N)CC(N)C(OC3OCC(C)(O)C(NC)C3O)C2O)O1</t>
  </si>
  <si>
    <t>CEAZRRDELHUEMR-UHFFFAOYSA-N</t>
  </si>
  <si>
    <t>C21H43N5O7</t>
  </si>
  <si>
    <t>FT3650NR</t>
  </si>
  <si>
    <t>Lisetin</t>
  </si>
  <si>
    <t>利塞汀</t>
  </si>
  <si>
    <t>LMPK12160003</t>
  </si>
  <si>
    <t>C1(O)=CC2OC3OC4=C(C=C(OC)C(O)=C4C/C=C(/C)\C)C=3C(=O)C=2C(O)=C1</t>
  </si>
  <si>
    <t>KOHGMAFQELVQRG-UHFFFAOYSA-N</t>
  </si>
  <si>
    <t>129.0555, 131.8757, 197.0428, 205.3916, 205.4123, 213.0039, 251.5590, 281.0999, 302.6785, 316.7583</t>
  </si>
  <si>
    <t>C21H18O7</t>
  </si>
  <si>
    <t>FT7920PR</t>
  </si>
  <si>
    <t>Fucoxanthinol 3-(4Z,7Z,10Z,13Z,16Z,19Z-docosahexaenoate)</t>
  </si>
  <si>
    <t>岩藻黄醇3-(4Z,7Z,10Z,13Z,16Z,19Z-二十二碳六烯酸酯)</t>
  </si>
  <si>
    <t>LMPR01070319</t>
  </si>
  <si>
    <t>[C@@]12(CC(=O)/C(/C)=C/C=C/C(/C)=C/C=C/C=C(\C)/C=C/C=C(\C)/C=[C@@]=C3[C@@](O)(C)C[C@@H](O)CC3(C)C)O[C@]1(C)C[C@@H](OC(CC/C=C\C/C=C\C/C=C\C/C=C\C/C=C\C/C=C\CC)=O)CC2(C)C</t>
  </si>
  <si>
    <t>SJEFWQNMNOHTJT-HPGKJACDSA-N</t>
  </si>
  <si>
    <t>287.4128, 302.7156, 313.2724, 323.6261, 478.3283, 493.5605, 496.3389, 496.5083, 497.3430, 625.1854</t>
  </si>
  <si>
    <t>C62H86O6</t>
  </si>
  <si>
    <t>FT2815PR</t>
  </si>
  <si>
    <t>1-Hydroxy-2,2,5,5-tetramethyl-2,5-dihydro-1h-pyrrole-3-carboxamide</t>
  </si>
  <si>
    <t>1-羟基-2,2,5,5-四甲基-2,5-二氢-1h-吡咯-3-甲酰胺</t>
  </si>
  <si>
    <t>HMDB0243893</t>
  </si>
  <si>
    <t>CC1(C)C=C(C(N)=O)C(C)(C)N1O</t>
  </si>
  <si>
    <t>GMXOTWPDUBXCMS-UHFFFAOYSA-N</t>
  </si>
  <si>
    <t>Pyrroline carboxylic acids and derivatives</t>
  </si>
  <si>
    <t>吡咯啉羧酸及其衍生物</t>
  </si>
  <si>
    <t>189.0661, 189.1029, 189.1286, 189.1637, 190.0745, 205.4090, 207.0768, 207.1131, 207.1378, 207.1729</t>
  </si>
  <si>
    <t>C9H16N2O2</t>
  </si>
  <si>
    <t>FT1025NR</t>
  </si>
  <si>
    <t>chondroitin sulfate E (GalNAc4,6diS-GlcA), precursor 5a</t>
  </si>
  <si>
    <t>4-苯基氨基脲</t>
  </si>
  <si>
    <t>HMDB0062464</t>
  </si>
  <si>
    <t>NNC(O)=NC1=CC=CC=C1</t>
  </si>
  <si>
    <t>MOCKWYUCPREFCZ-UHFFFAOYSA-N</t>
  </si>
  <si>
    <t>N-phenylureas</t>
  </si>
  <si>
    <t xml:space="preserve"> N-苯基脲类</t>
  </si>
  <si>
    <t>C7H9N3O</t>
  </si>
  <si>
    <t>FT2131NR</t>
  </si>
  <si>
    <t>2-Oxazolidinone, 3-[[(5-nitro-2-furanyl)methylene]amino]-</t>
  </si>
  <si>
    <t>呋喃唑酮</t>
  </si>
  <si>
    <t>HMDB0247183</t>
  </si>
  <si>
    <t>[O-][N+](=O)C1=CC=C(O1)C=NN1CCOC1=O</t>
  </si>
  <si>
    <t>PLHJDBGFXBMTGZ-UHFFFAOYSA-N</t>
  </si>
  <si>
    <t>Furans</t>
  </si>
  <si>
    <t>Nitrofurans</t>
  </si>
  <si>
    <t>呋喃类</t>
  </si>
  <si>
    <t>硝基呋喃类</t>
  </si>
  <si>
    <t>199.0231, 202.0503, 202.0898, 205.3919, 214.5351, 224.0322, 227.7017, 269.2123, 279.0320, 294.2941</t>
  </si>
  <si>
    <t>C8H7N3O5</t>
  </si>
  <si>
    <t>FT4167NR</t>
  </si>
  <si>
    <t>Triethylhexanoin</t>
  </si>
  <si>
    <t>三异辛酸甘油酯</t>
  </si>
  <si>
    <t>HMDB0252855</t>
  </si>
  <si>
    <t>C20355</t>
  </si>
  <si>
    <t>CCCCC(CC)C(=O)OCC(COC(=O)C(CC)CCCC)OC(=O)C(CC)CCCC</t>
  </si>
  <si>
    <t>DGSZGZSCHSQXFV-UHFFFAOYSA-N</t>
  </si>
  <si>
    <t>71.8140, 127.1127, 205.3959, 297.2441, 302.7029, 364.8769, 425.3580, 430.3741, 459.1281, 469.3499</t>
  </si>
  <si>
    <t>C27H50O6</t>
  </si>
  <si>
    <t>FT3902PR</t>
  </si>
  <si>
    <t>Sulfonethylmethane</t>
  </si>
  <si>
    <t>乙丁二砜</t>
  </si>
  <si>
    <t>HMDB0258597</t>
  </si>
  <si>
    <t>CCC(C)(S(=O)(=O)CC)S(=O)(=O)CC</t>
  </si>
  <si>
    <t>LKACJLUUJRMGFK-UHFFFAOYSA-N</t>
  </si>
  <si>
    <t>Thioacetals</t>
  </si>
  <si>
    <t>Dithioacetals</t>
  </si>
  <si>
    <t>硫缩醛</t>
  </si>
  <si>
    <t>二硫缩醛</t>
  </si>
  <si>
    <t>C8H18O4S2</t>
  </si>
  <si>
    <t>FT2761PR</t>
  </si>
  <si>
    <t>5,6-Dihydro-1,10-phenanthroline</t>
  </si>
  <si>
    <t>5,6-二氢-1,10-菲咯啉</t>
  </si>
  <si>
    <t>HMDB0246859</t>
  </si>
  <si>
    <t>C1CC2=C(N=CC=C2)C2=C1C=CC=N2</t>
  </si>
  <si>
    <t>NDWJTDJESZWTGD-UHFFFAOYSA-N</t>
  </si>
  <si>
    <t>Phenanthrolines</t>
  </si>
  <si>
    <t>菲咯啉</t>
  </si>
  <si>
    <t>C12H10N2</t>
  </si>
  <si>
    <t>FT4449PR</t>
  </si>
  <si>
    <t>Ferulic acid 4-O-sulfate</t>
  </si>
  <si>
    <t>阿魏酸4-O-硫酸盐</t>
  </si>
  <si>
    <t>HMDB0029200</t>
  </si>
  <si>
    <t>151481-53-7</t>
  </si>
  <si>
    <t>COC1=C(OS(O)(=O)=O)C=CC(\C=C\C(O)=O)=C1</t>
  </si>
  <si>
    <t>PZPATWACAAOHTJ-HWKANZROSA-N</t>
  </si>
  <si>
    <t>FT3118PR</t>
  </si>
  <si>
    <t>4-Aminophenyl phosphate</t>
  </si>
  <si>
    <t>4-氨基苯基磷酸盐 一钠盐</t>
  </si>
  <si>
    <t>HMDB0249961</t>
  </si>
  <si>
    <t>NC1=CC=C(OP(O)(O)=O)C=C1</t>
  </si>
  <si>
    <t>FXZCCINCKDATPA-UHFFFAOYSA-N</t>
  </si>
  <si>
    <t>222.9524, 224.6578, 226.3814, 226.4945, 228.1203, 228.1444, 228.2326, 229.8748, 231.6637, 248.6417</t>
  </si>
  <si>
    <t>C6H8NO4P</t>
  </si>
  <si>
    <t>FT2077NR</t>
  </si>
  <si>
    <t>N-(Tetrahydro-2-oxo-3-thienyl)-3-pyridinecarboxamide</t>
  </si>
  <si>
    <t>N-(四氢-2-氧代-3-噻吩基)-3-吡啶甲酰胺</t>
  </si>
  <si>
    <t>HMDB0258469</t>
  </si>
  <si>
    <t>O=C(NC1CCSC1=O)C1=CN=CC=C1</t>
  </si>
  <si>
    <t>SGHZROXWLFSFNB-UHFFFAOYSA-N</t>
  </si>
  <si>
    <t>FT3304PR</t>
  </si>
  <si>
    <t>3-[2-Carboxyprop-1-enyl(ethoxycarbonyl)amino]-2-methylprop-2-enoic acid</t>
  </si>
  <si>
    <t>3-[2-羧基丙-1-烯基(乙氧基羰基)氨基]-2-甲基丙-2-烯酸</t>
  </si>
  <si>
    <t>HMDB0257806</t>
  </si>
  <si>
    <t>CCOC(=O)N(C=C(C)C(O)=O)C=C(C)C(O)=O</t>
  </si>
  <si>
    <t>WJKBLCUQNVHPKU-UHFFFAOYSA-N</t>
  </si>
  <si>
    <t>151.0393, 153.0546, 156.0654, 169.0487, 194.0807, 205.3945, 205.4119, 222.0747, 240.0459, 240.0863</t>
  </si>
  <si>
    <t>C11H15NO6</t>
  </si>
  <si>
    <t>FT3959PR</t>
  </si>
  <si>
    <t>Dimethyl (3,3-diethylbutyl)malonate</t>
  </si>
  <si>
    <t>(3,3-二乙基丁基)丙二酸二甲酯</t>
  </si>
  <si>
    <t>HMDB0247330</t>
  </si>
  <si>
    <t>CCC(C)(CC)CCC(C(=O)OC)C(=O)OC</t>
  </si>
  <si>
    <t>AIUDWMLXCFRVDR-UHFFFAOYSA-N</t>
  </si>
  <si>
    <t>247.2414, 248.2448, 253.5109, 265.2535, 266.2568, 273.4963, 283.1745, 283.2823, 302.7090, 314.0313</t>
  </si>
  <si>
    <t>FT4996PR</t>
  </si>
  <si>
    <t>Sterebin E</t>
  </si>
  <si>
    <t>斯特雷宾E</t>
  </si>
  <si>
    <t>HMDB0035379</t>
  </si>
  <si>
    <t>114343-74-7</t>
  </si>
  <si>
    <t>C\C(=C\CO)\C=C\C1C(C)(O)C(O)C(O)C2C(C)(C)CCCC12C</t>
  </si>
  <si>
    <t>RMAJUEUHZWCNQM-UFVXJIOISA-N</t>
  </si>
  <si>
    <t>80.1587, 83.0856, 85.0288, 89.0665, 97.1012, 114.3382, 257.5503, 297.2048, 356.2788, 357.2835</t>
  </si>
  <si>
    <t>FT4103NR</t>
  </si>
  <si>
    <t>(8S,9Z,11E,14Z)-8-Hydroxyicosa-9,11,14-trienoylcarnitine</t>
  </si>
  <si>
    <t>(8S,9Z,11E,14Z)-8-羟基二十碳五烯酸-9,11,14-三烯酰肉碱</t>
  </si>
  <si>
    <t>HMDB0241585</t>
  </si>
  <si>
    <t>CCCCCC=CCC=CC=CC(O)CCCCCCC(=O)OC(CC([O-])=O)C[N+](C)(C)C</t>
  </si>
  <si>
    <t>FFLOHEWYCWEHDQ-UHFFFAOYSA-N</t>
  </si>
  <si>
    <t>164.1113, 179.7514, 205.4005, 209.4233, 302.6908, 350.2775, 384.3013, 402.3084, 420.3191, 464.3078</t>
  </si>
  <si>
    <t>C27H47NO5</t>
  </si>
  <si>
    <t>FT4767PR</t>
  </si>
  <si>
    <t>Noopept</t>
  </si>
  <si>
    <t>诺普特</t>
  </si>
  <si>
    <t>HMDB0255714</t>
  </si>
  <si>
    <t>CCOC(=O)CNC(=O)C1CCCN1C(=O)CC1=CC=CC=C1</t>
  </si>
  <si>
    <t>PJNSMUBMSNAEEN-UHFFFAOYSA-N</t>
  </si>
  <si>
    <t>147.1128, 149.0598, 166.8977, 186.4815, 205.4060, 216.8691, 318.1798, 326.1836, 336.1910, 337.0622</t>
  </si>
  <si>
    <t>C17H22N2O4</t>
  </si>
  <si>
    <t>FT3145NR</t>
  </si>
  <si>
    <t>Valaciclovir</t>
  </si>
  <si>
    <t>伐昔洛韦</t>
  </si>
  <si>
    <t>HMDB0014716</t>
  </si>
  <si>
    <t>C07184</t>
  </si>
  <si>
    <t>124832-27-5</t>
  </si>
  <si>
    <t>CC(C)[C@H](N)C(=O)OCCOCN1C=NC2=C1NC(N)=NC2=O</t>
  </si>
  <si>
    <t>HDOVUKNUBWVHOX-QMMMGPOBSA-N</t>
  </si>
  <si>
    <t>78.9588, 88.5572, 117.1599, 131.0320, 145.1174, 268.9791, 341.1113, 344.7389, 347.4518, 359.1236</t>
  </si>
  <si>
    <t>C13H20N6O4</t>
  </si>
  <si>
    <t>FT1380NR</t>
  </si>
  <si>
    <t>Hydroxyprolyl-Cysteine</t>
  </si>
  <si>
    <t>羟脯氨酰半胱氨酸</t>
  </si>
  <si>
    <t>HMDB0028860</t>
  </si>
  <si>
    <t>OC1CNC(C1)C(=O)NC(CS)C(O)=O</t>
  </si>
  <si>
    <t>DTCRAYVKSFZQIQ-UHFFFAOYSA-N</t>
  </si>
  <si>
    <t>C8H14N2O4S</t>
  </si>
  <si>
    <t>FT3589PR</t>
  </si>
  <si>
    <t>Methionyl-Gamma-glutamate</t>
  </si>
  <si>
    <t>甲硫氨酰-γ-谷氨酸</t>
  </si>
  <si>
    <t>HMDB0028987</t>
  </si>
  <si>
    <t>CSCCC(N)C(=O)NC(=O)CCC(N)C(O)=O</t>
  </si>
  <si>
    <t>YVSZXQHOADMOLO-UHFFFAOYSA-N</t>
  </si>
  <si>
    <t>157.0428, 164.9307, 184.0905, 185.0979, 201.0929, 204.1386, 216.1163, 260.1056, 260.1503, 261.0468</t>
  </si>
  <si>
    <t>C10H19N3O4S</t>
  </si>
  <si>
    <t>FT0651PR</t>
  </si>
  <si>
    <t>1,1-Dimethylurea</t>
  </si>
  <si>
    <t>二甲基-脲</t>
  </si>
  <si>
    <t>HMDB0244027</t>
  </si>
  <si>
    <t>CN(C)C(N)=O</t>
  </si>
  <si>
    <t>YBBLOADPFWKNGS-UHFFFAOYSA-N</t>
  </si>
  <si>
    <t>C3H8N2O</t>
  </si>
  <si>
    <t>FT4084PR</t>
  </si>
  <si>
    <t>levopimaradienol</t>
  </si>
  <si>
    <t>左旋海松二烯醇</t>
  </si>
  <si>
    <t>LMPR0104050008</t>
  </si>
  <si>
    <t>C11883</t>
  </si>
  <si>
    <t>C1[C@@]2(C)[C@@]([H])(CCC3[C@]2([H])CC=C(C(C)C)C=3)[C@@](CO)(C)CC1</t>
  </si>
  <si>
    <t>CYOURYOZWLIJFB-LWYYNNOASA-N</t>
  </si>
  <si>
    <t>220.9337, 227.9344, 268.5802, 268.6135, 271.2425, 289.1249, 289.1579, 289.2191, 289.2505, 302.7035</t>
  </si>
  <si>
    <t>C20H32O</t>
  </si>
  <si>
    <t>FT4793NR</t>
  </si>
  <si>
    <t>PS(10:0/10:0)</t>
  </si>
  <si>
    <t>磷脂酰丝氨酸(10:0/10:0)</t>
  </si>
  <si>
    <t>LMGP03010022</t>
  </si>
  <si>
    <t>C(O)(=O)[C@@]([H])(N)COP(OC[C@]([H])(OC(CCCCCCCCC)=O)COC(CCCCCCCCC)=O)(=O)O</t>
  </si>
  <si>
    <t>LRIPXDCMGANCAE-PKTZIBPZSA-N</t>
  </si>
  <si>
    <t>187.9850, 196.0378, 266.0391, 283.2636, 284.2678, 311.5684, 332.3395, 480.3084, 503.6245, 548.2962</t>
  </si>
  <si>
    <t>C26H50NO10P</t>
  </si>
  <si>
    <t>FT1799NR</t>
  </si>
  <si>
    <t>6-Carboxy-5,6,7,8-tetrahydropterin</t>
  </si>
  <si>
    <t>6-羧基-5,6,7,8-四氢蝶呤</t>
  </si>
  <si>
    <t>HMDB0060410</t>
  </si>
  <si>
    <t>C20239</t>
  </si>
  <si>
    <t>NC1=NC2=C(NC(CN2)C(O)=O)C(=O)N1</t>
  </si>
  <si>
    <t>QSIYONWVWDSRRO-UHFFFAOYSA-N</t>
  </si>
  <si>
    <t>135.0643, 148.0393, 148.2278, 178.0505, 178.9571, 179.0541, 246.0140, 246.0383, 246.5775, 264.4036</t>
  </si>
  <si>
    <t>C7H9N5O3</t>
  </si>
  <si>
    <t>FT1586PR</t>
  </si>
  <si>
    <t>Squamolone</t>
  </si>
  <si>
    <t>角鲨酮</t>
  </si>
  <si>
    <t>HMDB0029874</t>
  </si>
  <si>
    <t>40451-67-0</t>
  </si>
  <si>
    <t>NC(=O)N1CCCC1=O</t>
  </si>
  <si>
    <t>XYVMBSCIEDOIJQ-UHFFFAOYSA-N</t>
  </si>
  <si>
    <t>Pyrrolidine carboxylic acids and derivatives</t>
  </si>
  <si>
    <t>吡咯烷羧酸及其衍生物</t>
  </si>
  <si>
    <t>C5H8N2O2</t>
  </si>
  <si>
    <t>FT1917NR</t>
  </si>
  <si>
    <t>Dimethyl 2,3-bis(sulfanyl)butanedioate</t>
  </si>
  <si>
    <t>2,3-双(硫烷基)丁二酸二甲酯</t>
  </si>
  <si>
    <t>HMDB0245398</t>
  </si>
  <si>
    <t>COC(=O)C(S)C(S)C(=O)OC</t>
  </si>
  <si>
    <t>VVOFTOVXFWLOAY-UHFFFAOYSA-N</t>
  </si>
  <si>
    <t>129.0554, 130.9747, 152.9581, 186.9262, 186.9437, 187.0138, 205.3983, 255.1610, 255.1940, 255.2333</t>
  </si>
  <si>
    <t>C6H10O4S2</t>
  </si>
  <si>
    <t>FT3465NR</t>
  </si>
  <si>
    <t>Tephcalostan</t>
  </si>
  <si>
    <t>特夫卡洛斯坦</t>
  </si>
  <si>
    <t>LMPK12090001</t>
  </si>
  <si>
    <t>C12OC(C(=C)C)CC=1C=C1C3OC4C=C5OCOC5=CC=4C=3C(=O)OC1=C2</t>
  </si>
  <si>
    <t>KKHJPBHZHXWSPP-UHFFFAOYSA-N</t>
  </si>
  <si>
    <t>Coumestans</t>
  </si>
  <si>
    <t>古美斯坦</t>
  </si>
  <si>
    <t>262.0772, 281.2964, 285.0702, 301.4700, 313.8016, 329.0613, 330.0643, 396.9956, 397.0490, 397.1671</t>
  </si>
  <si>
    <t>C21H14O6</t>
  </si>
  <si>
    <t>FT4659PR</t>
  </si>
  <si>
    <t>Desloratadine</t>
  </si>
  <si>
    <t>地氯雷他定</t>
  </si>
  <si>
    <t>HMDB0015102</t>
  </si>
  <si>
    <t>100643-71-8</t>
  </si>
  <si>
    <t>ClC1=CC2=C(C=C1)C(=C1CCNCC1)C1=C(CC2)C=CC=N1</t>
  </si>
  <si>
    <t>JAUOIFJMECXRGI-UHFFFAOYSA-N</t>
  </si>
  <si>
    <t>Benzocycloheptapyridines</t>
  </si>
  <si>
    <t>苯并环庚吡啶类</t>
  </si>
  <si>
    <t>C19H19ClN2</t>
  </si>
  <si>
    <t>FT3554NR</t>
  </si>
  <si>
    <t>2-O-Galloylgalactaric acid</t>
  </si>
  <si>
    <t>2-O-没食子酰半乳二酸</t>
  </si>
  <si>
    <t>HMDB0036932</t>
  </si>
  <si>
    <t>OC(C(O)C(OC(=O)C1=CC(O)=C(O)C(O)=C1)C(O)=O)C(O)C(O)=O</t>
  </si>
  <si>
    <t>KJWXZHRHCSMFSY-UHFFFAOYSA-N</t>
  </si>
  <si>
    <t>179.0234, 186.5351, 187.0141, 197.0432, 205.3888, 235.3471, 245.3116, 281.1003, 410.1283, 430.7486</t>
  </si>
  <si>
    <t>C13H14O12</t>
  </si>
  <si>
    <t>FT6136PR</t>
  </si>
  <si>
    <t>Ivabradine</t>
  </si>
  <si>
    <t>伊伐布雷定</t>
  </si>
  <si>
    <t>HMDB0253723</t>
  </si>
  <si>
    <t>COC1=C(OC)C=C2C(CN(C)CCCN3CCC4=CC(OC)=C(OC)C=C4CC3=O)CC2=C1</t>
  </si>
  <si>
    <t>ACRHBAYQBXXRTO-UHFFFAOYSA-N</t>
  </si>
  <si>
    <t>Benzazepines</t>
  </si>
  <si>
    <t>苯并氮卓类</t>
  </si>
  <si>
    <t>124.2610, 137.8707, 145.9969, 152.6871, 176.9917, 292.6865, 302.7063, 425.2439, 443.2525, 486.2947</t>
  </si>
  <si>
    <t>C27H36N2O5</t>
  </si>
  <si>
    <t>FT7699PR</t>
  </si>
  <si>
    <t>SM(d17:2/20:4-3OH(5S,6R,15S))</t>
  </si>
  <si>
    <t>鞘磷脂(d17:2/20:4-3OH(5S,6R,15S))</t>
  </si>
  <si>
    <t>HMDB0290420</t>
  </si>
  <si>
    <t>[H][C@@](COP([O-])(=O)OCC[N+](C)(C)C)(NC(=O)CCC[C@H](O)[C@@H](O)\C=C\C=C\C=C/C=C/[C@@H](O)CCCCC)[C@H](O)\C=C\CC\C=C/CCCCCCCC</t>
  </si>
  <si>
    <t>KBDVZARHNZWCHM-JBFZDDOWSA-N</t>
  </si>
  <si>
    <t>C42H75N2O9P</t>
  </si>
  <si>
    <t>FT6772PR</t>
  </si>
  <si>
    <t>UDP-L-rhamnose</t>
  </si>
  <si>
    <t>尿苷-5'-二磷酸鼠李糖</t>
  </si>
  <si>
    <t>HMDB0012305</t>
  </si>
  <si>
    <t>C02199</t>
  </si>
  <si>
    <t>1955-26-6</t>
  </si>
  <si>
    <t>C[C@@H]1O[C@H](OP(O)(=O)OP(O)(=O)OC[C@H]2O[C@H]([C@H](O)[C@@H]2O)N2C=CC(=O)NC2=O)[C@H](O)[C@H](O)[C@H]1O</t>
  </si>
  <si>
    <t>DRDCJEIZVLVWNC-SLBWPEPYSA-N</t>
  </si>
  <si>
    <t>Pyrimidine nucleotide sugars</t>
  </si>
  <si>
    <t>嘧啶核苷酸糖</t>
  </si>
  <si>
    <t>61.5021, 69.5011, 72.4886, 79.0806, 115.8372, 171.1183, 210.8663, 269.0475, 359.0431, 401.4453</t>
  </si>
  <si>
    <t>C15H24N2O16P2</t>
  </si>
  <si>
    <t>FT7680PR</t>
  </si>
  <si>
    <t>PA(TXB2/18:3)</t>
  </si>
  <si>
    <t>磷脂酸(TXB2/18:3)</t>
  </si>
  <si>
    <t>HMDB0264136</t>
  </si>
  <si>
    <t>CCCCC\C=C/C\C=C/C\C=C/CCCCC(=O)O[C@H](COC(=O)CCC\C=C/C[C@H]1[C@@H](O)CC(O)O[C@@H]1\C=C\[C@@H](O)CCCCC)COP(O)(O)=O</t>
  </si>
  <si>
    <t>XLFFSBANBXSXAE-KTNQOZFESA-N</t>
  </si>
  <si>
    <t>543.3244, 544.3263, 544.8494, 619.4689, 743.4621, 802.5301, 802.6794, 1061.6532, 1062.6558, 1063.6560</t>
  </si>
  <si>
    <t>C41H69O12P</t>
  </si>
  <si>
    <t>FT2585NR</t>
  </si>
  <si>
    <t>Homosalate</t>
  </si>
  <si>
    <t>胡莫柳酯</t>
  </si>
  <si>
    <t>HMDB0253209</t>
  </si>
  <si>
    <t>118-56-9</t>
  </si>
  <si>
    <t>CC1CC(CC(C)(C)C1)OC(=O)C1=CC=CC=C1O</t>
  </si>
  <si>
    <t>WSSJONWNBBTCMG-UHFFFAOYSA-N</t>
  </si>
  <si>
    <t>C16H22O3</t>
  </si>
  <si>
    <t>FT4607NR</t>
  </si>
  <si>
    <t>N,N'-Di-1,2,3,4-Tetrahydroacridin-9-Ylheptane-1,7-Diamine</t>
  </si>
  <si>
    <t>N,N'-二-1,2,3,4-四氢吖啶-9-基庚烷-1,7-二胺</t>
  </si>
  <si>
    <t>HMDB0249253</t>
  </si>
  <si>
    <t>C(CCCN=C1C2=C(CCCC2)NC2=CC=CC=C12)CCCN=C1C2=C(CCCC2)NC2=CC=CC=C12</t>
  </si>
  <si>
    <t>ITZOKHKOFJOBFS-UHFFFAOYSA-N</t>
  </si>
  <si>
    <t>163.3162, 164.9896, 205.3898, 205.4094, 302.7045, 391.6727, 464.3007, 464.4096, 465.3030, 527.2978</t>
  </si>
  <si>
    <t>C33H40N4</t>
  </si>
  <si>
    <t>FT1742NR</t>
  </si>
  <si>
    <t>Salsolidine</t>
  </si>
  <si>
    <t>异喹啉,1,2,3,4-四氢-6,7-二甲氧基-1-甲基-,盐酸盐</t>
  </si>
  <si>
    <t>5784-74-7</t>
  </si>
  <si>
    <t>CC1C2=CC(=C(C=C2CCN1)OC)OC</t>
  </si>
  <si>
    <t>HMYJLVDKPJHJCF-UHFFFAOYSA-N</t>
  </si>
  <si>
    <t>66.0622, 66.6536, 68.8583, 68.9923, 79.5370, 82.6697, 146.9603, 174.9557, 242.1768, 245.2021</t>
  </si>
  <si>
    <t>C12H17NO2</t>
  </si>
  <si>
    <t>FT5278NR</t>
  </si>
  <si>
    <t>ML-18</t>
  </si>
  <si>
    <t>ML-18；ML 18</t>
  </si>
  <si>
    <t>HMDB0254799</t>
  </si>
  <si>
    <t>COC1=CC=C(C=C1)C1(CNC(=O)C(CC2=CNC3=CC=CC=C23)NC(=O)NC2=CC=C(C=C2)[N+]([O-])=O)CCCCC1</t>
  </si>
  <si>
    <t>JOKVJNCYOSFDGC-UHFFFAOYSA-N</t>
  </si>
  <si>
    <t>C32H35N5O5</t>
  </si>
  <si>
    <t>FT2447NR</t>
  </si>
  <si>
    <t>Motapizone</t>
  </si>
  <si>
    <t>莫他匹酮</t>
  </si>
  <si>
    <t>HMDB0254900</t>
  </si>
  <si>
    <t>CC1CC(=O)NN=C1C1=CC(=CS1)N1C=CN=C1</t>
  </si>
  <si>
    <t>NPFVRBCDMFKOPY-UHFFFAOYSA-N</t>
  </si>
  <si>
    <t>Pyridazines and derivatives</t>
  </si>
  <si>
    <t>哒嗪及其衍生物</t>
  </si>
  <si>
    <t>C12H12N4OS</t>
  </si>
  <si>
    <t>FT6079PR</t>
  </si>
  <si>
    <t>Bacmecillinam</t>
  </si>
  <si>
    <t>杆菌西林</t>
  </si>
  <si>
    <t>HMDB0248840</t>
  </si>
  <si>
    <t>CCOC(=O)OC(C)OC(=O)C1N2C(SC1(C)C)C(N=CN1CCCCCC1)C2=O</t>
  </si>
  <si>
    <t>XHKFBADIZIDYBU-UHFFFAOYSA-N</t>
  </si>
  <si>
    <t>77.7499, 89.8637, 167.0539, 223.0632, 225.0427, 272.1079, 297.0825, 299.0612, 480.3336, 484.7821</t>
  </si>
  <si>
    <t>C20H31N3O6S</t>
  </si>
  <si>
    <t>FT5358NR</t>
  </si>
  <si>
    <t>5-Hexadecanoylaminofluorescein</t>
  </si>
  <si>
    <t>5-(N-十六烷酰)氨基荧光黄</t>
  </si>
  <si>
    <t>HMDB0248041</t>
  </si>
  <si>
    <t>CCCCCCCCCCCCCCCC(=O)NC1=CC2=C(C=C1)C1(OC2=O)C2=C(OC3=C1C=CC(O)=C3)C=C(O)C=C2</t>
  </si>
  <si>
    <t>QWSRVJGBAIRGMP-UHFFFAOYSA-N</t>
  </si>
  <si>
    <t>101.5618, 112.9763, 112.9854, 112.9925, 138.4499, 205.4007, 258.9524, 354.5433, 466.8492, 612.3162</t>
  </si>
  <si>
    <t>C36H43NO6</t>
  </si>
  <si>
    <t>FT7072PR</t>
  </si>
  <si>
    <t>Canesceol</t>
  </si>
  <si>
    <t>卡内塞科尔</t>
  </si>
  <si>
    <t>HMDB0034084</t>
  </si>
  <si>
    <t>82228-15-7</t>
  </si>
  <si>
    <t>CC1OC(OC2CCC3(CO)C4C(O)CC5(C)C(CCC5(O)C4CCC3(O)C2)C2=CC(=O)OC2)C(O)C(O)C1O</t>
  </si>
  <si>
    <t>BUGNRCRUPAIYMD-UHFFFAOYSA-N</t>
  </si>
  <si>
    <t>75.8037, 79.2094, 87.4477, 108.3987, 128.1665, 157.2131, 205.3938, 205.4138, 399.9880, 607.2528</t>
  </si>
  <si>
    <t>C29H44O11</t>
  </si>
  <si>
    <t>FT7862PR</t>
  </si>
  <si>
    <t>PE(22:5/20:2)</t>
  </si>
  <si>
    <t>磷脂酰乙醇胺(22:5/20:2)</t>
  </si>
  <si>
    <t>HMDB0009660</t>
  </si>
  <si>
    <t>[H][C@@](COC(=O)CCCCC\C=C/C\C=C/C\C=C/C\C=C/C\C=C/CC)(COP(O)(=O)OCCN)OC(=O)CCCCCCCCC\C=C/C\C=C/CCCCC</t>
  </si>
  <si>
    <t>VOGWQUUEKFADAQ-RMQUXEPASA-N</t>
  </si>
  <si>
    <t>C47H80NO8P</t>
  </si>
  <si>
    <t>FT1551NR</t>
  </si>
  <si>
    <t>2-Phenylimidazo[1,2-a]pyridine</t>
  </si>
  <si>
    <t>2-苯基咪唑并[1,2-A]吡啶</t>
  </si>
  <si>
    <t>HMDB0245292</t>
  </si>
  <si>
    <t>C1=C(N=C2C=CC=CN12)C1=CC=CC=C1</t>
  </si>
  <si>
    <t>KDHWCFCNNGUJCP-UHFFFAOYSA-N</t>
  </si>
  <si>
    <t>147.5004, 149.0968, 149.1106, 150.1000, 165.9472, 185.9262, 229.0534, 229.1423, 230.0568, 239.3489</t>
  </si>
  <si>
    <t>FT1552NR</t>
  </si>
  <si>
    <t>1-Octanesulfonic acid</t>
  </si>
  <si>
    <t>辛基磺酸</t>
  </si>
  <si>
    <t>HMDB0243978</t>
  </si>
  <si>
    <t>CCCCCCCCS(O)(=O)=O</t>
  </si>
  <si>
    <t>WLGDAKIJYPIYLR-UHFFFAOYSA-N</t>
  </si>
  <si>
    <t>103.0397, 103.0523, 103.0545, 103.0612, 104.0431, 160.9982, 192.9357, 229.0430, 229.0689, 229.1428</t>
  </si>
  <si>
    <t>C8H18O3S</t>
  </si>
  <si>
    <t>FT7919PR</t>
  </si>
  <si>
    <t>Vitisifuran A</t>
  </si>
  <si>
    <t>葡萄呋喃A</t>
  </si>
  <si>
    <t>HMDB0034785</t>
  </si>
  <si>
    <t>OC1=CC=C(C=C1)C1OC2=CC(O)=CC3=C2C1C1=C(C(C3C2=C(O)C=CC(\C=C\C3=CC(O)=CC4=C3C(=C(O4)C3=CC=C(O)C=C3)C3=C(O)C=C(O)C=C3)=C2)C2=CC=C(O)C=C2)C(O)=CC(O)=C1</t>
  </si>
  <si>
    <t>NOZYZQHNBQSLNF-HNQUOIGGSA-N</t>
  </si>
  <si>
    <t>159.2221, 269.0490, 276.5722, 280.7255, 315.0371, 315.0794, 359.0431, 395.7238, 651.1326, 652.1241</t>
  </si>
  <si>
    <t>C56H40O12</t>
  </si>
  <si>
    <t>FT2008NR</t>
  </si>
  <si>
    <t>Albifylline</t>
  </si>
  <si>
    <t>阿比可碱</t>
  </si>
  <si>
    <t>HMDB0248117</t>
  </si>
  <si>
    <t>CN1C2=C(NC=N2)C(=O)N(CCCCC(C)(C)O)C1=O</t>
  </si>
  <si>
    <t>NWXULHNEYYFVMF-UHFFFAOYSA-N</t>
  </si>
  <si>
    <t>71.8751, 86.2780, 125.0970, 140.6476, 173.2420, 187.0972, 193.0476, 204.0671, 261.0370, 261.1357</t>
  </si>
  <si>
    <t>C13H20N4O3</t>
  </si>
  <si>
    <t>FT7048PR</t>
  </si>
  <si>
    <t>Sulfobacin A</t>
  </si>
  <si>
    <t>磺胺酸杆菌素A</t>
  </si>
  <si>
    <t>LMSP00000024</t>
  </si>
  <si>
    <t>C([C@]([H])(NC(=O)C(O)CCCCCCCCCCCCCC)[C@]([H])(O)/C=C/CCCCCCCCCCCCC)S(=O)(=O)O</t>
  </si>
  <si>
    <t>REBCWYHJGYBKIS-HOXYDHSRSA-N</t>
  </si>
  <si>
    <t>C34H67NO6S</t>
  </si>
  <si>
    <t>FT2960PR</t>
  </si>
  <si>
    <t>Glycerol 3-hydroxybutyrate</t>
  </si>
  <si>
    <t>3-羟基丁酸甘油酯</t>
  </si>
  <si>
    <t>HMDB0252839</t>
  </si>
  <si>
    <t>CCC(O)C(=O)OCC(O)CO</t>
  </si>
  <si>
    <t>WTKMPKREPYCDPG-UHFFFAOYSA-N</t>
  </si>
  <si>
    <t>173.0806, 173.0985, 189.0863, 199.0960, 210.9965, 217.0469, 217.0857, 217.1053, 217.1571, 217.1956</t>
  </si>
  <si>
    <t>FT2839NR</t>
  </si>
  <si>
    <t>3,3',4,4'-Tetrahydroxy-5,5'-diisopropyl-2,2'-dimethylbiphenyl</t>
  </si>
  <si>
    <t xml:space="preserve"> 3,3',4,4'-四羟基-5,5'-二异丙基-2,2'-二甲基联苯</t>
  </si>
  <si>
    <t>HMDB0039613</t>
  </si>
  <si>
    <t>120901-51-1</t>
  </si>
  <si>
    <t>CC(C)C1=CC(=C(C)C(O)=C1O)C1=C(C)C(O)=C(O)C(=C1)C(C)C</t>
  </si>
  <si>
    <t>BUKCOURGDZTOBF-UHFFFAOYSA-N</t>
  </si>
  <si>
    <t>Biphenols</t>
  </si>
  <si>
    <t>双酚类</t>
  </si>
  <si>
    <t>146.9235, 149.0604, 192.9281, 205.4026, 288.7090, 301.1814, 302.6911, 311.1638, 329.1307, 329.1751</t>
  </si>
  <si>
    <t>C20H26O4</t>
  </si>
  <si>
    <t>FT0808NR</t>
  </si>
  <si>
    <t>Zinc dithionite</t>
  </si>
  <si>
    <t>低亚硫酸锌</t>
  </si>
  <si>
    <t>HMDB0034906</t>
  </si>
  <si>
    <t>7779-86-4</t>
  </si>
  <si>
    <t>OS(=O)S(O)=O</t>
  </si>
  <si>
    <t>GRWZHXKQBITJKP-UHFFFAOYSA-N</t>
  </si>
  <si>
    <t>Non-metal dithionites</t>
  </si>
  <si>
    <t>非金属连二亚硫酸盐</t>
  </si>
  <si>
    <t>H2O4S2</t>
  </si>
  <si>
    <t>FT5351NR</t>
  </si>
  <si>
    <t>Penicildione A</t>
  </si>
  <si>
    <t>青霉二酮A</t>
  </si>
  <si>
    <t>LMST02020119</t>
  </si>
  <si>
    <t>C1CC2[C@@](C)([C@]34O[C@H]3C[C@@]3(C([C@H](C)C[C@@]3([H])[C@]14[H])=O)C)CCC(=O)C=2</t>
  </si>
  <si>
    <t>TVYYXYDIDNZNPW-OIWVYXPTSA-N</t>
  </si>
  <si>
    <t>124.4908, 159.6314, 159.6469, 193.7802, 205.3973, 225.4271, 400.2780, 555.6563, 627.2567, 627.3744</t>
  </si>
  <si>
    <t>C20H26O3</t>
  </si>
  <si>
    <t>FT5452NR</t>
  </si>
  <si>
    <t>N-((Hexahydro-1-azepinyl)carbonyl)-leucyl(1-methyl)-tryptophyl-tryptophan</t>
  </si>
  <si>
    <t>N-((六氢-1-氮杂基)羰基)-亮氨酰(1-甲基)-色氨酸-色氨酸</t>
  </si>
  <si>
    <t>HMDB0256177</t>
  </si>
  <si>
    <t>CC(C)CC(NC(=O)N1CCCCCC1)C(=O)NC(CC1=CN(C)C2=CC=CC=C12)C(=O)NC(CC1=CC=C(O)C=C1)C(O)=O</t>
  </si>
  <si>
    <t>JVILFANCFWZBFU-UHFFFAOYSA-N</t>
  </si>
  <si>
    <t>113.0094, 113.2914, 160.3742, 205.3867, 205.4060, 526.2910, 586.3098, 594.2844, 609.7831, 654.3042</t>
  </si>
  <si>
    <t>C34H45N5O6</t>
  </si>
  <si>
    <t>FT4288PR</t>
  </si>
  <si>
    <t>alpha-CEHC</t>
  </si>
  <si>
    <t>α-CEHC</t>
  </si>
  <si>
    <t>HMDB0001518</t>
  </si>
  <si>
    <t>4072-32-6</t>
  </si>
  <si>
    <t>CC1=C(O)C(C)=C2CCC(C)(CCC(O)=O)OC2=C1C</t>
  </si>
  <si>
    <t>AXODOWFEFKOVSH-UHFFFAOYSA-N</t>
  </si>
  <si>
    <t>110.7610, 156.9483, 205.4036, 212.1803, 245.0762, 264.5768, 301.0374, 301.1404, 301.2203, 302.7188</t>
  </si>
  <si>
    <t>FT4233NR</t>
  </si>
  <si>
    <t>Diphosphopyridine</t>
  </si>
  <si>
    <t>二磷吡啶</t>
  </si>
  <si>
    <t>HMDB0251464</t>
  </si>
  <si>
    <t>OP(O)(=O)OP(O)(=O)C1=CC=CC=N1</t>
  </si>
  <si>
    <t>YITZDUMTVMSXAT-UHFFFAOYSA-N</t>
  </si>
  <si>
    <t>C5H7NO6P2</t>
  </si>
  <si>
    <t>FT1579PR</t>
  </si>
  <si>
    <t>Methylendiglyoxal</t>
  </si>
  <si>
    <t>亚甲基二二醛</t>
  </si>
  <si>
    <t>HMDB0254631</t>
  </si>
  <si>
    <t>O=CC(=O)CC(=O)C=O</t>
  </si>
  <si>
    <t>KUJUZIXUQKRHJJ-UHFFFAOYSA-N</t>
  </si>
  <si>
    <t>C5H4O4</t>
  </si>
  <si>
    <t>FT3470NR</t>
  </si>
  <si>
    <t>3,7,12-Trioxochola-1,5-dien-24-oic Acid</t>
  </si>
  <si>
    <t>3,7,12-三氧胆酸-1,5-二烯-24-油酸</t>
  </si>
  <si>
    <t>LMST04010366</t>
  </si>
  <si>
    <t>C1[C@]2(C)[C@@]3([H])CC(=O)[C@]4(C)[C@@]([H])([C@]([H])(C)CCC(O)=O)CC[C@@]4([H])[C@]3([H])C(=O)C=C2CC(=O)C=1</t>
  </si>
  <si>
    <t>YOXRGYRGBIKDNJ-UJRQNWHJSA-N</t>
  </si>
  <si>
    <t>99.3002, 99.3062, 101.7286, 146.9231, 190.4768, 192.9280, 252.2267, 397.2045, 397.3273, 398.2078</t>
  </si>
  <si>
    <t>C24H30O5</t>
  </si>
  <si>
    <t>FT1873NR</t>
  </si>
  <si>
    <t>Thiacloprid</t>
  </si>
  <si>
    <t>噻虫啉</t>
  </si>
  <si>
    <t>HMDB0258967</t>
  </si>
  <si>
    <t>C18512</t>
  </si>
  <si>
    <t>111988-49-9</t>
  </si>
  <si>
    <t>ClC1=NC=C(CN2CCSC2=NC#N)C=C1</t>
  </si>
  <si>
    <t>HOKKPVIRMVDYPB-UHFFFAOYSA-N</t>
  </si>
  <si>
    <t>Halopyridines</t>
  </si>
  <si>
    <t>卤代吡啶类</t>
  </si>
  <si>
    <t>183.6619, 184.0331, 205.0957, 205.1152, 205.3843, 205.4063, 229.9875, 250.1449, 251.0175, 251.1480</t>
  </si>
  <si>
    <t>C10H9ClN4S</t>
  </si>
  <si>
    <t>FT6202PR</t>
  </si>
  <si>
    <t>N-Docosahexaenoyl Glutamic acid</t>
  </si>
  <si>
    <t>N-二十二碳六烯酰谷氨酸</t>
  </si>
  <si>
    <t>HMDB0242013</t>
  </si>
  <si>
    <t>CCC=CCC=CCC=CCC=CCC=CCC=CCCC(=O)NC(CCC(O)=O)C(O)=O</t>
  </si>
  <si>
    <t>NMAOXADCTJAFFT-UHFFFAOYSA-N</t>
  </si>
  <si>
    <t>C27H39NO5</t>
  </si>
  <si>
    <t>FT3772PR</t>
  </si>
  <si>
    <t>Uracil mustard</t>
  </si>
  <si>
    <t>乌拉莫司汀</t>
  </si>
  <si>
    <t>HMDB0014929</t>
  </si>
  <si>
    <t>C11686</t>
  </si>
  <si>
    <t>66-75-1</t>
  </si>
  <si>
    <t>ClCCN(CCCl)C1=CNC(=O)NC1=O</t>
  </si>
  <si>
    <t>IDPUKCWIGUEADI-UHFFFAOYSA-N</t>
  </si>
  <si>
    <t>Nitrogen mustard compounds</t>
  </si>
  <si>
    <t>氮芥类化合物</t>
  </si>
  <si>
    <t>133.7983, 144.3176, 153.0285, 154.2527, 205.3936, 205.4159, 232.9852, 239.4510, 274.1704, 274.2174</t>
  </si>
  <si>
    <t>C8H11Cl2N3O2</t>
  </si>
  <si>
    <t>FT5822NR</t>
  </si>
  <si>
    <t>Quercetin 3-xylosyl-(1-&gt;3)-rhanosyl-(1-&gt;6)-[apiosyl-(1-&gt;2)-galactoside]</t>
  </si>
  <si>
    <t>槲皮素 3-木糖基-(1-&gt;3)-鼠糖基-(1-&gt;6)-[芹基-(1-&gt;2)-半乳糖苷]</t>
  </si>
  <si>
    <t>LMPK12112251</t>
  </si>
  <si>
    <t>C1C=C(O)C(O)=CC=1C1=C(O[C@H]2[C@H](O[C@H]3[C@H](O)[C@](CO3)(CO)O)[C@@H](O)[C@H](O)[C@@H](CO[C@H]3[C@H](O)[C@H](O[C@H]4[C@H](O)[C@@H](O)[C@H](O)CO4)[C@@H](O)[C@H](C)O3)O2)C(=O)C2C(O)=CC(O)=CC=2O1</t>
  </si>
  <si>
    <t>DJANCFXQRLPCSH-NDHSUZAKSA-N</t>
  </si>
  <si>
    <t>291.0568, 291.0847, 313.0677, 335.0465, 454.0248, 556.7670, 604.5830, 627.1372, 628.1399, 703.0439</t>
  </si>
  <si>
    <t>C37H46O24</t>
  </si>
  <si>
    <t>FT7001PR</t>
  </si>
  <si>
    <t>Endomorphin-2</t>
  </si>
  <si>
    <t>内吗啡-2</t>
  </si>
  <si>
    <t>HMDB0005774</t>
  </si>
  <si>
    <t>141801-26-5</t>
  </si>
  <si>
    <t>N[C@@H](CC1=CC=C(O)C=C1)C(=O)N1CCC[C@H]1C(=O)N[C@@H](CC1=CC=CC=C1)C(=O)N[C@@H](CC1=CC=CC=C1)C(N)=O</t>
  </si>
  <si>
    <t>XIJHWXXXIMEHKW-LJWNLINESA-N</t>
  </si>
  <si>
    <t>335.8927, 348.1764, 370.7175, 589.3109, 589.4171, 589.8107, 603.3330, 950.8809, 1092.8314, 1155.6461</t>
  </si>
  <si>
    <t>C32H37N5O5</t>
  </si>
  <si>
    <t>FT1876PR</t>
  </si>
  <si>
    <t>Dialuric acid</t>
  </si>
  <si>
    <t>二尿酸</t>
  </si>
  <si>
    <t>HMDB0251131</t>
  </si>
  <si>
    <t>OC1C(=O)NC(=O)NC1=O</t>
  </si>
  <si>
    <t>BVEWMNTVZPFPQI-UHFFFAOYSA-N</t>
  </si>
  <si>
    <t>C4H4N2O4</t>
  </si>
  <si>
    <t>FT1886PR</t>
  </si>
  <si>
    <t>Adipamide</t>
  </si>
  <si>
    <t>已二酰二胺</t>
  </si>
  <si>
    <t>HMDB0304762</t>
  </si>
  <si>
    <t>LMFA08010017</t>
  </si>
  <si>
    <t>628-94-4</t>
  </si>
  <si>
    <t>O=C(CCCCC(N)=O)N</t>
  </si>
  <si>
    <t>GVNWZKBFMFUVNX-UHFFFAOYSA-N</t>
  </si>
  <si>
    <t>C6H12N2O2</t>
  </si>
  <si>
    <t>FT3111NR</t>
  </si>
  <si>
    <t>Icos-2-enoic acid</t>
  </si>
  <si>
    <t>二十碳烯酸</t>
  </si>
  <si>
    <t>HMDB0247671</t>
  </si>
  <si>
    <t>CCCCCCCCCCCCCCCCCC=CC(O)=O</t>
  </si>
  <si>
    <t>FIKTURVKRGQNQD-UHFFFAOYSA-N</t>
  </si>
  <si>
    <t>66.0176, 68.8636, 71.8838, 71.9348, 75.1451, 111.0401, 180.7699, 309.2787, 353.4757, 355.2018</t>
  </si>
  <si>
    <t>C20H38O2</t>
  </si>
  <si>
    <t>FT2233NR</t>
  </si>
  <si>
    <t>1,4-Diacetoxy-2,3-dicyanobenzene</t>
  </si>
  <si>
    <t>1,4-二乙酰基-2,3-二氰苯</t>
  </si>
  <si>
    <t>HMDB0244205</t>
  </si>
  <si>
    <t>CC(=O)OC1=C(C#N)C(C#N)=C(OC(C)=O)C=C1</t>
  </si>
  <si>
    <t>VXDCGBVAZDYTFK-UHFFFAOYSA-N</t>
  </si>
  <si>
    <t>Phenol esters</t>
  </si>
  <si>
    <t>苯酚酯</t>
  </si>
  <si>
    <t>C12H8N2O4</t>
  </si>
  <si>
    <t>FT4646NR</t>
  </si>
  <si>
    <t>ibho#24</t>
  </si>
  <si>
    <t>伊布#24</t>
  </si>
  <si>
    <t>LMFA13040145</t>
  </si>
  <si>
    <t>O(CCCCCCCCCCC[C@@H](O)CC(=O)O)[C@H]1[C@H](O)C[C@@H](OC(=O)C2=CNC3C=CC=CC=32)[C@H](C)O1</t>
  </si>
  <si>
    <t>LXVPUPUKAHIWDZ-STNUDKPESA-N</t>
  </si>
  <si>
    <t>461.7676, 464.3007, 465.3031, 468.2711, 473.4356, 486.2824, 529.1762, 532.2881, 532.4758, 533.2906</t>
  </si>
  <si>
    <t>C29H43NO8</t>
  </si>
  <si>
    <t>FT2764PR</t>
  </si>
  <si>
    <t>7-Ethoxy-4-methyl-2H-1-benzopyran-2-one</t>
  </si>
  <si>
    <t>7-乙氧基-4-甲基香豆素</t>
  </si>
  <si>
    <t>HMDB0035095</t>
  </si>
  <si>
    <t>87-05-8</t>
  </si>
  <si>
    <t>CCOC1=CC2=C(C=C1)C(C)=CC(=O)O2</t>
  </si>
  <si>
    <t>NKRISXMDKXBVRJ-UHFFFAOYSA-N</t>
  </si>
  <si>
    <t>187.1119, 187.1473, 188.0702, 205.0609, 205.0801, 205.0992, 205.1220, 205.1407, 205.1589, 205.1929</t>
  </si>
  <si>
    <t>C12H12O3</t>
  </si>
  <si>
    <t>FT6314PR</t>
  </si>
  <si>
    <t>Terretonin</t>
  </si>
  <si>
    <t>泰瑞托宁</t>
  </si>
  <si>
    <t>HMDB0035860</t>
  </si>
  <si>
    <t>71911-90-5</t>
  </si>
  <si>
    <t>COC(=O)C1(C)OC(=O)C2C(C)(C(=C)CC3(O)C4(C)CCC(=O)C(C)(C)C4=C(O)C(=O)C23C)C1=O</t>
  </si>
  <si>
    <t>CYHGEJACRPDZDP-UHFFFAOYSA-N</t>
  </si>
  <si>
    <t>315.0907, 316.6756, 395.1824, 413.1979, 424.2122, 470.2229, 488.2289, 506.2404, 506.3286, 507.2391</t>
  </si>
  <si>
    <t>C26H32O9</t>
  </si>
  <si>
    <t>FT2235NR</t>
  </si>
  <si>
    <t>6-(2-carboxyacetyl)oxy-3,4,5-trihydroxyoxane-2-carboxylic acid</t>
  </si>
  <si>
    <t>6-(2-羧乙酰基)氧基-3,4,5-三羟基氧杂环己烷-2-羧酸</t>
  </si>
  <si>
    <t>O=C(O)CC(=O)OC1OC(C(=O)O)C(O)C(O)C1O</t>
  </si>
  <si>
    <t>PPFGFNCLQCOJTQ-UHFFFAOYSA-N</t>
  </si>
  <si>
    <t>189.0021, 205.3942, 220.9931, 242.9122, 243.0626, 252.5853, 252.6129, 279.0369, 279.0758, 302.6867</t>
  </si>
  <si>
    <t>C9H12O10</t>
  </si>
  <si>
    <t>FT2339PR</t>
  </si>
  <si>
    <t>7-Aminoheptanoic acid</t>
  </si>
  <si>
    <t>7-氨基庚酸</t>
  </si>
  <si>
    <t>HMDB0247233</t>
  </si>
  <si>
    <t>NCCCCCCC(O)=O</t>
  </si>
  <si>
    <t>XDOLZJYETYVRKV-UHFFFAOYSA-N</t>
  </si>
  <si>
    <t>139.9872, 140.1266, 161.9691, 175.0240, 184.0341, 184.0731, 184.1007, 184.1116, 184.1685, 202.7886</t>
  </si>
  <si>
    <t>FT3201NR</t>
  </si>
  <si>
    <t>2-Hydroxyphenylacetic acid glucuronide</t>
  </si>
  <si>
    <t>2-羟基苯乙酸葡萄糖苷酸</t>
  </si>
  <si>
    <t>HMDB0240440</t>
  </si>
  <si>
    <t>[H][C@@]1(OC2=CC=CC=C2CC(O)=O)O[C@]([H])(C(O)=O)C([H])(C)[C@]([H])(C)C1([H])C</t>
  </si>
  <si>
    <t>MLBYCKGONSBJSK-IYJSFKGYSA-N</t>
  </si>
  <si>
    <t>C17H22O6</t>
  </si>
  <si>
    <t>FT1206NR</t>
  </si>
  <si>
    <t>Hexanesulfonic acid</t>
  </si>
  <si>
    <t>磺酸己烷</t>
  </si>
  <si>
    <t>HMDB0253146</t>
  </si>
  <si>
    <t>CCCCCCS(O)(=O)=O</t>
  </si>
  <si>
    <t>FYAQQULBLMNGAH-UHFFFAOYSA-N</t>
  </si>
  <si>
    <t>129.0171, 143.0258, 157.0979, 200.5579, 200.9865, 201.0376, 201.0590, 201.1114, 202.0409, 217.6579</t>
  </si>
  <si>
    <t>C6H14O3S</t>
  </si>
  <si>
    <t>FT4993PR</t>
  </si>
  <si>
    <t>Azastene</t>
  </si>
  <si>
    <t>阿扎斯特内</t>
  </si>
  <si>
    <t>HMDB0248769</t>
  </si>
  <si>
    <t>CC1(O)CCC2C3CC=C4C(C)(C)C5=C(CC4(C)C3CCC12C)C=NO5</t>
  </si>
  <si>
    <t>AXLOCHLTNQDFFS-UHFFFAOYSA-N</t>
  </si>
  <si>
    <t>171.1197, 173.0632, 205.3969, 269.8062, 279.2141, 293.2315, 315.1105, 321.2249, 339.2345, 356.2613</t>
  </si>
  <si>
    <t>C23H33NO2</t>
  </si>
  <si>
    <t>FT4894PR</t>
  </si>
  <si>
    <t>7-[(2-Benzyl-3-sulfanylpropanoyl)amino]heptanoic acid</t>
  </si>
  <si>
    <t xml:space="preserve"> 7-[(2-苄基-3-硫烷基丙酰基)氨基]庚酸</t>
  </si>
  <si>
    <t>HMDB0244471</t>
  </si>
  <si>
    <t>OC(=O)CCCCCCNC(=O)C(CS)CC1=CC=CC=C1</t>
  </si>
  <si>
    <t>KJVKOEVEFLXJES-UHFFFAOYSA-N</t>
  </si>
  <si>
    <t>C17H25NO3S</t>
  </si>
  <si>
    <t>FT1032NR</t>
  </si>
  <si>
    <t>6-Chloro-2-pyridylmethyl nitrate</t>
  </si>
  <si>
    <t>6-氯-2-吡啶甲基硝酸酯</t>
  </si>
  <si>
    <t>HMDB0247042</t>
  </si>
  <si>
    <t>[O-][N+](=O)OCC1=NC(Cl)=CC=C1</t>
  </si>
  <si>
    <t>KLKMRHCMLLGCSZ-UHFFFAOYSA-N</t>
  </si>
  <si>
    <t>C6H5ClN2O3</t>
  </si>
  <si>
    <t>FT2935PR</t>
  </si>
  <si>
    <t>Bis(diaminomethylideneamino) butanedioate</t>
  </si>
  <si>
    <t>双(二氨基亚甲基氨基)丁二酸酯</t>
  </si>
  <si>
    <t>HMDB0257572</t>
  </si>
  <si>
    <t>NC(N)=NOC(=O)CCC(=O)ON=C(N)N</t>
  </si>
  <si>
    <t>PRLSONGPOVSENM-UHFFFAOYSA-N</t>
  </si>
  <si>
    <t>C6H12N6O4</t>
  </si>
  <si>
    <t>FT4021NR</t>
  </si>
  <si>
    <t>Certonardosterol H</t>
  </si>
  <si>
    <t>西托纳甾醇H</t>
  </si>
  <si>
    <t>LMST01031204</t>
  </si>
  <si>
    <t>C1[C@]2(C)[C@@]3([H])CC[C@]4(C)[C@@]([H])([C@]([H])(C)/C=C/C(C)CO)C[C@@H](O)[C@@]4([H])[C@]3([H])C[C@H](O)[C@@]2([H])C[C@@H](O)C1</t>
  </si>
  <si>
    <t>OJUYKMCASYNMLF-ODJGDKCGSA-N</t>
  </si>
  <si>
    <t>FT3455NR</t>
  </si>
  <si>
    <t>5,7,3',4'-Tetrahydroxyflavanone 7-alpha-L-arabinofuranosyl-(1-&gt;6)-glucoside</t>
  </si>
  <si>
    <t xml:space="preserve"> 5,7,3',4'-四羟基黄烷酮 7-α-L-阿拉伯呋喃糖基-(1-&gt;6)-葡萄糖苷</t>
  </si>
  <si>
    <t>HMDB0301985</t>
  </si>
  <si>
    <t>CN1C2=CC=CC=C2C(C)(C)C11OC2C(=C1)N(C)C1=CC=CC=C1C2(C)C</t>
  </si>
  <si>
    <t>IKTUDKBXMZIAIC-UHFFFAOYSA-N</t>
  </si>
  <si>
    <t>Hydroquinolines</t>
  </si>
  <si>
    <t>氢喹啉类</t>
  </si>
  <si>
    <t>96.9599, 143.5384, 146.9376, 190.7916, 190.9278, 205.3949, 244.8541, 302.6856, 395.1889, 396.1917</t>
  </si>
  <si>
    <t>C24H28N2O</t>
  </si>
  <si>
    <t>FT2491PR</t>
  </si>
  <si>
    <t>Serylserine</t>
  </si>
  <si>
    <t>丝氨酸</t>
  </si>
  <si>
    <t>HMDB0029048</t>
  </si>
  <si>
    <t>6620-95-7</t>
  </si>
  <si>
    <t>N[C@@H](CO)C(=O)N[C@@H](CO)C(O)=O</t>
  </si>
  <si>
    <t>XZKQVQKUZMAADP-IMJSIDKUSA-N</t>
  </si>
  <si>
    <t>C6H12N2O5</t>
  </si>
  <si>
    <t>FT1088PR</t>
  </si>
  <si>
    <t>DI(Hydroxyethyl)ether</t>
  </si>
  <si>
    <t>二乙二醇</t>
  </si>
  <si>
    <t>HMDB0251245</t>
  </si>
  <si>
    <t>C14689</t>
  </si>
  <si>
    <t>111-46-6</t>
  </si>
  <si>
    <t>OCCOCCO</t>
  </si>
  <si>
    <t>MTHSVFCYNBDYFN-UHFFFAOYSA-N</t>
  </si>
  <si>
    <t>112.0754, 129.0182, 129.0523, 129.0657, 129.1020, 130.0498, 130.0752, 130.0861, 130.0966, 130.1084</t>
  </si>
  <si>
    <t>C4H10O3</t>
  </si>
  <si>
    <t>FT3441NR</t>
  </si>
  <si>
    <t>Inosine 2'-phosphate</t>
  </si>
  <si>
    <t>肌苷2'-磷酸</t>
  </si>
  <si>
    <t>HMDB0011681</t>
  </si>
  <si>
    <t>OC[C@H]1O[C@H]([C@H](OP(O)(O)=O)[C@@H]1O)N1C=NC2=C1NC=NC2=O</t>
  </si>
  <si>
    <t>PGZVUSPTYXQADT-KQYNXXCUSA-N</t>
  </si>
  <si>
    <t>81.4169, 111.8070, 121.0291, 121.9427, 128.2221, 179.0425, 209.0444, 277.0312, 357.9072, 418.8604</t>
  </si>
  <si>
    <t>C10H13N4O8P</t>
  </si>
  <si>
    <t>FT3021NR</t>
  </si>
  <si>
    <t>PC(0:0/3:1)</t>
  </si>
  <si>
    <t>磷脂酰胆碱(0:0/3:1)</t>
  </si>
  <si>
    <t>LMGP01050088</t>
  </si>
  <si>
    <t>[C@](COP(=O)([O-])OCC[N+](C)(C)C)([H])(OC(C=C)=O)CO</t>
  </si>
  <si>
    <t>SMXIWOJKKJRNEB-SNVBAGLBSA-N</t>
  </si>
  <si>
    <t>C11H22NO7P</t>
  </si>
  <si>
    <t>FT6986PR</t>
  </si>
  <si>
    <t>Hydroxy Pioglitazone (M-IV) beta-D-Glucuronide</t>
  </si>
  <si>
    <t>CC(OC1OC(C(=O)O)C(O)C(O)C1O)c1ccc(CCOc2ccc(CC3SC(=O)N=C3O)cc2)nc1</t>
  </si>
  <si>
    <t>FYVRNHIXJROHRR-UHFFFAOYSA-N</t>
  </si>
  <si>
    <t>C25H28N2O10S</t>
  </si>
  <si>
    <t>FT2521NR</t>
  </si>
  <si>
    <t>Ipomeamaronolide</t>
  </si>
  <si>
    <t>甘薯内酯</t>
  </si>
  <si>
    <t>HMDB0040905</t>
  </si>
  <si>
    <t>92448-61-8</t>
  </si>
  <si>
    <t>CC(C)CC(=O)CC1(C)CCC(O1)C1=CCOC1=O</t>
  </si>
  <si>
    <t>WZUJTFLPWFXBST-UHFFFAOYSA-N</t>
  </si>
  <si>
    <t>141.9635, 164.9269, 214.1238, 234.9639, 236.5685, 241.0978, 242.1053, 257.1291, 298.8211, 301.1185</t>
  </si>
  <si>
    <t>FT4662NR</t>
  </si>
  <si>
    <t>3,5-Pyridinedicarboxylic acid, 1,4-dihydro-2,4,6-trimethyl-, diethyl ester</t>
  </si>
  <si>
    <t>1,4-二氢-2,4,6-三甲基-3,5-吡啶二甲酸二乙酯</t>
  </si>
  <si>
    <t>HMDB0247156</t>
  </si>
  <si>
    <t>CCOC(=O)C1=C(C)NC(C)=C(C1C)C(=O)OCC</t>
  </si>
  <si>
    <t>CDVAIHNNWWJFJW-UHFFFAOYSA-N</t>
  </si>
  <si>
    <t>133.3196, 302.6768, 302.7135, 335.4614, 405.6085, 433.0396, 448.3059, 449.3098, 533.2835, 534.2853</t>
  </si>
  <si>
    <t>C14H21NO4</t>
  </si>
  <si>
    <t>FT2059PR</t>
  </si>
  <si>
    <t>Iminoaspartic acid</t>
  </si>
  <si>
    <t>亚氨基天冬氨酸</t>
  </si>
  <si>
    <t>HMDB0001131</t>
  </si>
  <si>
    <t>LMFA01170110</t>
  </si>
  <si>
    <t>C05840</t>
  </si>
  <si>
    <t>79067-61-1</t>
  </si>
  <si>
    <t>C(=O)(O)C(=N)CC(O)=O</t>
  </si>
  <si>
    <t>NMUOATVLLQEYHI-UHFFFAOYSA-N</t>
  </si>
  <si>
    <t>C4H5NO4</t>
  </si>
  <si>
    <t>FT3167NR</t>
  </si>
  <si>
    <t>Dihydroisorhamnetin</t>
  </si>
  <si>
    <t>3'-O-甲基花旗松素</t>
  </si>
  <si>
    <t>HMDB0037501</t>
  </si>
  <si>
    <t>55812-91-4</t>
  </si>
  <si>
    <t>COC1=C(O)C=CC(=C1)C1OC2=CC(O)=CC(O)=C2C(=O)C1O</t>
  </si>
  <si>
    <t>JWYULKXTGMJKKM-UHFFFAOYSA-N</t>
  </si>
  <si>
    <t>66.2685, 111.0085, 136.2086, 167.0205, 172.0496, 173.0087, 185.1999, 205.3990, 363.0740, 363.1255</t>
  </si>
  <si>
    <t>C16H14O7</t>
  </si>
  <si>
    <t>FT5381PR</t>
  </si>
  <si>
    <t>1beta,3alpha-Dihydroxy-5beta-cholan-24-oic Acid</t>
  </si>
  <si>
    <t>1β,3α-二羟基-5β-胆烷-24-油酸</t>
  </si>
  <si>
    <t>LMST04010020</t>
  </si>
  <si>
    <t>[C@H]1(O)[C@]2(C)[C@@]3([H])CC[C@]4(C)[C@@]([H])([C@]([H])(C)CCC(O)=O)CC[C@@]4([H])[C@]3([H])CC[C@]2([H])C[C@H](O)C1</t>
  </si>
  <si>
    <t>BASPEALOGWANGT-ZGCQFCDISA-N</t>
  </si>
  <si>
    <t>231.2106, 279.3372, 302.7028, 315.2679, 333.2791, 347.2957, 357.2783, 375.2885, 393.2108, 393.2979</t>
  </si>
  <si>
    <t>FT5552PR</t>
  </si>
  <si>
    <t>Methyl N-({(2s,3s)-3-[(Propylamino)carbonyl]oxiran-2-Yl}carbonyl)-L-Isoleucyl-L-Prolinate</t>
  </si>
  <si>
    <t>N-({(2s,3s)-3-[(丙基氨基)羰基]环氧乙烷-2-基}羰基)-L-异亮氨酰-L-脯氨酸甲酯</t>
  </si>
  <si>
    <t>HMDB0249521</t>
  </si>
  <si>
    <t>CCCNC(=O)C1OC1C(=O)NC(C(C)CC)C(=O)N1CCCC1C(=O)OC</t>
  </si>
  <si>
    <t>XGWSRLSPWIEMLQ-UHFFFAOYSA-N</t>
  </si>
  <si>
    <t>133.0856, 146.1432, 177.1116, 182.0545, 221.1370, 277.1660, 285.4967, 371.2261, 379.2988, 415.2530</t>
  </si>
  <si>
    <t>C19H31N3O6</t>
  </si>
  <si>
    <t>FT2072NR</t>
  </si>
  <si>
    <t>6-Cyano-7-nitroquinoxaline-2,3-dione</t>
  </si>
  <si>
    <t>6-氰基-7-硝基喹喔啉-2,3-二酮</t>
  </si>
  <si>
    <t>HMDB0250384</t>
  </si>
  <si>
    <t>C13668</t>
  </si>
  <si>
    <t>115066-14-3</t>
  </si>
  <si>
    <t>[O-][N+](=O)C1=CC2=C(NC(=O)C(=O)N2)C=C1C#N</t>
  </si>
  <si>
    <t>RPXVIAFEQBNEAX-UHFFFAOYSA-N</t>
  </si>
  <si>
    <t>119.0498, 128.5921, 130.9523, 167.0543, 168.8315, 198.9886, 199.0065, 209.0798, 238.6991, 244.9907</t>
  </si>
  <si>
    <t>C9H4N4O4</t>
  </si>
  <si>
    <t>FT4037NR</t>
  </si>
  <si>
    <t>Thioguanosine 5'-diphosphate</t>
  </si>
  <si>
    <t>硫鸟苷 5'-二磷酸</t>
  </si>
  <si>
    <t>HMDB0060874</t>
  </si>
  <si>
    <t>16541-19-8</t>
  </si>
  <si>
    <t>NC1=NC2=C(N=CN2[C@@H]2O[C@H](COP(O)(=O)OP(O)(O)=O)[C@@H](O)[C@H]2O)C(=S)N1</t>
  </si>
  <si>
    <t>IUTNWRFYTFZSEK-UUOKFMHZSA-N</t>
  </si>
  <si>
    <t>76.8238, 158.6656, 187.8798, 200.5836, 205.4050, 233.0274, 245.0954, 309.0587, 373.0204, 457.9982</t>
  </si>
  <si>
    <t>C10H15N5O10P2S</t>
  </si>
  <si>
    <t>FT2566PR</t>
  </si>
  <si>
    <t>4-Hydroxy-2,2,6,6-tetramethylpiperidine-1-oxyl</t>
  </si>
  <si>
    <t>阻聚剂701</t>
  </si>
  <si>
    <t>HMDB0258807</t>
  </si>
  <si>
    <t>CC1(C)CC(O)CC(C)(C)N1[O]</t>
  </si>
  <si>
    <t>UZFMOKQJFYMBGY-UHFFFAOYSA-N</t>
  </si>
  <si>
    <t>C9H18NO2</t>
  </si>
  <si>
    <t>FT3055NR</t>
  </si>
  <si>
    <t>7-Oxo-7h-Benzimidazo[2,1-A]benz[de]isoquinoline-3-Carboxylic Acid</t>
  </si>
  <si>
    <t>7-氧代-7h-苯并咪唑[2,1-A]苯并[去]异喹啉-3-羧酸</t>
  </si>
  <si>
    <t>HMDB0258504</t>
  </si>
  <si>
    <t>OC(=O)C1=C2C=CC=C3C(=O)N4C5=CC=CC=C5N=C4C(C=C1)=C23</t>
  </si>
  <si>
    <t>MYKOWOGZBMOVBJ-UHFFFAOYSA-N</t>
  </si>
  <si>
    <t>81.7152, 93.9166, 249.4813, 254.0578, 267.0640, 269.0813, 299.0482, 349.0381, 349.1388, 350.0425</t>
  </si>
  <si>
    <t>C19H10N2O3</t>
  </si>
  <si>
    <t>FT5924PR</t>
  </si>
  <si>
    <t>Stoloniferone H</t>
  </si>
  <si>
    <t>匍匐酮H</t>
  </si>
  <si>
    <t>LMST01031095</t>
  </si>
  <si>
    <t>[C@]12(C[C@@H](O)[C@@]3(O)CC=CC(=O)[C@]3(C)[C@@]1([H])[C@H](O)C[C@]1(C)[C@@]([H])([C@@](C)([H])/C=C/[C@H](C)C(C)C)CC[C@@]21[H])[H]</t>
  </si>
  <si>
    <t>ITMUZJMPSMWNMS-VXFXNZRHSA-N</t>
  </si>
  <si>
    <t>C28H44O4</t>
  </si>
  <si>
    <t>FT3149NR</t>
  </si>
  <si>
    <t>NeuGc</t>
  </si>
  <si>
    <t>NeuGc；GcNeu</t>
  </si>
  <si>
    <t>HMDB0242723</t>
  </si>
  <si>
    <t>OCC(O)C(O)C1OC(O)(CC(O)C1N=C(O)CO)C(O)=O</t>
  </si>
  <si>
    <t>FDJKUWYYUZCUJX-UHFFFAOYSA-N</t>
  </si>
  <si>
    <t>79.0337, 89.0242, 121.6370, 157.0114, 180.0670, 202.0472, 258.3372, 292.0804, 302.7041, 369.6609</t>
  </si>
  <si>
    <t>C11H19NO10</t>
  </si>
  <si>
    <t>FT4681NR</t>
  </si>
  <si>
    <t>2'-Deoxyinosine triphosphate</t>
  </si>
  <si>
    <t>2'-脱氧肌苷-5'-三磷酸(DITP)</t>
  </si>
  <si>
    <t>HMDB0003537</t>
  </si>
  <si>
    <t>C01345</t>
  </si>
  <si>
    <t>16595-02-1</t>
  </si>
  <si>
    <t>O[C@H]1C[C@@H](O[C@@H]1COP(O)(=O)OP(O)(=O)OP(O)(O)=O)N1C=NC2=C1NC=NC2=O</t>
  </si>
  <si>
    <t>UFJPAQSLHAGEBL-RRKCRQDMSA-N</t>
  </si>
  <si>
    <t>Purine deoxyribonucleotides</t>
  </si>
  <si>
    <t>嘌呤脱氧核糖核苷酸</t>
  </si>
  <si>
    <t>229.9709, 235.0000, 256.9820, 259.3048, 271.9754, 300.9713, 302.6781, 441.1426, 492.9896, 536.9533</t>
  </si>
  <si>
    <t>C10H15N4O13P3</t>
  </si>
  <si>
    <t>FT2707NR</t>
  </si>
  <si>
    <t>2-chloro-stearic acid</t>
  </si>
  <si>
    <t xml:space="preserve"> 2-氯硬脂酸</t>
  </si>
  <si>
    <t>HMDB0245076</t>
  </si>
  <si>
    <t>LMFA01090163</t>
  </si>
  <si>
    <t>C(Cl)(CCCCCCCCCCCCCCCC)C(=O)O</t>
  </si>
  <si>
    <t>DQNLLSNNESIVOE-UHFFFAOYSA-N</t>
  </si>
  <si>
    <t>72.2437, 74.7681, 78.9629, 86.6598, 151.7979, 205.3999, 219.6663, 275.0950, 302.3329, 303.8588</t>
  </si>
  <si>
    <t>C18H35O2Cl</t>
  </si>
  <si>
    <t>FT2154NR</t>
  </si>
  <si>
    <t>8-[(Aminomethyl)sulfanyl]-6-sulfanyloctanoic acid</t>
  </si>
  <si>
    <t>8-[(氨基甲基)硫基]-6-硫基辛酸</t>
  </si>
  <si>
    <t>HMDB0013639</t>
  </si>
  <si>
    <t>NCSCCC(S)CCCCC(O)=O</t>
  </si>
  <si>
    <t>YNZQCBXDUUGFIX-UHFFFAOYSA-N</t>
  </si>
  <si>
    <t>180.0437, 186.0557, 187.0068, 193.0509, 204.0662, 205.0698, 226.0484, 272.0539, 273.0075, 273.0416</t>
  </si>
  <si>
    <t>C9H19NO2S2</t>
  </si>
  <si>
    <t>FT3478NR</t>
  </si>
  <si>
    <t>Syk Inhibitor</t>
  </si>
  <si>
    <t>Syk抑制剂</t>
  </si>
  <si>
    <t>HMDB0258648</t>
  </si>
  <si>
    <t>CN1C=C(C=C2C(=O)NC3=C2C=C(C=C3)S(N)(=O)=O)C2=CC=CC=C12</t>
  </si>
  <si>
    <t>MLKHXLFEYOOYEY-UHFFFAOYSA-N</t>
  </si>
  <si>
    <t>97.2687, 116.0133, 129.0555, 178.0510, 194.6983, 197.0434, 205.3964, 216.9827, 302.6926, 330.0951</t>
  </si>
  <si>
    <t>C18H15N3O3S</t>
  </si>
  <si>
    <t>FT6371PR</t>
  </si>
  <si>
    <t>DG(18:2+=O/0:0/8:0)</t>
  </si>
  <si>
    <t>甘油二酯(18:2+=O/0:0/8:0)</t>
  </si>
  <si>
    <t>HMDB0297170</t>
  </si>
  <si>
    <t>CCCCCCCC(=O)OC[C@H](O)COC(=O)CCCCCCC\C=C/C=C/C(=O)CCCCC</t>
  </si>
  <si>
    <t>VWPITTVCJMMALM-BLRQXCIKSA-N</t>
  </si>
  <si>
    <t>C29H50O6</t>
  </si>
  <si>
    <t>FT1949NR</t>
  </si>
  <si>
    <t>Nicorandil</t>
  </si>
  <si>
    <t>尼可地尔</t>
  </si>
  <si>
    <t>HMDB0255584</t>
  </si>
  <si>
    <t>C13280</t>
  </si>
  <si>
    <t>65141-46-0</t>
  </si>
  <si>
    <t>[O-][N+](=O)OCCNC(=O)C1=CC=CN=C1</t>
  </si>
  <si>
    <t>LBHIOVVIQHSOQN-UHFFFAOYSA-N</t>
  </si>
  <si>
    <t>61.9881, 68.9215, 78.9417, 116.0503, 119.9466, 142.0656, 144.0817, 188.0711, 210.0532, 256.0580</t>
  </si>
  <si>
    <t>C8H9N3O4</t>
  </si>
  <si>
    <t>FT2327NR</t>
  </si>
  <si>
    <t>1H-Imidazole-4-carboxamide, 5-(formylamino)-1-pentofuranosyl-</t>
  </si>
  <si>
    <t>1H-咪唑-4-甲酰胺，5-(甲酰氨基)-1-呋喃戊糖基-</t>
  </si>
  <si>
    <t>NC(=O)c1ncn(C2OC(CO)C(O)C2O)c1N=CO</t>
  </si>
  <si>
    <t>MWNOGKUSFKSGJC-UHFFFAOYSA-N</t>
  </si>
  <si>
    <t>Imidazole ribonucleosides and ribonucleotides</t>
  </si>
  <si>
    <t>1-ribosyl-imidazolecarboxamides</t>
  </si>
  <si>
    <t>咪唑核糖核苷和核糖核苷酸</t>
  </si>
  <si>
    <t xml:space="preserve"> 1-核糖基-咪唑甲酰胺</t>
  </si>
  <si>
    <t>C10H14N4O6</t>
  </si>
  <si>
    <t>FT5689PR</t>
  </si>
  <si>
    <t>Gentamicin C</t>
  </si>
  <si>
    <t>庆大霉素C</t>
  </si>
  <si>
    <t>HMDB0252688</t>
  </si>
  <si>
    <t>CNC1C(O)C(OC2C(N)CC(N)C(OC3OC(CN)CCC3N)C2O)OCC1(C)O</t>
  </si>
  <si>
    <t>VEGXETMJINRLTH-UHFFFAOYSA-N</t>
  </si>
  <si>
    <t>291.7665, 309.1895, 327.2016, 353.5041, 371.2275, 397.2415, 415.1876, 415.2530, 415.3172, 432.2802</t>
  </si>
  <si>
    <t>C19H39N5O7</t>
  </si>
  <si>
    <t>FT1939PR</t>
  </si>
  <si>
    <t>2-Amino-4-phosphonobutyric acid</t>
  </si>
  <si>
    <t>DL-2-氨基-4-磷丁酸</t>
  </si>
  <si>
    <t>HMDB0244992</t>
  </si>
  <si>
    <t>NC(CCP(O)(O)=O)C(O)=O</t>
  </si>
  <si>
    <t>DDOQBQRIEWHWBT-UHFFFAOYSA-N</t>
  </si>
  <si>
    <t>C4H10NO5P</t>
  </si>
  <si>
    <t>FT4594PR</t>
  </si>
  <si>
    <t>9-Hydroxybenzo[a]pyrene-4,5-oxide</t>
  </si>
  <si>
    <t>9-羟基苯并[a]芘-4,5-氧化物</t>
  </si>
  <si>
    <t>HMDB0062439</t>
  </si>
  <si>
    <t>C14854</t>
  </si>
  <si>
    <t>61133-85-5</t>
  </si>
  <si>
    <t>OC1=CC2=C3C=CC4=C5C(=CC=C4)C4OC4C(C=C2C=C1)=C35</t>
  </si>
  <si>
    <t>QMJJLPWCBGOGAF-UHFFFAOYSA-N</t>
  </si>
  <si>
    <t>Chrysenes</t>
  </si>
  <si>
    <t>克里塞内斯</t>
  </si>
  <si>
    <t>73.2821, 76.6092, 77.8340, 119.6248, 183.0279, 261.0476, 302.7046, 304.7824, 305.0365, 323.0468</t>
  </si>
  <si>
    <t>C20H12O2</t>
  </si>
  <si>
    <t>FT2850NR</t>
  </si>
  <si>
    <t>N2-Ethyl-2'-deoxyguanosine</t>
  </si>
  <si>
    <t>N2-乙基-2'-脱氧鸟苷</t>
  </si>
  <si>
    <t>HMDB0255293</t>
  </si>
  <si>
    <t>CCNC1=NC2=C(N=CN2C2CC(O)C(CO)O2)C(=O)N1</t>
  </si>
  <si>
    <t>VOKQFDULHQUWAV-UHFFFAOYSA-N</t>
  </si>
  <si>
    <t>Purine 2'-deoxyribonucleosides</t>
  </si>
  <si>
    <t>嘌呤2'-脱氧核糖核苷</t>
  </si>
  <si>
    <t>148.7140, 178.0506, 178.0765, 200.0323, 205.4016, 218.0428, 262.0329, 330.0505, 330.0954, 330.1418</t>
  </si>
  <si>
    <t>C12H17N5O4</t>
  </si>
  <si>
    <t>FT4353NR</t>
  </si>
  <si>
    <t>Ehrensteroid A</t>
  </si>
  <si>
    <t>埃伦类固醇A</t>
  </si>
  <si>
    <t>LMST01031216</t>
  </si>
  <si>
    <t>C1C[C@H](O)C[C@]2(O)[C@H](O)C[C@@]3([H])[C@]4([H])CC[C@]([H])([C@H](C)CCC(=C)C(C)C)[C@@]4(C)C[C@@H](O)[C@]3([H])[C@@]12C</t>
  </si>
  <si>
    <t>CMFURINKGNDZMC-LIIYEYLVSA-N</t>
  </si>
  <si>
    <t>79.2691, 91.0033, 108.9835, 123.3437, 177.7707, 179.4542, 205.3863, 205.4060, 263.7005, 302.6979</t>
  </si>
  <si>
    <t>C28H48O4</t>
  </si>
  <si>
    <t>FT2671NR</t>
  </si>
  <si>
    <t>1,2,3-Triazine, 4-phenyl-</t>
  </si>
  <si>
    <t>1,2,3-三嗪, 4-苯基-</t>
  </si>
  <si>
    <t>HMDB0244107</t>
  </si>
  <si>
    <t>C1=CC=C(C=C1)C1=NN=NC=C1</t>
  </si>
  <si>
    <t>YUXBNNVWBUTOQZ-UHFFFAOYSA-N</t>
  </si>
  <si>
    <t>1,2,3-triazines</t>
  </si>
  <si>
    <t xml:space="preserve"> 1,2,3-三嗪</t>
  </si>
  <si>
    <t>C9H7N3</t>
  </si>
  <si>
    <t>FT1055PR</t>
  </si>
  <si>
    <t>3-Pyridinemethanol</t>
  </si>
  <si>
    <t>3-吡啶甲醇</t>
  </si>
  <si>
    <t>HMDB0245980</t>
  </si>
  <si>
    <t>OCC1=CC=CN=C1</t>
  </si>
  <si>
    <t>MVQVNTPHUGQQHK-UHFFFAOYSA-N</t>
  </si>
  <si>
    <t>127.0751, 127.0867, 127.0956, 127.1118, 127.1223, 128.0620, 128.0711, 128.0812, 128.1068, 128.1436</t>
  </si>
  <si>
    <t>C6H7NO</t>
  </si>
  <si>
    <t>FT3674NR</t>
  </si>
  <si>
    <t>Glaucamine</t>
  </si>
  <si>
    <t>青光糖胺</t>
  </si>
  <si>
    <t>HMDB0029363</t>
  </si>
  <si>
    <t>2255-44-9</t>
  </si>
  <si>
    <t>COC1=C(OC)C=C2C3OC(O)C4=C(C=CC5=C4OCO5)C3N(C)CCC2=C1</t>
  </si>
  <si>
    <t>XYWRZQQANNOTTD-UHFFFAOYSA-N</t>
  </si>
  <si>
    <t>Rhoeadine alkaloids</t>
  </si>
  <si>
    <t>罗汉果碱</t>
  </si>
  <si>
    <t>62.83245, 73.64195, 73.68584, 120.01224, 172.93517, 255.11302, 337.04596</t>
  </si>
  <si>
    <t>C21H23NO6</t>
  </si>
  <si>
    <t>FT4768PR</t>
  </si>
  <si>
    <t>CIS-4-DECENOYL CARNITINE</t>
  </si>
  <si>
    <t>CIS-4-癸烯酰肉碱</t>
  </si>
  <si>
    <t>HMDB0240772</t>
  </si>
  <si>
    <t>LMFA07070056</t>
  </si>
  <si>
    <t>O(C(CCC=CCCCCC)=O)C(CC(=O)[O-])C[N+](C)(C)C</t>
  </si>
  <si>
    <t>OQWOHRPOYAVIOK-UHFFFAOYSA-N</t>
  </si>
  <si>
    <t>95.2146, 98.8494, 123.5533, 129.9321, 205.3990, 244.4002, 267.2194, 277.1412, 298.6052, 336.2165</t>
  </si>
  <si>
    <t>FT1718NR</t>
  </si>
  <si>
    <t>2-(3-Mercaptopropyl)pentanedioic acid</t>
  </si>
  <si>
    <t>2-(3-巯基丙基)戊二酸</t>
  </si>
  <si>
    <t>HMDB0245244</t>
  </si>
  <si>
    <t>OC(=O)CCC(CCCS)C(O)=O</t>
  </si>
  <si>
    <t>FNLNSQHJKVQCBP-UHFFFAOYSA-N</t>
  </si>
  <si>
    <t>169.0482, 172.9399, 183.0281, 199.0297, 208.1985, 213.0374, 221.6733, 241.0385, 241.0683, 241.1165</t>
  </si>
  <si>
    <t>C8H14O4S</t>
  </si>
  <si>
    <t>FT5142NR</t>
  </si>
  <si>
    <t>Mycobactins</t>
  </si>
  <si>
    <t>分枝杆菌素</t>
  </si>
  <si>
    <t>HMDB0254968</t>
  </si>
  <si>
    <t>ON(CCCCCC(NC(=O)C1COC(=N1)C1=CC=CC=C1O)C(=O)OCCC(=O)NC1CCCCN(O)C1=O)C=O</t>
  </si>
  <si>
    <t>HQYXQBFMMYIDEA-UHFFFAOYSA-N</t>
  </si>
  <si>
    <t>112.6488, 192.0269, 220.9255, 302.6868, 464.3006, 522.2595, 549.3541, 590.2452, 590.3404, 615.1125</t>
  </si>
  <si>
    <t>C27H37N5O10</t>
  </si>
  <si>
    <t>FT2155NR</t>
  </si>
  <si>
    <t>3-Hydroxy-carbofuran</t>
  </si>
  <si>
    <t>3-羟基呋喃丹</t>
  </si>
  <si>
    <t>HMDB0032775</t>
  </si>
  <si>
    <t>16655-82-6</t>
  </si>
  <si>
    <t>CN=C(O)OC1=CC=CC2=C1OC(C)(C)C2O</t>
  </si>
  <si>
    <t>RHSUJRQZTQNSLL-UHFFFAOYSA-N</t>
  </si>
  <si>
    <t>Coumarans</t>
  </si>
  <si>
    <t>香豆素</t>
  </si>
  <si>
    <t>172.3208, 176.8235, 187.0413, 195.5911, 201.0880, 205.3856, 205.4046, 272.0685, 272.9564, 273.0736</t>
  </si>
  <si>
    <t>C12H15NO4</t>
  </si>
  <si>
    <t>FT3584NR</t>
  </si>
  <si>
    <t>Bisindolylmaleimide i</t>
  </si>
  <si>
    <t>双吲哚基马来酰亚胺 i</t>
  </si>
  <si>
    <t>HMDB0249269</t>
  </si>
  <si>
    <t>C11238</t>
  </si>
  <si>
    <t>133052-90-1</t>
  </si>
  <si>
    <t>CN(C)CCCN1C=C(C2=C1C=CC=C2)C1=C(C(=O)NC1=O)C1=CNC2=C1C=CC=C2</t>
  </si>
  <si>
    <t>QMGUOJYZJKLOLH-UHFFFAOYSA-N</t>
  </si>
  <si>
    <t>73.0939, 96.9600, 152.4078, 205.4018, 256.2216, 262.9748, 302.7031, 343.9960, 411.1343, 411.1842</t>
  </si>
  <si>
    <t>C25H24N4O2</t>
  </si>
  <si>
    <t>FT7132PR</t>
  </si>
  <si>
    <t>Fumonisin AK1</t>
  </si>
  <si>
    <t>伏马菌素AK1</t>
  </si>
  <si>
    <t>HMDB0033397</t>
  </si>
  <si>
    <t>170591-49-8</t>
  </si>
  <si>
    <t>CCCCC(C)C(=O)C(CC(C)CC(O)CCCCC(O)CC(O)C(C)NC(C)=O)OC(=O)CC(CC(O)=O)C(O)=O</t>
  </si>
  <si>
    <t>QROJNSDGLZKJGS-UHFFFAOYSA-N</t>
  </si>
  <si>
    <t>72.1556, 76.0394, 122.2081, 147.1771, 280.1432, 339.2704, 374.3713, 414.3000, 432.3104, 450.3237</t>
  </si>
  <si>
    <t>C30H53NO11</t>
  </si>
  <si>
    <t>FT3040PR</t>
  </si>
  <si>
    <t>2,4,6-Triethyl-1,3,5-trithiane</t>
  </si>
  <si>
    <t>2,4,6-三乙基-1,3,5-三噻烷</t>
  </si>
  <si>
    <t>HMDB0040262</t>
  </si>
  <si>
    <t>53897-58-8</t>
  </si>
  <si>
    <t>CCC1SC(CC)SC(CC)S1</t>
  </si>
  <si>
    <t>PHQSYHLEPPMJSU-UHFFFAOYSA-N</t>
  </si>
  <si>
    <t>Trithianes</t>
  </si>
  <si>
    <t>三噻烷类</t>
  </si>
  <si>
    <t>223.0627, 223.1116, 223.1329, 223.1680, 225.0159, 225.0218, 225.0424, 225.0681, 227.0216, 229.0027</t>
  </si>
  <si>
    <t>C9H18S3</t>
  </si>
  <si>
    <t>FT2121NR</t>
  </si>
  <si>
    <t>4-Methylphenyl octanoate</t>
  </si>
  <si>
    <t>辛酸-4-甲基苯酯</t>
  </si>
  <si>
    <t>HMDB0037710</t>
  </si>
  <si>
    <t>59558-23-5</t>
  </si>
  <si>
    <t>CCCCCCCC(=O)OC1=CC=C(C)C=C1</t>
  </si>
  <si>
    <t>ALRYNTSLFYRKGF-UHFFFAOYSA-N</t>
  </si>
  <si>
    <t>190.8007, 236.4715, 249.9546, 251.1998, 259.9924, 269.1307, 269.2115, 269.2441, 278.2137, 286.5865</t>
  </si>
  <si>
    <t>FT5255PR</t>
  </si>
  <si>
    <t>Arachidonoyl-EA(d8)</t>
  </si>
  <si>
    <t>花生四烯酰-EA(d8)</t>
  </si>
  <si>
    <t>LMFA08040044</t>
  </si>
  <si>
    <t>C(NCCO)(=O)CCC/C(/[2H])=C(/[2H])\C/C(/[2H])=C(/[2H])\C/C(/[2H])=C(/[2H])\C/C(/[2H])=C(/[2H])\CCCCC</t>
  </si>
  <si>
    <t>LGEQQWMQCRIYKG-FBFLGLDDSA-N</t>
  </si>
  <si>
    <t>68.4122, 73.0653, 77.8669, 77.9909, 97.4329, 139.3349, 145.1221, 216.6151, 337.1697, 378.3338</t>
  </si>
  <si>
    <t>C22H29D8NO2</t>
  </si>
  <si>
    <t>FT4396NR</t>
  </si>
  <si>
    <t>Demissidine</t>
  </si>
  <si>
    <t>德米西丁</t>
  </si>
  <si>
    <t>HMDB0303382</t>
  </si>
  <si>
    <t>C17735</t>
  </si>
  <si>
    <t>CC(C)[C@H](C)[C@@H](O)[C@H](O)[C@@H](C)C1CCC2C3COC(=O)C4C[C@H](O)CC[C@]4(C)C3CC[C@]12C</t>
  </si>
  <si>
    <t>LLFIMDUWAVPJEJ-IPLAFFEMSA-N</t>
  </si>
  <si>
    <t>118.4226, 205.3856, 290.0186, 302.6958, 303.2332, 307.5067, 384.4253, 453.3156, 499.2669, 500.2788</t>
  </si>
  <si>
    <t>FT1342PR</t>
  </si>
  <si>
    <t>pyrazolotriazine</t>
  </si>
  <si>
    <t>吡唑并三嗪</t>
  </si>
  <si>
    <t>HMDB0256956</t>
  </si>
  <si>
    <t>N1N=CC2=NN=NC=C12</t>
  </si>
  <si>
    <t>RXQZLSRIOOYKLF-UHFFFAOYSA-N</t>
  </si>
  <si>
    <t>Pyrazolotriazines</t>
  </si>
  <si>
    <t>吡唑并三嗪类</t>
  </si>
  <si>
    <t>122.1048, 139.0505, 139.0619, 139.0743, 139.0981, 139.1115, 139.1228, 139.1322, 140.0572, 140.0817</t>
  </si>
  <si>
    <t>C4H3N5</t>
  </si>
  <si>
    <t>FT3392NR</t>
  </si>
  <si>
    <t>Desacetylcephalothin</t>
  </si>
  <si>
    <t>去乙酰头孢噻吩</t>
  </si>
  <si>
    <t>HMDB0247000</t>
  </si>
  <si>
    <t>OCC1=C(N2C(SC1)C(NC(=O)CC1=CC=CS1)C2=O)C(O)=O</t>
  </si>
  <si>
    <t>HTBAVMIGXROYPQ-UHFFFAOYSA-N</t>
  </si>
  <si>
    <t>153.7291, 159.2562, 185.0426, 185.0612, 224.0347, 235.1810, 253.0300, 313.9691, 321.0175, 344.9272</t>
  </si>
  <si>
    <t>C14H14N2O5S2</t>
  </si>
  <si>
    <t>FT6751PR</t>
  </si>
  <si>
    <t>cefuroxime axetil</t>
  </si>
  <si>
    <t>头孢呋辛酯</t>
  </si>
  <si>
    <t>HMDB0249787</t>
  </si>
  <si>
    <t>CON=C(C(=O)NC1C2SCC(COC(N)=O)=C(N2C1=O)C(=O)OC(C)OC(C)=O)C1=CC=CO1</t>
  </si>
  <si>
    <t>KEJCWVGMRLCZQQ-UHFFFAOYSA-N</t>
  </si>
  <si>
    <t>239.0064, 251.9804, 264.9890, 280.0137, 324.0013, 367.9907, 369.7540, 372.3564, 474.9214, 549.0634</t>
  </si>
  <si>
    <t>C20H22N4O10S</t>
  </si>
  <si>
    <t>FT2817PR</t>
  </si>
  <si>
    <t>Castanospermine</t>
  </si>
  <si>
    <t>栗精胺</t>
  </si>
  <si>
    <t>HMDB0249700</t>
  </si>
  <si>
    <t>OC1CCN2CC(O)C(O)C(O)C12</t>
  </si>
  <si>
    <t>JDVVGAQPNNXQDW-UHFFFAOYSA-N</t>
  </si>
  <si>
    <t>Indolizidines</t>
  </si>
  <si>
    <t>吲哚里西啶类</t>
  </si>
  <si>
    <t>C8H15NO4</t>
  </si>
  <si>
    <t>FT5649NR</t>
  </si>
  <si>
    <t>PE(20:4/P-18:0)</t>
  </si>
  <si>
    <t>磷脂酰乙醇胺(20:4/P-18:0)</t>
  </si>
  <si>
    <t>HMDB0009412</t>
  </si>
  <si>
    <t>[H][C@@](COC(=O)CCC\C=C/C\C=C/C\C=C/C\C=C/CCCCC)(COP(O)(=O)OCCN)O\C=C/CCCCCCCCCCCCCCCC</t>
  </si>
  <si>
    <t>VZEYVZNRVARGGK-FXMFQVEGSA-N</t>
  </si>
  <si>
    <t>277.8489, 279.4329, 303.2319, 451.8008, 464.3108, 514.0996, 647.7418, 704.8556, 750.5434, 751.5489</t>
  </si>
  <si>
    <t>C43H78NO7P</t>
  </si>
  <si>
    <t>FT2349PR</t>
  </si>
  <si>
    <t>2,3-Dimethyl-5,6-dithia-bicyclo[2.1.1]-hexane-5-oxide</t>
  </si>
  <si>
    <t>2,3-二甲基-5,6-二硫基-双环[2.1.1]-己烷-5-氧化物</t>
  </si>
  <si>
    <t>HMDB0303119</t>
  </si>
  <si>
    <t>CC1C2SC(S2)C1C</t>
  </si>
  <si>
    <t>YKHZXLJBTAIXHG-UHFFFAOYSA-N</t>
  </si>
  <si>
    <t>Thiolanes</t>
  </si>
  <si>
    <t>硫杂环己烷</t>
  </si>
  <si>
    <t>161.9694, 167.0073, 167.1066, 167.1432, 179.9551, 185.0784, 185.0968, 185.1135, 185.1303, 185.1535</t>
  </si>
  <si>
    <t>C6H10S2</t>
  </si>
  <si>
    <t>FT4816PR</t>
  </si>
  <si>
    <t>Dehydropipernonaline</t>
  </si>
  <si>
    <t>荜茇壬三烯哌啶</t>
  </si>
  <si>
    <t>HMDB0040811</t>
  </si>
  <si>
    <t>107584-38-3</t>
  </si>
  <si>
    <t>O=C(\C=C\C=C\CC\C=C\C1=CC=C2OCOC2=C1)N1CCCCC1</t>
  </si>
  <si>
    <t>KAYVDASZRFLFRZ-PQECNABGSA-N</t>
  </si>
  <si>
    <t>79.0883, 117.9240, 122.0558, 133.2953, 212.8980, 219.1528, 219.1740, 220.1730, 240.0681, 340.2871</t>
  </si>
  <si>
    <t>C21H25NO3</t>
  </si>
  <si>
    <t>FT5273NR</t>
  </si>
  <si>
    <t>Isoorientin 2''-p-hydroxybenzoate</t>
  </si>
  <si>
    <t>异荠草苷 2''-对羟基苯甲酸酯</t>
  </si>
  <si>
    <t>LMPK12110502</t>
  </si>
  <si>
    <t>C(O[C@@H]1[C@@H](O)[C@H](O)[C@@H](CO)O[C@H]1C1=C(O)C2C(=O)C=C(C3C=CC(O)=C(O)C=3)OC=2C=C1O)(=O)C1C=CC(O)=CC=1</t>
  </si>
  <si>
    <t>CMHUXCFQCMZVCA-ZXZUCKGRSA-N</t>
  </si>
  <si>
    <t>217.0838, 261.0733, 272.5266, 373.0501, 386.2876, 500.9281, 545.1371, 546.1350, 613.1252, 613.3614</t>
  </si>
  <si>
    <t>C28H24O13</t>
  </si>
  <si>
    <t>FT4237NR</t>
  </si>
  <si>
    <t>1alpha,25-dihydroxy-2beta-(3-hydroxypropoxy)-19-norvitamin D3</t>
  </si>
  <si>
    <t>1α,25-二羟基-2β-(3-羟基丙氧基)-19-去甲维生素 D3</t>
  </si>
  <si>
    <t>LMST03020550</t>
  </si>
  <si>
    <t>[C@@H]1(O)C/C(=C\C=C2\[C@]3([H])CC[C@@]([C@@](C)([H])CCCC(O)(C)C)([H])[C@@]3(C)CCC\2)/C[C@@H](O)[C@H]1OCCCO</t>
  </si>
  <si>
    <t>SGILNBMDWGBSLS-IKTRVIDDSA-N</t>
  </si>
  <si>
    <t>C29H50O5</t>
  </si>
  <si>
    <t>FT4405PR</t>
  </si>
  <si>
    <t>Nerisopam</t>
  </si>
  <si>
    <t>奈立索泮</t>
  </si>
  <si>
    <t>HMDB0255544</t>
  </si>
  <si>
    <t>COC1=C(OC)C=C2C(CC(C)=NN=C2C2=CC=C(N)C=C2)=C1</t>
  </si>
  <si>
    <t>WWQDEXGFYVSTCX-UHFFFAOYSA-N</t>
  </si>
  <si>
    <t>289.1407, 289.6407, 290.1456, 310.3092, 314.0292, 337.1670, 339.1826, 340.1851, 357.1913, 380.2081</t>
  </si>
  <si>
    <t>C18H19N3O2</t>
  </si>
  <si>
    <t>FT3694NR</t>
  </si>
  <si>
    <t>Tadalafil</t>
  </si>
  <si>
    <t>他达那非</t>
  </si>
  <si>
    <t>HMDB0014958</t>
  </si>
  <si>
    <t>171596-29-5</t>
  </si>
  <si>
    <t>[H][C@]12CC3=C(NC4=CC=CC=C34)[C@H](N1C(=O)CN(C)C2=O)C1=CC2=C(OCO2)C=C1</t>
  </si>
  <si>
    <t>WOXKDUGGOYFFRN-IIBYNOLFSA-N</t>
  </si>
  <si>
    <t>159.0922, 181.0054, 198.0323, 203.0825, 225.0643, 288.0588, 295.5259, 345.4305, 417.1356, 424.1035</t>
  </si>
  <si>
    <t>C22H19N3O4</t>
  </si>
  <si>
    <t>FT4128PR</t>
  </si>
  <si>
    <t>NBD-COCl</t>
  </si>
  <si>
    <t>4-(N-氯甲酰甲基-N-甲氨基)-7-硝基-2,1,3-苯并恶二唑[用于高效液相色谱标记]</t>
  </si>
  <si>
    <t>HMDB0260353</t>
  </si>
  <si>
    <t>CN(CC(Cl)=O)C1=CC=C(C2=NON=C12)[N+]([O-])=O</t>
  </si>
  <si>
    <t>BLKGIXBLRWZLKS-UHFFFAOYSA-N</t>
  </si>
  <si>
    <t>255.9478, 278.9889, 279.0223, 283.2323, 293.0044, 293.0991, 293.1746, 293.2101, 294.2291, 302.7034</t>
  </si>
  <si>
    <t>C9H7ClN4O4</t>
  </si>
  <si>
    <t>FT0902PR</t>
  </si>
  <si>
    <t>piperidino</t>
  </si>
  <si>
    <t>哌啶基</t>
  </si>
  <si>
    <t>HMDB0256578</t>
  </si>
  <si>
    <t>C1CC[N]CC1</t>
  </si>
  <si>
    <t>KZKRRZFCAYOXQE-UHFFFAOYSA-N</t>
  </si>
  <si>
    <t>106.0287, 123.0441, 123.0553, 123.0802, 123.0913, 123.1165, 124.0392, 124.0584, 124.0754, 140.0339</t>
  </si>
  <si>
    <t>C5H10N</t>
  </si>
  <si>
    <t>FT7655PR</t>
  </si>
  <si>
    <t>PE-NMe2(15:0/22:1)</t>
  </si>
  <si>
    <t>二甲基磷脂酰乙醇胺(15:0/22:1)</t>
  </si>
  <si>
    <t>HMDB0113932</t>
  </si>
  <si>
    <t>[H]C(COC(=O)CCCCCCCCCCCCCC)(COP(O)(=O)OCCN(C)C)OC(=O)CCCCCCCCCCC\C=C/CCCCCCCC</t>
  </si>
  <si>
    <t>KINUPCLLGHCSED-VXPUYCOJSA-N</t>
  </si>
  <si>
    <t>C44H86NO8P</t>
  </si>
  <si>
    <t>FT5490NR</t>
  </si>
  <si>
    <t>6-O-p-Coumaroyl-1,2-digalloylglucose</t>
  </si>
  <si>
    <t>6-Op-香豆酰-1,2-二没食子酰葡萄糖</t>
  </si>
  <si>
    <t>HMDB0039170</t>
  </si>
  <si>
    <t>OC1C(COC(=O)\C=C\C2=CC=C(O)C=C2)OC(OC(=O)C2=CC(O)=C(O)C(O)=C2)C(OC(=O)C2=CC(O)=C(O)C(O)=C2)C1O</t>
  </si>
  <si>
    <t>QDSDUIWGMCGLHI-ZZXKWVIFSA-N</t>
  </si>
  <si>
    <t>291.0830, 302.6943, 313.0648, 313.1072, 329.0388, 335.0456, 373.0022, 664.8228, 665.0932, 666.0975</t>
  </si>
  <si>
    <t>C29H26O16</t>
  </si>
  <si>
    <t>FT3664NR</t>
  </si>
  <si>
    <t>SCHEMBL11315864</t>
  </si>
  <si>
    <t>O=C1c2c(O)cc(O)cc2OC(c2ccc(O)c(O)c2)C1OS(=O)(=O)O</t>
  </si>
  <si>
    <t>NCBSZRZCBJNBIZ-UHFFFAOYSA-N</t>
  </si>
  <si>
    <t>Sulfated flavonoids</t>
  </si>
  <si>
    <t>硫酸化黄酮类化合物</t>
  </si>
  <si>
    <t>C15H12O10S</t>
  </si>
  <si>
    <t>FT0718NR</t>
  </si>
  <si>
    <t>Methanethiosulfonate</t>
  </si>
  <si>
    <t>甲硫代磺酸盐</t>
  </si>
  <si>
    <t>HMDB0254521</t>
  </si>
  <si>
    <t>CS(S)(=O)=O</t>
  </si>
  <si>
    <t>FHBSGPWHCCIQPG-UHFFFAOYSA-N</t>
  </si>
  <si>
    <t>CH4O2S2</t>
  </si>
  <si>
    <t>FT4217NR</t>
  </si>
  <si>
    <t>Gibberellin A4 glucosyl ester</t>
  </si>
  <si>
    <t>赤霉素A4葡萄糖酯</t>
  </si>
  <si>
    <t>HMDB0038610</t>
  </si>
  <si>
    <t>54788-52-2</t>
  </si>
  <si>
    <t>[H][C@@]12CC[C@@H]3C[C@]1(CC3=C)[C@@H](C(=O)O[C@@H]1O[C@H](CO)[C@@H](O)[C@H](O)[C@H]1O)[C@]1([H])[C@@]3(C)[C@@H](O)CC[C@@]21OC3=O</t>
  </si>
  <si>
    <t>WAJNZXFSVANOAB-BELPUEJPSA-N</t>
  </si>
  <si>
    <t>73.5100, 104.7579, 112.9853, 134.5546, 205.3880, 232.7752, 281.3524, 332.3001, 383.2716, 398.4876</t>
  </si>
  <si>
    <t>C25H34O10</t>
  </si>
  <si>
    <t>FT3855PR</t>
  </si>
  <si>
    <t>Sulfamethazine</t>
  </si>
  <si>
    <t>氘代磺胺二甲基嘧啶</t>
  </si>
  <si>
    <t>HMDB0015522</t>
  </si>
  <si>
    <t>C19530</t>
  </si>
  <si>
    <t>57-68-1</t>
  </si>
  <si>
    <t>CC1=CC(C)=NC(NS(=O)(=O)C2=CC=C(N)C=C2)=N1</t>
  </si>
  <si>
    <t>ASWVTGNCAZCNNR-UHFFFAOYSA-N</t>
  </si>
  <si>
    <t>C12H14N4O2S</t>
  </si>
  <si>
    <t>FT5570NR</t>
  </si>
  <si>
    <t>Dillenetin 5-glucoside-7-glucuronide</t>
  </si>
  <si>
    <t>Dillenetin 5-葡萄糖苷-7-葡萄糖苷酸</t>
  </si>
  <si>
    <t>LMPK12112410</t>
  </si>
  <si>
    <t>C1(O[C@H]2[C@H](O)[C@@H](O)[C@H](O)[C@@H](C(=O)O)O2)=CC2OC(C3C=C(OC)C(OC)=CC=3)=C(O)C(=O)C=2C(O[C@H]2[C@H](O)[C@@H](O)[C@H](O)[C@@H](CO)O2)=C1</t>
  </si>
  <si>
    <t>LRGSZBPJHRDTSP-IJAIKXGBSA-N</t>
  </si>
  <si>
    <t>269.0769, 272.8335, 291.0832, 302.6844, 313.0649, 313.1077, 411.0358, 488.7711, 605.1539, 703.0458</t>
  </si>
  <si>
    <t>C29H32O18</t>
  </si>
  <si>
    <t>FT7046PR</t>
  </si>
  <si>
    <t>Deferoxamine</t>
  </si>
  <si>
    <t>去铁胺</t>
  </si>
  <si>
    <t>HMDB0014884</t>
  </si>
  <si>
    <t>LMFA08020169</t>
  </si>
  <si>
    <t>C06940</t>
  </si>
  <si>
    <t>70-51-9</t>
  </si>
  <si>
    <t>C(C(=O)N(O)CCCCCNC(CCC(=O)N(O)CCCCCN)=O)CC(=O)NCCCCCN(C(C)=O)O</t>
  </si>
  <si>
    <t>UBQYURCVBFRUQT-UHFFFAOYSA-N</t>
  </si>
  <si>
    <t>C25H48N6O8</t>
  </si>
  <si>
    <t>FT5889PR</t>
  </si>
  <si>
    <t>Shoyuflavone C</t>
  </si>
  <si>
    <t>酱油黄酮C</t>
  </si>
  <si>
    <t>HMDB0034590</t>
  </si>
  <si>
    <t>194664-54-5</t>
  </si>
  <si>
    <t>OC(C(OC1=C(O)C2=C(C(O)=C1)C(=O)C(=CO2)C1=CC=C(O)C=C1)C(O)=O)C(O)=O</t>
  </si>
  <si>
    <t>DGJSSBCAHRQASY-UHFFFAOYSA-N</t>
  </si>
  <si>
    <t>273.3792, 287.0574, 301.0371, 337.0617, 359.0431, 360.7567, 418.9790, 446.4565, 457.0168, 457.2795</t>
  </si>
  <si>
    <t>C19H14O11</t>
  </si>
  <si>
    <t>FT4149PR</t>
  </si>
  <si>
    <t>1,5-Dihydro-7-(1-piperidinyl)-imidazo(2,1-b)quinazolin-2(3H)-one</t>
  </si>
  <si>
    <t>1,5-二氢-7-(1-哌啶基)-咪唑并(2,1-b)喹唑啉-2(3H)-酮</t>
  </si>
  <si>
    <t>HMDB0259407</t>
  </si>
  <si>
    <t>O=C1CN2CC3=C(C=CC(=C3)N3CCCCC3)N=C2N1</t>
  </si>
  <si>
    <t>MNVCNERGJZWWAO-UHFFFAOYSA-N</t>
  </si>
  <si>
    <t>285.6243, 286.1308, 287.1366, 292.6338, 293.0982, 293.1380, 293.1732, 293.2100, 299.1390, 300.1454</t>
  </si>
  <si>
    <t>C15H18N4O</t>
  </si>
  <si>
    <t>FT5337PR</t>
  </si>
  <si>
    <t>N-linoleoyl taurine</t>
  </si>
  <si>
    <t>N-亚油酰牛磺酸</t>
  </si>
  <si>
    <t>LMFA08020138</t>
  </si>
  <si>
    <t>C(CCCCCCC/C=C\C/C=C\CCCCC)(=O)NCCS(O)(=O)=O</t>
  </si>
  <si>
    <t>YIWODQVLEDDQSF-HZJYTTRNSA-N</t>
  </si>
  <si>
    <t>177.1286, 221.1384, 265.1649, 283.1751, 327.2015, 353.2150, 371.1817, 371.2268, 388.2526, 388.2979</t>
  </si>
  <si>
    <t>C20H37NO4S</t>
  </si>
  <si>
    <t>FT2009NR</t>
  </si>
  <si>
    <t>N-(3,4,5-Trihydroxybenzoyl)glycine</t>
  </si>
  <si>
    <t>N-(3,4,5-三羟基苯甲酰基)甘氨酸</t>
  </si>
  <si>
    <t>C1=C(C=C(C(=C1O)O)O)C(=O)NCC(=O)O</t>
  </si>
  <si>
    <t>CEPDUQPLHPYNQE-UHFFFAOYSA-N</t>
  </si>
  <si>
    <t>205.4054, 268.0385, 269.0450, 270.0487, 302.6913, 331.4943, 348.9523, 349.0015, 350.0057, 364.9318</t>
  </si>
  <si>
    <t>C9H9NO6</t>
  </si>
  <si>
    <t>FT7231PR</t>
  </si>
  <si>
    <t>PA(a-13:0/18:1-O(9S,10R))</t>
  </si>
  <si>
    <t>磷脂酸(a-13:0/18:1-O(9S,10R))</t>
  </si>
  <si>
    <t>HMDB0266851</t>
  </si>
  <si>
    <t>[H][C@@](COC(=O)CCCCCCCCC(C)CC)(COP(O)(O)=O)OC(=O)CCCCCCCC1OC1C\C=C/CCCCC</t>
  </si>
  <si>
    <t>KWDSLPHDFMWWTD-CXDWQEBBSA-N</t>
  </si>
  <si>
    <t>181.5718, 283.7769, 306.6295, 365.5482, 487.2816, 546.3525, 547.3563, 780.5460, 781.5494, 782.5679</t>
  </si>
  <si>
    <t>C34H63O9P</t>
  </si>
  <si>
    <t>FT3553NR</t>
  </si>
  <si>
    <t>Nitroquine</t>
  </si>
  <si>
    <t>硝基喹</t>
  </si>
  <si>
    <t>HMDB0255657</t>
  </si>
  <si>
    <t>NC1=NC2=C(C=C(C=C2)N(CC2=CC(Cl)=C(Cl)C=C2)N=O)C(N)=N1</t>
  </si>
  <si>
    <t>YVQXNYOBSUPZMH-UHFFFAOYSA-N</t>
  </si>
  <si>
    <t>159.0923, 203.0615, 203.0821, 225.0640, 271.0695, 293.0515, 307.4431, 339.0580, 360.9927, 361.0377</t>
  </si>
  <si>
    <t>C15H12Cl2N6O</t>
  </si>
  <si>
    <t>FT3467NR</t>
  </si>
  <si>
    <t>Eugenosedin-A</t>
  </si>
  <si>
    <t>优根皂甙A</t>
  </si>
  <si>
    <t>HMDB0252125</t>
  </si>
  <si>
    <t>COC1=C(OCC(O)CN2CCN(CC2)C2=CC=CC=C2Cl)C=CC(C=CC)=C1</t>
  </si>
  <si>
    <t>JDGBIKNZEAPPMR-UHFFFAOYSA-N</t>
  </si>
  <si>
    <t>96.9598, 112.2053, 131.8391, 146.9230, 175.0316, 192.9292, 197.2660, 230.5169, 351.9021, 397.1682</t>
  </si>
  <si>
    <t>C23H29ClN2O3</t>
  </si>
  <si>
    <t>FT2444NR</t>
  </si>
  <si>
    <t>3,5-dihydroxy-4-(sulfooxy)benzoic acid</t>
  </si>
  <si>
    <t>3,5-二羟基-4-(磺氧基)苯甲酸</t>
  </si>
  <si>
    <t>HMDB0126639</t>
  </si>
  <si>
    <t>OC(=O)C1=CC(O)=C(OS(O)(=O)=O)C(O)=C1</t>
  </si>
  <si>
    <t>DMNOQQUULVKPTE-UHFFFAOYSA-N</t>
  </si>
  <si>
    <t>C7H6O8S</t>
  </si>
  <si>
    <t>FT6793PR</t>
  </si>
  <si>
    <t>Hydroxy Desmethyl Bosentan</t>
  </si>
  <si>
    <t>波生坦羟甲基O-去甲基杂质</t>
  </si>
  <si>
    <t>HMDB0253253</t>
  </si>
  <si>
    <t>CC(C)(CO)C1=CC=C(C=C1)S(=O)(=O)NC1=C(OC2=CC=CC=C2O)C(OCCO)=NC(=N1)C1=NC=CC=N1</t>
  </si>
  <si>
    <t>JXXCMZWROOURSZ-UHFFFAOYSA-N</t>
  </si>
  <si>
    <t>289.4816, 297.0825, 299.0614, 302.7098, 355.0693, 363.3426, 371.1002, 471.9214, 473.7824, 509.5875</t>
  </si>
  <si>
    <t>C26H27N5O7S</t>
  </si>
  <si>
    <t>FT3739NR</t>
  </si>
  <si>
    <t>SCHEMBL23750731</t>
  </si>
  <si>
    <t>CCCCCc1cc2c(c(OS(=O)(=O)O)c1)C1C=C(C)CCC1C(C)(C)O2</t>
  </si>
  <si>
    <t>GWGSCCUEHBBLTG-UHFFFAOYSA-N</t>
  </si>
  <si>
    <t>89.0242, 91.2091, 105.4287, 221.1537, 228.0840, 236.1054, 293.1764, 302.6856, 361.1624, 429.1490</t>
  </si>
  <si>
    <t>C21H30O5S</t>
  </si>
  <si>
    <t>FT6072PR</t>
  </si>
  <si>
    <t>Calvasterol B</t>
  </si>
  <si>
    <t>钙甾醇B</t>
  </si>
  <si>
    <t>LMST01031160</t>
  </si>
  <si>
    <t>C1CC(=O)C=C2C(=O)C=C3[C@]4(O)CC[C@]([H])([C@H](C)/C=C/[C@H](C)C(C)C)[C@@]4(C)CC[C@]3(O)[C@@]12C</t>
  </si>
  <si>
    <t>PPPHAARYIMWGSU-VWLVVCIOSA-N</t>
  </si>
  <si>
    <t>C28H40O4</t>
  </si>
  <si>
    <t>FT5788PR</t>
  </si>
  <si>
    <t>2,3-Diacetoxypropyl stearate</t>
  </si>
  <si>
    <t>3-(硬脂酰氧基)丙烷-1,2-二乙酸二酯</t>
  </si>
  <si>
    <t>HMDB0059931</t>
  </si>
  <si>
    <t>CCCCCCCCCCCCCCCCCC(=O)OCC(COC(C)=O)OC(C)=O</t>
  </si>
  <si>
    <t>WSYNAKWAAXYNMW-UHFFFAOYSA-N</t>
  </si>
  <si>
    <t>110.8369, 111.2946, 168.7628, 186.8243, 205.3922, 205.4140, 302.7014, 425.0319, 443.3340, 444.3388</t>
  </si>
  <si>
    <t>C25H46O6</t>
  </si>
  <si>
    <t>FT5648NR</t>
  </si>
  <si>
    <t>PE(P-18:0/20:4)</t>
  </si>
  <si>
    <t>磷脂酰乙醇胺(P-18:0/20:4)</t>
  </si>
  <si>
    <t>HMDB0005779</t>
  </si>
  <si>
    <t>LMGP02030003</t>
  </si>
  <si>
    <t>144371-69-7</t>
  </si>
  <si>
    <t>[C@](COP(=O)(O)OCCN)([H])(OC(CCC/C=C\C/C=C\C/C=C\C/C=C\CCCCC)=O)CO/C=C\CCCCCCCCCCCCCCCC</t>
  </si>
  <si>
    <t>URPXXNCTXCOATD-FXMFQVEGSA-N</t>
  </si>
  <si>
    <t>147.3355, 205.3855, 259.2407, 302.6860, 303.2324, 314.1173, 379.8389, 464.3148, 663.9408, 750.5425</t>
  </si>
  <si>
    <t>FT2183PR</t>
  </si>
  <si>
    <t>2-Isopropyl-5-methylpyrazine</t>
  </si>
  <si>
    <t>2-甲基-5-异丙基吡嗪</t>
  </si>
  <si>
    <t>HMDB0037151</t>
  </si>
  <si>
    <t>13925-05-8</t>
  </si>
  <si>
    <t>CC(C)C1=NC=C(C)N=C1</t>
  </si>
  <si>
    <t>PGTQKVQDZHXLOP-UHFFFAOYSA-N</t>
  </si>
  <si>
    <t>Pyrazines</t>
  </si>
  <si>
    <t>吡嗪类</t>
  </si>
  <si>
    <t>C8H12N2</t>
  </si>
  <si>
    <t>FT1356NR</t>
  </si>
  <si>
    <t>(3-Aminopropyl)(n-butyl)phosphinic acid</t>
  </si>
  <si>
    <t>(3-氨基丙基)(正丁基)次膦酸</t>
  </si>
  <si>
    <t>HMDB0249860</t>
  </si>
  <si>
    <t>CCCCP(O)(=O)CCCN</t>
  </si>
  <si>
    <t>ONNMDRQRSGKZCN-UHFFFAOYSA-N</t>
  </si>
  <si>
    <t>153.1278, 155.4994, 185.7174, 197.1176, 205.3937, 215.0357, 215.0724, 215.1281, 216.0333, 223.0405</t>
  </si>
  <si>
    <t>C7H18NO2P</t>
  </si>
  <si>
    <t>FT2512PR</t>
  </si>
  <si>
    <t>6-Methylpteridine-2,4-diamine</t>
  </si>
  <si>
    <t>2,4-二氨基6-甲基蝶啶</t>
  </si>
  <si>
    <t>HMDB0247090</t>
  </si>
  <si>
    <t>CC1=CN=C2N=C(N)N=C(N)C2=N1</t>
  </si>
  <si>
    <t>MFNAKLLYSPINFZ-UHFFFAOYSA-N</t>
  </si>
  <si>
    <t>80.1447, 132.7668, 163.0386, 178.9908, 194.0825, 194.0946, 194.1147, 194.1567, 205.4058, 214.2805</t>
  </si>
  <si>
    <t>C7H8N6</t>
  </si>
  <si>
    <t>FT0023PR</t>
  </si>
  <si>
    <t>N-Hydroxymethyl-N-methylformamide</t>
  </si>
  <si>
    <t>N-羟基甲基-N-甲基甲酰胺</t>
  </si>
  <si>
    <t>HMDB0255155</t>
  </si>
  <si>
    <t>C11488</t>
  </si>
  <si>
    <t>20546-32-1</t>
  </si>
  <si>
    <t>CN(CO)C=O</t>
  </si>
  <si>
    <t>KOCFTADHOAAXFC-UHFFFAOYSA-N</t>
  </si>
  <si>
    <t>72.0319, 72.0448, 72.0489, 72.0520, 72.0542, 72.0597, 72.0812, 72.1989, 72.2028, 74.8237</t>
  </si>
  <si>
    <t>FT2152PR</t>
  </si>
  <si>
    <t>4-(2-Aminoethyl)cyclohexa-3,5-diene-1,2-diol</t>
  </si>
  <si>
    <t>4-(2-氨基乙基)环己-3,5-二烯-1,2-二醇</t>
  </si>
  <si>
    <t>HMDB0257596</t>
  </si>
  <si>
    <t>NCCC1=CC(O)C(O)C=C1</t>
  </si>
  <si>
    <t>KWCIWVCMDMTKSP-UHFFFAOYSA-N</t>
  </si>
  <si>
    <t>149.9781, 155.0701, 155.1177, 156.1014, 167.9712, 169.9766, 172.9560, 172.9766, 173.0791, 173.1283</t>
  </si>
  <si>
    <t>FT2151NR</t>
  </si>
  <si>
    <t>Loreclezole</t>
  </si>
  <si>
    <t>洛雷克莱唑</t>
  </si>
  <si>
    <t>HMDB0254162</t>
  </si>
  <si>
    <t>ClC(=CN1C=NC=N1)C1=C(Cl)C=C(Cl)C=C1</t>
  </si>
  <si>
    <t>XGLHZTBDUXXHOM-UHFFFAOYSA-N</t>
  </si>
  <si>
    <t>Halobenzenes</t>
  </si>
  <si>
    <t>卤代苯</t>
  </si>
  <si>
    <t>119.9466, 132.0445, 160.3630, 193.0514, 205.3975, 211.9783, 212.0018, 213.9976, 271.2256, 271.9583</t>
  </si>
  <si>
    <t>C10H6Cl3N3</t>
  </si>
  <si>
    <t>FT4766NR</t>
  </si>
  <si>
    <t>PI(14:0/0:0)</t>
  </si>
  <si>
    <t>磷脂酰肌醇(14:0/0:0)</t>
  </si>
  <si>
    <t>LMGP06050008</t>
  </si>
  <si>
    <t>[C@]([H])(O)(COP(=O)(O)O[C@H]1[C@H](O)[C@@H](O)[C@H](O)[C@@H](O)[C@H]1O)COC(CCCCCCCCCCCCC)=O</t>
  </si>
  <si>
    <t>FEWCZOSQEKFJGK-LHZCVKNISA-N</t>
  </si>
  <si>
    <t>86.4537, 95.2876, 112.9854, 229.3782, 302.6969, 337.7899, 397.1894, 407.2798, 475.2678, 543.2553</t>
  </si>
  <si>
    <t>C23H45O12P</t>
  </si>
  <si>
    <t>FT1179NR</t>
  </si>
  <si>
    <t>2,2‚Äö√Ñ√∂?‚Äö√¢¬ß-(Hydroxynitrosohydrazino)bis-ethanamine</t>
  </si>
  <si>
    <t>2,2‚∽∂∂∂∂∂∂∂∂∂∂∂∂ß-(羟基亚硝基肼)双乙胺</t>
  </si>
  <si>
    <t>HMDB0251069</t>
  </si>
  <si>
    <t>NCCN(CC[NH3+])N([O-])N=O</t>
  </si>
  <si>
    <t>PAOXTYJXTPPVHU-UHFFFAOYSA-O</t>
  </si>
  <si>
    <t>Organic nitroso compounds</t>
  </si>
  <si>
    <t>有机亚硝基化合物</t>
  </si>
  <si>
    <t>130.0507, 130.0755, 130.0870, 130.0982, 131.0901, 155.1062, 198.0228, 198.0748, 198.8400, 205.3973</t>
  </si>
  <si>
    <t>C4H13N5O2</t>
  </si>
  <si>
    <t>FT7780PR</t>
  </si>
  <si>
    <t>PA(P-20:0/22:0)</t>
  </si>
  <si>
    <t>磷脂酸(P-20:0/22:0)</t>
  </si>
  <si>
    <t>LMGP10030082</t>
  </si>
  <si>
    <t>[C@](COP(=O)(O)O)([H])(OC(CCCCCCCCCCCCCCCCCCCCC)=O)CO/C=C\CCCCCCCCCCCCCCCCCC</t>
  </si>
  <si>
    <t>RAHZTCSZRUPQGI-VAGBQZCZSA-N</t>
  </si>
  <si>
    <t>C45H89O7P</t>
  </si>
  <si>
    <t>FT1519PR</t>
  </si>
  <si>
    <t>N-Oxalylglycine</t>
  </si>
  <si>
    <t>N-草酰甘氨酸</t>
  </si>
  <si>
    <t>HMDB0255221</t>
  </si>
  <si>
    <t>OC(=O)CNC(=O)C(O)=O</t>
  </si>
  <si>
    <t>BIMZLRFONYSTPT-UHFFFAOYSA-N</t>
  </si>
  <si>
    <t>C4H5NO5</t>
  </si>
  <si>
    <t>FT5146NR</t>
  </si>
  <si>
    <t>PC(16:0/5:0(COOH))</t>
  </si>
  <si>
    <t>磷脂酰胆碱(16:0/5:0(COOH))</t>
  </si>
  <si>
    <t>LMGP20010006</t>
  </si>
  <si>
    <t>89947-79-5</t>
  </si>
  <si>
    <t>[C@](COP(=O)([O-])OCC[N+](C)(C)C)([H])(OC(CCCC(O)=O)=O)COC(CCCCCCCCCCCCCCC)=O</t>
  </si>
  <si>
    <t>CDZVJFRXJAUXPP-AREMUKBSSA-N</t>
  </si>
  <si>
    <t>304.2372, 305.2478, 306.2511, 529.3134, 530.3238, 531.3338, 533.4503, 590.3451, 591.3449, 607.2696</t>
  </si>
  <si>
    <t>C29H56NO10P</t>
  </si>
  <si>
    <t>FT5791PR</t>
  </si>
  <si>
    <t>Alacepril</t>
  </si>
  <si>
    <t>阿拉普利</t>
  </si>
  <si>
    <t>HMDB0248095</t>
  </si>
  <si>
    <t>CC(CSC(C)=O)C(=O)N1CCCC1C(=O)NC(CC1=CC=CC=C1)C(O)=O</t>
  </si>
  <si>
    <t>FHHHOYXPRDYHEZ-UHFFFAOYSA-N</t>
  </si>
  <si>
    <t>225.0441, 245.8488, 324.9868, 338.8953, 341.0187, 359.0276, 390.7695, 429.0899, 437.3128, 445.1212</t>
  </si>
  <si>
    <t>C20H26N2O5S</t>
  </si>
  <si>
    <t>FT3175NR</t>
  </si>
  <si>
    <t>(Z)-N-Feruloyl-5-hydroxyanthranilic acid</t>
  </si>
  <si>
    <t>燕麦蒽酰胺 B</t>
  </si>
  <si>
    <t>HMDB0038575</t>
  </si>
  <si>
    <t>108605-69-2</t>
  </si>
  <si>
    <t>COC1=C(O)C=CC(\C=C\C(=O)NC2=CC=C(O)C=C2C(O)=O)=C1</t>
  </si>
  <si>
    <t>JXFZHMCSCYADIX-XVNBXDOJSA-N</t>
  </si>
  <si>
    <t>C17H15NO6</t>
  </si>
  <si>
    <t>FT4136NR</t>
  </si>
  <si>
    <t>C.I. Pigment Yellow 100</t>
  </si>
  <si>
    <t>食品黄4:1</t>
  </si>
  <si>
    <t>HMDB0037722</t>
  </si>
  <si>
    <t>12225-21-7</t>
  </si>
  <si>
    <t>OC(=O)C1=NN(C(O)=C1\N=N\C1=CC=C(C=C1)S(O)(=O)=O)C1=CC=C(C=C1)S(O)(=O)=O</t>
  </si>
  <si>
    <t>KPIQXPLWZCDIHI-ISLYRVAYSA-N</t>
  </si>
  <si>
    <t>Pyrazoles</t>
  </si>
  <si>
    <t>吡唑类</t>
  </si>
  <si>
    <t>C16H12N4O9S2</t>
  </si>
  <si>
    <t>FT5862PR</t>
  </si>
  <si>
    <t>Ertugliflozin</t>
  </si>
  <si>
    <t>艾图格列净</t>
  </si>
  <si>
    <t>HMDB0251923</t>
  </si>
  <si>
    <t>CCOC1=CC=C(CC2=C(Cl)C=CC(=C2)C23OCC(CO)(O2)C(O)C(O)C3O)C=C1</t>
  </si>
  <si>
    <t>MCIACXAZCBVDEE-UHFFFAOYSA-N</t>
  </si>
  <si>
    <t>190.6458, 192.3956, 205.4023, 333.9524, 413.0719, 413.0855, 413.1361, 413.2006, 413.2679, 454.1630</t>
  </si>
  <si>
    <t>C22H25ClO7</t>
  </si>
  <si>
    <t>FT0326PR</t>
  </si>
  <si>
    <t>Imidazooxazole</t>
  </si>
  <si>
    <t>咪唑并恶唑</t>
  </si>
  <si>
    <t>HMDB0253423</t>
  </si>
  <si>
    <t>C1OC2=NC=NC2=N1</t>
  </si>
  <si>
    <t>NQFKGOQVVYYPJL-UHFFFAOYSA-N</t>
  </si>
  <si>
    <t>C4H3N3O</t>
  </si>
  <si>
    <t>FT4323PR</t>
  </si>
  <si>
    <t>Erythrityl Tetranitrate</t>
  </si>
  <si>
    <t>四硝酸赤藻糖酯</t>
  </si>
  <si>
    <t>HMDB0015551</t>
  </si>
  <si>
    <t>7297-25-8</t>
  </si>
  <si>
    <t>[O-][N+](=O)OC[C@@H](O[N+]([O-])=O)[C@H](CO[N+]([O-])=O)O[N+]([O-])=O</t>
  </si>
  <si>
    <t>SNFOERUNNSHUGP-ZXZARUISSA-N</t>
  </si>
  <si>
    <t>Organic nitrates</t>
  </si>
  <si>
    <t>有机硝酸盐</t>
  </si>
  <si>
    <t>C4H6N4O12</t>
  </si>
  <si>
    <t>FT5979PR</t>
  </si>
  <si>
    <t>Foeniculoside X</t>
  </si>
  <si>
    <t>小茴香甙X</t>
  </si>
  <si>
    <t>HMDB0302109</t>
  </si>
  <si>
    <t>C12380</t>
  </si>
  <si>
    <t>121245-07-6</t>
  </si>
  <si>
    <t>COC(=O)C1=C(C)C2=C(O)C3=C(C=C2C=C1OC)C(=O)[C@@]1(O)[C@H](O)C(OC)=CC(=O)[C@@]1(OC)C3=O</t>
  </si>
  <si>
    <t>QSPIPUXWSNFXCK-AGILITTLSA-N</t>
  </si>
  <si>
    <t>Naphthacenes</t>
  </si>
  <si>
    <t>Tetracenequinones</t>
  </si>
  <si>
    <t>并四苯</t>
  </si>
  <si>
    <t>并四苯醌</t>
  </si>
  <si>
    <t>160.2121, 206.5395, 214.2419, 243.3889, 302.7021, 326.0116, 389.8581, 469.1098, 469.1676, 469.3264</t>
  </si>
  <si>
    <t>C24H22O11</t>
  </si>
  <si>
    <t>FT2936PR</t>
  </si>
  <si>
    <t>Stizolamine</t>
  </si>
  <si>
    <t>黎豆胺/猫豆胍</t>
  </si>
  <si>
    <t>HMDB0302288</t>
  </si>
  <si>
    <t>CN1C(CO)=CN=C(NC(N)=N)C1=O</t>
  </si>
  <si>
    <t>XZOSNHNAQRVGSZ-UHFFFAOYSA-N</t>
  </si>
  <si>
    <t>151.3592, 156.9480, 175.0343, 180.0676, 205.4066, 215.0634, 215.0877, 215.1251, 215.1755, 235.2939</t>
  </si>
  <si>
    <t>C7H11N5O2</t>
  </si>
  <si>
    <t>FT7183PR</t>
  </si>
  <si>
    <t>PKHdiA-PE</t>
  </si>
  <si>
    <t>在 PKHdiA 中</t>
  </si>
  <si>
    <t>LMGP20020016</t>
  </si>
  <si>
    <t>[C@](COP(=O)(O)OCCN)([H])(OC(CCC(=O)/C=C/C(=O)O)=O)COC(CCCCCCCCCCCCCCC)=O</t>
  </si>
  <si>
    <t>UAQNHOYAWYONCV-QQDPUAARSA-N</t>
  </si>
  <si>
    <t>C28H50NO11P</t>
  </si>
  <si>
    <t>FT1442PR</t>
  </si>
  <si>
    <t>3-Methyl-3-hepten-2-one</t>
  </si>
  <si>
    <t>3-甲基-3-庚烯-2-酮</t>
  </si>
  <si>
    <t>HMDB0031590</t>
  </si>
  <si>
    <t>39899-08-6</t>
  </si>
  <si>
    <t>CCC\C=C(/C)C(C)=O</t>
  </si>
  <si>
    <t>IZBMUZVSTLWUTH-VOTSOKGWSA-N</t>
  </si>
  <si>
    <t>121.9664, 122.0192, 144.0372, 144.0668, 144.0807, 144.1013, 144.1248, 144.1381, 144.1513, 144.9825</t>
  </si>
  <si>
    <t>C8H14O</t>
  </si>
  <si>
    <t>FT1866NR</t>
  </si>
  <si>
    <t>Etidronic acid</t>
  </si>
  <si>
    <t>羟基乙叉二膦酸</t>
  </si>
  <si>
    <t>HMDB0015210</t>
  </si>
  <si>
    <t>C07736</t>
  </si>
  <si>
    <t>7414-83-7</t>
  </si>
  <si>
    <t>CC(O)(P(O)(O)=O)P(O)(O)=O</t>
  </si>
  <si>
    <t>DBVJJBKOTRCVKF-UHFFFAOYSA-N</t>
  </si>
  <si>
    <t>Bisphosphonates</t>
  </si>
  <si>
    <t>双膦酸盐</t>
  </si>
  <si>
    <t>C2H8O7P2</t>
  </si>
  <si>
    <t>FT6246PR</t>
  </si>
  <si>
    <t>Ponesimod</t>
  </si>
  <si>
    <t>波内西莫德</t>
  </si>
  <si>
    <t>HMDB0256699</t>
  </si>
  <si>
    <t>CCCN=C1SC(=CC2=CC(Cl)=C(OCC(O)CO)C=C2)C(=O)N1C1=CC=CC=C1C</t>
  </si>
  <si>
    <t>LPAUOXUZGSBGDU-UHFFFAOYSA-N</t>
  </si>
  <si>
    <t>170.5083, 205.4043, 250.6635, 264.9898, 302.6902, 310.7878, 324.0003, 367.9902, 468.3571, 478.3734</t>
  </si>
  <si>
    <t>C23H25ClN2O4S</t>
  </si>
  <si>
    <t>FT3891NR</t>
  </si>
  <si>
    <t>Palbociclib</t>
  </si>
  <si>
    <t>帕布昔利布（palbociclib）</t>
  </si>
  <si>
    <t>HMDB0256084</t>
  </si>
  <si>
    <t>CC(=O)C1=C(C)C2=CN=C(NC3=NC=C(C=C3)N3CCNCC3)N=C2N(C2CCCC2)C1=O</t>
  </si>
  <si>
    <t>AHJRHEGDXFFMBM-UHFFFAOYSA-N</t>
  </si>
  <si>
    <t>205.3985, 222.2201, 241.1082, 252.9581, 258.9585, 378.2411, 378.2835, 390.4193, 446.2282, 446.2984</t>
  </si>
  <si>
    <t>C24H29N7O2</t>
  </si>
  <si>
    <t>FT3033PR</t>
  </si>
  <si>
    <t>Triethylenemelamine</t>
  </si>
  <si>
    <t>2，4，6-三亚乙基亚胺-1，3，5-三嗪</t>
  </si>
  <si>
    <t>HMDB0259195</t>
  </si>
  <si>
    <t>C07642</t>
  </si>
  <si>
    <t>51-18-3</t>
  </si>
  <si>
    <t>C1CN1C1=NC(=NC(=N1)N1CC1)N1CC1</t>
  </si>
  <si>
    <t>IUCJMVBFZDHPDX-UHFFFAOYSA-N</t>
  </si>
  <si>
    <t>223.7855, 223.8209, 223.8448, 224.6975, 225.0437, 225.5274, 225.5514, 227.2773, 228.1527, 229.0252</t>
  </si>
  <si>
    <t>C9H12N6</t>
  </si>
  <si>
    <t>FT2700PR</t>
  </si>
  <si>
    <t>Chamazulene</t>
  </si>
  <si>
    <t>母菊薁</t>
  </si>
  <si>
    <t>HMDB0036470</t>
  </si>
  <si>
    <t>LMPR0103410002</t>
  </si>
  <si>
    <t>C09633</t>
  </si>
  <si>
    <t>529-05-5</t>
  </si>
  <si>
    <t>C12=C(C)C=CC1=C(C)C=CC(CC)=C2</t>
  </si>
  <si>
    <t>GXGJIOMUZAGVEH-UHFFFAOYSA-N</t>
  </si>
  <si>
    <t>C14H16</t>
  </si>
  <si>
    <t>FT6453PR</t>
  </si>
  <si>
    <t>Preladenant</t>
  </si>
  <si>
    <t>瑞德南特</t>
  </si>
  <si>
    <t>HMDB0256760</t>
  </si>
  <si>
    <t>COCCOC1=CC=C(C=C1)N1CCN(CCN2N=CC3=C2N=C(N)N2N=C(N=C32)C2=CC=CO2)CC1</t>
  </si>
  <si>
    <t>DTYWJKSSUANMHD-UHFFFAOYSA-N</t>
  </si>
  <si>
    <t>147.4095, 150.6968, 163.1754, 184.0742, 194.4053, 205.4101, 274.5641, 302.7281, 345.2392, 521.2716</t>
  </si>
  <si>
    <t>C25H29N9O3</t>
  </si>
  <si>
    <t>FT4186NR</t>
  </si>
  <si>
    <t>5beta-Cholestane-3alpha,7alpha,26,27-tetrol</t>
  </si>
  <si>
    <t>5β-胆甾烷-3α,7α,26,27-四醇</t>
  </si>
  <si>
    <t>LMST04030025</t>
  </si>
  <si>
    <t>C1[C@]2(C)[C@@]3([H])CC[C@]4(C)[C@@]([H])([C@]([H])(C)CCCC(CO)CO)CC[C@@]4([H])[C@]3([H])[C@H](O)C[C@]2([H])C[C@H](O)C1</t>
  </si>
  <si>
    <t>KWZLHGRUZVXWLT-CFHOJGGSSA-N</t>
  </si>
  <si>
    <t>FT3784PR</t>
  </si>
  <si>
    <t>3-methyl-pentadecanoic acid</t>
  </si>
  <si>
    <t>3-甲基十五烷酸</t>
  </si>
  <si>
    <t>LMFA01020164</t>
  </si>
  <si>
    <t>C(CCCCC)CCCCCCC(C)CC(=O)O</t>
  </si>
  <si>
    <t>RCLBZEBFPBWRIH-UHFFFAOYSA-N</t>
  </si>
  <si>
    <t>273.1352, 274.1833, 274.2014, 274.2200, 274.2734, 274.3404, 274.3664, 275.2752, 275.4190, 275.4556</t>
  </si>
  <si>
    <t>FT1703PR</t>
  </si>
  <si>
    <t>Bicarbonate oxygen</t>
  </si>
  <si>
    <t>碳酸氢氧</t>
  </si>
  <si>
    <t>HMDB0249181</t>
  </si>
  <si>
    <t>OC(=O)OOOC(O)=O</t>
  </si>
  <si>
    <t>MHXBJYZFHGYPRH-UHFFFAOYSA-N</t>
  </si>
  <si>
    <t>132.9656, 135.0202, 138.0661, 143.9964, 146.0300, 151.0348, 156.0457, 156.0767, 156.1006, 163.0390</t>
  </si>
  <si>
    <t>C2H2O7</t>
  </si>
  <si>
    <t>FT3903PR</t>
  </si>
  <si>
    <t>2-Amino-7-methoxy-3H-phenoxazin-3-one</t>
  </si>
  <si>
    <t>2-氨基-7-甲氧基-3H-吩恶嗪-3-酮</t>
  </si>
  <si>
    <t>HMDB0240720</t>
  </si>
  <si>
    <t>COC1=CC2=C(C=C1)N=C1C=C(N)C(=O)C=C1O2</t>
  </si>
  <si>
    <t>DDHPPCVMQOXUFB-UHFFFAOYSA-N</t>
  </si>
  <si>
    <t>Benzoxazines</t>
  </si>
  <si>
    <t>Phenoxazines</t>
  </si>
  <si>
    <t>苯并噁嗪类</t>
  </si>
  <si>
    <t>吩恶嗪类</t>
  </si>
  <si>
    <t>C13H10N2O3</t>
  </si>
  <si>
    <t>FT4912NR</t>
  </si>
  <si>
    <t>Juzirine</t>
  </si>
  <si>
    <t>化合物 T32329</t>
  </si>
  <si>
    <t>HMDB0033954</t>
  </si>
  <si>
    <t>64069-53-0</t>
  </si>
  <si>
    <t>COC1=C(O)C=C2C(CC3=CC=C(O)C=C3)=NC=CC2=C1</t>
  </si>
  <si>
    <t>XUCRLUHFLBPVRO-UHFFFAOYSA-N</t>
  </si>
  <si>
    <t>Benzylisoquinolines</t>
  </si>
  <si>
    <t>苄基异喹啉</t>
  </si>
  <si>
    <t>FT1390NR</t>
  </si>
  <si>
    <t>Ethyl 2-phenyl-3-furancarboxylate</t>
  </si>
  <si>
    <t xml:space="preserve"> 2-苯基-3-呋喃甲酸乙酯</t>
  </si>
  <si>
    <t>HMDB0038017</t>
  </si>
  <si>
    <t>50626-02-3</t>
  </si>
  <si>
    <t>CCOC(=O)C1=C(OC=C1)C1=CC=CC=C1</t>
  </si>
  <si>
    <t>VMAQXZDICAYJMS-UHFFFAOYSA-N</t>
  </si>
  <si>
    <t>Furoic acid and derivatives</t>
  </si>
  <si>
    <t>糠酸及其衍生物</t>
  </si>
  <si>
    <t>171.0772, 197.1173, 205.3836, 205.4018, 215.0250, 215.0338, 215.0727, 215.1286, 216.0555, 216.0763</t>
  </si>
  <si>
    <t>C13H12O3</t>
  </si>
  <si>
    <t>FT3164PR</t>
  </si>
  <si>
    <t>9E-Tetradecen-1-ol</t>
  </si>
  <si>
    <t>9E-十四烯-1-醇</t>
  </si>
  <si>
    <t>LMFA05000177</t>
  </si>
  <si>
    <t>OCCCCCCCC/C=C/CCCC</t>
  </si>
  <si>
    <t>GSAAJQNJNPBBSX-AATRIKPKSA-N</t>
  </si>
  <si>
    <t>220.8349, 229.3664, 230.1685, 230.1932, 230.2048, 230.2474, 230.3034, 230.3162, 231.1343, 231.2493</t>
  </si>
  <si>
    <t>C14H28O</t>
  </si>
  <si>
    <t>FT2882NR</t>
  </si>
  <si>
    <t>1-Trichloromethyl-1,2,3,4-tetrahydro-beta-carboline</t>
  </si>
  <si>
    <t>1-三氯甲基-1,2,3,4-四氢-β-咔啉</t>
  </si>
  <si>
    <t>HMDB0258676</t>
  </si>
  <si>
    <t>ClC(Cl)(Cl)C1NCCC2=C1NC1=CC=CC=C21</t>
  </si>
  <si>
    <t>DPPAKKMPHBZNQA-UHFFFAOYSA-N</t>
  </si>
  <si>
    <t>Harmala alkaloids</t>
  </si>
  <si>
    <t>榛子生物碱</t>
  </si>
  <si>
    <t>C12H11Cl3N2</t>
  </si>
  <si>
    <t>FT5284PR</t>
  </si>
  <si>
    <t>Hispidulin 7-sulfate</t>
  </si>
  <si>
    <t>7-硫酸组肌蛋白</t>
  </si>
  <si>
    <t>LMPK12111171</t>
  </si>
  <si>
    <t>C12C=C(OS(O)(=O)=O)C(OC)=C(O)C=1C(=O)C=C(C1C=CC(O)=CC=1)O2</t>
  </si>
  <si>
    <t>WONZXVKRFAHSAK-UHFFFAOYSA-N</t>
  </si>
  <si>
    <t>380.8837, 380.9065, 380.9331, 381.0247, 381.1169, 381.1389, 381.1802, 382.0244, 382.8996, 382.9586</t>
  </si>
  <si>
    <t>C16H12O9S</t>
  </si>
  <si>
    <t>FT4002PR</t>
  </si>
  <si>
    <t>SCHEMBL24807033</t>
  </si>
  <si>
    <t>Nc1ncnc2c1ncn2C(CO)OC(C=O)CO</t>
  </si>
  <si>
    <t>URUVBPQPZZDAFS-UHFFFAOYSA-N</t>
  </si>
  <si>
    <t>144.6106, 205.3933, 205.4117, 222.9676, 284.5725, 284.9600, 285.1309, 285.1639, 285.2221, 285.2988</t>
  </si>
  <si>
    <t>C10H13N5O4</t>
  </si>
  <si>
    <t>FT2035PR</t>
  </si>
  <si>
    <t>2-Cyanoethyl dihydrogen phosphate</t>
  </si>
  <si>
    <t>2-氰乙基磷酸二氢酯</t>
  </si>
  <si>
    <t>HMDB0245086</t>
  </si>
  <si>
    <t>OP(O)(=O)OCCC#N</t>
  </si>
  <si>
    <t>NJDPBWLDVFCXNP-UHFFFAOYSA-N</t>
  </si>
  <si>
    <t>C3H6NO4P</t>
  </si>
  <si>
    <t>FT6703PR</t>
  </si>
  <si>
    <t>3-Hexaprenyl-4,5-dihydroxybenzoic acid</t>
  </si>
  <si>
    <t>3-己烯基-4,5-二羟基苯甲酸</t>
  </si>
  <si>
    <t>HMDB0001063</t>
  </si>
  <si>
    <t>LMPR02010043</t>
  </si>
  <si>
    <t>C05200</t>
  </si>
  <si>
    <t>63975-40-6</t>
  </si>
  <si>
    <t>OC(=O)C1C=C(C/C=C(/CC/C=C(/CC/C=C(/CC/C=C(/CC/C=C(/CC/C=C(/C)\C)\C)\C)\C)\C)\C)C(O)=C(O)C=1</t>
  </si>
  <si>
    <t>VEPICJBQCOUQPI-IRVXXIIISA-N</t>
  </si>
  <si>
    <t>Polyprenylphenols</t>
  </si>
  <si>
    <t>聚异戊二烯酚</t>
  </si>
  <si>
    <t>C37H54O4</t>
  </si>
  <si>
    <t>FT3403PR</t>
  </si>
  <si>
    <t>Dodecyl acetate</t>
  </si>
  <si>
    <t>乙酸月桂酯</t>
  </si>
  <si>
    <t>HMDB0038969</t>
  </si>
  <si>
    <t>LMFA07010262</t>
  </si>
  <si>
    <t>112-66-3</t>
  </si>
  <si>
    <t>O(C(=O)C)CCCCCCCCCCCC</t>
  </si>
  <si>
    <t>VZWGRQBCURJOMT-UHFFFAOYSA-N</t>
  </si>
  <si>
    <t>Fatty alcohol esters</t>
  </si>
  <si>
    <t>脂肪醇酯</t>
  </si>
  <si>
    <t>202.2166, 205.3998, 228.2320, 246.1808, 246.1950, 246.2424, 246.3005, 246.3219, 247.2189, 247.2458</t>
  </si>
  <si>
    <t>FT2973PR</t>
  </si>
  <si>
    <t>Pamidronate</t>
  </si>
  <si>
    <t>帕米膦酸</t>
  </si>
  <si>
    <t>HMDB0014427</t>
  </si>
  <si>
    <t>C07395</t>
  </si>
  <si>
    <t>40391-99-9</t>
  </si>
  <si>
    <t>NCCC(O)(P(O)(O)=O)P(O)(O)=O</t>
  </si>
  <si>
    <t>WRUUGTRCQOWXEG-UHFFFAOYSA-N</t>
  </si>
  <si>
    <t>C3H11NO7P2</t>
  </si>
  <si>
    <t>FT3795PR</t>
  </si>
  <si>
    <t>Cysteinyl-Methionine</t>
  </si>
  <si>
    <t>半胱氨酰甲硫氨酸</t>
  </si>
  <si>
    <t>HMDB0028781</t>
  </si>
  <si>
    <t>CSCCC(NC(=O)C(N)CS)C(O)=O</t>
  </si>
  <si>
    <t>OOULJWDSSVOMHX-UHFFFAOYSA-N</t>
  </si>
  <si>
    <t>82.5464, 86.0063, 91.1346, 132.0117, 144.0443, 172.5734, 234.1471, 246.5838, 275.0469, 275.1629</t>
  </si>
  <si>
    <t>C8H16N2O3S2</t>
  </si>
  <si>
    <t>FT3479PR</t>
  </si>
  <si>
    <t>2,6-Diaminopurine 2',3'-dideoxyriboside</t>
  </si>
  <si>
    <t>2,6-二氨基嘌呤2',3'-双脱氧核苷</t>
  </si>
  <si>
    <t>HMDB0250896</t>
  </si>
  <si>
    <t>NC1=NC2=C(N=CN2C2CCC(CO)O2)C(N)=N1</t>
  </si>
  <si>
    <t>OABUIHOVHQHUAO-UHFFFAOYSA-N</t>
  </si>
  <si>
    <t>Purine 2',3'-dideoxyribonucleosides</t>
  </si>
  <si>
    <t>嘌呤2',3'-双脱氧核糖核苷</t>
  </si>
  <si>
    <t>174.9914, 205.3972, 205.4161, 222.9524, 233.0351, 251.0467, 251.1249, 251.1607, 251.2016, 252.1281</t>
  </si>
  <si>
    <t>C10H14N6O2</t>
  </si>
  <si>
    <t>FT0811PR</t>
  </si>
  <si>
    <t>(Z)-2-methyl-peroxyaminoacrylate</t>
  </si>
  <si>
    <t>(Z)-2-甲基过氧氨基丙烯酸酯</t>
  </si>
  <si>
    <t>HMDB0304002</t>
  </si>
  <si>
    <t>C20250</t>
  </si>
  <si>
    <t>[H]\C(N)=C(/C)C(=O)OO</t>
  </si>
  <si>
    <t>DYYSAMFOJRGAMQ-IHWYPQMZSA-N</t>
  </si>
  <si>
    <t>Peroxycarboxylic acids and derivatives</t>
  </si>
  <si>
    <t>过氧羧酸及其衍生物</t>
  </si>
  <si>
    <t>FT1614NR</t>
  </si>
  <si>
    <t>S-(2-Benzothiazolyl)cysteine</t>
  </si>
  <si>
    <t>S-(2-苯并噻唑基)半胱氨酸</t>
  </si>
  <si>
    <t>HMDB0257381</t>
  </si>
  <si>
    <t>NC(CSC1=NC2=CC=CC=C2S1)C(O)=O</t>
  </si>
  <si>
    <t>KRBPTLCTECPKGY-UHFFFAOYSA-N</t>
  </si>
  <si>
    <t>205.3902, 207.9889, 210.2884, 234.0849, 235.0000, 235.0427, 235.0536, 235.0726, 235.9197, 236.0028</t>
  </si>
  <si>
    <t>C10H10N2O2S2</t>
  </si>
  <si>
    <t>FT0539PR</t>
  </si>
  <si>
    <t>1H-Phosphole</t>
  </si>
  <si>
    <t>1H-磷孔</t>
  </si>
  <si>
    <t>HMDB0244896</t>
  </si>
  <si>
    <t>P1C=CC=C1</t>
  </si>
  <si>
    <t>DJMUYABFXCIYSC-UHFFFAOYSA-N</t>
  </si>
  <si>
    <t>C4H5P</t>
  </si>
  <si>
    <t>FT2475NR</t>
  </si>
  <si>
    <t>Methionyl-Cysteine</t>
  </si>
  <si>
    <t>甲硫氨酰半胱氨酸</t>
  </si>
  <si>
    <t>HMDB0028970</t>
  </si>
  <si>
    <t>CSCCC(N)C(=O)NC(CS)C(O)=O</t>
  </si>
  <si>
    <t>NDYNTQWSJLPEMK-UHFFFAOYSA-N</t>
  </si>
  <si>
    <t>FT3072PR</t>
  </si>
  <si>
    <t>13-methyl-tetradecanenitrile</t>
  </si>
  <si>
    <t>13-甲基-十四烷腈</t>
  </si>
  <si>
    <t>LMFA09000018</t>
  </si>
  <si>
    <t>C(CCCCCCCCCCCC(C)C)#N</t>
  </si>
  <si>
    <t>PXOOGEZSAPLDJY-UHFFFAOYSA-N</t>
  </si>
  <si>
    <t>Organic cyanides</t>
  </si>
  <si>
    <t>有机氰化物</t>
  </si>
  <si>
    <t>200.9722, 201.9731, 205.3983, 224.0700, 224.1710, 224.2370, 224.2888, 225.0905, 226.0434, 227.0400</t>
  </si>
  <si>
    <t>C15H29N</t>
  </si>
  <si>
    <t>FT2352NR</t>
  </si>
  <si>
    <t>Monoacetyldapsone hydroxylamine</t>
  </si>
  <si>
    <t>单乙酰氨苯砜羟胺</t>
  </si>
  <si>
    <t>HMDB0254847</t>
  </si>
  <si>
    <t>CC(=O)NC1=CC=C(C=C1)S(=O)(=O)C1=CC=C(NO)C=C1</t>
  </si>
  <si>
    <t>YUWDJHZQRAHBBW-UHFFFAOYSA-N</t>
  </si>
  <si>
    <t>68.9814, 69.7086, 78.8871, 92.9277, 151.7320, 161.2039, 165.0521, 219.0631, 227.4360, 308.3407</t>
  </si>
  <si>
    <t>C14H14N2O4S</t>
  </si>
  <si>
    <t>FT1067PR</t>
  </si>
  <si>
    <t>Hydroxyminaline</t>
  </si>
  <si>
    <t>羟基米那林</t>
  </si>
  <si>
    <t>HMDB0034368</t>
  </si>
  <si>
    <t>OC(=O)C1=CC(O)=CN1</t>
  </si>
  <si>
    <t>FCGOBISRCUOUQH-UHFFFAOYSA-N</t>
  </si>
  <si>
    <t>Pyrroles</t>
  </si>
  <si>
    <t>Pyrrole carboxylic acids and derivatives</t>
  </si>
  <si>
    <t>吡咯</t>
  </si>
  <si>
    <t>吡咯羧酸及其衍生物</t>
  </si>
  <si>
    <t>C5H5NO3</t>
  </si>
  <si>
    <t>FT3152PR</t>
  </si>
  <si>
    <t>N,N,N-Trimethyl-L-alanyl-L-proline betaine</t>
  </si>
  <si>
    <t>N,N,N-三甲基-L-丙氨酰-L-脯氨酸甜菜碱</t>
  </si>
  <si>
    <t>HMDB0240365</t>
  </si>
  <si>
    <t>2177265-93-7</t>
  </si>
  <si>
    <t>C[C@@H](C(=O)N1CCC[C@H]1C([O-])=O)[N+](C)(C)C</t>
  </si>
  <si>
    <t>KXONJPJIFNGMCN-IUCAKERBSA-N</t>
  </si>
  <si>
    <t>170.0810, 228.2825, 229.0693, 229.0998, 229.1543, 229.1962, 229.2067, 229.2244, 230.0316, 230.1577</t>
  </si>
  <si>
    <t>C11H20N2O3</t>
  </si>
  <si>
    <t>FT1014PR</t>
  </si>
  <si>
    <t>1-Methylcytosine</t>
  </si>
  <si>
    <t>1-甲基胞嘧啶</t>
  </si>
  <si>
    <t>HMDB0243939</t>
  </si>
  <si>
    <t>CN1C=CC(N)=NC1=O</t>
  </si>
  <si>
    <t>HWPZZUQOWRWFDB-UHFFFAOYSA-N</t>
  </si>
  <si>
    <t>C5H7N3O</t>
  </si>
  <si>
    <t>FT0472PR</t>
  </si>
  <si>
    <t>Sulfite</t>
  </si>
  <si>
    <t>酸式亚硫酸盐</t>
  </si>
  <si>
    <t>HMDB0000240</t>
  </si>
  <si>
    <t>C00094</t>
  </si>
  <si>
    <t>hsa00270,hsa00430,hsa00920</t>
  </si>
  <si>
    <t>Cysteine and methionine metabolism|Taurine and hypotaurine metabolism|Sulfur metabolism</t>
  </si>
  <si>
    <t>14265-45-3</t>
  </si>
  <si>
    <t>OS(O)=O</t>
  </si>
  <si>
    <t>LSNNMFCWUKXFEE-UHFFFAOYSA-N</t>
  </si>
  <si>
    <t>Non-metal sulfites</t>
  </si>
  <si>
    <t>非金属亚硫酸盐</t>
  </si>
  <si>
    <t>H2O3S</t>
  </si>
  <si>
    <t>FT1110PR</t>
  </si>
  <si>
    <t>dimethadione</t>
  </si>
  <si>
    <t>5,5-二甲基噁唑烷-2,4-二酮</t>
  </si>
  <si>
    <t>HMDB0061093</t>
  </si>
  <si>
    <t>CC1(C)OC(=O)N=C1O</t>
  </si>
  <si>
    <t>JYJFNDQBESEHJQ-UHFFFAOYSA-N</t>
  </si>
  <si>
    <t>FT6407PR</t>
  </si>
  <si>
    <t>Palmidin C</t>
  </si>
  <si>
    <t>棕榈苷C</t>
  </si>
  <si>
    <t>HMDB0033864</t>
  </si>
  <si>
    <t>17177-86-5</t>
  </si>
  <si>
    <t>CC1=CC2=C(C(O)=C1)C(=O)C1=C(C=CC=C1O)C2C1C2=C(C(O)=CC(C)=C2)C(=O)C2=C1C=C(O)C=C2O</t>
  </si>
  <si>
    <t>VUUFXTUVVIEIMH-UHFFFAOYSA-N</t>
  </si>
  <si>
    <t>175.2257, 216.3449, 295.2876, 302.6893, 332.9327, 337.0616, 381.0258, 468.8807, 469.4742, 516.9575</t>
  </si>
  <si>
    <t>C30H22O7</t>
  </si>
  <si>
    <t>FT1311PR</t>
  </si>
  <si>
    <t>3-Deoxy-D-arabinitol</t>
  </si>
  <si>
    <t>3-脱氧-D-阿拉伯糖醇</t>
  </si>
  <si>
    <t>HMDB0031201</t>
  </si>
  <si>
    <t>92691-36-6</t>
  </si>
  <si>
    <t>OCC(O)CC(O)CO</t>
  </si>
  <si>
    <t>VHDMXHLHMMROPO-UHFFFAOYSA-N</t>
  </si>
  <si>
    <t>C5H12O4</t>
  </si>
  <si>
    <t>FT2983PR</t>
  </si>
  <si>
    <t>4-methyl-undecanoic acid</t>
  </si>
  <si>
    <t>4-甲基十一烷酸</t>
  </si>
  <si>
    <t>LMFA01020055</t>
  </si>
  <si>
    <t>C(C)CCCCCC(C)CCC(=O)O</t>
  </si>
  <si>
    <t>OABYOCLFOSWJJT-UHFFFAOYSA-N</t>
  </si>
  <si>
    <t>200.2006, 203.1419, 205.4001, 217.4019, 218.1089, 218.1470, 218.2110, 218.2613, 219.1739, 219.2132</t>
  </si>
  <si>
    <t>C12H24O2</t>
  </si>
  <si>
    <t>FT1402PR</t>
  </si>
  <si>
    <t>Dimetridazole</t>
  </si>
  <si>
    <t>二甲硝咪唑</t>
  </si>
  <si>
    <t>HMDB0251409</t>
  </si>
  <si>
    <t>CN1C(C)=NC=C1N(=O)=O</t>
  </si>
  <si>
    <t>IBXPYPUJPLLOIN-UHFFFAOYSA-N</t>
  </si>
  <si>
    <t>C5H7N3O2</t>
  </si>
  <si>
    <t>FT1526NR</t>
  </si>
  <si>
    <t>Dimethylallyl pyrophosphate</t>
  </si>
  <si>
    <t>二甲基烯丙基焦磷酸</t>
  </si>
  <si>
    <t>HMDB0001120</t>
  </si>
  <si>
    <t>LMPR01010001</t>
  </si>
  <si>
    <t>C00235</t>
  </si>
  <si>
    <t>hsa00740,hsa00900</t>
  </si>
  <si>
    <t>Riboflavin metabolism|Terpenoid backbone biosynthesis</t>
  </si>
  <si>
    <t>R-HSA-1430728,R-HSA-191273,R-HSA-556833,R-HSA-6782315,R-HSA-6787450,R-HSA-72306,R-HSA-8953854,R-HSA-8957322</t>
  </si>
  <si>
    <t>Metabolism|Cholesterol biosynthesis|Metabolism of lipids|tRNA modification in the nucleus and cytosol|tRNA modification in the mitochondrion|tRNA processing|Metabolism of RNA|Metabolism of steroids</t>
  </si>
  <si>
    <t>358-72-5</t>
  </si>
  <si>
    <t>O(P(=O)(O)OP(O)(=O)O)C/C=C(\C)/C</t>
  </si>
  <si>
    <t>CBIDRCWHNCKSTO-UHFFFAOYSA-N</t>
  </si>
  <si>
    <t>Isoprenoid phosphates</t>
  </si>
  <si>
    <t>类异戊二烯磷酸酯</t>
  </si>
  <si>
    <t>C5H12O7P2</t>
  </si>
  <si>
    <t>FT0656PR</t>
  </si>
  <si>
    <t>3-Propyl-1H-pyrazole</t>
  </si>
  <si>
    <t>3-正丙基-吡唑</t>
  </si>
  <si>
    <t>HMDB0245977</t>
  </si>
  <si>
    <t>CCCC1=NNC=C1</t>
  </si>
  <si>
    <t>QBNRQCHCKIIYGV-UHFFFAOYSA-N</t>
  </si>
  <si>
    <t>C6H10N2</t>
  </si>
  <si>
    <t>FT6300PR</t>
  </si>
  <si>
    <t>LPC(0:0/15:0)</t>
  </si>
  <si>
    <t>CCCCCCCCCCCCCCC(=O)O[C@H](CO)COP(=O)([O-])OCC[N+](C)(C)C</t>
  </si>
  <si>
    <t>AGHWJZIEMKQLQP-JOCHJYFZSA-N</t>
  </si>
  <si>
    <t>124.2881, 164.0084, 194.3408, 237.1793, 279.0932, 300.5599, 300.7112, 341.3053, 461.2633, 504.3006</t>
  </si>
  <si>
    <t>FT1146NR</t>
  </si>
  <si>
    <t>kainic acid</t>
  </si>
  <si>
    <t>红藻氨酸</t>
  </si>
  <si>
    <t>HMDB0253757</t>
  </si>
  <si>
    <t>CC(=C)C1CNC(C1CC(O)=O)C(O)=O</t>
  </si>
  <si>
    <t>VLSMHEGGTFMBBZ-UHFFFAOYSA-N</t>
  </si>
  <si>
    <t>194.0290, 194.0476, 194.0819, 194.1029, 194.1242, 194.9061, 195.0849, 195.1382, 207.4933, 211.0481</t>
  </si>
  <si>
    <t>C10H15NO4</t>
  </si>
  <si>
    <t>FT1994PR</t>
  </si>
  <si>
    <t>3-Hydroxy-L-aspartic acid</t>
  </si>
  <si>
    <t>3-羟基-L-天冬氨酸</t>
  </si>
  <si>
    <t>HMDB0245891</t>
  </si>
  <si>
    <t>NC(C(O)C(O)=O)C(O)=O</t>
  </si>
  <si>
    <t>YYLQUHNPNCGKJQ-UHFFFAOYSA-N</t>
  </si>
  <si>
    <t>C4H7NO5</t>
  </si>
  <si>
    <t>FT1112PR</t>
  </si>
  <si>
    <t>Quinoline</t>
  </si>
  <si>
    <t>氘代喹啉</t>
  </si>
  <si>
    <t>HMDB0033731</t>
  </si>
  <si>
    <t>C06413</t>
  </si>
  <si>
    <t>91-22-5</t>
  </si>
  <si>
    <t>C1=CC=C2N=CC=CC2=C1</t>
  </si>
  <si>
    <t>SMWDFEZZVXVKRB-UHFFFAOYSA-N</t>
  </si>
  <si>
    <t>FT2944PR</t>
  </si>
  <si>
    <t>2,4-Dinitroanisole</t>
  </si>
  <si>
    <t>2,4-二硝基苯甲醚</t>
  </si>
  <si>
    <t>HMDB0245458</t>
  </si>
  <si>
    <t>COC1=C(C=C(C=C1)N(=O)=O)N(=O)=O</t>
  </si>
  <si>
    <t>CVYZVNVPQRKDLW-UHFFFAOYSA-N</t>
  </si>
  <si>
    <t>C7H6N2O5</t>
  </si>
  <si>
    <t>FT6874PR</t>
  </si>
  <si>
    <t>Gorgostane-1alpha,3beta,5alpha,6beta,11alpha,12beta-hexol 12-acetate</t>
  </si>
  <si>
    <t>Gorgostane-1α,3β,5α,6β,11α,12β-己醇12-乙酸酯</t>
  </si>
  <si>
    <t>LMST01060030</t>
  </si>
  <si>
    <t>[C@@H]1(O)[C@]2(C)[C@@]3([H])[C@H](O)[C@@H](OC(=O)C)[C@]4(C)[C@@]([H])([C@]([H])(C)[C@H]5C[C@]5(C)[C@H](C)C(C)C)CC[C@@]4([H])[C@]3([H])C[C@@H](O)[C@@]2(O)C[C@@H](O)C1</t>
  </si>
  <si>
    <t>YVIIYLNDSBRNFS-ZXYBZZKYSA-N</t>
  </si>
  <si>
    <t>Gorgostanes and derivatives</t>
  </si>
  <si>
    <t>戈尔戈斯坦及其衍生物</t>
  </si>
  <si>
    <t>213.1630, 221.1318, 223.1481, 225.1639, 237.1642, 323.2360, 338.2599, 430.3230, 476.3636, 568.4259</t>
  </si>
  <si>
    <t>C32H54O7</t>
  </si>
  <si>
    <t>FT4885PR</t>
  </si>
  <si>
    <t>6,9,12,15,18,21-Tetracosahexaynoic acid</t>
  </si>
  <si>
    <t>6,9,12,15,18,21-二十四碳六烯酸</t>
  </si>
  <si>
    <t>LMFA01030746</t>
  </si>
  <si>
    <t>C(CCCCC#CCC#CCC#CCC#CCC#CCC#CCC)(=O)O</t>
  </si>
  <si>
    <t>NLJRNNBATXZRLC-UHFFFAOYSA-N</t>
  </si>
  <si>
    <t>205.3943, 205.4129, 222.0968, 286.6696, 302.0192, 302.6977, 328.1595, 345.1911, 346.0096, 352.2372</t>
  </si>
  <si>
    <t>C24H24O2</t>
  </si>
  <si>
    <t>FT0634PR</t>
  </si>
  <si>
    <t>3,4-Diaminopyridine</t>
  </si>
  <si>
    <t>3,4-二氨基吡啶</t>
  </si>
  <si>
    <t>HMDB0246022</t>
  </si>
  <si>
    <t>NC1=CNC=CC1=N</t>
  </si>
  <si>
    <t>OYTKINVCDFNREN-UHFFFAOYSA-N</t>
  </si>
  <si>
    <t>C5H7N3</t>
  </si>
  <si>
    <t>FT3728NR</t>
  </si>
  <si>
    <t>Naftopidil</t>
  </si>
  <si>
    <t>萘哌地尔</t>
  </si>
  <si>
    <t>HMDB0255427</t>
  </si>
  <si>
    <t>COC1=CC=CC=C1N1CCN(CC(O)COC2=CC=CC3=CC=CC=C23)CC1</t>
  </si>
  <si>
    <t>HRRBJVNMSRJFHQ-UHFFFAOYSA-N</t>
  </si>
  <si>
    <t>66.39555, 69.07281, 96.95969, 110.30647, 234.45134, 294.19815, 327.22971, 373.8027, 427.17871, 427.24557</t>
  </si>
  <si>
    <t>C24H28N2O3</t>
  </si>
  <si>
    <t>FT4158NR</t>
  </si>
  <si>
    <t>7-Hydroxyethyl biscoumacetate</t>
  </si>
  <si>
    <t>7-羟乙基双香豆乙酸酯</t>
  </si>
  <si>
    <t>HMDB0247259</t>
  </si>
  <si>
    <t>CCOC(=O)C(C1=C(O)C2=CC=CC=C2OC1=O)C1=C(O)C2=CC=C(O)C=C2OC1=O</t>
  </si>
  <si>
    <t>HOQKQBQANVGWAZ-UHFFFAOYSA-N</t>
  </si>
  <si>
    <t>Hydroxycoumarins</t>
  </si>
  <si>
    <t>羟基香豆素类</t>
  </si>
  <si>
    <t>C22H16O9</t>
  </si>
  <si>
    <t>FT2837NR</t>
  </si>
  <si>
    <t>Tuliposide B</t>
  </si>
  <si>
    <t>郁金香苷B</t>
  </si>
  <si>
    <t>LMFA13010038</t>
  </si>
  <si>
    <t>C(C([C@@H](O)CO)=C)(=O)O[C@H]1[C@H](O)[C@@H](O)[C@H](O)[C@@H](CO)O1</t>
  </si>
  <si>
    <t>KVRQQFBSAHPTAB-WKWISIMFSA-N</t>
  </si>
  <si>
    <t>261.1239, 261.1395, 261.1750, 262.0772, 262.1505, 284.9966, 285.0729, 319.9203, 329.0613, 330.0647</t>
  </si>
  <si>
    <t>C11H18O9</t>
  </si>
  <si>
    <t>FT1925PR</t>
  </si>
  <si>
    <t>D-Fucose</t>
  </si>
  <si>
    <t>D-岩藻糖</t>
  </si>
  <si>
    <t>HMDB0029196</t>
  </si>
  <si>
    <t>C01018</t>
  </si>
  <si>
    <t>6189-71-5</t>
  </si>
  <si>
    <t>C[C@H]1O[C@H](O)[C@H](O)[C@@H](O)[C@H]1O</t>
  </si>
  <si>
    <t>SHZGCJCMOBCMKK-PHYPRBDBSA-N</t>
  </si>
  <si>
    <t>FT4692PR</t>
  </si>
  <si>
    <t>Norgestrel</t>
  </si>
  <si>
    <t>炔诺孕酮</t>
  </si>
  <si>
    <t>HMDB0014511</t>
  </si>
  <si>
    <t>LMST02030119</t>
  </si>
  <si>
    <t>C08149</t>
  </si>
  <si>
    <t>797-63-7</t>
  </si>
  <si>
    <t>[C@]12(CC)CC[C@]3([H])[C@@]4([H])CCC(=O)C=C4CC[C@@]3([H])[C@]1([H])CC[C@@]2(O)C#C</t>
  </si>
  <si>
    <t>WWYNJERNGUHSAO-XUDSTZEESA-N</t>
  </si>
  <si>
    <t>193.1950, 205.3998, 217.1950, 235.2058, 252.9975, 253.2163, 285.1865, 313.1851, 313.2190, 330.2454</t>
  </si>
  <si>
    <t>C21H28O2</t>
  </si>
  <si>
    <t>FT5584PR</t>
  </si>
  <si>
    <t>Sphingofungin F</t>
  </si>
  <si>
    <t>鞘氨醇F</t>
  </si>
  <si>
    <t>LMSP01080066</t>
  </si>
  <si>
    <t>C(=O)([C@@](C)(N)[C@@H](O)[C@H](O)[C@@H](O)/C=C/CCCCCCC(=O)CCCCCC)O</t>
  </si>
  <si>
    <t>KEACSJIKRANUJC-NZBAJYJFSA-N</t>
  </si>
  <si>
    <t>261.1905, 293.1757, 302.6884, 302.7207, 303.1022, 341.2781, 359.1672, 359.2873, 395.6304, 419.3097</t>
  </si>
  <si>
    <t>C21H39NO6</t>
  </si>
  <si>
    <t>FT1226PR</t>
  </si>
  <si>
    <t>7-Methylhypoxanthine</t>
  </si>
  <si>
    <t>7-甲基-7H-嘌呤-6-醇</t>
  </si>
  <si>
    <t>HMDB0003162</t>
  </si>
  <si>
    <t>1006-08-2</t>
  </si>
  <si>
    <t>CN1C=NC2=C1C(=O)N=CN2</t>
  </si>
  <si>
    <t>CBQMKYHLDADRLN-UHFFFAOYSA-N</t>
  </si>
  <si>
    <t>C6H6N4O</t>
  </si>
  <si>
    <t>FT3271PR</t>
  </si>
  <si>
    <t>Imidazole citrate</t>
  </si>
  <si>
    <t>咪唑柠檬酸盐</t>
  </si>
  <si>
    <t>HMDB0253417</t>
  </si>
  <si>
    <t>OC12CC(=O)ON3C=C(OC(=O)C1)N=C3OC2=O</t>
  </si>
  <si>
    <t>VYKJZGXZKPUALN-UHFFFAOYSA-N</t>
  </si>
  <si>
    <t>195.1013, 213.9225, 219.1019, 236.1717, 236.9861, 237.0147, 237.1082, 237.1479, 237.1767, 237.2203</t>
  </si>
  <si>
    <t>C9H6N2O7</t>
  </si>
  <si>
    <t>FT6307PR</t>
  </si>
  <si>
    <t>SCHEMBL192029</t>
  </si>
  <si>
    <t>CC(C)CCC[C@@H](C)[C@H]1CC[C@H]2[C@@H]3CC=C4CC(OS(=O)(=O)O)CC[C@]4(C)[C@H]3CC[C@]12C</t>
  </si>
  <si>
    <t>BHYOQNUELFTYRT-FNOPAARDSA-N</t>
  </si>
  <si>
    <t>205.4067, 217.0324, 311.2331, 329.2108, 329.2443, 329.3101, 362.5638, 398.8606, 487.2669, 505.2762</t>
  </si>
  <si>
    <t>C27H46O4S</t>
  </si>
  <si>
    <t>FT0698PR</t>
  </si>
  <si>
    <t>(3E,5Z)-1,3,5-Heptatriene</t>
  </si>
  <si>
    <t>(3E,5Z)-1,3,5-庚三烯</t>
  </si>
  <si>
    <t>HMDB0061889</t>
  </si>
  <si>
    <t>[H]\C(C)=C(\[H])/C(/[H])=C(\[H])C=C</t>
  </si>
  <si>
    <t>USKZHEQYENVSMH-YDFGWWAZSA-N</t>
  </si>
  <si>
    <t>C7H10</t>
  </si>
  <si>
    <t>FT1299NR</t>
  </si>
  <si>
    <t>Thiolutin</t>
  </si>
  <si>
    <t>硫藤黄素</t>
  </si>
  <si>
    <t>HMDB0034228</t>
  </si>
  <si>
    <t>87-11-6</t>
  </si>
  <si>
    <t>CN1C(=O)C(NC(C)=O)=C2SSC=C12</t>
  </si>
  <si>
    <t>MHMRAFONCSQAIA-UHFFFAOYSA-N</t>
  </si>
  <si>
    <t>174.9967, 175.0323, 175.9999, 193.5001, 205.3924, 208.9845, 209.0301, 209.0441, 209.0788, 209.9872</t>
  </si>
  <si>
    <t>C8H8N2O2S2</t>
  </si>
  <si>
    <t>FT2142NR</t>
  </si>
  <si>
    <t>Zoledronate</t>
  </si>
  <si>
    <t>唑来膦酸</t>
  </si>
  <si>
    <t>HMDB0014543</t>
  </si>
  <si>
    <t>R-HSA-1430728,R-HSA-191273,R-HSA-556833,R-HSA-8957322</t>
  </si>
  <si>
    <t>Metabolism|Cholesterol biosynthesis|Metabolism of lipids|Metabolism of steroids</t>
  </si>
  <si>
    <t>118072-93-8</t>
  </si>
  <si>
    <t>OC(CN1C=CN=C1)(P(O)(O)=O)P(O)(O)=O</t>
  </si>
  <si>
    <t>XRASPMIURGNCCH-UHFFFAOYSA-N</t>
  </si>
  <si>
    <t>72.2376, 75.5298, 78.9918, 79.9570, 123.0448, 127.8201, 203.0015, 209.1898, 209.8102, 271.2278</t>
  </si>
  <si>
    <t>C5H10N2O7P2</t>
  </si>
  <si>
    <t>FT0882PR</t>
  </si>
  <si>
    <t>Pyridin-4-ylmethyldiazene</t>
  </si>
  <si>
    <t>吡啶-4-基甲基二氮烯</t>
  </si>
  <si>
    <t>HMDB0257681</t>
  </si>
  <si>
    <t>N=NCC1=CC=NC=C1</t>
  </si>
  <si>
    <t>QXWSHDPBHDZORM-UHFFFAOYSA-N</t>
  </si>
  <si>
    <t>C6H7N3</t>
  </si>
  <si>
    <t>FT3009NR</t>
  </si>
  <si>
    <t>6,11-Dihydroxy-2,2-dimethylpyrano[3,2-c]xanthen-7(2H)-one</t>
  </si>
  <si>
    <t>6,11-二羟基-2,2-二甲基吡喃[3,2-c]黄吨-7(2H)-酮</t>
  </si>
  <si>
    <t>HMDB0040357</t>
  </si>
  <si>
    <t>136364-53-9</t>
  </si>
  <si>
    <t>CC1(C)OC2=C3OC4=C(C=CC=C4O)C(=O)C3=C(O)C=C2C=C1</t>
  </si>
  <si>
    <t>FPDAJKRMMGCXCC-UHFFFAOYSA-N</t>
  </si>
  <si>
    <t>278.0719, 301.0062, 301.0665, 302.1638, 321.9553, 334.7894, 344.9992, 345.0558, 345.1551, 346.0603</t>
  </si>
  <si>
    <t>C18H14O5</t>
  </si>
  <si>
    <t>FT1123PR</t>
  </si>
  <si>
    <t>4-Trimethylammoniobutanal</t>
  </si>
  <si>
    <t>4-三甲基丁醛铵</t>
  </si>
  <si>
    <t>HMDB0001345</t>
  </si>
  <si>
    <t>C01149</t>
  </si>
  <si>
    <t>64595-66-0</t>
  </si>
  <si>
    <t>C[N+](C)(C)CCCC=O</t>
  </si>
  <si>
    <t>OITBLCDWXSXNCN-UHFFFAOYSA-N</t>
  </si>
  <si>
    <t>C7H16NO</t>
  </si>
  <si>
    <t>FT0742PR</t>
  </si>
  <si>
    <t>Cyclohexanemethylamine</t>
  </si>
  <si>
    <t>环己甲胺</t>
  </si>
  <si>
    <t>HMDB0250653</t>
  </si>
  <si>
    <t>NCC1CCCCC1</t>
  </si>
  <si>
    <t>AVKNGPAMCBSNSO-UHFFFAOYSA-N</t>
  </si>
  <si>
    <t>C7H15N</t>
  </si>
  <si>
    <t>FT0917PR</t>
  </si>
  <si>
    <t>2,3-Diaminotoluene</t>
  </si>
  <si>
    <t>2,3-二氨基甲苯</t>
  </si>
  <si>
    <t>HMDB0245386</t>
  </si>
  <si>
    <t>CC1=C(N)C(N)=CC=C1</t>
  </si>
  <si>
    <t>AXNUJYHFQHQZBE-UHFFFAOYSA-N</t>
  </si>
  <si>
    <t>C7H10N2</t>
  </si>
  <si>
    <t>FT1506PR</t>
  </si>
  <si>
    <t>AKOS006384334</t>
  </si>
  <si>
    <t>C#CC#CC=C=CCC(=O)O</t>
  </si>
  <si>
    <t>PWSBQQODAGTNHR-UHFFFAOYSA-N</t>
  </si>
  <si>
    <t>C9H6O2</t>
  </si>
  <si>
    <t>FT0713PR</t>
  </si>
  <si>
    <t>2-heptenal</t>
  </si>
  <si>
    <t>(E)-2-庚烯醛</t>
  </si>
  <si>
    <t>HMDB0033827</t>
  </si>
  <si>
    <t>LMFA06000019</t>
  </si>
  <si>
    <t>2463-63-0</t>
  </si>
  <si>
    <t>CCCC/C=C/C([H])=O</t>
  </si>
  <si>
    <t>NDFKTBCGKNOHPJ-AATRIKPKSA-N</t>
  </si>
  <si>
    <t>FT3628PR</t>
  </si>
  <si>
    <t>(2E)-4-hydroxy-3-methylbut-2-en-1-yl trihydrogen diphosphate</t>
  </si>
  <si>
    <t>1-羟基-2-甲基-2-丁烯-4-基-4-二磷酸(HDMAPP)</t>
  </si>
  <si>
    <t>LMPR01010009</t>
  </si>
  <si>
    <t>C11811</t>
  </si>
  <si>
    <t>C(O)/C(/C)=C/COP(OP(O)(O)=O)(O)=O</t>
  </si>
  <si>
    <t>MDSIZRKJVDMQOQ-GORDUTHDSA-N</t>
  </si>
  <si>
    <t>C5H12O8P2</t>
  </si>
  <si>
    <t>FT3941NR</t>
  </si>
  <si>
    <t>3alpha-androstanediol glucuronide</t>
  </si>
  <si>
    <t>3α-雄甾烷二醇葡萄糖苷酸</t>
  </si>
  <si>
    <t>HMDB10339</t>
  </si>
  <si>
    <t>LMST05010004</t>
  </si>
  <si>
    <t>C1[C@@H](O[C@H]2[C@H](O)[C@@H](O)[C@H](O)[C@@H](C(=O)O)O2)C[C@]2([H])CC[C@@]3([H])[C@]4([H])CC[C@H](O)[C@@]4(C)CC[C@]3([H])[C@@]2(C)C1</t>
  </si>
  <si>
    <t>GYNWSIBKBBWJJW-WWLGJQRMSA-N</t>
  </si>
  <si>
    <t>113.6814, 115.7482, 205.3909, 220.3508, 254.0264, 342.7286, 405.1833, 431.2415, 449.2535, 450.2561</t>
  </si>
  <si>
    <t>C25H40O8</t>
  </si>
  <si>
    <t>FT5935PR</t>
  </si>
  <si>
    <t>Thioproperazine</t>
  </si>
  <si>
    <t>硫丙拉嗪</t>
  </si>
  <si>
    <t>HMDB0015559</t>
  </si>
  <si>
    <t>316-81-4</t>
  </si>
  <si>
    <t>CN(C)S(=O)(=O)C1=CC2=C(SC3=CC=CC=C3N2CCCN2CCN(C)CC2)C=C1</t>
  </si>
  <si>
    <t>VZYCZNZBPPHOFY-UHFFFAOYSA-N</t>
  </si>
  <si>
    <t>Phenothiazines</t>
  </si>
  <si>
    <t>吩噻嗪类</t>
  </si>
  <si>
    <t>205.4128, 236.3203, 274.4420, 288.1579, 297.1240, 299.2324, 310.4290, 392.4166, 444.1455, 464.2184</t>
  </si>
  <si>
    <t>C22H30N4O2S2</t>
  </si>
  <si>
    <t>FT1569PR</t>
  </si>
  <si>
    <t>9-Methyladenine</t>
  </si>
  <si>
    <t>9-甲基腺嘌呤</t>
  </si>
  <si>
    <t>HMDB0240713</t>
  </si>
  <si>
    <t>CN1C=NC2=C(N)N=CN=C12</t>
  </si>
  <si>
    <t>WRXCXOUDSPTXNX-UHFFFAOYSA-N</t>
  </si>
  <si>
    <t>C6H7N5</t>
  </si>
  <si>
    <t>FT1127NR</t>
  </si>
  <si>
    <t>2-Ethyl-1-hexanethiol</t>
  </si>
  <si>
    <t>2-乙基己基硫醇</t>
  </si>
  <si>
    <t>HMDB0041477</t>
  </si>
  <si>
    <t>7341-17-5</t>
  </si>
  <si>
    <t>CCCCC(CC)CS</t>
  </si>
  <si>
    <t>UCJMHYXRQZYNNL-UHFFFAOYSA-N</t>
  </si>
  <si>
    <t>109.5971, 146.9381, 147.0088, 167.9121, 176.0112, 185.2590, 191.0347, 191.1074, 197.2910, 205.3902</t>
  </si>
  <si>
    <t>C8H18S</t>
  </si>
  <si>
    <t>FT2359PR</t>
  </si>
  <si>
    <t>2-Amino-2,3,6,7-tetrahydro-1H-pteridin-4-one</t>
  </si>
  <si>
    <t>2-氨基-2,3,6,7-四氢-1H-蝶啶-4-酮</t>
  </si>
  <si>
    <t>HMDB0255369</t>
  </si>
  <si>
    <t>NC1NC(=O)C2=NCCN=C2N1</t>
  </si>
  <si>
    <t>FMXISFBIIIIIAA-UHFFFAOYSA-N</t>
  </si>
  <si>
    <t>125.9865, 126.0242, 162.0647, 167.0214, 167.5052, 185.0418, 185.0792, 185.0978, 185.1154, 187.5299</t>
  </si>
  <si>
    <t>C6H9N5O</t>
  </si>
  <si>
    <t>FT1582NR</t>
  </si>
  <si>
    <t>3-Chloro-2-methyldienelactone</t>
  </si>
  <si>
    <t>3-氯-2-甲基二烯内酯</t>
  </si>
  <si>
    <t>HMDB0060368</t>
  </si>
  <si>
    <t>C18309</t>
  </si>
  <si>
    <t>CC1=C(Cl)\C(OC1=O)=C\C(O)=O</t>
  </si>
  <si>
    <t>OYEYSZZDZDSDCR-RQOWECAXSA-N</t>
  </si>
  <si>
    <t>232.5603, 232.8120, 232.9122, 232.9843, 233.0396, 233.1541, 233.2098, 233.8962, 233.9873, 234.1572</t>
  </si>
  <si>
    <t>C7H5ClO4</t>
  </si>
  <si>
    <t>FT2413NR</t>
  </si>
  <si>
    <t>N-Succinimidyl 3-(2-pyridyldithio)propionate</t>
  </si>
  <si>
    <t>氮-琥珀星氩氨-3(2-吡啶二硫代)-酸酯</t>
  </si>
  <si>
    <t>HMDB0258411</t>
  </si>
  <si>
    <t>O=C(CCSSC1=CC=CC=N1)ON1C(=O)CCC1=O</t>
  </si>
  <si>
    <t>JWDFQMWEFLOOED-UHFFFAOYSA-N</t>
  </si>
  <si>
    <t>201.0123, 231.9945, 232.9833, 233.9922, 247.0189, 278.6501, 293.0055, 294.8940, 302.6783, 302.7120</t>
  </si>
  <si>
    <t>C12H12N2O4S2</t>
  </si>
  <si>
    <t>FT4057NR</t>
  </si>
  <si>
    <t>Valyl-leucyl-lysine 4-nitroanilide</t>
  </si>
  <si>
    <t>缬氨酰-亮氨酰-赖氨酸4-硝基苯胺</t>
  </si>
  <si>
    <t>HMDB0250805</t>
  </si>
  <si>
    <t>CC(C)CC(NC(=O)C(N)C(C)C)C(=O)NC(CCCCN)C(=O)NC1=CC=C(C=C1)[N+]([O-])=O</t>
  </si>
  <si>
    <t>CAJXYXPLLJDEOB-UHFFFAOYSA-N</t>
  </si>
  <si>
    <t>373.2738, 391.2847, 392.2901, 409.2945, 439.0149, 456.7769, 459.2718, 459.4270, 460.2752, 461.7850</t>
  </si>
  <si>
    <t>C23H38N6O5</t>
  </si>
  <si>
    <t>FT0953PR</t>
  </si>
  <si>
    <t>2-(1-Propenyl)-delta1-piperideine</t>
  </si>
  <si>
    <t>2-(1-丙烯基)-δ1-哌啶</t>
  </si>
  <si>
    <t>HMDB0033365</t>
  </si>
  <si>
    <t>16543-92-3</t>
  </si>
  <si>
    <t>C\C=C/C1=NCCCC1</t>
  </si>
  <si>
    <t>SOEACRLLVZHBKW-DJWKRKHSSA-N</t>
  </si>
  <si>
    <t>C8H13N</t>
  </si>
  <si>
    <t>FT5897PR</t>
  </si>
  <si>
    <t>8-[(2R,3S)-3-(8-Hydroxyoctyl)oxiran-2-yl]octanoylcarnitine</t>
  </si>
  <si>
    <t>8-[(2R,3S)-3-(8-羟基辛基)环氧乙烷-2-基]辛酰肉碱</t>
  </si>
  <si>
    <t>HMDB0241808</t>
  </si>
  <si>
    <t>C[N+](C)(C)CC(CC([O-])=O)OC(=O)CCCCCCCC1OC1CCCCCCCCO</t>
  </si>
  <si>
    <t>CNTZQHQMTBMFEL-UHFFFAOYSA-N</t>
  </si>
  <si>
    <t>100.4956, 149.1322, 205.3979, 205.4176, 272.6544, 273.4546, 315.2519, 458.2843, 458.3471, 469.1794</t>
  </si>
  <si>
    <t>C25H47NO6</t>
  </si>
  <si>
    <t>FT3565PR</t>
  </si>
  <si>
    <t>11Z-hexadecen-1-ol</t>
  </si>
  <si>
    <t>(11Z)-11-十六碳烯-1-醇</t>
  </si>
  <si>
    <t>LMFA05000056</t>
  </si>
  <si>
    <t>C(/C=C\CCCC)CCCCCCCCCO</t>
  </si>
  <si>
    <t>RHVMNRHQWXIJIS-WAYWQWQTSA-N</t>
  </si>
  <si>
    <t>115.1446, 143.9687, 143.9866, 196.7475, 240.2683, 258.2787, 259.0786, 259.1144, 259.1509, 272.3992</t>
  </si>
  <si>
    <t>FT5407NR</t>
  </si>
  <si>
    <t>S-(9-deoxy-delta9,12-PGD2)-glutathione</t>
  </si>
  <si>
    <t>S-(9-脱氧-delta9,12-PGD2)-谷胱甘肽</t>
  </si>
  <si>
    <t>HMDB0013058</t>
  </si>
  <si>
    <t>CCCCC[C@H](O)C\C=C1/[C@H](C\C=C/CCCC(O)=O)C(CC1=O)SC[C@H](NC(=O)CC[C@@H](N)C(O)=O)C(=O)NCC(O)=O</t>
  </si>
  <si>
    <t>RPHLHZIDWIFTII-RJQMMLODSA-N</t>
  </si>
  <si>
    <t>82.5072, 99.9256, 107.4902, 116.9282, 117.9286, 274.1790, 331.5391, 505.0777, 640.2925, 641.5472</t>
  </si>
  <si>
    <t>C30H47N3O10S</t>
  </si>
  <si>
    <t>FT2944NR</t>
  </si>
  <si>
    <t>Propaphos</t>
  </si>
  <si>
    <t>丙虫磷</t>
  </si>
  <si>
    <t>HMDB0256818</t>
  </si>
  <si>
    <t>C19013</t>
  </si>
  <si>
    <t>7292-16-2</t>
  </si>
  <si>
    <t>CCCOP(=O)(OCCC)OC1=CC=C(SC)C=C1</t>
  </si>
  <si>
    <t>PWYIUEFFPNVCMW-UHFFFAOYSA-N</t>
  </si>
  <si>
    <t>Phenoxy compounds</t>
  </si>
  <si>
    <t>苯氧基化合物</t>
  </si>
  <si>
    <t>225.0640, 269.9384, 271.0694, 272.0729, 292.9763, 293.0131, 293.0514, 293.0795, 310.9876, 339.0623</t>
  </si>
  <si>
    <t>C13H21O4PS</t>
  </si>
  <si>
    <t>FT1440PR</t>
  </si>
  <si>
    <t>2-Aminonaphthalene</t>
  </si>
  <si>
    <t>2-萘胺</t>
  </si>
  <si>
    <t>HMDB0041802</t>
  </si>
  <si>
    <t>C02227</t>
  </si>
  <si>
    <t>91-59-8</t>
  </si>
  <si>
    <t>NC1=CC2=CC=CC=C2C=C1</t>
  </si>
  <si>
    <t>JBIJLHTVPXGSAM-UHFFFAOYSA-N</t>
  </si>
  <si>
    <t>FT2331PR</t>
  </si>
  <si>
    <t>7-Methylguanine</t>
  </si>
  <si>
    <t>7-甲基鸟嘌呤</t>
  </si>
  <si>
    <t>HMDB0000897</t>
  </si>
  <si>
    <t>C02242</t>
  </si>
  <si>
    <t>578-76-7</t>
  </si>
  <si>
    <t>CN1C=NC2=C1C(=O)N=C(N)N2</t>
  </si>
  <si>
    <t>FZWGECJQACGGTI-UHFFFAOYSA-N</t>
  </si>
  <si>
    <t>C6H7N5O</t>
  </si>
  <si>
    <t>FT5304PR</t>
  </si>
  <si>
    <t>Isopentenyladenine-9-N-glucoside</t>
  </si>
  <si>
    <t>9-N-异戊烯基腺嘌呤-葡萄糖苷</t>
  </si>
  <si>
    <t>HMDB0012240</t>
  </si>
  <si>
    <t>83087-94-9</t>
  </si>
  <si>
    <t>CC(C)=CCNC1=NC=NC2=C1N=CN2[C@@H]1O[C@H](CO)[C@@H](O)[C@H](O)[C@H]1O</t>
  </si>
  <si>
    <t>XEHLLUQVSRLWMH-HDNYONAXSA-N</t>
  </si>
  <si>
    <t>205.4056, 230.2443, 240.6505, 286.6922, 302.7118, 310.9217, 327.1434, 383.2035, 383.2749, 383.3277</t>
  </si>
  <si>
    <t>C16H23N5O5</t>
  </si>
  <si>
    <t>FT5445NR</t>
  </si>
  <si>
    <t>Glucosaminylmuramyl-2-alanine-D-isoglutamine</t>
  </si>
  <si>
    <t>葡萄糖胺胞壁酰-2-丙氨酸-D-异谷氨酰胺</t>
  </si>
  <si>
    <t>HMDB0259500</t>
  </si>
  <si>
    <t>CC(NC(=O)C(C)OC1C(NC(C)=O)C(O)OC(CO)C1OC1OC(CO)C(O)C(O)C1N)C(=O)NC(CCC(N)=O)C(O)=O</t>
  </si>
  <si>
    <t>MXMOFDISXOBSJM-UHFFFAOYSA-N</t>
  </si>
  <si>
    <t>302.7029, 386.3094, 448.3060, 452.2765, 470.2888, 516.2274, 516.2932, 517.2971, 584.2793, 652.2686</t>
  </si>
  <si>
    <t>C25H43N5O15</t>
  </si>
  <si>
    <t>FT0538PR</t>
  </si>
  <si>
    <t>N-Acetylcysteamine</t>
  </si>
  <si>
    <t>N-乙酰基半胱胺</t>
  </si>
  <si>
    <t>HMDB0255064</t>
  </si>
  <si>
    <t>CC(=O)NCCS</t>
  </si>
  <si>
    <t>AXFZADXWLMXITO-UHFFFAOYSA-N</t>
  </si>
  <si>
    <t>C4H9NOS</t>
  </si>
  <si>
    <t>FT1222PR</t>
  </si>
  <si>
    <t>3-Methyl sulfolene</t>
  </si>
  <si>
    <t>3-甲基-3-环丁烯砜</t>
  </si>
  <si>
    <t>HMDB0059667</t>
  </si>
  <si>
    <t>CC1=CCS(=O)(=O)C1</t>
  </si>
  <si>
    <t>FAYFWMOSHFCQPG-UHFFFAOYSA-N</t>
  </si>
  <si>
    <t>Dihydrothiophenes</t>
  </si>
  <si>
    <t>二氢噻吩类</t>
  </si>
  <si>
    <t>C5H8O2S</t>
  </si>
  <si>
    <t>FT1623PR</t>
  </si>
  <si>
    <t>1-(5-Methyl-2-furanyl)-1,2-propanedione</t>
  </si>
  <si>
    <t>1-(5-甲基-2-呋喃基)-1,2-丙二酮</t>
  </si>
  <si>
    <t>HMDB0033003</t>
  </si>
  <si>
    <t>1197-20-2</t>
  </si>
  <si>
    <t>CC(=O)C(=O)C1=CC=C(C)O1</t>
  </si>
  <si>
    <t>CSILYJHAPLAXTQ-UHFFFAOYSA-N</t>
  </si>
  <si>
    <t>FT4287NR</t>
  </si>
  <si>
    <t>N-palmitoyl alpha,O-dimethyl tyrosine</t>
  </si>
  <si>
    <t>N-棕榈酰α,O-二甲基酪氨酸</t>
  </si>
  <si>
    <t>LMFA08020316</t>
  </si>
  <si>
    <t>C1(C=CC(OC)=CC=1)C[C@](C)(NC(CCCCCCCCCCCCCCC)=O)C(=O)O</t>
  </si>
  <si>
    <t>PDVOGCLXKASLHC-MHZLTWQESA-N</t>
  </si>
  <si>
    <t>124.0096, 125.0175, 205.3847, 205.4056, 257.2128, 335.2530, 379.2434, 395.2380, 423.2318, 482.2902</t>
  </si>
  <si>
    <t>C27H45NO4</t>
  </si>
  <si>
    <t>FT5794NR</t>
  </si>
  <si>
    <t>PC(6 keto-PGF1alpha/18:2)</t>
  </si>
  <si>
    <t>磷脂酰胆碱(6 keto-PGF1alpha/18:2)</t>
  </si>
  <si>
    <t>HMDB0286548</t>
  </si>
  <si>
    <t>CCCCC\C=C/C\C=C/CCCCCCCC(=O)O[C@H](COC(=O)CCCCC(=O)C[C@H]1[C@@H](O)C[C@@H](O)[C@@H]1\C=C\[C@@H](O)CCCCC)COP([O-])(=O)OCC[N+](C)(C)C</t>
  </si>
  <si>
    <t>SGNPUITVKXDZRF-PBOYMOADSA-N</t>
  </si>
  <si>
    <t>112.9854, 122.3922, 135.9156, 144.7476, 177.7882, 205.3974, 311.8345, 784.2455, 811.0765, 870.5477</t>
  </si>
  <si>
    <t>C46H82NO12P</t>
  </si>
  <si>
    <t>FT5017NR</t>
  </si>
  <si>
    <t>AKOS016036387</t>
  </si>
  <si>
    <t>CC1(C)C(=O)CC[C@]2(C)[C@H]3C(=O)C=C4[C@@H]5C[C@@](C)(C(O)=NCC(=O)O)CC[C@]5(C)CC[C@@]4(C)[C@]3(C)CC[C@@H]12</t>
  </si>
  <si>
    <t>PRHURLNBNKNETM-PJVJLJBPSA-N</t>
  </si>
  <si>
    <t>75.0086, 99.4010, 134.2192, 205.3856, 235.1106, 255.2346, 480.3098, 502.2949, 516.1100, 570.3422</t>
  </si>
  <si>
    <t>C32H47NO5</t>
  </si>
  <si>
    <t>FT0827PR</t>
  </si>
  <si>
    <t>Dihydro-4-mercapto-3(2H)-furanone</t>
  </si>
  <si>
    <t>二氢-4-巯基-3(2H)-呋喃酮</t>
  </si>
  <si>
    <t>HMDB0039786</t>
  </si>
  <si>
    <t>56078-98-9</t>
  </si>
  <si>
    <t>SC1COCC1=O</t>
  </si>
  <si>
    <t>CBMFNAVNFZNJMZ-UHFFFAOYSA-N</t>
  </si>
  <si>
    <t>C4H6O2S</t>
  </si>
  <si>
    <t>FT0510PR</t>
  </si>
  <si>
    <t>Hydantoin</t>
  </si>
  <si>
    <t>海因</t>
  </si>
  <si>
    <t>HMDB0253235</t>
  </si>
  <si>
    <t>C05146</t>
  </si>
  <si>
    <t>461-72-3</t>
  </si>
  <si>
    <t>O=C1CNC(=O)N1</t>
  </si>
  <si>
    <t>WJRBRSLFGCUECM-UHFFFAOYSA-N</t>
  </si>
  <si>
    <t>C3H4N2O2</t>
  </si>
  <si>
    <t>FT3200PR</t>
  </si>
  <si>
    <t>Phosphovanillin</t>
  </si>
  <si>
    <t>磷酸香草醛</t>
  </si>
  <si>
    <t>HMDB0256496</t>
  </si>
  <si>
    <t>COC1=C(OP(O)(O)=O)C=CC(C=O)=C1</t>
  </si>
  <si>
    <t>GSWZGTLWVRFGIJ-UHFFFAOYSA-N</t>
  </si>
  <si>
    <t>C8H9O6P</t>
  </si>
  <si>
    <t>FT1448PR</t>
  </si>
  <si>
    <t>Benzofuran ketone</t>
  </si>
  <si>
    <t>苯并呋喃酮</t>
  </si>
  <si>
    <t>HMDB0249015</t>
  </si>
  <si>
    <t>O=C1C2=C1C1=CC=CC=C1O2</t>
  </si>
  <si>
    <t>HYSGXRRVQXJFBA-UHFFFAOYSA-N</t>
  </si>
  <si>
    <t>122.0120, 131.0173, 131.3851, 142.5262, 144.9825, 145.0526, 145.0645, 145.0860, 145.1016, 146.0608</t>
  </si>
  <si>
    <t>C9H4O2</t>
  </si>
  <si>
    <t>FT3640PR</t>
  </si>
  <si>
    <t>2-amino-3(4[methoxy]-3,5-dichlorophenyl)propanoic acid</t>
  </si>
  <si>
    <t>2-氨基-3(4-甲氧基-3,5-二氯苯基)丙酸</t>
  </si>
  <si>
    <t>COc1c(Cl)cc(CC(N)C(=O)O)cc1Cl</t>
  </si>
  <si>
    <t>ZSUQOXQAJJUKLS-UHFFFAOYSA-N</t>
  </si>
  <si>
    <t>C10H11Cl2NO3</t>
  </si>
  <si>
    <t>FT4440NR</t>
  </si>
  <si>
    <t>Tert-butyl 4-[4-[(2-chloro-5-nitrobenzoyl)amino]phenyl]piperazine-1-carboxylate</t>
  </si>
  <si>
    <t xml:space="preserve"> 4-[4-[(2-氯-5-硝基苯甲酰基)氨基]苯基]哌嗪-1-甲酸叔丁酯</t>
  </si>
  <si>
    <t>HMDB0258098</t>
  </si>
  <si>
    <t>CC(C)(C)OC(=O)N1CCN(CC1)C1=CC=C(NC(=O)C2=C(Cl)C=CC(=C2)[N+]([O-])=O)C=C1</t>
  </si>
  <si>
    <t>ZHFXMKLWVVBJRC-UHFFFAOYSA-N</t>
  </si>
  <si>
    <t>173.1640, 204.6388, 256.8869, 345.1428, 369.1304, 369.1731, 437.1048, 437.1606, 437.2296, 505.1518</t>
  </si>
  <si>
    <t>C22H25ClN4O5</t>
  </si>
  <si>
    <t>FT1587NR</t>
  </si>
  <si>
    <t>Acetyl citrate</t>
  </si>
  <si>
    <t>乙酰柠檬酸酯</t>
  </si>
  <si>
    <t>HMDB0059808</t>
  </si>
  <si>
    <t>CC(=O)OC(=O)CC(O)(CC(O)=O)C(O)=O</t>
  </si>
  <si>
    <t>WWXUGNUFCNYMFK-UHFFFAOYSA-N</t>
  </si>
  <si>
    <t>C8H10O8</t>
  </si>
  <si>
    <t>FT3199NR</t>
  </si>
  <si>
    <t>Zanamivir</t>
  </si>
  <si>
    <t>扎那米韦</t>
  </si>
  <si>
    <t>HMDB0014698</t>
  </si>
  <si>
    <t>C08095</t>
  </si>
  <si>
    <t>139110-80-8</t>
  </si>
  <si>
    <t>[H][C@]1(OC(=C[C@H](N=C(N)N)[C@H]1NC(C)=O)C(O)=O)[C@H](O)[C@H](O)CO</t>
  </si>
  <si>
    <t>ARAIBEBZBOPLMB-UFGQHTETSA-N</t>
  </si>
  <si>
    <t>293.9226, 307.0840, 323.0047, 365.3181, 366.9941, 367.1048, 367.1888, 367.2151, 368.1080, 368.9063</t>
  </si>
  <si>
    <t>C12H20N4O7</t>
  </si>
  <si>
    <t>FT2699PR</t>
  </si>
  <si>
    <t>Dimethylguanidino valeric acid</t>
  </si>
  <si>
    <t>精氨酸杂质</t>
  </si>
  <si>
    <t>HMDB0240212</t>
  </si>
  <si>
    <t>107347-90-0</t>
  </si>
  <si>
    <t>CN(C)C(=N)NCCCC(=O)C(O)=O</t>
  </si>
  <si>
    <t>GLWRPXRMUUZNMD-UHFFFAOYSA-N</t>
  </si>
  <si>
    <t>C8H15N3O3</t>
  </si>
  <si>
    <t>FT5446PR</t>
  </si>
  <si>
    <t>Xanthylic acid</t>
  </si>
  <si>
    <t>黄苷-5'-单磷酸</t>
  </si>
  <si>
    <t>HMDB0001554</t>
  </si>
  <si>
    <t>C00655</t>
  </si>
  <si>
    <t>523-98-8</t>
  </si>
  <si>
    <t>O[C@@H]1[C@@H](COP(O)(O)=O)O[C@H]([C@@H]1O)N1C=NC2=C1NC(=O)NC2=O</t>
  </si>
  <si>
    <t>DCTLYFZHFGENCW-UUOKFMHZSA-N</t>
  </si>
  <si>
    <t>C10H13N4O9P</t>
  </si>
  <si>
    <t>FT2621NR</t>
  </si>
  <si>
    <t>2-Hydroxysaclofen</t>
  </si>
  <si>
    <t>3-氨基-2-4-氯苯基-2-羟基丙烷磺酸</t>
  </si>
  <si>
    <t>HMDB0245169</t>
  </si>
  <si>
    <t>117354-64-0</t>
  </si>
  <si>
    <t>NCC(O)(CS(O)(=O)=O)C1=CC=C(Cl)C=C1</t>
  </si>
  <si>
    <t>WBSMZVIMANOCNX-UHFFFAOYSA-N</t>
  </si>
  <si>
    <t>127.3312, 139.0402, 141.0194, 174.9567, 181.0501, 221.4331, 225.0148, 225.0401, 225.9640, 310.0177</t>
  </si>
  <si>
    <t>C9H12ClNO4S</t>
  </si>
  <si>
    <t>FT2285NR</t>
  </si>
  <si>
    <t>Risedronate</t>
  </si>
  <si>
    <t>利塞膦酸-D4</t>
  </si>
  <si>
    <t>HMDB0015022</t>
  </si>
  <si>
    <t>C08233</t>
  </si>
  <si>
    <t>105462-24-6</t>
  </si>
  <si>
    <t>OC(CC1=CN=CC=C1)(P(O)(O)=O)P(O)(O)=O</t>
  </si>
  <si>
    <t>IIDJRNMFWXDHID-UHFFFAOYSA-N</t>
  </si>
  <si>
    <t>C7H11NO7P2</t>
  </si>
  <si>
    <t>FT4539PR</t>
  </si>
  <si>
    <t>12R-hydroxy-octadecanoic acid</t>
  </si>
  <si>
    <t xml:space="preserve"> 12R-羟基十八烷酸</t>
  </si>
  <si>
    <t>LMFA02000232</t>
  </si>
  <si>
    <t>C(CCCCCCCCCC[C@H](O)CCCCCC)(=O)O</t>
  </si>
  <si>
    <t>ULQISTXYYBZJSJ-QGZVFWFLSA-N</t>
  </si>
  <si>
    <t>316.8758, 318.1869, 318.2103, 318.2998, 318.3688, 318.3870, 318.4340, 319.3021, 319.7285, 319.7677</t>
  </si>
  <si>
    <t>FT1205PR</t>
  </si>
  <si>
    <t>Benzenepropanenitrile</t>
  </si>
  <si>
    <t>苯代丙腈</t>
  </si>
  <si>
    <t>HMDB0034236</t>
  </si>
  <si>
    <t>645-59-0</t>
  </si>
  <si>
    <t>N#CCCC1=CC=CC=C1</t>
  </si>
  <si>
    <t>ACRWYXSKEHUQDB-UHFFFAOYSA-N</t>
  </si>
  <si>
    <t>131.9305, 131.9679, 132.0440, 132.0807, 132.0995, 132.1038, 133.0286, 133.0652, 133.0845, 133.1012</t>
  </si>
  <si>
    <t>C9H9N</t>
  </si>
  <si>
    <t>FT0849NR</t>
  </si>
  <si>
    <t>keto-1,4-benzoquinone</t>
  </si>
  <si>
    <t>酮-1,4-苯醌</t>
  </si>
  <si>
    <t>HMDB0253785</t>
  </si>
  <si>
    <t>O=C1CC(=O)C(=O)C=C1</t>
  </si>
  <si>
    <t>UMQKCVIQVNOKLY-UHFFFAOYSA-N</t>
  </si>
  <si>
    <t>C6H4O3</t>
  </si>
  <si>
    <t>FT1672NR</t>
  </si>
  <si>
    <t>Temozolomide</t>
  </si>
  <si>
    <t>替莫唑胺</t>
  </si>
  <si>
    <t>HMDB0014991</t>
  </si>
  <si>
    <t>85622-93-1</t>
  </si>
  <si>
    <t>CN1N=NC2=C(N=CN2C1=O)C(N)=O</t>
  </si>
  <si>
    <t>BPEGJWRSRHCHSN-UHFFFAOYSA-N</t>
  </si>
  <si>
    <t>Imidazotetrazines</t>
  </si>
  <si>
    <t>咪唑四嗪类</t>
  </si>
  <si>
    <t>C6H6N6O2</t>
  </si>
  <si>
    <t>FT4649NR</t>
  </si>
  <si>
    <t>POV-PE</t>
  </si>
  <si>
    <t>在第一视角中</t>
  </si>
  <si>
    <t>LMGP20020030</t>
  </si>
  <si>
    <t>[C@](COP(=O)(O)OCCN)([H])(OC(CCCC(=O)[H])=O)COC(CCCCCCCCCCCCCCC)=O</t>
  </si>
  <si>
    <t>NMWPZVLQFDIILH-XMMPIXPASA-N</t>
  </si>
  <si>
    <t>265.8878, 267.2694, 290.0763, 302.6813, 305.8965, 319.5955, 339.7863, 464.3135, 472.1312, 532.2993</t>
  </si>
  <si>
    <t>C26H50NO9P</t>
  </si>
  <si>
    <t>FT4491NR</t>
  </si>
  <si>
    <t>4-keto pentadecanoic acid</t>
  </si>
  <si>
    <t>4-酮十五烷酸</t>
  </si>
  <si>
    <t>LMFA01060047</t>
  </si>
  <si>
    <t>C(CCCCCCCCCC)C(=O)CCC(=O)O</t>
  </si>
  <si>
    <t>PFJKZQUXOYQRNT-UHFFFAOYSA-N</t>
  </si>
  <si>
    <t>373.1794, 403.4832, 415.2761, 446.9205, 449.4011, 451.3780, 489.1212, 493.3889, 511.3994, 512.4007</t>
  </si>
  <si>
    <t>C15H28O3</t>
  </si>
  <si>
    <t>FT4827PR</t>
  </si>
  <si>
    <t>Methyl triclosan</t>
  </si>
  <si>
    <t>三氯生甲酯</t>
  </si>
  <si>
    <t>HMDB0254618</t>
  </si>
  <si>
    <t>COC1=C(OC2=C(Cl)C=C(Cl)C=C2)C=CC(Cl)=C1</t>
  </si>
  <si>
    <t>NLYDHBBTVWMLFD-UHFFFAOYSA-N</t>
  </si>
  <si>
    <t>222.8675, 222.8887, 224.8647, 244.8698, 262.4286, 272.7947, 272.9440, 280.8897, 304.8250, 362.2951</t>
  </si>
  <si>
    <t>C13H9Cl3O2</t>
  </si>
  <si>
    <t>FT1874NR</t>
  </si>
  <si>
    <t>[(5-methyl-1,3-dithiolan-4-ylidene)amino] N-methylcarbamate</t>
  </si>
  <si>
    <t xml:space="preserve"> [(5-甲基-1,3-二硫杂环戊烷-4-亚基)氨基]N-甲基氨基甲酸酯</t>
  </si>
  <si>
    <t>HMDB0242147</t>
  </si>
  <si>
    <t>CN=C(O)ON=C1SCSC1C</t>
  </si>
  <si>
    <t>XBGUTAISSLTGIB-UHFFFAOYSA-N</t>
  </si>
  <si>
    <t>Dithiolanes</t>
  </si>
  <si>
    <t>1,3-dithiolanes</t>
  </si>
  <si>
    <t>二硫杂环戊烷</t>
  </si>
  <si>
    <t xml:space="preserve"> 1,3-二硫杂环戊烷</t>
  </si>
  <si>
    <t>183.0294, 183.0797, 184.0335, 205.3808, 205.4003, 223.9050, 249.0166, 250.1452, 251.0170, 251.1484</t>
  </si>
  <si>
    <t>C6H10N2O2S2</t>
  </si>
  <si>
    <t>FT0236NR</t>
  </si>
  <si>
    <t>Formyl 3-hydroxybutanoate</t>
  </si>
  <si>
    <t>3-羟基丁酸甲酰酯</t>
  </si>
  <si>
    <t>HMDB0257659</t>
  </si>
  <si>
    <t>CC(O)CC(=O)OC=O</t>
  </si>
  <si>
    <t>QMGUAHPNVSCSPM-UHFFFAOYSA-N</t>
  </si>
  <si>
    <t>C5H8O4</t>
  </si>
  <si>
    <t>FT2541PR</t>
  </si>
  <si>
    <t>Alanine lactate</t>
  </si>
  <si>
    <t>丙氨酸乳酸</t>
  </si>
  <si>
    <t>HMDB0248104</t>
  </si>
  <si>
    <t>CC(N)C(=O)OOC(=O)C(C)O</t>
  </si>
  <si>
    <t>WNPMYHXPMKZUHK-UHFFFAOYSA-N</t>
  </si>
  <si>
    <t>C6H11NO5</t>
  </si>
  <si>
    <t>FT5343NR</t>
  </si>
  <si>
    <t>Brainesteroside E</t>
  </si>
  <si>
    <t>脑甾苷E</t>
  </si>
  <si>
    <t>LMST01010436</t>
  </si>
  <si>
    <t>C1[C@H](O)[C@H](O[C@H]2[C@H](O)[C@@H](O)[C@H](O)[C@@H](CO)O2)C[C@]2([H])C(=O)C=C3[C@@](CC[C@]4([C@@]3(O)CC[C@]4([H])[C@](O)(C)[C@H](O)CCC(C)C)C)([H])[C@]21C</t>
  </si>
  <si>
    <t>CNAKQRUFJWYXIC-RZRISBNSSA-N</t>
  </si>
  <si>
    <t>78.1391, 78.1450, 87.3142, 87.3204, 205.3875, 238.2176, 250.8059, 477.2497, 571.6338, 625.3591</t>
  </si>
  <si>
    <t>C33H54O11</t>
  </si>
  <si>
    <t>FT1530NR</t>
  </si>
  <si>
    <t>Dimethyltriazenoimidazole carboxamide</t>
  </si>
  <si>
    <t>二甲基三氮杂咪唑甲酰胺</t>
  </si>
  <si>
    <t>HMDB0258139</t>
  </si>
  <si>
    <t>CN(C)N=NC1=CN=C(N1)C(N)=O</t>
  </si>
  <si>
    <t>IQBBLPBSHOILKP-UHFFFAOYSA-N</t>
  </si>
  <si>
    <t>127.0007, 130.9836, 146.4609, 150.6062, 158.9783, 159.1023, 160.1064, 227.0902, 227.1290, 227.1654</t>
  </si>
  <si>
    <t>C6H10N6O</t>
  </si>
  <si>
    <t>FT5052PR</t>
  </si>
  <si>
    <t>3Z,6Z,9Z,12Z,15Z-Pentacosapentaene</t>
  </si>
  <si>
    <t>3Z,6Z,9Z,12Z,15Z-二十五碳五烯</t>
  </si>
  <si>
    <t>LMFA11000179</t>
  </si>
  <si>
    <t>CC/C=C\C/C=C\C/C=C\C/C=C\C/C=C\CCCCCCCCC</t>
  </si>
  <si>
    <t>OSRWRHWPSOAWEM-UCBGEFNCSA-N</t>
  </si>
  <si>
    <t>Unsaturated aliphatic hydrocarbons</t>
  </si>
  <si>
    <t>不饱和脂肪烃</t>
  </si>
  <si>
    <t>367.3807, 367.4400, 370.9835, 371.0434, 374.6406, 376.5157, 378.2371, 378.3627, 380.2533, 382.1355</t>
  </si>
  <si>
    <t>C25H42</t>
  </si>
  <si>
    <t>FT2168PR</t>
  </si>
  <si>
    <t>6-Methylnonan-3-one</t>
  </si>
  <si>
    <t>6-甲基壬南-3-酮</t>
  </si>
  <si>
    <t>LMFA12000142</t>
  </si>
  <si>
    <t>CCC(=O)CCC(C)CCC</t>
  </si>
  <si>
    <t>PULXPCACRCTXMF-UHFFFAOYSA-N</t>
  </si>
  <si>
    <t>FT5863NR</t>
  </si>
  <si>
    <t>Ganglioside GA2 (d18:1/12:0)</t>
  </si>
  <si>
    <t>神经节苷脂 GA2 (d18:1/12:0)</t>
  </si>
  <si>
    <t>HMDB0004888</t>
  </si>
  <si>
    <t>CCCCCCCCCCCCC\C=C\[C@@H](O)[C@H](CO[C@@H]1O[C@H](CO)[C@@H](O[C@@H]2O[C@H](CO)[C@H](O[C@@H]3O[C@H](CO)[C@H](O)[C@H](O)[C@H]3NC(C)=O)[C@H](O)[C@H]2O)[C@H](O)C1O)NC(=O)CCCCCCCCCCC</t>
  </si>
  <si>
    <t>XXEIIEJSVKUHCZ-SJVSDXKXSA-N</t>
  </si>
  <si>
    <t>327.2327, 476.2778, 500.2772, 524.1856, 524.2770, 525.2775, 687.2795, 711.8211, 853.0067, 1043.6122</t>
  </si>
  <si>
    <t>C50H92N2O18</t>
  </si>
  <si>
    <t>FT1959PR</t>
  </si>
  <si>
    <t>5-Ethyl-1,2,3,4,5,6-hexahydro-7H-cyclopenta[b]pyridin-7-one</t>
  </si>
  <si>
    <t>5-乙基-1,2,3,4,5,6-六氢-7H-环戊[b]吡啶-7-酮</t>
  </si>
  <si>
    <t>HMDB0039665</t>
  </si>
  <si>
    <t>104704-37-2</t>
  </si>
  <si>
    <t>CCC1CC(=O)C2=C1CCCN2</t>
  </si>
  <si>
    <t>NGMCKGVAXGETLC-UHFFFAOYSA-N</t>
  </si>
  <si>
    <t>FT2207PR</t>
  </si>
  <si>
    <t>SCHEMBL3486600</t>
  </si>
  <si>
    <t>CCC(CCCC=O)C(=O)O</t>
  </si>
  <si>
    <t>WVVSINSUNXDETP-UHFFFAOYSA-N</t>
  </si>
  <si>
    <t>176.0910, 176.1003, 176.1074, 176.1280, 176.1571, 176.1640, 176.1770, 176.7202, 177.0246, 177.1312</t>
  </si>
  <si>
    <t>FT5113NR</t>
  </si>
  <si>
    <t>[1,1'-Biphenyl]-4-carbonitrile, 4'-(heptyloxy)-</t>
  </si>
  <si>
    <t>4-庚氧基-4'-氰基联苯</t>
  </si>
  <si>
    <t>HMDB0246906</t>
  </si>
  <si>
    <t>CCCCCCCOC1=CC=C(C=C1)C1=CC=C(C=C1)C#N</t>
  </si>
  <si>
    <t>JPBFKTCKZLMJED-UHFFFAOYSA-N</t>
  </si>
  <si>
    <t>75.3817, 157.7273, 165.2995, 205.3867, 205.4051, 299.7418, 302.7025, 508.3374, 553.1801, 585.3511</t>
  </si>
  <si>
    <t>C20H23NO</t>
  </si>
  <si>
    <t>FT2827PR</t>
  </si>
  <si>
    <t>Dihydralazine</t>
  </si>
  <si>
    <t>双肼酞嗪</t>
  </si>
  <si>
    <t>HMDB0251288</t>
  </si>
  <si>
    <t>NN=C1NNC(=NN)C2=CC=CC=C12</t>
  </si>
  <si>
    <t>VQKLRVZQQYVIJW-UHFFFAOYSA-N</t>
  </si>
  <si>
    <t>171.9786, 174.4821, 188.4790, 197.4837, 207.9885, 208.0956, 208.1302, 221.9512, 223.9459, 224.0980</t>
  </si>
  <si>
    <t>C8H10N6</t>
  </si>
  <si>
    <t>FT0066NR</t>
  </si>
  <si>
    <t>Carbon dioxide</t>
  </si>
  <si>
    <t>二氧化锍</t>
  </si>
  <si>
    <t>HMDB0001967</t>
  </si>
  <si>
    <t>C00011</t>
  </si>
  <si>
    <t>hsa00220,hsa00230,hsa00260,hsa00630,hsa00785,hsa00910,hsa04964,hsa04966,hsa04970,hsa04971,hsa04972,hsa04973,hsa04974,hsa04976</t>
  </si>
  <si>
    <t>Arginine biosynthesis|Purine metabolism|Glycine, serine and threonine metabolism|Glyoxylate and dicarboxylate metabolism|Lipoic acid metabolism|Nitrogen metabolism|Proximal tubule bicarbonate reclamation|Collecting duct acid secretion|Salivary secretion|Gastric acid secretion|Pancreatic secretion|Carbohydrate digestion and absorption|Protein digestion and absorption|Bile secretion</t>
  </si>
  <si>
    <t>R-HSA-112122,R-HSA-112126,R-HSA-112310,R-HSA-112315,R-HSA-112316,R-HSA-1222556,R-HSA-1234174,R-HSA-1234176,R-HSA-1237044,R-HSA-1247673,R-HSA-1428517,R-HSA-1430728,R-HSA-1474244,R-HSA-1474290,R-HSA-1475029,R-HSA-1480926,R-HSA-1483206,R-HSA-1483213,R-HSA-1483257,R-HSA-15869,R-HSA-159740,R-HSA-159854,R-HSA-1614558,R-HSA-1614635,R-HSA-162582,R-HSA-163841,R-HSA-1640170,R-HSA-1643685,R-HSA-1650814,R-HSA-1660661,R-HSA-168249,R-HSA-168256,R-HSA-189445,R-HSA-189451,R-HSA-191273,R-HSA-194315,R-HSA-195258,R-HSA-196757,R-HSA-196783,R-HSA-196807,R-HSA-196849,R-HSA-196854,R-HSA-199220,R-HSA-2046104,R-HSA-2046105,R-HSA-2046106,R-HSA-209776,R-HSA-209905,R-HSA-209931,R-HSA-212165,R-HSA-2142789,R-HSA-2262752,R-HSA-2299718,R-HSA-3214842,R-HSA-3247509,R-HSA-351143,R-HSA-351202,R-HSA-382551,R-HSA-389542,R-HSA-389599,R-HSA-389661,R-HSA-390247,R-HSA-390918,R-HSA-392499,R-HSA-428157,R-HSA-446193,R-HSA-446199,R-HSA-446203,R-HSA-446219,R-HSA-4839726,R-HSA-500753,R-HSA-5221030,R-HSA-556833,R-HSA-5625740,R-HSA-5625886,R-HSA-5661270,R-HSA-5662702,R-HSA-597592,R-HSA-6782315,R-HSA-6782861,R-HSA-6783984,R-HSA-68875,R-HSA-68886,R-HSA-69278,R-HSA-70263,R-HSA-70268,R-HSA-70326,R-HSA-70895,R-HSA-70921,R-HSA-71032,R-HSA-71064,R-HSA-71240,R-HSA-71262,R-HSA-71291,R-HSA-71336,R-HSA-71387,R-HSA-71403,R-HSA-71406,R-HSA-72306,R-HSA-73621,R-HSA-73817,R-HSA-73894,R-HSA-73942,R-HSA-73943,R-HSA-74160,R-HSA-75105,R-HSA-75876,R-HSA-77289,R-HSA-888568,R-HSA-888590,R-HSA-8953854,R-HSA-8953897,R-HSA-8956319,R-HSA-8956320,R-HSA-8957322,R-HSA-8963684,R-HSA-8963691,R-HSA-8963693,R-HSA-8978868,R-HSA-8978934,R-HSA-9651496,R-HSA-9668250,R-HSA-9671793,R-HSA-9673240,R-HSA-9716542</t>
  </si>
  <si>
    <t>ALKBH2 mediated reversal of alkylation damage|ALKBH3 mediated reversal of alkylation damage|Neurotransmitter release cycle|Transmission across Chemical Synapses|Neuronal System|ROS and RNS production in phagocytes|Cellular response to hypoxia|Oxygen-dependent proline hydroxylation of Hypoxia-inducible Factor Alpha|Erythrocytes take up carbon dioxide and release oxygen|Erythrocytes take up oxygen and release carbon dioxide|The citric acid (TCA) cycle and respiratory electron transport|Metabolism|Extracellular matrix organization|Collagen formation|Reversible hydration of carbon dioxide|O2/CO2 exchange in erythrocytes|Glycerophospholipid biosynthesis|Synthesis of PE|Phospholipid metabolism|Metabolism of nucleotides|Gamma-carboxylation of protein precursors|Gamma-carboxylation, transport, and amino-terminal cleavage of proteins|Degradation of cysteine and homocysteine|Sulfur amino acid metabolism|Signal Transduction|Gamma carboxylation, hypusine formation and arylsulfatase activation|Cell Cycle|Disease|Collagen biosynthesis and modifying enzymes|Sphingolipid de novo biosynthesis|Innate Immune System|Immune System|Metabolism of porphyrins|Heme biosynthesis|Cholesterol biosynthesis|Signaling by Rho GTPases|RHO GTPase Effectors|Metabolism of folate and pterines|Coenzyme A biosynthesis|Nicotinate metabolism|Metabolism of water-soluble vitamins and cofactors|Metabolism of vitamins and cofactors|Vitamin B5 (pantothenate) metabolism|alpha-linolenic (omega3) and linoleic (omega6) acid metabolism|Linoleic acid (LA) metabolism|alpha-linolenic acid (ALA) metabolism|Metabolism of amine-derived hormones|Catecholamine biosynthesis|Serotonin and melatonin biosynthesis|Epigenetic regulation of gene expression|Ubiquinol biosynthesis|Cellular responses to stress|Condensation of Prophase Chromosomes|HDMs demethylate histones|Chromatin modifying enzymes|Agmatine biosynthesis|Metabolism of polyamines|Transport of small molecules|NADPH regeneration|Alpha-oxidation of phytanate|Glyoxylate metabolism and glycine degradation|Beta-oxidation of very long chain fatty acids|Peroxisomal lipid metabolism|Metabolism of proteins|Sphingolipid metabolism|Biosynthesis of the N-glycan precursor (dolichol lipid-linked oligosaccharide, LLO) and transfer to a nascent protein|Synthesis of Dolichyl-phosphate|Asparagine N-linked glycosylation|Synthesis of substrates in N-glycan biosythesis|Chromatin organization|Pyrimidine biosynthesis|TET1,2,3 and TDG demethylate DNA|Metabolism of lipids|RHO GTPases activate PKNs|Activated PKN1 stimulates transcription of AR (androgen receptor) regulated genes KLK2 and KLK3|Formation of xylulose-5-phosphate|Melanin biosynthesis|Post-translational protein modification|tRNA modification in the nucleus and cytosol|Synthesis of wybutosine at G37 of tRNA(Phe)|Glycine degradation|Mitotic Prophase|M Phase|Cell Cycle, Mitotic|Gluconeogenesis|Pyruvate metabolism|Glucose metabolism|Branched-chain amino acid catabolism|Histidine catabolism|Propionyl-CoA catabolism|Lysine catabolism|Tryptophan catabolism|Carnitine synthesis|Metabolism of amino acids and derivatives|Pentose phosphate pathway|Metabolism of carbohydrates|Citric acid cycle (TCA cycle)|Pyruvate metabolism and Citric Acid (TCA) cycle|tRNA processing|Pyrimidine catabolism|Purine ribonucleoside monophosphate biosynthesis|DNA Repair|DNA Damage Reversal|Reversal of alkylation damage by DNA dioxygenases|Gene expression (Transcription)|Fatty acyl-CoA biosynthesis|Synthesis of very long-chain fatty acyl-CoAs|Mitochondrial Fatty Acid Beta-Oxidation|GABA synthesis|GABA synthesis, release, reuptake and degradation|Metabolism of RNA|Cellular responses to stimuli|Nucleotide catabolism|Nucleotide biosynthesis|Metabolism of steroids|Tyrosine catabolism|Phenylalanine and tyrosine metabolism|Aspartate and asparagine metabolism|Fatty acid metabolism|Metabolism of cofactors|Defects of contact activation system (CAS) and kallikrein/kinin system (KKS)|Defective factor IX causes hemophilia B|Diseases of hemostasis|Defective gamma-carboxylation of F9|Signaling by Rho GTPases, Miro GTPases and RHOBTB3</t>
  </si>
  <si>
    <t>124-38-9</t>
  </si>
  <si>
    <t>O=C=O</t>
  </si>
  <si>
    <t>CURLTUGMZLYLDI-UHFFFAOYSA-N</t>
  </si>
  <si>
    <t>Other non-metal organides</t>
  </si>
  <si>
    <t>Other non-metal oxides</t>
  </si>
  <si>
    <t>其他非金属有机物</t>
  </si>
  <si>
    <t>其他非金属氧化物</t>
  </si>
  <si>
    <t>CO2</t>
  </si>
  <si>
    <t>FT1449PR</t>
  </si>
  <si>
    <t>5-Hydroxy-2,4-dimethylthiophen-3-one</t>
  </si>
  <si>
    <t>5-羟基-2,4-二甲基噻吩-3-酮</t>
  </si>
  <si>
    <t>HMDB0246446</t>
  </si>
  <si>
    <t>CC1SC(=O)C(C)=C1O</t>
  </si>
  <si>
    <t>OROGUZVNAFJPHA-UHFFFAOYSA-N</t>
  </si>
  <si>
    <t>C6H8O2S</t>
  </si>
  <si>
    <t>FT3052PR</t>
  </si>
  <si>
    <t>Isopropyl beta-D-glucoside</t>
  </si>
  <si>
    <t>异丙基 BETA-D-吡喃葡萄糖苷</t>
  </si>
  <si>
    <t>HMDB0032705</t>
  </si>
  <si>
    <t>5391-17-3</t>
  </si>
  <si>
    <t>CC(C)OC1OC(CO)C(O)C(O)C1O</t>
  </si>
  <si>
    <t>UOEFDXYUEPHESS-UHFFFAOYSA-N</t>
  </si>
  <si>
    <t>C9H18O6</t>
  </si>
  <si>
    <t>FT2277PR</t>
  </si>
  <si>
    <t>Isonicotinylglycine</t>
  </si>
  <si>
    <t>异烟酰甘氨酸</t>
  </si>
  <si>
    <t>HMDB0041912</t>
  </si>
  <si>
    <t>C16623</t>
  </si>
  <si>
    <t>2015-20-5</t>
  </si>
  <si>
    <t>OC(=O)CNC(=O)C1=CC=NC=C1</t>
  </si>
  <si>
    <t>HKCLSDCBERVTCT-UHFFFAOYSA-N</t>
  </si>
  <si>
    <t>C8H8N2O3</t>
  </si>
  <si>
    <t>FT2686PR</t>
  </si>
  <si>
    <t>1H-Indole-5-carbonyl chloride</t>
  </si>
  <si>
    <t xml:space="preserve"> 1H-吲哚-5-碳酰氯</t>
  </si>
  <si>
    <t>HMDB0244893</t>
  </si>
  <si>
    <t>ClC(=O)C1=CC2=C(NC=C2)C=C1</t>
  </si>
  <si>
    <t>DJQIAZZRZXXUEB-UHFFFAOYSA-N</t>
  </si>
  <si>
    <t>Indolecarboxylic acids and derivatives</t>
  </si>
  <si>
    <t>吲哚羧酸及其衍生物</t>
  </si>
  <si>
    <t>C9H6ClNO</t>
  </si>
  <si>
    <t>FT1897PR</t>
  </si>
  <si>
    <t>1H-Pyrido[3,2-c][1,2]diazepine</t>
  </si>
  <si>
    <t>1H-吡啶并[3,2-c][1,2]二氮杂卓</t>
  </si>
  <si>
    <t>HMDB0247188</t>
  </si>
  <si>
    <t>N1N=CC=CC2=C1C=CC=N2</t>
  </si>
  <si>
    <t>VCJCULBSFIZKLM-UHFFFAOYSA-N</t>
  </si>
  <si>
    <t>C8H7N3</t>
  </si>
  <si>
    <t>FT0769NR</t>
  </si>
  <si>
    <t>cis-Caffeic acid</t>
  </si>
  <si>
    <t>顺式咖啡酸</t>
  </si>
  <si>
    <t>HMDB0003501</t>
  </si>
  <si>
    <t>C01481</t>
  </si>
  <si>
    <t>4361-87-9</t>
  </si>
  <si>
    <t>OC(=O)\C=C/C1=CC(O)=C(O)C=C1</t>
  </si>
  <si>
    <t>QAIPRVGONGVQAS-RQOWECAXSA-N</t>
  </si>
  <si>
    <t>116.9281, 117.0343, 131.0347, 136.4051, 145.7956, 160.8921, 160.9353, 161.0241, 161.0467, 164.9333</t>
  </si>
  <si>
    <t>C9H8O4</t>
  </si>
  <si>
    <t>FT3364PR</t>
  </si>
  <si>
    <t>S-Methylthiocitrulline</t>
  </si>
  <si>
    <t>S-甲硫瓜氨酸</t>
  </si>
  <si>
    <t>HMDB0257405</t>
  </si>
  <si>
    <t>CSC(N)=NCCCC(N)C(O)=O</t>
  </si>
  <si>
    <t>NGVMVBQRKZPFLB-UHFFFAOYSA-N</t>
  </si>
  <si>
    <t>C7H15N3O2S</t>
  </si>
  <si>
    <t>FT4722PR</t>
  </si>
  <si>
    <t>3Z,6Z,9Z,12Z,15Z-Tricosapentaene</t>
  </si>
  <si>
    <t>3Z,6Z,9Z,12Z,15Z-二十碳五烯</t>
  </si>
  <si>
    <t>LMFA11000180</t>
  </si>
  <si>
    <t>CC/C=C\C/C=C\C/C=C\C/C=C\C/C=C\CCCCCCC</t>
  </si>
  <si>
    <t>WZOLXZVFYDHGLR-CUUFJFTBSA-N</t>
  </si>
  <si>
    <t>205.3913, 205.4118, 240.2681, 248.4271, 302.6985, 328.6714, 332.0963, 332.2830, 332.3305, 333.3295</t>
  </si>
  <si>
    <t>C23H38</t>
  </si>
  <si>
    <t>FT1807PR</t>
  </si>
  <si>
    <t>Conhydrinone</t>
  </si>
  <si>
    <t>苯海力酮</t>
  </si>
  <si>
    <t>HMDB0033364</t>
  </si>
  <si>
    <t>97073-23-9</t>
  </si>
  <si>
    <t>CCC(=O)C1CCCCN1</t>
  </si>
  <si>
    <t>FDOBDBWYWMTMKT-UHFFFAOYSA-N</t>
  </si>
  <si>
    <t>FT1018NR</t>
  </si>
  <si>
    <t>(2xi,6xi)-7-Methyl-3-methylene-1,2,6,7-octanetetrol</t>
  </si>
  <si>
    <t>(2xi,6xi)-7-甲基-3-亚甲基-1,2,6,7-辛四醇</t>
  </si>
  <si>
    <t>HMDB0033217</t>
  </si>
  <si>
    <t>LMFA05000554</t>
  </si>
  <si>
    <t>217449-59-7</t>
  </si>
  <si>
    <t>CC(O)(C)C(O)CCC(=C)C(O)CO</t>
  </si>
  <si>
    <t>GGDOZDCNLKHEMH-UHFFFAOYSA-N</t>
  </si>
  <si>
    <t>C10H20O4</t>
  </si>
  <si>
    <t>FT3611PR</t>
  </si>
  <si>
    <t>2-Nor-2-formylpyridoxal-5'-phosphate</t>
  </si>
  <si>
    <t>2-正-2-甲酰吡哆醛-5'-磷酸</t>
  </si>
  <si>
    <t>HMDB0245273</t>
  </si>
  <si>
    <t>OC1=C(C=O)C(COP(O)(O)=O)=CN=C1C=O</t>
  </si>
  <si>
    <t>CRZDHHVBLGDCIO-UHFFFAOYSA-N</t>
  </si>
  <si>
    <t>Pyridine carboxaldehydes</t>
  </si>
  <si>
    <t>吡啶甲醛</t>
  </si>
  <si>
    <t>175.9763, 189.0076, 193.9869, 206.0233, 216.0077, 218.0951, 226.7101, 234.0177, 262.1370, 262.1703</t>
  </si>
  <si>
    <t>C8H8NO7P</t>
  </si>
  <si>
    <t>FT1053PR</t>
  </si>
  <si>
    <t>5-Methyl-1H-pyrazole-3-carboxylic acid</t>
  </si>
  <si>
    <t>5-甲基-1H-吡唑-3-羧酸</t>
  </si>
  <si>
    <t>HMDB0246825</t>
  </si>
  <si>
    <t>CC1=CC(=NN1)C(O)=O</t>
  </si>
  <si>
    <t>WSMQKESQZFQMFW-UHFFFAOYSA-N</t>
  </si>
  <si>
    <t>C5H6N2O2</t>
  </si>
  <si>
    <t>FT1213NR</t>
  </si>
  <si>
    <t>3-Azido-7-hydroxycoumarin</t>
  </si>
  <si>
    <t>3-叠氮基-7-羟基氧杂萘邻酮</t>
  </si>
  <si>
    <t>HMDB0245825</t>
  </si>
  <si>
    <t>OC1=CC2=C(C=C1)C=C(N=[N+]=[N-])C(=O)O2</t>
  </si>
  <si>
    <t>KKJNQKVCZCNJDI-UHFFFAOYSA-N</t>
  </si>
  <si>
    <t>81.9529, 89.8688, 102.7664, 121.0653, 122.0690, 136.2600, 198.9786, 202.0256, 202.0478, 203.0174</t>
  </si>
  <si>
    <t>C9H5N3O3</t>
  </si>
  <si>
    <t>FT0767NR</t>
  </si>
  <si>
    <t>2-Propylthiophene</t>
  </si>
  <si>
    <t>2-丙基噻吩</t>
  </si>
  <si>
    <t>HMDB0033160</t>
  </si>
  <si>
    <t>1551-27-5</t>
  </si>
  <si>
    <t>CCCC1=CC=CS1</t>
  </si>
  <si>
    <t>BTXIJTYYMLCUHI-UHFFFAOYSA-N</t>
  </si>
  <si>
    <t>113.0241, 117.0302, 117.0381, 131.0345, 160.8418, 161.0204, 161.0455, 161.0623, 164.4736, 164.6575</t>
  </si>
  <si>
    <t>C7H10S</t>
  </si>
  <si>
    <t>FT2234PR</t>
  </si>
  <si>
    <t>Viburtinal</t>
  </si>
  <si>
    <t>维布尔蒂纳尔</t>
  </si>
  <si>
    <t>HMDB0036073</t>
  </si>
  <si>
    <t>63661-79-0</t>
  </si>
  <si>
    <t>CC1=COC=C2C(C=O)=CC=C12</t>
  </si>
  <si>
    <t>IHEBZQKYPSMVBZ-UHFFFAOYSA-N</t>
  </si>
  <si>
    <t>C10H8O2</t>
  </si>
  <si>
    <t>FT2210NR</t>
  </si>
  <si>
    <t>Aloesone</t>
  </si>
  <si>
    <t>芦荟酮</t>
  </si>
  <si>
    <t>40738-40-7</t>
  </si>
  <si>
    <t>CC1=CC(=CC2=C1C(=O)C=C(O2)CC(=O)C)O</t>
  </si>
  <si>
    <t>JHELBXAAAYUKCT-UHFFFAOYSA-N</t>
  </si>
  <si>
    <t>187.0414, 208.9522, 208.9812, 217.0513, 230.9551, 277.0408, 277.0730, 277.1442, 278.0770, 291.8367</t>
  </si>
  <si>
    <t>FT4351NR</t>
  </si>
  <si>
    <t>7-Hydroxy-5,4'-dimethoxy-8-methylisoflavone 7-O-rhamnoside</t>
  </si>
  <si>
    <t>7-羟基-5,4'-二甲氧基-8-甲基异黄酮7-O-鼠李糖苷</t>
  </si>
  <si>
    <t>LMPK12050339</t>
  </si>
  <si>
    <t>O([C@H]1[C@H](O)[C@H](O)[C@@H](O)[C@H](C)O1)C1C=C(OC)C2C(=O)C(C3C=CC(OC)=CC=3)=COC=2C=1C</t>
  </si>
  <si>
    <t>FBUPXHQDNXCVLC-AISPUCENSA-N</t>
  </si>
  <si>
    <t>71.7980, 162.3431, 177.9637, 217.5413, 305.1314, 313.0648, 357.0297, 416.9842, 474.9492, 492.9551</t>
  </si>
  <si>
    <t>C24H26O9</t>
  </si>
  <si>
    <t>FT0784NR</t>
  </si>
  <si>
    <t>4-Hydroxy-3-nitrophenylacetaldehyde</t>
  </si>
  <si>
    <t>4-羟基-3-硝基苯乙醛</t>
  </si>
  <si>
    <t>HMDB0246445</t>
  </si>
  <si>
    <t>OC1=C(C=C(CC=O)C=C1)[N+]([O-])=O</t>
  </si>
  <si>
    <t>OXYOFULKSNCNRY-UHFFFAOYSA-N</t>
  </si>
  <si>
    <t>Nitrophenols</t>
  </si>
  <si>
    <t>硝基酚类</t>
  </si>
  <si>
    <t>119.0498, 134.0245, 140.3326, 143.4058, 149.6023, 161.8933, 162.0193, 162.0555, 162.8929, 163.0231</t>
  </si>
  <si>
    <t>C8H7NO4</t>
  </si>
  <si>
    <t>FT4569NR</t>
  </si>
  <si>
    <t>Ximaosteroid D</t>
  </si>
  <si>
    <t>喜毛甾醇D</t>
  </si>
  <si>
    <t>LMST05050007</t>
  </si>
  <si>
    <t>[C@@]12(C)[C@@]([H])(C=C)CC[C@@]1([H])[C@]1([H])CC=C3C[C@@H](O[C@H]4[C@@H](OC(C)=O)[C@H](O)[C@H](O)[C@H](C)O4)CC[C@]3(C)[C@@]1([H])CC2</t>
  </si>
  <si>
    <t>GTTLHEUNQVDIBB-WMMGLVRWSA-N</t>
  </si>
  <si>
    <t>302.6807, 302.7149, 371.9168, 405.9823, 411.3023, 414.2696, 433.2854, 487.1043, 523.2780, 539.9929</t>
  </si>
  <si>
    <t>C29H44O6</t>
  </si>
  <si>
    <t>FT2274PR</t>
  </si>
  <si>
    <t>5-Methylthioribose</t>
  </si>
  <si>
    <t>5-甲基硫核糖</t>
  </si>
  <si>
    <t>HMDB0001087</t>
  </si>
  <si>
    <t>C03089</t>
  </si>
  <si>
    <t>624740-12-1</t>
  </si>
  <si>
    <t>CSC[C@H]1O[C@@H](O)[C@H](O)[C@@H]1O</t>
  </si>
  <si>
    <t>OLVVOVIFTBSBBH-KVTDHHQDSA-N</t>
  </si>
  <si>
    <t>C6H12O4S</t>
  </si>
  <si>
    <t>FT1508PR</t>
  </si>
  <si>
    <t>Dihydro-2-methoxy-2-methyl-3(2H)-thiophenone</t>
  </si>
  <si>
    <t>二氢-2-甲氧基-2-甲基-3(2H)-噻吩酮</t>
  </si>
  <si>
    <t>HMDB0040237</t>
  </si>
  <si>
    <t>129314-86-9</t>
  </si>
  <si>
    <t>COC1(C)SCCC1=O</t>
  </si>
  <si>
    <t>FCDCVDDFZHJGKZ-UHFFFAOYSA-N</t>
  </si>
  <si>
    <t>Monothioacetals</t>
  </si>
  <si>
    <t>单硫缩醛</t>
  </si>
  <si>
    <t>C6H10O2S</t>
  </si>
  <si>
    <t>FT1284NR</t>
  </si>
  <si>
    <t>2,3-Diethylbut-2-enedioic acid</t>
  </si>
  <si>
    <t>2,3-二乙基丁-2-烯二酸</t>
  </si>
  <si>
    <t>HMDB0255396</t>
  </si>
  <si>
    <t>CCC(C(O)=O)=C(CC)C(O)=O</t>
  </si>
  <si>
    <t>HAHASQAKYSVXBE-UHFFFAOYSA-N</t>
  </si>
  <si>
    <t>161.0454, 162.9826, 165.0663, 167.1617, 182.8556, 205.3965, 206.9724, 207.0440, 207.0782, 219.4117</t>
  </si>
  <si>
    <t>FT2593NR</t>
  </si>
  <si>
    <t>Olpadronic acid</t>
  </si>
  <si>
    <t>奥帕膦酸</t>
  </si>
  <si>
    <t>HMDB0255958</t>
  </si>
  <si>
    <t>CN(C)CCC(O)(P(O)(O)=O)P(O)(O)=O</t>
  </si>
  <si>
    <t>UGEPSJNLORCRBO-UHFFFAOYSA-N</t>
  </si>
  <si>
    <t>C5H15NO7P2</t>
  </si>
  <si>
    <t>FT3016PR</t>
  </si>
  <si>
    <t>CHEMBL507259</t>
  </si>
  <si>
    <t>O=C(O)/C=C/c1ccc(O)c(O)c1CC(=O)O</t>
  </si>
  <si>
    <t>KUONJHGPPAGOFL-DUXPYHPUSA-N</t>
  </si>
  <si>
    <t>C11H10O6</t>
  </si>
  <si>
    <t>FT3513NR</t>
  </si>
  <si>
    <t>Glutathione bicarbonate</t>
  </si>
  <si>
    <t>谷胱甘肽碳酸氢盐</t>
  </si>
  <si>
    <t>HMDB0252817</t>
  </si>
  <si>
    <t>NC(CCC(=O)NC(CS)C(=O)NCC(O)=O)C(=O)OOC(O)=O</t>
  </si>
  <si>
    <t>GCRRHQPKTXKBKF-UHFFFAOYSA-N</t>
  </si>
  <si>
    <t>C11H17N3O9S</t>
  </si>
  <si>
    <t>FT1719NR</t>
  </si>
  <si>
    <t>8-Nitroguanine</t>
  </si>
  <si>
    <t>8-硝基鸟嘌呤</t>
  </si>
  <si>
    <t>HMDB0247453</t>
  </si>
  <si>
    <t>NC1=NC2=C(NC(=N2)[N+]([O-])=O)C(=O)N1</t>
  </si>
  <si>
    <t>IYHJRKNFFYAOGE-UHFFFAOYSA-N</t>
  </si>
  <si>
    <t>C5H4N6O3</t>
  </si>
  <si>
    <t>FT5885PR</t>
  </si>
  <si>
    <t>(11E)-Octadec-11-enedioylcarnitine</t>
  </si>
  <si>
    <t>(11E)-Octadec-11-烯二酰肉碱</t>
  </si>
  <si>
    <t>HMDB0241538</t>
  </si>
  <si>
    <t>C[N+](C)(C)CC(CC([O-])=O)OC(=O)CCCCCCCCCC=CCCCCCC(O)=O</t>
  </si>
  <si>
    <t>ADGLXDYWVDBIRS-UHFFFAOYSA-N</t>
  </si>
  <si>
    <t>121.1007, 135.1165, 141.1960, 142.9381, 188.0350, 263.7849, 314.3364, 415.1511, 456.3315, 457.3375</t>
  </si>
  <si>
    <t>C25H45NO6</t>
  </si>
  <si>
    <t>FT1208NR</t>
  </si>
  <si>
    <t>Setarin</t>
  </si>
  <si>
    <t>HMDB0038115</t>
  </si>
  <si>
    <t>31005-07-9</t>
  </si>
  <si>
    <t>CC(=C)OC1=CC(=O)OC2=CC=CC=C12</t>
  </si>
  <si>
    <t>UUTFFHNHMRSARV-UHFFFAOYSA-N</t>
  </si>
  <si>
    <t>144.0289, 144.2276, 157.0985, 183.1031, 200.9851, 201.0422, 201.0573, 201.1121, 202.0361, 202.0608</t>
  </si>
  <si>
    <t>C12H10O3</t>
  </si>
  <si>
    <t>FT5340PR</t>
  </si>
  <si>
    <t>Cholest-5-ene</t>
  </si>
  <si>
    <t>5-胆甾烯</t>
  </si>
  <si>
    <t>HMDB0000941</t>
  </si>
  <si>
    <t>LMST01010243</t>
  </si>
  <si>
    <t>C05416</t>
  </si>
  <si>
    <t>570-74-1</t>
  </si>
  <si>
    <t>[C@@]12([H])CC=C3CCCC[C@]3(C)[C@@]1([H])CC[C@]1(C)[C@@]([H])([C@]([H])(C)CCCC(C)C)CC[C@@]21[H]</t>
  </si>
  <si>
    <t>DTGDZMYNKLTSKC-HKQCOZBKSA-N</t>
  </si>
  <si>
    <t>302.6941, 386.4690, 388.2440, 388.2726, 388.3932, 388.4842, 388.5099, 388.5766, 389.3974, 390.3285</t>
  </si>
  <si>
    <t>C27H46</t>
  </si>
  <si>
    <t>FT2471PR</t>
  </si>
  <si>
    <t>Phenyl phosphonothioate</t>
  </si>
  <si>
    <t>硫代膦酸苯酯</t>
  </si>
  <si>
    <t>HMDB0256424</t>
  </si>
  <si>
    <t>OP(O)(=S)C1=CC=CC=C1</t>
  </si>
  <si>
    <t>NAKDJXIEBCHXIZ-UHFFFAOYSA-N</t>
  </si>
  <si>
    <t>C6H7O2PS</t>
  </si>
  <si>
    <t>FT1026NR</t>
  </si>
  <si>
    <t>Glycine, N-cinnamoyl-, Z-</t>
  </si>
  <si>
    <t>O=C(O)CN=C(O)/C=C\c1ccccc1</t>
  </si>
  <si>
    <t>YAADMLWHGMUGQL-SREVYHEPSA-N</t>
  </si>
  <si>
    <t>142.0658, 142.0930, 143.0697, 169.8263, 186.0562, 186.1136, 187.0514, 187.0971, 198.7244, 205.4032</t>
  </si>
  <si>
    <t>FT1497NR</t>
  </si>
  <si>
    <t>1,3,5-Triazine-2,4(1H,3H)-dione</t>
  </si>
  <si>
    <t>5-氮杂尿嘧啶</t>
  </si>
  <si>
    <t>HMDB0244186</t>
  </si>
  <si>
    <t>O=C1NC=NC(=O)N1</t>
  </si>
  <si>
    <t>GEWRKGDRYZIFNP-UHFFFAOYSA-N</t>
  </si>
  <si>
    <t>Triazinones</t>
  </si>
  <si>
    <t>三嗪酮类</t>
  </si>
  <si>
    <t>119.5672, 125.4053, 129.0555, 156.9756, 157.0111, 195.6431, 196.4214, 224.3848, 225.0532, 225.1129</t>
  </si>
  <si>
    <t>C3H3N3O2</t>
  </si>
  <si>
    <t>FT2071PR</t>
  </si>
  <si>
    <t>1-Naphthyl isocyanate</t>
  </si>
  <si>
    <t>异氰酸-1-萘酯</t>
  </si>
  <si>
    <t>HMDB0243960</t>
  </si>
  <si>
    <t>O=C=NC1=CC=CC2=CC=CC=C12</t>
  </si>
  <si>
    <t>BDQNKCYCTYYMAA-UHFFFAOYSA-N</t>
  </si>
  <si>
    <t>C11H7NO</t>
  </si>
  <si>
    <t>FT4005PR</t>
  </si>
  <si>
    <t>6Z,9Z,12Z-Nonadecatriene</t>
  </si>
  <si>
    <t>6Z,9Z,12Z-十九碳三烯</t>
  </si>
  <si>
    <t>LMFA11000173</t>
  </si>
  <si>
    <t>CCCCC/C=C\C/C=C\C/C=C\CCCCCC</t>
  </si>
  <si>
    <t>JJWUFROECSXGGK-PNBIJBBKSA-N</t>
  </si>
  <si>
    <t>229.1945, 234.1264, 237.4425, 261.8923, 284.9606, 285.1278, 285.1855, 285.2572, 285.2894, 286.2622</t>
  </si>
  <si>
    <t>C19H34</t>
  </si>
  <si>
    <t>FT2307PR</t>
  </si>
  <si>
    <t>Lauronitrile</t>
  </si>
  <si>
    <t>十二腈</t>
  </si>
  <si>
    <t>LMFA09000003</t>
  </si>
  <si>
    <t>C(CCCCCCCCCCC)#N</t>
  </si>
  <si>
    <t>VXCUURYYWGCLIH-UHFFFAOYSA-N</t>
  </si>
  <si>
    <t>C12H23N</t>
  </si>
  <si>
    <t>FT3649PR</t>
  </si>
  <si>
    <t>5-propylideneisolongifolane</t>
  </si>
  <si>
    <t xml:space="preserve"> 5-亚丙基异长叶烷</t>
  </si>
  <si>
    <t>LMPR0103500002</t>
  </si>
  <si>
    <t>C1C[C@]23C[C@H]1C(C)(C)C2/C(=C/CC)/CCC3(C)C</t>
  </si>
  <si>
    <t>PIEYHLVIMBTYAN-OCNADWHYSA-N</t>
  </si>
  <si>
    <t>223.9767, 239.3264, 262.2528, 264.1824, 264.1984, 264.2680, 264.3328, 264.3560, 265.0036, 265.2711</t>
  </si>
  <si>
    <t>C18H30</t>
  </si>
  <si>
    <t>FT3286PR</t>
  </si>
  <si>
    <t>N-[(2Z)-2-Methoxyiminopropyl]-7H-purin-6-amine</t>
  </si>
  <si>
    <t>N-[(2Z)-2-甲氧基亚氨基丙基]-7H-嘌呤-6-胺</t>
  </si>
  <si>
    <t>HMDB0258951</t>
  </si>
  <si>
    <t>CON=C(C)CNC1=NC=NC2=C1NC=N2</t>
  </si>
  <si>
    <t>KWKJDWTYFHVXDB-UHFFFAOYSA-N</t>
  </si>
  <si>
    <t>C9H12N6O</t>
  </si>
  <si>
    <t>FT3661PR</t>
  </si>
  <si>
    <t>Threonylglutamine</t>
  </si>
  <si>
    <t>苏氨酰谷氨酰胺</t>
  </si>
  <si>
    <t>HMDB0029059</t>
  </si>
  <si>
    <t>96337-79-0</t>
  </si>
  <si>
    <t>C[C@@H](O)[C@H](N)C(=O)N[C@@H](CCC(N)=O)C(O)=O</t>
  </si>
  <si>
    <t>BWUHENPAEMNGQJ-ZDLURKLDSA-N</t>
  </si>
  <si>
    <t>256.1454, 256.6468, 265.0024, 265.1062, 265.1491, 265.1951, 265.2509, 304.1182, 420.5711, 510.4947</t>
  </si>
  <si>
    <t>C9H17N3O5</t>
  </si>
  <si>
    <t>FT2528PR</t>
  </si>
  <si>
    <t>Nor-NOHA</t>
  </si>
  <si>
    <t>诺哈</t>
  </si>
  <si>
    <t>HMDB0255720</t>
  </si>
  <si>
    <t>NC(CCN=C(N)NO)C(O)=O</t>
  </si>
  <si>
    <t>KOBHCUDVWOTEKO-UHFFFAOYSA-N</t>
  </si>
  <si>
    <t>C5H12N4O3</t>
  </si>
  <si>
    <t>FT4848PR</t>
  </si>
  <si>
    <t>Palmitoyl-EA-d4</t>
  </si>
  <si>
    <t>棕榈酰-EA-d4</t>
  </si>
  <si>
    <t>LMFA08040057</t>
  </si>
  <si>
    <t>N(C([2H])([2H])C([2H])([2H])O)C(=O)CCCCCCCCCCCCCCC</t>
  </si>
  <si>
    <t>HXYVTAGFYLMHSO-RZOBCMOLSA-N</t>
  </si>
  <si>
    <t>C18H33D4NO2</t>
  </si>
  <si>
    <t>FT2845PR</t>
  </si>
  <si>
    <t>(+)-Isopilocarpine</t>
  </si>
  <si>
    <t>(+)-异毛果芸香碱</t>
  </si>
  <si>
    <t>HMDB0243539</t>
  </si>
  <si>
    <t>CCC1C(CC2=CN=CN2C)COC1=O</t>
  </si>
  <si>
    <t>QCHFTSOMWOSFHM-UHFFFAOYSA-N</t>
  </si>
  <si>
    <t>C11H16N2O2</t>
  </si>
  <si>
    <t>FT3921PR</t>
  </si>
  <si>
    <t>Northiaden</t>
  </si>
  <si>
    <t>去甲度硫平</t>
  </si>
  <si>
    <t>HMDB0255753</t>
  </si>
  <si>
    <t>CNCCC=C1C2=CC=CC=C2CSC2=CC=CC=C12</t>
  </si>
  <si>
    <t>FTELXJYVTOFJAI-UHFFFAOYSA-N</t>
  </si>
  <si>
    <t>Benzothiepins</t>
  </si>
  <si>
    <t>Dibenzothiepins</t>
  </si>
  <si>
    <t>苯并硫平类</t>
  </si>
  <si>
    <t>二苯并硫杂平</t>
  </si>
  <si>
    <t>196.0976, 198.1124, 205.4042, 233.8436, 236.1276, 243.3930, 282.0070, 282.1332, 282.2773, 302.6970</t>
  </si>
  <si>
    <t>C18H19NS</t>
  </si>
  <si>
    <t>FT2741PR</t>
  </si>
  <si>
    <t>Formetanate</t>
  </si>
  <si>
    <t>伐虫脒</t>
  </si>
  <si>
    <t>HMDB0252444</t>
  </si>
  <si>
    <t>C18668</t>
  </si>
  <si>
    <t>22259-30-9</t>
  </si>
  <si>
    <t>CNC(=O)OC1=CC=CC(=C1)N=CN(C)C</t>
  </si>
  <si>
    <t>RMFNNCGOSPBBAD-UHFFFAOYSA-N</t>
  </si>
  <si>
    <t>Phenyl methylcarbamates</t>
  </si>
  <si>
    <t>甲基氨基甲酸苯酯</t>
  </si>
  <si>
    <t>C11H15N3O2</t>
  </si>
  <si>
    <t>FT2157PR</t>
  </si>
  <si>
    <t>Sulfanilic acid</t>
  </si>
  <si>
    <t>对氨基苯磺酸</t>
  </si>
  <si>
    <t>HMDB0258581</t>
  </si>
  <si>
    <t>C06335</t>
  </si>
  <si>
    <t>NC1=CC=C(C=C1)S(O)(=O)=O</t>
  </si>
  <si>
    <t>HVBSAKJJOYLTQU-UHFFFAOYSA-N</t>
  </si>
  <si>
    <t>C6H7NO3S</t>
  </si>
  <si>
    <t>FT4711NR</t>
  </si>
  <si>
    <t>5</t>
  </si>
  <si>
    <t>HMDB0302501</t>
  </si>
  <si>
    <t>CCCC1=CC=C(OC1=O)C(C)C(O)C(\C)=C\C\C=C(/C)C\C(C)=C\C(\C)=C\CC(O)C(C)C(O)C(\C)=C\C</t>
  </si>
  <si>
    <t>OTNYCNDIGKWKTO-RCXJYNBZSA-N</t>
  </si>
  <si>
    <t>C34H52O5</t>
  </si>
  <si>
    <t>FT3257PR</t>
  </si>
  <si>
    <t>5-(Diethylphosphono)-5-methyl-1-pyrroline N-Oxide</t>
  </si>
  <si>
    <t>5-(二乙氧基磷酰)-5-甲基-1-吡咯啉-N-氧化物</t>
  </si>
  <si>
    <t>HMDB0251018</t>
  </si>
  <si>
    <t>CCOP(=O)(OCC)C1(C)CCC=[N+]1[O-]</t>
  </si>
  <si>
    <t>OKCDBZSDRSXFIB-UHFFFAOYSA-N</t>
  </si>
  <si>
    <t>Phosphonic acid diesters</t>
  </si>
  <si>
    <t>膦酸二酯</t>
  </si>
  <si>
    <t>C9H18NO4P</t>
  </si>
  <si>
    <t>FT1878NR</t>
  </si>
  <si>
    <t>Amdoxovir</t>
  </si>
  <si>
    <t>阿多索韦</t>
  </si>
  <si>
    <t>HMDB0248284</t>
  </si>
  <si>
    <t>NC1=NC2=C(N=CN2C2COC(CO)O2)C(N)=N1</t>
  </si>
  <si>
    <t>RLAHNGKRJJEIJL-UHFFFAOYSA-N</t>
  </si>
  <si>
    <t>C9H12N6O3</t>
  </si>
  <si>
    <t>FT2221PR</t>
  </si>
  <si>
    <t>Thiolactone B2</t>
  </si>
  <si>
    <t>硫内酯B2</t>
  </si>
  <si>
    <t>CC(=O)N[C@H]1CCSC1=O</t>
  </si>
  <si>
    <t>NRFJZTXWLKPZAV-YFKPBYRVSA-N</t>
  </si>
  <si>
    <t>C6H9NO2S</t>
  </si>
  <si>
    <t>FT2490PR</t>
  </si>
  <si>
    <t>3,4-Methyleneadipic acid</t>
  </si>
  <si>
    <t>3,4-亚甲基己二酸</t>
  </si>
  <si>
    <t>HMDB0059756</t>
  </si>
  <si>
    <t>OC(=O)CC(=C)C(=C)CC(O)=O</t>
  </si>
  <si>
    <t>ZPWVTTHIHKYUQK-UHFFFAOYSA-N</t>
  </si>
  <si>
    <t>C8H10O4</t>
  </si>
  <si>
    <t>FT3163PR</t>
  </si>
  <si>
    <t>1,4'-Bipiperidine-1'-carboxylic acid</t>
  </si>
  <si>
    <t>[1,4'-联哌啶]-1'-羧酸</t>
  </si>
  <si>
    <t>HMDB0060336</t>
  </si>
  <si>
    <t>C16836</t>
  </si>
  <si>
    <t>1026078-50-1</t>
  </si>
  <si>
    <t>OC(=O)N1CCC(CC1)N1CCCCC1</t>
  </si>
  <si>
    <t>FJWVEDMJFKIJFB-UHFFFAOYSA-N</t>
  </si>
  <si>
    <t>113.9639, 115.3752, 125.1077, 126.0910, 151.3546, 157.6092, 158.9617, 185.1281, 205.3937, 233.9676</t>
  </si>
  <si>
    <t>C11H20N2O2</t>
  </si>
  <si>
    <t>FT2351NR</t>
  </si>
  <si>
    <t>3'-Deoxythymidine-5'-monophosphate</t>
  </si>
  <si>
    <t>3'-脱氧胸苷-5'-单磷酸</t>
  </si>
  <si>
    <t>HMDB0250899</t>
  </si>
  <si>
    <t>CC1=CN(C2CCC(COP(O)(O)=O)O2)C(=O)NC1=O</t>
  </si>
  <si>
    <t>WVNRRNJFRREKAR-UHFFFAOYSA-N</t>
  </si>
  <si>
    <t>C10H15N2O7P</t>
  </si>
  <si>
    <t>FT3184NR</t>
  </si>
  <si>
    <t>3a,20b-Pregnanediol</t>
  </si>
  <si>
    <t>3a,20b-孕二醇</t>
  </si>
  <si>
    <t>HMDB02156</t>
  </si>
  <si>
    <t>LMST02030198</t>
  </si>
  <si>
    <t>[C@@]12([H])CC[C@@]3([H])C[C@H](O)CC[C@]3(C)[C@@]1([H])CC[C@]1(C)C([C@H](C)O)CC[C@@]21[H]</t>
  </si>
  <si>
    <t>YWYQTGBBEZQBGO-LMYJKDMMSA-N</t>
  </si>
  <si>
    <t>59.84821, 63.56508, 125.58587, 128.90179, 205.39076, 303.26816, 321.27911, 328.21402, 347.25967, 365.26901</t>
  </si>
  <si>
    <t>FT1207NR</t>
  </si>
  <si>
    <t>Hispolon</t>
  </si>
  <si>
    <t>希斯波伦</t>
  </si>
  <si>
    <t>HMDB0253182</t>
  </si>
  <si>
    <t>CC(=O)C=C(O)C=CC1=CC=C(O)C(O)=C1</t>
  </si>
  <si>
    <t>QDVIEIMMEUCFMW-UHFFFAOYSA-N</t>
  </si>
  <si>
    <t>140.5316, 145.0289, 181.9293, 183.1017, 184.7933, 201.0553, 201.0767, 201.1123, 202.0586, 205.3909</t>
  </si>
  <si>
    <t>C12H12O4</t>
  </si>
  <si>
    <t>FT2592PR</t>
  </si>
  <si>
    <t>4-Methylracephedrine</t>
  </si>
  <si>
    <t>4-甲基花黄碱</t>
  </si>
  <si>
    <t>HMDB0251292</t>
  </si>
  <si>
    <t>CNC(C)C(O)C1=CC=C(C)C=C1</t>
  </si>
  <si>
    <t>DUESQFQLBNOCIT-UHFFFAOYSA-N</t>
  </si>
  <si>
    <t>FT1372NR</t>
  </si>
  <si>
    <t>2,5-Dihydroxy-3-methoxycyclohexa-2,5-diene-1,4-dione</t>
  </si>
  <si>
    <t>COC1=C(O)C(=O)C=C(O)C1=O</t>
  </si>
  <si>
    <t>JQHHKDPSHCURAE-UHFFFAOYSA-N</t>
  </si>
  <si>
    <t>C7H6O5</t>
  </si>
  <si>
    <t>FT0904PR</t>
  </si>
  <si>
    <t>Gaboxadol</t>
  </si>
  <si>
    <t>加波沙朵</t>
  </si>
  <si>
    <t>HMDB0252570</t>
  </si>
  <si>
    <t>C13693</t>
  </si>
  <si>
    <t>64603-91-4</t>
  </si>
  <si>
    <t>O=C1NOC2=C1CCNC2</t>
  </si>
  <si>
    <t>ZXRVKCBLGJOCEE-UHFFFAOYSA-N</t>
  </si>
  <si>
    <t>FT2829PR</t>
  </si>
  <si>
    <t>Isopropyl cinnamate</t>
  </si>
  <si>
    <t>3-苯基-2-丙烯酸-1-甲乙酯</t>
  </si>
  <si>
    <t>HMDB0037701</t>
  </si>
  <si>
    <t>7780-06-5</t>
  </si>
  <si>
    <t>CC(C)OC(=O)\C=C/C1=CC=CC=C1</t>
  </si>
  <si>
    <t>RGACABDFLVLVCT-HJWRWDBZSA-N</t>
  </si>
  <si>
    <t>FT1817PR</t>
  </si>
  <si>
    <t>Naphth(1,2-b)oxirene</t>
  </si>
  <si>
    <t>石脑油(1,2-b)环氧乙烷</t>
  </si>
  <si>
    <t>HMDB0255444</t>
  </si>
  <si>
    <t>O1C2=C1C1=CC=CC=C1C=C2</t>
  </si>
  <si>
    <t>YDRQTXULVDCOJX-UHFFFAOYSA-N</t>
  </si>
  <si>
    <t>148.9763, 154.9572, 154.9897, 159.9684, 160.0753, 160.0945, 160.1170, 161.0788, 161.0957, 170.9784</t>
  </si>
  <si>
    <t>C10H6O</t>
  </si>
  <si>
    <t>FT3799NR</t>
  </si>
  <si>
    <t>tigemonam</t>
  </si>
  <si>
    <t>替吉莫南</t>
  </si>
  <si>
    <t>HMDB0259088</t>
  </si>
  <si>
    <t>CC1(C)C(NC(=O)C(=NOCC(O)=O)C2=CSC(N)=N2)C(=O)N1OS(O)(=O)=O</t>
  </si>
  <si>
    <t>VAMSVIZLXJOLHZ-UHFFFAOYSA-N</t>
  </si>
  <si>
    <t>199.4915, 205.3975, 228.5367, 232.0584, 251.5444, 300.0463, 302.6923, 350.5087, 368.0325, 436.1944</t>
  </si>
  <si>
    <t>C12H15N5O9S2</t>
  </si>
  <si>
    <t>FT0683NR</t>
  </si>
  <si>
    <t>SCHEMBL2382844</t>
  </si>
  <si>
    <t>CC(O)CCOS(=O)(=O)O</t>
  </si>
  <si>
    <t>ZOHZAGQKDFDWDV-UHFFFAOYSA-N</t>
  </si>
  <si>
    <t>C4H10O5S</t>
  </si>
  <si>
    <t>FT0946NR</t>
  </si>
  <si>
    <t>Thioglucose</t>
  </si>
  <si>
    <t>硫葡萄糖</t>
  </si>
  <si>
    <t>HMDB0259013</t>
  </si>
  <si>
    <t>OCC(O)C(O)C(O)C(O)C=S</t>
  </si>
  <si>
    <t>ABXYOVCSAGTJAC-UHFFFAOYSA-N</t>
  </si>
  <si>
    <t>C6H12O5S</t>
  </si>
  <si>
    <t>FT1150NR</t>
  </si>
  <si>
    <t>2,6-Diaminopurine</t>
  </si>
  <si>
    <t>2,6-二氨基嘌呤</t>
  </si>
  <si>
    <t>HMDB0245509</t>
  </si>
  <si>
    <t>NC1=NC2=C(NC=N2)C(N)=N1</t>
  </si>
  <si>
    <t>MSSXOMSJDRHRMC-UHFFFAOYSA-N</t>
  </si>
  <si>
    <t>127.0761, 167.0689, 169.0839, 179.0658, 179.8289, 195.0634, 195.1385, 196.0665, 205.3941, 211.4276</t>
  </si>
  <si>
    <t>C5H6N6</t>
  </si>
  <si>
    <t>FT4080PR</t>
  </si>
  <si>
    <t>Asparaginylarginine</t>
  </si>
  <si>
    <t>天冬酰胺酰精氨酸</t>
  </si>
  <si>
    <t>HMDB0028725</t>
  </si>
  <si>
    <t>2478-01-5</t>
  </si>
  <si>
    <t>N[C@@H](CC(N)=O)C(=O)N[C@@H](CCCNC(N)=N)C(O)=O</t>
  </si>
  <si>
    <t>NPDLYUOYAGBHFB-WDSKDSINSA-N</t>
  </si>
  <si>
    <t>191.6531, 217.0975, 220.9349, 287.9049, 289.0465, 289.0838, 289.1230, 289.1614, 289.2608, 290.4262</t>
  </si>
  <si>
    <t>C10H20N6O4</t>
  </si>
  <si>
    <t>FT0500NR</t>
  </si>
  <si>
    <t>1-(2-Thienyl)-1-butanone</t>
  </si>
  <si>
    <t>2-正丁酰噻吩</t>
  </si>
  <si>
    <t>HMDB0032935</t>
  </si>
  <si>
    <t>5333-83-5</t>
  </si>
  <si>
    <t>CCCC(=O)C1=CC=CS1</t>
  </si>
  <si>
    <t>YXHIINNJOGKPLF-UHFFFAOYSA-N</t>
  </si>
  <si>
    <t>C8H10OS</t>
  </si>
  <si>
    <t>FT2192PR</t>
  </si>
  <si>
    <t>Benzenesulfonic acid</t>
  </si>
  <si>
    <t>荤磺酸</t>
  </si>
  <si>
    <t>HMDB0248986</t>
  </si>
  <si>
    <t>OS(=O)(=O)C1=CC=CC=C1</t>
  </si>
  <si>
    <t>SRSXLGNVWSONIS-UHFFFAOYSA-N</t>
  </si>
  <si>
    <t>159.0763, 166.5275, 176.0112, 176.0374, 176.0687, 176.0907, 176.1067, 176.1284, 177.0860, 192.1088</t>
  </si>
  <si>
    <t>C6H6O3S</t>
  </si>
  <si>
    <t>FT2266PR</t>
  </si>
  <si>
    <t>Rimantadine</t>
  </si>
  <si>
    <t>1-金刚烷乙胺</t>
  </si>
  <si>
    <t>HMDB0014621</t>
  </si>
  <si>
    <t>C07236</t>
  </si>
  <si>
    <t>13392-28-4</t>
  </si>
  <si>
    <t>CC(N)C12CC3CC(CC(C3)C1)C2</t>
  </si>
  <si>
    <t>UBCHPRBFMUDMNC-UHFFFAOYSA-N</t>
  </si>
  <si>
    <t>C12H21N</t>
  </si>
  <si>
    <t>FT2465PR</t>
  </si>
  <si>
    <t>Aldicarb</t>
  </si>
  <si>
    <t>涕灭威(铁灭克)</t>
  </si>
  <si>
    <t>HMDB0248124</t>
  </si>
  <si>
    <t>CNC(=O)ON=CC(C)(C)SC</t>
  </si>
  <si>
    <t>QGLZXHRNAYXIBU-UHFFFAOYSA-N</t>
  </si>
  <si>
    <t>149.0239, 149.9535, 150.0263, 173.0587, 173.0964, 191.0847, 191.1055, 191.1430, 191.1794, 205.4049</t>
  </si>
  <si>
    <t>C7H14N2O2S</t>
  </si>
  <si>
    <t>FT2592NR</t>
  </si>
  <si>
    <t>Lamivudine-monophosphate</t>
  </si>
  <si>
    <t>拉米夫定单磷酸盐</t>
  </si>
  <si>
    <t>HMDB0060641</t>
  </si>
  <si>
    <t>NC1=NC(=O)N(C=C1)C1CSC(COP(O)(O)=O)O1</t>
  </si>
  <si>
    <t>WUMZLKDCOINBEA-UHFFFAOYSA-N</t>
  </si>
  <si>
    <t>C8H12N3O6PS</t>
  </si>
  <si>
    <t>FT0404PR</t>
  </si>
  <si>
    <t>Pyrimidine</t>
  </si>
  <si>
    <t>间(二)氮苯</t>
  </si>
  <si>
    <t>HMDB0003361</t>
  </si>
  <si>
    <t>C00396</t>
  </si>
  <si>
    <t>25247-63-6</t>
  </si>
  <si>
    <t>C1=CN=CN=C1</t>
  </si>
  <si>
    <t>CZPWVGJYEJSRLH-UHFFFAOYSA-N</t>
  </si>
  <si>
    <t>C4H4N2</t>
  </si>
  <si>
    <t>FT1073PR</t>
  </si>
  <si>
    <t>(S)-2-Propylpiperidine</t>
  </si>
  <si>
    <t>2-丙基哌啶</t>
  </si>
  <si>
    <t>HMDB0030285</t>
  </si>
  <si>
    <t>C06523</t>
  </si>
  <si>
    <t>458-88-8</t>
  </si>
  <si>
    <t>CCCC1CCCCN1</t>
  </si>
  <si>
    <t>NDNUANOUGZGEPO-UHFFFAOYSA-N</t>
  </si>
  <si>
    <t>128.0441, 128.0619, 128.0707, 128.0819, 128.1069, 128.1187, 128.1433, 129.0660, 129.1018, 129.1469</t>
  </si>
  <si>
    <t>C8H17N</t>
  </si>
  <si>
    <t>FT2667NR</t>
  </si>
  <si>
    <t>galactose lactate</t>
  </si>
  <si>
    <t>半乳糖乳酸</t>
  </si>
  <si>
    <t>HMDB0252580</t>
  </si>
  <si>
    <t>CC(O)C(=O)OC1(O)OC(CO)C(O)C(O)C1O</t>
  </si>
  <si>
    <t>MIZSCWXOEGHXSU-UHFFFAOYSA-N</t>
  </si>
  <si>
    <t>C9H16O9</t>
  </si>
  <si>
    <t>FT2945PR</t>
  </si>
  <si>
    <t>Casimiroin</t>
  </si>
  <si>
    <t>卡西米罗因</t>
  </si>
  <si>
    <t>HMDB0033349</t>
  </si>
  <si>
    <t>C10654</t>
  </si>
  <si>
    <t>477-89-4</t>
  </si>
  <si>
    <t>COC1=CC(=O)N(C)C2=C1C=CC1=C2OCO1</t>
  </si>
  <si>
    <t>DPXXJCMMMXZVSW-UHFFFAOYSA-N</t>
  </si>
  <si>
    <t>72.9022, 80.9479, 105.0371, 112.0367, 133.9281, 174.9748, 205.3998, 216.0660, 216.0853, 216.1260</t>
  </si>
  <si>
    <t>C12H11NO4</t>
  </si>
  <si>
    <t>FT2702PR</t>
  </si>
  <si>
    <t>4R,8S-Dimethyldecanal</t>
  </si>
  <si>
    <t>4R,8S-二甲基癸醛</t>
  </si>
  <si>
    <t>LMFA06000142</t>
  </si>
  <si>
    <t>C(CC[C@H](C)CCC[C@@H](C)CC)(=O)[H]</t>
  </si>
  <si>
    <t>XAUQKOJHYTYNRM-NWDGAFQWSA-N</t>
  </si>
  <si>
    <t>FT5277NR</t>
  </si>
  <si>
    <t>Cuscutic resinoside A</t>
  </si>
  <si>
    <t>姜黄树脂苷A</t>
  </si>
  <si>
    <t>LMSL05000008</t>
  </si>
  <si>
    <t>C1(O[C@@H]2[C@H](O[C@H]3[C@H](O)[C@H](O)[C@@H](O)[C@H](C)O3)[C@@H](OC([C@H](C)[C@@H](C)O)=O)[C@H](C)O[C@H]2O[C@](CCC)(C)CCCCCCCCC1)=O</t>
  </si>
  <si>
    <t>GITOCQGOURWXPL-QLLMIGPNSA-N</t>
  </si>
  <si>
    <t>85.0294, 88.3731, 93.5982, 150.3516, 205.3998, 267.2394, 379.5542, 379.7583, 613.2441, 613.3585</t>
  </si>
  <si>
    <t>C32H56O12</t>
  </si>
  <si>
    <t>FT6982PR</t>
  </si>
  <si>
    <t>17-AAG</t>
  </si>
  <si>
    <t>HMDB0244762</t>
  </si>
  <si>
    <t>COC1CC(C)CC2=C(NCC=C)C(=O)C=C(NC(=O)C(C)=CC=CC(OC)C(OC(N)=O)C(C)=CC(C)C1O)C2=O</t>
  </si>
  <si>
    <t>AYUNIORJHRXIBJ-UHFFFAOYSA-N</t>
  </si>
  <si>
    <t>Macrolactams</t>
  </si>
  <si>
    <t>大内酰胺类</t>
  </si>
  <si>
    <t>313.2732, 341.7871, 459.2462, 463.6128, 504.1729, 518.2481, 518.3209, 518.3887, 519.3190, 586.3077</t>
  </si>
  <si>
    <t>C31H43N3O8</t>
  </si>
  <si>
    <t>FT7868PR</t>
  </si>
  <si>
    <t>PE-NMe(20:0/22:2)</t>
  </si>
  <si>
    <t>甲基磷脂酰乙醇胺(20:0/22:2)</t>
  </si>
  <si>
    <t>HMDB0113301</t>
  </si>
  <si>
    <t>[H]C(COC(=O)CCCCCCCCCCCCCCCCCCC)(COP(O)(=O)OCCNC)OC(=O)CCCCCCCCCCC\C=C/C\C=C/CCCCC</t>
  </si>
  <si>
    <t>DVYYCRFGEFWHHQ-MLWYYCKJSA-N</t>
  </si>
  <si>
    <t>395.3088, 429.3401, 430.3460, 430.4010, 431.2761, 431.3487, 435.3007, 638.4808, 807.6209, 825.6311</t>
  </si>
  <si>
    <t>C48H92NO8P</t>
  </si>
  <si>
    <t>FT1162NR</t>
  </si>
  <si>
    <t>Cystamine</t>
  </si>
  <si>
    <t>胱胺二盐酸盐</t>
  </si>
  <si>
    <t>HMDB0250701</t>
  </si>
  <si>
    <t>56-17-7</t>
  </si>
  <si>
    <t>NCCSSCCN</t>
  </si>
  <si>
    <t>APQPRKLAWCIJEK-UHFFFAOYSA-N</t>
  </si>
  <si>
    <t>Organic disulfides</t>
  </si>
  <si>
    <t>Dialkyldisulfides</t>
  </si>
  <si>
    <t>有机二硫化物</t>
  </si>
  <si>
    <t>二烷基二硫醚</t>
  </si>
  <si>
    <t>129.0554, 129.0784, 129.0840, 129.4303, 130.0588, 167.0220, 180.0174, 197.0199, 197.0427, 205.3957</t>
  </si>
  <si>
    <t>C4H12N2S2</t>
  </si>
  <si>
    <t>FT0098NR</t>
  </si>
  <si>
    <t>3-Aminophenol</t>
  </si>
  <si>
    <t>3-氨基苯酚</t>
  </si>
  <si>
    <t>HMDB0245818</t>
  </si>
  <si>
    <t>C05058</t>
  </si>
  <si>
    <t>591-27-5</t>
  </si>
  <si>
    <t>NC1=CC(O)=CC=C1</t>
  </si>
  <si>
    <t>CWLKGDAVCFYWJK-UHFFFAOYSA-N</t>
  </si>
  <si>
    <t>FT2990PR</t>
  </si>
  <si>
    <t>4-Methylmannitol</t>
  </si>
  <si>
    <t>COC(C(O)CO)C(O)C(O)CO</t>
  </si>
  <si>
    <t>BANUITVRCYACKI-UHFFFAOYSA-N</t>
  </si>
  <si>
    <t>C7H16O6</t>
  </si>
  <si>
    <t>FT1521NR</t>
  </si>
  <si>
    <t>SCHEMBL21550163</t>
  </si>
  <si>
    <t>CCCCCCCC(O)CC(O)=NCC(=O)O</t>
  </si>
  <si>
    <t>WYXKEWJDZFXUFO-UHFFFAOYSA-N</t>
  </si>
  <si>
    <t>FT1799PR</t>
  </si>
  <si>
    <t>S-(4,5-Dihydro-2-methyl-3-furanyl) ethanethioate</t>
  </si>
  <si>
    <t>2-甲基-4,5-二氢呋喃-3-硫醇乙酸酯</t>
  </si>
  <si>
    <t>HMDB0037786</t>
  </si>
  <si>
    <t>26486-14-6</t>
  </si>
  <si>
    <t>CC(=O)SC1=C(C)OCC1</t>
  </si>
  <si>
    <t>YDYAMYYOQBGPRX-UHFFFAOYSA-N</t>
  </si>
  <si>
    <t>C7H10O2S</t>
  </si>
  <si>
    <t>FT0478PR</t>
  </si>
  <si>
    <t>3-Cyanopropanoic acid</t>
  </si>
  <si>
    <t>3-氰基丙酸</t>
  </si>
  <si>
    <t>HMDB0245845</t>
  </si>
  <si>
    <t>OC(=O)CCC#N</t>
  </si>
  <si>
    <t>BXYQHDXDCJQOFD-UHFFFAOYSA-N</t>
  </si>
  <si>
    <t>FT1819NR</t>
  </si>
  <si>
    <t>10-phospho-2E-decenoic acid</t>
  </si>
  <si>
    <t>10-磷酸-2E-癸烯酸</t>
  </si>
  <si>
    <t>LMFA01050430</t>
  </si>
  <si>
    <t>C(/C=C/CCCCCCCOP(O)(O)=O)(=O)O</t>
  </si>
  <si>
    <t>NAUNHDNEXRZFSD-SOFGYWHQSA-N</t>
  </si>
  <si>
    <t>C10H19O6P</t>
  </si>
  <si>
    <t>FT3174NR</t>
  </si>
  <si>
    <t>2-Hydroxy-4-(2-(tosyloxy)acetamido)benzoic acid</t>
  </si>
  <si>
    <t>2-羟基-4-(2-(甲苯磺酰氧基)乙酰氨基)苯甲酸</t>
  </si>
  <si>
    <t>HMDB0246889</t>
  </si>
  <si>
    <t>CC1=CC=C(C=C1)S(=O)(=O)OCC(=O)NC1=CC(O)=C(C=C1)C(O)=O</t>
  </si>
  <si>
    <t>HWNUSGNZBAISFM-UHFFFAOYSA-N</t>
  </si>
  <si>
    <t>80.9650, 114.4060, 205.3926, 211.9785, 212.0018, 308.0656, 317.3520, 322.8012, 341.5830, 364.0462</t>
  </si>
  <si>
    <t>C16H15NO7S</t>
  </si>
  <si>
    <t>FT2772PR</t>
  </si>
  <si>
    <t>N6-Carboxymethyllysine</t>
  </si>
  <si>
    <t>NΕ-(1-羧甲基)-L-赖氨酸</t>
  </si>
  <si>
    <t>HMDB0240347</t>
  </si>
  <si>
    <t>R-HSA-1280215,R-HSA-166016,R-HSA-166058,R-HSA-166166,R-HSA-168138,R-HSA-168142,R-HSA-168164,R-HSA-168176,R-HSA-168179,R-HSA-168181,R-HSA-168188,R-HSA-168249,R-HSA-168256,R-HSA-168898,R-HSA-168928,R-HSA-181438,R-HSA-2173782,R-HSA-3000480,R-HSA-3000497,R-HSA-445989,R-HSA-446652,R-HSA-449147,R-HSA-5653656,R-HSA-879415,R-HSA-9020702,R-HSA-933542,R-HSA-937061,R-HSA-975138,R-HSA-975155,R-HSA-975871</t>
  </si>
  <si>
    <t>Cytokine Signaling in Immune system|Toll Like Receptor 4 (TLR4) Cascade|MyD88:MAL(TIRAP) cascade initiated on plasma membrane|MyD88-independent TLR4 cascade |Toll Like Receptor 9 (TLR9) Cascade|Toll Like Receptor 10 (TLR10) Cascade|Toll Like Receptor 3 (TLR3) Cascade|Toll Like Receptor 5 (TLR5) Cascade|Toll Like Receptor TLR1:TLR2 Cascade|Toll Like Receptor 7/8 (TLR7/8) Cascade|Toll Like Receptor TLR6:TLR2 Cascade|Innate Immune System|Immune System|Toll-like Receptor Cascades|DDX58/IFIH1-mediated induction of interferon-alpha/beta|Toll Like Receptor 2 (TLR2) Cascade|Binding and Uptake of Ligands by Scavenger Receptors|Scavenging by Class A Receptors|Scavenging by Class H Receptors|TAK1-dependent IKK and NF-kappa-B activation  |Interleukin-1 family signaling|Signaling by Interleukins|Vesicle-mediated transport|Advanced glycosylation endproduct receptor signaling|Interleukin-1 signaling|TRAF6 mediated NF-kB activation|TRIF(TICAM1)-mediated TLR4 signaling |TRAF6 mediated induction of NFkB and MAP kinases upon TLR7/8 or 9 activation|MyD88 dependent cascade initiated on endosome|MyD88 cascade initiated on plasma membrane</t>
  </si>
  <si>
    <t>5746-04-3</t>
  </si>
  <si>
    <t>N[C@@H](CCCCNCC(O)=O)C(O)=O</t>
  </si>
  <si>
    <t>NUXSIDPKKIEIMI-LURJTMIESA-N</t>
  </si>
  <si>
    <t>C8H16N2O4</t>
  </si>
  <si>
    <t>FT3972NR</t>
  </si>
  <si>
    <t>8-Carboxymethyldihydrochelerythrine</t>
  </si>
  <si>
    <t>8-羧甲基二氢白屈菜赤碱</t>
  </si>
  <si>
    <t>HMDB0029832</t>
  </si>
  <si>
    <t>COC1=C(OC)C2=C(C=C1)C1=C(N(C)C2CC(O)=O)C2=CC3=C(OCO3)C=C2C=C1</t>
  </si>
  <si>
    <t>OZWQDEDYZWNLMM-UHFFFAOYSA-N</t>
  </si>
  <si>
    <t>Dihydrobenzophenanthridine alkaloids</t>
  </si>
  <si>
    <t>二氢苯并菲啶生物碱</t>
  </si>
  <si>
    <t>C23H21NO6</t>
  </si>
  <si>
    <t>FT5354NR</t>
  </si>
  <si>
    <t>Sultamicillin</t>
  </si>
  <si>
    <t>舒他西林</t>
  </si>
  <si>
    <t>HMDB0258621</t>
  </si>
  <si>
    <t>CC1(C)SC2C(NC(=O)C(N)C3=CC=CC=C3)C(=O)N2C1C(=O)OCOC(=O)C1N2C(CC2=O)S(=O)(=O)C1(C)C</t>
  </si>
  <si>
    <t>OPYGFNJSCUDTBT-UHFFFAOYSA-N</t>
  </si>
  <si>
    <t>205.3853, 205.4032, 254.9815, 267.2562, 358.1078, 373.1294, 453.0858, 549.1603, 550.1530, 629.1168</t>
  </si>
  <si>
    <t>C25H30N4O9S2</t>
  </si>
  <si>
    <t>FT1996PR</t>
  </si>
  <si>
    <t>3Z,11E-Trideca-1,3,11-triene-5,7,9-triyne</t>
  </si>
  <si>
    <t>3Z,11E-十三烷-1,3,11-三烯-5,7,9-三炔</t>
  </si>
  <si>
    <t>HMDB0302486</t>
  </si>
  <si>
    <t>C\C=C\C#CC#CC#C\C=C/C=C</t>
  </si>
  <si>
    <t>KAGUESUDHDXNCN-GUBXDBFYSA-N</t>
  </si>
  <si>
    <t>Enynes</t>
  </si>
  <si>
    <t>埃尼内斯</t>
  </si>
  <si>
    <t>167.0526, 167.0589, 167.0853, 167.1029, 167.1110, 167.1195, 167.1420, 167.9307, 168.0888, 169.0646</t>
  </si>
  <si>
    <t>C13H10</t>
  </si>
  <si>
    <t>FT2530PR</t>
  </si>
  <si>
    <t>Pempidine</t>
  </si>
  <si>
    <t>五甲基哌啶</t>
  </si>
  <si>
    <t>HMDB0256215</t>
  </si>
  <si>
    <t>79-55-0</t>
  </si>
  <si>
    <t>CN1C(C)(C)CCCC1(C)C</t>
  </si>
  <si>
    <t>XULIXFLCVXWHRF-UHFFFAOYSA-N</t>
  </si>
  <si>
    <t>C10H21N</t>
  </si>
  <si>
    <t>FT1801NR</t>
  </si>
  <si>
    <t>ChemDiv3_013921</t>
  </si>
  <si>
    <t>COc1ccc(OC)c(C=CC(O)=NCC(=O)O)c1</t>
  </si>
  <si>
    <t>OAVYYUKEAYWSRW-UHFFFAOYSA-N</t>
  </si>
  <si>
    <t>246.0251, 246.0745, 246.1332, 246.5761, 247.0736, 296.1865, 386.5207, 395.1888, 396.1928, 399.3414</t>
  </si>
  <si>
    <t>FT2600NR</t>
  </si>
  <si>
    <t>4,5-Dinitro-7,8-dithiabicyclo[4.2.0]octa-1(6),2,4-triene-2-carboxylic acid</t>
  </si>
  <si>
    <t>4,5-二硝基-7,8-二硫双环[4.2.0]八-1(6),2,4-三烯-2-甲酸</t>
  </si>
  <si>
    <t>HMDB0257945</t>
  </si>
  <si>
    <t>OC(=O)C1=CC(=C(C2=C1SS2)[N+]([O-])=O)[N+]([O-])=O</t>
  </si>
  <si>
    <t>RJRIXRJFUIMVPU-UHFFFAOYSA-N</t>
  </si>
  <si>
    <t>178.9484, 191.9453, 200.1716, 205.3840, 205.4029, 220.7026, 252.9169, 280.9117, 302.6926, 308.9058</t>
  </si>
  <si>
    <t>C7H2N2O6S2</t>
  </si>
  <si>
    <t>FT4551NR</t>
  </si>
  <si>
    <t>Pennelliiside B</t>
  </si>
  <si>
    <t>青霉甙B</t>
  </si>
  <si>
    <t>LMSL05000010</t>
  </si>
  <si>
    <t>CC(CCCCCCC(=O)O[C@@H]1[C@H](C(O[C@@H]([C@H]1OC(C(C)C)=O)CO)O)OC(C(C)C)=O)C</t>
  </si>
  <si>
    <t>YTHLWGABNVZNEQ-QGZVAWBXSA-N</t>
  </si>
  <si>
    <t>72.3367, 75.5862, 116.9282, 116.9352, 128.2598, 205.3890, 205.4073, 302.6862, 410.8287, 419.8749</t>
  </si>
  <si>
    <t>C24H42O9</t>
  </si>
  <si>
    <t>FT1481NR</t>
  </si>
  <si>
    <t>2,6-Diamino-9-(2-hydroxyethoxymethyl)purine</t>
  </si>
  <si>
    <t>2,6-二氨基-9-(2-羟基乙氧基甲基)嘌呤</t>
  </si>
  <si>
    <t>HMDB0246998</t>
  </si>
  <si>
    <t>NC1=NC2=C(N=CN2COCCO)C(N)=N1</t>
  </si>
  <si>
    <t>CSMCRCLIPQDIKB-UHFFFAOYSA-N</t>
  </si>
  <si>
    <t>C8H12N6O2</t>
  </si>
  <si>
    <t>FT5697NR</t>
  </si>
  <si>
    <t>PE-Cer(d16:2/24:0(2OH))</t>
  </si>
  <si>
    <t xml:space="preserve"> PE-Cer(d16:2(4E,6E)/24:0(2OH))</t>
  </si>
  <si>
    <t>LMSP03020093</t>
  </si>
  <si>
    <t>[C@](COP(=O)(O)OCCN)([H])(NC(C(O)CCCCCCCCCCCCCCCCCCCCCC)=O)[C@]([H])(O)/C=C/C=C/CCCCCCCCC</t>
  </si>
  <si>
    <t>SDUIKFGFKKRTHA-SVHKIWPWSA-N</t>
  </si>
  <si>
    <t>205.1528, 225.3117, 279.2330, 280.2355, 411.3046, 412.3091, 697.2732, 719.6138, 743.5422, 803.5787</t>
  </si>
  <si>
    <t>C42H83N2O7P</t>
  </si>
  <si>
    <t>FT3058NR</t>
  </si>
  <si>
    <t>Leridol</t>
  </si>
  <si>
    <t>莱瑞朵</t>
  </si>
  <si>
    <t>LMPK12140199</t>
  </si>
  <si>
    <t>C1(CO)C(OC)=C(C)C2OC(C3C=CC=CC=3)CC(=O)C=2C=1O</t>
  </si>
  <si>
    <t>NYMCJKZZZIZEPS-UHFFFAOYSA-N</t>
  </si>
  <si>
    <t>129.0553, 150.6473, 151.9307, 197.0431, 205.3938, 214.0328, 270.5195, 281.1001, 281.1330, 305.8221</t>
  </si>
  <si>
    <t>C18H18O5</t>
  </si>
  <si>
    <t>FT3224NR</t>
  </si>
  <si>
    <t>Kanzonol R</t>
  </si>
  <si>
    <t>坎佐诺尔R</t>
  </si>
  <si>
    <t>HMDB0041099</t>
  </si>
  <si>
    <t>156250-73-6</t>
  </si>
  <si>
    <t>COC1=C(CC=C(C)C)C(O)=C(C=C1)C1COC2=CC(O)=CC(OC)=C2C1</t>
  </si>
  <si>
    <t>RRBCXJUMJUPDST-UHFFFAOYSA-N</t>
  </si>
  <si>
    <t>69.3455, 77.5562, 96.9598, 144.3281, 164.0134, 205.3981, 263.2704, 270.2332, 369.1737, 370.1769</t>
  </si>
  <si>
    <t>C22H26O5</t>
  </si>
  <si>
    <t>FT4540PR</t>
  </si>
  <si>
    <t>4-hydroxysphinganine</t>
  </si>
  <si>
    <t>CCCCCCCCCCCCCCC(O)[C@@H](O)[C@@H](N)CO</t>
  </si>
  <si>
    <t>AERBNCYCJBRYDG-RGBJRUIASA-N</t>
  </si>
  <si>
    <t>79.7218, 79.9193, 88.0757, 88.4607, 92.1774, 201.6746, 208.0922, 270.2777, 318.2397, 318.2998</t>
  </si>
  <si>
    <t>C18H39NO3</t>
  </si>
  <si>
    <t>FT1317NR</t>
  </si>
  <si>
    <t>Benzoquinoneacetic acid</t>
  </si>
  <si>
    <t>苯醌乙酸</t>
  </si>
  <si>
    <t>HMDB0002334</t>
  </si>
  <si>
    <t>10275-07-7</t>
  </si>
  <si>
    <t>OC(=O)CC1=CC(=O)C=CC1=O</t>
  </si>
  <si>
    <t>RAPRJRLALQKSHB-UHFFFAOYSA-N</t>
  </si>
  <si>
    <t>FT4347PR</t>
  </si>
  <si>
    <t>Pregnene</t>
  </si>
  <si>
    <t>孕烯</t>
  </si>
  <si>
    <t>HMDB0256758</t>
  </si>
  <si>
    <t>CC12CCC3C(CCC4CCCCC34C)C1CCC2C=C</t>
  </si>
  <si>
    <t>VZRAKVPDZIQRGT-UHFFFAOYSA-N</t>
  </si>
  <si>
    <t>74.3976, 76.0726, 76.0767, 91.0546, 110.7520, 212.2373, 280.8675, 302.9718, 304.2994, 305.1556</t>
  </si>
  <si>
    <t>C21H34</t>
  </si>
  <si>
    <t>FT4481NR</t>
  </si>
  <si>
    <t>Gcdcs</t>
  </si>
  <si>
    <t>海湾合作委员会</t>
  </si>
  <si>
    <t>HMDB0252653</t>
  </si>
  <si>
    <t>CC(CCC(=O)NCC(O)=O)C1CCC2C3C(O)CC4CC(CCC4(C)C3CCC12C)OS(O)(=O)=O</t>
  </si>
  <si>
    <t>DKXXSIJHWWVNMO-UHFFFAOYSA-N</t>
  </si>
  <si>
    <t>248.9605, 275.9194, 304.7074, 386.1496, 430.2947, 475.7284, 510.0741, 510.2520, 511.2541, 513.2266</t>
  </si>
  <si>
    <t>FT3621PR</t>
  </si>
  <si>
    <t>(e)-4-hydroxy-dodec-2-enedioic acid</t>
  </si>
  <si>
    <t>(e)-4-羟基-十二碳-2-烯二酸</t>
  </si>
  <si>
    <t>O=C(O)/C=C/C(O)CCCCCCCC(=O)O</t>
  </si>
  <si>
    <t>UHLUIRZFRDVZGV-CMDGGOBGSA-N</t>
  </si>
  <si>
    <t>FT3478PR</t>
  </si>
  <si>
    <t>AKOS009018837</t>
  </si>
  <si>
    <t>O=C(O)CN=C(O)CCN=C(O)c1ccccc1</t>
  </si>
  <si>
    <t>RDDHXKODFMITBF-UHFFFAOYSA-N</t>
  </si>
  <si>
    <t>FT4394PR</t>
  </si>
  <si>
    <t>Monoacetyldiglyceride</t>
  </si>
  <si>
    <t>单乙酰二甘油酯</t>
  </si>
  <si>
    <t>HMDB0254848</t>
  </si>
  <si>
    <t>CC(=O)OC(C(O)CO)C1(CO)OC(=O)C(CO)OC1=O</t>
  </si>
  <si>
    <t>ZQSYXRZYUJPWKK-UHFFFAOYSA-N</t>
  </si>
  <si>
    <t>156.9486, 173.0290, 191.0399, 205.4049, 224.0290, 249.8423, 291.0713, 309.0817, 309.1709, 309.2036</t>
  </si>
  <si>
    <t>C11H16O10</t>
  </si>
  <si>
    <t>FT7977PR</t>
  </si>
  <si>
    <t>TG(22:5/22:6/22:6)</t>
  </si>
  <si>
    <t>甘油三酯(22:5/22:6/22:6)</t>
  </si>
  <si>
    <t>HMDB0055139</t>
  </si>
  <si>
    <t>[H][C@](COC(=O)CC\C=C/C\C=C/C\C=C/C\C=C/C\C=C/CCCCC)(COC(=O)CC\C=C/C\C=C/C\C=C/C\C=C/C\C=C/C\C=C/CC)OC(=O)CC\C=C/C\C=C/C\C=C/C\C=C/C\C=C/C\C=C/CC</t>
  </si>
  <si>
    <t>BORRTOFFOWGFIB-GPVQMKAZSA-N</t>
  </si>
  <si>
    <t>524.5200, 524.5570, 525.3746, 538.3863, 627.4688, 1039.2250, 1047.0671, 1047.7330, 1048.2592, 1048.7227</t>
  </si>
  <si>
    <t>C69H100O6</t>
  </si>
  <si>
    <t>FT2006NR</t>
  </si>
  <si>
    <t>Histidinyl-Alanine</t>
  </si>
  <si>
    <t>组氨酰丙氨酸</t>
  </si>
  <si>
    <t>HMDB0304819</t>
  </si>
  <si>
    <t>CC(N=C(O)C(N)CC1=CN=CN1)C(O)=O</t>
  </si>
  <si>
    <t>FRJIAZKQGSCKPQ-UHFFFAOYSA-N</t>
  </si>
  <si>
    <t>218.0878, 235.0947, 261.0075, 261.0216, 261.0738, 261.1261, 261.1362, 262.0769, 262.1476, 279.0860</t>
  </si>
  <si>
    <t>C9H14N4O3</t>
  </si>
  <si>
    <t>FT2784PR</t>
  </si>
  <si>
    <t>Benzyl sulfate</t>
  </si>
  <si>
    <t>硫酸苄酯</t>
  </si>
  <si>
    <t>HMDB0034782</t>
  </si>
  <si>
    <t>OS(=O)(=O)OCC1=CC=CC=C1</t>
  </si>
  <si>
    <t>CZNJCCVKDVCRKF-UHFFFAOYSA-N</t>
  </si>
  <si>
    <t>FT6127PR</t>
  </si>
  <si>
    <t>13-Methylhenicosanoylcarnitine</t>
  </si>
  <si>
    <t>13-甲基二十烷酰肉碱</t>
  </si>
  <si>
    <t>HMDB0240944</t>
  </si>
  <si>
    <t>CCCCCCCCC(C)CCCCCCCCCCCC(=O)OC(CC([O-])=O)C[N+](C)(C)C</t>
  </si>
  <si>
    <t>ONVPNNPZCMZCCU-UHFFFAOYSA-N</t>
  </si>
  <si>
    <t>68.9426, 71.9330, 71.9815, 78.5807, 85.0288, 85.8913, 157.5034, 302.6811, 302.7146, 484.4355</t>
  </si>
  <si>
    <t>C29H57NO4</t>
  </si>
  <si>
    <t>FT2715PR</t>
  </si>
  <si>
    <t>3-(3-Methylbutylidene)-1(3H)-isobenzofuranone</t>
  </si>
  <si>
    <t>3-(3-甲基亚丁基)-1(3H)-异苯并呋喃酮</t>
  </si>
  <si>
    <t>HMDB0031663</t>
  </si>
  <si>
    <t>CC(C)C\C=C1/OC(=O)C2=CC=CC=C12</t>
  </si>
  <si>
    <t>LLCYNDRFWDIIQS-WQLSENKSSA-N</t>
  </si>
  <si>
    <t>Isocoumarans</t>
  </si>
  <si>
    <t>Isobenzofuranones</t>
  </si>
  <si>
    <t>异香豆素</t>
  </si>
  <si>
    <t>异苯并呋喃酮类</t>
  </si>
  <si>
    <t>C13H14O2</t>
  </si>
  <si>
    <t>FT3174PR</t>
  </si>
  <si>
    <t>Wyeronic acid</t>
  </si>
  <si>
    <t>维罗糖酸</t>
  </si>
  <si>
    <t>HMDB0039141</t>
  </si>
  <si>
    <t>117783-52-5</t>
  </si>
  <si>
    <t>C\C=C\C#CC(=O)C1=CC=C(O1)\C=C/C(O)=O</t>
  </si>
  <si>
    <t>DMVOIMZYBMLJHN-XKURDXHJSA-N</t>
  </si>
  <si>
    <t>C13H10O4</t>
  </si>
  <si>
    <t>FT5727PR</t>
  </si>
  <si>
    <t>1alpha-hydroxy-24-(dimethylphosphoryl)-25,26,27-trinorvitamin D3</t>
  </si>
  <si>
    <t>1α-羟基-24-（二甲基磷酰基）-25,26,27-三甲维生素 D3</t>
  </si>
  <si>
    <t>LMST03020071</t>
  </si>
  <si>
    <t>[C@@H]1(O)C(=C)/C(=C\C=C2\[C@]3([H])CC[C@@]([C@@](C)([H])CCCP(=O)(C)C)([H])[C@@]3(C)CCC\2)/C[C@@H](O)C1</t>
  </si>
  <si>
    <t>HRIMPHJRXVWNHT-KPJOBTTESA-N</t>
  </si>
  <si>
    <t>433.0171, 435.1589, 435.1889, 435.3010, 435.4124, 435.4400, 435.4838, 436.3054, 437.5970, 453.3123</t>
  </si>
  <si>
    <t>C26H43O3P</t>
  </si>
  <si>
    <t>FT3436PR</t>
  </si>
  <si>
    <t>(1E)-1-{[(Diaminomethylidene)amino]imino}-2,3-dihydro-1H-indene-4-carboximidamide</t>
  </si>
  <si>
    <t>(1E)-1-{[(二氨基亚甲基)氨基]亚氨基}-2,3-二氢-1H-茚-4-甲脒酰胺</t>
  </si>
  <si>
    <t>HMDB0242312</t>
  </si>
  <si>
    <t>NC(N)=NN=C1CCC2=C1C=CC=C2C(N)=N</t>
  </si>
  <si>
    <t>CYPGNVSXMAUSJY-UHFFFAOYSA-N</t>
  </si>
  <si>
    <t>C11H14N6</t>
  </si>
  <si>
    <t>FT5629PR</t>
  </si>
  <si>
    <t>FAHFA(16:11/3-O-10:0)</t>
  </si>
  <si>
    <t>脂肪酸羟基脂肪酸(16:11/3-O-10:0)</t>
  </si>
  <si>
    <t>LMFA07090135</t>
  </si>
  <si>
    <t>C(C(O)=O)C(OC(CCCCCCC/C=C\CCCCCC)=O)CCCCCCC</t>
  </si>
  <si>
    <t>NJJSIZAZJSWBRS-QXMHVHEDSA-N</t>
  </si>
  <si>
    <t>C26H48O4</t>
  </si>
  <si>
    <t>FT2063NR</t>
  </si>
  <si>
    <t>(2E,4E)-Hexa-2,4-dienedioylcarnitine</t>
  </si>
  <si>
    <t>(2E,4E)-六-2,4-二烯二酰肉碱</t>
  </si>
  <si>
    <t>HMDB0241673</t>
  </si>
  <si>
    <t>C[N+](C)(C)CC(CC([O-])=O)OC(=O)C=CC=CC(O)=O</t>
  </si>
  <si>
    <t>JMCSSDQFIPIZQU-UHFFFAOYSA-N</t>
  </si>
  <si>
    <t>C13H19NO6</t>
  </si>
  <si>
    <t>FT1353NR</t>
  </si>
  <si>
    <t>Brassicanal B</t>
  </si>
  <si>
    <t>芸苔素B</t>
  </si>
  <si>
    <t>HMDB0038592</t>
  </si>
  <si>
    <t>126654-63-5</t>
  </si>
  <si>
    <t>CC1(O)CSC2=C(C=O)C3=CC=CC=C3N12</t>
  </si>
  <si>
    <t>ZIEFIDANMCIAOW-UHFFFAOYSA-N</t>
  </si>
  <si>
    <t>129.0555, 130.0591, 132.0453, 134.0510, 135.0449, 192.4080, 205.3987, 213.9972, 214.0325, 215.0014</t>
  </si>
  <si>
    <t>C12H11NO2S</t>
  </si>
  <si>
    <t>FT4583NR</t>
  </si>
  <si>
    <t>13-(hexopyranosyloxy)kaur-16-en-18-oic acid</t>
  </si>
  <si>
    <t>C=C1CC23CCC4C(C)(C(=O)O)CCCC4(C)C2CCC1(OC1OC(CO)C(O)C(O)C1O)C3</t>
  </si>
  <si>
    <t>QSIDJGUAAUSPMG-UHFFFAOYSA-N</t>
  </si>
  <si>
    <t>82.5554, 82.6475, 85.0292, 113.0238, 156.1364, 217.6113, 277.0145, 371.0000, 525.2697, 526.2687</t>
  </si>
  <si>
    <t>C26H40O8</t>
  </si>
  <si>
    <t>FT3709PR</t>
  </si>
  <si>
    <t>1,2-Bis(2-(4,5-dihydro-1H-imidazol-2-yl)propan-2-yl)diazene</t>
  </si>
  <si>
    <t>偶氮二咪唑啉基丙烷</t>
  </si>
  <si>
    <t>HMDB0245595</t>
  </si>
  <si>
    <t>CC(C)(N=NC(C)(C)C1=NCCN1)C1=NCCN1</t>
  </si>
  <si>
    <t>LWMFAFLIWMPZSX-UHFFFAOYSA-N</t>
  </si>
  <si>
    <t>Imidolactams</t>
  </si>
  <si>
    <t>亚氨基内酰胺类</t>
  </si>
  <si>
    <t>74.4515, 74.5233, 77.8192, 154.9668, 182.3650, 205.4014, 244.9632, 248.0166, 268.2251, 271.3587</t>
  </si>
  <si>
    <t>C12H22N6</t>
  </si>
  <si>
    <t>FT4375NR</t>
  </si>
  <si>
    <t>Sarcoehrendin I</t>
  </si>
  <si>
    <t>肌红素I</t>
  </si>
  <si>
    <t>LMFA03010230</t>
  </si>
  <si>
    <t>[C@H]1(/C=C/[C@@H](OC(C)=O)CCCCC)[C@H](OC(=O)C)C[C@H](O)[C@@H]1/C=C\CCCCC(=O)OC</t>
  </si>
  <si>
    <t>YFKVHMFAMUUTDI-HHNLZXQZSA-N</t>
  </si>
  <si>
    <t>113.0243, 113.3233, 115.9536, 157.0121, 248.3317, 252.1726, 373.7776, 380.9003, 497.2747, 498.2806</t>
  </si>
  <si>
    <t>C25H40O7</t>
  </si>
  <si>
    <t>FT2990NR</t>
  </si>
  <si>
    <t>4-coumaroyl-3',4'-dihydroxyphenyllactate</t>
  </si>
  <si>
    <t>4-香豆酰基-3',4'-二羟基苯基乳酸</t>
  </si>
  <si>
    <t>HMDB0304172</t>
  </si>
  <si>
    <t>OC1=CC=C(C=CC(=O)OC(CC2=CC(O)=C(O)C=C2)C([O-])=O)C=C1</t>
  </si>
  <si>
    <t>KIMHJUCTTIEANQ-UHFFFAOYSA-M</t>
  </si>
  <si>
    <t>C18H15O7</t>
  </si>
  <si>
    <t>FT0373PR</t>
  </si>
  <si>
    <t>2,5-Dimethyl-1H-pyrrole</t>
  </si>
  <si>
    <t>2,5-二甲基吡咯</t>
  </si>
  <si>
    <t>HMDB0032973</t>
  </si>
  <si>
    <t>625-84-3</t>
  </si>
  <si>
    <t>CC1=CC=C(C)N1</t>
  </si>
  <si>
    <t>PAPNRQCYSFBWDI-UHFFFAOYSA-N</t>
  </si>
  <si>
    <t>Substituted pyrroles</t>
  </si>
  <si>
    <t>取代吡咯</t>
  </si>
  <si>
    <t>C6H9N</t>
  </si>
  <si>
    <t>FT2679NR</t>
  </si>
  <si>
    <t>Dansyl chloride</t>
  </si>
  <si>
    <t>丹磺酰氯</t>
  </si>
  <si>
    <t>HMDB0250846</t>
  </si>
  <si>
    <t>CN(C)C1=CC=CC2=C1C=CC=C2S(Cl)(=O)=O</t>
  </si>
  <si>
    <t>XPDXVDYUQZHFPV-UHFFFAOYSA-N</t>
  </si>
  <si>
    <t>107.1911, 112.9851, 127.5019, 134.0607, 178.0504, 205.3913, 246.0375, 246.9438, 314.0700, 334.1334</t>
  </si>
  <si>
    <t>C12H12ClNO2S</t>
  </si>
  <si>
    <t>FT3210PR</t>
  </si>
  <si>
    <t>2,6-Pipecoloxylidide</t>
  </si>
  <si>
    <t>N-(2',6'-二甲苯基)-2-哌啶甲酰胺</t>
  </si>
  <si>
    <t>HMDB0060725</t>
  </si>
  <si>
    <t>C16575</t>
  </si>
  <si>
    <t>27262-40-4</t>
  </si>
  <si>
    <t>CC1=CC=CC(C)=C1N=C(O)C1CCCCN1</t>
  </si>
  <si>
    <t>SILRCGDPZGQJOQ-UHFFFAOYSA-N</t>
  </si>
  <si>
    <t>FT3704PR</t>
  </si>
  <si>
    <t>AKOS025469878</t>
  </si>
  <si>
    <t>COc1ccc(OC)c(CCC(O)=NCC(=O)O)c1</t>
  </si>
  <si>
    <t>KNTNLWMWSPIKQK-UHFFFAOYSA-N</t>
  </si>
  <si>
    <t>138.0914, 169.0116, 182.0804, 184.0971, 222.1123, 229.1818, 242.0137, 256.5054, 268.1177, 268.1505</t>
  </si>
  <si>
    <t>C13H17NO5</t>
  </si>
  <si>
    <t>FT5378PR</t>
  </si>
  <si>
    <t>(6RS)-22-oxo-23,24,25,26,27-pentanorvitamin D3 6,19-sulfur dioxide adduct</t>
  </si>
  <si>
    <t>(6RS)-22-氧代-23,24,25,26,27-戊烷维生素 D3 6,19-二氧化硫加合物</t>
  </si>
  <si>
    <t>LMST03020008</t>
  </si>
  <si>
    <t>[C@@H]1(O)CC2C(S(=O)(=O)CC=2CC1)/C=C1/[C@]2([H])CC[C@@]([C@@](C)([H])C(=O)[H])([H])[C@@]2(C)CCC/1</t>
  </si>
  <si>
    <t>QPAPCSSCGKZVEI-RMZXUFQGSA-N</t>
  </si>
  <si>
    <t>98.3059, 138.6032, 227.8500, 391.2581, 393.0856, 393.2088, 393.3022, 393.3658, 394.2120, 411.4398</t>
  </si>
  <si>
    <t>C22H32O4S</t>
  </si>
  <si>
    <t>FT4329PR</t>
  </si>
  <si>
    <t>Arginyl-Gamma-glutamate</t>
  </si>
  <si>
    <t>精氨酰-γ-谷氨酸</t>
  </si>
  <si>
    <t>HMDB0028723</t>
  </si>
  <si>
    <t>NC(CCC(=O)NC(=O)C(N)CCCNC(N)=N)C(O)=O</t>
  </si>
  <si>
    <t>NSSFBLAWOMFCOV-UHFFFAOYSA-N</t>
  </si>
  <si>
    <t>C11H22N6O4</t>
  </si>
  <si>
    <t>FT2776PR</t>
  </si>
  <si>
    <t>Decane-1-sulfonic acid</t>
  </si>
  <si>
    <t>1-癸烷磺酸</t>
  </si>
  <si>
    <t>HMDB0250916</t>
  </si>
  <si>
    <t>CCCCCCCCCCS(O)(=O)=O</t>
  </si>
  <si>
    <t>KVGOXGQSTGQXDD-UHFFFAOYSA-N</t>
  </si>
  <si>
    <t>C10H22O3S</t>
  </si>
  <si>
    <t>FT0275NR</t>
  </si>
  <si>
    <t>Propynoic acid</t>
  </si>
  <si>
    <t>丙炔酸</t>
  </si>
  <si>
    <t>HMDB0006804</t>
  </si>
  <si>
    <t>C00804</t>
  </si>
  <si>
    <t>hsa00410,hsa00640</t>
  </si>
  <si>
    <t>beta-Alanine metabolism|Propanoate metabolism</t>
  </si>
  <si>
    <t>471-25-0</t>
  </si>
  <si>
    <t>OC(=O)C#C</t>
  </si>
  <si>
    <t>UORVCLMRJXCDCP-UHFFFAOYSA-N</t>
  </si>
  <si>
    <t>C3H2O2</t>
  </si>
  <si>
    <t>FT1588NR</t>
  </si>
  <si>
    <t>2-(Sec-butyldisulfanyl)-1h-imidazole</t>
  </si>
  <si>
    <t>2-(仲丁基二硫基)-1H-咪唑</t>
  </si>
  <si>
    <t>HMDB0244601</t>
  </si>
  <si>
    <t>CCC(C)SSC1=NC=CN1</t>
  </si>
  <si>
    <t>BPBPYQWMFCTCNG-UHFFFAOYSA-N</t>
  </si>
  <si>
    <t>C7H12N2S2</t>
  </si>
  <si>
    <t>FT2695PR</t>
  </si>
  <si>
    <t>(+/-)-3-[(2-methyl-3-furyl)thio]-2-butanone</t>
  </si>
  <si>
    <t>3-[(2-甲基-3-呋喃)硫基]-2-丁酮</t>
  </si>
  <si>
    <t>HMDB0032401</t>
  </si>
  <si>
    <t>61295-44-1</t>
  </si>
  <si>
    <t>CC(SC1=C(C)OC=C1)C(C)=O</t>
  </si>
  <si>
    <t>AOEYNSLUBHRZPA-UHFFFAOYSA-N</t>
  </si>
  <si>
    <t>Thioethers</t>
  </si>
  <si>
    <t>Aryl thioethers</t>
  </si>
  <si>
    <t>硫醚类</t>
  </si>
  <si>
    <t>芳基硫醚</t>
  </si>
  <si>
    <t>C9H12O2S</t>
  </si>
  <si>
    <t>FT5827NR</t>
  </si>
  <si>
    <t>2,3-diene-Valproic acid-CoA</t>
  </si>
  <si>
    <t>2,3-二烯-丙戊酸-CoA</t>
  </si>
  <si>
    <t>HMDB0060723</t>
  </si>
  <si>
    <t>CC[CH]C(\C=C\C)C(=O)SCCN=C(O)CCN=C(O)C(O)C(C)(C)COP(O)(=O)OP(O)(=O)OC[C@@H]1O[C@@H]([C@@H](O)[C@H]1OP(O)(O)=O)N1C=NC2=C(N)N=CN=C12</t>
  </si>
  <si>
    <t>HHTBSDBEURXGDY-SBRPTYDJSA-N</t>
  </si>
  <si>
    <t>313.0657, 341.5201, 351.0201, 351.0652, 581.7859, 643.1107, 644.1096, 672.9246, 810.4791, 852.8549</t>
  </si>
  <si>
    <t>C29H47N7O17P3S</t>
  </si>
  <si>
    <t>FT1485NR</t>
  </si>
  <si>
    <t>13-keto myristic acid</t>
  </si>
  <si>
    <t>13-氧代十四酸</t>
  </si>
  <si>
    <t>LMFA01060046</t>
  </si>
  <si>
    <t>C(CCCCCCCC(=O)C)CCCC(=O)O</t>
  </si>
  <si>
    <t>YPWBYMBZGDPMOZ-UHFFFAOYSA-N</t>
  </si>
  <si>
    <t>78.2085, 85.8354, 96.9600, 143.3655, 215.4890, 223.0269, 223.0977, 223.1337, 223.1700, 224.0616</t>
  </si>
  <si>
    <t>C14H26O3</t>
  </si>
  <si>
    <t>FT2018PR</t>
  </si>
  <si>
    <t>2,4-Diamino-6-nitrotoluene</t>
  </si>
  <si>
    <t>2,4-二氨基-6-硝基甲苯</t>
  </si>
  <si>
    <t>HMDB0060362</t>
  </si>
  <si>
    <t>C16396</t>
  </si>
  <si>
    <t>6629-29-4</t>
  </si>
  <si>
    <t>CC1=C(N)C=C(N)C=C1N(=O)=O</t>
  </si>
  <si>
    <t>DFZSBQYOXAUYCB-UHFFFAOYSA-N</t>
  </si>
  <si>
    <t>C7H9N3O2</t>
  </si>
  <si>
    <t>FT6525PR</t>
  </si>
  <si>
    <t>L-Proline, 1-(N2-(1-carboxy-3-phenylpropyl)-N6-((4-hydroxyphenyl)iminomethyl)-L-lysyl)-, (S)-</t>
  </si>
  <si>
    <t>L-脯氨酸，1-(N2-(1-羧基-3-苯基丙基)-N6-((4-羟基苯基)亚氨基甲基)-L-赖氨酰)-，(S)-</t>
  </si>
  <si>
    <t>HMDB0250421</t>
  </si>
  <si>
    <t>OC(=O)C(CCC1=CC=CC=C1)NC(CCCCN=CNC1=CC=C(O)C=C1)C(=O)N1CCCC1C(O)=O</t>
  </si>
  <si>
    <t>IQNWLCXGCZTZFI-UHFFFAOYSA-N</t>
  </si>
  <si>
    <t>78.8744, 82.6299, 205.4013, 289.8453, 302.6950, 348.4010, 354.1951, 457.2832, 491.3596, 525.2694</t>
  </si>
  <si>
    <t>C28H36N4O6</t>
  </si>
  <si>
    <t>FT4100PR</t>
  </si>
  <si>
    <t>5R-hydroxy-hexadecanoic acid</t>
  </si>
  <si>
    <t>5R-羟基十六烷酸</t>
  </si>
  <si>
    <t>LMFA01050264</t>
  </si>
  <si>
    <t>C(CCC[C@H](O)CCCCCCCCCCC)(=O)O</t>
  </si>
  <si>
    <t>GIEJMPHHFWMLHG-OAHLLOKOSA-N</t>
  </si>
  <si>
    <t>205.4015, 226.7806, 228.2333, 242.2175, 242.2474, 272.2570, 290.1681, 290.2684, 290.3467, 291.2704</t>
  </si>
  <si>
    <t>FT7232PR</t>
  </si>
  <si>
    <t>Cer(t18:0/5-iso PGF2VI)</t>
  </si>
  <si>
    <t>神经酰胺(t18:0/5-iso PGF2VI)</t>
  </si>
  <si>
    <t>HMDB0290171</t>
  </si>
  <si>
    <t>CCCCCCCCCCCCCCC(O)C(O)[C@H](CO)NC(=O)C\C=C/C[C@@H]1[C@@H](O)C[C@@H](O)[C@@H]1\C=C\[C@H](O)CCCCC</t>
  </si>
  <si>
    <t>DTPMDOWSHMODQP-WMASQSPWSA-N</t>
  </si>
  <si>
    <t>Ceramides</t>
  </si>
  <si>
    <t>神经酰胺</t>
  </si>
  <si>
    <t>C36H67NO7</t>
  </si>
  <si>
    <t>FT1512NR</t>
  </si>
  <si>
    <t>3-(L-Menthoxy)-2-methylpropane-1,2-diol</t>
  </si>
  <si>
    <t>3-(L-薄荷氧基)-2-甲基-1,2-丙二醇</t>
  </si>
  <si>
    <t>HMDB0032417</t>
  </si>
  <si>
    <t>195863-84-4</t>
  </si>
  <si>
    <t>CC(C)C1CCC(C)CC1OCC(C)(O)CO</t>
  </si>
  <si>
    <t>XCNCWOPROFTLGU-UHFFFAOYSA-N</t>
  </si>
  <si>
    <t>192.4377, 224.5634, 225.0502, 225.1129, 225.1595, 225.1853, 225.5610, 226.1881, 235.6661, 243.6730</t>
  </si>
  <si>
    <t>FT0209PR</t>
  </si>
  <si>
    <t>Nitrite</t>
  </si>
  <si>
    <t>亚硝酸</t>
  </si>
  <si>
    <t>HMDB0002786</t>
  </si>
  <si>
    <t>C00088</t>
  </si>
  <si>
    <t>R-HSA-1222556,R-HSA-168249,R-HSA-168256</t>
  </si>
  <si>
    <t>ROS and RNS production in phagocytes|Innate Immune System|Immune System</t>
  </si>
  <si>
    <t>14797-65-0</t>
  </si>
  <si>
    <t>ON=O</t>
  </si>
  <si>
    <t>IOVCWXUNBOPUCH-UHFFFAOYSA-N</t>
  </si>
  <si>
    <t>Non-metal nitrites</t>
  </si>
  <si>
    <t>非金属亚硝酸盐</t>
  </si>
  <si>
    <t>HNO2</t>
  </si>
  <si>
    <t>FT1366NR</t>
  </si>
  <si>
    <t>2-(3,5-Dihydroxyphenyl)ethanol sulfate</t>
  </si>
  <si>
    <t xml:space="preserve"> 2-(3,5-二羟基苯基)乙醇硫酸盐</t>
  </si>
  <si>
    <t>HMDB0240693</t>
  </si>
  <si>
    <t>OCCC1=CC(OS(O)(=O)=O)=CC(O)=C1</t>
  </si>
  <si>
    <t>QGXITCCVKOBDDI-UHFFFAOYSA-N</t>
  </si>
  <si>
    <t>80.9649, 94.0060, 130.5896, 135.0449, 136.0481, 153.1280, 174.5482, 197.1172, 215.0016, 215.1279</t>
  </si>
  <si>
    <t>FT2757PR</t>
  </si>
  <si>
    <t>Diisopropylphosphate</t>
  </si>
  <si>
    <t>磷酸二异丙酯</t>
  </si>
  <si>
    <t>HMDB0251359</t>
  </si>
  <si>
    <t>C03113</t>
  </si>
  <si>
    <t>CC(C)OP(O)(=O)OC(C)C</t>
  </si>
  <si>
    <t>WZPMZMCZAGFKOC-UHFFFAOYSA-N</t>
  </si>
  <si>
    <t>149.0231, 149.0343, 150.8011, 181.8895, 205.0374, 205.0598, 205.0820, 205.1403, 205.1595, 205.3957</t>
  </si>
  <si>
    <t>C6H15O4P</t>
  </si>
  <si>
    <t>FT2551NR</t>
  </si>
  <si>
    <t>Asparaginylhistidine</t>
  </si>
  <si>
    <t>天冬酰胺酰组氨酸</t>
  </si>
  <si>
    <t>HMDB0028733</t>
  </si>
  <si>
    <t>224638-52-2</t>
  </si>
  <si>
    <t>N[C@@H](CC(N)=O)C(=O)N[C@@H](CC1=CNC=N1)C(O)=O</t>
  </si>
  <si>
    <t>FFMIYIMKQIMDPK-BQBZGAKWSA-N</t>
  </si>
  <si>
    <t>74.7200, 78.7383, 78.9554, 88.0401, 102.9565, 115.5870, 130.9724, 194.8473, 236.0924, 236.9159</t>
  </si>
  <si>
    <t>C10H15N5O4</t>
  </si>
  <si>
    <t>FT2580NR</t>
  </si>
  <si>
    <t>5'-N-Ethylcarboxamidoadenosine</t>
  </si>
  <si>
    <t>5'-N-乙基羧酰胺腺苷</t>
  </si>
  <si>
    <t>HMDB0255498</t>
  </si>
  <si>
    <t>CCNC(=O)C1OC(C(O)C1O)N1C=NC2=C1N=CN=C2N</t>
  </si>
  <si>
    <t>JADDQZYHOWSFJD-UHFFFAOYSA-N</t>
  </si>
  <si>
    <t>C12H16N6O4</t>
  </si>
  <si>
    <t>FT0430NR</t>
  </si>
  <si>
    <t>4'-Aminopropiophenone</t>
  </si>
  <si>
    <t>4-胺基丙苯酮</t>
  </si>
  <si>
    <t>HMDB0246624</t>
  </si>
  <si>
    <t>CCC(=O)C1=CC=C(N)C=C1</t>
  </si>
  <si>
    <t>FSWXOANXOQPCFF-UHFFFAOYSA-N</t>
  </si>
  <si>
    <t>FT5032NR</t>
  </si>
  <si>
    <t>Aurasperone C</t>
  </si>
  <si>
    <t>奥拉斯佩隆C</t>
  </si>
  <si>
    <t>HMDB0030856</t>
  </si>
  <si>
    <t>41689-66-1</t>
  </si>
  <si>
    <t>COC1=CC2=C(C3=C(C(=O)CC(C)(O)O3)C(O)=C2C(OC)=C1)C1=C(OC)C2=C(C=C1O)C=C1OC(C)(O)CC(=O)C1=C2O</t>
  </si>
  <si>
    <t>BAIJEJFONPISHA-UHFFFAOYSA-N</t>
  </si>
  <si>
    <t>Naphthopyranones</t>
  </si>
  <si>
    <t>萘并吡喃酮类</t>
  </si>
  <si>
    <t>152.5252, 165.7617, 205.3963, 302.6852, 369.1734, 369.2257, 437.1606, 437.2291, 505.1510, 573.1345</t>
  </si>
  <si>
    <t>C31H28O12</t>
  </si>
  <si>
    <t>FT3471NR</t>
  </si>
  <si>
    <t>Tridesilon</t>
  </si>
  <si>
    <t>特立地隆</t>
  </si>
  <si>
    <t>HMDB0258496</t>
  </si>
  <si>
    <t>CC1(C)OC2CC3C4CCC5=CC(=O)C=CC5(C)C4C(O)CC3(C)C2(O1)C(=O)CO</t>
  </si>
  <si>
    <t>WBGKWQHBNHJJPZ-UHFFFAOYSA-N</t>
  </si>
  <si>
    <t>C24H32O6</t>
  </si>
  <si>
    <t>FT2539NR</t>
  </si>
  <si>
    <t>(+/-)-Equol 4'-sulfate (sodium salt)</t>
  </si>
  <si>
    <t>O=S(=O)(O)Oc1ccc(C2COc3cc(O)ccc3C2)cc1</t>
  </si>
  <si>
    <t>UXOJWGSGKUYMIA-UHFFFAOYSA-N</t>
  </si>
  <si>
    <t>111.0084, 127.1686, 129.0188, 167.0209, 173.0088, 186.9251, 191.0191, 213.0008, 234.8614, 303.0562</t>
  </si>
  <si>
    <t>C15H14O6S</t>
  </si>
  <si>
    <t>FT1681NR</t>
  </si>
  <si>
    <t>D-Pinitol</t>
  </si>
  <si>
    <t xml:space="preserve"> D-松醇</t>
  </si>
  <si>
    <t>484-68-4</t>
  </si>
  <si>
    <t>OC1C(O)C(O)C(OC)C(O)C1O</t>
  </si>
  <si>
    <t>DSCFFEYYQKSRSV-UHFFFAOYSA-N</t>
  </si>
  <si>
    <t>C7H14O6</t>
  </si>
  <si>
    <t>FT1517NR</t>
  </si>
  <si>
    <t>4-Methoxyindoxyl sulfate</t>
  </si>
  <si>
    <t>4-甲氧基吲哚酚硫酸盐</t>
  </si>
  <si>
    <t>HMDB0304935</t>
  </si>
  <si>
    <t>COC1=CC2=C(NCC2OS(O)(=O)=O)C=C1</t>
  </si>
  <si>
    <t>IBLCRTNVHXHBPT-UHFFFAOYSA-N</t>
  </si>
  <si>
    <t>146.0608, 146.0703, 147.0646, 149.2345, 150.0627, 198.6276, 202.6541, 221.0025, 226.0175, 227.0200</t>
  </si>
  <si>
    <t>C9H11NO5S</t>
  </si>
  <si>
    <t>FT4142NR</t>
  </si>
  <si>
    <t>Colupone</t>
  </si>
  <si>
    <t>科鲁波内</t>
  </si>
  <si>
    <t>HMDB0039615</t>
  </si>
  <si>
    <t>16658-23-4</t>
  </si>
  <si>
    <t>CC(C)C(=O)C1=C(O)C(CC=C(C)C)(CC=C(C)C)C(=O)C(CC=C(C)C)(CC=C(C)C)C1=O</t>
  </si>
  <si>
    <t>KPPHPIMYCLGAER-UHFFFAOYSA-N</t>
  </si>
  <si>
    <t>69.0667, 74.0567, 77.9691, 149.5659, 205.3987, 261.4076, 302.6930, 467.3134, 467.3761, 489.4233</t>
  </si>
  <si>
    <t>C30H44O4</t>
  </si>
  <si>
    <t>FT5670PR</t>
  </si>
  <si>
    <t>7-dehydrocholesterol-d7</t>
  </si>
  <si>
    <t xml:space="preserve"> 7-脱氢胆固醇-d7</t>
  </si>
  <si>
    <t>LMST01010364</t>
  </si>
  <si>
    <t>C12=CC=C3C[C@@H](O)CC[C@]3(C)[C@@]1([H])CC[C@]1(C)[C@@]([H])([C@@](C)([H])CCCC(C([2H])([2H])[2H])(C([2H])([2H])[2H])[2H])CC[C@@]21[H]</t>
  </si>
  <si>
    <t>UCTLRSWJYQTBFZ-UDEPUTHCSA-N</t>
  </si>
  <si>
    <t>359.2877, 360.2894, 376.2925, 377.1830, 377.2983, 378.3032, 395.3089, 396.6835, 430.2072, 430.3459</t>
  </si>
  <si>
    <t>C27H37D7O</t>
  </si>
  <si>
    <t>FT1790NR</t>
  </si>
  <si>
    <t>Descyclopropyl Abacavir</t>
  </si>
  <si>
    <t>去环丙基阿巴卡韦</t>
  </si>
  <si>
    <t>HMDB0251034</t>
  </si>
  <si>
    <t>NC1=NC2=C(N=CN2C2CC(CO)C=C2)C(N)=N1</t>
  </si>
  <si>
    <t>ZKJUXHDSLJYKED-UHFFFAOYSA-N</t>
  </si>
  <si>
    <t>Cyclopentyl nucleosides</t>
  </si>
  <si>
    <t>环戊基核苷</t>
  </si>
  <si>
    <t>C11H14N6O</t>
  </si>
  <si>
    <t>FT3288PR</t>
  </si>
  <si>
    <t>2-N,2-N-Dibutylbenzene-1,2-diamine</t>
  </si>
  <si>
    <t xml:space="preserve"> 2-N,2-N-二丁基苯-1,2-二胺</t>
  </si>
  <si>
    <t>HMDB0257613</t>
  </si>
  <si>
    <t>CCCCN(CCCC)C1=CC=CC=C1N</t>
  </si>
  <si>
    <t>ZWAAKLAHTGGOEJ-UHFFFAOYSA-N</t>
  </si>
  <si>
    <t>C14H24N2</t>
  </si>
  <si>
    <t>FT7637PR</t>
  </si>
  <si>
    <t>DG(5-iso PGF2VI/a-25:0/0:0)</t>
  </si>
  <si>
    <t>甘油二酯(5-iso PGF2VI/a-25:0/0:0)</t>
  </si>
  <si>
    <t>HMDB0298191</t>
  </si>
  <si>
    <t>CCCCC[C@@H](O)\C=C\[C@H]1[C@H](O)C[C@H](O)[C@H]1C\C=C/CC(=O)OC[C@H](CO)OC(=O)CCCCCCCCCCCCCCCCCCCCC(C)CC</t>
  </si>
  <si>
    <t>AXJNGMDHJOJAJI-YKTUHBJISA-N</t>
  </si>
  <si>
    <t>FT3038NR</t>
  </si>
  <si>
    <t>7,8-Epoxybasm-4-en-6-one</t>
  </si>
  <si>
    <t>7,8-Epoxybasm-4-en-6-一</t>
  </si>
  <si>
    <t>LMPR0104200001</t>
  </si>
  <si>
    <t>C1(=O)C=C(C)C[C@@]2([H])[C@H](C(C)C)CC[C@@]2(C)C2CC[C@@]3(O[C@]123)C</t>
  </si>
  <si>
    <t>XSTDCUOYLNXBIN-PSBVTDFSSA-N</t>
  </si>
  <si>
    <t>62.1624, 65.7330, 65.8829, 78.2805, 95.5501, 205.3918, 227.2271, 240.2689, 279.2324, 347.2198</t>
  </si>
  <si>
    <t>FT4245PR</t>
  </si>
  <si>
    <t>Carisoprodol</t>
  </si>
  <si>
    <t>卡利普多</t>
  </si>
  <si>
    <t>HMDB0014539</t>
  </si>
  <si>
    <t>C07927</t>
  </si>
  <si>
    <t>R-HSA-9709957,R-HSA-9717189,R-HSA-9717207</t>
  </si>
  <si>
    <t>Sensory Perception|Sensory perception of taste|Sensory perception of sweet, bitter, and umami (glutamate) taste</t>
  </si>
  <si>
    <t>78-44-4</t>
  </si>
  <si>
    <t>CCCC(C)(COC(N)=O)COC(=O)NC(C)C</t>
  </si>
  <si>
    <t>OFZCIYFFPZCNJE-UHFFFAOYSA-N</t>
  </si>
  <si>
    <t>C12H24N2O4</t>
  </si>
  <si>
    <t>FT3336NR</t>
  </si>
  <si>
    <t>D-Saccharic acid 1,4-lactone</t>
  </si>
  <si>
    <t>O=C1OC(C(O)C(=O)O)C(O)C1O</t>
  </si>
  <si>
    <t>XECPAIJNBXCOBO-UHFFFAOYSA-N</t>
  </si>
  <si>
    <t>FT3133PR</t>
  </si>
  <si>
    <t>7-Pentadecene</t>
  </si>
  <si>
    <t>7-十五碳烯</t>
  </si>
  <si>
    <t>HMDB0031083</t>
  </si>
  <si>
    <t>LMFA11000523</t>
  </si>
  <si>
    <t>16416-37-8</t>
  </si>
  <si>
    <t>CCCCCC/C=C/CCCCCCC</t>
  </si>
  <si>
    <t>ZXFYKYSBFXNVIG-FYWRMAATSA-N</t>
  </si>
  <si>
    <t>C15H30</t>
  </si>
  <si>
    <t>FT3375NR</t>
  </si>
  <si>
    <t>Nodulisporol</t>
  </si>
  <si>
    <t>球孢醇</t>
  </si>
  <si>
    <t>COC1=CC=CC2=C1C(CCC2O)O</t>
  </si>
  <si>
    <t>AHHAFDIASKKVSM-UHFFFAOYSA-N</t>
  </si>
  <si>
    <t>FT4000NR</t>
  </si>
  <si>
    <t>Methyl (7Z,9Z,9'Z)-6'-apo-y-caroten-6'-oate</t>
  </si>
  <si>
    <t xml:space="preserve"> (7Z,9Z,9'Z)-6'-apo-y-胡萝卜素-6'-燕麦酸甲酯</t>
  </si>
  <si>
    <t>HMDB0031381</t>
  </si>
  <si>
    <t>174206-07-6</t>
  </si>
  <si>
    <t>COC(=O)\C=C\C(\C)=C\C=C\C(\C)=C\C=C\C=C(/C)\C=C\C=C(/C)\C=C\C=C(/C)CCC=C(C)C</t>
  </si>
  <si>
    <t>SLFLEAITCHGGJK-VCZKBJCCSA-N</t>
  </si>
  <si>
    <t>105.1200, 112.9854, 147.3017, 180.9729, 248.9608, 316.9471, 393.2945, 411.3034, 453.2328, 453.3152</t>
  </si>
  <si>
    <t>C33H44O2</t>
  </si>
  <si>
    <t>FT0392PR</t>
  </si>
  <si>
    <t>Methanedithiol</t>
  </si>
  <si>
    <t>二巯基甲烷</t>
  </si>
  <si>
    <t>HMDB0040184</t>
  </si>
  <si>
    <t>6725-64-0</t>
  </si>
  <si>
    <t>SCS</t>
  </si>
  <si>
    <t>INBDPOJZYZJUDA-UHFFFAOYSA-N</t>
  </si>
  <si>
    <t>CH4S2</t>
  </si>
  <si>
    <t>FT2346PR</t>
  </si>
  <si>
    <t>Methyprylon</t>
  </si>
  <si>
    <t>甲基吡隆</t>
  </si>
  <si>
    <t>HMDB0015239</t>
  </si>
  <si>
    <t>125-64-4</t>
  </si>
  <si>
    <t>CCC1(CC)C(=O)NCC(C)C1=O</t>
  </si>
  <si>
    <t>SIDLZWOQUZRBRU-UHFFFAOYSA-N</t>
  </si>
  <si>
    <t>C10H17NO2</t>
  </si>
  <si>
    <t>FT4019PR</t>
  </si>
  <si>
    <t>N-(1,3-Dimethylbutyl)-N'-phenyl-p-phenylenediamine</t>
  </si>
  <si>
    <t>N-(1,3-二甲基丁基)-N'-苯基对苯二胺</t>
  </si>
  <si>
    <t>HMDB0247397</t>
  </si>
  <si>
    <t>CC(C)CC(C)NC1=CC=C(NC2=CC=CC=C2)C=C1</t>
  </si>
  <si>
    <t>ZZMVLMVFYMGSMY-UHFFFAOYSA-N</t>
  </si>
  <si>
    <t>214.1718, 215.1437, 216.1511, 225.1647, 229.1582, 253.1952, 255.2105, 268.2199, 271.2063, 286.2284</t>
  </si>
  <si>
    <t>C18H24N2</t>
  </si>
  <si>
    <t>FT3337NR</t>
  </si>
  <si>
    <t>Glucose lactate ketone</t>
  </si>
  <si>
    <t>葡萄糖乳酸酯酮</t>
  </si>
  <si>
    <t>HMDB0252781</t>
  </si>
  <si>
    <t>CC(O)C(=O)OC(=O)OC(=O)C(C)(O)C1(O)OC(CO)C(O)C(O)C1O</t>
  </si>
  <si>
    <t>RJHWLOLAORKKFT-UHFFFAOYSA-N</t>
  </si>
  <si>
    <t>C13H20O13</t>
  </si>
  <si>
    <t>FT6440PR</t>
  </si>
  <si>
    <t>Vignatic acid B</t>
  </si>
  <si>
    <t>酒醋酸B</t>
  </si>
  <si>
    <t>HMDB0033617</t>
  </si>
  <si>
    <t>181485-20-1</t>
  </si>
  <si>
    <t>CC(C)CC(O)C(=O)NC1C(OC2=CC=C(CC(NC(=O)C(CC(C)C)NC1=O)C(O)=O)C=C2)C(C)C</t>
  </si>
  <si>
    <t>OPWAZQSWJQLOAK-UHFFFAOYSA-N</t>
  </si>
  <si>
    <t>C27H41N3O7</t>
  </si>
  <si>
    <t>FT4581PR</t>
  </si>
  <si>
    <t>M1G-dR</t>
  </si>
  <si>
    <t>HMDB0254284</t>
  </si>
  <si>
    <t>OCC1OC(CC1O)N1C=NC2=C1N=C1N=CC=CN1C2=O</t>
  </si>
  <si>
    <t>QZDHOBJINVXQCJ-UHFFFAOYSA-N</t>
  </si>
  <si>
    <t>69.1996, 71.8541, 78.7798, 82.4595, 86.4872, 126.3575, 228.1347, 268.3926, 275.0442, 321.1306</t>
  </si>
  <si>
    <t>C13H13N5O4</t>
  </si>
  <si>
    <t>FT3448PR</t>
  </si>
  <si>
    <t>3-oxo-3-[(3,4,5,6-tetrahydroxyoxan-2-yl)methoxy]propanoic acid</t>
  </si>
  <si>
    <t>3-氧代-3-[(3,4,5,6-四羟基氧杂环丙烷-2-基)甲氧基]丙酸</t>
  </si>
  <si>
    <t>O=C(O)CC(=O)OCC1OC(O)C(O)C(O)C1O</t>
  </si>
  <si>
    <t>OHOQATLPDOXOOC-UHFFFAOYSA-N</t>
  </si>
  <si>
    <t>205.3954, 207.7878, 225.8836, 231.2097, 248.9013, 249.0606, 249.1077, 249.1471, 249.1815, 250.2463</t>
  </si>
  <si>
    <t>C9H14O9</t>
  </si>
  <si>
    <t>FT1022NR</t>
  </si>
  <si>
    <t>benzylidene thiazolidinedione</t>
  </si>
  <si>
    <t>亚苄基噻唑烷二酮</t>
  </si>
  <si>
    <t>HMDB0249079</t>
  </si>
  <si>
    <t>O=C1NC(=O)C(S1)=CC1=CC=CC=C1</t>
  </si>
  <si>
    <t>SGIZECXZFLAGBW-UHFFFAOYSA-N</t>
  </si>
  <si>
    <t>Thiazolidines</t>
  </si>
  <si>
    <t>噻唑烷类</t>
  </si>
  <si>
    <t>C10H7NO2S</t>
  </si>
  <si>
    <t>FT5768NR</t>
  </si>
  <si>
    <t>All trans decaprenyl diphosphate</t>
  </si>
  <si>
    <t>全反式十异戊二烯二磷酸酯</t>
  </si>
  <si>
    <t>HMDB0006288</t>
  </si>
  <si>
    <t>[P](OCC=C(C)C)(OCC=C(C)C)(=O)(OP(OCC=C(C)C)(OCC=C(C)C)=O)(CC=C(C)C)(CC=C(C)C)(CC=C(C)C)(CC=C(C)C)(CC=C(C)C)CC=C(C)C</t>
  </si>
  <si>
    <t>UAYWNGPBKZFVAV-UHFFFAOYSA-N</t>
  </si>
  <si>
    <t>173.8611, 205.3816, 205.4030, 290.9629, 302.6975, 310.2760, 380.3949, 411.3044, 845.5981, 846.6014</t>
  </si>
  <si>
    <t>C50H90O7P2</t>
  </si>
  <si>
    <t>FT1664NR</t>
  </si>
  <si>
    <t>Tetramine</t>
  </si>
  <si>
    <t>毒鼠强</t>
  </si>
  <si>
    <t>HMDB0258920</t>
  </si>
  <si>
    <t>O=S1(=O)N2CN3CN1CN(C2)S3(=O)=O</t>
  </si>
  <si>
    <t>AGGKEGLBGGJEBZ-UHFFFAOYSA-N</t>
  </si>
  <si>
    <t>Sulfuric acid diamides</t>
  </si>
  <si>
    <t>硫酸二酰胺</t>
  </si>
  <si>
    <t>C4H8N4O4S2</t>
  </si>
  <si>
    <t>FT3253PR</t>
  </si>
  <si>
    <t>4E,6E,11Z-Hexadecatrienal</t>
  </si>
  <si>
    <t>4E,6E,11Z-十六碳三烯醛</t>
  </si>
  <si>
    <t>LMFA06000199</t>
  </si>
  <si>
    <t>C(CC/C=C/C=C/CCC/C=C\CCCC)(=O)[H]</t>
  </si>
  <si>
    <t>FEMMLZBDOKRYQM-QABVOADDSA-N</t>
  </si>
  <si>
    <t>C16H26O</t>
  </si>
  <si>
    <t>FT1621NR</t>
  </si>
  <si>
    <t>N-acetyl zonisamide</t>
  </si>
  <si>
    <t>N-乙酰唑尼沙胺</t>
  </si>
  <si>
    <t>HMDB0060603</t>
  </si>
  <si>
    <t>68936-43-6</t>
  </si>
  <si>
    <t>CC(=O)NS(=O)(=O)CC1=NOC2=C1C=CC=C2</t>
  </si>
  <si>
    <t>HXFUTAFSEXINIW-UHFFFAOYSA-N</t>
  </si>
  <si>
    <t>Benzisoxazoles</t>
  </si>
  <si>
    <t>苯并异噁唑类</t>
  </si>
  <si>
    <t>C10H10N2O4S</t>
  </si>
  <si>
    <t>FT6454PR</t>
  </si>
  <si>
    <t>PCTR2</t>
  </si>
  <si>
    <t xml:space="preserve"> PCTR2</t>
  </si>
  <si>
    <t>LMFA04040005</t>
  </si>
  <si>
    <t>C(CC/C=C\C/C=C\C/C=C\C=C\C=C\[C@@H](SC[C@@H](C(=O)NCC(O)=O)N)[C@@H](O)C/C=C\CC)(=O)O</t>
  </si>
  <si>
    <t>WUKLNYKELYBPSU-WRSKGJTLSA-N</t>
  </si>
  <si>
    <t>106.5085, 126.3074, 205.4071, 234.7430, 260.8074, 279.4172, 302.6943, 327.2339, 345.2399, 521.2716</t>
  </si>
  <si>
    <t>C27H40N2O6S</t>
  </si>
  <si>
    <t>FT0385NR</t>
  </si>
  <si>
    <t>2-Amino-2-thiazoline-4-carboxylic acid</t>
  </si>
  <si>
    <t>2-氨基-2-噻唑啉-4-羧酸</t>
  </si>
  <si>
    <t>HMDB0245615</t>
  </si>
  <si>
    <t>NC1=NC(CS1)C(O)=O</t>
  </si>
  <si>
    <t>VHPXSBIFWDAFMB-UHFFFAOYSA-N</t>
  </si>
  <si>
    <t>C4H6N2O2S</t>
  </si>
  <si>
    <t>FT0967NR</t>
  </si>
  <si>
    <t>N-hexanoyl-homoserine lactone</t>
  </si>
  <si>
    <t>己酰-L-高丝氨酸内酯</t>
  </si>
  <si>
    <t>LMFA08030025</t>
  </si>
  <si>
    <t>147852-83-3</t>
  </si>
  <si>
    <t>[C@@H]1(CCOC1=O)NC(=O)CCCCC</t>
  </si>
  <si>
    <t>ZJFKKPDLNLCPNP-QMMMGPOBSA-N</t>
  </si>
  <si>
    <t>C10H17NO3</t>
  </si>
  <si>
    <t>FT3068NR</t>
  </si>
  <si>
    <t>Anb-nos</t>
  </si>
  <si>
    <t>5-叠氮基-2-硝基苯甲酸-N-琥珀酰亚胺酯</t>
  </si>
  <si>
    <t>HMDB0248387</t>
  </si>
  <si>
    <t>[O-][N+](=O)C1=C(C=C(C=C1)N=[N+]=[N-])C(=O)ON1C(=O)CCC1=O</t>
  </si>
  <si>
    <t>FUOJEDZPVVDXHI-UHFFFAOYSA-N</t>
  </si>
  <si>
    <t>C11H7N5O6</t>
  </si>
  <si>
    <t>FT3850PR</t>
  </si>
  <si>
    <t>2-hydroxy-3-(4-hydroxy-3-sulooxyphenyl)propanoic acid</t>
  </si>
  <si>
    <t>2-羟基-3-(4-羟基-3-磺氧基苯基)丙酸</t>
  </si>
  <si>
    <t>O=C(O)C(O)Cc1ccc(O)c(OS(=O)(=O)O)c1</t>
  </si>
  <si>
    <t>WFPAKFYGSNYIII-UHFFFAOYSA-N</t>
  </si>
  <si>
    <t>FT1160NR</t>
  </si>
  <si>
    <t>6,8-Dihydroxypurine</t>
  </si>
  <si>
    <t>2,3,7,9-四氢-1H-嘌呤-6,8-二酮</t>
  </si>
  <si>
    <t>HMDB0001182</t>
  </si>
  <si>
    <t>13231-00-0</t>
  </si>
  <si>
    <t>O=C1NC2=C(N1)C(=O)N=CN2</t>
  </si>
  <si>
    <t>BYUOBSUZYQAFJM-UHFFFAOYSA-N</t>
  </si>
  <si>
    <t>FT1626PR</t>
  </si>
  <si>
    <t>N-Methyl-4-nitroaniline</t>
  </si>
  <si>
    <t>N-甲基对硝基苯胺</t>
  </si>
  <si>
    <t>HMDB0255170</t>
  </si>
  <si>
    <t>CNC1=CC=C(C=C1)N(=O)=O</t>
  </si>
  <si>
    <t>XIFJZJPMHNUGRA-UHFFFAOYSA-N</t>
  </si>
  <si>
    <t>153.0418, 153.0657, 153.0899, 153.1025, 153.1274, 154.0118, 154.0264, 154.0496, 154.0716, 155.0537</t>
  </si>
  <si>
    <t>FT2928PR</t>
  </si>
  <si>
    <t>(3R,3aR,7aS)-3-Butylhexahydro-1(3H)-isobenzofuranone</t>
  </si>
  <si>
    <t>(3R,3aR,7aS)-3-丁基六氢-1(3H)-异苯并呋喃酮</t>
  </si>
  <si>
    <t>HMDB0034903</t>
  </si>
  <si>
    <t>189504-31-2</t>
  </si>
  <si>
    <t>CCCCC1OC(=O)C2CCCCC12</t>
  </si>
  <si>
    <t>TZRMFZSOOVBPPN-UHFFFAOYSA-N</t>
  </si>
  <si>
    <t>FT3106NR</t>
  </si>
  <si>
    <t>(+)-Chebulic acid</t>
  </si>
  <si>
    <t>(+)-Chebul酸</t>
  </si>
  <si>
    <t>HMDB0036617</t>
  </si>
  <si>
    <t>OC(=O)CC(C1C(OC(=O)C2=CC(O)=C(O)C(O)=C12)C(O)=O)C(O)=O</t>
  </si>
  <si>
    <t>COZMWVAACFYLBI-UHFFFAOYSA-N</t>
  </si>
  <si>
    <t>C14H12O11</t>
  </si>
  <si>
    <t>FT3703NR</t>
  </si>
  <si>
    <t>L-Cysteine-glutathione Disulfide</t>
  </si>
  <si>
    <t>NC(CCC(O)=NC(CSSCC(N)C(=O)O)C(O)=NCC(=O)O)C(=O)O</t>
  </si>
  <si>
    <t>BNRXZEPOHPEEAS-UHFFFAOYSA-N</t>
  </si>
  <si>
    <t>205.4001, 245.1155, 245.1427, 278.9924, 289.1050, 289.1395, 325.9381, 357.0502, 357.0926, 425.0793</t>
  </si>
  <si>
    <t>FT4022PR</t>
  </si>
  <si>
    <t>9-Octadecen-1-ol, (9Z)-</t>
  </si>
  <si>
    <t>油醇</t>
  </si>
  <si>
    <t>HMDB0247606</t>
  </si>
  <si>
    <t>CCCCCCCCC=CCCCCCCCCO</t>
  </si>
  <si>
    <t>ALSTYHKOOCGGFT-UHFFFAOYSA-N</t>
  </si>
  <si>
    <t>124.2660, 136.0678, 205.3944, 205.4121, 268.2995, 286.1437, 286.2726, 286.3097, 287.1449, 302.7020</t>
  </si>
  <si>
    <t>FT0156NR</t>
  </si>
  <si>
    <t>Cyanoformaldehyde</t>
  </si>
  <si>
    <t>氰基甲醛</t>
  </si>
  <si>
    <t>HMDB0250609</t>
  </si>
  <si>
    <t>O=CC#N</t>
  </si>
  <si>
    <t>TUHMQDODLHWPCC-UHFFFAOYSA-N</t>
  </si>
  <si>
    <t>C2HNO</t>
  </si>
  <si>
    <t>FT2766NR</t>
  </si>
  <si>
    <t>2-(1-Ethoxyethoxy)propanoic acid</t>
  </si>
  <si>
    <t>2-(1-乙氧基乙氧基)丙酸</t>
  </si>
  <si>
    <t>HMDB0059918</t>
  </si>
  <si>
    <t>CCOC(C)OC(C)C(O)=O</t>
  </si>
  <si>
    <t>FRGRNGNKLISCCU-UHFFFAOYSA-N</t>
  </si>
  <si>
    <t>C7H14O4</t>
  </si>
  <si>
    <t>FT2978PR</t>
  </si>
  <si>
    <t>Propionic acid, 2-methyl-2-((piperidinomethyl)thio)-</t>
  </si>
  <si>
    <t>丙酸，2-甲基-2-((哌啶甲基)硫基)-</t>
  </si>
  <si>
    <t>HMDB0249401</t>
  </si>
  <si>
    <t>CC(C)(SCN1CCCCC1)C(O)=O</t>
  </si>
  <si>
    <t>NEHWDLUEJCEYRF-UHFFFAOYSA-N</t>
  </si>
  <si>
    <t>C10H19NO2S</t>
  </si>
  <si>
    <t>FT1339NR</t>
  </si>
  <si>
    <t>Rutalexin</t>
  </si>
  <si>
    <t>芸香苷</t>
  </si>
  <si>
    <t>HMDB0302037</t>
  </si>
  <si>
    <t>CN1C(=O)SC2=C(C3=CC=CC=C3N2)C1=O</t>
  </si>
  <si>
    <t>NJGJFPPBMOBRGB-UHFFFAOYSA-N</t>
  </si>
  <si>
    <t>C11H8N2O2S</t>
  </si>
  <si>
    <t>FT6318PR</t>
  </si>
  <si>
    <t>CerP(d18:1/8:0)</t>
  </si>
  <si>
    <t>神经酰胺磷酸盐(d18:1/8:0)</t>
  </si>
  <si>
    <t>LMSP02050012</t>
  </si>
  <si>
    <t>158983-53-0</t>
  </si>
  <si>
    <t>[C@](COP(=O)(O)O)([H])(NC(CCCCCCC)=O)[C@]([H])(O)/C=C/CCCCCCCCCCCCC</t>
  </si>
  <si>
    <t>VSSNYUXSRXINIP-WRBRXSDHSA-N</t>
  </si>
  <si>
    <t>FT1265NR</t>
  </si>
  <si>
    <t>Thiazolidin-2-one</t>
  </si>
  <si>
    <t>1,3-噻唑烷-2-酮</t>
  </si>
  <si>
    <t>HMDB0258977</t>
  </si>
  <si>
    <t>OC1=NCCS1</t>
  </si>
  <si>
    <t>SLYRGJDSFOCAAI-UHFFFAOYSA-N</t>
  </si>
  <si>
    <t>113.3444, 120.5553, 137.0240, 137.0362, 138.0275, 160.1387, 160.9671, 163.0513, 179.3791, 205.0623</t>
  </si>
  <si>
    <t>C3H5NOS</t>
  </si>
  <si>
    <t>FT2570NR</t>
  </si>
  <si>
    <t>Aminoparathion</t>
  </si>
  <si>
    <t>氨基对硫磷</t>
  </si>
  <si>
    <t>HMDB0001504</t>
  </si>
  <si>
    <t>C06605</t>
  </si>
  <si>
    <t>3735-01-1</t>
  </si>
  <si>
    <t>CCOP(=S)(OCC)OC1=CC=C(N)C=C1</t>
  </si>
  <si>
    <t>XIZOTXGJXSTQDI-UHFFFAOYSA-N</t>
  </si>
  <si>
    <t>Organic thiophosphoric acids and derivatives</t>
  </si>
  <si>
    <t>Thiophosphoric acid esters</t>
  </si>
  <si>
    <t>有机硫代磷酸及其衍生物</t>
  </si>
  <si>
    <t>硫代磷酸酯</t>
  </si>
  <si>
    <t>69.2276, 72.3319, 75.5812, 79.1812, 87.9912, 102.9566, 121.6594, 180.0661, 238.0249, 260.0068</t>
  </si>
  <si>
    <t>C10H16NO3PS</t>
  </si>
  <si>
    <t>FT3781PR</t>
  </si>
  <si>
    <t>(6S,8Z)-6-Hydroxy-3-oxotetradecenoic acid</t>
  </si>
  <si>
    <t xml:space="preserve"> (6S,8Z)-6-羟基-3-氧代十四烯酸</t>
  </si>
  <si>
    <t>HMDB0062364</t>
  </si>
  <si>
    <t>CCCCC\C=C/C[C@@H](O)CCC(=O)CC(O)=O</t>
  </si>
  <si>
    <t>JVEAMJNRAYIMIF-ZHRWSRJISA-N</t>
  </si>
  <si>
    <t>FT4635PR</t>
  </si>
  <si>
    <t>Fospropofol</t>
  </si>
  <si>
    <t>1-[2,6-双(1-甲基乙基)苯氧基]甲醇 1-(磷酸二氢)酯</t>
  </si>
  <si>
    <t>HMDB0015661</t>
  </si>
  <si>
    <t>258516-87-9</t>
  </si>
  <si>
    <t>CC(C)C1=CC=CC(C(C)C)=C1OCOP(O)(O)=O</t>
  </si>
  <si>
    <t>QVNNONOFASOXQV-UHFFFAOYSA-N</t>
  </si>
  <si>
    <t>Cumenes</t>
  </si>
  <si>
    <t>异丙苯</t>
  </si>
  <si>
    <t>C13H21O5P</t>
  </si>
  <si>
    <t>FT7119PR</t>
  </si>
  <si>
    <t>Myricanene A 5-[arabinosyl-(1-&gt;6)-glucoside]</t>
  </si>
  <si>
    <t>杨梅烯 A 5-[阿拉伯糖基-(1-&gt;6)-葡萄糖苷]</t>
  </si>
  <si>
    <t>HMDB0039351</t>
  </si>
  <si>
    <t>COC1=C(OC2OC(COC3OC(CO)C(O)C3O)C(O)C(O)C2O)C2=CC(=C1OC)C1=C(O)C=CC(CC\C=C\CCC2)=C1</t>
  </si>
  <si>
    <t>YPIDUTRPMROMSO-ONEGZZNKSA-N</t>
  </si>
  <si>
    <t>Diarylheptanoids</t>
  </si>
  <si>
    <t>Cyclic diarylheptanoids</t>
  </si>
  <si>
    <t>二芳基庚烷类</t>
  </si>
  <si>
    <t>环状二芳基庚烷类</t>
  </si>
  <si>
    <t>297.1239, 299.1386, 302.7124, 313.1180, 408.3214, 462.2015, 465.1387, 581.2364, 599.2495, 617.2595</t>
  </si>
  <si>
    <t>C32H42O13</t>
  </si>
  <si>
    <t>FT5290NR</t>
  </si>
  <si>
    <t>PHODiA-PA</t>
  </si>
  <si>
    <t>佛迪亚-PA</t>
  </si>
  <si>
    <t>LMGP20070007</t>
  </si>
  <si>
    <t>[C@](COP(=O)(O)O)([H])(OC(CCCC(O)/C=C/C(=O)O)=O)COC(CCCCCCCCCCCCCCC)=O</t>
  </si>
  <si>
    <t>ZSOUONDSOGQNCQ-IIDPGKIRSA-N</t>
  </si>
  <si>
    <t>411.3045, 479.2917, 480.2959, 481.6539, 506.5771, 547.2797, 548.2805, 569.2573, 615.2665, 616.2694</t>
  </si>
  <si>
    <t>C27H49O11P</t>
  </si>
  <si>
    <t>FT1182NR</t>
  </si>
  <si>
    <t>Diphenyl sulfone</t>
  </si>
  <si>
    <t>二苯砜</t>
  </si>
  <si>
    <t>HMDB0251453</t>
  </si>
  <si>
    <t>O=S(=O)(C1=CC=CC=C1)C1=CC=CC=C1</t>
  </si>
  <si>
    <t>KZTYYGOKRVBIMI-UHFFFAOYSA-N</t>
  </si>
  <si>
    <t>C12H10O2S</t>
  </si>
  <si>
    <t>FT3733PR</t>
  </si>
  <si>
    <t>1-Naphthalenesulfonic acid, 4-hydroxy-3-nitroso-</t>
  </si>
  <si>
    <t>2-亚硝基-1-酚-4-磺酸</t>
  </si>
  <si>
    <t>HMDB0245267</t>
  </si>
  <si>
    <t>OC1=C(C=C(C2=CC=CC=C12)S(O)(=O)=O)N=O</t>
  </si>
  <si>
    <t>GASPSNIEUBWWJU-UHFFFAOYSA-N</t>
  </si>
  <si>
    <t>175.0336, 175.8228, 205.4040, 235.2058, 246.3864, 253.2145, 271.1176, 271.1508, 271.2311, 271.2613</t>
  </si>
  <si>
    <t>C10H7NO5S</t>
  </si>
  <si>
    <t>FT0599NR</t>
  </si>
  <si>
    <t>Cyclohexylamine</t>
  </si>
  <si>
    <t>环己胺</t>
  </si>
  <si>
    <t>HMDB0031404</t>
  </si>
  <si>
    <t>C00571</t>
  </si>
  <si>
    <t>108-91-8</t>
  </si>
  <si>
    <t>NC1CCCCC1</t>
  </si>
  <si>
    <t>PAFZNILMFXTMIY-UHFFFAOYSA-N</t>
  </si>
  <si>
    <t>Cyclohexylamines</t>
  </si>
  <si>
    <t>C6H13N</t>
  </si>
  <si>
    <t>FT1901NR</t>
  </si>
  <si>
    <t>Decarbamoylneosaxitoxin</t>
  </si>
  <si>
    <t>去氨甲酰新石房蛤毒素</t>
  </si>
  <si>
    <t>HMDB0033663</t>
  </si>
  <si>
    <t>68683-58-9</t>
  </si>
  <si>
    <t>OCC1C2NC(=N)NC22N(CCC2(O)O)C(=N)N1O</t>
  </si>
  <si>
    <t>KUMXVBFFVVLQFX-UHFFFAOYSA-N</t>
  </si>
  <si>
    <t>Saxitoxins, gonyautoxins, and derivatives</t>
  </si>
  <si>
    <t>石房蛤毒素、膝沟藻毒素及其衍生物</t>
  </si>
  <si>
    <t>151.6067, 167.1073, 185.1179, 186.1205, 200.3545, 205.3906, 209.1531, 235.1340, 253.1055, 253.1436</t>
  </si>
  <si>
    <t>C9H16N6O4</t>
  </si>
  <si>
    <t>FT1318NR</t>
  </si>
  <si>
    <t>3-Nitrobenzaldoxime</t>
  </si>
  <si>
    <t>3-硝基苯甲醛肟</t>
  </si>
  <si>
    <t>HMDB0245946</t>
  </si>
  <si>
    <t>ON=CC1=CC(=CC=C1)[N+]([O-])=O</t>
  </si>
  <si>
    <t>GQMMRLBWXCGBEV-UHFFFAOYSA-N</t>
  </si>
  <si>
    <t>167.1434, 180.0297, 181.0368, 194.0324, 205.3836, 205.4049, 211.0356, 211.1340, 212.0382, 233.3558</t>
  </si>
  <si>
    <t>C7H6N2O3</t>
  </si>
  <si>
    <t>FT1378NR</t>
  </si>
  <si>
    <t>(2R)-3-Sulfanylpropane-1,2-diol</t>
  </si>
  <si>
    <t>1-硫代甘油</t>
  </si>
  <si>
    <t>HMDB0242566</t>
  </si>
  <si>
    <t>OCC(O)CS</t>
  </si>
  <si>
    <t>PJUIMOJAAPLTRJ-UHFFFAOYSA-N</t>
  </si>
  <si>
    <t>C3H8O2S</t>
  </si>
  <si>
    <t>FT3908PR</t>
  </si>
  <si>
    <t>Flakinin A</t>
  </si>
  <si>
    <t>薄片蛋白A</t>
  </si>
  <si>
    <t>LMPR0103540002</t>
  </si>
  <si>
    <t>[C@]12([H])OC(=O)[C@@]3([H])C[C@@H]4[C@]([H])([C@@]13C)[C@@H](C(=O)O4)[C@H](C(C)C)[C@H]2O</t>
  </si>
  <si>
    <t>ARTRGGOHXKOVOA-MPGIMBTLSA-N</t>
  </si>
  <si>
    <t>FT3398PR</t>
  </si>
  <si>
    <t>Bisphenol A</t>
  </si>
  <si>
    <t>4,4’-(1-甲基亚乙基)双苯酚与(氯甲基)环氧乙烷的聚合物</t>
  </si>
  <si>
    <t>HMDB0032133</t>
  </si>
  <si>
    <t>C13624</t>
  </si>
  <si>
    <t>80-05-7</t>
  </si>
  <si>
    <t>CC(C)(C1=CC=C(O)C=C1)C1=CC=C(O)C=C1</t>
  </si>
  <si>
    <t>IISBACLAFKSPIT-UHFFFAOYSA-N</t>
  </si>
  <si>
    <t>C15H16O2</t>
  </si>
  <si>
    <t>FT5606PR</t>
  </si>
  <si>
    <t>Glyceryl lactopalmitate</t>
  </si>
  <si>
    <t>乳棕榈酸甘油酯</t>
  </si>
  <si>
    <t>HMDB0032299</t>
  </si>
  <si>
    <t>1338-09-6</t>
  </si>
  <si>
    <t>COC1=CC=CC(OC)=C1C1=NN2C(S1)=NN=C2C1=NNC(=C1)C1=CC=CC=C1</t>
  </si>
  <si>
    <t>FADKMVWORSHBKJ-UHFFFAOYSA-N</t>
  </si>
  <si>
    <t>158.4905, 165.4028, 190.2978, 205.4072, 215.0290, 235.7727, 255.1127, 301.1179, 302.6952, 390.1294</t>
  </si>
  <si>
    <t>C20H16N6O2S</t>
  </si>
  <si>
    <t>FT1928NR</t>
  </si>
  <si>
    <t>gamma-Hydroxy-(1,1'-biphenyl)-4-butanoic acid</t>
  </si>
  <si>
    <t>O=C(O)CCC(O)c1ccc(-c2ccccc2)cc1</t>
  </si>
  <si>
    <t>NJGRSTRMISTCEB-UHFFFAOYSA-N</t>
  </si>
  <si>
    <t>FT2110NR</t>
  </si>
  <si>
    <t>SCHEMBL19445617</t>
  </si>
  <si>
    <t>COc1ccc(N)cc1C(O)=NCC(=O)O</t>
  </si>
  <si>
    <t>DWLSQYKTVSZOEM-UHFFFAOYSA-N</t>
  </si>
  <si>
    <t>181.6628, 205.3827, 205.4015, 222.0763, 223.0722, 269.0776, 269.1282, 269.1759, 269.2088, 272.8068</t>
  </si>
  <si>
    <t>C10H12N2O4</t>
  </si>
  <si>
    <t>FT4514PR</t>
  </si>
  <si>
    <t>Isatoribine</t>
  </si>
  <si>
    <t>艾沙立宾</t>
  </si>
  <si>
    <t>HMDB0253592</t>
  </si>
  <si>
    <t>NC1=NC2=C(SC(=O)N2C2OC(CO)C(O)C2O)C(=O)N1</t>
  </si>
  <si>
    <t>TZYVRXZQAWPIAB-UHFFFAOYSA-N</t>
  </si>
  <si>
    <t>C10H12N4O6S</t>
  </si>
  <si>
    <t>FT3007PR</t>
  </si>
  <si>
    <t>Estreptoquinasa</t>
  </si>
  <si>
    <t>链激酶</t>
  </si>
  <si>
    <t>HMDB0258508</t>
  </si>
  <si>
    <t>OC(=O)C1CC(CN1)C1CCCCC1</t>
  </si>
  <si>
    <t>XRZWVSXEDRYQGC-UHFFFAOYSA-N</t>
  </si>
  <si>
    <t>205.1350, 205.1413, 205.1584, 205.2046, 220.0699, 220.1042, 220.1106, 220.1305, 220.1807, 236.8547</t>
  </si>
  <si>
    <t>C11H19NO2</t>
  </si>
  <si>
    <t>FT1445NR</t>
  </si>
  <si>
    <t>N7-(2-Carbamoyl-2-hydroxyethyl)guanine</t>
  </si>
  <si>
    <t>N7-(2-氨基甲酰基-2-羟乙基)鸟嘌呤</t>
  </si>
  <si>
    <t>HMDB0255307</t>
  </si>
  <si>
    <t>NC(=O)C(O)CN1C=NC2=C1C(=O)NC(N)=N2</t>
  </si>
  <si>
    <t>JYHHZNJOFXOGSQ-UHFFFAOYSA-N</t>
  </si>
  <si>
    <t>86.2970, 131.3831, 139.0391, 146.7448, 151.0370, 165.0528, 209.0424, 219.0380, 219.0633, 220.0656</t>
  </si>
  <si>
    <t>C8H10N6O3</t>
  </si>
  <si>
    <t>FT2477NR</t>
  </si>
  <si>
    <t>Perilloside C</t>
  </si>
  <si>
    <t>紫苏甙C</t>
  </si>
  <si>
    <t>HMDB0040563</t>
  </si>
  <si>
    <t>146763-94-2</t>
  </si>
  <si>
    <t>CC(=C)C1CCC(COC2OC(CO)C(O)C(O)C2O)CC1</t>
  </si>
  <si>
    <t>MONAHUOUARCHLM-UHFFFAOYSA-N</t>
  </si>
  <si>
    <t>C16H28O6</t>
  </si>
  <si>
    <t>FT2691PR</t>
  </si>
  <si>
    <t>Thiabendazole</t>
  </si>
  <si>
    <t>噻苯达唑-D4溶液, 100PPM</t>
  </si>
  <si>
    <t>HMDB0014868</t>
  </si>
  <si>
    <t>C07131</t>
  </si>
  <si>
    <t>148-79-8</t>
  </si>
  <si>
    <t>N1C2=CC=CC=C2N=C1C1=CSC=N1</t>
  </si>
  <si>
    <t>WJCNZQLZVWNLKY-UHFFFAOYSA-N</t>
  </si>
  <si>
    <t>C10H7N3S</t>
  </si>
  <si>
    <t>FT0369NR</t>
  </si>
  <si>
    <t>2-Propanoylthiazole</t>
  </si>
  <si>
    <t>2-丙酰噻唑</t>
  </si>
  <si>
    <t>HMDB0037168</t>
  </si>
  <si>
    <t>43039-98-1</t>
  </si>
  <si>
    <t>CCC(=O)C1=NC=CS1</t>
  </si>
  <si>
    <t>TYRAENAWSLPSLW-UHFFFAOYSA-N</t>
  </si>
  <si>
    <t>C6H7NOS</t>
  </si>
  <si>
    <t>FT0044NR</t>
  </si>
  <si>
    <t>Cyanoacetic acid</t>
  </si>
  <si>
    <t>氰乙酸</t>
  </si>
  <si>
    <t>HMDB0250607</t>
  </si>
  <si>
    <t>OC(=O)CC#N</t>
  </si>
  <si>
    <t>MLIREBYILWEBDM-UHFFFAOYSA-N</t>
  </si>
  <si>
    <t>C3H3NO2</t>
  </si>
  <si>
    <t>FT2187NR</t>
  </si>
  <si>
    <t>5'-N-Methylcarboxamidoadenosine</t>
  </si>
  <si>
    <t>5'-N-甲基羧酰胺腺苷</t>
  </si>
  <si>
    <t>HMDB0246883</t>
  </si>
  <si>
    <t>CNC(=O)C1OC(C(O)C1O)N1C=NC2=C1N=CN=C2N</t>
  </si>
  <si>
    <t>PLYRYAHDNXANEG-UHFFFAOYSA-N</t>
  </si>
  <si>
    <t>128.6596, 164.1226, 203.0688, 205.3953, 221.0787, 231.1000, 249.1104, 265.0704, 275.0895, 276.0931</t>
  </si>
  <si>
    <t>C11H14N6O4</t>
  </si>
  <si>
    <t>FT1702NR</t>
  </si>
  <si>
    <t>2-(Ethylsulfinylmethyl)phenyl methylcarbamate</t>
  </si>
  <si>
    <t>精恶唑禾草灵</t>
  </si>
  <si>
    <t>HMDB0040289</t>
  </si>
  <si>
    <t>53380-22-6</t>
  </si>
  <si>
    <t>CCS(=O)CC1=C(OC(=O)NC)C=CC=C1</t>
  </si>
  <si>
    <t>OMOLDRXZKFFGJI-UHFFFAOYSA-N</t>
  </si>
  <si>
    <t>C11H15NO3S</t>
  </si>
  <si>
    <t>FT2656PR</t>
  </si>
  <si>
    <t>4Z-Tridecene</t>
  </si>
  <si>
    <t>4Z-十三碳烯</t>
  </si>
  <si>
    <t>LMFA11000081</t>
  </si>
  <si>
    <t>CCC/C=C\CCCCCCCC</t>
  </si>
  <si>
    <t>UJZLNVCZGZKIHR-CLFYSBASSA-N</t>
  </si>
  <si>
    <t>C13H26</t>
  </si>
  <si>
    <t>FT2988NR</t>
  </si>
  <si>
    <t>Pentazirinocyclodiphosphathiazene</t>
  </si>
  <si>
    <t>五氮杂环二磷噻嗪</t>
  </si>
  <si>
    <t>HMDB0258354</t>
  </si>
  <si>
    <t>O=S1(=NP(=NP(=N1)(N1CC1)N1CC1)(N1CC1)N1CC1)N1CC1</t>
  </si>
  <si>
    <t>IQMLWPPOVFMTOU-UHFFFAOYSA-N</t>
  </si>
  <si>
    <t>Aziridines</t>
  </si>
  <si>
    <t>氮丙啶类</t>
  </si>
  <si>
    <t>C10H20N8OP2S</t>
  </si>
  <si>
    <t>FT1498NR</t>
  </si>
  <si>
    <t>3,4-Dimethoxy-1,2-benzenedicarboxylic acid</t>
  </si>
  <si>
    <t>3,4-二甲氧鄰苯二甲酸</t>
  </si>
  <si>
    <t>HMDB0033842</t>
  </si>
  <si>
    <t>518-90-1</t>
  </si>
  <si>
    <t>COC1=C(OC)C(C(O)=O)=C(C=C1)C(O)=O</t>
  </si>
  <si>
    <t>QSWJYWSRUJSAFH-UHFFFAOYSA-N</t>
  </si>
  <si>
    <t>C10H10O6</t>
  </si>
  <si>
    <t>FT1590NR</t>
  </si>
  <si>
    <t>[4-(2-Sulfoethyl)piperazin-1-yl]acetic acid</t>
  </si>
  <si>
    <t>[4-(2-磺乙基)哌嗪-1-基]乙酸</t>
  </si>
  <si>
    <t>O=C(O)CN1CCN(CCS(=O)(=O)O)CC1</t>
  </si>
  <si>
    <t>FJYDNXQJMBMXBE-UHFFFAOYSA-N</t>
  </si>
  <si>
    <t>C8H16N2O5S</t>
  </si>
  <si>
    <t>FT1345NR</t>
  </si>
  <si>
    <t>(2E,11Z)-5-[5-(Methylthio)-4-penten-2-ynyl]-2-furanacrolein</t>
  </si>
  <si>
    <t>(2E,11Z)-5-[5-(甲硫基)-4-戊烯-2-炔基]-2-呋喃丙烯醛</t>
  </si>
  <si>
    <t>HMDB0031070</t>
  </si>
  <si>
    <t>24948-23-0</t>
  </si>
  <si>
    <t>CS\C=C/C#CCC1=CC=C(O1)\C=C/C=O</t>
  </si>
  <si>
    <t>UGVHOJSVUOERFS-QXOCYMRCSA-N</t>
  </si>
  <si>
    <t>C13H12O2S</t>
  </si>
  <si>
    <t>FT1678NR</t>
  </si>
  <si>
    <t>2-Aminohippuric acid</t>
  </si>
  <si>
    <t>2-氨基马尿酸</t>
  </si>
  <si>
    <t>HMDB0245019</t>
  </si>
  <si>
    <t>NC1=CC=CC=C1C(=O)NCC(O)=O</t>
  </si>
  <si>
    <t>DEFPNMKDESPGBA-UHFFFAOYSA-N</t>
  </si>
  <si>
    <t>182.0582, 195.1385, 196.8372, 205.3956, 220.9011, 223.0281, 239.0389, 239.0668, 239.1284, 241.1829</t>
  </si>
  <si>
    <t>C9H10N2O3</t>
  </si>
  <si>
    <t>FT0797PR</t>
  </si>
  <si>
    <t>2-Amino-1,5-dihydro-4H-imidazol-4-one</t>
  </si>
  <si>
    <t>2-氨基-3,5-二氢-4H-咪唑-4-酮</t>
  </si>
  <si>
    <t>HMDB0244985</t>
  </si>
  <si>
    <t>NC1=NC(=O)CN1</t>
  </si>
  <si>
    <t>TYKJILJOXAHUFO-UHFFFAOYSA-N</t>
  </si>
  <si>
    <t>C3H5N3O</t>
  </si>
  <si>
    <t>FT3998PR</t>
  </si>
  <si>
    <t>6-Thioinosinic acid</t>
  </si>
  <si>
    <t>6-疏基嘌呤核苷</t>
  </si>
  <si>
    <t>HMDB0060791</t>
  </si>
  <si>
    <t>OC[C@H]1O[C@H]([C@H](O)[C@@H]1O)N1C=NC2=C1N=CN=C2S</t>
  </si>
  <si>
    <t>NKGPJODWTZCHGF-KQYNXXCUSA-N</t>
  </si>
  <si>
    <t>C10H12N4O4S</t>
  </si>
  <si>
    <t>FT4094PR</t>
  </si>
  <si>
    <t>Ribalinium</t>
  </si>
  <si>
    <t>利巴林</t>
  </si>
  <si>
    <t>HMDB0033346</t>
  </si>
  <si>
    <t>C10735</t>
  </si>
  <si>
    <t>6883-22-3</t>
  </si>
  <si>
    <t>COC1=C2CC(OC2=[N+](C)C2=C1C=C(O)C=C2)C(C)(C)O</t>
  </si>
  <si>
    <t>RUZDYQSFFIVRRP-UHFFFAOYSA-O</t>
  </si>
  <si>
    <t>Dihydrofuranoquinolines</t>
  </si>
  <si>
    <t>二氢呋喃喹啉</t>
  </si>
  <si>
    <t>C16H20NO4</t>
  </si>
  <si>
    <t>FT3374PR</t>
  </si>
  <si>
    <t>Heptyl ketone</t>
  </si>
  <si>
    <t>8-十五烷酮</t>
  </si>
  <si>
    <t>HMDB0059813</t>
  </si>
  <si>
    <t>[H]C([H])([H])C([H])([H])C([H])([H])C([H])([H])C([H])([H])C([H])([H])C([H])([H])C(=O)C([H])([H])C([H])([H])C([H])([H])C([H])([H])C([H])([H])C([H])([H])C([H])([H])[H]</t>
  </si>
  <si>
    <t>PQYGSSYFJIJDFK-UHFFFAOYSA-N</t>
  </si>
  <si>
    <t>113.9636, 128.9504, 130.9661, 148.9766, 193.4649, 198.2210, 202.9508, 226.1791, 244.2631, 245.0977</t>
  </si>
  <si>
    <t>C15H30O</t>
  </si>
  <si>
    <t>FT0768NR</t>
  </si>
  <si>
    <t>pyrazole triol</t>
  </si>
  <si>
    <t>吡唑三醇</t>
  </si>
  <si>
    <t>HMDB0256948</t>
  </si>
  <si>
    <t>OC1=C(O)C(=O)NN1</t>
  </si>
  <si>
    <t>IZDIUTIBXPSGOA-UHFFFAOYSA-N</t>
  </si>
  <si>
    <t>Pyrazolines</t>
  </si>
  <si>
    <t>吡唑啉类</t>
  </si>
  <si>
    <t>C3H4N2O3</t>
  </si>
  <si>
    <t>FT2371NR</t>
  </si>
  <si>
    <t>Homoanserine</t>
  </si>
  <si>
    <t>高雁丝氨酸</t>
  </si>
  <si>
    <t>HMDB0005767</t>
  </si>
  <si>
    <t>20314-38-9</t>
  </si>
  <si>
    <t>CN1C=NC=C1C[C@H](NC(=O)CCCN)C(O)=O</t>
  </si>
  <si>
    <t>HXBKNURIXGGFCX-VIFPVBQESA-N</t>
  </si>
  <si>
    <t>210.4497, 235.0947, 245.1154, 245.1748, 246.1195, 288.6164, 288.7736, 289.1053, 290.1107, 302.7022</t>
  </si>
  <si>
    <t>C11H18N4O3</t>
  </si>
  <si>
    <t>FT3657PR</t>
  </si>
  <si>
    <t>SCHEMBL18651699</t>
  </si>
  <si>
    <t>C=CC1C(O)OC=C(C(=O)OC)C1CC(=O)O</t>
  </si>
  <si>
    <t>ZAQDCOOJZIRCBZ-UHFFFAOYSA-N</t>
  </si>
  <si>
    <t>205.3937, 205.4132, 247.2419, 265.0346, 265.0698, 265.1054, 265.1415, 265.1806, 265.2168, 265.2496</t>
  </si>
  <si>
    <t>FT4545PR</t>
  </si>
  <si>
    <t>Bis(4-chlorophenyl)acetic acid</t>
  </si>
  <si>
    <t>双(4-氯苯基)乙酸</t>
  </si>
  <si>
    <t>HMDB0249252</t>
  </si>
  <si>
    <t>C06640</t>
  </si>
  <si>
    <t>OC(=O)C(C1=CC=C(Cl)C=C1)C1=CC=C(Cl)C=C1</t>
  </si>
  <si>
    <t>YIOCIFXUGBYCJR-UHFFFAOYSA-N</t>
  </si>
  <si>
    <t>222.8885, 244.8709, 257.0473, 258.8171, 260.8446, 261.0449, 283.0272, 302.7056, 319.0894, 319.2240</t>
  </si>
  <si>
    <t>C14H10Cl2O2</t>
  </si>
  <si>
    <t>FT2576NR</t>
  </si>
  <si>
    <t>(R)-Mevalonic acid-5-pyrophosphate</t>
  </si>
  <si>
    <t>(R)-甲羟戊酸-5-焦磷酸盐</t>
  </si>
  <si>
    <t>HMDB0001981</t>
  </si>
  <si>
    <t>1492-08-6</t>
  </si>
  <si>
    <t>C[C@](O)(CCOP(O)(=O)OP(O)(O)=O)CC(O)=O</t>
  </si>
  <si>
    <t>SIGQQUBJQXSAMW-LURJTMIESA-N</t>
  </si>
  <si>
    <t>C6H14O10P2</t>
  </si>
  <si>
    <t>FT2502NR</t>
  </si>
  <si>
    <t>SCHEMBL9249136</t>
  </si>
  <si>
    <t>O=C(O)CCCCCCCC(O)C(O)CCCCCC(=O)O</t>
  </si>
  <si>
    <t>DVIKJRSTGGXNJP-UHFFFAOYSA-N</t>
  </si>
  <si>
    <t>C16H30O6</t>
  </si>
  <si>
    <t>FT3731PR</t>
  </si>
  <si>
    <t>Chymopapain</t>
  </si>
  <si>
    <t>木瓜凝乳蛋白酶</t>
  </si>
  <si>
    <t>HMDB0029845</t>
  </si>
  <si>
    <t>C11159</t>
  </si>
  <si>
    <t>9001-09-6</t>
  </si>
  <si>
    <t>OC1=CC(=CC(=C1O)S(O)(=O)=O)S(O)(=O)=O</t>
  </si>
  <si>
    <t>XXAXVMUWHZHZMJ-UHFFFAOYSA-N</t>
  </si>
  <si>
    <t>213.0215, 234.9812, 252.9897, 270.2799, 270.9587, 271.0898, 271.1525, 271.2291, 271.2633, 275.2001</t>
  </si>
  <si>
    <t>C6H6O8S2</t>
  </si>
  <si>
    <t>FT5207NR</t>
  </si>
  <si>
    <t>Gly-arg-gly-glu-ser-pro</t>
  </si>
  <si>
    <t>甘氨酸-精氨酸-甘氨酸-glu-丝氨酸-脯氨酸</t>
  </si>
  <si>
    <t>HMDB0252941</t>
  </si>
  <si>
    <t>NCC(=O)NC(CCCN=C(N)N)C(=O)NCC(=O)NC(CCC(O)=O)C(=O)NC(CO)C(=O)N1CCCC1C(O)=O</t>
  </si>
  <si>
    <t>AGOOUZZBQZNYCU-UHFFFAOYSA-N</t>
  </si>
  <si>
    <t>417.5474, 464.3008, 465.3059, 468.2736, 486.2828, 532.2881, 533.2905, 554.2716, 600.2759, 601.2796</t>
  </si>
  <si>
    <t>C23H39N9O10</t>
  </si>
  <si>
    <t>FT1680NR</t>
  </si>
  <si>
    <t>3'-Hydroxyflavanone</t>
  </si>
  <si>
    <t>3'-羟基黄烷酮</t>
  </si>
  <si>
    <t>HMDB0246098</t>
  </si>
  <si>
    <t>C15204</t>
  </si>
  <si>
    <t>OC1=CC=CC(=C1)C1CC(=O)C2=CC=CC=C2O1</t>
  </si>
  <si>
    <t>JVSPTYZZNUXJHN-UHFFFAOYSA-N</t>
  </si>
  <si>
    <t>C15H12O3</t>
  </si>
  <si>
    <t>FT4053PR</t>
  </si>
  <si>
    <t>Dihydroisomorphine</t>
  </si>
  <si>
    <t>二氢异吗啡</t>
  </si>
  <si>
    <t>HMDB0060929</t>
  </si>
  <si>
    <t>26626-12-0</t>
  </si>
  <si>
    <t>[H][C@@]12OC3=C4C(C[C@@]5([H])N(C)CC[C@@]14[C@@]5([H])CC[C@H]2O)=CC=C3O</t>
  </si>
  <si>
    <t>IJVCSMSMFSCRME-NOSXKOESSA-N</t>
  </si>
  <si>
    <t>Morphinans</t>
  </si>
  <si>
    <t>吗啡喃类</t>
  </si>
  <si>
    <t>C17H21NO3</t>
  </si>
  <si>
    <t>FT1013NR</t>
  </si>
  <si>
    <t>Diphenyl sulfide</t>
  </si>
  <si>
    <t>二苯硫醚-D10</t>
  </si>
  <si>
    <t>HMDB0251452</t>
  </si>
  <si>
    <t>S(C1=CC=CC=C1)C1=CC=CC=C1</t>
  </si>
  <si>
    <t>LTYMSROWYAPPGB-UHFFFAOYSA-N</t>
  </si>
  <si>
    <t>117.3786, 118.0588, 123.0829, 141.0920, 146.0310, 154.8822, 169.5263, 185.0093, 185.0427, 185.0815</t>
  </si>
  <si>
    <t>C12H10S</t>
  </si>
  <si>
    <t>FT4365PR</t>
  </si>
  <si>
    <t>2-(4-Methyl-1,3-pentadienyl)anthraquinone</t>
  </si>
  <si>
    <t>2-(4-甲基-1,3-戊二烯基)蒽醌</t>
  </si>
  <si>
    <t>HMDB0040915</t>
  </si>
  <si>
    <t>150900-95-1</t>
  </si>
  <si>
    <t>CC(C)=C\C=C/C1=CC2=C(C=C1)C(=O)C1=CC=CC=C1C2=O</t>
  </si>
  <si>
    <t>BIHNBOKNHXYFQJ-ALCCZGGFSA-N</t>
  </si>
  <si>
    <t>79.4126, 79.4550, 82.2134, 96.8878, 111.5991, 209.2312, 288.4225, 302.7061, 306.1613, 306.2429</t>
  </si>
  <si>
    <t>C20H16O2</t>
  </si>
  <si>
    <t>FT2404NR</t>
  </si>
  <si>
    <t>2-(Ethylsulfonylmethyl)phenyl methylcarbamate</t>
  </si>
  <si>
    <t>乙硫苯威砜</t>
  </si>
  <si>
    <t>HMDB0040288</t>
  </si>
  <si>
    <t>53380-23-7</t>
  </si>
  <si>
    <t>CCS(=O)(=O)CC1=C(OC(=O)NC)C=CC=C1</t>
  </si>
  <si>
    <t>IOPTXXRNXCPJGO-UHFFFAOYSA-N</t>
  </si>
  <si>
    <t>205.3912, 207.0657, 218.2291, 223.9828, 224.0603, 292.0439, 292.0785, 293.0046, 298.0947, 302.6922</t>
  </si>
  <si>
    <t>C11H15NO4S</t>
  </si>
  <si>
    <t>FT6737PR</t>
  </si>
  <si>
    <t>Myotoxin A</t>
  </si>
  <si>
    <t>肌毒素A</t>
  </si>
  <si>
    <t>HMDB0254743</t>
  </si>
  <si>
    <t>CC(O)C1OCC(O)C(C)=CC(=O)OCC23CCC(C)=CC2OC2CC(OC(=O)C=CC=C1)C3(C)C21CO1</t>
  </si>
  <si>
    <t>XHEPXCWCOGMKMI-UHFFFAOYSA-N</t>
  </si>
  <si>
    <t>444.1882, 448.2259, 460.5675, 466.2310, 480.2084, 484.2409, 491.0745, 507.2587, 525.2693, 548.2828</t>
  </si>
  <si>
    <t>C29H38O9</t>
  </si>
  <si>
    <t>FT4340PR</t>
  </si>
  <si>
    <t>Tupichinol A</t>
  </si>
  <si>
    <t>土匹奇诺A</t>
  </si>
  <si>
    <t>LMPK12020006</t>
  </si>
  <si>
    <t>C1(C=CC(O)=CC=1)[C@@H]1[C@H](O)CC2C=CC(OC)=C(C)C=2O1</t>
  </si>
  <si>
    <t>PSCVPMJLJOIQKC-RHSMWYFYSA-N</t>
  </si>
  <si>
    <t>C17H18O4</t>
  </si>
  <si>
    <t>FT2762PR</t>
  </si>
  <si>
    <t>Eupolauridine</t>
  </si>
  <si>
    <t>尤普拉尿苷</t>
  </si>
  <si>
    <t>HMDB0030182</t>
  </si>
  <si>
    <t>58786-39-3</t>
  </si>
  <si>
    <t>C1=CC=C2C(=C1)C1=NC=CC3=C1C2=NC=C3</t>
  </si>
  <si>
    <t>KIVUUVOREYMMFE-UHFFFAOYSA-N</t>
  </si>
  <si>
    <t>C14H8N2</t>
  </si>
  <si>
    <t>FT7679PR</t>
  </si>
  <si>
    <t>C.I. Food Black 1</t>
  </si>
  <si>
    <t>亮黑色素</t>
  </si>
  <si>
    <t>HMDB0033389</t>
  </si>
  <si>
    <t>2519-30-4</t>
  </si>
  <si>
    <t>CC(=O)NC1=CC=C(C2=CC(=C(\N=N\C3=C4C=C(C=CC4=C(C=C3)\N=N\C3=CC=C(C=C3)S(O)(=O)=O)S(O)(=O)=O)C(O)=C12)S(O)(=O)=O)S(O)(=O)=O</t>
  </si>
  <si>
    <t>RXERRVKLABZRCU-CJQWSLHQSA-N</t>
  </si>
  <si>
    <t>483.2482, 484.2493, 530.3306, 542.3210, 543.3239, 801.6839, 802.5298, 1061.6531, 1061.9166, 1062.6510</t>
  </si>
  <si>
    <t>C28H21N5O14S4</t>
  </si>
  <si>
    <t>FT2645NR</t>
  </si>
  <si>
    <t>2-Amino-4-oxo-6-(1',2'-dioxoprolyl)-7,8-dihydroxypteridine</t>
  </si>
  <si>
    <t>2-氨基-4-氧代-6-(1',2'-二氧代脯氨酰)-7,8-二羟基蝶啶</t>
  </si>
  <si>
    <t>HMDB0001410</t>
  </si>
  <si>
    <t>C05255</t>
  </si>
  <si>
    <t>CC(=O)C(=O)C1=NC2=C(N=C(N)NC2=O)N(O)C1O</t>
  </si>
  <si>
    <t>QBHQZPRDJMYEDG-UHFFFAOYSA-N</t>
  </si>
  <si>
    <t>C9H9N5O5</t>
  </si>
  <si>
    <t>FT2939PR</t>
  </si>
  <si>
    <t>L-Metanephrine</t>
  </si>
  <si>
    <t xml:space="preserve"> L-变肾上腺素</t>
  </si>
  <si>
    <t>HMDB0062493</t>
  </si>
  <si>
    <t>C05588</t>
  </si>
  <si>
    <t>CNC[C@H](O)C1=CC(OC)=C(O)C=C1</t>
  </si>
  <si>
    <t>JWJCTZKFYGDABJ-VIFPVBQESA-N</t>
  </si>
  <si>
    <t>C10H15NO3</t>
  </si>
  <si>
    <t>FT1437NR</t>
  </si>
  <si>
    <t>1-deoxy-L-glycero-tetrulose 4-phosphate</t>
  </si>
  <si>
    <t>1-脱氧-L-甘油-四聚四糖4-磷酸</t>
  </si>
  <si>
    <t>HMDB0304013</t>
  </si>
  <si>
    <t>C15556</t>
  </si>
  <si>
    <t>CC(=O)C(O)COP(O)(O)=O</t>
  </si>
  <si>
    <t>OKYHYXLCTGGOLM-UHFFFAOYSA-N</t>
  </si>
  <si>
    <t>C4H9O6P</t>
  </si>
  <si>
    <t>FT2557NR</t>
  </si>
  <si>
    <t>Kitagine</t>
  </si>
  <si>
    <t>S-苄基-O,O-二乙基硫代磷酸酯</t>
  </si>
  <si>
    <t>HMDB0303663</t>
  </si>
  <si>
    <t>CCOP(=O)(OCC)SCC1=CC=CC=C1</t>
  </si>
  <si>
    <t>XFMJUIKWKVJNDY-UHFFFAOYSA-N</t>
  </si>
  <si>
    <t>237.0482, 243.0608, 243.0977, 261.0718, 261.1078, 287.0558, 287.0876, 305.0611, 305.0977, 305.1268</t>
  </si>
  <si>
    <t>C11H17O3PS</t>
  </si>
  <si>
    <t>FT2076NR</t>
  </si>
  <si>
    <t>Tert-Butylbicyclophosphorothionate</t>
  </si>
  <si>
    <t>叔丁基双环[2.2.2]硫逐磷酸酯</t>
  </si>
  <si>
    <t>HMDB0258754</t>
  </si>
  <si>
    <t>C19930</t>
  </si>
  <si>
    <t>70636-86-1</t>
  </si>
  <si>
    <t>CC(C)(C)C12COP(=S)(OC1)OC2</t>
  </si>
  <si>
    <t>VTBHBNXGFPTBJL-UHFFFAOYSA-N</t>
  </si>
  <si>
    <t>C8H15O3PS</t>
  </si>
  <si>
    <t>FT3197PR</t>
  </si>
  <si>
    <t>(E)-3-methyl-6-(pent-3-en-1-yn-1-yl)-1,2-dithiine</t>
  </si>
  <si>
    <t>(E)-3-甲基-6-(戊-3-烯-1-yn-1-基)-1,2-二硫英</t>
  </si>
  <si>
    <t>LMFA12000366</t>
  </si>
  <si>
    <t>C1C=C(C#C/C=C/C)SSC=1C</t>
  </si>
  <si>
    <t>VZBIMBFEZICQSK-ONEGZZNKSA-N</t>
  </si>
  <si>
    <t>153.0285, 153.0391, 153.0584, 197.0794, 232.0910, 232.9851, 233.0566, 233.1526, 233.8854, 250.9960</t>
  </si>
  <si>
    <t>C10H10S2</t>
  </si>
  <si>
    <t>FT4053NR</t>
  </si>
  <si>
    <t>Hydralazine pyruvate hydrazone</t>
  </si>
  <si>
    <t>肼屈嗪丙酮酸腙</t>
  </si>
  <si>
    <t>HMDB0061143</t>
  </si>
  <si>
    <t>67536-13-4</t>
  </si>
  <si>
    <t>C\C(=N/NC1=NN=CC2=CC=CC=C12)C(O)=O</t>
  </si>
  <si>
    <t>CXGHHASVNBBLOU-NTUHNPAUSA-N</t>
  </si>
  <si>
    <t>113.0238, 119.9465, 125.9811, 164.4118, 175.0244, 247.0531, 283.1188, 301.4317, 388.4332, 468.3051</t>
  </si>
  <si>
    <t>C11H10N4O2</t>
  </si>
  <si>
    <t>FT5754PR</t>
  </si>
  <si>
    <t>Cerotic acid(d3)</t>
  </si>
  <si>
    <t>蜡酸(d3)</t>
  </si>
  <si>
    <t>LMFA01010052</t>
  </si>
  <si>
    <t>C(CCCCCCCCCCCCC(=O)O)CCCCCCCCCCCC([2H])([2H])[2H]</t>
  </si>
  <si>
    <t>XMHIUKTWLZUKEX-FIBGUPNXSA-N</t>
  </si>
  <si>
    <t>235.4300, 237.2848, 239.1487, 241.0339, 242.9572, 244.6993, 272.8714, 284.6871, 317.6604, 421.3531</t>
  </si>
  <si>
    <t>C26H49D3O2</t>
  </si>
  <si>
    <t>FT3631PR</t>
  </si>
  <si>
    <t>Maclurin</t>
  </si>
  <si>
    <t>2,3',4,4',6-五羟基二苯甲酮</t>
  </si>
  <si>
    <t>HMDB0032644</t>
  </si>
  <si>
    <t>C09951</t>
  </si>
  <si>
    <t>519-34-6</t>
  </si>
  <si>
    <t>OC1=CC(O)=C(C(=O)C2=CC(O)=C(O)C=C2)C(O)=C1</t>
  </si>
  <si>
    <t>XNWPXDGRBWJIES-UHFFFAOYSA-N</t>
  </si>
  <si>
    <t>C13H10O6</t>
  </si>
  <si>
    <t>FT3771PR</t>
  </si>
  <si>
    <t>Cyclanilide</t>
  </si>
  <si>
    <t>环丙酸酰胺</t>
  </si>
  <si>
    <t>HMDB0250621</t>
  </si>
  <si>
    <t>OC(=O)C1(CC1)C(O)=NC1=C(Cl)C=C(Cl)C=C1</t>
  </si>
  <si>
    <t>GLWWLNJJJCTFMZ-UHFFFAOYSA-N</t>
  </si>
  <si>
    <t>232.9766, 233.0034, 250.9879, 261.8316, 267.1462, 273.9543, 274.0063, 274.0381, 278.4692, 289.9946</t>
  </si>
  <si>
    <t>C11H9Cl2NO3</t>
  </si>
  <si>
    <t>FT3817PR</t>
  </si>
  <si>
    <t>Propofol Sulfate (sodium salt)</t>
  </si>
  <si>
    <t>CC(C)c1cccc(C(C)C)c1OS(=O)(=O)O</t>
  </si>
  <si>
    <t>LHZPMSHOQIWRNE-UHFFFAOYSA-N</t>
  </si>
  <si>
    <t>226.8929, 230.1217, 235.1684, 252.6380, 252.8712, 258.0247, 258.1166, 275.8894, 276.1261, 276.1581</t>
  </si>
  <si>
    <t>C12H18O4S</t>
  </si>
  <si>
    <t>FT0144NR</t>
  </si>
  <si>
    <t>4-Hydroxy-2-oxobutanoic acid</t>
  </si>
  <si>
    <t>4-羟基-2-氧代丁酸</t>
  </si>
  <si>
    <t>HMDB0031204</t>
  </si>
  <si>
    <t>22136-38-5</t>
  </si>
  <si>
    <t>OCCC(=O)C(O)=O</t>
  </si>
  <si>
    <t>PUWWONYMIXRVQF-UHFFFAOYSA-N</t>
  </si>
  <si>
    <t>72.8689, 89.4015, 98.9493, 98.9556, 98.9626, 99.0085, 99.0193, 99.9254, 100.0037, 100.0117</t>
  </si>
  <si>
    <t>FT3323PR</t>
  </si>
  <si>
    <t>Rimiterol</t>
  </si>
  <si>
    <t>利米特罗</t>
  </si>
  <si>
    <t>HMDB0257235</t>
  </si>
  <si>
    <t>OC(C1CCCCN1)C1=CC(O)=C(O)C=C1</t>
  </si>
  <si>
    <t>IYMMESGOJVNCKV-UHFFFAOYSA-N</t>
  </si>
  <si>
    <t>240.2101, 241.0313, 241.0795, 241.1543, 241.2016, 241.2138, 241.2469, 242.1038, 242.1573, 248.1423</t>
  </si>
  <si>
    <t>FT4731PR</t>
  </si>
  <si>
    <t>(1E)-1-(4-Hydroxy-3-methoxyphenyl)-7-phenyl-1-hepten-3-one</t>
  </si>
  <si>
    <t>(1E)-1-(4-羟基-3-甲氧基苯基)-7-苯基-1-庚烯-3-酮</t>
  </si>
  <si>
    <t>HMDB0242311</t>
  </si>
  <si>
    <t>COC1=CC(C=CC(=O)CCCCC2=CC=CC=C2)=CC=C1O</t>
  </si>
  <si>
    <t>OKVCTOBWIAGOMR-UHFFFAOYSA-N</t>
  </si>
  <si>
    <t>Linear diarylheptanoids</t>
  </si>
  <si>
    <t>线性二芳基庚烷</t>
  </si>
  <si>
    <t>216.1024, 231.1122, 241.0970, 255.1133, 283.1069, 301.1177, 302.7162, 315.1340, 333.1441, 333.1870</t>
  </si>
  <si>
    <t>C20H22O3</t>
  </si>
  <si>
    <t>FT4564PR</t>
  </si>
  <si>
    <t>{2-methoxy-4-[(5-oxooxolan-2-yl)methyl]phenyl}oxidanesulfonic acid</t>
  </si>
  <si>
    <t>{2-甲氧基-4-[(5-氧杂环戊烷-2-基)甲基]苯基}氧化烷磺酸</t>
  </si>
  <si>
    <t>HMDB0127769</t>
  </si>
  <si>
    <t>COC1=C(OS(O)(=O)=O)C=CC(CC2CCC(=O)O2)=C1</t>
  </si>
  <si>
    <t>FYRRHCSCZYSADR-UHFFFAOYSA-N</t>
  </si>
  <si>
    <t>C12H14O7S</t>
  </si>
  <si>
    <t>FT4178PR</t>
  </si>
  <si>
    <t>Cyclocalopin F</t>
  </si>
  <si>
    <t>环红素F</t>
  </si>
  <si>
    <t>HMDB0039825</t>
  </si>
  <si>
    <t>CC1COC(=O)C2OC3(C)OC4CC3(C12)C(O)C(=O)C4=C</t>
  </si>
  <si>
    <t>UGWYLYUJRHPKJY-UHFFFAOYSA-N</t>
  </si>
  <si>
    <t>Furopyrans</t>
  </si>
  <si>
    <t>呋喃吡喃类</t>
  </si>
  <si>
    <t>C15H18O6</t>
  </si>
  <si>
    <t>FT5503NR</t>
  </si>
  <si>
    <t>Procion blue MX-R</t>
  </si>
  <si>
    <t>活性艳蓝X-ARL</t>
  </si>
  <si>
    <t>HMDB0257125</t>
  </si>
  <si>
    <t>NC1=C(C=C(NC2=CC(NC3=NC(Cl)=NC(Cl)=N3)=C(C=C2)S(O)(=O)=O)C2=C1C(=O)C1=CC=CC=C1C2=O)S(O)(=O)=O</t>
  </si>
  <si>
    <t>RTLULCVBFCRQKI-UHFFFAOYSA-N</t>
  </si>
  <si>
    <t>199.9987, 205.3967, 256.9816, 317.2195, 366.8177, 469.8679, 522.1429, 536.9573, 580.9436, 624.9324</t>
  </si>
  <si>
    <t>C23H14Cl2N6O8S2</t>
  </si>
  <si>
    <t>FT3325NR</t>
  </si>
  <si>
    <t>S-Japonin</t>
  </si>
  <si>
    <t>皂甙</t>
  </si>
  <si>
    <t>HMDB0035802</t>
  </si>
  <si>
    <t>36031-35-3</t>
  </si>
  <si>
    <t>CS\C=C\C(=O)OC1CC(C)C2(C)CC(=C(C)C)C(=O)CC2C1</t>
  </si>
  <si>
    <t>HDHDUJDLKYTRAS-VOTSOKGWSA-N</t>
  </si>
  <si>
    <t>115.9203, 116.9283, 116.9377, 205.3903, 302.7002, 337.1844, 381.1734, 381.2309, 381.3293, 382.1752</t>
  </si>
  <si>
    <t>C19H28O3S</t>
  </si>
  <si>
    <t>FT1358NR</t>
  </si>
  <si>
    <t>Ethyl butylacetylaminopropionate</t>
  </si>
  <si>
    <t>驱蚊酯</t>
  </si>
  <si>
    <t>HMDB0246904</t>
  </si>
  <si>
    <t>C18830</t>
  </si>
  <si>
    <t>52304-36-6</t>
  </si>
  <si>
    <t>CCCCN(CCC(=O)OCC)C(C)=O</t>
  </si>
  <si>
    <t>VZRKEAFHFMSHCD-UHFFFAOYSA-N</t>
  </si>
  <si>
    <t>78.9344, 79.1451, 124.9249, 152.1153, 153.1281, 197.1187, 205.0878, 214.0577, 214.1442, 215.1278</t>
  </si>
  <si>
    <t>C11H21NO3</t>
  </si>
  <si>
    <t>FT3643PR</t>
  </si>
  <si>
    <t>Pendimethalin</t>
  </si>
  <si>
    <t>甲戊灵-D5</t>
  </si>
  <si>
    <t>HMDB0256221</t>
  </si>
  <si>
    <t>C11019</t>
  </si>
  <si>
    <t>40487-42-1</t>
  </si>
  <si>
    <t>CCC(CC)NC1=C(C=C(C)C(C)=C1[N+]([O-])=O)[N+]([O-])=O</t>
  </si>
  <si>
    <t>CHIFOSRWCNZCFN-UHFFFAOYSA-N</t>
  </si>
  <si>
    <t>C13H19N3O4</t>
  </si>
  <si>
    <t>FT4422PR</t>
  </si>
  <si>
    <t>Delgocitinib</t>
  </si>
  <si>
    <t>德尔戈西替尼</t>
  </si>
  <si>
    <t>HMDB0250969</t>
  </si>
  <si>
    <t>CC1CN(C(=O)CC#N)C11CCN(C1)C1=NC=NC2=C1C=CN2</t>
  </si>
  <si>
    <t>LOWWYYZBZNSPDT-UHFFFAOYSA-N</t>
  </si>
  <si>
    <t>Pyrrolopyrimidines</t>
  </si>
  <si>
    <t>Pyrrolo[2,3-d]pyrimidines</t>
  </si>
  <si>
    <t>吡咯并嘧啶类</t>
  </si>
  <si>
    <t>吡咯并[2,3-d]嘧啶</t>
  </si>
  <si>
    <t>271.9837, 273.9793, 293.2123, 308.1068, 311.1161, 311.2207, 311.3130, 314.0297, 332.1374, 557.5024</t>
  </si>
  <si>
    <t>C16H18N6O</t>
  </si>
  <si>
    <t>FT6343PR</t>
  </si>
  <si>
    <t>Landiolol</t>
  </si>
  <si>
    <t>兰地洛尔</t>
  </si>
  <si>
    <t>HMDB0253969</t>
  </si>
  <si>
    <t>CC1(C)OCC(COC(=O)CCC2=CC=C(OCC(O)CNCCNC(=O)N3CCOCC3)C=C2)O1</t>
  </si>
  <si>
    <t>WMDSZGFJQKSLLH-UHFFFAOYSA-N</t>
  </si>
  <si>
    <t>127.5627, 127.5752, 130.3308, 302.7015, 469.3300, 492.2702, 510.0529, 510.2795, 510.4552, 511.2831</t>
  </si>
  <si>
    <t>C25H39N3O8</t>
  </si>
  <si>
    <t>FT2291NR</t>
  </si>
  <si>
    <t>Mergepta</t>
  </si>
  <si>
    <t>合并</t>
  </si>
  <si>
    <t>HMDB0254467</t>
  </si>
  <si>
    <t>NC(N)=NCCSCC(CS)C(O)=O</t>
  </si>
  <si>
    <t>AKPKWZRKZOAAAZ-UHFFFAOYSA-N</t>
  </si>
  <si>
    <t>127.0398, 153.0558, 153.0917, 179.0702, 197.0453, 197.0619, 197.0813, 205.3986, 282.0584, 302.6960</t>
  </si>
  <si>
    <t>C7H15N3O2S2</t>
  </si>
  <si>
    <t>FT3626PR</t>
  </si>
  <si>
    <t>(2R)-1-(4-Nonylphenyl)propan-2-amine</t>
  </si>
  <si>
    <t>(2R)-1-(4-壬基苯基)丙-2-胺</t>
  </si>
  <si>
    <t>HMDB0255320</t>
  </si>
  <si>
    <t>CCCCCCCCCC1=CC=C(CC(C)N)C=C1</t>
  </si>
  <si>
    <t>XBYWJVSFNJCKAA-UHFFFAOYSA-N</t>
  </si>
  <si>
    <t>C18H31N</t>
  </si>
  <si>
    <t>FT3601PR</t>
  </si>
  <si>
    <t>Cyanophos</t>
  </si>
  <si>
    <t>杀螟腈</t>
  </si>
  <si>
    <t>HMDB0250614</t>
  </si>
  <si>
    <t>C18397</t>
  </si>
  <si>
    <t>2636-26-2</t>
  </si>
  <si>
    <t>COP(=S)(OC)OC1=CC=C(C=C1)C#N</t>
  </si>
  <si>
    <t>SCKHCCSZFPSHGR-UHFFFAOYSA-N</t>
  </si>
  <si>
    <t>217.0563, 222.8902, 224.8871, 243.0972, 260.9550, 260.9822, 260.9952, 261.0454, 261.1293, 261.1793</t>
  </si>
  <si>
    <t>C9H10NO3PS</t>
  </si>
  <si>
    <t>FT5042PR</t>
  </si>
  <si>
    <t>2-Dodecenoylcarnitine</t>
  </si>
  <si>
    <t>2-十二烯酰肉碱</t>
  </si>
  <si>
    <t>HMDB0241215</t>
  </si>
  <si>
    <t>CCCCCCCCCC=CC(=O)OC(CC([O-])=O)C[N+](C)(C)C</t>
  </si>
  <si>
    <t>OWRLUKFWNGLGIE-UHFFFAOYSA-N</t>
  </si>
  <si>
    <t>359.1522, 359.1781, 359.2869, 359.3928, 360.2902, 360.9911, 361.0471, 362.7408, 362.7957, 364.5081</t>
  </si>
  <si>
    <t>FT2889PR</t>
  </si>
  <si>
    <t>Pyrrolidin-1-yl N,N-bis(sulfanyl)carbamate</t>
  </si>
  <si>
    <t>吡咯烷-1-基N,N-双(硫烷基)氨基甲酸酯</t>
  </si>
  <si>
    <t>HMDB0257676</t>
  </si>
  <si>
    <t>SN(S)C(=O)ON1CCCC1</t>
  </si>
  <si>
    <t>NHZGRUILDDFUNP-UHFFFAOYSA-N</t>
  </si>
  <si>
    <t>C5H10N2O2S2</t>
  </si>
  <si>
    <t>FT3283PR</t>
  </si>
  <si>
    <t>2-(2-Thienylmethylene)-1,6-dioxaspiro[4.4]non-3-ene</t>
  </si>
  <si>
    <t xml:space="preserve"> 2-(2-噻吩亚甲基)-1,6-二氧杂螺[4.4]壬-3-烯</t>
  </si>
  <si>
    <t>HMDB0034857</t>
  </si>
  <si>
    <t>124442-15-5</t>
  </si>
  <si>
    <t>C1COC2(C1)O\C(=C\C1=CC=CS1)C=C2</t>
  </si>
  <si>
    <t>LLZQYUSTIRVCPF-MDZDMXLPSA-N</t>
  </si>
  <si>
    <t>C12H12O2S</t>
  </si>
  <si>
    <t>FT2398NR</t>
  </si>
  <si>
    <t>3-(2,4-Dimethyl-5-(2-oxo-1,2-dihydroindol-3-ylidenemethyl)-1H-pyrrol-3-yl)propionic acid</t>
  </si>
  <si>
    <t>3-(2,4-二甲基-5-(2-氧代-1,2-二氢吲哚-3-亚甲基)-1H-吡咯-3-基)丙酸</t>
  </si>
  <si>
    <t>HMDB0258528</t>
  </si>
  <si>
    <t>CC1=C(CCC(O)=O)C(C)=C(N1)C=C1C(=O)NC2=CC=CC=C12</t>
  </si>
  <si>
    <t>NHFDRBXTEDBWCZ-UHFFFAOYSA-N</t>
  </si>
  <si>
    <t>C18H18N2O3</t>
  </si>
  <si>
    <t>FT4505PR</t>
  </si>
  <si>
    <t>4-hydroxy-8cis-sphingenine</t>
  </si>
  <si>
    <t>4-羟基-8顺式-鞘氨醇</t>
  </si>
  <si>
    <t>LMSP01080009</t>
  </si>
  <si>
    <t>OC[C@]([H])(N)[C@]([H])(O)[C@@](O)([H])CCC/C=C\CCCCCCCCC</t>
  </si>
  <si>
    <t>CQKNELOTFUSOTP-OGAXSGQXSA-N</t>
  </si>
  <si>
    <t>FT6446PR</t>
  </si>
  <si>
    <t>(13Z)-Docos-13-enoylcarnitine</t>
  </si>
  <si>
    <t>(13Z)-Docos-13-烯酰肉碱</t>
  </si>
  <si>
    <t>HMDB0241601</t>
  </si>
  <si>
    <t>CCCCCCCCC=CCCCCCCCCCCCC(=O)OC(CC([O-])=O)C[N+](C)(C)C</t>
  </si>
  <si>
    <t>WDWXOVLPQSTGNY-UHFFFAOYSA-N</t>
  </si>
  <si>
    <t>C29H55NO4</t>
  </si>
  <si>
    <t>FT4550PR</t>
  </si>
  <si>
    <t>Citpressine I</t>
  </si>
  <si>
    <t>喜普乐碱I</t>
  </si>
  <si>
    <t>HMDB0029323</t>
  </si>
  <si>
    <t>81525-58-8</t>
  </si>
  <si>
    <t>COC1=CC2=C(C(O)=C1)C(=O)C1=C(N2C)C(OC)=C(O)C=C1</t>
  </si>
  <si>
    <t>OQMSMWRXIZYYNR-UHFFFAOYSA-N</t>
  </si>
  <si>
    <t>256.0950, 274.0198, 283.1071, 301.1188, 302.1025, 304.1243, 313.2006, 319.0221, 319.2253, 329.6656</t>
  </si>
  <si>
    <t>C16H15NO5</t>
  </si>
  <si>
    <t>FT2208NR</t>
  </si>
  <si>
    <t>Histidylserine</t>
  </si>
  <si>
    <t>组氨酰丝氨酸</t>
  </si>
  <si>
    <t>HMDB0028894</t>
  </si>
  <si>
    <t>21438-60-8</t>
  </si>
  <si>
    <t>N[C@@H](CC1=CNC=N1)C(=O)N[C@@H](CO)C(O)=O</t>
  </si>
  <si>
    <t>KRBMQYPTDYSENE-BQBZGAKWSA-N</t>
  </si>
  <si>
    <t>231.0634, 233.0789, 233.1337, 234.0828, 236.0299, 259.0581, 277.0687, 277.1411, 278.0713, 278.2506</t>
  </si>
  <si>
    <t>FT2705PR</t>
  </si>
  <si>
    <t>2-Oxo-4-hydroxy-4-carboxy-5-ureidoimidazole</t>
  </si>
  <si>
    <t>2-氧代-4-羟基-4-羧基-5-脲基咪唑</t>
  </si>
  <si>
    <t>HMDB0301917</t>
  </si>
  <si>
    <t>C12248</t>
  </si>
  <si>
    <t>NC(=O)NC1=NC(=O)NC1(O)C(O)=O</t>
  </si>
  <si>
    <t>WHKYNCPIXMNTRQ-UHFFFAOYSA-N</t>
  </si>
  <si>
    <t>C5H6N4O5</t>
  </si>
  <si>
    <t>FT0247NR</t>
  </si>
  <si>
    <t>2-Chloroethylamine</t>
  </si>
  <si>
    <t>异环磷酰胺EP杂质C</t>
  </si>
  <si>
    <t>HMDB0245071</t>
  </si>
  <si>
    <t>NCCCl</t>
  </si>
  <si>
    <t>VKPPFDPXZWFDFA-UHFFFAOYSA-N</t>
  </si>
  <si>
    <t>Organohalogen compounds</t>
  </si>
  <si>
    <t>Organochlorides</t>
  </si>
  <si>
    <t>有机卤化合物</t>
  </si>
  <si>
    <t>有机氯</t>
  </si>
  <si>
    <t>C2H6ClN</t>
  </si>
  <si>
    <t>FT2807NR</t>
  </si>
  <si>
    <t>2,6-Dimethyl-4-(2-nitrophenyl)-3,4-dihydropyridine-3,5-dicarboxylic acid dimethyl ester</t>
  </si>
  <si>
    <t>2,6-二甲基-4-(2-硝基苯基)-3,4-二氢吡啶-3,5-二甲酸二甲酯</t>
  </si>
  <si>
    <t>HMDB0255502</t>
  </si>
  <si>
    <t>COC(=O)C1C(C2=CC=CC=C2[N+]([O-])=O)C(C(=O)OC)=C(C)N=C1C</t>
  </si>
  <si>
    <t>OSUCQKNXQBPLDG-UHFFFAOYSA-N</t>
  </si>
  <si>
    <t>183.9638, 190.9281, 202.5220, 221.4454, 223.9880, 239.1187, 276.0717, 283.1082, 326.9900, 327.0964</t>
  </si>
  <si>
    <t>FT1072NR</t>
  </si>
  <si>
    <t>triazolopropionic acid</t>
  </si>
  <si>
    <t>3-{3-氧代-2H,3H-[1,2,4]三唑并[4,3-A]吡啶-2-基}丙酸</t>
  </si>
  <si>
    <t>HMDB0061058</t>
  </si>
  <si>
    <t>OC(=O)CCN1N=C2C=CC=CN2C1=O</t>
  </si>
  <si>
    <t>DXVGDKXFBVHCCE-UHFFFAOYSA-N</t>
  </si>
  <si>
    <t>C9H9N3O3</t>
  </si>
  <si>
    <t>FT6427PR</t>
  </si>
  <si>
    <t>Clocapramine</t>
  </si>
  <si>
    <t>氯卡帕明</t>
  </si>
  <si>
    <t>HMDB0250335</t>
  </si>
  <si>
    <t>OC(=N)C1(CCN(CCCN2C3=CC=CC=C3CCC3=C2C=C(Cl)C=C3)CC1)N1CCCCC1</t>
  </si>
  <si>
    <t>QAZKXHSIKKNOHH-UHFFFAOYSA-N</t>
  </si>
  <si>
    <t>Dibenzazepines</t>
  </si>
  <si>
    <t>二苯并氮卓类</t>
  </si>
  <si>
    <t>440.1864, 465.1973, 483.2063, 486.1915, 501.2164, 502.2189, 504.2042, 519.2274, 519.4324, 520.2315</t>
  </si>
  <si>
    <t>C28H37ClN4O</t>
  </si>
  <si>
    <t>FT2909NR</t>
  </si>
  <si>
    <t>Hemi-babim</t>
  </si>
  <si>
    <t>半巴宾</t>
  </si>
  <si>
    <t>HMDB0253080</t>
  </si>
  <si>
    <t>NC(=N)C1=CC2=C(NC(CC3=NC4=C(N3)C=CC=C4)=N2)C=C1</t>
  </si>
  <si>
    <t>KKJYVDXDZURHMA-UHFFFAOYSA-N</t>
  </si>
  <si>
    <t>C16H14N6</t>
  </si>
  <si>
    <t>FT1504NR</t>
  </si>
  <si>
    <t>2-Phenyl-3,4-dihydro-2H-thiochromene</t>
  </si>
  <si>
    <t>2-苯基-3,4-二氢-2H-硫色烯</t>
  </si>
  <si>
    <t>HMDB0245290</t>
  </si>
  <si>
    <t>C1CC2=CC=CC=C2SC1C1=CC=CC=C1</t>
  </si>
  <si>
    <t>NRYGFMAOIPXXBW-UHFFFAOYSA-N</t>
  </si>
  <si>
    <t>Thiochromanes</t>
  </si>
  <si>
    <t>Thioflavans</t>
  </si>
  <si>
    <t>硫代苯并二氢吡喃类</t>
  </si>
  <si>
    <t>硫代黄烷</t>
  </si>
  <si>
    <t>133.3963, 138.8315, 145.1998, 156.9747, 156.9871, 157.0112, 157.0866, 224.5631, 225.0522, 225.1127</t>
  </si>
  <si>
    <t>C15H14S</t>
  </si>
  <si>
    <t>FT4661NR</t>
  </si>
  <si>
    <t>8-Epiiridodial glucoside tetraacetate</t>
  </si>
  <si>
    <t>8-表环烯醚二糖苷四乙酸酯</t>
  </si>
  <si>
    <t>LMPR0102070027</t>
  </si>
  <si>
    <t>C11658</t>
  </si>
  <si>
    <t>C(=O)(OC[C@H]1O[C@H]([C@H](OC(C)=O)[C@H]([C@@H]1OC(C)=O)OC(C)=O)O[C@@H]1OC=C(C)[C@@]2([H])CC[C@@H](C)[C@]21[H])C</t>
  </si>
  <si>
    <t>WRILMBKQMSIVJG-CHBUFIJZSA-N</t>
  </si>
  <si>
    <t>96.9599, 118.3632, 122.0047, 179.0829, 214.8622, 234.8934, 397.2057, 446.0995, 465.1917, 533.1805</t>
  </si>
  <si>
    <t>C24H34O11</t>
  </si>
  <si>
    <t>FT1649NR</t>
  </si>
  <si>
    <t>2-(4-(Methylamino)phenyl)benzo[d]thiazol-6-ol</t>
  </si>
  <si>
    <t>2-(4-(甲基氨基)苯基)苯并[d]噻唑-6-醇</t>
  </si>
  <si>
    <t>HMDB0244929</t>
  </si>
  <si>
    <t>CNC1=CC=C(C=C1)C1=NC2=C(S1)C=C(O)C=C2</t>
  </si>
  <si>
    <t>ZQAQXZBSGZUUNL-UHFFFAOYSA-N</t>
  </si>
  <si>
    <t>193.0589, 205.3985, 209.2986, 211.0695, 236.8627, 236.9766, 237.0487, 237.1051, 238.0531, 255.0592</t>
  </si>
  <si>
    <t>C14H12N2OS</t>
  </si>
  <si>
    <t>FT3371PR</t>
  </si>
  <si>
    <t>N-((1R,2S,4S)-Bicyclo[2.2.1]heptan-2-yl)-9-methyl-9H-purin-6-amine</t>
  </si>
  <si>
    <t>N-((1R,2S,4S)-双环[2.2.1]庚-2-基)-9-甲基-9H-嘌呤-6-胺</t>
  </si>
  <si>
    <t>HMDB0250040</t>
  </si>
  <si>
    <t>CN1C=NC2=C1N=CN=C2NC1CC2CCC1C2</t>
  </si>
  <si>
    <t>MTQYIGCUBBMQCJ-UHFFFAOYSA-N</t>
  </si>
  <si>
    <t>C13H17N5</t>
  </si>
  <si>
    <t>FT7002PR</t>
  </si>
  <si>
    <t>PA(i-14:0/a-15:0)</t>
  </si>
  <si>
    <t>磷脂酸(i-14:0/a-15:0)</t>
  </si>
  <si>
    <t>HMDB0115812</t>
  </si>
  <si>
    <t>[H][C@@](COC(=O)CCCCCCCCCCC(C)C)(COP(O)(O)=O)OC(=O)CCCCCCCCCCC(C)CC</t>
  </si>
  <si>
    <t>SCKGJCRSPROYAL-BDCODIICSA-N</t>
  </si>
  <si>
    <t>68.6082, 68.6756, 71.6995, 89.7967, 100.2139, 205.3897, 205.4124, 302.7055, 406.6032, 589.4298</t>
  </si>
  <si>
    <t>C32H63O8P</t>
  </si>
  <si>
    <t>FT6503PR</t>
  </si>
  <si>
    <t>Bemcentinib</t>
  </si>
  <si>
    <t>贝森替尼</t>
  </si>
  <si>
    <t>HMDB0244307</t>
  </si>
  <si>
    <t>NC1=NC(NC2=CC3=C(CCC(CC3)N3CCCC3)C=C2)=NN1C1=NN=C2C(CCCC3=CC=CC=C23)=C1</t>
  </si>
  <si>
    <t>KXMZDGSRSGHMMK-UHFFFAOYSA-N</t>
  </si>
  <si>
    <t>C30H34N8</t>
  </si>
  <si>
    <t>FT4140PR</t>
  </si>
  <si>
    <t>benzyl glucoside</t>
  </si>
  <si>
    <t>苄基葡萄糖苷</t>
  </si>
  <si>
    <t>OCC1OC(OCC=2C=CC=CC2)C(O)C(O)C1O</t>
  </si>
  <si>
    <t>GKHCBYYBLTXYEV-UJPOAAIJSA-N</t>
  </si>
  <si>
    <t>166.4183, 247.0919, 285.5968, 288.0587, 290.5479, 293.0971, 295.6730, 298.2622, 300.8858, 303.5446</t>
  </si>
  <si>
    <t>C13H18O6</t>
  </si>
  <si>
    <t>FT3986PR</t>
  </si>
  <si>
    <t>2-Methyl-(Z)-7-octadecene</t>
  </si>
  <si>
    <t>顺-2-甲基-7-十八烯</t>
  </si>
  <si>
    <t>LMFA11000339</t>
  </si>
  <si>
    <t>CC(C)CCCC/C=C\CCCCCCCCCC</t>
  </si>
  <si>
    <t>XDBKLFODBADBED-YPKPFQOOSA-N</t>
  </si>
  <si>
    <t>101.9707, 108.4099, 205.9944, 239.1464, 243.8841, 261.8931, 284.2957, 284.3304, 285.1805, 285.3344</t>
  </si>
  <si>
    <t>C19H38</t>
  </si>
  <si>
    <t>FT6353PR</t>
  </si>
  <si>
    <t>(15Z)-tetracos-15-enoylcarnitine</t>
  </si>
  <si>
    <t>(15Z)-二十四烷-15-烯酰肉碱</t>
  </si>
  <si>
    <t>HMDB0241632</t>
  </si>
  <si>
    <t>CCCCCCCCC=CCCCCCCCCCCCCCC(=O)OC(CC([O-])=O)C[N+](C)(C)C</t>
  </si>
  <si>
    <t>QGIHQXKFCAACHN-UHFFFAOYSA-N</t>
  </si>
  <si>
    <t>C31H59NO4</t>
  </si>
  <si>
    <t>FT0042NR</t>
  </si>
  <si>
    <t>Acetic anhydride</t>
  </si>
  <si>
    <t>乙酐</t>
  </si>
  <si>
    <t>HMDB0031646</t>
  </si>
  <si>
    <t>108-24-7</t>
  </si>
  <si>
    <t>CC(=O)OC(C)=O</t>
  </si>
  <si>
    <t>WFDIJRYMOXRFFG-UHFFFAOYSA-N</t>
  </si>
  <si>
    <t>69.3895, 69.5264, 72.6500, 75.9889, 82.9539, 83.0138, 83.0188, 83.0249, 83.0500, 84.5914</t>
  </si>
  <si>
    <t>FT2370NR</t>
  </si>
  <si>
    <t>Oroselol</t>
  </si>
  <si>
    <t>山芹醇</t>
  </si>
  <si>
    <t>1891-25-4</t>
  </si>
  <si>
    <t>CC(C)(C1=CC2=C(O1)C=CC3=C2OC(=O)C=C3)O</t>
  </si>
  <si>
    <t>KDJVHSVOXOZBDR-UHFFFAOYSA-N</t>
  </si>
  <si>
    <t>205.4113, 221.0813, 221.1031, 224.7096, 268.8360, 280.4467, 288.6201, 288.7792, 289.0684, 302.6844</t>
  </si>
  <si>
    <t>C14H12O4</t>
  </si>
  <si>
    <t>FT7869PR</t>
  </si>
  <si>
    <t>PG(P-18:0/21:0)</t>
  </si>
  <si>
    <t>磷脂酰甘油(P-18:0/21:0)</t>
  </si>
  <si>
    <t>LMGP04030051</t>
  </si>
  <si>
    <t>[C@]([H])(OC(CCCCCCCCCCCCCCCCCCCC)=O)(COP(=O)(O)OC[C@@]([H])(O)CO)CO/C=C\CCCCCCCCCCCCCCCC</t>
  </si>
  <si>
    <t>OJBXKOYRNJKNBV-CIMZCTSZSA-N</t>
  </si>
  <si>
    <t>C45H89O9P</t>
  </si>
  <si>
    <t>FT2453NR</t>
  </si>
  <si>
    <t>3-Piperidinamine, N-((2-methoxyphenyl)methyl)-2-phenyl-, (2R,3R)-</t>
  </si>
  <si>
    <t>3-哌啶胺，N-((2-甲氧基苯基)甲基)-2-苯基-，(2R,3R)-</t>
  </si>
  <si>
    <t>HMDB0250499</t>
  </si>
  <si>
    <t>COC1=CC=CC=C1CN1CCCC(N)C1C1=CC=CC=C1</t>
  </si>
  <si>
    <t>JMVPZHYWMMBPQD-UHFFFAOYSA-N</t>
  </si>
  <si>
    <t>Benzylpiperidines</t>
  </si>
  <si>
    <t>苄基哌啶</t>
  </si>
  <si>
    <t>C19H24N2O</t>
  </si>
  <si>
    <t>FT3143PR</t>
  </si>
  <si>
    <t>Asparaginylasparagine</t>
  </si>
  <si>
    <t>天冬酰胺酰天冬酰胺</t>
  </si>
  <si>
    <t>HMDB0028726</t>
  </si>
  <si>
    <t>58471-52-6</t>
  </si>
  <si>
    <t>N[C@@H](CC(N)=O)C(=O)N[C@@H](CC(N)=O)C(O)=O</t>
  </si>
  <si>
    <t>RJUHZPRQRQLCFL-IMJSIDKUSA-N</t>
  </si>
  <si>
    <t>C8H14N4O5</t>
  </si>
  <si>
    <t>FT3033NR</t>
  </si>
  <si>
    <t>1,3-Bis(4-nitrophenyl)urea</t>
  </si>
  <si>
    <t>1,3-二(4-硝基苯基)脲-D8</t>
  </si>
  <si>
    <t>HMDB0244158</t>
  </si>
  <si>
    <t>O=C(NC1=CC=C(C=C1)N(=O)=O)NC1=CC=C(C=C1)N(=O)=O</t>
  </si>
  <si>
    <t>JEZZOKXIXNSKQD-UHFFFAOYSA-N</t>
  </si>
  <si>
    <t>205.4054, 234.1231, 245.1159, 254.8722, 279.1564, 289.1059, 302.6958, 303.0724, 347.0013, 347.0637</t>
  </si>
  <si>
    <t>C13H10N4O5</t>
  </si>
  <si>
    <t>FT1636NR</t>
  </si>
  <si>
    <t>Thiostatin</t>
  </si>
  <si>
    <t>硫抑素</t>
  </si>
  <si>
    <t>HMDB0259033</t>
  </si>
  <si>
    <t>CC(C)CC(N)C(O)CC(S)=O</t>
  </si>
  <si>
    <t>VQLRGRRXGZBIBG-UHFFFAOYSA-N</t>
  </si>
  <si>
    <t>FT1748PR</t>
  </si>
  <si>
    <t>Diglyme</t>
  </si>
  <si>
    <t>二乙二醇二甲醚</t>
  </si>
  <si>
    <t>HMDB0251284</t>
  </si>
  <si>
    <t>COCCOCCOC</t>
  </si>
  <si>
    <t>SBZXBUIDTXKZTM-UHFFFAOYSA-N</t>
  </si>
  <si>
    <t>125.0025, 126.9551, 129.0699, 133.9497, 133.9744, 139.0750, 139.1110, 144.9653, 157.0834, 157.1214</t>
  </si>
  <si>
    <t>C6H14O3</t>
  </si>
  <si>
    <t>FT4317PR</t>
  </si>
  <si>
    <t>2-methoxy-6Z-hexadecenoic acid</t>
  </si>
  <si>
    <t>2-甲氧基-6Z-十六碳烯酸</t>
  </si>
  <si>
    <t>LMFA01080008</t>
  </si>
  <si>
    <t>C13946</t>
  </si>
  <si>
    <t>OC(=O)C(OC)CCC/C=C\CCCCCCCCC</t>
  </si>
  <si>
    <t>KGJRSNOTKLROQM-QXMHVHEDSA-N</t>
  </si>
  <si>
    <t>C17H32O3</t>
  </si>
  <si>
    <t>FT4372PR</t>
  </si>
  <si>
    <t>Benzo[a]pyrene-9,10-oxide</t>
  </si>
  <si>
    <t>苯并[a]芘-9,10-氧化物</t>
  </si>
  <si>
    <t>HMDB0060090</t>
  </si>
  <si>
    <t>C14849</t>
  </si>
  <si>
    <t>36504-66-2</t>
  </si>
  <si>
    <t>O1C2C=CC3=C(C12)C1=C2C(C=CC4=C2C(C=C1)=CC=C4)=C3</t>
  </si>
  <si>
    <t>GOEJUYABKOTLJA-UHFFFAOYSA-N</t>
  </si>
  <si>
    <t>Pyrenes</t>
  </si>
  <si>
    <t>芘</t>
  </si>
  <si>
    <t>149.0228, 205.3961, 205.4141, 211.2090, 235.1761, 263.0621, 302.7036, 307.0523, 307.1522, 307.1873</t>
  </si>
  <si>
    <t>C20H12O</t>
  </si>
  <si>
    <t>FT2873PR</t>
  </si>
  <si>
    <t>trans-S-(1-Propenyl)-cysteine disulfide</t>
  </si>
  <si>
    <t>反式-S-(1-丙烯基)-半胱氨酸二硫化物</t>
  </si>
  <si>
    <t>HMDB0302218</t>
  </si>
  <si>
    <t>C\C=C\SSC[C@H](N)C(O)=O</t>
  </si>
  <si>
    <t>UONBGLRRZCOLDM-HRJJCQLASA-N</t>
  </si>
  <si>
    <t>162.6026, 164.6016, 187.9161, 193.1226, 193.1582, 205.9286, 211.0572, 211.1112, 211.1683, 211.2063</t>
  </si>
  <si>
    <t>C6H11NO2S2</t>
  </si>
  <si>
    <t>FT3312NR</t>
  </si>
  <si>
    <t>Scarlet red</t>
  </si>
  <si>
    <t>溶剂红 24</t>
  </si>
  <si>
    <t>HMDB0258560</t>
  </si>
  <si>
    <t>C19520</t>
  </si>
  <si>
    <t>85-83-6</t>
  </si>
  <si>
    <t>CC1=CC=CC=C1N=NC1=CC(C)=C(C=C1)N=NC1=C(O)C=CC2=CC=CC=C12</t>
  </si>
  <si>
    <t>RCTGMCJBQGBLKT-UHFFFAOYSA-N</t>
  </si>
  <si>
    <t>Azobenzenes</t>
  </si>
  <si>
    <t>偶氮苯类</t>
  </si>
  <si>
    <t>115.9204, 116.9282, 133.7148, 169.1740, 190.2133, 232.1447, 375.1269, 379.1575, 380.1588, 393.1354</t>
  </si>
  <si>
    <t>C24H20N4O</t>
  </si>
  <si>
    <t>FT3718NR</t>
  </si>
  <si>
    <t>Arginyl-glycyl-aspartyl-valine</t>
  </si>
  <si>
    <t>精氨酰-甘氨酰-天冬氨酰-缬氨酸</t>
  </si>
  <si>
    <t>HMDB0248574</t>
  </si>
  <si>
    <t>CC(C)C(NC(=O)C(CC(O)=O)NC(=O)CNC(=O)C(N)CCCN=C(N)N)C(O)=O</t>
  </si>
  <si>
    <t>MDNRBNZIOBQHHK-UHFFFAOYSA-N</t>
  </si>
  <si>
    <t>60.29222, 68.52212, 68.52579, 72.2141, 104.59937, 112.98566, 172.72064, 237.11156, 272.22479</t>
  </si>
  <si>
    <t>C17H31N7O7</t>
  </si>
  <si>
    <t>FT4836PR</t>
  </si>
  <si>
    <t>FAHFA(12:1/3-O-8:0)</t>
  </si>
  <si>
    <t>脂肪酸羟基脂肪酸(12:1/3-O-8:0)</t>
  </si>
  <si>
    <t>LMFA07090124</t>
  </si>
  <si>
    <t>C(C(O)=O)C(OC(CCC/C=C\CCCCCC)=O)CCCCC</t>
  </si>
  <si>
    <t>AVVAQCBNTUPYML-KHPPLWFESA-N</t>
  </si>
  <si>
    <t>78.0395, 122.6251, 170.1019, 205.4044, 250.9315, 304.7131, 341.1652, 341.2657, 341.3016, 342.2676</t>
  </si>
  <si>
    <t>FT0616NR</t>
  </si>
  <si>
    <t>Gyromitrin</t>
  </si>
  <si>
    <t>鹿花苷</t>
  </si>
  <si>
    <t>HMDB0033952</t>
  </si>
  <si>
    <t>C08305</t>
  </si>
  <si>
    <t>16568-02-8</t>
  </si>
  <si>
    <t>C\C=N/N(C)C=O</t>
  </si>
  <si>
    <t>IMAGWKUTFZRWSB-HYXAFXHYSA-N</t>
  </si>
  <si>
    <t>Hydrazines and derivatives</t>
  </si>
  <si>
    <t>肼及其衍生物</t>
  </si>
  <si>
    <t>C4H8N2O</t>
  </si>
  <si>
    <t>FT4515NR</t>
  </si>
  <si>
    <t>Oxaprozin glucuronide</t>
  </si>
  <si>
    <t>奥沙普嗪葡萄糖苷酸</t>
  </si>
  <si>
    <t>HMDB0255967</t>
  </si>
  <si>
    <t>OC1C(O)C(OC(=O)CCC2=NC(=C(O2)C2=CC=CC=C2)C2=CC=CC=C2)OC(C1O)C(O)=O</t>
  </si>
  <si>
    <t>ZONKPOICDFFRNF-UHFFFAOYSA-N</t>
  </si>
  <si>
    <t>56.22976, 61.98829, 77.06995, 156.14207, 225.06409, 288.0596, 514.13525</t>
  </si>
  <si>
    <t>C24H23NO9</t>
  </si>
  <si>
    <t>FT5232PR</t>
  </si>
  <si>
    <t>Glycyllysylarginine</t>
  </si>
  <si>
    <t>甘氨酰精氨酸</t>
  </si>
  <si>
    <t>HMDB0252886</t>
  </si>
  <si>
    <t>NCCCCC(NC(=O)CN)C(=O)NC(CCCN=C(N)N)C(O)=O</t>
  </si>
  <si>
    <t>CLNSYANKYVMZNM-UHFFFAOYSA-N</t>
  </si>
  <si>
    <t>C14H29N7O4</t>
  </si>
  <si>
    <t>FT2886NR</t>
  </si>
  <si>
    <t>12a-Hydroxydolineone</t>
  </si>
  <si>
    <t>12a-羟基多啉酮</t>
  </si>
  <si>
    <t>HMDB0030756</t>
  </si>
  <si>
    <t>LMPK12060033</t>
  </si>
  <si>
    <t>28617-71-2</t>
  </si>
  <si>
    <t>C12OC=CC1=CC1C(=O)C3(O)C4=C(OCC3OC=1C=2)C=C1OCOC1=C4</t>
  </si>
  <si>
    <t>HLEAVDSSZUIWQI-UHFFFAOYSA-N</t>
  </si>
  <si>
    <t>Rotenoids</t>
  </si>
  <si>
    <t>鱼藤类化合物</t>
  </si>
  <si>
    <t>C19H12O7</t>
  </si>
  <si>
    <t>FT1722NR</t>
  </si>
  <si>
    <t>Gulonic acid</t>
  </si>
  <si>
    <t>D-古洛糖酸钠盐</t>
  </si>
  <si>
    <t>HMDB0003290</t>
  </si>
  <si>
    <t>C00800</t>
  </si>
  <si>
    <t>20246-53-1</t>
  </si>
  <si>
    <t>OC[C@@H](O)[C@H](O)[C@@H](O)[C@@H](O)C(O)=O</t>
  </si>
  <si>
    <t>RGHNJXZEOKUKBD-KKQCNMDGSA-N</t>
  </si>
  <si>
    <t>FT4075PR</t>
  </si>
  <si>
    <t>3-Oxo-14,15-dehydrorhazinilam</t>
  </si>
  <si>
    <t>3-氧代-14,15-脱氢哈嗪酰胺</t>
  </si>
  <si>
    <t>HMDB0039105</t>
  </si>
  <si>
    <t>139955-87-6</t>
  </si>
  <si>
    <t>CCC12CCC(=O)NC3=C(C=CC=C3)C3=C1N(C=C3)C(=O)C=C2</t>
  </si>
  <si>
    <t>KJVWQAWQDQXSLV-UHFFFAOYSA-N</t>
  </si>
  <si>
    <t>C19H18N2O2</t>
  </si>
  <si>
    <t>FT6527PR</t>
  </si>
  <si>
    <t>Gracilosulfate F</t>
  </si>
  <si>
    <t>甘草硫酸酯F</t>
  </si>
  <si>
    <t>LMST05020057</t>
  </si>
  <si>
    <t>C1C[C@H](OS(O)(=O)=O)[C@H](O)C2=CC[C@@]3([H])[C@]4([H])[C@H](O)C[C@H]([C@H](C)C[C@@H](O)C(=C)C(C)C)[C@@]4(C)C[C@H](O)[C@]3([H])[C@@]12C</t>
  </si>
  <si>
    <t>PGCDDZDDLHMXLB-YFQPGMQCSA-N</t>
  </si>
  <si>
    <t>131.3151, 131.3266, 205.3964, 205.4165, 234.2904, 275.4145, 302.7054, 305.3138, 525.2873, 526.2902</t>
  </si>
  <si>
    <t>C28H46O8S</t>
  </si>
  <si>
    <t>FT3822PR</t>
  </si>
  <si>
    <t>Strobilurin A</t>
  </si>
  <si>
    <t>甲氧基丙烯酸酯A</t>
  </si>
  <si>
    <t>HMDB0030420</t>
  </si>
  <si>
    <t>52110-55-1</t>
  </si>
  <si>
    <t>CO\C=C(\C(\C)=C\C=C/C1=CC=CC=C1)/C(=O)OC</t>
  </si>
  <si>
    <t>JSCQSBGXKRTPHZ-VTCBNAHJSA-N</t>
  </si>
  <si>
    <t>276.0082, 276.0884, 276.1591, 276.2130, 276.2304, 276.2499, 277.1627, 277.3112, 277.3504, 290.0505</t>
  </si>
  <si>
    <t>C16H18O3</t>
  </si>
  <si>
    <t>FT2599PR</t>
  </si>
  <si>
    <t>Homocystamine</t>
  </si>
  <si>
    <t>3,3'-二硫代双丙胺</t>
  </si>
  <si>
    <t>HMDB0253204</t>
  </si>
  <si>
    <t>NCCCSSCCCN</t>
  </si>
  <si>
    <t>RSNVLCAXJNGKPQ-UHFFFAOYSA-N</t>
  </si>
  <si>
    <t>C6H16N2S2</t>
  </si>
  <si>
    <t>FT1924NR</t>
  </si>
  <si>
    <t>2-(2-Aminoethyl)thiazole</t>
  </si>
  <si>
    <t>2-氨乙基噻唑</t>
  </si>
  <si>
    <t>HMDB0245320</t>
  </si>
  <si>
    <t>C17927</t>
  </si>
  <si>
    <t>18453-07-1</t>
  </si>
  <si>
    <t>NCCC1=NC=CS1</t>
  </si>
  <si>
    <t>TWZOYAWHWDRMEZ-UHFFFAOYSA-N</t>
  </si>
  <si>
    <t>C5H8N2S</t>
  </si>
  <si>
    <t>FT4779PR</t>
  </si>
  <si>
    <t>3-(4-(2-Dimethylamino-1-methylethoxy)phenyl)-1H-pyrazolo(3,4-b)pyridine-1-acetic acid</t>
  </si>
  <si>
    <t>3-(4-(2-二甲氨基-1-甲基乙氧基)苯基)-1H-吡唑并(3,4-b)吡啶-1-乙酸</t>
  </si>
  <si>
    <t>HMDB0244637</t>
  </si>
  <si>
    <t>CC(CN(C)C)OC1=CC=C(C=C1)C1=NN(CC(O)=O)C2=C1C=CC=N2</t>
  </si>
  <si>
    <t>DYLPVOLNSXUKPG-UHFFFAOYSA-N</t>
  </si>
  <si>
    <t>C19H22N4O3</t>
  </si>
  <si>
    <t>FT3692PR</t>
  </si>
  <si>
    <t>Melatonin radical</t>
  </si>
  <si>
    <t>褪黑素自由基</t>
  </si>
  <si>
    <t>HMDB0060070</t>
  </si>
  <si>
    <t>COC1=CC2=C(N[CH]C2(O)CCN=C(C)O)C=C1</t>
  </si>
  <si>
    <t>SQNQBXWYHXYLQX-UHFFFAOYSA-N</t>
  </si>
  <si>
    <t>C13H17N2O3</t>
  </si>
  <si>
    <t>FT2122NR</t>
  </si>
  <si>
    <t>Isamoxole</t>
  </si>
  <si>
    <t>艾沙莫索</t>
  </si>
  <si>
    <t>HMDB0253591</t>
  </si>
  <si>
    <t>CCCCN(C(=O)C(C)C)C1=NC(C)=CO1</t>
  </si>
  <si>
    <t>VMBNXRJYPJRJIU-UHFFFAOYSA-N</t>
  </si>
  <si>
    <t>138.3974, 140.1082, 145.0615, 198.7475, 207.1499, 225.1596, 226.5006, 251.1394, 269.1509, 269.2131</t>
  </si>
  <si>
    <t>C12H20N2O2</t>
  </si>
  <si>
    <t>FT2293PR</t>
  </si>
  <si>
    <t>2-(4-Nitrobenzylidene)malononitrile</t>
  </si>
  <si>
    <t>2-(4-硝基亚苄基)丙二腈</t>
  </si>
  <si>
    <t>HMDB0245723</t>
  </si>
  <si>
    <t>[O-][N+](=O)C1=CC=C(C=C(C#N)C#N)C=C1</t>
  </si>
  <si>
    <t>BDTIGNGBIBFXSE-UHFFFAOYSA-N</t>
  </si>
  <si>
    <t>C10H5N3O2</t>
  </si>
  <si>
    <t>FT3081PR</t>
  </si>
  <si>
    <t>1,3-Dicyclohexylurea</t>
  </si>
  <si>
    <t>N,N-二环己脲</t>
  </si>
  <si>
    <t>HMDB0244166</t>
  </si>
  <si>
    <t>2387-23-7</t>
  </si>
  <si>
    <t>O=C(NC1CCCCC1)NC1CCCCC1</t>
  </si>
  <si>
    <t>ADFXKUOMJKEIND-UHFFFAOYSA-N</t>
  </si>
  <si>
    <t>225.0912, 225.1274, 225.1957, 225.2163, 225.2480, 226.0463, 226.0707, 226.1987, 227.0395, 237.3493</t>
  </si>
  <si>
    <t>C13H24N2O</t>
  </si>
  <si>
    <t>FT2026NR</t>
  </si>
  <si>
    <t>Liqcoumarin</t>
  </si>
  <si>
    <t>HMDB0029518</t>
  </si>
  <si>
    <t>36695-19-9</t>
  </si>
  <si>
    <t>CC(=O)C1=C(O)C2=C(OC(=O)C=C2C)C=C1</t>
  </si>
  <si>
    <t>UMNMVZFOKSPTJN-UHFFFAOYSA-N</t>
  </si>
  <si>
    <t>C12H10O4</t>
  </si>
  <si>
    <t>FT1586NR</t>
  </si>
  <si>
    <t>Cyclobrassinin</t>
  </si>
  <si>
    <t>环油菜素</t>
  </si>
  <si>
    <t>HMDB0033352</t>
  </si>
  <si>
    <t>105748-58-1</t>
  </si>
  <si>
    <t>CSC1=NCC2=C(NC3=C2C=CC=C3)S1</t>
  </si>
  <si>
    <t>MVMVWNMQGBYIDM-UHFFFAOYSA-N</t>
  </si>
  <si>
    <t>C11H10N2S2</t>
  </si>
  <si>
    <t>FT4282PR</t>
  </si>
  <si>
    <t>Nile red</t>
  </si>
  <si>
    <t>尼罗红</t>
  </si>
  <si>
    <t>HMDB0255607</t>
  </si>
  <si>
    <t>CCN(CC)C1=CC2=C(C=C1)N=C1C(O2)=CC(=O)C2=CC=CC=C12</t>
  </si>
  <si>
    <t>VOFUROIFQGPCGE-UHFFFAOYSA-N</t>
  </si>
  <si>
    <t>C20H18N2O2</t>
  </si>
  <si>
    <t>FT3574PR</t>
  </si>
  <si>
    <t>s-Nitroso-n-acetyl-d-penicillamine</t>
  </si>
  <si>
    <t>N-乙酰基-3-(硫代亚硝基)-DL-缬氨酸</t>
  </si>
  <si>
    <t>HMDB0250051</t>
  </si>
  <si>
    <t>67776-06-1</t>
  </si>
  <si>
    <t>CC(=O)NC(C(O)=O)C(C)(C)SN=O</t>
  </si>
  <si>
    <t>ZIIQCSMRQKCOCT-UHFFFAOYSA-N</t>
  </si>
  <si>
    <t>230.8932, 235.8702, 235.8947, 235.9973, 253.8798, 258.8868, 259.0859, 259.1156, 259.1494, 259.2037</t>
  </si>
  <si>
    <t>C7H12N2O4S</t>
  </si>
  <si>
    <t>FT7909PR</t>
  </si>
  <si>
    <t>Sulfated Dihydromenaquinone-9</t>
  </si>
  <si>
    <t>硫酸化二氢甲萘醌-9</t>
  </si>
  <si>
    <t>LMPR02010038</t>
  </si>
  <si>
    <t>C1(C/C=C(\C)/CCCC(C)CC/C=C(\C)/CC/C=C(\C)/CC/C=C(\C)/CC/C=C(\C)/CC/C=C(\C)/CC/C=C(\C)/CC/C=C(\C)/COS(O)(=O)=O)C(=O)C2=C(C=CC=C2)C(=O)C=1C</t>
  </si>
  <si>
    <t>YLFBUPJPGZEDIM-HSHHTCJHSA-N</t>
  </si>
  <si>
    <t>C56H82O6S</t>
  </si>
  <si>
    <t>FT5108PR</t>
  </si>
  <si>
    <t>C17 Sphingosine-1-phosphate</t>
  </si>
  <si>
    <t>C17-1-磷酸鞘氨醇</t>
  </si>
  <si>
    <t>LMSP01050007</t>
  </si>
  <si>
    <t>P(OC[C@]([H])(N)[C@]([H])(O)/C=C/CCCCCCCCCCCC)(=O)(O)O</t>
  </si>
  <si>
    <t>VITGNIYTXHNNNE-LHMZYYNSSA-N</t>
  </si>
  <si>
    <t>80.3271, 82.0653, 84.0749, 84.1284, 205.3966, 250.2527, 257.9729, 261.6285, 261.7738, 302.7099</t>
  </si>
  <si>
    <t>C17H36NO5P</t>
  </si>
  <si>
    <t>FT3309NR</t>
  </si>
  <si>
    <t>Gossypetin 3-O-sulfate</t>
  </si>
  <si>
    <t>3-O-硫酸棉素</t>
  </si>
  <si>
    <t>LMPK12113267</t>
  </si>
  <si>
    <t>C1(O)=C(O)C2OC(C3C=C(O)C(O)=CC=3)=C(OS(O)(=O)=O)C(=O)C=2C(O)=C1</t>
  </si>
  <si>
    <t>DKWTYAUCZMJXTJ-UHFFFAOYSA-N</t>
  </si>
  <si>
    <t>C15H10O11S</t>
  </si>
  <si>
    <t>FT3702NR</t>
  </si>
  <si>
    <t>Clofibryl glucuronide</t>
  </si>
  <si>
    <t>氯贝宁葡萄糖醛酸苷</t>
  </si>
  <si>
    <t>HMDB0250343</t>
  </si>
  <si>
    <t>CC(C)(OC1=CC=C(Cl)C=C1)C(=O)OC1OC(C(O)C(O)C1O)C(O)=O</t>
  </si>
  <si>
    <t>LCJVUUVMVSSIGZ-UHFFFAOYSA-N</t>
  </si>
  <si>
    <t>307.7845, 313.0653, 314.3339, 335.0465, 357.0280, 366.9848, 406.2865, 424.9512, 425.0171, 435.5462</t>
  </si>
  <si>
    <t>C16H19ClO9</t>
  </si>
  <si>
    <t>FT1459NR</t>
  </si>
  <si>
    <t>Brassicanal A</t>
  </si>
  <si>
    <t>芸苔醛A</t>
  </si>
  <si>
    <t>HMDB0038591</t>
  </si>
  <si>
    <t>C11048</t>
  </si>
  <si>
    <t>113866-44-7</t>
  </si>
  <si>
    <t>SC1=C(C=O)C2=CC=CC=C2N1</t>
  </si>
  <si>
    <t>ITVZJCAUYSGPDZ-UHFFFAOYSA-N</t>
  </si>
  <si>
    <t>C9H7NOS</t>
  </si>
  <si>
    <t>FT5850NR</t>
  </si>
  <si>
    <t>PIM1(19:2/18:0)</t>
  </si>
  <si>
    <t xml:space="preserve"> PIM1(19:2(9Z,12Z)/18:0)</t>
  </si>
  <si>
    <t>LMGP15010048</t>
  </si>
  <si>
    <t>[C@](COP(O[C@H]1[C@@H](O)[C@@H](O)[C@H](O)[C@@H](O)[C@@H]1O[C@@H]1[C@@H](O)[C@@H](O)[C@H](O)[C@@H](CO)O1)(=O)O)([H])(OC(CCCCCCCCCCCCCCCCC)=O)COC(CCCCCCC/C=C\C/C=C\CCCCCC)=O</t>
  </si>
  <si>
    <t>HINDKEPRDLRXNX-GBXMAZJZSA-N</t>
  </si>
  <si>
    <t>279.2329, 303.2324, 396.7916, 476.2769, 500.1005, 500.2775, 501.2810, 948.4788, 1019.6111, 1020.6108</t>
  </si>
  <si>
    <t>C52H95O18P</t>
  </si>
  <si>
    <t>FT1624NR</t>
  </si>
  <si>
    <t>Brassinin</t>
  </si>
  <si>
    <t>芸苔宁</t>
  </si>
  <si>
    <t>HMDB0033350</t>
  </si>
  <si>
    <t>105748-59-2</t>
  </si>
  <si>
    <t>CSC(=S)NCC1=CNC2=C1C=CC=C2</t>
  </si>
  <si>
    <t>QYKQWFZDEDFELK-UHFFFAOYSA-N</t>
  </si>
  <si>
    <t>C11H12N2S2</t>
  </si>
  <si>
    <t>FT2941PR</t>
  </si>
  <si>
    <t>3-(Pyridin-2-yldisulfanyl)propanoic acid</t>
  </si>
  <si>
    <t>3-(2-吡啶二硫代)丙酸</t>
  </si>
  <si>
    <t>HMDB0247198</t>
  </si>
  <si>
    <t>OC(=O)CCSSC1=CC=CC=N1</t>
  </si>
  <si>
    <t>DJBRKGZFUXKLKO-UHFFFAOYSA-N</t>
  </si>
  <si>
    <t>C8H9NO2S2</t>
  </si>
  <si>
    <t>FT3191PR</t>
  </si>
  <si>
    <t>Farfugin A</t>
  </si>
  <si>
    <t>法夫金A</t>
  </si>
  <si>
    <t>LMPR0103220001</t>
  </si>
  <si>
    <t>C1CC2C(C)=CC3OC=C(C)C=3C=2[C@@H](C)C1</t>
  </si>
  <si>
    <t>QUNSESJRLJEVEV-VIFPVBQESA-N</t>
  </si>
  <si>
    <t>C15H18O</t>
  </si>
  <si>
    <t>FT4339PR</t>
  </si>
  <si>
    <t>NOTA</t>
  </si>
  <si>
    <t>诺塔</t>
  </si>
  <si>
    <t>HMDB0255756</t>
  </si>
  <si>
    <t>OC(=O)CN1CCN(CC(O)=O)CCN(CC(O)=O)CC1</t>
  </si>
  <si>
    <t>JHALWMSZGCVVEM-UHFFFAOYSA-N</t>
  </si>
  <si>
    <t>C12H21N3O6</t>
  </si>
  <si>
    <t>FT4370NR</t>
  </si>
  <si>
    <t>Lyso-Gb1</t>
  </si>
  <si>
    <t>溶血酶-Gb1</t>
  </si>
  <si>
    <t>HMDB0242640</t>
  </si>
  <si>
    <t>CCCCCCCCCCCCCC=CC(O)C(N)COC1OC(CO)C(O)C(O)C1O</t>
  </si>
  <si>
    <t>HHJTWTPUPVQKNA-UHFFFAOYSA-N</t>
  </si>
  <si>
    <t>242.6978, 253.2533, 268.7295, 299.2581, 314.6436, 349.0202, 393.1687, 478.1964, 478.2900, 496.3038</t>
  </si>
  <si>
    <t>C24H47NO7</t>
  </si>
  <si>
    <t>FT3406PR</t>
  </si>
  <si>
    <t>Serylcysteine</t>
  </si>
  <si>
    <t>丝氨半胱氨酸</t>
  </si>
  <si>
    <t>HMDB0029036</t>
  </si>
  <si>
    <t>109481-41-6</t>
  </si>
  <si>
    <t>N[C@@H](CO)C(=O)N[C@@H](CS)C(O)=O</t>
  </si>
  <si>
    <t>FFOKMZOAVHEWET-IMJSIDKUSA-N</t>
  </si>
  <si>
    <t>FT4276PR</t>
  </si>
  <si>
    <t>Belinostat</t>
  </si>
  <si>
    <t>贝利司他(PXD101)</t>
  </si>
  <si>
    <t>HMDB0248932</t>
  </si>
  <si>
    <t>ONC(=O)C=CC1=CC(=CC=C1)S(=O)(=O)NC1=CC=CC=C1</t>
  </si>
  <si>
    <t>NCNRHFGMJRPRSK-UHFFFAOYSA-N</t>
  </si>
  <si>
    <t>C15H14N2O4S</t>
  </si>
  <si>
    <t>FT3344PR</t>
  </si>
  <si>
    <t>1-Hexadecene</t>
  </si>
  <si>
    <t>十六碳烯</t>
  </si>
  <si>
    <t>HMDB0243889</t>
  </si>
  <si>
    <t>CCCCCCCCCCCCCCC=C</t>
  </si>
  <si>
    <t>GQEZCXVZFLOKMC-UHFFFAOYSA-N</t>
  </si>
  <si>
    <t>C16H32</t>
  </si>
  <si>
    <t>FT3294NR</t>
  </si>
  <si>
    <t>Prizidilol</t>
  </si>
  <si>
    <t>普齐地洛</t>
  </si>
  <si>
    <t>HMDB0256780</t>
  </si>
  <si>
    <t>CC(C)(C)NCC(O)COC1=CC=CC=C1C1=NN=C(NN)C=C1</t>
  </si>
  <si>
    <t>QGONODUKOFNSOY-UHFFFAOYSA-N</t>
  </si>
  <si>
    <t>C17H25N5O2</t>
  </si>
  <si>
    <t>FT1221NR</t>
  </si>
  <si>
    <t>7-(Methylthio)heptanenitrile</t>
  </si>
  <si>
    <t>7-(甲硫基)庚腈</t>
  </si>
  <si>
    <t>HMDB0031890</t>
  </si>
  <si>
    <t>75272-78-5</t>
  </si>
  <si>
    <t>CSCCCCCCC#N</t>
  </si>
  <si>
    <t>MAMGGQVRQMBXMB-UHFFFAOYSA-N</t>
  </si>
  <si>
    <t>C8H15NS</t>
  </si>
  <si>
    <t>FT5443NR</t>
  </si>
  <si>
    <t>17-Dimethylaminogeldanamycin</t>
  </si>
  <si>
    <t>17-二甲氨基格尔德霉素</t>
  </si>
  <si>
    <t>HMDB0244766</t>
  </si>
  <si>
    <t>COC1CC(C)CC2=C(NCCN(C)C)C(=O)C=C(NC(=O)C(C)=CC=CC(OC)C(OC(N)=O)C(C)=CC(C)C1O)C2=O</t>
  </si>
  <si>
    <t>KUFRQPKVAWMTJO-UHFFFAOYSA-N</t>
  </si>
  <si>
    <t>72.2601, 72.2896, 112.9853, 180.9543, 180.9725, 205.3892, 205.4078, 248.9598, 330.8487, 373.8118</t>
  </si>
  <si>
    <t>C32H48N4O8</t>
  </si>
  <si>
    <t>FT2470NR</t>
  </si>
  <si>
    <t>Arctinone A</t>
  </si>
  <si>
    <t>牛蒡酮A</t>
  </si>
  <si>
    <t>HMDB0302306</t>
  </si>
  <si>
    <t>CC#CC1=CC=C(S1)C1=CC=C(S1)C(=O)CO</t>
  </si>
  <si>
    <t>SZHJGTIWJLCSCZ-UHFFFAOYSA-N</t>
  </si>
  <si>
    <t>Bi- and oligothiophenes</t>
  </si>
  <si>
    <t>双噻吩和寡噻吩</t>
  </si>
  <si>
    <t>92.9279, 102.9563, 132.0451, 148.0009, 155.1587, 212.0018, 213.0047, 296.9783, 297.2423, 298.2398</t>
  </si>
  <si>
    <t>C13H10O2S2</t>
  </si>
  <si>
    <t>FT2669PR</t>
  </si>
  <si>
    <t>Acephate</t>
  </si>
  <si>
    <t>乙酰甲胺磷</t>
  </si>
  <si>
    <t>HMDB0247901</t>
  </si>
  <si>
    <t>C14426</t>
  </si>
  <si>
    <t>30560-19-1</t>
  </si>
  <si>
    <t>COP(=O)(SC)N=C(C)O</t>
  </si>
  <si>
    <t>YASYVMFAVPKPKE-UHFFFAOYSA-N</t>
  </si>
  <si>
    <t>C4H10NO3PS</t>
  </si>
  <si>
    <t>FT4532PR</t>
  </si>
  <si>
    <t>2-(4-(Benzo[d][1,3]dioxol-5-yl)-2-tert-butyl-1H-imidazol-5-yl)-6-methylpyridine</t>
  </si>
  <si>
    <t>2-(4-(苯并[d][1,3]二氧杂环戊烯-5-基)-2-叔丁基-1H-咪唑-5-基)-6-甲基吡啶</t>
  </si>
  <si>
    <t>HMDB0257525</t>
  </si>
  <si>
    <t>CC1=CC=CC(=N1)C1=C(N=C(N1)C(C)(C)C)C1=CC2=C(OCO2)C=C1</t>
  </si>
  <si>
    <t>WGZOTBUYUFBEPZ-UHFFFAOYSA-N</t>
  </si>
  <si>
    <t>C20H21N3O2</t>
  </si>
  <si>
    <t>FT0862PR</t>
  </si>
  <si>
    <t>Cyclopentanethiol</t>
  </si>
  <si>
    <t>环戊硫醇</t>
  </si>
  <si>
    <t>HMDB0039771</t>
  </si>
  <si>
    <t>1679-07-8</t>
  </si>
  <si>
    <t>SC1CCCC1</t>
  </si>
  <si>
    <t>WVDYBOADDMMFIY-UHFFFAOYSA-N</t>
  </si>
  <si>
    <t>C5H10S</t>
  </si>
  <si>
    <t>FT3632NR</t>
  </si>
  <si>
    <t>2-O-Caffeoylhydroxycitric acid</t>
  </si>
  <si>
    <t>2-O-咖啡酰羟基柠檬酸</t>
  </si>
  <si>
    <t>HMDB0040572</t>
  </si>
  <si>
    <t>62345-87-3</t>
  </si>
  <si>
    <t>OC(=O)CC(O)(C(OC(=O)\C=C\C1=CC(O)=C(O)C=C1)C(O)=O)C(O)=O</t>
  </si>
  <si>
    <t>OUWOVSUGDPWIBY-DUXPYHPUSA-N</t>
  </si>
  <si>
    <t>C15H14O11</t>
  </si>
  <si>
    <t>FT4073PR</t>
  </si>
  <si>
    <t>N-Methyl-D-glucamine dithiocarbamate</t>
  </si>
  <si>
    <t>N-甲基-D-葡萄糖胺二硫代氨基甲酸酯</t>
  </si>
  <si>
    <t>HMDB0259510</t>
  </si>
  <si>
    <t>CN(CC(O)C(O)C(O)C(O)CO)C(S)=S</t>
  </si>
  <si>
    <t>IBVJFULICYLKCE-UHFFFAOYSA-N</t>
  </si>
  <si>
    <t>C8H17NO5S2</t>
  </si>
  <si>
    <t>FT4565NR</t>
  </si>
  <si>
    <t>Xanthosine 5-triphosphate</t>
  </si>
  <si>
    <t>5-三磷酸黄苷</t>
  </si>
  <si>
    <t>HMDB0000293</t>
  </si>
  <si>
    <t>C00700</t>
  </si>
  <si>
    <t>6253-56-1</t>
  </si>
  <si>
    <t>O[C@@H]1[C@@H](COP(O)(=O)OP(O)(=O)OP(O)(O)=O)O[C@H]([C@@H]1O)N1C=NC2=C1N=C(O)N=C2O</t>
  </si>
  <si>
    <t>CAEFEWVYEZABLA-UUOKFMHZSA-N</t>
  </si>
  <si>
    <t>C10H15N4O15P3</t>
  </si>
  <si>
    <t>FT4955PR</t>
  </si>
  <si>
    <t>Trimetrexate</t>
  </si>
  <si>
    <t>三甲曲沙</t>
  </si>
  <si>
    <t>HMDB0015288</t>
  </si>
  <si>
    <t>C11154</t>
  </si>
  <si>
    <t>52128-35-5</t>
  </si>
  <si>
    <t>COC1=CC(NCC2=C(C)C3=C(C=C2)N=C(N)N=C3N)=CC(OC)=C1OC</t>
  </si>
  <si>
    <t>NOYPYLRCIDNJJB-UHFFFAOYSA-N</t>
  </si>
  <si>
    <t>C19H23N5O3</t>
  </si>
  <si>
    <t>FT6840PR</t>
  </si>
  <si>
    <t>Norgarmultinone B</t>
  </si>
  <si>
    <t>诺加多酮B</t>
  </si>
  <si>
    <t>LMPK13070004</t>
  </si>
  <si>
    <t>C1=CC(C(=O)C2[C@@](C)(C)[C@H](C/C=C(\C)/C)C[C@@]3(C[C@H](C/C=C(\C)/C)[C@@](C)(C)OC=23)C(=O)CC/C=C(\C)/C)=CC=C1</t>
  </si>
  <si>
    <t>SBVJVVFLLCFBQZ-WNSQYSPKSA-N</t>
  </si>
  <si>
    <t>106.7903, 124.9998, 167.5585, 170.2383, 178.2760, 184.0725, 196.1957, 370.7113, 447.1541, 562.4216</t>
  </si>
  <si>
    <t>C37H52O3</t>
  </si>
  <si>
    <t>FT0405NR</t>
  </si>
  <si>
    <t>1,5-Naphthyridine</t>
  </si>
  <si>
    <t>1,5-萘啶</t>
  </si>
  <si>
    <t>HMDB0244238</t>
  </si>
  <si>
    <t>C1=CC2=C(C=CC=N2)N=C1</t>
  </si>
  <si>
    <t>VMLKTERJLVWEJJ-UHFFFAOYSA-N</t>
  </si>
  <si>
    <t>C8H6N2</t>
  </si>
  <si>
    <t>FT4547PR</t>
  </si>
  <si>
    <t>2-(6-carboxy-3,4,5-trihydroxyoxan-2-yl)propanedioic acid</t>
  </si>
  <si>
    <t>2-(6-羧基-3,4,5-三羟基氧杂环己烷-2-基)丙二酸</t>
  </si>
  <si>
    <t>O=C(O)C1OC(C(C(=O)O)C(=O)O)C(O)C(O)C1O</t>
  </si>
  <si>
    <t>XLTABVBFTXNXGH-UHFFFAOYSA-N</t>
  </si>
  <si>
    <t>FT2414NR</t>
  </si>
  <si>
    <t>1-Sulfooxymethylpyrene</t>
  </si>
  <si>
    <t>1-磺氧基甲基芘</t>
  </si>
  <si>
    <t>HMDB0244010</t>
  </si>
  <si>
    <t>OS(=O)(=O)OCC1=C2C=CC3=CC=CC4=C3C2=C(C=C1)C=C4</t>
  </si>
  <si>
    <t>JEHJDOIFMGNIQI-UHFFFAOYSA-N</t>
  </si>
  <si>
    <t>71.1435, 78.9588, 83.0135, 89.0240, 96.9691, 155.2850, 157.0110, 181.0502, 225.0398, 293.1147</t>
  </si>
  <si>
    <t>C17H12O4S</t>
  </si>
  <si>
    <t>FT5267PR</t>
  </si>
  <si>
    <t>Pyriminobac-methyl, (Z)-</t>
  </si>
  <si>
    <t>(Z)-甲基嘧草醚</t>
  </si>
  <si>
    <t>HMDB0259414</t>
  </si>
  <si>
    <t>CON=C(C)C1=C(C(=O)OC)C(OC2=NC(OC)=CC(OC)=N2)=CC=C1</t>
  </si>
  <si>
    <t>USSIUIGPBLPCDF-UHFFFAOYSA-N</t>
  </si>
  <si>
    <t>C17H19N3O6</t>
  </si>
  <si>
    <t>FT4669PR</t>
  </si>
  <si>
    <t>3-Amino-2-methoxynonadec-5-en-4-ol</t>
  </si>
  <si>
    <t>3-氨基-2-甲氧基十九烷-5-en-4-醇</t>
  </si>
  <si>
    <t>HMDB0257752</t>
  </si>
  <si>
    <t>CCCCCCCCCCCCCC=CC(O)C(N)C(C)OC</t>
  </si>
  <si>
    <t>PALMKPQNNCMQME-UHFFFAOYSA-N</t>
  </si>
  <si>
    <t>FT4713PR</t>
  </si>
  <si>
    <t>Arachin</t>
  </si>
  <si>
    <t>阿拉钦</t>
  </si>
  <si>
    <t>HMDB0302283</t>
  </si>
  <si>
    <t>COC1=CC=C\C(=C2\NC3=CC=CC=C3C(=N2)N2CCCCC2C)C1=O</t>
  </si>
  <si>
    <t>KTIOABYZDCQABV-CAPFRKAQSA-N</t>
  </si>
  <si>
    <t>C21H23N3O2</t>
  </si>
  <si>
    <t>FT3738PR</t>
  </si>
  <si>
    <t>2-Phenylethyl octanoate</t>
  </si>
  <si>
    <t>辛酸-2-苯乙酯</t>
  </si>
  <si>
    <t>HMDB0037719</t>
  </si>
  <si>
    <t>5457-70-5</t>
  </si>
  <si>
    <t>CCCCCCCC(=O)OCCC1=CC=CC=C1</t>
  </si>
  <si>
    <t>ASETYIALRXDVDF-UHFFFAOYSA-N</t>
  </si>
  <si>
    <t>226.1455, 228.4227, 235.2044, 253.1549, 254.1375, 270.3290, 271.1195, 271.1657, 271.2326, 271.2593</t>
  </si>
  <si>
    <t>FT5856PR</t>
  </si>
  <si>
    <t>Lactose-lysine</t>
  </si>
  <si>
    <t>乳糖-赖氨酸</t>
  </si>
  <si>
    <t>HMDB0253951</t>
  </si>
  <si>
    <t>NC(CCCCNCC(=O)C(O)C(OC1OC(CO)C(O)C(O)C1O)C(O)CO)C(O)=O</t>
  </si>
  <si>
    <t>XVJNMIGVIYENHK-UHFFFAOYSA-N</t>
  </si>
  <si>
    <t>C18H34N2O12</t>
  </si>
  <si>
    <t>FT4565PR</t>
  </si>
  <si>
    <t>N-(p-Toluenesulfonyl)-L-phenylalanine</t>
  </si>
  <si>
    <t xml:space="preserve"> N-(对甲苯磺酰基)-L-苯丙氨酸</t>
  </si>
  <si>
    <t>HMDB0244558</t>
  </si>
  <si>
    <t>CC1=CC=C(C=C1)S(=O)(=O)NC(CC1=CC=CC=C1)C(O)=O</t>
  </si>
  <si>
    <t>CGRCVIZBNRUWLY-UHFFFAOYSA-N</t>
  </si>
  <si>
    <t>275.0737, 302.7039, 319.5952, 320.0954, 341.4043, 359.5709, 414.5862, 457.0086, 521.3577, 633.5776</t>
  </si>
  <si>
    <t>C16H17NO4S</t>
  </si>
  <si>
    <t>FT3170PR</t>
  </si>
  <si>
    <t>2-Imidazolidinone, 4-hydroxy-1-(5-nitro-2-thiazolyl)-</t>
  </si>
  <si>
    <t>2-咪唑啉酮，4-羟基-1-(5-硝基-2-噻唑基)-</t>
  </si>
  <si>
    <t>HMDB0246460</t>
  </si>
  <si>
    <t>OC1CN(C(=O)N1)C1=NC=C(S1)[N+]([O-])=O</t>
  </si>
  <si>
    <t>NMJKHHQCDHSEIJ-UHFFFAOYSA-N</t>
  </si>
  <si>
    <t>C6H6N4O4S</t>
  </si>
  <si>
    <t>FT6092PR</t>
  </si>
  <si>
    <t>Petromylidene C</t>
  </si>
  <si>
    <t>亚石油基C</t>
  </si>
  <si>
    <t>LMST04010453</t>
  </si>
  <si>
    <t>C1/C(=C\C)/C(=O)C[C@]2([H])C[C@@H](O)[C@@]3([H])[C@]4([H])CC[C@H]([C@H](C)CCCOS(O)(=O)=O)[C@@]4(C)[C@@H](O)C[C@]3([H])[C@@]12C</t>
  </si>
  <si>
    <t>VFJIRIIPPFTHQR-AOUFIDPNSA-N</t>
  </si>
  <si>
    <t>475.8879, 475.9700, 481.2609, 486.6312, 486.7199, 492.1449, 497.7573, 503.4608, 509.1942, 509.2692</t>
  </si>
  <si>
    <t>C26H42O7S</t>
  </si>
  <si>
    <t>FT3530NR</t>
  </si>
  <si>
    <t>Tributylphosphine</t>
  </si>
  <si>
    <t>三丁基膦</t>
  </si>
  <si>
    <t>HMDB0259166</t>
  </si>
  <si>
    <t>CCCCP(CCCC)CCCC</t>
  </si>
  <si>
    <t>TUQOTMZNTHZOKS-UHFFFAOYSA-N</t>
  </si>
  <si>
    <t>Organic phosphines and derivatives</t>
  </si>
  <si>
    <t>有机膦及其衍生物</t>
  </si>
  <si>
    <t>212.8802, 254.1964, 255.1696, 255.2325, 256.2349, 256.2721, 257.2390, 302.6798, 302.7145, 331.3139</t>
  </si>
  <si>
    <t>C12H27P</t>
  </si>
  <si>
    <t>FT4311PR</t>
  </si>
  <si>
    <t>6-Methoxy-2-[(4-methylphenyl)methylsulfanyl]-1H-benzimidazole</t>
  </si>
  <si>
    <t xml:space="preserve"> 6-甲氧基-2-[(4-甲基苯基)甲硫基]-1H-苯并咪唑</t>
  </si>
  <si>
    <t>HMDB0249927</t>
  </si>
  <si>
    <t>COC1=CC2=C(C=C1)N=C(N2)SCC1=CC=C(C)C=C1</t>
  </si>
  <si>
    <t>HRUYBRGMRSNLNW-UHFFFAOYSA-N</t>
  </si>
  <si>
    <t>C16H16N2OS</t>
  </si>
  <si>
    <t>FT2955NR</t>
  </si>
  <si>
    <t>Cepharadione A</t>
  </si>
  <si>
    <t>7-甲基-5H-苯并[G]-1,3-二茂苯并[6,5,4-DE]喹啉-5,6(7H)-二酮</t>
  </si>
  <si>
    <t>HMDB0034364</t>
  </si>
  <si>
    <t>55610-01-0</t>
  </si>
  <si>
    <t>CN1C(=O)C(=O)C2=CC3=C(OCO3)C3=C2C1=CC1=CC=CC=C31</t>
  </si>
  <si>
    <t>RZIGKFTVXWUUCX-UHFFFAOYSA-N</t>
  </si>
  <si>
    <t>187.8300, 204.0662, 205.3789, 205.3985, 226.0482, 272.0535, 288.9755, 294.0358, 340.0004, 340.0525</t>
  </si>
  <si>
    <t>C18H11NO4</t>
  </si>
  <si>
    <t>FT1659NR</t>
  </si>
  <si>
    <t>4-Aminoantipyrine</t>
  </si>
  <si>
    <t>4-氨基安替比林-D3 (AA-D3)</t>
  </si>
  <si>
    <t>HMDB0246350</t>
  </si>
  <si>
    <t>83-07-8</t>
  </si>
  <si>
    <t>CN1N(C(=O)C(N)=C1C)C1=CC=CC=C1</t>
  </si>
  <si>
    <t>RLFWWDJHLFCNIJ-UHFFFAOYSA-N</t>
  </si>
  <si>
    <t>238.0770, 238.1343, 238.5785, 239.0763, 379.1374, 379.1531, 379.1939, 379.2504, 380.1970, 467.6723</t>
  </si>
  <si>
    <t>C11H13N3O</t>
  </si>
  <si>
    <t>FT6122PR</t>
  </si>
  <si>
    <t>1alpha-hydroxy-24-(dimethoxyphosphoryl)-25,26,27-trinorvitamin D3</t>
  </si>
  <si>
    <t>1α-羟基-24-（二甲氧基磷酰基）-25,26,27-三甲维生素 D3</t>
  </si>
  <si>
    <t>LMST03020073</t>
  </si>
  <si>
    <t>[C@@H]1(O)C(=C)/C(=C\C=C2\[C@]3([H])CC[C@@]([C@@](C)([H])CCCP(=O)(OC)OC)([H])[C@@]3(C)CCC\2)/C[C@@H](O)C1</t>
  </si>
  <si>
    <t>RWBIHPUGBYXCAN-KPJOBTTESA-N</t>
  </si>
  <si>
    <t>127.0322, 129.0482, 184.6155, 185.0980, 205.3996, 206.3618, 302.7122, 335.2533, 440.3299, 484.3204</t>
  </si>
  <si>
    <t>C26H43O5P</t>
  </si>
  <si>
    <t>FT2002NR</t>
  </si>
  <si>
    <t>Fenthion oxon</t>
  </si>
  <si>
    <t>倍硫磷-氧</t>
  </si>
  <si>
    <t>HMDB0252225</t>
  </si>
  <si>
    <t>COP(=O)(OC)OC1=CC(C)=C(SC)C=C1</t>
  </si>
  <si>
    <t>ZNRZGJAHNMGWQN-UHFFFAOYSA-N</t>
  </si>
  <si>
    <t>C10H15O4PS</t>
  </si>
  <si>
    <t>FT5178PR</t>
  </si>
  <si>
    <t>22-Oxodocosanoate</t>
  </si>
  <si>
    <t xml:space="preserve"> 22-氧代二十二烷酸酯</t>
  </si>
  <si>
    <t>C19624</t>
  </si>
  <si>
    <t>C(CCCCCCCCCCC(=O)O)CCCCCCCCCC=O</t>
  </si>
  <si>
    <t>PYBWSGBQPKXKOQ-UHFFFAOYSA-N</t>
  </si>
  <si>
    <t>C22H42O3</t>
  </si>
  <si>
    <t>FT1042NR</t>
  </si>
  <si>
    <t>1,3-Dinitro-5-nitroso-1,3,5-triazinane</t>
  </si>
  <si>
    <t>1,3-二硝基-5-亚硝基-1,3,5-三嗪</t>
  </si>
  <si>
    <t>HMDB0253136</t>
  </si>
  <si>
    <t>[O-][N+](=O)N1CN(CN(C1)[N+]([O-])=O)N=O</t>
  </si>
  <si>
    <t>LOSVOOKTCVILPF-UHFFFAOYSA-N</t>
  </si>
  <si>
    <t>Triazinanes</t>
  </si>
  <si>
    <t>1,3,5-triazinanes</t>
  </si>
  <si>
    <t xml:space="preserve"> 1,3,5-三嗪类</t>
  </si>
  <si>
    <t>C3H6N6O5</t>
  </si>
  <si>
    <t>FT1741PR</t>
  </si>
  <si>
    <t>Allantoxanamide</t>
  </si>
  <si>
    <t>4-羟基-6-氧代-1,6-二氢-1,3,5-三嗪-2-甲酰胺</t>
  </si>
  <si>
    <t>HMDB0247204</t>
  </si>
  <si>
    <t>NC(=O)C1=NC(=O)NC(=O)N1</t>
  </si>
  <si>
    <t>HJXJVORILFDIOT-UHFFFAOYSA-N</t>
  </si>
  <si>
    <t>C4H4N4O3</t>
  </si>
  <si>
    <t>FT4420PR</t>
  </si>
  <si>
    <t>2,3-Epoxyaflatoxin B1</t>
  </si>
  <si>
    <t>2,3-环氧黄曲霉毒素B1</t>
  </si>
  <si>
    <t>HMDB0006558</t>
  </si>
  <si>
    <t>C19586</t>
  </si>
  <si>
    <t>R-HSA-1430728,R-HSA-156580,R-HSA-156590,R-HSA-211859,R-HSA-211897,R-HSA-211945,R-HSA-211981,R-HSA-5423646</t>
  </si>
  <si>
    <t>Metabolism|Phase II - Conjugation of compounds|Glutathione conjugation|Biological oxidations|Cytochrome P450 - arranged by substrate type|Phase I - Functionalization of compounds|Xenobiotics|Aflatoxin activation and detoxification</t>
  </si>
  <si>
    <t>42583-46-0</t>
  </si>
  <si>
    <t>[H][C@]12O[C@@H]3O[C@@H]3[C@@]1([H])C1=C(O2)C=C(OC)C2=C1OC(=O)C1=C2CCC1=O</t>
  </si>
  <si>
    <t>KHBXRZGALJGBPA-IRWJRLHMSA-N</t>
  </si>
  <si>
    <t>C17H12O7</t>
  </si>
  <si>
    <t>FT6640PR</t>
  </si>
  <si>
    <t>Phenylalanocholic Acid</t>
  </si>
  <si>
    <t>苯丙氨胆酸</t>
  </si>
  <si>
    <t>LMST05050056</t>
  </si>
  <si>
    <t>[C@]12([C@H](O)C[C@]3([H])C[C@H](O)CC[C@]3(C)[C@@]1([H])C[C@H](O)[C@]1(C)[C@@]([H])([C@@](C)([H])CCC(N[C@@H](CC3=CC=CC=C3)C(O)=O)=O)CC[C@@]21[H])[H]</t>
  </si>
  <si>
    <t>IQKZHEVJCMKOED-RYHSAYMFSA-N</t>
  </si>
  <si>
    <t>C33H49NO6</t>
  </si>
  <si>
    <t>FT4947PR</t>
  </si>
  <si>
    <t>Millefin</t>
  </si>
  <si>
    <t>米莱芬</t>
  </si>
  <si>
    <t>HMDB0036689</t>
  </si>
  <si>
    <t>39262-27-6</t>
  </si>
  <si>
    <t>CC1C2C(OC1=O)\C=C(C)\C(C\C=C(C)\CC2OC(C)=O)OC(C)=O</t>
  </si>
  <si>
    <t>OHMAVTDVTQMMMR-BBYAVRKXSA-N</t>
  </si>
  <si>
    <t>C19H26O6</t>
  </si>
  <si>
    <t>FT5050NR</t>
  </si>
  <si>
    <t>Gracilosulfate B</t>
  </si>
  <si>
    <t>硫酸盐B</t>
  </si>
  <si>
    <t>LMST05020053</t>
  </si>
  <si>
    <t>C1C[C@H](OS(O)(=O)=O)[C@H](O)[C@@]23O[C@@H]2C[C@@]2([H])[C@]4([H])CC[C@H]([C@H](C)C[C@@H](O)[C@@H](C)C(C)C)[C@@]4(C)C[C@H](O)[C@]2([H])[C@@]13C</t>
  </si>
  <si>
    <t>VIBNKBPPUBJECE-LFPHYDSPSA-N</t>
  </si>
  <si>
    <t>C28H48O8S</t>
  </si>
  <si>
    <t>FT2773NR</t>
  </si>
  <si>
    <t>Fexinidazole</t>
  </si>
  <si>
    <t>非昔硝唑</t>
  </si>
  <si>
    <t>HMDB0252240</t>
  </si>
  <si>
    <t>CSC1=CC=C(OCC2=NC=C(N2C)[N+]([O-])=O)C=C1</t>
  </si>
  <si>
    <t>MIWWSGDADVMLTG-UHFFFAOYSA-N</t>
  </si>
  <si>
    <t>68.6984, 71.4890, 78.1722, 99.9255, 108.2744, 115.9204, 116.9283, 126.4103, 278.0605, 324.1037</t>
  </si>
  <si>
    <t>C12H13N3O3S</t>
  </si>
  <si>
    <t>FT4161NR</t>
  </si>
  <si>
    <t>LPA 17:0</t>
  </si>
  <si>
    <t>CCCCCCCCCCCCCCCCC(=O)OCC(O)COP(=O)(O)O</t>
  </si>
  <si>
    <t>AXKVUJMUBAXXKG-UHFFFAOYSA-N</t>
  </si>
  <si>
    <t>C20H41O7P</t>
  </si>
  <si>
    <t>FT3306PR</t>
  </si>
  <si>
    <t>2'-O-Methylcytidine</t>
  </si>
  <si>
    <t>2'-甲氧基胞苷</t>
  </si>
  <si>
    <t>HMDB0242132</t>
  </si>
  <si>
    <t>[H][C@]1(CO)O[C@@]([H])(N2C=CC(=N)N=C2O)[C@]([H])(OC)[C@]1([H])O</t>
  </si>
  <si>
    <t>RFCQJGFZUQFYRF-ZOQUXTDFSA-N</t>
  </si>
  <si>
    <t>C10H15N3O5</t>
  </si>
  <si>
    <t>FT1754NR</t>
  </si>
  <si>
    <t>Raspberry ketone sulfate</t>
  </si>
  <si>
    <t>CC(=O)CCc1ccc(OS(=O)(=O)O)cc1</t>
  </si>
  <si>
    <t>DKYUJXBWVQHZJQ-UHFFFAOYSA-N</t>
  </si>
  <si>
    <t>C10H12O5S</t>
  </si>
  <si>
    <t>FT1900NR</t>
  </si>
  <si>
    <t>4-Aminobenzoyl-(beta)-alanine</t>
  </si>
  <si>
    <t>对氨基苯甲酰-beta-丙氨酸</t>
  </si>
  <si>
    <t>HMDB0060757</t>
  </si>
  <si>
    <t>7377-08-4</t>
  </si>
  <si>
    <t>NC1=CC=C(C=C1)C(=O)NCCC(O)=O</t>
  </si>
  <si>
    <t>VHAXWROFYVPXMZ-UHFFFAOYSA-N</t>
  </si>
  <si>
    <t>206.0818, 221.0560, 223.0853, 224.7501, 235.0724, 236.0799, 253.0211, 253.0824, 253.1453, 254.0850</t>
  </si>
  <si>
    <t>C10H12N2O3</t>
  </si>
  <si>
    <t>FT1751NR</t>
  </si>
  <si>
    <t>1H,1'H-2,2'-Disulfanediyl-bis-imidazole</t>
  </si>
  <si>
    <t>1H,1'H-2,2'-二硫烷二基-双咪唑</t>
  </si>
  <si>
    <t>HMDB0245174</t>
  </si>
  <si>
    <t>N1C=CN=C1SSC1=NC=CN1</t>
  </si>
  <si>
    <t>UIOKLEZTPFZUMQ-UHFFFAOYSA-N</t>
  </si>
  <si>
    <t>C6H6N4S2</t>
  </si>
  <si>
    <t>FT1980PR</t>
  </si>
  <si>
    <t>L-Cyclo(alanylglycyl)</t>
  </si>
  <si>
    <t>3 - 甲基-2,5-二酮</t>
  </si>
  <si>
    <t>HMDB0031547</t>
  </si>
  <si>
    <t>4526-77-6</t>
  </si>
  <si>
    <t>CC1NC(=O)CNC1=O</t>
  </si>
  <si>
    <t>ICCHEGCKVBMSTF-UHFFFAOYSA-N</t>
  </si>
  <si>
    <t>166.9435, 167.0217, 167.0552, 167.0701, 167.0848, 167.1061, 167.1437, 167.1627, 167.9304, 169.0338</t>
  </si>
  <si>
    <t>FT4819PR</t>
  </si>
  <si>
    <t>Decylubiquinone</t>
  </si>
  <si>
    <t>癸基联醌</t>
  </si>
  <si>
    <t>HMDB0250928</t>
  </si>
  <si>
    <t>C15494</t>
  </si>
  <si>
    <t>55486-00-5</t>
  </si>
  <si>
    <t>CCCCCCCCCCC1=C(C)C(=O)C(OC)=C(OC)C1=O</t>
  </si>
  <si>
    <t>VMEGFMNVSYVVOM-UHFFFAOYSA-N</t>
  </si>
  <si>
    <t>124.6060, 135.9902, 147.7137, 200.6072, 209.2583, 281.1730, 302.6902, 302.7264, 340.2473, 340.3578</t>
  </si>
  <si>
    <t>FT3473NR</t>
  </si>
  <si>
    <t>Efegatran</t>
  </si>
  <si>
    <t>艾非加群</t>
  </si>
  <si>
    <t>HMDB0251713</t>
  </si>
  <si>
    <t>CNC(CC1=CC=CC=C1)C(=O)N1CCCC1C(=O)NC(CCCN=C(N)N)C=O</t>
  </si>
  <si>
    <t>KAGLWQUWUNBAOO-UHFFFAOYSA-N</t>
  </si>
  <si>
    <t>77.3788, 100.5631, 125.5322, 157.3824, 169.3824, 205.3899, 302.7056, 329.2495, 397.2352, 397.3277</t>
  </si>
  <si>
    <t>C21H32N6O3</t>
  </si>
  <si>
    <t>FT5868PR</t>
  </si>
  <si>
    <t>lysophosphatidic acid</t>
  </si>
  <si>
    <t>溶血磷脂酸</t>
  </si>
  <si>
    <t>HMDB0242470</t>
  </si>
  <si>
    <t>LMGP10050045</t>
  </si>
  <si>
    <t>R-HSA-1430728,R-HSA-1483206,R-HSA-1483257,R-HSA-162582,R-HSA-372790,R-HSA-373076,R-HSA-388396,R-HSA-416476,R-HSA-417957,R-HSA-418038,R-HSA-418594,R-HSA-419408,R-HSA-500792,R-HSA-556833</t>
  </si>
  <si>
    <t>Metabolism|Glycerophospholipid biosynthesis|Phospholipid metabolism|Signal Transduction|Signaling by GPCR|Class A/1 (Rhodopsin-like receptors)|GPCR downstream signalling|G alpha (q) signalling events|P2Y receptors|Nucleotide-like (purinergic) receptors|G alpha (i) signalling events|Lysosphingolipid and LPA receptors|GPCR ligand binding|Metabolism of lipids</t>
  </si>
  <si>
    <t>P(O)(O)(=O)OCC(O)COC(CCCCCCCC([H])=C([H])CCCCCCCC)=O</t>
  </si>
  <si>
    <t>WRGQSWVCFNIUNZ-UHFFFAOYSA-N</t>
  </si>
  <si>
    <t>75.7189, 79.0709, 105.3623, 205.4078, 205.7286, 215.2354, 239.4185, 302.6957, 402.6165, 454.2922</t>
  </si>
  <si>
    <t>C21H41O7P</t>
  </si>
  <si>
    <t>FT6369PR</t>
  </si>
  <si>
    <t>2-(8-[3]-ladderane-octanyl)-sn-glycero-3-phosphocholine</t>
  </si>
  <si>
    <t xml:space="preserve"> 2-(8-[3]-梯烷-辛基)-sn-甘油-3-磷酸胆碱</t>
  </si>
  <si>
    <t>LMGP01060026</t>
  </si>
  <si>
    <t>[C@](COP(=O)([O-])OCC[N+](C)(C)C)([H])(OCCCCCCCCC1CC2C3C4CCC4C3C2CC1)CO</t>
  </si>
  <si>
    <t>ZUCLYSUAXIPVLL-VMYIDWAWSA-N</t>
  </si>
  <si>
    <t>129.0483, 185.0986, 186.1051, 205.3936, 287.7012, 363.2818, 437.4487, 457.7357, 468.3612, 512.3528</t>
  </si>
  <si>
    <t>C28H52NO6P</t>
  </si>
  <si>
    <t>FT4897PR</t>
  </si>
  <si>
    <t>20-hydroxy-eicosanoic acid</t>
  </si>
  <si>
    <t>20-羟基二十烷酸</t>
  </si>
  <si>
    <t>LMFA01050075</t>
  </si>
  <si>
    <t>C(CCCCCCCCCCO)CCCCCCCCC(=O)O</t>
  </si>
  <si>
    <t>JLDIWYKSFMPIDW-UHFFFAOYSA-N</t>
  </si>
  <si>
    <t>C20H40O3</t>
  </si>
  <si>
    <t>FT3582NR</t>
  </si>
  <si>
    <t>2-(3,4-Dicarboxy-3-hydroxybutanoyl)oxypropane-1,2,3-tricarboxylic acid</t>
  </si>
  <si>
    <t>2-(3,4-二羧基-3-羟基丁酰基)氧基丙烷-1,2,3-三羧酸</t>
  </si>
  <si>
    <t>HMDB0257792</t>
  </si>
  <si>
    <t>OC(=O)CC(O)(CC(=O)OC(CC(O)=O)(CC(O)=O)C(O)=O)C(O)=O</t>
  </si>
  <si>
    <t>XETDEOPIDAAQST-UHFFFAOYSA-N</t>
  </si>
  <si>
    <t>Hexacarboxylic acids and derivatives</t>
  </si>
  <si>
    <t>六羧酸及其衍生物</t>
  </si>
  <si>
    <t>295.0540, 312.9549, 313.0649, 313.1489, 314.0677, 335.0463, 337.6260, 373.0028, 375.0027, 411.0338</t>
  </si>
  <si>
    <t>C12H14O13</t>
  </si>
  <si>
    <t>FT5813NR</t>
  </si>
  <si>
    <t>SM(d19:1/LTE4)</t>
  </si>
  <si>
    <t>鞘磷脂(d19:1/LTE4)</t>
  </si>
  <si>
    <t>HMDB0290677</t>
  </si>
  <si>
    <t>CCCCCCCCCCCCCC\C=C\[C@@H](O)[C@H](COP([O-])(=O)OCC[N+](C)(C)C)NC(=O)[C@@H](N)CS[C@H](\C=C\C=C\C=C/C\C=C/CCCCC)[C@@H](O)CCCC(O)=O</t>
  </si>
  <si>
    <t>IVWRBCKFDPNPTI-HJJDGKOQSA-N</t>
  </si>
  <si>
    <t>116.9221, 116.9284, 136.0018, 302.6774, 302.7098, 304.3189, 323.0233, 338.8072, 611.0123, 613.8096</t>
  </si>
  <si>
    <t>C47H86N3O9PS</t>
  </si>
  <si>
    <t>FT3370NR</t>
  </si>
  <si>
    <t>dUDP</t>
  </si>
  <si>
    <t>2'-脱氧尿苷-5'-二磷酸(DUDP)</t>
  </si>
  <si>
    <t>HMDB0001000</t>
  </si>
  <si>
    <t>C01346</t>
  </si>
  <si>
    <t>4208-67-7</t>
  </si>
  <si>
    <t>O[C@H]1C[C@@H](O[C@@H]1COP(O)(=O)OP(O)(O)=O)N1C=CC(=O)NC1=O</t>
  </si>
  <si>
    <t>QHWZTVCCBMIIKE-SHYZEUOFSA-N</t>
  </si>
  <si>
    <t>253.0156, 265.0188, 279.0354, 281.2097, 293.0149, 307.0303, 313.0646, 323.0264, 351.0205, 378.1514</t>
  </si>
  <si>
    <t>C9H14N2O11P2</t>
  </si>
  <si>
    <t>FT4163PR</t>
  </si>
  <si>
    <t>2'-hydroxy-N-(isobutyl)-tetradeca-2E,4E,8Z-trienamide</t>
  </si>
  <si>
    <t>2'-羟基-N-(异丁基)-十四-2E,4E,8Z-三烯酰胺</t>
  </si>
  <si>
    <t>LMFA08020322</t>
  </si>
  <si>
    <t>C(/C=C/C=C/CC/C=C\CCCCC)(=O)NCC(C)(C)O</t>
  </si>
  <si>
    <t>OMYRBCZBTQDJHF-RFYAXJIXSA-N</t>
  </si>
  <si>
    <t>C18H31NO2</t>
  </si>
  <si>
    <t>FT7155PR</t>
  </si>
  <si>
    <t>PG(P-16:0/12:0)</t>
  </si>
  <si>
    <t>磷脂酰甘油(P-16:0/12:0)</t>
  </si>
  <si>
    <t>LMGP04030001</t>
  </si>
  <si>
    <t>[C@]([H])(OC(CCCCCCCCCCC)=O)(COP(=O)(O)OC[C@@]([H])(O)CO)CO/C=C\CCCCCCCCCCCCCC</t>
  </si>
  <si>
    <t>LYMKAXUAYAJLFF-PFVTWMDXSA-N</t>
  </si>
  <si>
    <t>C34H67O9P</t>
  </si>
  <si>
    <t>FT1569NR</t>
  </si>
  <si>
    <t>2-(4-Methoxyphenyl)ethyl hydrogen sulfate</t>
  </si>
  <si>
    <t>2-(4-甲氧基苯基)乙基硫酸氢盐</t>
  </si>
  <si>
    <t>HMDB0304915</t>
  </si>
  <si>
    <t>COC1=CC=C(CCOS(O)(=O)=O)C=C1</t>
  </si>
  <si>
    <t>LIEMNMRUKMNDIT-UHFFFAOYSA-N</t>
  </si>
  <si>
    <t>Tyrosols and derivatives</t>
  </si>
  <si>
    <t>酪醇及其衍生物</t>
  </si>
  <si>
    <t>C9H12O5S</t>
  </si>
  <si>
    <t>FT6047PR</t>
  </si>
  <si>
    <t>Motolimod</t>
  </si>
  <si>
    <t>莫托莫德</t>
  </si>
  <si>
    <t>HMDB0254904</t>
  </si>
  <si>
    <t>CCCN(CCC)C(=O)C1=CC2=CC=C(C=C2N=C(N)C1)C1=CC=C(C=C1)C(=O)N1CCCC1</t>
  </si>
  <si>
    <t>QSPOQCXMGPDIHI-UHFFFAOYSA-N</t>
  </si>
  <si>
    <t>180.3848, 205.3970, 221.1380, 233.1848, 302.7035, 321.4854, 371.2256, 459.2796, 459.3546, 476.3059</t>
  </si>
  <si>
    <t>C28H34N4O2</t>
  </si>
  <si>
    <t>FT2908NR</t>
  </si>
  <si>
    <t>6-(2-hydroxy-3-methylbut-3-enyl)-5,7-dimethoxychromen-2-one</t>
  </si>
  <si>
    <t>C=C(C)C(O)Cc1c(OC)cc2oc(=O)ccc2c1OC</t>
  </si>
  <si>
    <t>RUCHZOCSENTTRO-UHFFFAOYSA-N</t>
  </si>
  <si>
    <t>245.0863, 245.1154, 246.1182, 249.9267, 267.1234, 289.1054, 290.1081, 324.9561, 334.9253, 335.1983</t>
  </si>
  <si>
    <t>FT5750PR</t>
  </si>
  <si>
    <t>CPA(18:0)</t>
  </si>
  <si>
    <t>每次转化费用(18:0)</t>
  </si>
  <si>
    <t>LMGP00000055</t>
  </si>
  <si>
    <t>[C@]1(COP(O1)(=O)O)([H])COC(CCCCCCCCCCCCCCCCC)=O</t>
  </si>
  <si>
    <t>BAAJXXGEGGUMMX-HXUWFJFHSA-N</t>
  </si>
  <si>
    <t>73.0693, 73.1868, 87.5876, 112.3762, 245.5021, 253.0741, 265.5768, 386.8523, 438.2979, 446.6275</t>
  </si>
  <si>
    <t>C21H41O6P</t>
  </si>
  <si>
    <t>FT1503NR</t>
  </si>
  <si>
    <t>Amidephrine</t>
  </si>
  <si>
    <t>化合物 T29980L</t>
  </si>
  <si>
    <t>HMDB0248297</t>
  </si>
  <si>
    <t>CNCC(O)C1=CC(NS(C)(=O)=O)=CC=C1</t>
  </si>
  <si>
    <t>ZHOWHMXTJFZXRB-UHFFFAOYSA-N</t>
  </si>
  <si>
    <t>Sulfanilides</t>
  </si>
  <si>
    <t>磺胺类</t>
  </si>
  <si>
    <t>225.0696, 225.1125, 225.5714, 226.0697, 238.6304, 302.5362, 351.1659, 352.1663, 353.1791, 354.1776</t>
  </si>
  <si>
    <t>FT4046PR</t>
  </si>
  <si>
    <t>Desacetyl-nitazoxanide</t>
  </si>
  <si>
    <t>噻唑烷</t>
  </si>
  <si>
    <t>HMDB0060597</t>
  </si>
  <si>
    <t>OC1=CC=CC=C1C(=O)NC1=NC=C(S1)[N+]([O-])=O</t>
  </si>
  <si>
    <t>FDTZUTSGGSRHQF-UHFFFAOYSA-N</t>
  </si>
  <si>
    <t>181.9895, 197.9855, 200.0016, 205.4010, 225.9808, 244.0138, 252.1672, 270.8125, 288.1928, 302.7006</t>
  </si>
  <si>
    <t>C10H7N3O4S</t>
  </si>
  <si>
    <t>FT7954PR</t>
  </si>
  <si>
    <t>Dodecaprenyl diphosphate</t>
  </si>
  <si>
    <t>十二异戊二烯二磷酸酯</t>
  </si>
  <si>
    <t>HMDB0012217</t>
  </si>
  <si>
    <t>CC(C)=CCC\C(C)=C\CC\C(C)=C\CC\C(C)=C\CC\C(C)=C\CC\C(C)=C\CC\C(C)=C\CC\C(C)=C\CC\C(C)=C\CC\C(C)=C\CC\C(C)=C\CC\C(C)=C\COP(O)(=O)OP(O)(O)=O</t>
  </si>
  <si>
    <t>WURMRKUXTPWSRM-GNZYJLLNSA-N</t>
  </si>
  <si>
    <t>504.3433, 510.3567, 520.3359, 522.3547, 523.3573, 536.3711, 625.4523, 679.4085, 1017.6858, 1018.6859</t>
  </si>
  <si>
    <t>C60H100O7P2</t>
  </si>
  <si>
    <t>FT5575PR</t>
  </si>
  <si>
    <t>Gamma-Tocopherol</t>
  </si>
  <si>
    <t>γ-生育酚</t>
  </si>
  <si>
    <t>HMDB0001492</t>
  </si>
  <si>
    <t>LMPR02020065</t>
  </si>
  <si>
    <t>C02483</t>
  </si>
  <si>
    <t>54-28-4</t>
  </si>
  <si>
    <t>C1(C)=C(C)C2O[C@@](CCC[C@]([H])(C)CCC[C@]([H])(C)CCCC(C)C)(C)CCC=2C=C1O</t>
  </si>
  <si>
    <t>QUEDXNHFTDJVIY-DQCZWYHMSA-N</t>
  </si>
  <si>
    <t>94.2729, 150.3803, 161.1361, 205.4006, 302.7012, 303.5460, 341.2655, 417.3116, 417.3760, 417.4425</t>
  </si>
  <si>
    <t>FT3331NR</t>
  </si>
  <si>
    <t>VERALIPRIDE</t>
  </si>
  <si>
    <t>维拉必利</t>
  </si>
  <si>
    <t>HMDB0259780</t>
  </si>
  <si>
    <t>COC1=CC(=CC(C(O)=NCC2CCCN2CC=C)=C1OC)S(N)(=O)=O</t>
  </si>
  <si>
    <t>RYJXBGGBZJGVQF-UHFFFAOYSA-N</t>
  </si>
  <si>
    <t>C17H25N3O5S</t>
  </si>
  <si>
    <t>FT5540NR</t>
  </si>
  <si>
    <t>3-Hydroxy-3-(3,4-dihydroxy-4-methylpentanoyl)-5-(3-methylbutyl)-1,2,4-cyclopentanetrione</t>
  </si>
  <si>
    <t>3-羟基-3-(3,4-二羟基-4-甲基戊酰基)-5-(3-甲基丁基)-1,2,4-环戊三酮</t>
  </si>
  <si>
    <t>HMDB0030107</t>
  </si>
  <si>
    <t>CC(C)CC(=O)C1=C(O)C(O)(C(=O)CC(O)C(C)(C)O)C(=O)C1=O</t>
  </si>
  <si>
    <t>VLAQNGQRJDXOQS-UHFFFAOYSA-N</t>
  </si>
  <si>
    <t>248.9612, 302.6994, 317.0197, 411.3044, 473.9562, 479.2922, 505.9019, 547.2795, 615.2642, 683.2543</t>
  </si>
  <si>
    <t>C16H22O8</t>
  </si>
  <si>
    <t>FT3525NR</t>
  </si>
  <si>
    <t>1-O-Caffeoyl-(b-D-glucose 6-O-sulfate)</t>
  </si>
  <si>
    <t>1-O-咖啡酰-(bD-葡萄糖6-O-硫酸酯)</t>
  </si>
  <si>
    <t>HMDB0041173</t>
  </si>
  <si>
    <t>OC1C(COS(O)(=O)=O)OC(OC(=O)\C=C\C2=CC(O)=C(O)C=C2)C(O)C1O</t>
  </si>
  <si>
    <t>GAIBMNYWJJJOQO-DUXPYHPUSA-N</t>
  </si>
  <si>
    <t>270.7975, 276.8316, 284.7750, 286.7730, 286.8610, 292.8271, 329.0370, 357.0308, 366.7590, 366.9954</t>
  </si>
  <si>
    <t>C15H18O12S</t>
  </si>
  <si>
    <t>FT5511NR</t>
  </si>
  <si>
    <t>3'-Sialyl-N-acetyllactosamine</t>
  </si>
  <si>
    <t>3'-唾液酸基-N-乙酰基乳糖胺</t>
  </si>
  <si>
    <t>HMDB0246107</t>
  </si>
  <si>
    <t>CC(=O)NC1C(O)OC(CO)C(OC2OC(CO)C(O)C(OC3(CC(O)C(NC(C)=O)C(O3)C(O)C(O)CO)C(O)=O)C2O)C1O</t>
  </si>
  <si>
    <t>GVXWGQLSDZJHFY-UHFFFAOYSA-N</t>
  </si>
  <si>
    <t>264.0572, 302.7065, 305.0896, 321.1219, 477.2041, 578.4112, 627.2196, 636.6422, 664.9421, 701.0707</t>
  </si>
  <si>
    <t>C25H42N2O19</t>
  </si>
  <si>
    <t>FT7807PR</t>
  </si>
  <si>
    <t>DG(a-25:0/20:4-3OH(5S,6R,15S)/0:0)</t>
  </si>
  <si>
    <t>甘油二酯(a-25:0/20:4-3OH(5S,6R,15S)/0:0)</t>
  </si>
  <si>
    <t>HMDB0298182</t>
  </si>
  <si>
    <t>CCCCC[C@H](O)\C=C\C=C/C=C/C=C/[C@H](O)[C@@H](O)CCCC(=O)O[C@@H](CO)COC(=O)CCCCCCCCCCCCCCCCCCCCC(C)CC</t>
  </si>
  <si>
    <t>QMTIWMYLMRSJNX-XFUNLZIOSA-N</t>
  </si>
  <si>
    <t>FT4091PR</t>
  </si>
  <si>
    <t>n-methyl-2-(4'-methylaminophenyl)-6-hydroxybenzothiazole</t>
  </si>
  <si>
    <t>n-甲基-2-(4'-甲氨基苯基)-6-羟基苯并噻唑</t>
  </si>
  <si>
    <t>HMDB0255169</t>
  </si>
  <si>
    <t>CNC1=CC=C(C=C1)C1SC2=C(C=CC(O)=C2)N1C</t>
  </si>
  <si>
    <t>OKPLJXUHPYGZAL-UHFFFAOYSA-N</t>
  </si>
  <si>
    <t>C15H16N2OS</t>
  </si>
  <si>
    <t>FT4676PR</t>
  </si>
  <si>
    <t>Furoparadine</t>
  </si>
  <si>
    <t>呋罗定</t>
  </si>
  <si>
    <t>HMDB0041087</t>
  </si>
  <si>
    <t>161161-72-4</t>
  </si>
  <si>
    <t>COC1=C(O)C=CC2=C1N(C)C1=C(C(O)=CC3=C1C=CO3)C2=O</t>
  </si>
  <si>
    <t>YVQYEEOGMKSXAW-UHFFFAOYSA-N</t>
  </si>
  <si>
    <t>C17H13NO5</t>
  </si>
  <si>
    <t>FT2324NR</t>
  </si>
  <si>
    <t>Arctinone A acetate</t>
  </si>
  <si>
    <t>牛蒡酮A醋酸酯</t>
  </si>
  <si>
    <t>HMDB0302307</t>
  </si>
  <si>
    <t>CC#CC1=CC=C(S1)C1=CC=C(S1)C(=O)COC(C)=O</t>
  </si>
  <si>
    <t>FTJMUOBDALJHSD-UHFFFAOYSA-N</t>
  </si>
  <si>
    <t>C15H12O3S2</t>
  </si>
  <si>
    <t>FT2716NR</t>
  </si>
  <si>
    <t>Diallyl 2,2'-oxydiethyl dicarbonate</t>
  </si>
  <si>
    <t>烯丙基二甘醇二碳酸酯</t>
  </si>
  <si>
    <t>HMDB0244610</t>
  </si>
  <si>
    <t>C=CCOC(=O)OCCOCCOC(=O)OCC=C</t>
  </si>
  <si>
    <t>JHQVCQDWGSXTFE-UHFFFAOYSA-N</t>
  </si>
  <si>
    <t>Carbonic acid diesters</t>
  </si>
  <si>
    <t>碳酸二酯</t>
  </si>
  <si>
    <t>C12H18O7</t>
  </si>
  <si>
    <t>FT3466NR</t>
  </si>
  <si>
    <t>Benzylpenicilloic acid</t>
  </si>
  <si>
    <t>苄青霉酸</t>
  </si>
  <si>
    <t>C16672</t>
  </si>
  <si>
    <t>CC1(C(NC(S1)C(C(=O)O)NC(=O)CC2=CC=CC=C2)C(=O)O)C</t>
  </si>
  <si>
    <t>HCYWNSXLUZRKJX-RWMBFGLXSA-N</t>
  </si>
  <si>
    <t>C16H20N2O5S</t>
  </si>
  <si>
    <t>FT0586PR</t>
  </si>
  <si>
    <t>1,3-Benzodioxole</t>
  </si>
  <si>
    <t>胡椒环</t>
  </si>
  <si>
    <t>HMDB0244156</t>
  </si>
  <si>
    <t>C1OC2=CC=CC=C2O1</t>
  </si>
  <si>
    <t>FTNJQNQLEGKTGD-UHFFFAOYSA-N</t>
  </si>
  <si>
    <t>103.0541, 105.0162, 105.0336, 105.0449, 105.0526, 105.0561, 105.0700, 105.1101, 106.0650, 118.0654</t>
  </si>
  <si>
    <t>FT4378NR</t>
  </si>
  <si>
    <t>1alpha,25-dihydroxy-26,27-dimethyl-22-thiavitamin D3</t>
  </si>
  <si>
    <t>1α，25-二羟基-26，27-二甲基-22-硫代维生素 D3</t>
  </si>
  <si>
    <t>LMST03020373</t>
  </si>
  <si>
    <t>[C@@H]1(O)C(=C)/C(=C\C=C2\[C@]3([H])CC[C@@]([C@@](C)([H])SCCC(O)(CC)CC)([H])[C@@]3(C)CCC\2)/C[C@@H](O)C1</t>
  </si>
  <si>
    <t>FCVBMDNXQPPSEE-BANFDOQOSA-N</t>
  </si>
  <si>
    <t>249.2022, 253.3321, 267.1886, 316.2098, 333.6129, 411.2907, 429.2989, 433.2709, 451.2828, 497.2866</t>
  </si>
  <si>
    <t>C28H46O3S</t>
  </si>
  <si>
    <t>FT4476PR</t>
  </si>
  <si>
    <t>Phytol</t>
  </si>
  <si>
    <t>植物醇</t>
  </si>
  <si>
    <t>HMDB0002019</t>
  </si>
  <si>
    <t>LMPR0104010002</t>
  </si>
  <si>
    <t>C01389</t>
  </si>
  <si>
    <t>150-86-7</t>
  </si>
  <si>
    <t>[C@H](C)(CCC/C(/C)=C/CO)CCC[C@H](C)CCCC(C)C</t>
  </si>
  <si>
    <t>BOTWFXYSPFMFNR-PYDDKJGSSA-N</t>
  </si>
  <si>
    <t>C20H40O</t>
  </si>
  <si>
    <t>FT5668PR</t>
  </si>
  <si>
    <t>Hexadecanedioic acid mono-L-carnitine ester</t>
  </si>
  <si>
    <t>十六烷二酸单左旋肉碱酯</t>
  </si>
  <si>
    <t>HMDB0000712</t>
  </si>
  <si>
    <t>42150-38-9</t>
  </si>
  <si>
    <t>C[N+](C)(C)CC(CC([O-])=O)OC(=O)CCCCCCCCCCCCCCC(O)=O</t>
  </si>
  <si>
    <t>UNHCPLSWMNPZTD-UHFFFAOYSA-N</t>
  </si>
  <si>
    <t>C23H43NO6</t>
  </si>
  <si>
    <t>FT7394PR</t>
  </si>
  <si>
    <t>2,12,14,16,17-pentachlorotetracosane-1,15-disulfate</t>
  </si>
  <si>
    <t>2,12,14,16,17-五氯二十四烷-1,15-二硫酸盐</t>
  </si>
  <si>
    <t>LMFA00000024</t>
  </si>
  <si>
    <t>C(CCC)CCCC(Cl)C(Cl)C(OS(O)(=O)=O)C(Cl)CC(Cl)CCCCCCCCCC(Cl)COS(O)(=O)=O</t>
  </si>
  <si>
    <t>WAZWQAUPFQVNCE-UHFFFAOYSA-N</t>
  </si>
  <si>
    <t>315.0797, 341.3994, 372.5801, 395.5310, 403.0061, 538.2893, 571.0362, 587.6978, 606.6428, 739.0616</t>
  </si>
  <si>
    <t>C24H45Cl5O8S2</t>
  </si>
  <si>
    <t>FT2996PR</t>
  </si>
  <si>
    <t>N-(5-Methyl-3-oxohexyl)alanine</t>
  </si>
  <si>
    <t>N-(5-甲基-3-氧代己基)丙氨酸</t>
  </si>
  <si>
    <t>HMDB0041540</t>
  </si>
  <si>
    <t>CC(C)CC(=O)CCNC(C)C(O)=O</t>
  </si>
  <si>
    <t>VHHUMCJOXTZJOX-UHFFFAOYSA-N</t>
  </si>
  <si>
    <t>C10H19NO3</t>
  </si>
  <si>
    <t>FT7345PR</t>
  </si>
  <si>
    <t>20:1 Campesterol ester</t>
  </si>
  <si>
    <t>20:1菜油甾醇酯</t>
  </si>
  <si>
    <t>LMST01020073</t>
  </si>
  <si>
    <t>C1[C@H](OC(=O)CCCCCCCCC/C=C\CCCCCCCC)CC2=CC[C@@]3([H])[C@]4([H])CC[C@]([H])([C@]([H])(C)CC[C@@H](C)C(C)C)[C@@]4(C)CC[C@]3([H])[C@@]2(C)C1</t>
  </si>
  <si>
    <t>NVTYTOIVVYCWAI-DOCOAEOOSA-N</t>
  </si>
  <si>
    <t>C48H84O2</t>
  </si>
  <si>
    <t>FT1175NR</t>
  </si>
  <si>
    <t>吩噻嗪</t>
  </si>
  <si>
    <t>HMDB0302434</t>
  </si>
  <si>
    <t>N1C2=CC=CC=C2SC2=CC=CC=C12</t>
  </si>
  <si>
    <t>WJFKNYWRSNBZNX-UHFFFAOYSA-N</t>
  </si>
  <si>
    <t>C12H9NS</t>
  </si>
  <si>
    <t>FT1699NR</t>
  </si>
  <si>
    <t>1-(10H-Phenothiazin-2-yl)ethanone</t>
  </si>
  <si>
    <t>2-乙酰基吩噻嗪</t>
  </si>
  <si>
    <t>HMDB0244969</t>
  </si>
  <si>
    <t>CC(=O)C1=CC2=C(SC3=CC=CC=C3N2)C=C1</t>
  </si>
  <si>
    <t>JWGBOHJGWOPYCL-UHFFFAOYSA-N</t>
  </si>
  <si>
    <t>89.0241, 96.9597, 121.0441, 128.0350, 129.0383, 150.0166, 180.0659, 181.5188, 240.0484, 240.0755</t>
  </si>
  <si>
    <t>C14H11NOS</t>
  </si>
  <si>
    <t>FT5310PR</t>
  </si>
  <si>
    <t>5-(3-Methoxy-4-((4-methoxybenzyl)oxy)benzyl)pyrimidine-2,4-diamine</t>
  </si>
  <si>
    <t>5-(3-甲氧基-4-((4-甲氧基苄基)氧基)苄基)嘧啶-2,4-二胺</t>
  </si>
  <si>
    <t>HMDB0252989</t>
  </si>
  <si>
    <t>COC1=CC=C(COC2=C(OC)C=C(CC3=CN=C(N)N=C3N)C=C2)C=C1</t>
  </si>
  <si>
    <t>MYQAUKPBNJWPIE-UHFFFAOYSA-N</t>
  </si>
  <si>
    <t>64.2675, 70.0545, 72.8190, 77.3868, 79.4771, 162.5959, 200.3341, 254.5642, 384.2026, 405.3728</t>
  </si>
  <si>
    <t>C20H22N4O3</t>
  </si>
  <si>
    <t>FT3458NR</t>
  </si>
  <si>
    <t>DG(i-13:0/8:0/0:0)</t>
  </si>
  <si>
    <t>甘油二酯(i-13:0/8:0/0:0)</t>
  </si>
  <si>
    <t>HMDB0093141</t>
  </si>
  <si>
    <t>[H][C@](CO)(COC(=O)CCCCCCCCCC(C)C)OC(=O)CCCCCCC</t>
  </si>
  <si>
    <t>SXSDIVVWQKUYPP-QFIPXVFZSA-N</t>
  </si>
  <si>
    <t>C24H46O5</t>
  </si>
  <si>
    <t>FT7937PR</t>
  </si>
  <si>
    <t>TG(17:2/22:5/22:6)[iso6]</t>
  </si>
  <si>
    <t>甘油三酯(17:2/22:5/22:6)[iso6]</t>
  </si>
  <si>
    <t>LMGL03012288</t>
  </si>
  <si>
    <t>C(OC(=O)CC/C=C\C/C=C\C/C=C\C/C=C\C/C=C\C/C=C\CC)[C@]([H])(OC(CCCCC/C=C\C/C=C\C/C=C\C/C=C\C/C=C\CC)=O)COC(CCCCCCC/C=C\C/C=C\CCCC)=O</t>
  </si>
  <si>
    <t>FPTZMJNGKUBMPF-QQDINYBUSA-N</t>
  </si>
  <si>
    <t>82.4935, 86.0969, 104.1074, 125.0000, 184.0728, 480.3465, 501.0381, 522.3542, 919.8939, 1001.7028</t>
  </si>
  <si>
    <t>C64H98O6</t>
  </si>
  <si>
    <t>FT3523NR</t>
  </si>
  <si>
    <t>4-carboxy-2-hydroxy-cis,cis-muconic acid</t>
  </si>
  <si>
    <t>4-羧基-2-羟基-顺,顺-粘康酸</t>
  </si>
  <si>
    <t>LMFA01170072</t>
  </si>
  <si>
    <t>C04324</t>
  </si>
  <si>
    <t>C(/C(=O)O)(=C\C(=O)O)\C=C(\O)/C(=O)O</t>
  </si>
  <si>
    <t>QWLUKZXOQAQUFQ-DXLKSGPOSA-N</t>
  </si>
  <si>
    <t>79.2539, 81.5752, 86.6446, 102.1174, 183.4769, 233.0785, 277.0692, 302.7014, 335.0275, 403.0155</t>
  </si>
  <si>
    <t>C7H6O7</t>
  </si>
  <si>
    <t>FT7940PR</t>
  </si>
  <si>
    <t>TG(17:0/22:6/22:6)[iso3]</t>
  </si>
  <si>
    <t>甘油三酯(17:0/22:6/22:6)[iso3]</t>
  </si>
  <si>
    <t>LMGL03012243</t>
  </si>
  <si>
    <t>C(OC(=O)CC/C=C\C/C=C\C/C=C\C/C=C\C/C=C\C/C=C\CC)[C@]([H])(OC(CC/C=C\C/C=C\C/C=C\C/C=C\C/C=C\C/C=C\CC)=O)COC(CCCCCCCCCCCCCCCC)=O</t>
  </si>
  <si>
    <t>SKPXOOYIHNEJBD-CYKSKMDPSA-N</t>
  </si>
  <si>
    <t>254.6189, 302.6914, 481.3476, 482.3592, 522.3540, 523.3602, 524.3654, 780.9363, 784.6962, 1003.7111</t>
  </si>
  <si>
    <t>C64H100O6</t>
  </si>
  <si>
    <t>FT4148PR</t>
  </si>
  <si>
    <t>Blebbistatin</t>
  </si>
  <si>
    <t>布雷他汀</t>
  </si>
  <si>
    <t>HMDB0243556</t>
  </si>
  <si>
    <t>CC1=CC2=C(C=C1)N=C1N(CCC1(O)C2=O)C1=CC=CC=C1</t>
  </si>
  <si>
    <t>LZAXPYOBKSJSEX-UHFFFAOYSA-N</t>
  </si>
  <si>
    <t>Pyrroloquinolines</t>
  </si>
  <si>
    <t>吡咯并喹啉类</t>
  </si>
  <si>
    <t>C18H16N2O2</t>
  </si>
  <si>
    <t>FT1571NR</t>
  </si>
  <si>
    <t>Olprinone</t>
  </si>
  <si>
    <t>奥普力农</t>
  </si>
  <si>
    <t>HMDB0255959</t>
  </si>
  <si>
    <t>CC1=C(C=C(C#N)C(=O)N1)C1=CN2C=CN=C2C=C1</t>
  </si>
  <si>
    <t>JPAWFIIYTJQOKW-UHFFFAOYSA-N</t>
  </si>
  <si>
    <t>C14H10N4O</t>
  </si>
  <si>
    <t>FT2687PR</t>
  </si>
  <si>
    <t>DL-Ethionine</t>
  </si>
  <si>
    <t>DL-乙硫氨酸</t>
  </si>
  <si>
    <t>HMDB0251518</t>
  </si>
  <si>
    <t>CCSCCC(N)C(O)=O</t>
  </si>
  <si>
    <t>GGLZPLKKBSSKCX-UHFFFAOYSA-N</t>
  </si>
  <si>
    <t>FT5947PR</t>
  </si>
  <si>
    <t>LysoSM(d18:1)</t>
  </si>
  <si>
    <t>溶血鞘磷脂(d18:1)</t>
  </si>
  <si>
    <t>HMDB0006482</t>
  </si>
  <si>
    <t>C03640</t>
  </si>
  <si>
    <t>hsa00600</t>
  </si>
  <si>
    <t>Sphingolipid metabolism</t>
  </si>
  <si>
    <t>1670-26-4</t>
  </si>
  <si>
    <t>CCCCCCCCCCCCC\C=C\[C@@H](O)[C@@H](N)COP(=O)(O)OCC[N+](C)(C)C</t>
  </si>
  <si>
    <t>JLVSPVFPBBFMBE-HXSWCURESA-O</t>
  </si>
  <si>
    <t>C23H50N2O5P</t>
  </si>
  <si>
    <t>FT0314PR</t>
  </si>
  <si>
    <t>m-Cresol</t>
  </si>
  <si>
    <t>间甲酚</t>
  </si>
  <si>
    <t>HMDB0002048</t>
  </si>
  <si>
    <t>C01467</t>
  </si>
  <si>
    <t>108-39-4</t>
  </si>
  <si>
    <t>CC1=CC=CC(O)=C1</t>
  </si>
  <si>
    <t>RLSSMJSEOOYNOY-UHFFFAOYSA-N</t>
  </si>
  <si>
    <t>Cresols</t>
  </si>
  <si>
    <t>甲酚</t>
  </si>
  <si>
    <t>C7H8O</t>
  </si>
  <si>
    <t>FT1738NR</t>
  </si>
  <si>
    <t>1,8-Naphthalimide</t>
  </si>
  <si>
    <t>萘亚胺</t>
  </si>
  <si>
    <t>HMDB0244249</t>
  </si>
  <si>
    <t>OC1=NC(=O)C2=CC=CC3=C2C1=CC=C3</t>
  </si>
  <si>
    <t>XJHABGPPCLHLLV-UHFFFAOYSA-N</t>
  </si>
  <si>
    <t>Isoquinolones and derivatives</t>
  </si>
  <si>
    <t>异喹诺酮类及其衍生物</t>
  </si>
  <si>
    <t>C12H7NO2</t>
  </si>
  <si>
    <t>FT2781PR</t>
  </si>
  <si>
    <t>9Z,13-Tetradecadien-11-ynal</t>
  </si>
  <si>
    <t>LMFA06000180</t>
  </si>
  <si>
    <t>C(CCCCCCC/C=C\C#CC=C)(=O)[H]</t>
  </si>
  <si>
    <t>VHKRYAJKUGIJBD-WAYWQWQTSA-N</t>
  </si>
  <si>
    <t>FT3820NR</t>
  </si>
  <si>
    <t>27-hydroxy-cholesterol</t>
  </si>
  <si>
    <t>26-羟基胆固醇</t>
  </si>
  <si>
    <t>HMDB0062328</t>
  </si>
  <si>
    <t>LMST01010057</t>
  </si>
  <si>
    <t>C15610</t>
  </si>
  <si>
    <t>hsa00120,hsa04148,hsa04979</t>
  </si>
  <si>
    <t>Primary bile acid biosynthesis|Efferocytosis|Cholesterol metabolism</t>
  </si>
  <si>
    <t>R-HSA-1430728,R-HSA-156580,R-HSA-156584,R-HSA-192105,R-HSA-193807,R-HSA-194068,R-HSA-211859,R-HSA-211897,R-HSA-211945,R-HSA-211976,R-HSA-556833,R-HSA-8957322</t>
  </si>
  <si>
    <t>Metabolism|Phase II - Conjugation of compounds|Cytosolic sulfonation of small molecules|Synthesis of bile acids and bile salts|Synthesis of bile acids and bile salts via 27-hydroxycholesterol|Bile acid and bile salt metabolism|Biological oxidations|Cytochrome P450 - arranged by substrate type|Phase I - Functionalization of compounds|Endogenous sterols|Metabolism of lipids|Metabolism of steroids</t>
  </si>
  <si>
    <t>C1[C@]2(C)[C@@]3([H])CC[C@]4(C)[C@@]([H])([C@]([H])(C)CCCC(C)CO)CC[C@@]4([H])[C@]3([H])CC=C2C[C@@H](O)C1</t>
  </si>
  <si>
    <t>FYHRJWMENCALJY-CCDZVGGQSA-N</t>
  </si>
  <si>
    <t>205.4047, 215.4677, 254.7435, 255.2334, 260.1919, 267.4619, 302.7004, 336.6089, 347.0705, 354.2884</t>
  </si>
  <si>
    <t>FT4756PR</t>
  </si>
  <si>
    <t>S-Petasin</t>
  </si>
  <si>
    <t>HMDB0257423</t>
  </si>
  <si>
    <t>CSC=CC(=O)OC1CCC2=CC(=O)C(CC2(C)C1C)C(C)=C</t>
  </si>
  <si>
    <t>OHANKWLYFDFHOJ-UHFFFAOYSA-N</t>
  </si>
  <si>
    <t>C19H26O3S</t>
  </si>
  <si>
    <t>FT7256PR</t>
  </si>
  <si>
    <t>Cer(d17:1/6 keto-PGF1alpha)</t>
  </si>
  <si>
    <t>神经酰胺(d17:1/6 keto-PGF1alpha)</t>
  </si>
  <si>
    <t>HMDB0289903</t>
  </si>
  <si>
    <t>CCCCCCCCCCCC\C=C\[C@@H](O)[C@H](CO)NC(=O)CCCCC(=O)C[C@H]1[C@@H](O)C[C@@H](O)[C@@H]1\C=C\[C@@H](O)CCCCC</t>
  </si>
  <si>
    <t>RCDGFQZFVYGYCS-FMSBLGFNSA-N</t>
  </si>
  <si>
    <t>C37H67NO7</t>
  </si>
  <si>
    <t>FT4049NR</t>
  </si>
  <si>
    <t>6-Hydroxykaempferol 3-methyl ether 7-glucoside</t>
  </si>
  <si>
    <t>6-羟基山奈酚3-甲醚7-葡萄糖苷</t>
  </si>
  <si>
    <t>LMPK12112830</t>
  </si>
  <si>
    <t>C1(O[C@H]2[C@H](O)[C@@H](O)[C@H](O)[C@@H](CO)O2)=CC2OC(C3C=CC(O)=CC=3)=C(OC)C(=O)C=2C(O)=C1O</t>
  </si>
  <si>
    <t>DKJSFZFROHHPOX-GUOJVKGFSA-N</t>
  </si>
  <si>
    <t>C22H22O12</t>
  </si>
  <si>
    <t>FT6342PR</t>
  </si>
  <si>
    <t>4-Hydroxyretinoic acid glucuronide</t>
  </si>
  <si>
    <t>4-羟基视黄酸葡萄糖苷酸</t>
  </si>
  <si>
    <t>HMDB0061688</t>
  </si>
  <si>
    <t>C\C(\C=C\C1=C(C)C(CCC1(C)C)OC1OC(C(O)C(O)C1O)C(O)=O)=C/C=C/C(/C)=C/C(O)=O</t>
  </si>
  <si>
    <t>LVCMXFSJTNPFHH-FRCNGJHJSA-N</t>
  </si>
  <si>
    <t>448.2061, 449.2110, 450.2227, 451.2274, 468.2255, 469.2394, 469.3106, 486.2526, 487.2483, 510.2664</t>
  </si>
  <si>
    <t>C26H36O9</t>
  </si>
  <si>
    <t>FT2887NR</t>
  </si>
  <si>
    <t>Acetamide, N-(4-(((2,6-dimethoxy-4-pyrimidinyl)amino)sulfonyl)phenyl)-</t>
  </si>
  <si>
    <t>磺胺二甲氧嘧啶EP杂质B</t>
  </si>
  <si>
    <t>HMDB0246960</t>
  </si>
  <si>
    <t>COC1=NC(OC)=NC(NS(=O)(=O)C2=CC=C(NC(C)=O)C=C2)=C1</t>
  </si>
  <si>
    <t>WIYOSEJTAADVPJ-UHFFFAOYSA-N</t>
  </si>
  <si>
    <t>C14H16N4O5S</t>
  </si>
  <si>
    <t>FT6907PR</t>
  </si>
  <si>
    <t>Sulfosuccinimidyl 6-(biotinamido)hexanoate</t>
  </si>
  <si>
    <t>磺基琥珀酰亚胺基 6-(生物酰胺)己酸酯</t>
  </si>
  <si>
    <t>HMDB0258604</t>
  </si>
  <si>
    <t>OS(=O)(=O)C1CC(=O)N(OC(=O)CCCCCNC(=O)CCCCC2SCC3NC(=O)NC23)C1=O</t>
  </si>
  <si>
    <t>UQZHJQWIISKTJN-UHFFFAOYSA-N</t>
  </si>
  <si>
    <t>C20H30N4O9S2</t>
  </si>
  <si>
    <t>FT5426NR</t>
  </si>
  <si>
    <t>Diethylaminoethyl-dextran</t>
  </si>
  <si>
    <t>二乙氨基乙基葡聚糖</t>
  </si>
  <si>
    <t>HMDB0251242</t>
  </si>
  <si>
    <t>CCN(CC)C(C)C(=O)C(O)C(O)C(O)C(O)COC1OC(COC2OC(CO)C(O)C(O)C2O)C(O)C(O)C1O</t>
  </si>
  <si>
    <t>SDMSZTYCRNDCBO-UHFFFAOYSA-N</t>
  </si>
  <si>
    <t>110.1266, 112.9764, 112.9854, 121.9271, 159.7511, 180.9727, 461.6293, 555.5452, 563.3418, 606.4470</t>
  </si>
  <si>
    <t>C24H45NO16</t>
  </si>
  <si>
    <t>FT3446PR</t>
  </si>
  <si>
    <t>Glycine, N-(4-amino-2-hydroxybenzoyl)-</t>
  </si>
  <si>
    <t>Nc1ccc(C(O)=NCC(=O)O)c(O)c1</t>
  </si>
  <si>
    <t>NTFRJXJYBFHCHZ-UHFFFAOYSA-N</t>
  </si>
  <si>
    <t>C9H10N2O4</t>
  </si>
  <si>
    <t>FT0727NR</t>
  </si>
  <si>
    <t>1,4-Diazabicyclo[2.2.2]octane</t>
  </si>
  <si>
    <t>三乙烯二胺</t>
  </si>
  <si>
    <t>HMDB0244208</t>
  </si>
  <si>
    <t>C1CN2CCN1CC2</t>
  </si>
  <si>
    <t>IMNIMPAHZVJRPE-UHFFFAOYSA-N</t>
  </si>
  <si>
    <t>C6H12N2</t>
  </si>
  <si>
    <t>FT6051PR</t>
  </si>
  <si>
    <t>Quercetagetin 7-methyl ether 6-glucoside</t>
  </si>
  <si>
    <t>槲皮素7-甲醚6-葡萄糖苷</t>
  </si>
  <si>
    <t>LMPK12112964</t>
  </si>
  <si>
    <t>C1C=C(O)C(O)=CC=1C1=C(O)C(=O)C2C(O)=C(O[C@H]3[C@H](O)[C@@H](O)[C@H](O)[C@@H](CO)O3)C(OC)=CC=2O1</t>
  </si>
  <si>
    <t>BEFLEGLDYKEXPG-XPPBISAYSA-N</t>
  </si>
  <si>
    <t>186.0468, 202.5665, 241.8566, 243.0072, 248.6531, 302.0191, 302.6934, 346.0088, 477.1028, 494.5802</t>
  </si>
  <si>
    <t>C22H22O13</t>
  </si>
  <si>
    <t>FT3516PR</t>
  </si>
  <si>
    <t>Gallicynoic acid A</t>
  </si>
  <si>
    <t>没食子酸 A</t>
  </si>
  <si>
    <t>LMFA01050575</t>
  </si>
  <si>
    <t>OC(=O)CCC/C=C\C(O)C#CC(O)CCCC</t>
  </si>
  <si>
    <t>WSAOFJBMEVAKDJ-YVMONPNESA-N</t>
  </si>
  <si>
    <t>C14H22O4</t>
  </si>
  <si>
    <t>FT2104NR</t>
  </si>
  <si>
    <t>8-Quinolinol, 5,7-dichloro-2-((dimethylamino)methyl)-</t>
  </si>
  <si>
    <t>化合物PBT-1033</t>
  </si>
  <si>
    <t>HMDB0256151</t>
  </si>
  <si>
    <t>CN(C)CC1=NC2=C(C=C1)C(Cl)=CC(Cl)=C2O</t>
  </si>
  <si>
    <t>YZPOQCQXOSEMAZ-UHFFFAOYSA-N</t>
  </si>
  <si>
    <t>Haloquinolines</t>
  </si>
  <si>
    <t>卤代喹啉类</t>
  </si>
  <si>
    <t>154.0480, 157.0113, 200.9849, 201.0376, 202.0420, 205.3882, 225.0853, 235.8185, 269.0749, 269.2121</t>
  </si>
  <si>
    <t>C12H12Cl2N2O</t>
  </si>
  <si>
    <t>FT0227NR</t>
  </si>
  <si>
    <t>Methoxyisobutylisonitrile</t>
  </si>
  <si>
    <t>甲氧基异丁基异腈</t>
  </si>
  <si>
    <t>HMDB0254551</t>
  </si>
  <si>
    <t>COC([N+]#[C-])C(C)C</t>
  </si>
  <si>
    <t>CEYVKTKJMLCDGD-UHFFFAOYSA-N</t>
  </si>
  <si>
    <t>Organic isocyanides</t>
  </si>
  <si>
    <t>有机异氰化物</t>
  </si>
  <si>
    <t>C6H11NO</t>
  </si>
  <si>
    <t>FT0559PR</t>
  </si>
  <si>
    <t>2-Methylbenzaldehyde</t>
  </si>
  <si>
    <t>2-甲基苯甲醛</t>
  </si>
  <si>
    <t>HMDB0029636</t>
  </si>
  <si>
    <t>C07214</t>
  </si>
  <si>
    <t>529-20-4</t>
  </si>
  <si>
    <t>CC1=CC=CC=C1C=O</t>
  </si>
  <si>
    <t>BTFQKIATRPGRBS-UHFFFAOYSA-N</t>
  </si>
  <si>
    <t>FT2597NR</t>
  </si>
  <si>
    <t>Metixene</t>
  </si>
  <si>
    <t>1-甲基-3-(9H-噻吨-9-甲基)哌啶</t>
  </si>
  <si>
    <t>HMDB0014484</t>
  </si>
  <si>
    <t>4969-02-2</t>
  </si>
  <si>
    <t>CN1CCCC(CC2C3=CC=CC=C3SC3=CC=CC=C23)C1</t>
  </si>
  <si>
    <t>MJFJKKXQDNNUJF-UHFFFAOYSA-N</t>
  </si>
  <si>
    <t>Benzothiopyrans</t>
  </si>
  <si>
    <t>1-benzothiopyrans</t>
  </si>
  <si>
    <t>苯并噻喃类</t>
  </si>
  <si>
    <t xml:space="preserve"> 1-苯并噻喃类</t>
  </si>
  <si>
    <t>C20H23NS</t>
  </si>
  <si>
    <t>FT2326NR</t>
  </si>
  <si>
    <t>Methyl 2-(1H-indole-3-carbonyl)thiazole-4-carboxylate</t>
  </si>
  <si>
    <t>2-(1H-吲哚-3-羰基)噻唑-4-甲酸甲酯</t>
  </si>
  <si>
    <t>HMDB0246680</t>
  </si>
  <si>
    <t>COC(=O)C1=CSC(=N1)C(=O)C1=CNC2=CC=CC=C12</t>
  </si>
  <si>
    <t>KDDXOGDIPZSCTM-UHFFFAOYSA-N</t>
  </si>
  <si>
    <t>C14H10N2O3S</t>
  </si>
  <si>
    <t>FT5626PR</t>
  </si>
  <si>
    <t>Acetyl tributyl citrate</t>
  </si>
  <si>
    <t>乙酰柠檬酸三丁酯</t>
  </si>
  <si>
    <t>HMDB0034159</t>
  </si>
  <si>
    <t>77-90-7</t>
  </si>
  <si>
    <t>CCCCOC(=O)CC(CC(=O)OCCCC)(OC(C)=O)C(=O)OCCCC</t>
  </si>
  <si>
    <t>QZCLKYGREBVARF-UHFFFAOYSA-N</t>
  </si>
  <si>
    <t>240.1538, 276.6712, 291.1330, 302.7029, 306.7629, 348.4886, 365.1933, 425.1460, 425.2138, 425.3102</t>
  </si>
  <si>
    <t>C20H34O8</t>
  </si>
  <si>
    <t>FT3282NR</t>
  </si>
  <si>
    <t>3,10-Dihydroxydodecanoylcarnitine</t>
  </si>
  <si>
    <t>3,10-二羟基十二酰肉碱</t>
  </si>
  <si>
    <t>HMDB0241292</t>
  </si>
  <si>
    <t>CCC(O)CCCCCCC(O)CC(=O)OC(CC([O-])=O)C[N+](C)(C)C</t>
  </si>
  <si>
    <t>ZFHWIWMRDNBQLH-UHFFFAOYSA-N</t>
  </si>
  <si>
    <t>C19H37NO6</t>
  </si>
  <si>
    <t>FT3690NR</t>
  </si>
  <si>
    <t>MG(20:5-3OH/0:0/0:0)</t>
  </si>
  <si>
    <t>甘油单酯(20:5-3OH/0:0/0:0)</t>
  </si>
  <si>
    <t>HMDB0260498</t>
  </si>
  <si>
    <t>CC\C=C/C[C@@H](O)\C=C\C=C\C=C/C=C\[C@H](O)[C@@H](O)CCCC(=O)OC[C@@H](O)CO</t>
  </si>
  <si>
    <t>AKAHTAONLGNUFL-NNQRRUALSA-N</t>
  </si>
  <si>
    <t>C23H36O7</t>
  </si>
  <si>
    <t>FT4018NR</t>
  </si>
  <si>
    <t>Sarcoehrendin G</t>
  </si>
  <si>
    <t>肌黄素G</t>
  </si>
  <si>
    <t>LMFA03010229</t>
  </si>
  <si>
    <t>[C@H]1(/C=C/[C@@H](O)CCC(=O)CC)[C@H](OC(=O)C)C[C@H](O)[C@@H]1C/C=C\CCCC(=O)O</t>
  </si>
  <si>
    <t>MBXXYWAZPLLEGI-UCMMBFTCSA-N</t>
  </si>
  <si>
    <t>113.0242, 114.9886, 172.9447, 175.0239, 192.6584, 234.8904, 279.1955, 303.6412, 324.0879, 455.2281</t>
  </si>
  <si>
    <t>C22H34O7</t>
  </si>
  <si>
    <t>FT4583PR</t>
  </si>
  <si>
    <t>2-Ethylpentanedioylcarnitine</t>
  </si>
  <si>
    <t>2-乙基戊二酰肉碱</t>
  </si>
  <si>
    <t>HMDB0241912</t>
  </si>
  <si>
    <t>CCC(CCC(=O)OC(CC([O-])=O)C[N+](C)(C)C)C(O)=O</t>
  </si>
  <si>
    <t>WUDIYCFSLSSOAB-UHFFFAOYSA-N</t>
  </si>
  <si>
    <t>C14H25NO6</t>
  </si>
  <si>
    <t>FT4643NR</t>
  </si>
  <si>
    <t>H-ARG-ARG-ARG-OH ACETATE SALT</t>
  </si>
  <si>
    <t>H-ARG-ARG-ARG-OH 醋酸盐</t>
  </si>
  <si>
    <t>HMDB0260139</t>
  </si>
  <si>
    <t>NC(CCCNC(N)=N)C(O)=NC(CCCNC(N)=N)C(O)=NC(CCCNC(N)=N)C(O)=O</t>
  </si>
  <si>
    <t>XPSGESXVBSQZPL-UHFFFAOYSA-N</t>
  </si>
  <si>
    <t>C18H38N12O4</t>
  </si>
  <si>
    <t>FT3464NR</t>
  </si>
  <si>
    <t>Pyrrole-2,3,5-tricarboxylic acid</t>
  </si>
  <si>
    <t>2,3,5-三羧酸吡咯</t>
  </si>
  <si>
    <t>HMDB0256995</t>
  </si>
  <si>
    <t>OC(=O)C1=CC(C(O)=O)=C(N1)C(O)=O</t>
  </si>
  <si>
    <t>UGSAVTSXHXRENH-UHFFFAOYSA-N</t>
  </si>
  <si>
    <t>116.3385, 130.7518, 203.0822, 205.4024, 225.0639, 261.0402, 271.0708, 283.0237, 302.6963, 351.0131</t>
  </si>
  <si>
    <t>C7H5NO6</t>
  </si>
  <si>
    <t>FT3013NR</t>
  </si>
  <si>
    <t>Metaphit</t>
  </si>
  <si>
    <t>化合物 T22971</t>
  </si>
  <si>
    <t>HMDB0254504</t>
  </si>
  <si>
    <t>S=C=NC1=CC=CC(=C1)C1(CCCCC1)N1CCCCC1</t>
  </si>
  <si>
    <t>FGSGBQAQSPSRJK-UHFFFAOYSA-N</t>
  </si>
  <si>
    <t>C18H24N2S</t>
  </si>
  <si>
    <t>FT4003PR</t>
  </si>
  <si>
    <t>9a,11a-dimethyl-dodecahydrocyclopenta[a]phenanthrene-1,6,7-trione</t>
  </si>
  <si>
    <t>9a,11a-二甲基-十二氢环戊[a]菲-1,6,7-三酮</t>
  </si>
  <si>
    <t>HMDB0246470</t>
  </si>
  <si>
    <t>CC12CCC3C(CCC4C(=O)C(=O)CCC34C)C1CCC2=O</t>
  </si>
  <si>
    <t>ZMEULISFKSVRLQ-UHFFFAOYSA-N</t>
  </si>
  <si>
    <t>222.9684, 243.8851, 261.8935, 281.3881, 284.9616, 285.1313, 285.1846, 285.2262, 285.2591, 285.2927</t>
  </si>
  <si>
    <t>C19H26O3</t>
  </si>
  <si>
    <t>FT3836PR</t>
  </si>
  <si>
    <t>4-Nitrophenyl 2-propylmethylphosphonate</t>
  </si>
  <si>
    <t>异丙基(4-硝基苯基)甲基膦酸酯</t>
  </si>
  <si>
    <t>HMDB0246536</t>
  </si>
  <si>
    <t>CC(C)OP(C)(=O)OC1=CC=C(C=C1)[N+]([O-])=O</t>
  </si>
  <si>
    <t>YSHVIWJFWCEDSQ-UHFFFAOYSA-N</t>
  </si>
  <si>
    <t>C10H14NO5P</t>
  </si>
  <si>
    <t>FT4277PR</t>
  </si>
  <si>
    <t>Sulfaquinoxaline</t>
  </si>
  <si>
    <t>磺胺喹恶啉-D4</t>
  </si>
  <si>
    <t>HMDB0033139</t>
  </si>
  <si>
    <t>59-40-5</t>
  </si>
  <si>
    <t>NC1=CC=C(C=C1)S(=O)(=O)NC1=NC2=C(C=CC=C2)N=C1</t>
  </si>
  <si>
    <t>NHZLNPMOSADWGC-UHFFFAOYSA-N</t>
  </si>
  <si>
    <t>C14H12N4O2S</t>
  </si>
  <si>
    <t>FT4757PR</t>
  </si>
  <si>
    <t>Deltoidin A</t>
  </si>
  <si>
    <t>三角肌苷A</t>
  </si>
  <si>
    <t>LMPR0103090037</t>
  </si>
  <si>
    <t>C1CC[C@]2(O[C@H]2[C@H]2OC(=O)C[C@@H]2[C@H](OC(=O)/C(/C)=C\C)CC=1C)C</t>
  </si>
  <si>
    <t>CODMUMKJOKJZTO-DMXBOIKWSA-N</t>
  </si>
  <si>
    <t>C19H26O5</t>
  </si>
  <si>
    <t>FT2578NR</t>
  </si>
  <si>
    <t>9-HYDROXY-8-(2-HYDROXYPROPAN-2-YL)-2H,8H,9H-FURO[2,3-H]CHROMEN-2-ONE</t>
  </si>
  <si>
    <t>9-羟基-8-(2-羟基丙-2-基)-2H,8H,9H-呋喃[2,3-H]色满-2-酮</t>
  </si>
  <si>
    <t>CC(C)(O)C1Oc2ccc3ccc(=O)oc3c2C1O</t>
  </si>
  <si>
    <t>DQISGWRLCDLKJI-UHFFFAOYSA-N</t>
  </si>
  <si>
    <t>220.1763, 233.6197, 239.0920, 240.0940, 260.9917, 261.0738, 261.1373, 262.0774, 307.5576, 319.9175</t>
  </si>
  <si>
    <t>C14H14O5</t>
  </si>
  <si>
    <t>FT2046NR</t>
  </si>
  <si>
    <t>Taurolidine</t>
  </si>
  <si>
    <t>牛磺罗定</t>
  </si>
  <si>
    <t>HMDB0258744</t>
  </si>
  <si>
    <t>O=S1(=O)CCN(CN2CCS(=O)(=O)NC2)CN1</t>
  </si>
  <si>
    <t>AJKIRUJIDFJUKJ-UHFFFAOYSA-N</t>
  </si>
  <si>
    <t>Thiadiazinanes</t>
  </si>
  <si>
    <t>噻二嗪类</t>
  </si>
  <si>
    <t>C7H16N4O4S2</t>
  </si>
  <si>
    <t>FT4486NR</t>
  </si>
  <si>
    <t>PI(13:0/0:0)</t>
  </si>
  <si>
    <t>磷脂酰肌醇(13:0/0:0)</t>
  </si>
  <si>
    <t>LMGP06050001</t>
  </si>
  <si>
    <t>[C@]([H])(O)(COP(=O)(O)O[C@H]1[C@H](O)[C@@H](O)[C@H](O)[C@@H](O)[C@H]1O)COC(CCCCCCCCCCCC)=O</t>
  </si>
  <si>
    <t>QGSQXOJTKFYHRK-FBYKMOGESA-N</t>
  </si>
  <si>
    <t>205.3975, 302.6794, 407.4026, 450.0196, 493.2217, 501.6143, 511.2299, 511.3037, 512.2324, 525.9154</t>
  </si>
  <si>
    <t>C22H43O12P</t>
  </si>
  <si>
    <t>FT5217PR</t>
  </si>
  <si>
    <t>N-(1,1-dimethyl-2-hydroxy-ethyl) arachidonoyl amine</t>
  </si>
  <si>
    <t>N-(1,1-二甲基-2-羟基乙基)花生四烯酰胺</t>
  </si>
  <si>
    <t>LMFA08020019</t>
  </si>
  <si>
    <t>C(/C/C=C\C/C=C\CCCCC)=C/C/C=C\CCCC(=O)NC(C)(C)CO</t>
  </si>
  <si>
    <t>BJEGAFQVEFFEEW-GKFVBPDJSA-N</t>
  </si>
  <si>
    <t>65.83746, 65.92605, 68.77313, 120.52859, 137.08849, 241.01552, 248.39648, 376.3176</t>
  </si>
  <si>
    <t>C24H41NO2</t>
  </si>
  <si>
    <t>FT5716PR</t>
  </si>
  <si>
    <t>4-Nitrophenyl 4-(3-phenoxybenzyl)piperazine-1-carboxylate</t>
  </si>
  <si>
    <t>4-硝基苯基4-(3-苯氧基苄基)哌嗪-1-甲酸叔丁酯</t>
  </si>
  <si>
    <t>HMDB0253750</t>
  </si>
  <si>
    <t>[O-][N+](=O)C1=CC=C(OC(=O)N2CCN(CC3=CC(OC4=CC=CC=C4)=CC=C3)CC2)C=C1</t>
  </si>
  <si>
    <t>QNYRAEKLMNDRFY-UHFFFAOYSA-N</t>
  </si>
  <si>
    <t>C24H23N3O5</t>
  </si>
  <si>
    <t>FT3574NR</t>
  </si>
  <si>
    <t>DG(8:0/0:0/14:0)</t>
  </si>
  <si>
    <t>甘油二酯(8:0/0:0/14:0)</t>
  </si>
  <si>
    <t>HMDB0092914</t>
  </si>
  <si>
    <t>[H][C@@](O)(COC(=O)CCCCCCC)COC(=O)CCCCCCCCCCCCC</t>
  </si>
  <si>
    <t>ICTUVQMQOBRFNI-HSZRJFAPSA-N</t>
  </si>
  <si>
    <t>C25H48O5</t>
  </si>
  <si>
    <t>FT3460NR</t>
  </si>
  <si>
    <t>2-Amino-6-[2-[3-(3-methoxyphenyl)phenyl]ethyl]-3,6-dimethyl-5H-pyrimidin-4-one</t>
  </si>
  <si>
    <t>2-氨基-6-[2-[3-(3-甲氧基苯基)苯基]乙基]-3,6-二甲基-5H-嘧啶-4-酮</t>
  </si>
  <si>
    <t>HMDB0249993</t>
  </si>
  <si>
    <t>COC1=CC=CC(=C1)C1=CC(CCC2(C)CC(=O)N(C)C(N)=N2)=CC=C1</t>
  </si>
  <si>
    <t>VDFBMQAUECXNKR-UHFFFAOYSA-N</t>
  </si>
  <si>
    <t>C21H25N3O2</t>
  </si>
  <si>
    <t>FT3737PR</t>
  </si>
  <si>
    <t>(±)-Rollipyrrole</t>
  </si>
  <si>
    <t>(±)-咯咯吡咯</t>
  </si>
  <si>
    <t>HMDB0037554</t>
  </si>
  <si>
    <t>CCC1=C(C)\C(NC1=O)=C\C1(NC(=O)C(C)=C1C=C)OC</t>
  </si>
  <si>
    <t>RDWKBPHIFOCLKH-JYRVWZFOSA-N</t>
  </si>
  <si>
    <t>C16H20N2O3</t>
  </si>
  <si>
    <t>FT4856PR</t>
  </si>
  <si>
    <t>TrHA</t>
  </si>
  <si>
    <t xml:space="preserve"> TrHA</t>
  </si>
  <si>
    <t>LMFA01030853</t>
  </si>
  <si>
    <t>C(CCC/C=C\C/C=C\C/C=C\C/C=C\C/C=C\C/C=C\CC)(=O)O</t>
  </si>
  <si>
    <t>GGTVEFDAPOKWMQ-KUBAVDMBSA-N</t>
  </si>
  <si>
    <t>233.1551, 247.1707, 261.1865, 264.2710, 283.2420, 300.0225, 302.1443, 325.2508, 343.2626, 343.3079</t>
  </si>
  <si>
    <t>FT5091PR</t>
  </si>
  <si>
    <t>1-O-(2R-methoxy-hexadecyl)-sn-glycerol</t>
  </si>
  <si>
    <t>1-O-(2R-甲氧基-十六烷基)-sn-甘油</t>
  </si>
  <si>
    <t>LMGL01020039</t>
  </si>
  <si>
    <t>[C@](CO)([H])(O)COC[C@H](OC)CCCCCCCCCCCCCC</t>
  </si>
  <si>
    <t>LMVRXHKEYGPTCX-VQTJNVASSA-N</t>
  </si>
  <si>
    <t>72.8227, 72.8304, 72.9135, 76.0935, 76.1021, 151.0965, 199.9836, 261.1189, 270.8354, 335.5834</t>
  </si>
  <si>
    <t>FT4441NR</t>
  </si>
  <si>
    <t>(3b,9R)-5-Megastigmene-3,9-diol 9-[apiosyl-(1-&gt;6)-glucoside]</t>
  </si>
  <si>
    <t>(3b,9R)-5-大豆蔻烯-3,9-二醇 9-[芹菜基-(1-&gt;6)-葡萄糖苷]</t>
  </si>
  <si>
    <t>HMDB0038327</t>
  </si>
  <si>
    <t>LMFA13010056</t>
  </si>
  <si>
    <t>347852-04-4</t>
  </si>
  <si>
    <t>C1C(C)(C)C(CCC(OC2OC(COC3OCC(CO)(O)C3O)C(O)C(O)C2O)C)=C(C)CC1O</t>
  </si>
  <si>
    <t>KXAHRTBPIZOXEC-UHFFFAOYSA-N</t>
  </si>
  <si>
    <t>110.2815, 113.0240, 113.4036, 168.8801, 205.3871, 205.4057, 302.6883, 414.5205, 415.2740, 505.2647</t>
  </si>
  <si>
    <t>C24H42O11</t>
  </si>
  <si>
    <t>FT6070PR</t>
  </si>
  <si>
    <t>Ethyl 4-(3,4-dimethoxyphenyl)-6,7-dimethoxy-2-(1H-1,2,4-triazol-1-ylmethyl)-3-quinolinecarboxylate</t>
  </si>
  <si>
    <t>4-(3,4-二甲氧基苯基)-6,7-二甲氧基-2-(1H-1,2,4-三唑-1-基甲基)-3-喹啉甲酸乙酯</t>
  </si>
  <si>
    <t>HMDB0260309</t>
  </si>
  <si>
    <t>CCOC(=O)C1=C(C2=CC(OC)=C(OC)C=C2)C2=CC(OC)=C(OC)C=C2N=C1CN1C=NC=N1</t>
  </si>
  <si>
    <t>CLQRMSBSMHXMMC-UHFFFAOYSA-N</t>
  </si>
  <si>
    <t>Phenylquinolines</t>
  </si>
  <si>
    <t>苯基喹啉类</t>
  </si>
  <si>
    <t>C25H26N4O6</t>
  </si>
  <si>
    <t>FT5452PR</t>
  </si>
  <si>
    <t>hydroxytetradecenoylcarnitine</t>
  </si>
  <si>
    <t>羟基十四烯酰肉碱</t>
  </si>
  <si>
    <t>HMDB0253296</t>
  </si>
  <si>
    <t>C[N+](C)(C)CC(O)(CC([O-])=O)C(=O)C=CCCCCCCCCCCCO</t>
  </si>
  <si>
    <t>FAHASWCZSVFMDZ-UHFFFAOYSA-N</t>
  </si>
  <si>
    <t>FT3686NR</t>
  </si>
  <si>
    <t>7-[3-[[[anilino(oxo)methyl]hydrazo]methyl]-7-oxabicyclo[2.2.1]heptan-2-yl]-5-heptenoic acid</t>
  </si>
  <si>
    <t>7-[3-[[[苯胺基（氧代）甲基]肼]甲基]-7-氧杂双环[2.2.1]庚-2-基]-5-庚烯酸</t>
  </si>
  <si>
    <t>HMDB0247693</t>
  </si>
  <si>
    <t>OC(=O)CCCC=CCC1C2CCC(O2)C1CNNC(=O)NC1=CC=CC=C1</t>
  </si>
  <si>
    <t>RJNDVCNWVBWHLY-UHFFFAOYSA-N</t>
  </si>
  <si>
    <t>74.9101, 75.0423, 78.3876, 82.0763, 111.4796, 147.9941, 163.0970, 232.6757, 301.0566, 302.6963</t>
  </si>
  <si>
    <t>C21H29N3O4</t>
  </si>
  <si>
    <t>FT4039PR</t>
  </si>
  <si>
    <t>Helicallenal</t>
  </si>
  <si>
    <t>螺旋烯醛</t>
  </si>
  <si>
    <t>LMPR0104020001</t>
  </si>
  <si>
    <t>C1CC(/C(/C)=C/C/C=C(\C)/CC/C=C(\C)/C=O)CCC=1C</t>
  </si>
  <si>
    <t>SOXVEHBWUOFNNT-NFZAWOQKSA-N</t>
  </si>
  <si>
    <t>FT5319PR</t>
  </si>
  <si>
    <t>Ulexone B</t>
  </si>
  <si>
    <t>优乐酮B</t>
  </si>
  <si>
    <t>LMPK12050212</t>
  </si>
  <si>
    <t>C12OC(C)(C)C=CC=1C1OC=C(C3=CC4C=CC(C)(C)OC=4C=C3)C(=O)C=1C(O)=C2</t>
  </si>
  <si>
    <t>ACNNVOPYPNMOSB-UHFFFAOYSA-N</t>
  </si>
  <si>
    <t>Pyranoisoflavonoids</t>
  </si>
  <si>
    <t>吡喃异黄酮</t>
  </si>
  <si>
    <t>76.4045, 119.6859, 122.7977, 161.4446, 222.8391, 316.0310, 341.6897, 385.1444, 387.5684, 395.0254</t>
  </si>
  <si>
    <t>C25H22O5</t>
  </si>
  <si>
    <t>FT5070PR</t>
  </si>
  <si>
    <t>MG(0:0/i-17:0/0:0)</t>
  </si>
  <si>
    <t>甘油单酯(0:0/i-17:0/0:0)</t>
  </si>
  <si>
    <t>HMDB0072852</t>
  </si>
  <si>
    <t>[H]C(CO)(CO)OC(=O)CCCCCCCCCCCCCC(C)C</t>
  </si>
  <si>
    <t>MIDSCAWCKLVDBQ-UHFFFAOYSA-N</t>
  </si>
  <si>
    <t>226.9512, 238.2508, 242.1271, 256.2630, 300.2899, 344.3148, 360.5774, 362.3259, 362.4318, 364.0841</t>
  </si>
  <si>
    <t>FT3512NR</t>
  </si>
  <si>
    <t>Anilofos</t>
  </si>
  <si>
    <t>莎稗磷</t>
  </si>
  <si>
    <t>HMDB0248439</t>
  </si>
  <si>
    <t>C18394</t>
  </si>
  <si>
    <t>64249-01-0</t>
  </si>
  <si>
    <t>COP(=S)(OC)SCC(=O)N(C(C)C)C1=CC=C(Cl)C=C1</t>
  </si>
  <si>
    <t>NXQDBZGWYSEGFL-UHFFFAOYSA-N</t>
  </si>
  <si>
    <t>189.3559, 198.0124, 198.0322, 263.3094, 265.9869, 266.0196, 271.6771, 273.8245, 334.0081, 343.9958</t>
  </si>
  <si>
    <t>C13H19ClNO3PS2</t>
  </si>
  <si>
    <t>FT4944PR</t>
  </si>
  <si>
    <t>{[3,4,5-trihydroxy-6-(2,4,6-trihydroxyphenyl)oxan-2-yl]methoxy}sulfonic acid</t>
  </si>
  <si>
    <t>{[3,4,5-三羟基-6-(2,4,6-三羟基苯基)氧杂环己烷-2-基]甲氧基}磺酸</t>
  </si>
  <si>
    <t>O=S(=O)(O)OCC1OC(c2c(O)cc(O)cc2O)C(O)C(O)C1O</t>
  </si>
  <si>
    <t>WNLCHJYLEPZOTR-UHFFFAOYSA-N</t>
  </si>
  <si>
    <t>C12H16O11S</t>
  </si>
  <si>
    <t>FT7228PR</t>
  </si>
  <si>
    <t>Xylomatenin</t>
  </si>
  <si>
    <t>木聚糖酶</t>
  </si>
  <si>
    <t>LMPK03000066</t>
  </si>
  <si>
    <t>C1C(C[C@H](O)CCCCCC(O)CCCC[C@@H](O)[C@@H]2O[C@@H]([C@H](O)CC/C=C\CCCCCCCCCC)CC2)C(=O)O[C@H]1C</t>
  </si>
  <si>
    <t>SHAKTEAAWDSPKZ-ZRIHOTOYSA-N</t>
  </si>
  <si>
    <t>C37H68O7</t>
  </si>
  <si>
    <t>FT3993NR</t>
  </si>
  <si>
    <t>LPA 16:1</t>
  </si>
  <si>
    <t>CCCCCC/C=C\CCCCCCCC(=O)OCC(O)COP(=O)(O)O</t>
  </si>
  <si>
    <t>GLGQZYWTNAOWHT-FPLPWBNLSA-N</t>
  </si>
  <si>
    <t>C19H37O7P</t>
  </si>
  <si>
    <t>FT7146PR</t>
  </si>
  <si>
    <t>Cefpiramide</t>
  </si>
  <si>
    <t>头孢匹胺</t>
  </si>
  <si>
    <t>HMDB0014574</t>
  </si>
  <si>
    <t>C13376</t>
  </si>
  <si>
    <t>70797-11-4</t>
  </si>
  <si>
    <t>[H][C@]12SCC(CSC3=NN=NN3C)=C(N1C(=O)[C@@]2([H])NC(=O)[C@H](NC(=O)C1=C(O)C=C(C)N=C1)C1=CC=C(O)C=C1)C(O)=O</t>
  </si>
  <si>
    <t>PWAUCHMQEXVFJR-PMAPCBKXSA-N</t>
  </si>
  <si>
    <t>C25H24N8O7S2</t>
  </si>
  <si>
    <t>FT1646NR</t>
  </si>
  <si>
    <t>(E)-4-(6-methyl-1,2-dithiin-3-yl)but-1-en-3-yn-1-yl acetate</t>
  </si>
  <si>
    <t>(E)-4-(6-甲基-1,2-二硫英-3-基)丁-1-烯-3-炔-1-基乙酸酯</t>
  </si>
  <si>
    <t>LMFA12000368</t>
  </si>
  <si>
    <t>C1C=C(C#C/C=C/OC(C)=O)SSC=1C</t>
  </si>
  <si>
    <t>YSTPFCQUDPONSV-XBXARRHUSA-N</t>
  </si>
  <si>
    <t>C11H10O2S2</t>
  </si>
  <si>
    <t>FT1845NR</t>
  </si>
  <si>
    <t>4-([2,2'-bithiophen]-5-yl)but-3-yne-1,2-diol</t>
  </si>
  <si>
    <t>4-([2,2'-联噻吩]-5-基)丁-3-炔-1,2-二醇</t>
  </si>
  <si>
    <t>LMFA12000362</t>
  </si>
  <si>
    <t>C1=CC=C(C2=CC=C(C#CC(O)CO)S2)S1</t>
  </si>
  <si>
    <t>IMAVIDBJKACAND-UHFFFAOYSA-N</t>
  </si>
  <si>
    <t>C12H10O2S2</t>
  </si>
  <si>
    <t>FT3597PR</t>
  </si>
  <si>
    <t>Treosulfan</t>
  </si>
  <si>
    <t>曲奥舒凡</t>
  </si>
  <si>
    <t>HMDB0042046</t>
  </si>
  <si>
    <t>C19557</t>
  </si>
  <si>
    <t>299-75-2</t>
  </si>
  <si>
    <t>CS(=O)(=O)OCC(O)C(O)COS(C)(=O)=O</t>
  </si>
  <si>
    <t>YCPOZVAOBBQLRI-UHFFFAOYSA-N</t>
  </si>
  <si>
    <t>C6H14O8S2</t>
  </si>
  <si>
    <t>FT3247PR</t>
  </si>
  <si>
    <t>Propionylcarnitine</t>
  </si>
  <si>
    <t>丙酰肉碱</t>
  </si>
  <si>
    <t>HMDB0000824</t>
  </si>
  <si>
    <t>LMFA07070105</t>
  </si>
  <si>
    <t>C(CC([O-])=O)(C[N+](C)(C)C)OC(=O)CC</t>
  </si>
  <si>
    <t>UFAHZIUFPNSHSL-UHFFFAOYSA-N</t>
  </si>
  <si>
    <t>FT0266PR</t>
  </si>
  <si>
    <t>thioacrolein</t>
  </si>
  <si>
    <t>硫代丙烯醛</t>
  </si>
  <si>
    <t>HMDB0304500</t>
  </si>
  <si>
    <t>C=CC=S</t>
  </si>
  <si>
    <t>GPRPXLGCWOJFQZ-UHFFFAOYSA-N</t>
  </si>
  <si>
    <t>Thiocarbonyl compounds</t>
  </si>
  <si>
    <t>Thioaldehydes</t>
  </si>
  <si>
    <t>硫代羰基化合物</t>
  </si>
  <si>
    <t>硫醛类</t>
  </si>
  <si>
    <t>C3H4S</t>
  </si>
  <si>
    <t>FT3361NR</t>
  </si>
  <si>
    <t>Alvameline</t>
  </si>
  <si>
    <t>阿尔伐美林</t>
  </si>
  <si>
    <t>HMDB0248263</t>
  </si>
  <si>
    <t>CCN1N=NC(=N1)C1=CCCN(C)C1</t>
  </si>
  <si>
    <t>RNMOMKCRCIRYCZ-UHFFFAOYSA-N</t>
  </si>
  <si>
    <t>C9H15N5</t>
  </si>
  <si>
    <t>FT3645PR</t>
  </si>
  <si>
    <t>Demethoxyshogaol</t>
  </si>
  <si>
    <t>去甲氧基姜烯酚</t>
  </si>
  <si>
    <t>HMDB0041250</t>
  </si>
  <si>
    <t>153311-54-7</t>
  </si>
  <si>
    <t>CCCCC\C=C\C(=O)CCC1=CC=C(O)C=C1</t>
  </si>
  <si>
    <t>SPJVWQSNXPEUKK-VOTSOKGWSA-N</t>
  </si>
  <si>
    <t>C16H22O2</t>
  </si>
  <si>
    <t>FT6472PR</t>
  </si>
  <si>
    <t>Ceanothine B</t>
  </si>
  <si>
    <t>花椒碱B</t>
  </si>
  <si>
    <t>HMDB0029339</t>
  </si>
  <si>
    <t>19471-43-3</t>
  </si>
  <si>
    <t>CC(C)C1OC2=CC=C(C=C2)\C=C/NC(=O)C(CC2=CC=CC=C2)NC(=O)C1NC(=O)C1CCCN1C</t>
  </si>
  <si>
    <t>IDZLSIWTJUALRQ-NXVVXOECSA-N</t>
  </si>
  <si>
    <t>C29H36N4O4</t>
  </si>
  <si>
    <t>FT4788PR</t>
  </si>
  <si>
    <t>Famotidine</t>
  </si>
  <si>
    <t>法莫替丁</t>
  </si>
  <si>
    <t>HMDB0001919</t>
  </si>
  <si>
    <t>C06994</t>
  </si>
  <si>
    <t>76824-35-6</t>
  </si>
  <si>
    <t>NC(N)=NC1=NC(CSCCC(N)=NS(N)(=O)=O)=CS1</t>
  </si>
  <si>
    <t>XUFQPHANEAPEMJ-UHFFFAOYSA-N</t>
  </si>
  <si>
    <t>C8H15N7O2S3</t>
  </si>
  <si>
    <t>FT4368NR</t>
  </si>
  <si>
    <t>(5Z,8Z,10E,14Z,17Z)-12-Hydroxyicosa-5,8,10,14,17-pentaenoylcarnitine</t>
  </si>
  <si>
    <t>(5Z,8Z,10E,14Z,17Z)-12-羟基二十碳五烯酸-5,8,10,14,17-戊烯酰肉碱</t>
  </si>
  <si>
    <t>HMDB0241595</t>
  </si>
  <si>
    <t>CCC=CCC=CCC(O)C=CC=CCC=CCCCC(=O)OC(CC([O-])=O)C[N+](C)(C)C</t>
  </si>
  <si>
    <t>JGTPDCCLPDSJED-UHFFFAOYSA-N</t>
  </si>
  <si>
    <t>138.6476, 239.7656, 325.3299, 399.7385, 411.3046, 412.3093, 455.2910, 496.2820, 497.2887, 523.7953</t>
  </si>
  <si>
    <t>C27H43NO5</t>
  </si>
  <si>
    <t>FT4913PR</t>
  </si>
  <si>
    <t>dhas#18</t>
  </si>
  <si>
    <t>达斯#18</t>
  </si>
  <si>
    <t>LMFA13040001</t>
  </si>
  <si>
    <t>O([C@@H](C[C@H](O)CCCC[C@@H](O)CC(=O)O)C)[C@H]1[C@H](O)C[C@@H](O)[C@H](C)O1</t>
  </si>
  <si>
    <t>KOPWGKUEIMDQOP-ULRVOZHWSA-N</t>
  </si>
  <si>
    <t>108.1104, 235.0555, 275.8873, 289.7498, 303.0222, 309.9197, 347.0156, 347.2035, 347.3270, 348.2073</t>
  </si>
  <si>
    <t>C17H32O8</t>
  </si>
  <si>
    <t>FT4450PR</t>
  </si>
  <si>
    <t>Tipepidine</t>
  </si>
  <si>
    <t>硫替丁</t>
  </si>
  <si>
    <t>HMDB0259105</t>
  </si>
  <si>
    <t>CN=C(NCCSCC1=CSC(NC(N)=N)=N1)NC#N</t>
  </si>
  <si>
    <t>YDDXVAXDYKBWDX-UHFFFAOYSA-N</t>
  </si>
  <si>
    <t>136.6833, 193.1947, 217.1937, 269.1118, 302.6905, 302.7251, 313.0593, 313.1017, 313.1467, 313.1621</t>
  </si>
  <si>
    <t>C10H16N8S2</t>
  </si>
  <si>
    <t>FT1982NR</t>
  </si>
  <si>
    <t>Dipropyl tetrasulfide</t>
  </si>
  <si>
    <t>二丙基四硫化物</t>
  </si>
  <si>
    <t>HMDB0302187</t>
  </si>
  <si>
    <t>CCCSSSSCCC</t>
  </si>
  <si>
    <t>GJKGKILUTIBVOI-UHFFFAOYSA-N</t>
  </si>
  <si>
    <t>Sulfenyl compounds</t>
  </si>
  <si>
    <t>硫基化合物</t>
  </si>
  <si>
    <t>146.9689, 146.9827, 146.9965, 147.0291, 191.0196, 200.9848, 201.0376, 205.3939, 213.0008, 236.9347</t>
  </si>
  <si>
    <t>C6H14S4</t>
  </si>
  <si>
    <t>FT5018PR</t>
  </si>
  <si>
    <t>3,4,5-trihydroxy-6-(2,3,5-trihydroxy-6-methyloxan-4-yl)oxyoxane-2-carboxylic acid</t>
  </si>
  <si>
    <t>3,4,5-三羟基-6-(2,3,5-三羟基-6-甲基氧杂环己烷-4-基)氧杂环己烷-2-羧酸</t>
  </si>
  <si>
    <t>CC1OC(O)C(O)C(OC2OC(C(=O)O)C(O)C(O)C2O)C1O</t>
  </si>
  <si>
    <t>XEVRSSSSFUIMFQ-UHFFFAOYSA-N</t>
  </si>
  <si>
    <t>C12H20O11</t>
  </si>
  <si>
    <t>FT4957PR</t>
  </si>
  <si>
    <t>5-Hydroxytrideca-7,9-dienoylcarnitine</t>
  </si>
  <si>
    <t>5-羟基十三-7,9-二烯酰肉碱</t>
  </si>
  <si>
    <t>HMDB0241328</t>
  </si>
  <si>
    <t>CCCC=CC=CCC(O)CCCC(=O)OC(CC([O-])=O)C[N+](C)(C)C</t>
  </si>
  <si>
    <t>HYAWBVWFHSYYTG-UHFFFAOYSA-N</t>
  </si>
  <si>
    <t>C20H35NO5</t>
  </si>
  <si>
    <t>FT1170PR</t>
  </si>
  <si>
    <t>R-3-(Methylthio)-1-hexanol</t>
  </si>
  <si>
    <t>3-甲硫基-1-己醇</t>
  </si>
  <si>
    <t>HMDB0040153</t>
  </si>
  <si>
    <t>90180-89-5</t>
  </si>
  <si>
    <t>CCCC(CCO)SC</t>
  </si>
  <si>
    <t>JSASXSHMJYRPCM-UHFFFAOYSA-N</t>
  </si>
  <si>
    <t>Dialkylthioethers</t>
  </si>
  <si>
    <t>二烷基硫醚</t>
  </si>
  <si>
    <t>C7H16OS</t>
  </si>
  <si>
    <t>FT5561PR</t>
  </si>
  <si>
    <t>N-Hexanoylsphingosine</t>
  </si>
  <si>
    <t xml:space="preserve"> N-己酰鞘氨醇</t>
  </si>
  <si>
    <t>HMDB0249517</t>
  </si>
  <si>
    <t>CCCCCCCCCCCCCC=CC(O)C(CO)NC(=O)CCCCC</t>
  </si>
  <si>
    <t>NPRJSFWNFTXXQC-UHFFFAOYSA-N</t>
  </si>
  <si>
    <t>C24H47NO3</t>
  </si>
  <si>
    <t>FT3468NR</t>
  </si>
  <si>
    <t>10-Hydroxymelleolide</t>
  </si>
  <si>
    <t>10-羟基蜜环内酯</t>
  </si>
  <si>
    <t>HMDB0038786</t>
  </si>
  <si>
    <t>130396-93-9</t>
  </si>
  <si>
    <t>CC1=CC(O)=CC(O)=C1C(=O)OC1CC2(C)C3C(CC(C)(C)C3O)C=C(C=O)C12O</t>
  </si>
  <si>
    <t>VNRLQDGXGABKPC-UHFFFAOYSA-N</t>
  </si>
  <si>
    <t>192.9276, 205.3860, 223.6063, 260.9136, 291.0831, 302.6885, 339.7823, 397.1079, 397.1674, 397.2227</t>
  </si>
  <si>
    <t>C23H28O7</t>
  </si>
  <si>
    <t>FT4706PR</t>
  </si>
  <si>
    <t>11-Hydroxy-delta-9-THC</t>
  </si>
  <si>
    <t>11-羟基-δ-9-THC</t>
  </si>
  <si>
    <t>HMDB0060906</t>
  </si>
  <si>
    <t>CCCCCC1=CC(O)=C2C3C=C(CO)CCC3C(C)(C)OC2=C1</t>
  </si>
  <si>
    <t>YCBKSSAWEUDACY-UHFFFAOYSA-N</t>
  </si>
  <si>
    <t>FT7141PR</t>
  </si>
  <si>
    <t>DG(18:3n3/0:0/18:4n3)</t>
  </si>
  <si>
    <t>甘油二酯(18:3n3/0:0/18:4n3)</t>
  </si>
  <si>
    <t>HMDB0056367</t>
  </si>
  <si>
    <t>[H][C@@](O)(COC(=O)CCCCCCC\C=C/C\C=C/C\C=C/CC)COC(=O)CCCC\C=C/C\C=C/C\C=C/C\C=C/CC</t>
  </si>
  <si>
    <t>IGNMKZBZFMGMIW-NSCDTNHQSA-N</t>
  </si>
  <si>
    <t>C39H62O5</t>
  </si>
  <si>
    <t>FT5228PR</t>
  </si>
  <si>
    <t>Ethinyl estradiol sulfate</t>
  </si>
  <si>
    <t>乙炔雌二醇硫酸盐</t>
  </si>
  <si>
    <t>HMDB0252017</t>
  </si>
  <si>
    <t>CC12CCC3C(CCC4=C3C=CC(OS(O)(=O)=O)=C4)C1CCC2(O)C#C</t>
  </si>
  <si>
    <t>WLGIWVFFGMPRLM-UHFFFAOYSA-N</t>
  </si>
  <si>
    <t>72.9850, 73.0265, 76.2288, 87.5322, 105.8231, 124.0089, 205.4015, 302.7142, 319.1372, 377.1417</t>
  </si>
  <si>
    <t>C20H24O5S</t>
  </si>
  <si>
    <t>FT4183PR</t>
  </si>
  <si>
    <t>SCHEMBL26624534</t>
  </si>
  <si>
    <t>CCCCCCCCC/C=C/CC/C=C/CCCC(=O)O</t>
  </si>
  <si>
    <t>JDWQYMIWIRVHMF-RICRECKTSA-N</t>
  </si>
  <si>
    <t>109.1018, 188.4014, 205.4084, 245.2268, 251.2325, 263.2375, 277.2182, 281.9066, 295.2274, 299.3928</t>
  </si>
  <si>
    <t>C19H34O2</t>
  </si>
  <si>
    <t>FT4071PR</t>
  </si>
  <si>
    <t>3'-Oxohexobarbital</t>
  </si>
  <si>
    <t>CN1C(=O)N=C(O)C(C)(C2=CC(=O)CCC2)C1=O</t>
  </si>
  <si>
    <t>JLDHHLBFGIBRGN-UHFFFAOYSA-N</t>
  </si>
  <si>
    <t>71.7072, 77.7934, 90.9768, 111.0793, 123.4458, 220.9346, 225.0438, 289.0615, 289.1248, 289.1633</t>
  </si>
  <si>
    <t>FT2790NR</t>
  </si>
  <si>
    <t>Z-Ala-ONp</t>
  </si>
  <si>
    <t xml:space="preserve"> Z-丙氨酸-ONp</t>
  </si>
  <si>
    <t>HMDB0259961</t>
  </si>
  <si>
    <t>CC(NC(=O)OCC1=CC=CC=C1)C(=O)OC1=CC=C(C=C1)[N+]([O-])=O</t>
  </si>
  <si>
    <t>SXWWICLSRXPNNW-UHFFFAOYSA-N</t>
  </si>
  <si>
    <t>166.4067, 179.1436, 205.3978, 223.1337, 233.3957, 245.1161, 267.1230, 289.1053, 302.6880, 325.0813</t>
  </si>
  <si>
    <t>C17H16N2O6</t>
  </si>
  <si>
    <t>FT4327NR</t>
  </si>
  <si>
    <t>1-Pyrrolidinecarboxaldehyde, 3-(1,3-benzodioxol-5-ylmethylene)-2-oxo-</t>
  </si>
  <si>
    <t xml:space="preserve"> 1-吡咯烷甲醛，3-(1,3-苯并二氧杂环己烷-5-基亚甲基)-2-氧代-</t>
  </si>
  <si>
    <t>HMDB0253812</t>
  </si>
  <si>
    <t>O=CN1CCC(=CC2=CC3=C(OCO3)C=C2)C1=O</t>
  </si>
  <si>
    <t>LZGGUFLRKIMBDQ-UHFFFAOYSA-N</t>
  </si>
  <si>
    <t>C13H11NO4</t>
  </si>
  <si>
    <t>FT5009PR</t>
  </si>
  <si>
    <t>5beta-Chola-7,9(11)-dien-24-oic Acid</t>
  </si>
  <si>
    <t>5β-Chola-7,9(11)-二烯-24-油酸</t>
  </si>
  <si>
    <t>LMST04010328</t>
  </si>
  <si>
    <t>C1[C@]2(C)C3=CC[C@]4(C)[C@@]([H])([C@]([H])(C)CCC(O)=O)CC[C@@]4([H])C3=CC[C@]2([H])CCC1</t>
  </si>
  <si>
    <t>RZERMLCGRJKRCR-OPZPEFFGSA-N</t>
  </si>
  <si>
    <t>FT6174PR</t>
  </si>
  <si>
    <t>PS(P-18:0/0:0)</t>
  </si>
  <si>
    <t>磷脂酰丝氨酸(P-18:0/0:0)</t>
  </si>
  <si>
    <t>LMGP03070002</t>
  </si>
  <si>
    <t>C(O)(=O)[C@@]([H])(N)COP(OC[C@]([H])(O)CO/C=C\CCCCCCCCCCCCCCCC)(=O)O</t>
  </si>
  <si>
    <t>HKSNQYPDFLKXEB-CMMNMCQRSA-N</t>
  </si>
  <si>
    <t>104.1072, 125.0001, 126.3056, 143.7481, 151.6975, 184.0739, 216.9983, 300.9226, 329.8693, 492.3073</t>
  </si>
  <si>
    <t>C24H48NO8P</t>
  </si>
  <si>
    <t>FT3162NR</t>
  </si>
  <si>
    <t>7-Acetamidoclonazepam</t>
  </si>
  <si>
    <t>7-乙酰氨基氯硝西泮</t>
  </si>
  <si>
    <t>HMDB0247227</t>
  </si>
  <si>
    <t>41993-30-0</t>
  </si>
  <si>
    <t>CC(=O)NC1=CC2=C(NC(=O)CN=C2C2=CC=CC=C2Cl)C=C1</t>
  </si>
  <si>
    <t>CSSPKOOFFDJUJC-UHFFFAOYSA-N</t>
  </si>
  <si>
    <t>174.7296, 213.3082, 233.0790, 277.0689, 278.0708, 298.5166, 301.9149, 304.3741, 318.0561, 362.0465</t>
  </si>
  <si>
    <t>C17H14ClN3O2</t>
  </si>
  <si>
    <t>FT1682NR</t>
  </si>
  <si>
    <t>pyrazolopyridazine</t>
  </si>
  <si>
    <t>吡唑并哒嗪</t>
  </si>
  <si>
    <t>HMDB0256954</t>
  </si>
  <si>
    <t>N1N=CC2=C1C=CN=N2</t>
  </si>
  <si>
    <t>NMEPLWZDUIIAAC-UHFFFAOYSA-N</t>
  </si>
  <si>
    <t>C5H4N4</t>
  </si>
  <si>
    <t>FT3707NR</t>
  </si>
  <si>
    <t>Ecabet</t>
  </si>
  <si>
    <t>依卡倍特</t>
  </si>
  <si>
    <t>HMDB0015613</t>
  </si>
  <si>
    <t>86408-72-2</t>
  </si>
  <si>
    <t>[H][C@@]12CCC3=CC(C(C)C)=C(C=C3[C@@]1(C)CCC[C@@]2(C)C(O)=O)S(O)(=O)=O</t>
  </si>
  <si>
    <t>IWCWQNVIUXZOMJ-MISYRCLQSA-N</t>
  </si>
  <si>
    <t>C20H28O5S</t>
  </si>
  <si>
    <t>FT2965NR</t>
  </si>
  <si>
    <t>2-Anthraquinonesulfonyl chloride</t>
  </si>
  <si>
    <t>9,10-二氧-9,10-二氢蒽-2-磺酰氯</t>
  </si>
  <si>
    <t>HMDB0245647</t>
  </si>
  <si>
    <t>ClS(=O)(=O)C1=CC2=C(C=C1)C(=O)C1=CC=CC=C1C2=O</t>
  </si>
  <si>
    <t>UDFCHANCMRCOQT-UHFFFAOYSA-N</t>
  </si>
  <si>
    <t>130.9834, 132.5763, 145.4574, 158.9628, 158.9781, 204.9660, 244.9655, 259.0018, 272.9585, 273.9597</t>
  </si>
  <si>
    <t>C14H7ClO4S</t>
  </si>
  <si>
    <t>FT1494NR</t>
  </si>
  <si>
    <t>Thiophene, 2-nitroso-</t>
  </si>
  <si>
    <t>2-亚硝基噻吩-</t>
  </si>
  <si>
    <t>HMDB0259028</t>
  </si>
  <si>
    <t>O=NC1=CC=CS1</t>
  </si>
  <si>
    <t>KFYLNCXBNKZPQI-UHFFFAOYSA-N</t>
  </si>
  <si>
    <t>C4H3NOS</t>
  </si>
  <si>
    <t>FT1601NR</t>
  </si>
  <si>
    <t>Pyricarbate</t>
  </si>
  <si>
    <t>吡卡酯</t>
  </si>
  <si>
    <t>HMDB0256959</t>
  </si>
  <si>
    <t>C12842</t>
  </si>
  <si>
    <t>1882-26-4</t>
  </si>
  <si>
    <t>CN=C(O)OCC1=CC=CC(COC(O)=NC)=N1</t>
  </si>
  <si>
    <t>YEKQSSHBERGOJK-UHFFFAOYSA-N</t>
  </si>
  <si>
    <t>C11H15N3O4</t>
  </si>
  <si>
    <t>FT2735NR</t>
  </si>
  <si>
    <t>Benzo[ghi]perylene</t>
  </si>
  <si>
    <t>苯并(G,H,I)苝</t>
  </si>
  <si>
    <t>HMDB0249010</t>
  </si>
  <si>
    <t>C14318</t>
  </si>
  <si>
    <t>191-24-2</t>
  </si>
  <si>
    <t>C1=CC2=CC=C3C=CC4=C5C6=C(C=CC=C6C(=C1)C2=C35)C=C4</t>
  </si>
  <si>
    <t>GYFAGKUZYNFMBN-UHFFFAOYSA-N</t>
  </si>
  <si>
    <t>Benzopyrenes</t>
  </si>
  <si>
    <t>苯并芘</t>
  </si>
  <si>
    <t>116.9283, 122.9799, 167.1074, 180.5274, 184.9148, 185.1177, 213.6103, 244.6038, 253.1052, 321.1426</t>
  </si>
  <si>
    <t>C22H12</t>
  </si>
  <si>
    <t>FT6568PR</t>
  </si>
  <si>
    <t>L-2-Aminoadipate adenylate</t>
  </si>
  <si>
    <t>L-2-氨基己二酸腺苷酸</t>
  </si>
  <si>
    <t>HMDB0006941</t>
  </si>
  <si>
    <t>C05560</t>
  </si>
  <si>
    <t>N[C@@H](CCCC(=O)OP(O)(=O)OCC1OC([C@H](O)[C@@H]1O)N1C=NC2=C(N)N=CN=C12)C(O)=O</t>
  </si>
  <si>
    <t>POJWEBKSMOTPNS-ILUWSIKFSA-N</t>
  </si>
  <si>
    <t>C16H23N6O10P</t>
  </si>
  <si>
    <t>FT3561NR</t>
  </si>
  <si>
    <t>2-Hydroxyethyl glucosinolate</t>
  </si>
  <si>
    <t>2-羟乙基芥子油苷</t>
  </si>
  <si>
    <t>HMDB0301921</t>
  </si>
  <si>
    <t>OCC\C(=N\OS(=O)(=O)O)S[C@@H]1O[C@H](CO)[C@@H](O)[C@H](O)[C@H]1O</t>
  </si>
  <si>
    <t>RFCSADBEYPEEKD-XLKLPJSCSA-N</t>
  </si>
  <si>
    <t>205.3944, 226.0484, 239.1205, 272.0535, 292.0817, 294.0360, 302.7015, 311.5978, 362.0299, 362.5883</t>
  </si>
  <si>
    <t>C9H17NO10S2</t>
  </si>
  <si>
    <t>FT5193PR</t>
  </si>
  <si>
    <t>2-hydroxy behenic</t>
  </si>
  <si>
    <t>2-羟基二十二烷酸</t>
  </si>
  <si>
    <t>HMDB0061660</t>
  </si>
  <si>
    <t>LMFA01050077</t>
  </si>
  <si>
    <t>C(CCCCCCCCCCCC(O)C(=O)O)CCCCCCCC</t>
  </si>
  <si>
    <t>RPGJJWLCCOPDAZ-UHFFFAOYSA-N</t>
  </si>
  <si>
    <t>132.7055, 148.0124, 221.0753, 257.5598, 312.3254, 327.2785, 356.3514, 374.2201, 374.2871, 374.3628</t>
  </si>
  <si>
    <t>C22H44O3</t>
  </si>
  <si>
    <t>FT5280PR</t>
  </si>
  <si>
    <t>Tetraethylene glycol monododecyl ether</t>
  </si>
  <si>
    <t>四聚乙二醇单月桂醚</t>
  </si>
  <si>
    <t>HMDB0246913</t>
  </si>
  <si>
    <t>CCCCCCCCCCCCOCCOCCOCCOCCO</t>
  </si>
  <si>
    <t>WPMWEFXCIYCJSA-UHFFFAOYSA-N</t>
  </si>
  <si>
    <t>152.7498, 180.3983, 195.1223, 199.0226, 205.3918, 205.4127, 338.4905, 339.1835, 363.3110, 380.3403</t>
  </si>
  <si>
    <t>C20H42O5</t>
  </si>
  <si>
    <t>FT4840PR</t>
  </si>
  <si>
    <t>5-oxo-heneicosanoic acid</t>
  </si>
  <si>
    <t>5-氧代二十二烷酸</t>
  </si>
  <si>
    <t>LMFA01060138</t>
  </si>
  <si>
    <t>C(CCCC(=O)CCCCCCCCCCCCCCCC)(=O)O</t>
  </si>
  <si>
    <t>RHPGVYZZXIMNOE-UHFFFAOYSA-N</t>
  </si>
  <si>
    <t>C21H40O3</t>
  </si>
  <si>
    <t>FT5330PR</t>
  </si>
  <si>
    <t>3-Deoxyvitamin D3</t>
  </si>
  <si>
    <t xml:space="preserve"> 3-脱氧维生素D3</t>
  </si>
  <si>
    <t>LMST03020618</t>
  </si>
  <si>
    <t>C1(/CCC[C@]2(C)[C@@]([H])([C@]([H])(C)CCCC(C)C)CC[C@@]/12[H])=C/C=C1\C(=C)CCCC\1</t>
  </si>
  <si>
    <t>FXKMDILIEQILCA-VDVRBEGSSA-N</t>
  </si>
  <si>
    <t>C27H44</t>
  </si>
  <si>
    <t>FT3826PR</t>
  </si>
  <si>
    <t>Embutramide</t>
  </si>
  <si>
    <t>恩布曲胺</t>
  </si>
  <si>
    <t>HMDB0251769</t>
  </si>
  <si>
    <t>CCC(CC)(CNC(=O)CCCO)C1=CC(OC)=CC=C1</t>
  </si>
  <si>
    <t>LMBMDLOSPKIWAP-UHFFFAOYSA-N</t>
  </si>
  <si>
    <t>205.4139, 208.8829, 223.2298, 225.9167, 235.1687, 252.8727, 259.1724, 259.2035, 276.2004, 277.1782</t>
  </si>
  <si>
    <t>C17H27NO3</t>
  </si>
  <si>
    <t>FT4500PR</t>
  </si>
  <si>
    <t>Dodeca-2E,4E-dienoic acid 4-hydroxy-2-phenylethylamide</t>
  </si>
  <si>
    <t>Dodeca-2E,4E-二烯酸4-羟基-2-苯乙酰胺</t>
  </si>
  <si>
    <t>LMFA08020370</t>
  </si>
  <si>
    <t>C(/C=C/C=C/CCCCCCC)(=O)NCCC1=CC=C(O)C=C1</t>
  </si>
  <si>
    <t>VVRNYAJXAUQHEN-BNFZFUHLSA-N</t>
  </si>
  <si>
    <t>C20H29NO2</t>
  </si>
  <si>
    <t>FT4806NR</t>
  </si>
  <si>
    <t>Isoleucyl-prolyl-arginine-4-nitroanilide</t>
  </si>
  <si>
    <t>异亮氨酰-脯氨酰-精氨酸-4-硝基苯胺</t>
  </si>
  <si>
    <t>HMDB0250210</t>
  </si>
  <si>
    <t>CCC(C)C(N)C(=O)N1CCCC1C(=O)NC(CCCN=C(N)N)C(=O)NC1=CC=C(C=C1)[N+]([O-])=O</t>
  </si>
  <si>
    <t>XHTORJWGZKCDGL-UHFFFAOYSA-N</t>
  </si>
  <si>
    <t>296.7125, 302.6903, 330.5137, 369.9193, 464.3002, 465.3057, 489.8056, 549.1785, 549.2785, 550.2865</t>
  </si>
  <si>
    <t>C23H36N8O5</t>
  </si>
  <si>
    <t>FT3190NR</t>
  </si>
  <si>
    <t>Nilvadipine</t>
  </si>
  <si>
    <t>尼伐地平</t>
  </si>
  <si>
    <t>HMDB0015657</t>
  </si>
  <si>
    <t>75530-68-6</t>
  </si>
  <si>
    <t>COC(=O)C1=C(NC(C)=C(C1C1=CC(=CC=C1)[N+]([O-])=O)C(=O)OC(C)C)C#N</t>
  </si>
  <si>
    <t>FAIIFDPAEUKBEP-UHFFFAOYSA-N</t>
  </si>
  <si>
    <t>C19H19N3O6</t>
  </si>
  <si>
    <t>FT4748PR</t>
  </si>
  <si>
    <t>2,4,12-Octadecatrienoic acid isobutylamide</t>
  </si>
  <si>
    <t>2,4,12-十八碳三烯酸异丁酰胺</t>
  </si>
  <si>
    <t>HMDB0032033</t>
  </si>
  <si>
    <t>151391-69-4</t>
  </si>
  <si>
    <t>CCCCC\C=C/CCCCCC\C=C\C=C\C(=O)NCC(C)C</t>
  </si>
  <si>
    <t>PCWWIOUZYOPZHT-VBUSEHTESA-N</t>
  </si>
  <si>
    <t>83.6104, 95.0856, 142.2260, 205.3923, 205.4150, 248.0928, 286.0383, 302.6984, 317.2843, 334.3090</t>
  </si>
  <si>
    <t>C22H39NO</t>
  </si>
  <si>
    <t>FT5999PR</t>
  </si>
  <si>
    <t>(Z)-Resveratrol 3-(4''-sulfoglucoside)</t>
  </si>
  <si>
    <t xml:space="preserve"> (Z)-白藜芦醇 3-(4''-磺基葡萄糖苷)</t>
  </si>
  <si>
    <t>HMDB0037076</t>
  </si>
  <si>
    <t>OCC1OC(OC2=CC(\C=C/C3=CC=C(O)C=C3)=CC(O)=C2)C(O)C(O)C1OS(O)(=O)=O</t>
  </si>
  <si>
    <t>AUBJHOOEDBNQCQ-UPHRSURJSA-N</t>
  </si>
  <si>
    <t>C20H22O11S</t>
  </si>
  <si>
    <t>FT2646PR</t>
  </si>
  <si>
    <t>Mivazerol</t>
  </si>
  <si>
    <t>米伐折醇</t>
  </si>
  <si>
    <t>HMDB0254769</t>
  </si>
  <si>
    <t>NC(=O)C1=C(O)C(CC2=CN=CN2)=CC=C1</t>
  </si>
  <si>
    <t>RLHGFJMGWQXPBW-UHFFFAOYSA-N</t>
  </si>
  <si>
    <t>C11H11N3O2</t>
  </si>
  <si>
    <t>FT3859NR</t>
  </si>
  <si>
    <t>MG(0:0/24:0/0:0)</t>
  </si>
  <si>
    <t>甘油单酯(0:0/24:0/0:0)</t>
  </si>
  <si>
    <t>HMDB0011558</t>
  </si>
  <si>
    <t>[H]C(CO)(CO)OC(=O)CCCCCCCCCCCCCCCCCCCCCCC</t>
  </si>
  <si>
    <t>SNMGFBFZTAYEBF-UHFFFAOYSA-N</t>
  </si>
  <si>
    <t>C27H54O4</t>
  </si>
  <si>
    <t>FT3604NR</t>
  </si>
  <si>
    <t>Bambuterol</t>
  </si>
  <si>
    <t>班布特罗</t>
  </si>
  <si>
    <t>HMDB0015478</t>
  </si>
  <si>
    <t>81732-46-9</t>
  </si>
  <si>
    <t>CN(C)C(=O)OC1=CC(=CC(OC(=O)N(C)C)=C1)C(O)CNC(C)(C)C</t>
  </si>
  <si>
    <t>ANZXOIAKUNOVQU-UHFFFAOYSA-N</t>
  </si>
  <si>
    <t>343.9946, 377.7569, 393.6337, 393.7057, 412.2098, 412.7112, 413.2004, 501.1691, 533.6324, 557.2127</t>
  </si>
  <si>
    <t>C18H29N3O5</t>
  </si>
  <si>
    <t>FT2365PR</t>
  </si>
  <si>
    <t>Ethyl (ethylthio)methyl disulfide</t>
  </si>
  <si>
    <t>乙基(乙硫基)甲基二硫醚</t>
  </si>
  <si>
    <t>HMDB0033056</t>
  </si>
  <si>
    <t>183554-16-7</t>
  </si>
  <si>
    <t>CCSCSSCC</t>
  </si>
  <si>
    <t>YGYNDKHXDUVYFE-UHFFFAOYSA-N</t>
  </si>
  <si>
    <t>C5H12S3</t>
  </si>
  <si>
    <t>FT5250NR</t>
  </si>
  <si>
    <t>Boc-val-pro-arg-mca</t>
  </si>
  <si>
    <t>HMDB0249335</t>
  </si>
  <si>
    <t>CC(C)C(NC(=O)OC(C)(C)C)C(=O)N1CCCC1C(=O)NC(CCCN=C(N)N)C(=O)NC1=CC2=C(C=C1)C(C)=CC(=O)O2</t>
  </si>
  <si>
    <t>DFOSAUPKTFJBLO-UHFFFAOYSA-N</t>
  </si>
  <si>
    <t>248.7933, 255.2313, 267.2871, 359.4927, 423.3958, 428.6447, 480.3095, 540.3314, 548.2955, 608.3165</t>
  </si>
  <si>
    <t>C31H45N7O7</t>
  </si>
  <si>
    <t>FT5655PR</t>
  </si>
  <si>
    <t>N-(4-((5-(3-(2-Aminoethyl)-1H-indol-5-yl)-1,2,4-oxadiazol-3-yl)methyl)phenyl)methanesulfonamide</t>
  </si>
  <si>
    <t>N-(4-((5-(3-(2-氨基乙基)-1H-吲哚-5-基)-1,2,4-恶二唑-3-基)甲基)苯基)甲磺酰胺</t>
  </si>
  <si>
    <t>HMDB0260308</t>
  </si>
  <si>
    <t>CS(=O)(=O)NC1=CC=C(CC2=NOC(=N2)C2=CC3=C(NC=C3CCN)C=C2)C=C1</t>
  </si>
  <si>
    <t>HKXMQLISPYELRD-UHFFFAOYSA-N</t>
  </si>
  <si>
    <t>C20H21N5O3S</t>
  </si>
  <si>
    <t>FT5886PR</t>
  </si>
  <si>
    <t>3-methylnonadecanoylcarnitine</t>
  </si>
  <si>
    <t>3-甲基十九酰肉碱</t>
  </si>
  <si>
    <t>HMDB0240911</t>
  </si>
  <si>
    <t>CCCCCCCCCCCCCCCCC(C)CC(=O)OC(CC([O-])=O)C[N+](C)(C)C</t>
  </si>
  <si>
    <t>SDSBAZHHAPKLCM-UHFFFAOYSA-N</t>
  </si>
  <si>
    <t>63.7813, 75.6369, 85.0288, 138.6577, 166.2302, 226.8664, 274.7383, 456.3323, 456.4045, 481.1257</t>
  </si>
  <si>
    <t>FT4625PR</t>
  </si>
  <si>
    <t>1-Docosene</t>
  </si>
  <si>
    <t>1-二十二烯</t>
  </si>
  <si>
    <t>HMDB0062602</t>
  </si>
  <si>
    <t>LMFA11000312</t>
  </si>
  <si>
    <t>1599-67-3</t>
  </si>
  <si>
    <t>C=CCCCCCCCCCCCCCCCCCCCC</t>
  </si>
  <si>
    <t>SPURMHFLEKVAAS-UHFFFAOYSA-N</t>
  </si>
  <si>
    <t>C22H44</t>
  </si>
  <si>
    <t>FT5201PR</t>
  </si>
  <si>
    <t>3-oxododecanoylcarnitine</t>
  </si>
  <si>
    <t>3-氧代十二酰肉碱</t>
  </si>
  <si>
    <t>HMDB0241290</t>
  </si>
  <si>
    <t>CCCCCCCCCC(=O)CC(=O)OC(CC([O-])=O)C[N+](C)(C)C</t>
  </si>
  <si>
    <t>BSVXIHNWWDFVFF-UHFFFAOYSA-N</t>
  </si>
  <si>
    <t>FT3089NR</t>
  </si>
  <si>
    <t>Aspergillomarasmine A</t>
  </si>
  <si>
    <t>曲霉菌素A</t>
  </si>
  <si>
    <t>HMDB0029450</t>
  </si>
  <si>
    <t>3484-65-9</t>
  </si>
  <si>
    <t>NC(CNC(CNC(CC(O)=O)C(O)=O)C(O)=O)C(O)=O</t>
  </si>
  <si>
    <t>XFTWUNOVBCHBJR-UHFFFAOYSA-N</t>
  </si>
  <si>
    <t>70.9191, 71.4187, 77.5193, 77.7228, 189.0802, 223.1336, 267.1236, 289.1060, 352.1025, 352.1414</t>
  </si>
  <si>
    <t>C10H17N3O8</t>
  </si>
  <si>
    <t>FT4199NR</t>
  </si>
  <si>
    <t>MG(0:0/PGD1/0:0)</t>
  </si>
  <si>
    <t>甘油单酯(0:0/PGD1/0:0)</t>
  </si>
  <si>
    <t>HMDB0260562</t>
  </si>
  <si>
    <t>CCCCC[C@H](O)\C=C\[C@@H]1[C@@H](CCCCCCC(=O)OC(CO)CO)[C@@H](O)CC1=O</t>
  </si>
  <si>
    <t>SDWCXVHUGXSILY-VMDOQIIESA-N</t>
  </si>
  <si>
    <t>78.7746, 80.0721, 85.0293, 145.7648, 198.6148, 224.9430, 229.3418, 245.1176, 297.2434, 473.2702</t>
  </si>
  <si>
    <t>C23H40O7</t>
  </si>
  <si>
    <t>FT2755NR</t>
  </si>
  <si>
    <t>Ribavirin monophosphate</t>
  </si>
  <si>
    <t>单磷酸利巴韦林</t>
  </si>
  <si>
    <t>HMDB0257208</t>
  </si>
  <si>
    <t>NC(=O)C1=NN(C=N1)C1OC(COP(O)(O)=O)C(O)C1O</t>
  </si>
  <si>
    <t>SDWIOXKHTFOULX-UHFFFAOYSA-N</t>
  </si>
  <si>
    <t>Triazole ribonucleosides and ribonucleotides</t>
  </si>
  <si>
    <t>三唑核糖核苷和核糖核苷酸</t>
  </si>
  <si>
    <t>C8H13N4O8P</t>
  </si>
  <si>
    <t>FT3635NR</t>
  </si>
  <si>
    <t>1-[4-(Cyclooctylamino)pyridin-3-yl]sulfonyl-3-ethylthiourea</t>
  </si>
  <si>
    <t>1-[4-(环辛氨基)吡啶-3-基]磺酰基-3-乙基硫脲</t>
  </si>
  <si>
    <t>HMDB0249298</t>
  </si>
  <si>
    <t>CCNC(=S)NS(=O)(=O)C1=C(NC2CCCCCCC2)C=CN=C1</t>
  </si>
  <si>
    <t>HACAXCYSHKSNPR-UHFFFAOYSA-N</t>
  </si>
  <si>
    <t>Pyridinesulfonamides</t>
  </si>
  <si>
    <t>吡啶磺酰胺类</t>
  </si>
  <si>
    <t>C16H26N4O2S2</t>
  </si>
  <si>
    <t>FT4769PR</t>
  </si>
  <si>
    <t>Phytocassane C</t>
  </si>
  <si>
    <t>植物卡桑C</t>
  </si>
  <si>
    <t>HMDB0041058</t>
  </si>
  <si>
    <t>166547-23-5</t>
  </si>
  <si>
    <t>CC1C2CCC3C(C)(C)C(O)CC(O)C3(C)C2C(=O)C=C1C=C</t>
  </si>
  <si>
    <t>YQESGDRIAQDEQE-UHFFFAOYSA-N</t>
  </si>
  <si>
    <t>74.4675, 77.7002, 174.9399, 205.3901, 205.4089, 205.8388, 257.7223, 302.7033, 336.2504, 347.0419</t>
  </si>
  <si>
    <t>FT5361NR</t>
  </si>
  <si>
    <t>Emerin</t>
  </si>
  <si>
    <t>艾梅林</t>
  </si>
  <si>
    <t>HMDB0251772</t>
  </si>
  <si>
    <t>COC1=CC=C(C=C(C#N)C(=CC2=CC=C(OC)C=C2)C#N)C=C1</t>
  </si>
  <si>
    <t>HCHFRAXBELVCGG-UHFFFAOYSA-N</t>
  </si>
  <si>
    <t>239.1195, 253.1344, 280.7157, 303.1488, 321.1593, 337.1547, 365.1504, 383.1604, 631.2408, 648.9812</t>
  </si>
  <si>
    <t>C20H16N2O2</t>
  </si>
  <si>
    <t>FT5667PR</t>
  </si>
  <si>
    <t>Jambone G</t>
  </si>
  <si>
    <t>詹博恩 G</t>
  </si>
  <si>
    <t>LMPK13070039</t>
  </si>
  <si>
    <t>C(CCCCCC/C=C\C/C=C\CCCCC)C1OC2=CC(O)=CC(O)=C2C(=O)C=1</t>
  </si>
  <si>
    <t>PQPVPXWLCQCEJM-HZJYTTRNSA-N</t>
  </si>
  <si>
    <t>FT7338PR</t>
  </si>
  <si>
    <t>DG(PGF1alpha/16:0/0:0)</t>
  </si>
  <si>
    <t>甘油二酯(PGF1alpha/16:0/0:0)</t>
  </si>
  <si>
    <t>HMDB0295592</t>
  </si>
  <si>
    <t>CCCCCCCCCCCCCCCC(=O)O[C@@H](CO)COC(=O)CCCCCC[C@H]1[C@@H](O)C[C@@H](O)[C@@H]1\C=C\[C@@H](O)CCCCC</t>
  </si>
  <si>
    <t>YFDKORBECXRPDT-PYMSSIGWSA-N</t>
  </si>
  <si>
    <t>C39H72O8</t>
  </si>
  <si>
    <t>FT3977NR</t>
  </si>
  <si>
    <t>1-(2-methoxy-6Z-pentadecenyl)-sn-glycero-3-phosphoethanolamine</t>
  </si>
  <si>
    <t>1-(2-甲氧基-6Z-十五烯基)-sn-甘油-3-磷酸乙醇胺</t>
  </si>
  <si>
    <t>LMGP02060012</t>
  </si>
  <si>
    <t>[C@](COP(=O)(O)OCCN)([H])(O)COCC(OC)CCC/C=C\CCCCCCCC</t>
  </si>
  <si>
    <t>NODVTQAWFIGEPX-YYBKLMRYSA-N</t>
  </si>
  <si>
    <t>FT1787NR</t>
  </si>
  <si>
    <t>Dibenzyl disulfide</t>
  </si>
  <si>
    <t>二苄基二硫</t>
  </si>
  <si>
    <t>HMDB0032077</t>
  </si>
  <si>
    <t>150-60-7</t>
  </si>
  <si>
    <t>C(SSCC1=CC=CC=C1)C1=CC=CC=C1</t>
  </si>
  <si>
    <t>GVPWHKZIJBODOX-UHFFFAOYSA-N</t>
  </si>
  <si>
    <t>C14H14S2</t>
  </si>
  <si>
    <t>FT2366NR</t>
  </si>
  <si>
    <t>Gentisein</t>
  </si>
  <si>
    <t>1,3,7-三羟基-9H-氧杂蒽-9-酮</t>
  </si>
  <si>
    <t>HMDB0029463</t>
  </si>
  <si>
    <t>C10065</t>
  </si>
  <si>
    <t>529-49-7</t>
  </si>
  <si>
    <t>OC1=CC=C2OC3=CC(O)=CC(O)=C3C(=O)C2=C1</t>
  </si>
  <si>
    <t>JJUNZBRHHGLJQW-UHFFFAOYSA-N</t>
  </si>
  <si>
    <t>C13H8O5</t>
  </si>
  <si>
    <t>FT2761NR</t>
  </si>
  <si>
    <t>3-Mercapto-3-methyl-1-butyl acetate</t>
  </si>
  <si>
    <t>3-巯基-3-甲基-1-丁基 乙酸酯</t>
  </si>
  <si>
    <t>HMDB0039227</t>
  </si>
  <si>
    <t>50746-09-3</t>
  </si>
  <si>
    <t>CC(=O)OCCC(C)(C)S</t>
  </si>
  <si>
    <t>HEZWKNVLHZGPOE-UHFFFAOYSA-N</t>
  </si>
  <si>
    <t>C7H14O2S</t>
  </si>
  <si>
    <t>FT3951NR</t>
  </si>
  <si>
    <t>Dideoxycytidine 5'-Triphosphate</t>
  </si>
  <si>
    <t>2′,3′-二脱氧胞苷 5′-三磷酸 钠盐 溶液</t>
  </si>
  <si>
    <t>HMDB0061726</t>
  </si>
  <si>
    <t>66004-77-1</t>
  </si>
  <si>
    <t>[H][C@@]1(COP(O)(=O)OP(O)(=O)OP(O)(O)=O)CC[C@@]([H])(O1)N1C=CC(=N)N=C1O</t>
  </si>
  <si>
    <t>ARLKCWCREKRROD-POYBYMJQSA-N</t>
  </si>
  <si>
    <t>C9H16N3O12P3</t>
  </si>
  <si>
    <t>FT4746PR</t>
  </si>
  <si>
    <t>Carbetapentane</t>
  </si>
  <si>
    <t>枸橼酸喷托维林</t>
  </si>
  <si>
    <t>HMDB0249630</t>
  </si>
  <si>
    <t>23142-01-0</t>
  </si>
  <si>
    <t>CCN(CC)CCOCCOC(=O)C1(CCCC1)C1=CC=CC=C1</t>
  </si>
  <si>
    <t>CFJMRBQWBDQYMK-UHFFFAOYSA-N</t>
  </si>
  <si>
    <t>C20H31NO3</t>
  </si>
  <si>
    <t>FT3930NR</t>
  </si>
  <si>
    <t>(11Z,14Z)-3-Icosa-11,14-dienoylcarnitine</t>
  </si>
  <si>
    <t>(11Z,14Z)-3-二十-11,14-二烯酰肉碱</t>
  </si>
  <si>
    <t>HMDB0241577</t>
  </si>
  <si>
    <t>CCCCCC=CCC=CCCCCCCCC(O)CC(=O)OC(CC([O-])=O)C[N+](C)(C)C</t>
  </si>
  <si>
    <t>SMJJEGJNWOWKIM-UHFFFAOYSA-N</t>
  </si>
  <si>
    <t>C27H49NO5</t>
  </si>
  <si>
    <t>FT3974NR</t>
  </si>
  <si>
    <t>N-gondoyl taurine</t>
  </si>
  <si>
    <t>N-龙胆酰牛磺酸</t>
  </si>
  <si>
    <t>LMFA08020256</t>
  </si>
  <si>
    <t>C(CNC(CCCCCCCCC/C=C\CCCCCCCC)=O)S(O)(=O)=O</t>
  </si>
  <si>
    <t>VLXOSMVXAQBEEG-KTKRTIGZSA-N</t>
  </si>
  <si>
    <t>C22H43NO4S</t>
  </si>
  <si>
    <t>FT3990NR</t>
  </si>
  <si>
    <t>Humic acid</t>
  </si>
  <si>
    <t>腐殖酸</t>
  </si>
  <si>
    <t>HMDB0253230</t>
  </si>
  <si>
    <t>OC(=O)C1C2CC(C=C2)C1(C(O)=O)[N+]([O-])=O</t>
  </si>
  <si>
    <t>QJZYHAIUNVAGQP-UHFFFAOYSA-N</t>
  </si>
  <si>
    <t>FT3157NR</t>
  </si>
  <si>
    <t>9-(6-Methylsulfanylpurin-9-yl)-3H-purine-6-thione</t>
  </si>
  <si>
    <t>9-(6-甲基硫基嘌呤-9-基)-3H-嘌呤-6-硫酮</t>
  </si>
  <si>
    <t>HMDB0260403</t>
  </si>
  <si>
    <t>CSC1=NC=NC2=C1N=CN2N1C=NC2=C1NC=NC2=S</t>
  </si>
  <si>
    <t>VMKUMCCFCVKJJJ-UHFFFAOYSA-N</t>
  </si>
  <si>
    <t>C11H8N8S2</t>
  </si>
  <si>
    <t>FT5035PR</t>
  </si>
  <si>
    <t>3-Benzyl-1-methyl-2,6-dioxo-7H-purine-8-sulfonic acid</t>
  </si>
  <si>
    <t>3-苄基-1-甲基-2,6-二氧代-7H-嘌呤-8-磺酸</t>
  </si>
  <si>
    <t>HMDB0257733</t>
  </si>
  <si>
    <t>CN1C(=O)N(CC2=CC=CC=C2)C2=C(NC(=N2)S(O)(=O)=O)C1=O</t>
  </si>
  <si>
    <t>LZHDQOHDQFCVRM-UHFFFAOYSA-N</t>
  </si>
  <si>
    <t>341.0327, 358.9069, 358.9369, 358.9598, 359.0431, 359.1271, 359.1493, 359.2389, 360.0435, 360.7487</t>
  </si>
  <si>
    <t>C13H12N4O5S</t>
  </si>
  <si>
    <t>FT4830PR</t>
  </si>
  <si>
    <t>Diphacinone</t>
  </si>
  <si>
    <t>二氧威-D3</t>
  </si>
  <si>
    <t>HMDB0251443</t>
  </si>
  <si>
    <t>C18698</t>
  </si>
  <si>
    <t>82-66-6</t>
  </si>
  <si>
    <t>O=C(C(C1=CC=CC=C1)C1=CC=CC=C1)C1C(=O)C2=CC=CC=C2C1=O</t>
  </si>
  <si>
    <t>JYGLAHSAISAEAL-UHFFFAOYSA-N</t>
  </si>
  <si>
    <t>80.3003, 102.0161, 132.3521, 150.1013, 234.9200, 257.8386, 291.1537, 341.1192, 341.8866, 346.2401</t>
  </si>
  <si>
    <t>C23H16O3</t>
  </si>
  <si>
    <t>FT2511NR</t>
  </si>
  <si>
    <t>Benoxaprofen</t>
  </si>
  <si>
    <t>氧苯恶唑丙酸</t>
  </si>
  <si>
    <t>HMDB0248956</t>
  </si>
  <si>
    <t>CC(C(O)=O)C1=CC2=C(OC(=N2)C2=CC=C(Cl)C=C2)C=C1</t>
  </si>
  <si>
    <t>MITFXPHMIHQXPI-UHFFFAOYSA-N</t>
  </si>
  <si>
    <t>212.0264, 231.9299, 232.0315, 232.0584, 235.2036, 253.9670, 256.0151, 271.9778, 300.0063, 306.8027</t>
  </si>
  <si>
    <t>C16H12ClNO3</t>
  </si>
  <si>
    <t>FT5409PR</t>
  </si>
  <si>
    <t>1alpha,25-dihydroxy-22,23-didehydrovitamin D3</t>
  </si>
  <si>
    <t>1α，25-二羟基-22,23-二脱氢维生素 D3</t>
  </si>
  <si>
    <t>LMST03020172</t>
  </si>
  <si>
    <t>[C@@H]1(O)C(=C)/C(=C\C=C2\[C@]3([H])CC[C@@]([H])([C@@]3(C)CCC\2)[C@]([H])(C)/C=C/CC(O)(C)C)/C[C@@H](O)C1</t>
  </si>
  <si>
    <t>PVMSHKLGXLTEAP-VPJXIOEYSA-N</t>
  </si>
  <si>
    <t>FT4280PR</t>
  </si>
  <si>
    <t>Avenanthramide 1p</t>
  </si>
  <si>
    <t>燕麦生物碱 1p</t>
  </si>
  <si>
    <t>HMDB0029282</t>
  </si>
  <si>
    <t>115610-36-1</t>
  </si>
  <si>
    <t>OC(=O)C1=C(NC(=O)\C=C\C2=CC=C(O)C=C2)C=CC=C1</t>
  </si>
  <si>
    <t>INBHLTYBRKASIZ-JXMROGBWSA-N</t>
  </si>
  <si>
    <t>C16H13NO4</t>
  </si>
  <si>
    <t>FT3872PR</t>
  </si>
  <si>
    <t>4-Amino-3-hydroxybutanoylcarnitine</t>
  </si>
  <si>
    <t>4-氨基-3-羟基丁酰肉碱</t>
  </si>
  <si>
    <t>HMDB0241810</t>
  </si>
  <si>
    <t>C[N+](C)(C)CC(CC([O-])=O)OC(=O)CC(O)CN</t>
  </si>
  <si>
    <t>AOCBVTCNGCHPPQ-UHFFFAOYSA-N</t>
  </si>
  <si>
    <t>C11H22N2O5</t>
  </si>
  <si>
    <t>FT1617PR</t>
  </si>
  <si>
    <t>Dithiobiuret</t>
  </si>
  <si>
    <t>2,4-二硫代缩二脲</t>
  </si>
  <si>
    <t>HMDB0251491</t>
  </si>
  <si>
    <t>SC(=N)NC(S)=N</t>
  </si>
  <si>
    <t>JIRRNZWTWJGJCT-UHFFFAOYSA-N</t>
  </si>
  <si>
    <t>C2H5N3S2</t>
  </si>
  <si>
    <t>FT5123PR</t>
  </si>
  <si>
    <t>C25:1 Highly branched isoprenoid</t>
  </si>
  <si>
    <t>C25:1 高度支化的类异戊二烯</t>
  </si>
  <si>
    <t>LMPR0105010012</t>
  </si>
  <si>
    <t>CC(CCCC(C)C(CCC(C)C=C)CCC(CCCC(C)C)C)C</t>
  </si>
  <si>
    <t>BZFIQKGXWZTFQC-UHFFFAOYSA-N</t>
  </si>
  <si>
    <t>87.2100, 88.4833, 95.4805, 155.2900, 185.1708, 240.8861, 291.3559, 367.8557, 368.2484, 368.4246</t>
  </si>
  <si>
    <t>C25H50</t>
  </si>
  <si>
    <t>FT0478NR</t>
  </si>
  <si>
    <t>Prolyl</t>
  </si>
  <si>
    <t>脯氨酰</t>
  </si>
  <si>
    <t>HMDB0256800</t>
  </si>
  <si>
    <t>O=[C]C1CCCN1</t>
  </si>
  <si>
    <t>PQJJPMUXPWHMDX-UHFFFAOYSA-N</t>
  </si>
  <si>
    <t>C5H8NO</t>
  </si>
  <si>
    <t>FT6153PR</t>
  </si>
  <si>
    <t>Withanolide</t>
  </si>
  <si>
    <t>醉茄内酯</t>
  </si>
  <si>
    <t>HMDB0003218</t>
  </si>
  <si>
    <t>LMST01160018</t>
  </si>
  <si>
    <t>C08842</t>
  </si>
  <si>
    <t>30655-48-2</t>
  </si>
  <si>
    <t>O1[C@]2([H])C[C@@]3([H])[C@]4([H])CC[C@]([H])([C@](C)([C@@]5([H])CC(C)=C(C)C(=O)O5)O)[C@@]4(C)CC[C@]3([H])[C@]3(C(C=C[C@@H](C132)O)=O)C</t>
  </si>
  <si>
    <t>SASUFNRGCZMRFD-LYOLWDNZSA-N</t>
  </si>
  <si>
    <t>C28H38O6</t>
  </si>
  <si>
    <t>FT1601PR</t>
  </si>
  <si>
    <t>1-(2-Chloroethyl)-1-nitrosourea</t>
  </si>
  <si>
    <t>1-(2-氯乙基)-1-亚硝基脲</t>
  </si>
  <si>
    <t>HMDB0243777</t>
  </si>
  <si>
    <t>NC(=O)N(CCCl)N=O</t>
  </si>
  <si>
    <t>NVKGVBZZSJFQLM-UHFFFAOYSA-N</t>
  </si>
  <si>
    <t>134.0598, 135.0274, 135.0349, 152.0172, 152.0312, 152.0556, 152.0699, 152.0820, 152.1062, 170.0202</t>
  </si>
  <si>
    <t>C3H6ClN3O2</t>
  </si>
  <si>
    <t>FT4072PR</t>
  </si>
  <si>
    <t>Pentrinitrol</t>
  </si>
  <si>
    <t>戊硝醇</t>
  </si>
  <si>
    <t>HMDB0256293</t>
  </si>
  <si>
    <t>OCC(CO[N+]([O-])=O)(CO[N+]([O-])=O)CO[N+]([O-])=O</t>
  </si>
  <si>
    <t>BRBAEHHXGZRCBK-UHFFFAOYSA-N</t>
  </si>
  <si>
    <t>C5H9N3O10</t>
  </si>
  <si>
    <t>FT1999PR</t>
  </si>
  <si>
    <t>3-(4-Methyl-3-pentenyl)thiophene</t>
  </si>
  <si>
    <t>3-(4-甲基-3-戊烯基)噻吩</t>
  </si>
  <si>
    <t>HMDB0038183</t>
  </si>
  <si>
    <t>62469-65-2</t>
  </si>
  <si>
    <t>CC(C)=CCCC1=CSC=C1</t>
  </si>
  <si>
    <t>UAGFAMQTBLSQSU-UHFFFAOYSA-N</t>
  </si>
  <si>
    <t>149.1325, 150.0627, 166.9436, 167.0332, 167.0569, 167.0702, 167.0892, 167.1068, 167.1419, 167.9308</t>
  </si>
  <si>
    <t>C10H14S</t>
  </si>
  <si>
    <t>FT6089PR</t>
  </si>
  <si>
    <t>11-(3-Methyl-5-pentylfuran-2-yl)undecanoylcarnitine</t>
  </si>
  <si>
    <t>11-(3-甲基-5-戊基呋喃-2-基)十一酰肉碱</t>
  </si>
  <si>
    <t>HMDB0241908</t>
  </si>
  <si>
    <t>CCCCCC1=CC(C)=C(CCCCCCCCCCC(=O)OC(CC([O-])=O)C[N+](C)(C)C)O1</t>
  </si>
  <si>
    <t>KLBGZNYVLGQNCO-UHFFFAOYSA-N</t>
  </si>
  <si>
    <t>C28H49NO5</t>
  </si>
  <si>
    <t>FT2910PR</t>
  </si>
  <si>
    <t>4-Amino-1,8-naphthalimide</t>
  </si>
  <si>
    <t>4-氨基-1,8-萘二胺</t>
  </si>
  <si>
    <t>HMDB0246338</t>
  </si>
  <si>
    <t>NC1=CC=C2C(=O)NC(=O)C3=CC=CC1=C23</t>
  </si>
  <si>
    <t>SSMIFVHARFVINF-UHFFFAOYSA-N</t>
  </si>
  <si>
    <t>177.0910, 177.1634, 195.1370, 195.1738, 205.3956, 213.0669, 213.0844, 213.1092, 213.1437, 213.1850</t>
  </si>
  <si>
    <t>C12H8N2O2</t>
  </si>
  <si>
    <t>FT3577PR</t>
  </si>
  <si>
    <t>4H-1,3,2-Benzodioxaphosphorin, 2-(2-methylphenoxy)-, 2-oxide</t>
  </si>
  <si>
    <t>2-(邻甲苯基氧基)-4H-苯并[D][1,3,2]二氧杂膦杂环己烷-2-氧化物</t>
  </si>
  <si>
    <t>HMDB0249713</t>
  </si>
  <si>
    <t>CC1=CC=CC=C1OP1(=O)OCC2=CC=CC=C2O1</t>
  </si>
  <si>
    <t>LKQSEFCGKYFESN-UHFFFAOYSA-N</t>
  </si>
  <si>
    <t>C14H13O4P</t>
  </si>
  <si>
    <t>FT4933NR</t>
  </si>
  <si>
    <t>Cinaciguat</t>
  </si>
  <si>
    <t>西那西呱</t>
  </si>
  <si>
    <t>HMDB0250257</t>
  </si>
  <si>
    <t>R-HSA-109582,R-HSA-392154,R-HSA-397014,R-HSA-418346,R-HSA-445355</t>
  </si>
  <si>
    <t>Hemostasis|Nitric oxide stimulates guanylate cyclase|Muscle contraction|Platelet homeostasis|Smooth Muscle Contraction</t>
  </si>
  <si>
    <t>OC(=O)CCCCN(CCC1=CC=CC=C1OCC1=CC=C(CCC2=CC=CC=C2)C=C1)CC1=CC=C(C=C1)C(O)=O</t>
  </si>
  <si>
    <t>WPYWMXNXEZFMAK-UHFFFAOYSA-N</t>
  </si>
  <si>
    <t>C36H39NO5</t>
  </si>
  <si>
    <t>FT5611PR</t>
  </si>
  <si>
    <t>4,4'-Diapo-zeta-carotene</t>
  </si>
  <si>
    <t>4,4'-Diapo-zeta-胡萝卜素</t>
  </si>
  <si>
    <t>LMPR01070142</t>
  </si>
  <si>
    <t>C19841</t>
  </si>
  <si>
    <t>C/C(/C)=C/CC/C(/C)=C/C=C/C(/C)=C/C=C/C=C(\C)/C=C/C=C(\C)/CC/C=C(\C)/C</t>
  </si>
  <si>
    <t>JJMKRPXUHIPSAW-ZOKJSSERSA-N</t>
  </si>
  <si>
    <t>328.8991, 344.8759, 346.9099, 354.0166, 362.8851, 364.9188, 380.8972, 385.9028, 421.8942, 422.2128</t>
  </si>
  <si>
    <t>C30H44</t>
  </si>
  <si>
    <t>FT2714NR</t>
  </si>
  <si>
    <t>Thiacremonone</t>
  </si>
  <si>
    <t>噻克酮</t>
  </si>
  <si>
    <t>HMDB0035901</t>
  </si>
  <si>
    <t>96504-28-8</t>
  </si>
  <si>
    <t>CC1=C(O)C(=O)C(C)(O)S1</t>
  </si>
  <si>
    <t>JYMIRUWYSKOKRU-UHFFFAOYSA-N</t>
  </si>
  <si>
    <t>163.0737, 176.4352, 177.0531, 205.4002, 217.0841, 261.0738, 275.0423, 302.6962, 319.0324, 319.0755</t>
  </si>
  <si>
    <t>C6H8O3S</t>
  </si>
  <si>
    <t>FT4485NR</t>
  </si>
  <si>
    <t>gibberellin A2 O-beta-D-glucoside</t>
  </si>
  <si>
    <t>赤霉素A2 O-β-D-葡萄糖苷</t>
  </si>
  <si>
    <t>LMPR0104170037</t>
  </si>
  <si>
    <t>C[C@@]12C(=O)O[C@]3(CC[C@@H]1O[C@@H]1O[C@H](CO)[C@@H](O)[C@H](O)[C@H]1O)[C@@H]1CC[C@@H]4C[C@]1(C[C@@]4(C)O)[C@@H](C(=O)O)[C@@H]32</t>
  </si>
  <si>
    <t>WTKQZMGIUAMURO-VKFLIQGRSA-N</t>
  </si>
  <si>
    <t>C25H36O11</t>
  </si>
  <si>
    <t>FT4139NR</t>
  </si>
  <si>
    <t>Valtratum</t>
  </si>
  <si>
    <t>戊曲酯</t>
  </si>
  <si>
    <t>LMPR0102070015</t>
  </si>
  <si>
    <t>C09801</t>
  </si>
  <si>
    <t>[C@@]12(OC1)[C@@H](OC(=O)CC(C)C)C=C1C(COC(=O)C)=CO[C@@H](OC(=O)CC(C)C)[C@]21[H]</t>
  </si>
  <si>
    <t>BDIAUFOIMFAIPU-KVJIRVJXSA-N</t>
  </si>
  <si>
    <t>176.8205, 205.3932, 278.5865, 291.1574, 372.0857, 448.1681, 467.0639, 467.1912, 485.4827, 486.0802</t>
  </si>
  <si>
    <t>C22H30O8</t>
  </si>
  <si>
    <t>FT5872PR</t>
  </si>
  <si>
    <t>3-Phenylpropyl glucosinolate</t>
  </si>
  <si>
    <t>3-苯基丙基芥子油苷</t>
  </si>
  <si>
    <t>HMDB0038422</t>
  </si>
  <si>
    <t>76265-25-3</t>
  </si>
  <si>
    <t>OCC1OC(S\C(CCCC2=CC=CC=C2)=N\OS(O)(=O)=O)C(O)C(O)C1O</t>
  </si>
  <si>
    <t>AAVHHGNQWFTUKS-SFQUDFHCSA-N</t>
  </si>
  <si>
    <t>74.8003, 74.9497, 119.8749, 205.4080, 261.2372, 269.8812, 352.5633, 357.2511, 384.8395, 455.1155</t>
  </si>
  <si>
    <t>C16H23NO9S2</t>
  </si>
  <si>
    <t>FT4809PR</t>
  </si>
  <si>
    <t>N-Myristoyl Glutamine</t>
  </si>
  <si>
    <t>N-肉豆蔻酰谷氨酰胺</t>
  </si>
  <si>
    <t>HMDB0242050</t>
  </si>
  <si>
    <t>CCCCCCCCCCCCCC(=O)NC(CCC(N)=O)C(O)=O</t>
  </si>
  <si>
    <t>GQCSFCKGCIEEJN-UHFFFAOYSA-N</t>
  </si>
  <si>
    <t>229.1587, 229.1950, 239.1790, 241.1948, 243.1736, 257.1898, 265.1948, 321.2573, 337.6836, 339.2676</t>
  </si>
  <si>
    <t>C19H36N2O4</t>
  </si>
  <si>
    <t>FT2341PR</t>
  </si>
  <si>
    <t>Creatinine lactate</t>
  </si>
  <si>
    <t>乳酸肌酐</t>
  </si>
  <si>
    <t>HMDB0250531</t>
  </si>
  <si>
    <t>CC(O)C(=O)OC1N(C)C(N)=NC1=O</t>
  </si>
  <si>
    <t>UGYSVGODSJUOFI-UHFFFAOYSA-N</t>
  </si>
  <si>
    <t>C7H11N3O4</t>
  </si>
  <si>
    <t>FT2926NR</t>
  </si>
  <si>
    <t>2-hydroxy-3-(4-methoxy-3-sulooxyphenyl)propanoic acid</t>
  </si>
  <si>
    <t>2-羟基-3-(4-甲氧基-3-磺氧基苯基)丙酸</t>
  </si>
  <si>
    <t>COc1ccc(CC(O)C(=O)O)cc1OS(=O)(=O)O</t>
  </si>
  <si>
    <t>QOYSEFLGVZYPQO-UHFFFAOYSA-N</t>
  </si>
  <si>
    <t>C10H12O8S</t>
  </si>
  <si>
    <t>FT2844PR</t>
  </si>
  <si>
    <t>Undecan-6-one</t>
  </si>
  <si>
    <t>二正戊基酮</t>
  </si>
  <si>
    <t>HMDB0030943</t>
  </si>
  <si>
    <t>LMFA12000062</t>
  </si>
  <si>
    <t>927-49-1</t>
  </si>
  <si>
    <t>CCCCCC(=O)CCCCC</t>
  </si>
  <si>
    <t>ZPQAKYPOZRXKFA-UHFFFAOYSA-N</t>
  </si>
  <si>
    <t>192.1252, 197.0285, 197.5298, 205.4001, 208.5740, 209.0772, 209.0971, 209.1289, 209.1538, 209.1897</t>
  </si>
  <si>
    <t>FT5746PR</t>
  </si>
  <si>
    <t>Yinyanghuo A</t>
  </si>
  <si>
    <t>阴阳火A</t>
  </si>
  <si>
    <t>LMPK12110428</t>
  </si>
  <si>
    <t>C12C(=O)C=C(C3C=C(CC(O)C(C)=C)C4OC(C)(C)C=CC=4C=3)OC=1C=C(O)C=C2O</t>
  </si>
  <si>
    <t>ZAUWPDSVLSOCDG-UHFFFAOYSA-N</t>
  </si>
  <si>
    <t>243.1203, 257.1363, 257.9876, 271.1524, 287.1462, 289.1257, 301.1628, 302.7052, 347.1661, 438.1931</t>
  </si>
  <si>
    <t>C25H24O6</t>
  </si>
  <si>
    <t>FT6012PR</t>
  </si>
  <si>
    <t>(4Z,7Z,10Z,13Z,16Z,19Z)-Docosa-4,7,10,13,16,19-hexaenoylcarnitine</t>
  </si>
  <si>
    <t>(4Z,7Z,10Z,13Z,16Z,19Z)-Docosa-4,7,10,13,16,19-己烯酰肉碱</t>
  </si>
  <si>
    <t>HMDB0241612</t>
  </si>
  <si>
    <t>CCC=CCC=CCC=CCC=CCC=CCC=CCCC(=O)OC(CC([O-])=O)C[N+](C)(C)C</t>
  </si>
  <si>
    <t>WLLMYDQRCSWAST-UHFFFAOYSA-N</t>
  </si>
  <si>
    <t>C29H45NO4</t>
  </si>
  <si>
    <t>FT2890PR</t>
  </si>
  <si>
    <t>2-Nitrofluorene</t>
  </si>
  <si>
    <t>2-硝基芴</t>
  </si>
  <si>
    <t>HMDB0245257</t>
  </si>
  <si>
    <t>C10923</t>
  </si>
  <si>
    <t>607-57-8</t>
  </si>
  <si>
    <t>O=N(=O)C1=CC=C2C(CC3=CC=CC=C23)=C1</t>
  </si>
  <si>
    <t>XFOHWECQTFIEIX-UHFFFAOYSA-N</t>
  </si>
  <si>
    <t>Fluorenes</t>
  </si>
  <si>
    <t>芴</t>
  </si>
  <si>
    <t>153.0365, 167.8096, 171.0555, 194.0944, 194.1149, 205.4092, 212.0485, 212.0714, 212.1254, 212.1624</t>
  </si>
  <si>
    <t>C13H9NO2</t>
  </si>
  <si>
    <t>FT2697NR</t>
  </si>
  <si>
    <t>Aspartyl-Histidine</t>
  </si>
  <si>
    <t>天冬氨酰-组氨酸</t>
  </si>
  <si>
    <t>HMDB0028755</t>
  </si>
  <si>
    <t>NC(CC(O)=O)C(=O)NC(CC1=CN=CN1)C(O)=O</t>
  </si>
  <si>
    <t>HSPSXROIMXIJQW-UHFFFAOYSA-N</t>
  </si>
  <si>
    <t>C10H14N4O5</t>
  </si>
  <si>
    <t>FT0200NR</t>
  </si>
  <si>
    <t>Furazan</t>
  </si>
  <si>
    <t>1,2,5-【口+咢】二氮唑</t>
  </si>
  <si>
    <t>HMDB0252535</t>
  </si>
  <si>
    <t>O1N=CC=N1</t>
  </si>
  <si>
    <t>JKFAIQOWCVVSKC-UHFFFAOYSA-N</t>
  </si>
  <si>
    <t>Oxadiazoles</t>
  </si>
  <si>
    <t>恶二唑类</t>
  </si>
  <si>
    <t>C2H2N2O</t>
  </si>
  <si>
    <t>FT3326NR</t>
  </si>
  <si>
    <t>N-(2,3-Dihydroxypropyl)valine</t>
  </si>
  <si>
    <t>N-(2,3-二羟丙基)缬氨酸</t>
  </si>
  <si>
    <t>HMDB0254994</t>
  </si>
  <si>
    <t>CC(C)C(NCC(O)CO)C(O)=O</t>
  </si>
  <si>
    <t>XSRKHYQASYXTMX-UHFFFAOYSA-N</t>
  </si>
  <si>
    <t>71.8195, 99.0813, 132.1136, 135.6127, 140.6036, 169.1602, 186.1538, 313.2375, 381.2253, 404.9229</t>
  </si>
  <si>
    <t>C8H17NO4</t>
  </si>
  <si>
    <t>FT1754PR</t>
  </si>
  <si>
    <t>4-Phenyl-1,2,4-triazoline-3,5-dione</t>
  </si>
  <si>
    <t>4-苯基-3H-1,2,4-三唑啉-3,5-二酮</t>
  </si>
  <si>
    <t>HMDB0246568</t>
  </si>
  <si>
    <t>O=C1N=NC(=O)N1C1=CC=CC=C1</t>
  </si>
  <si>
    <t>ISULLEUFOQSBGY-UHFFFAOYSA-N</t>
  </si>
  <si>
    <t>C8H5N3O2</t>
  </si>
  <si>
    <t>FT4443PR</t>
  </si>
  <si>
    <t>9-Heneicosene</t>
  </si>
  <si>
    <t>9-二十碳烯</t>
  </si>
  <si>
    <t>LMFA11000547</t>
  </si>
  <si>
    <t>CCCCCCCC/C=C/CCCCCCCCCCC</t>
  </si>
  <si>
    <t>NVBODECJSYHQIE-HTXNQAPBSA-N</t>
  </si>
  <si>
    <t>C21H42</t>
  </si>
  <si>
    <t>FT5449PR</t>
  </si>
  <si>
    <t>l-lysyl-l-lysyl-l-lysine</t>
  </si>
  <si>
    <t>L-赖氨酰-L-赖氨酰-L-赖氨酸</t>
  </si>
  <si>
    <t>HMDB0253899</t>
  </si>
  <si>
    <t>NCCCCC(N)C(=O)NC(CCCCN)C(=O)NC(CCCCN)C(O)=O</t>
  </si>
  <si>
    <t>WBSCNDJQPKSPII-UHFFFAOYSA-N</t>
  </si>
  <si>
    <t>C18H38N6O4</t>
  </si>
  <si>
    <t>FT3205NR</t>
  </si>
  <si>
    <t>Oliceridine</t>
  </si>
  <si>
    <t>奥利西里丁</t>
  </si>
  <si>
    <t>HMDB0255950</t>
  </si>
  <si>
    <t>COC1=C(CNCCC2(CCOC3(CCCC3)C2)C2=CC=CC=N2)SC=C1</t>
  </si>
  <si>
    <t>DMNOVGJWPASQDL-UHFFFAOYSA-N</t>
  </si>
  <si>
    <t>C22H30N2O2S</t>
  </si>
  <si>
    <t>FT4336NR</t>
  </si>
  <si>
    <t>Methylphenobarbital</t>
  </si>
  <si>
    <t>甲基苯巴比妥</t>
  </si>
  <si>
    <t>HMDB0014987</t>
  </si>
  <si>
    <t>C07829</t>
  </si>
  <si>
    <t>115-38-8</t>
  </si>
  <si>
    <t>CCC1(C(=O)NC(=O)N(C)C1=O)C1=CC=CC=C1</t>
  </si>
  <si>
    <t>ALARQZQTBTVLJV-UHFFFAOYSA-N</t>
  </si>
  <si>
    <t>155.8006, 160.2739, 211.5182, 217.0028, 250.7984, 290.6664, 302.6975, 318.1660, 350.3817, 490.9862</t>
  </si>
  <si>
    <t>FT3227NR</t>
  </si>
  <si>
    <t>Ecgonine</t>
  </si>
  <si>
    <t>3-羟基-8-甲基-8-氮杂双环[3.2.1]辛烷-2-羧酸</t>
  </si>
  <si>
    <t>HMDB0006548</t>
  </si>
  <si>
    <t>C10858</t>
  </si>
  <si>
    <t>481-37-8</t>
  </si>
  <si>
    <t>CN1C2CCC1[C@H]([C@@H](O)C2)C(O)=O</t>
  </si>
  <si>
    <t>PHMBVCPLDPDESM-RLXKETGRSA-N</t>
  </si>
  <si>
    <t>53.92289, 63.04559, 78.58664, 82.58831, 257.2272, 301.21649, 326.61826, 369.20422</t>
  </si>
  <si>
    <t>C9H15NO3</t>
  </si>
  <si>
    <t>FT5095NR</t>
  </si>
  <si>
    <t>Liposomal Amikacin</t>
  </si>
  <si>
    <t>阿米卡星脂质体</t>
  </si>
  <si>
    <t>HMDB0254120</t>
  </si>
  <si>
    <t>NCCC(O)C(=O)NC1CC(N)C(OC2OC(CN)C(O)C(O)C2O)C(O)C1OC1OC(CO)C(O)C(N)C1O</t>
  </si>
  <si>
    <t>LKCWBDHBTVXHDL-UHFFFAOYSA-N</t>
  </si>
  <si>
    <t>448.3060, 449.3075, 452.2764, 470.2889, 502.9351, 516.2931, 517.2941, 538.2768, 584.2808, 585.2855</t>
  </si>
  <si>
    <t>C22H43N5O13</t>
  </si>
  <si>
    <t>FT4222NR</t>
  </si>
  <si>
    <t>Diglyceryl monooleate</t>
  </si>
  <si>
    <t>单油酸二甘油酯</t>
  </si>
  <si>
    <t>HMDB0251281</t>
  </si>
  <si>
    <t>CCCCCCCCC=CCCCCCCCC(=O)OC(O)CCOCCC(O)O</t>
  </si>
  <si>
    <t>PVTCPBFBMLIOTI-UHFFFAOYSA-N</t>
  </si>
  <si>
    <t>72.9925, 75.0086, 85.0293, 87.0089, 113.0239, 155.2436, 185.4491, 237.0190, 475.3269, 476.3345</t>
  </si>
  <si>
    <t>C24H46O6</t>
  </si>
  <si>
    <t>FT5464NR</t>
  </si>
  <si>
    <t>PI(19:1/0:0)</t>
  </si>
  <si>
    <t>磷脂酰肌醇(19:1/0:0)</t>
  </si>
  <si>
    <t>LMGP06050018</t>
  </si>
  <si>
    <t>[C@]([H])(O)(COP(=O)(O)O[C@H]1[C@H](O)[C@@H](O)[C@H](O)[C@@H](O)[C@H]1O)COC(CCCCCCC/C=C\CCCCCCCCC)=O</t>
  </si>
  <si>
    <t>USRBSGCIOAIXMX-PVUGVYIOSA-N</t>
  </si>
  <si>
    <t>194.3234, 205.3950, 254.6677, 255.2323, 320.2421, 349.6728, 371.8209, 569.9328, 577.3695, 657.3295</t>
  </si>
  <si>
    <t>C28H53O12P</t>
  </si>
  <si>
    <t>FT3581NR</t>
  </si>
  <si>
    <t>1-Methyl 2-galloylgalactarate</t>
  </si>
  <si>
    <t>2-没食子酰半乳二酸1-甲酯</t>
  </si>
  <si>
    <t>HMDB0036933</t>
  </si>
  <si>
    <t>COC(=O)C(OC(=O)C1=CC(O)=C(O)C(O)=C1)C(O)C(O)C(O)C(O)=O</t>
  </si>
  <si>
    <t>XDMSDABSDRMKOO-UHFFFAOYSA-N</t>
  </si>
  <si>
    <t>291.1121, 302.6859, 302.7176, 313.0648, 313.0962, 352.7846, 373.0018, 375.0011, 410.9692, 411.0322</t>
  </si>
  <si>
    <t>C14H16O12</t>
  </si>
  <si>
    <t>FT0476NR</t>
  </si>
  <si>
    <t>Succinimido</t>
  </si>
  <si>
    <t>琥珀酰亚氨基</t>
  </si>
  <si>
    <t>HMDB0258540</t>
  </si>
  <si>
    <t>[O]C1=NC(=O)CC1</t>
  </si>
  <si>
    <t>HCXJFMDOHDNDCC-UHFFFAOYSA-N</t>
  </si>
  <si>
    <t>C4H4NO2</t>
  </si>
  <si>
    <t>FT4935NR</t>
  </si>
  <si>
    <t>M8-Nelfinavir</t>
  </si>
  <si>
    <t>M8-奈非那韦</t>
  </si>
  <si>
    <t>HMDB0255505</t>
  </si>
  <si>
    <t>CC1=C(C=CC=C1O)C(=O)NC(CSC1=CC=CC=C1)C(O)CN1CC2CCCCC2CC1C(=O)NC(C)(C)CO</t>
  </si>
  <si>
    <t>SLEPDNKZXLVSOH-UHFFFAOYSA-N</t>
  </si>
  <si>
    <t>C32H45N3O5S</t>
  </si>
  <si>
    <t>FT4098NR</t>
  </si>
  <si>
    <t>Glycohyocholate</t>
  </si>
  <si>
    <t>甘草胆酸</t>
  </si>
  <si>
    <t>HMDB0242179</t>
  </si>
  <si>
    <t>[H][C@@](C)(CCC([O-])=NCC(O)=O)[C@@]1([H])CC[C@@]2([H])[C@]3([H])[C@]([H])(O)[C@]([H])(O)[C@]4([H])C[C@]([H])(O)CC[C@]4(C)[C@@]3([H])CC[C@]12C</t>
  </si>
  <si>
    <t>ZQYUKJFJPJDMMR-ZDWCHQGWSA-M</t>
  </si>
  <si>
    <t>74.0245, 84.7473, 87.0733, 92.3511, 93.4120, 98.9155, 191.9446, 439.5526, 464.3008, 465.3012</t>
  </si>
  <si>
    <t>C26H42NO6</t>
  </si>
  <si>
    <t>FT3968NR</t>
  </si>
  <si>
    <t>(22E,24R)-ergosta-4,6,8(14),22-tetraen-3,15-dione</t>
  </si>
  <si>
    <t>(22E,24R)-麦角甾-4,6,8(14),22-四烯-3,15-二酮</t>
  </si>
  <si>
    <t>LMST01031194</t>
  </si>
  <si>
    <t>C1CC(=O)C=C2C=CC3=C4C(=O)C[C@]([H])([C@]([H])(C)/C=C/[C@H](C)C(C)C)[C@@]4(C)CC[C@]3([H])[C@@]12C</t>
  </si>
  <si>
    <t>GQXHQDCLIABAJK-FYQXRWMHSA-N</t>
  </si>
  <si>
    <t>C28H38O2</t>
  </si>
  <si>
    <t>FT4755PR</t>
  </si>
  <si>
    <t>(E)-5-(1-(2-Hydroxyethyl)-3-(pyridin-4-yl)-1H-pyrazol-4-yl)-2,3-dihydro-1H-inden-1-one oxime</t>
  </si>
  <si>
    <t>2,3-二氢-5-[1-(2-羟基乙基)-3-(4-吡啶基)-1H-吡唑-4-基]-1H-茚-1-酮肟</t>
  </si>
  <si>
    <t>HMDB0252658</t>
  </si>
  <si>
    <t>OCCN1C=C(C(=N1)C1=CC=NC=C1)C1=CC2=C(C=C1)C(CC2)=NO</t>
  </si>
  <si>
    <t>DEZZLWQELQORIU-UHFFFAOYSA-N</t>
  </si>
  <si>
    <t>C19H18N4O2</t>
  </si>
  <si>
    <t>FT3994NR</t>
  </si>
  <si>
    <t>3-keto-petromyzonol sulfate</t>
  </si>
  <si>
    <t xml:space="preserve"> 3-酮-石油迷素硫酸盐</t>
  </si>
  <si>
    <t>LMST04010454</t>
  </si>
  <si>
    <t>C1CC(=O)C[C@]2([H])C[C@@H](O)[C@@]3([H])[C@]4([H])CC[C@H]([C@H](C)CCCOS(O)(=O)=O)[C@@]4(C)[C@@H](O)C[C@]3([H])[C@@]12C</t>
  </si>
  <si>
    <t>OAKDBNNISQJEJA-RTYFXBAISA-N</t>
  </si>
  <si>
    <t>FT3516NR</t>
  </si>
  <si>
    <t>Niazimicin</t>
  </si>
  <si>
    <t>尼亚齐米星</t>
  </si>
  <si>
    <t>HMDB0031944</t>
  </si>
  <si>
    <t>147821-49-6</t>
  </si>
  <si>
    <t>CCOC(=S)NCC1=CC=C(O[C@@H]2O[C@@H](C)[C@H](O)[C@@H](O)[C@H]2O)C=C1</t>
  </si>
  <si>
    <t>JOSHUAQJVMGTGS-NBUQLFNLSA-N</t>
  </si>
  <si>
    <t>C16H23NO6S</t>
  </si>
  <si>
    <t>FT6415PR</t>
  </si>
  <si>
    <t>Melianthusigenin</t>
  </si>
  <si>
    <t>苦花皂甙元</t>
  </si>
  <si>
    <t>LMST01130052</t>
  </si>
  <si>
    <t>[C@H]12O[C@]3(C)O[C@@]4(CC[C@]5([H])[C@]([H])(CC[C@]6(C)[C@@]([H])(C7C=CC(=O)OC=7)CC[C@]56O)[C@@]14COC(=O)C)C[C@@H](O3)C2</t>
  </si>
  <si>
    <t>RRDZJCCZVWCHID-NSRWUMAOSA-N</t>
  </si>
  <si>
    <t>C28H36O8</t>
  </si>
  <si>
    <t>FT1503PR</t>
  </si>
  <si>
    <t>(5-(but-3-en-1-yn-1-yl)thiophen-2-yl)methanol</t>
  </si>
  <si>
    <t>(5-(丁-3-烯-1-yn-1-基)噻吩-2-基)甲醇</t>
  </si>
  <si>
    <t>LMFA12000349</t>
  </si>
  <si>
    <t>C1(CO)=CC=C(C#CC=C)S1</t>
  </si>
  <si>
    <t>FYRZGWSQPVKQIN-UHFFFAOYSA-N</t>
  </si>
  <si>
    <t>Thiophenes</t>
  </si>
  <si>
    <t>2,5-disubstituted thiophenes</t>
  </si>
  <si>
    <t>噻吩类</t>
  </si>
  <si>
    <t>2,5-二取代噻吩</t>
  </si>
  <si>
    <t>C9H8OS</t>
  </si>
  <si>
    <t>FT1064PR</t>
  </si>
  <si>
    <t>5-Chloro-2,3-pyridinediol</t>
  </si>
  <si>
    <t>5-氯-2,3-二羟基吡啶</t>
  </si>
  <si>
    <t>HMDB0246926</t>
  </si>
  <si>
    <t>OC1=CC(Cl)=CNC1=O</t>
  </si>
  <si>
    <t>AJGLCXBDYCEVIE-UHFFFAOYSA-N</t>
  </si>
  <si>
    <t>C5H4ClNO2</t>
  </si>
  <si>
    <t>Sample</t>
  </si>
  <si>
    <t>Group</t>
  </si>
  <si>
    <t>QC</t>
  </si>
  <si>
    <t>C0</t>
  </si>
  <si>
    <t>C4</t>
  </si>
  <si>
    <t>比较组</t>
  </si>
  <si>
    <t>配对</t>
  </si>
  <si>
    <t>C4/C0</t>
  </si>
</sst>
</file>

<file path=xl/styles.xml><?xml version="1.0" encoding="utf-8"?>
<styleSheet xmlns="http://schemas.openxmlformats.org/spreadsheetml/2006/main">
  <fonts count="5">
    <font>
      <sz val="11"/>
      <color rgb="FF000000"/>
      <name val="Calibri"/>
      <family val="2"/>
      <scheme val="minor"/>
    </font>
    <font>
      <b/>
      <sz val="11"/>
      <color rgb="FF000000"/>
      <name val="Arial"/>
    </font>
    <font>
      <sz val="11"/>
      <color rgb="FF000000"/>
      <name val="Arial"/>
    </font>
    <font>
      <u/>
      <sz val="11"/>
      <color rgb="FF0000FF"/>
      <name val="Calibri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3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S2532"/>
  <sheetViews>
    <sheetView workbookViewId="0">
      <selection activeCell="BM12" sqref="BM12"/>
    </sheetView>
  </sheetViews>
  <sheetFormatPr defaultColWidth="11.42578125" defaultRowHeight="15"/>
  <cols>
    <col min="8" max="8" width="45.7109375" customWidth="1"/>
  </cols>
  <sheetData>
    <row r="1" spans="1:9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</row>
    <row r="2" spans="1:97">
      <c r="A2" s="2" t="s">
        <v>83</v>
      </c>
      <c r="B2" s="2">
        <v>204.12277</v>
      </c>
      <c r="C2" s="2">
        <v>0.78900000000000003</v>
      </c>
      <c r="D2" s="2" t="s">
        <v>84</v>
      </c>
      <c r="E2" s="2" t="s">
        <v>85</v>
      </c>
      <c r="F2" s="2" t="s">
        <v>86</v>
      </c>
      <c r="G2" s="2">
        <v>8332</v>
      </c>
      <c r="H2" s="3" t="str">
        <f>HYPERLINK("https://cloud.oebiotech.com/#/lm/network/8332", "https://cloud.oebiotech.com/#/lm/network/8332")</f>
        <v>https://cloud.oebiotech.com/#/lm/network/8332</v>
      </c>
      <c r="I2" s="2" t="s">
        <v>87</v>
      </c>
      <c r="J2" s="2">
        <v>956</v>
      </c>
      <c r="K2" s="2" t="s">
        <v>88</v>
      </c>
      <c r="L2" s="2">
        <v>7045767</v>
      </c>
      <c r="M2" s="2" t="s">
        <v>89</v>
      </c>
      <c r="N2" s="2" t="s">
        <v>90</v>
      </c>
      <c r="O2" s="2" t="s">
        <v>91</v>
      </c>
      <c r="P2" s="2">
        <v>57589</v>
      </c>
      <c r="Q2" s="2"/>
      <c r="R2" s="2"/>
      <c r="S2" s="2" t="s">
        <v>92</v>
      </c>
      <c r="T2" s="2" t="s">
        <v>93</v>
      </c>
      <c r="U2" s="2" t="s">
        <v>94</v>
      </c>
      <c r="V2" s="2" t="s">
        <v>95</v>
      </c>
      <c r="W2" s="2" t="s">
        <v>96</v>
      </c>
      <c r="X2" s="2" t="s">
        <v>97</v>
      </c>
      <c r="Y2" s="2" t="s">
        <v>98</v>
      </c>
      <c r="Z2" s="2" t="s">
        <v>99</v>
      </c>
      <c r="AA2" s="2" t="s">
        <v>100</v>
      </c>
      <c r="AB2" s="2" t="s">
        <v>101</v>
      </c>
      <c r="AC2" s="2">
        <v>77.319999999999993</v>
      </c>
      <c r="AD2" s="2">
        <v>99.1</v>
      </c>
      <c r="AE2" s="2">
        <v>98.59</v>
      </c>
      <c r="AF2" s="2" t="s">
        <v>102</v>
      </c>
      <c r="AG2" s="2" t="s">
        <v>103</v>
      </c>
      <c r="AH2" s="2" t="s">
        <v>104</v>
      </c>
      <c r="AI2" s="2">
        <v>0.98</v>
      </c>
      <c r="AJ2" s="2">
        <v>29.673598274067299</v>
      </c>
      <c r="AK2" s="2">
        <v>29.4558404623657</v>
      </c>
      <c r="AL2" s="2">
        <v>29.511938241171801</v>
      </c>
      <c r="AM2" s="2">
        <v>29.5002383791863</v>
      </c>
      <c r="AN2" s="2">
        <v>29.691212068024399</v>
      </c>
      <c r="AO2" s="2">
        <v>29.5235530647135</v>
      </c>
      <c r="AP2" s="2">
        <v>29.430567420416601</v>
      </c>
      <c r="AQ2" s="2">
        <v>29.350095364589301</v>
      </c>
      <c r="AR2" s="2">
        <v>29.152322520583802</v>
      </c>
      <c r="AS2" s="2">
        <v>29.370809608221901</v>
      </c>
      <c r="AT2" s="2">
        <v>30.163062950922601</v>
      </c>
      <c r="AU2" s="2">
        <v>29.629681454061799</v>
      </c>
      <c r="AV2" s="2">
        <v>29.1375178369595</v>
      </c>
      <c r="AW2" s="2">
        <v>29.371038833254602</v>
      </c>
      <c r="AX2" s="2">
        <v>29.9935507671515</v>
      </c>
      <c r="AY2" s="2">
        <v>29.388012341436099</v>
      </c>
      <c r="AZ2" s="2">
        <v>29.134243607821499</v>
      </c>
      <c r="BA2" s="2">
        <v>29.132888501403901</v>
      </c>
      <c r="BB2" s="2">
        <v>30.012407097903498</v>
      </c>
      <c r="BC2" s="2">
        <v>30.418965161050899</v>
      </c>
      <c r="BD2" s="2">
        <v>28.9889914184254</v>
      </c>
      <c r="BE2" s="2">
        <v>28.8015373516022</v>
      </c>
      <c r="BF2" s="2">
        <v>29.440862791360999</v>
      </c>
      <c r="BG2" s="2">
        <v>29.684653191093101</v>
      </c>
      <c r="BH2" s="2">
        <v>28.706223815946402</v>
      </c>
      <c r="BI2" s="2">
        <v>30.198766256940502</v>
      </c>
      <c r="BJ2" s="2">
        <v>29.282995797042201</v>
      </c>
      <c r="BK2" s="2">
        <v>29.338270604191798</v>
      </c>
      <c r="BL2" s="2">
        <v>29.289012999532499</v>
      </c>
      <c r="BM2" s="2">
        <v>29.023972661874001</v>
      </c>
      <c r="BN2" s="2">
        <v>29.820477979698602</v>
      </c>
      <c r="BO2" s="2">
        <v>30.164056741359399</v>
      </c>
      <c r="BP2" s="2">
        <v>29.403732870332099</v>
      </c>
      <c r="BQ2" s="2">
        <v>29.596463083671399</v>
      </c>
      <c r="BR2" s="2">
        <v>29.629973100958001</v>
      </c>
      <c r="BS2" s="2">
        <v>28.687449307070899</v>
      </c>
      <c r="BT2" s="2">
        <v>28.4853808496783</v>
      </c>
      <c r="BU2" s="2">
        <v>29.780811186417701</v>
      </c>
      <c r="BV2" s="2">
        <v>28.763119065461598</v>
      </c>
      <c r="BW2" s="2">
        <v>29.2758196391128</v>
      </c>
      <c r="BX2" s="2">
        <v>29.396616913470901</v>
      </c>
      <c r="BY2" s="2">
        <v>29.174067696671901</v>
      </c>
      <c r="BZ2" s="2">
        <v>28.901474645638199</v>
      </c>
      <c r="CA2" s="2">
        <v>29.446257889856501</v>
      </c>
      <c r="CB2" s="2">
        <v>29.329323444535699</v>
      </c>
      <c r="CC2" s="2">
        <v>29.5722543880056</v>
      </c>
      <c r="CD2" s="2">
        <v>28.818322162785101</v>
      </c>
      <c r="CE2" s="2">
        <v>29.8834437419831</v>
      </c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</row>
    <row r="3" spans="1:97">
      <c r="A3" s="2" t="s">
        <v>105</v>
      </c>
      <c r="B3" s="2">
        <v>116.07065</v>
      </c>
      <c r="C3" s="2">
        <v>0.73799999999999999</v>
      </c>
      <c r="D3" s="2" t="s">
        <v>84</v>
      </c>
      <c r="E3" s="2" t="s">
        <v>106</v>
      </c>
      <c r="F3" s="2" t="s">
        <v>107</v>
      </c>
      <c r="G3" s="2">
        <v>48093</v>
      </c>
      <c r="H3" s="3" t="str">
        <f>HYPERLINK("https://cloud.oebiotech.com/#/lm/network/48093", "https://cloud.oebiotech.com/#/lm/network/48093")</f>
        <v>https://cloud.oebiotech.com/#/lm/network/48093</v>
      </c>
      <c r="I3" s="2" t="s">
        <v>108</v>
      </c>
      <c r="J3" s="2">
        <v>58150</v>
      </c>
      <c r="K3" s="2"/>
      <c r="L3" s="2">
        <v>8988</v>
      </c>
      <c r="M3" s="2" t="s">
        <v>109</v>
      </c>
      <c r="N3" s="2" t="s">
        <v>110</v>
      </c>
      <c r="O3" s="2" t="s">
        <v>111</v>
      </c>
      <c r="P3" s="2">
        <v>16313</v>
      </c>
      <c r="Q3" s="2"/>
      <c r="R3" s="2"/>
      <c r="S3" s="2" t="s">
        <v>112</v>
      </c>
      <c r="T3" s="2" t="s">
        <v>113</v>
      </c>
      <c r="U3" s="2" t="s">
        <v>114</v>
      </c>
      <c r="V3" s="2" t="s">
        <v>115</v>
      </c>
      <c r="W3" s="2" t="s">
        <v>116</v>
      </c>
      <c r="X3" s="2" t="s">
        <v>117</v>
      </c>
      <c r="Y3" s="2" t="s">
        <v>118</v>
      </c>
      <c r="Z3" s="2" t="s">
        <v>119</v>
      </c>
      <c r="AA3" s="2" t="s">
        <v>120</v>
      </c>
      <c r="AB3" s="2" t="s">
        <v>101</v>
      </c>
      <c r="AC3" s="2">
        <v>76.599999999999994</v>
      </c>
      <c r="AD3" s="2">
        <v>99.14</v>
      </c>
      <c r="AE3" s="2">
        <v>94.04</v>
      </c>
      <c r="AF3" s="2" t="s">
        <v>121</v>
      </c>
      <c r="AG3" s="2" t="s">
        <v>103</v>
      </c>
      <c r="AH3" s="2" t="s">
        <v>122</v>
      </c>
      <c r="AI3" s="2">
        <v>-0.86</v>
      </c>
      <c r="AJ3" s="2">
        <v>29.342540483392899</v>
      </c>
      <c r="AK3" s="2">
        <v>29.075584023839799</v>
      </c>
      <c r="AL3" s="2">
        <v>29.033124074989999</v>
      </c>
      <c r="AM3" s="2">
        <v>29.217334697298799</v>
      </c>
      <c r="AN3" s="2">
        <v>29.059481921971599</v>
      </c>
      <c r="AO3" s="2">
        <v>29.1618262446143</v>
      </c>
      <c r="AP3" s="2">
        <v>29.225046664362299</v>
      </c>
      <c r="AQ3" s="2">
        <v>29.0357373254189</v>
      </c>
      <c r="AR3" s="2">
        <v>28.7493248807641</v>
      </c>
      <c r="AS3" s="2">
        <v>28.151807645195198</v>
      </c>
      <c r="AT3" s="2">
        <v>28.387261715162801</v>
      </c>
      <c r="AU3" s="2">
        <v>29.1205004927833</v>
      </c>
      <c r="AV3" s="2">
        <v>29.747716710106499</v>
      </c>
      <c r="AW3" s="2">
        <v>29.193607504831299</v>
      </c>
      <c r="AX3" s="2">
        <v>29.250159897344499</v>
      </c>
      <c r="AY3" s="2">
        <v>28.881082437380801</v>
      </c>
      <c r="AZ3" s="2">
        <v>29.1231293403631</v>
      </c>
      <c r="BA3" s="2">
        <v>28.429838731731799</v>
      </c>
      <c r="BB3" s="2">
        <v>29.2316726552564</v>
      </c>
      <c r="BC3" s="2">
        <v>28.3508219973221</v>
      </c>
      <c r="BD3" s="2">
        <v>28.514068072575501</v>
      </c>
      <c r="BE3" s="2">
        <v>28.926556118091401</v>
      </c>
      <c r="BF3" s="2">
        <v>29.758903208640199</v>
      </c>
      <c r="BG3" s="2">
        <v>29.065405743760401</v>
      </c>
      <c r="BH3" s="2">
        <v>29.007668960956501</v>
      </c>
      <c r="BI3" s="2">
        <v>28.809626015499401</v>
      </c>
      <c r="BJ3" s="2">
        <v>28.8691059086505</v>
      </c>
      <c r="BK3" s="2">
        <v>29.3573730826146</v>
      </c>
      <c r="BL3" s="2">
        <v>28.68342350584</v>
      </c>
      <c r="BM3" s="2">
        <v>29.5994638160923</v>
      </c>
      <c r="BN3" s="2">
        <v>29.229561003468898</v>
      </c>
      <c r="BO3" s="2">
        <v>28.7988714996449</v>
      </c>
      <c r="BP3" s="2">
        <v>29.7666923940758</v>
      </c>
      <c r="BQ3" s="2">
        <v>29.3572142955332</v>
      </c>
      <c r="BR3" s="2">
        <v>29.595312650062901</v>
      </c>
      <c r="BS3" s="2">
        <v>29.241780816831799</v>
      </c>
      <c r="BT3" s="2">
        <v>28.394265917092401</v>
      </c>
      <c r="BU3" s="2">
        <v>29.17001465873</v>
      </c>
      <c r="BV3" s="2">
        <v>28.804319041849102</v>
      </c>
      <c r="BW3" s="2">
        <v>28.519581234216101</v>
      </c>
      <c r="BX3" s="2">
        <v>29.403982539544401</v>
      </c>
      <c r="BY3" s="2">
        <v>29.432637171071399</v>
      </c>
      <c r="BZ3" s="2">
        <v>30.1131357999685</v>
      </c>
      <c r="CA3" s="2">
        <v>29.860712230327302</v>
      </c>
      <c r="CB3" s="2">
        <v>28.433499158403698</v>
      </c>
      <c r="CC3" s="2">
        <v>29.081759887251501</v>
      </c>
      <c r="CD3" s="2">
        <v>29.122440933714799</v>
      </c>
      <c r="CE3" s="2">
        <v>28.620805131893398</v>
      </c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</row>
    <row r="4" spans="1:97">
      <c r="A4" s="2" t="s">
        <v>123</v>
      </c>
      <c r="B4" s="2">
        <v>282.27850999999998</v>
      </c>
      <c r="C4" s="2">
        <v>12.814</v>
      </c>
      <c r="D4" s="2" t="s">
        <v>84</v>
      </c>
      <c r="E4" s="2" t="s">
        <v>124</v>
      </c>
      <c r="F4" s="2" t="s">
        <v>125</v>
      </c>
      <c r="G4" s="2">
        <v>6694</v>
      </c>
      <c r="H4" s="3" t="str">
        <f>HYPERLINK("https://cloud.oebiotech.com/#/lm/network/6694", "https://cloud.oebiotech.com/#/lm/network/6694")</f>
        <v>https://cloud.oebiotech.com/#/lm/network/6694</v>
      </c>
      <c r="I4" s="2"/>
      <c r="J4" s="2">
        <v>46520</v>
      </c>
      <c r="K4" s="2" t="s">
        <v>126</v>
      </c>
      <c r="L4" s="2">
        <v>9903401</v>
      </c>
      <c r="M4" s="2"/>
      <c r="N4" s="2"/>
      <c r="O4" s="2"/>
      <c r="P4" s="2"/>
      <c r="Q4" s="2"/>
      <c r="R4" s="2"/>
      <c r="S4" s="2"/>
      <c r="T4" s="2" t="s">
        <v>127</v>
      </c>
      <c r="U4" s="2" t="s">
        <v>128</v>
      </c>
      <c r="V4" s="2" t="s">
        <v>95</v>
      </c>
      <c r="W4" s="2" t="s">
        <v>96</v>
      </c>
      <c r="X4" s="2" t="s">
        <v>129</v>
      </c>
      <c r="Y4" s="2" t="s">
        <v>98</v>
      </c>
      <c r="Z4" s="2" t="s">
        <v>99</v>
      </c>
      <c r="AA4" s="2" t="s">
        <v>130</v>
      </c>
      <c r="AB4" s="2" t="s">
        <v>101</v>
      </c>
      <c r="AC4" s="2">
        <v>76.42</v>
      </c>
      <c r="AD4" s="2">
        <v>99.5</v>
      </c>
      <c r="AE4" s="2">
        <v>99.03</v>
      </c>
      <c r="AF4" s="2" t="s">
        <v>131</v>
      </c>
      <c r="AG4" s="2" t="s">
        <v>132</v>
      </c>
      <c r="AH4" s="2" t="s">
        <v>133</v>
      </c>
      <c r="AI4" s="2">
        <v>2.13</v>
      </c>
      <c r="AJ4" s="2">
        <v>28.179064859850399</v>
      </c>
      <c r="AK4" s="2">
        <v>27.9665931126553</v>
      </c>
      <c r="AL4" s="2">
        <v>27.753322249993602</v>
      </c>
      <c r="AM4" s="2">
        <v>27.927765448753998</v>
      </c>
      <c r="AN4" s="2">
        <v>27.876336687884301</v>
      </c>
      <c r="AO4" s="2">
        <v>27.984739560587801</v>
      </c>
      <c r="AP4" s="2">
        <v>27.834301456939901</v>
      </c>
      <c r="AQ4" s="2">
        <v>27.826290415258399</v>
      </c>
      <c r="AR4" s="2">
        <v>29.368471478802899</v>
      </c>
      <c r="AS4" s="2">
        <v>30.0365742415648</v>
      </c>
      <c r="AT4" s="2">
        <v>29.763706236411299</v>
      </c>
      <c r="AU4" s="2">
        <v>28.209828140537301</v>
      </c>
      <c r="AV4" s="2">
        <v>27.143330707153801</v>
      </c>
      <c r="AW4" s="2">
        <v>29.9329408879493</v>
      </c>
      <c r="AX4" s="2">
        <v>27.9061367886212</v>
      </c>
      <c r="AY4" s="2">
        <v>28.824911690222901</v>
      </c>
      <c r="AZ4" s="2">
        <v>29.8479185321412</v>
      </c>
      <c r="BA4" s="2">
        <v>26.417912634101299</v>
      </c>
      <c r="BB4" s="2">
        <v>29.6412033044924</v>
      </c>
      <c r="BC4" s="2">
        <v>29.261863654647101</v>
      </c>
      <c r="BD4" s="2">
        <v>29.062292503591799</v>
      </c>
      <c r="BE4" s="2">
        <v>29.179822567930401</v>
      </c>
      <c r="BF4" s="2">
        <v>29.467479392066799</v>
      </c>
      <c r="BG4" s="2">
        <v>29.382412526982801</v>
      </c>
      <c r="BH4" s="2">
        <v>28.015239611253701</v>
      </c>
      <c r="BI4" s="2">
        <v>29.613460478780301</v>
      </c>
      <c r="BJ4" s="2">
        <v>27.018083478030299</v>
      </c>
      <c r="BK4" s="2">
        <v>26.017674893224701</v>
      </c>
      <c r="BL4" s="2">
        <v>29.519204537857501</v>
      </c>
      <c r="BM4" s="2">
        <v>26.370940755013802</v>
      </c>
      <c r="BN4" s="2">
        <v>26.666538552325498</v>
      </c>
      <c r="BO4" s="2">
        <v>29.504776580391599</v>
      </c>
      <c r="BP4" s="2">
        <v>26.923958430000098</v>
      </c>
      <c r="BQ4" s="2">
        <v>27.686476200282598</v>
      </c>
      <c r="BR4" s="2">
        <v>29.825257855254101</v>
      </c>
      <c r="BS4" s="2">
        <v>27.743163445450399</v>
      </c>
      <c r="BT4" s="2">
        <v>27.2399506827004</v>
      </c>
      <c r="BU4" s="2">
        <v>29.579125521470399</v>
      </c>
      <c r="BV4" s="2">
        <v>27.5627248131015</v>
      </c>
      <c r="BW4" s="2">
        <v>26.723480726091601</v>
      </c>
      <c r="BX4" s="2">
        <v>27.308127430258999</v>
      </c>
      <c r="BY4" s="2">
        <v>27.470198349327799</v>
      </c>
      <c r="BZ4" s="2">
        <v>28.883989679661401</v>
      </c>
      <c r="CA4" s="2">
        <v>26.773100342567101</v>
      </c>
      <c r="CB4" s="2">
        <v>29.160202884092101</v>
      </c>
      <c r="CC4" s="2">
        <v>27.0732363387303</v>
      </c>
      <c r="CD4" s="2">
        <v>29.061202479471302</v>
      </c>
      <c r="CE4" s="2">
        <v>27.886648545604</v>
      </c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</row>
    <row r="5" spans="1:97">
      <c r="A5" s="2" t="s">
        <v>134</v>
      </c>
      <c r="B5" s="2">
        <v>160.06021000000001</v>
      </c>
      <c r="C5" s="2">
        <v>0.85899999999999999</v>
      </c>
      <c r="D5" s="2" t="s">
        <v>84</v>
      </c>
      <c r="E5" s="2" t="s">
        <v>135</v>
      </c>
      <c r="F5" s="2" t="s">
        <v>136</v>
      </c>
      <c r="G5" s="2">
        <v>1334</v>
      </c>
      <c r="H5" s="3" t="str">
        <f>HYPERLINK("https://cloud.oebiotech.com/#/lm/network/1334", "https://cloud.oebiotech.com/#/lm/network/1334")</f>
        <v>https://cloud.oebiotech.com/#/lm/network/1334</v>
      </c>
      <c r="I5" s="2"/>
      <c r="J5" s="2"/>
      <c r="K5" s="2" t="s">
        <v>137</v>
      </c>
      <c r="L5" s="2">
        <v>5280366</v>
      </c>
      <c r="M5" s="2" t="s">
        <v>138</v>
      </c>
      <c r="N5" s="2"/>
      <c r="O5" s="2"/>
      <c r="P5" s="2">
        <v>67110</v>
      </c>
      <c r="Q5" s="2"/>
      <c r="R5" s="2"/>
      <c r="S5" s="2"/>
      <c r="T5" s="2" t="s">
        <v>139</v>
      </c>
      <c r="U5" s="2" t="s">
        <v>140</v>
      </c>
      <c r="V5" s="2" t="s">
        <v>95</v>
      </c>
      <c r="W5" s="2" t="s">
        <v>96</v>
      </c>
      <c r="X5" s="2" t="s">
        <v>141</v>
      </c>
      <c r="Y5" s="2" t="s">
        <v>98</v>
      </c>
      <c r="Z5" s="2" t="s">
        <v>99</v>
      </c>
      <c r="AA5" s="2" t="s">
        <v>142</v>
      </c>
      <c r="AB5" s="2" t="s">
        <v>101</v>
      </c>
      <c r="AC5" s="2">
        <v>76.38</v>
      </c>
      <c r="AD5" s="2">
        <v>99.53</v>
      </c>
      <c r="AE5" s="2">
        <v>94.13</v>
      </c>
      <c r="AF5" s="2" t="s">
        <v>143</v>
      </c>
      <c r="AG5" s="2" t="s">
        <v>132</v>
      </c>
      <c r="AH5" s="2" t="s">
        <v>144</v>
      </c>
      <c r="AI5" s="2">
        <v>1.25</v>
      </c>
      <c r="AJ5" s="2">
        <v>25.102183297826599</v>
      </c>
      <c r="AK5" s="2">
        <v>25.71632385114</v>
      </c>
      <c r="AL5" s="2">
        <v>25.332751337482598</v>
      </c>
      <c r="AM5" s="2">
        <v>25.160749441993101</v>
      </c>
      <c r="AN5" s="2">
        <v>25.8260859987024</v>
      </c>
      <c r="AO5" s="2">
        <v>25.306107879718599</v>
      </c>
      <c r="AP5" s="2">
        <v>25.516425755775298</v>
      </c>
      <c r="AQ5" s="2">
        <v>25.6981921704689</v>
      </c>
      <c r="AR5" s="2">
        <v>25.542228142781099</v>
      </c>
      <c r="AS5" s="2">
        <v>26.632805783308999</v>
      </c>
      <c r="AT5" s="2">
        <v>25.610333746816998</v>
      </c>
      <c r="AU5" s="2">
        <v>26.2614832373146</v>
      </c>
      <c r="AV5" s="2">
        <v>25.4372731587017</v>
      </c>
      <c r="AW5" s="2">
        <v>25.566673828436901</v>
      </c>
      <c r="AX5" s="2">
        <v>25.419673132032301</v>
      </c>
      <c r="AY5" s="2">
        <v>26.020277812641599</v>
      </c>
      <c r="AZ5" s="2">
        <v>25.206748352447001</v>
      </c>
      <c r="BA5" s="2">
        <v>26.791026776229199</v>
      </c>
      <c r="BB5" s="2">
        <v>26.371147863410901</v>
      </c>
      <c r="BC5" s="2">
        <v>27.211734304860499</v>
      </c>
      <c r="BD5" s="2">
        <v>25.940649021931801</v>
      </c>
      <c r="BE5" s="2">
        <v>24.795672511455098</v>
      </c>
      <c r="BF5" s="2">
        <v>25.660470678726899</v>
      </c>
      <c r="BG5" s="2">
        <v>25.3079726903159</v>
      </c>
      <c r="BH5" s="2">
        <v>25.438321034564101</v>
      </c>
      <c r="BI5" s="2">
        <v>25.535878852788102</v>
      </c>
      <c r="BJ5" s="2">
        <v>25.322936300380199</v>
      </c>
      <c r="BK5" s="2">
        <v>26.022476782412401</v>
      </c>
      <c r="BL5" s="2">
        <v>25.421336348524498</v>
      </c>
      <c r="BM5" s="2">
        <v>25.740740404042398</v>
      </c>
      <c r="BN5" s="2">
        <v>24.956112745147902</v>
      </c>
      <c r="BO5" s="2">
        <v>25.495896341463901</v>
      </c>
      <c r="BP5" s="2">
        <v>24.860589095196499</v>
      </c>
      <c r="BQ5" s="2">
        <v>25.445356965440499</v>
      </c>
      <c r="BR5" s="2">
        <v>25.7048541200909</v>
      </c>
      <c r="BS5" s="2">
        <v>24.944871847884201</v>
      </c>
      <c r="BT5" s="2">
        <v>26.552613827066601</v>
      </c>
      <c r="BU5" s="2">
        <v>26.915782944548798</v>
      </c>
      <c r="BV5" s="2">
        <v>26.773047997729901</v>
      </c>
      <c r="BW5" s="2">
        <v>25.9923866738452</v>
      </c>
      <c r="BX5" s="2">
        <v>25.669675585578499</v>
      </c>
      <c r="BY5" s="2">
        <v>26.068722814083699</v>
      </c>
      <c r="BZ5" s="2">
        <v>25.1847725186303</v>
      </c>
      <c r="CA5" s="2">
        <v>25.170625684641902</v>
      </c>
      <c r="CB5" s="2">
        <v>25.291492261783201</v>
      </c>
      <c r="CC5" s="2">
        <v>24.875593524343401</v>
      </c>
      <c r="CD5" s="2">
        <v>25.988092662242501</v>
      </c>
      <c r="CE5" s="2">
        <v>25.414070359445098</v>
      </c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</row>
    <row r="6" spans="1:97">
      <c r="A6" s="2" t="s">
        <v>145</v>
      </c>
      <c r="B6" s="2">
        <v>407.20688999999999</v>
      </c>
      <c r="C6" s="2">
        <v>6.2240000000000002</v>
      </c>
      <c r="D6" s="2" t="s">
        <v>146</v>
      </c>
      <c r="E6" s="2" t="s">
        <v>147</v>
      </c>
      <c r="F6" s="2" t="s">
        <v>148</v>
      </c>
      <c r="G6" s="2">
        <v>200314</v>
      </c>
      <c r="H6" s="3" t="str">
        <f>HYPERLINK("https://cloud.oebiotech.com/#/lm/network/200314", "https://cloud.oebiotech.com/#/lm/network/200314")</f>
        <v>https://cloud.oebiotech.com/#/lm/network/200314</v>
      </c>
      <c r="I6" s="2" t="s">
        <v>149</v>
      </c>
      <c r="J6" s="2"/>
      <c r="K6" s="2"/>
      <c r="L6" s="2">
        <v>21850823</v>
      </c>
      <c r="M6" s="2"/>
      <c r="N6" s="2"/>
      <c r="O6" s="2"/>
      <c r="P6" s="2"/>
      <c r="Q6" s="2"/>
      <c r="R6" s="2"/>
      <c r="S6" s="2"/>
      <c r="T6" s="2" t="s">
        <v>150</v>
      </c>
      <c r="U6" s="2" t="s">
        <v>151</v>
      </c>
      <c r="V6" s="2" t="s">
        <v>95</v>
      </c>
      <c r="W6" s="2" t="s">
        <v>152</v>
      </c>
      <c r="X6" s="2" t="s">
        <v>153</v>
      </c>
      <c r="Y6" s="2" t="s">
        <v>98</v>
      </c>
      <c r="Z6" s="2" t="s">
        <v>154</v>
      </c>
      <c r="AA6" s="2" t="s">
        <v>155</v>
      </c>
      <c r="AB6" s="2" t="s">
        <v>101</v>
      </c>
      <c r="AC6" s="2">
        <v>76.31</v>
      </c>
      <c r="AD6" s="2">
        <v>98.33</v>
      </c>
      <c r="AE6" s="2">
        <v>97.81</v>
      </c>
      <c r="AF6" s="2" t="s">
        <v>156</v>
      </c>
      <c r="AG6" s="2" t="s">
        <v>157</v>
      </c>
      <c r="AH6" s="2" t="s">
        <v>158</v>
      </c>
      <c r="AI6" s="2">
        <v>1.47</v>
      </c>
      <c r="AJ6" s="2">
        <v>22.1251589285365</v>
      </c>
      <c r="AK6" s="2">
        <v>22.3245440983831</v>
      </c>
      <c r="AL6" s="2">
        <v>22.216452274763601</v>
      </c>
      <c r="AM6" s="2">
        <v>22.124956772904302</v>
      </c>
      <c r="AN6" s="2">
        <v>22.491938947514502</v>
      </c>
      <c r="AO6" s="2">
        <v>22.2420750905587</v>
      </c>
      <c r="AP6" s="2">
        <v>22.429100703795399</v>
      </c>
      <c r="AQ6" s="2">
        <v>22.259406147019401</v>
      </c>
      <c r="AR6" s="2">
        <v>20.711692916248399</v>
      </c>
      <c r="AS6" s="2">
        <v>20.5439415086677</v>
      </c>
      <c r="AT6" s="2">
        <v>22.2830527149959</v>
      </c>
      <c r="AU6" s="2">
        <v>20.2831723294378</v>
      </c>
      <c r="AV6" s="2">
        <v>21.4640229933634</v>
      </c>
      <c r="AW6" s="2">
        <v>22.6506341005439</v>
      </c>
      <c r="AX6" s="2">
        <v>22.703651853218499</v>
      </c>
      <c r="AY6" s="2">
        <v>21.900656447759999</v>
      </c>
      <c r="AZ6" s="2">
        <v>22.298230048761798</v>
      </c>
      <c r="BA6" s="2">
        <v>20.892628821839601</v>
      </c>
      <c r="BB6" s="2">
        <v>23.640551242821601</v>
      </c>
      <c r="BC6" s="2">
        <v>23.298524343248602</v>
      </c>
      <c r="BD6" s="2">
        <v>21.831782319104899</v>
      </c>
      <c r="BE6" s="2">
        <v>22.9566025833848</v>
      </c>
      <c r="BF6" s="2">
        <v>19.545706234308401</v>
      </c>
      <c r="BG6" s="2">
        <v>22.742997095212399</v>
      </c>
      <c r="BH6" s="2">
        <v>21.3542769942589</v>
      </c>
      <c r="BI6" s="2">
        <v>18.569100917651198</v>
      </c>
      <c r="BJ6" s="2">
        <v>22.793029843894899</v>
      </c>
      <c r="BK6" s="2">
        <v>22.8540584425511</v>
      </c>
      <c r="BL6" s="2">
        <v>23.3823608965285</v>
      </c>
      <c r="BM6" s="2">
        <v>22.614330206979201</v>
      </c>
      <c r="BN6" s="2">
        <v>21.931238028061099</v>
      </c>
      <c r="BO6" s="2">
        <v>21.680664504328298</v>
      </c>
      <c r="BP6" s="2">
        <v>22.288678889644501</v>
      </c>
      <c r="BQ6" s="2">
        <v>22.8562930086119</v>
      </c>
      <c r="BR6" s="2">
        <v>21.3211422035866</v>
      </c>
      <c r="BS6" s="2">
        <v>20.4211590494108</v>
      </c>
      <c r="BT6" s="2">
        <v>22.007659126353001</v>
      </c>
      <c r="BU6" s="2">
        <v>21.313926169609498</v>
      </c>
      <c r="BV6" s="2">
        <v>21.701965613072801</v>
      </c>
      <c r="BW6" s="2">
        <v>22.637424448116999</v>
      </c>
      <c r="BX6" s="2">
        <v>21.534577858969701</v>
      </c>
      <c r="BY6" s="2">
        <v>23.3468142146444</v>
      </c>
      <c r="BZ6" s="2">
        <v>21.698578391689601</v>
      </c>
      <c r="CA6" s="2">
        <v>18.624101644488999</v>
      </c>
      <c r="CB6" s="2">
        <v>21.6413605669518</v>
      </c>
      <c r="CC6" s="2">
        <v>22.095479438096501</v>
      </c>
      <c r="CD6" s="2">
        <v>22.808313278215099</v>
      </c>
      <c r="CE6" s="2">
        <v>23.149890288780998</v>
      </c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</row>
    <row r="7" spans="1:97">
      <c r="A7" s="2" t="s">
        <v>159</v>
      </c>
      <c r="B7" s="2">
        <v>162.11223000000001</v>
      </c>
      <c r="C7" s="2">
        <v>0.71899999999999997</v>
      </c>
      <c r="D7" s="2" t="s">
        <v>84</v>
      </c>
      <c r="E7" s="2" t="s">
        <v>160</v>
      </c>
      <c r="F7" s="2" t="s">
        <v>161</v>
      </c>
      <c r="G7" s="2">
        <v>266280</v>
      </c>
      <c r="H7" s="3" t="str">
        <f>HYPERLINK("https://cloud.oebiotech.com/#/lm/network/266280", "https://cloud.oebiotech.com/#/lm/network/266280")</f>
        <v>https://cloud.oebiotech.com/#/lm/network/266280</v>
      </c>
      <c r="I7" s="2"/>
      <c r="J7" s="2">
        <v>34532</v>
      </c>
      <c r="K7" s="2"/>
      <c r="L7" s="2">
        <v>10917</v>
      </c>
      <c r="M7" s="2" t="s">
        <v>162</v>
      </c>
      <c r="N7" s="2"/>
      <c r="O7" s="2"/>
      <c r="P7" s="2"/>
      <c r="Q7" s="2"/>
      <c r="R7" s="2"/>
      <c r="S7" s="2" t="s">
        <v>163</v>
      </c>
      <c r="T7" s="2" t="s">
        <v>164</v>
      </c>
      <c r="U7" s="2" t="s">
        <v>165</v>
      </c>
      <c r="V7" s="2" t="s">
        <v>166</v>
      </c>
      <c r="W7" s="2" t="s">
        <v>167</v>
      </c>
      <c r="X7" s="2" t="s">
        <v>168</v>
      </c>
      <c r="Y7" s="2" t="s">
        <v>169</v>
      </c>
      <c r="Z7" s="2" t="s">
        <v>169</v>
      </c>
      <c r="AA7" s="2" t="s">
        <v>170</v>
      </c>
      <c r="AB7" s="2" t="s">
        <v>101</v>
      </c>
      <c r="AC7" s="2">
        <v>76.239999999999995</v>
      </c>
      <c r="AD7" s="2">
        <v>99.04</v>
      </c>
      <c r="AE7" s="2">
        <v>99.95</v>
      </c>
      <c r="AF7" s="2" t="s">
        <v>171</v>
      </c>
      <c r="AG7" s="2" t="s">
        <v>103</v>
      </c>
      <c r="AH7" s="2" t="s">
        <v>172</v>
      </c>
      <c r="AI7" s="2">
        <v>1.85</v>
      </c>
      <c r="AJ7" s="2">
        <v>30.7508622947562</v>
      </c>
      <c r="AK7" s="2">
        <v>30.723935548714199</v>
      </c>
      <c r="AL7" s="2">
        <v>30.330103009162102</v>
      </c>
      <c r="AM7" s="2">
        <v>30.802659813590999</v>
      </c>
      <c r="AN7" s="2">
        <v>30.7013624968382</v>
      </c>
      <c r="AO7" s="2">
        <v>30.767113741812</v>
      </c>
      <c r="AP7" s="2">
        <v>30.559534955033399</v>
      </c>
      <c r="AQ7" s="2">
        <v>30.5071577859195</v>
      </c>
      <c r="AR7" s="2">
        <v>30.323349588043602</v>
      </c>
      <c r="AS7" s="2">
        <v>30.276163290660001</v>
      </c>
      <c r="AT7" s="2">
        <v>30.445505575183098</v>
      </c>
      <c r="AU7" s="2">
        <v>30.682765290728099</v>
      </c>
      <c r="AV7" s="2">
        <v>30.465712117158802</v>
      </c>
      <c r="AW7" s="2">
        <v>30.372262160664999</v>
      </c>
      <c r="AX7" s="2">
        <v>30.670499054202399</v>
      </c>
      <c r="AY7" s="2">
        <v>30.7172946044521</v>
      </c>
      <c r="AZ7" s="2">
        <v>30.723141810340898</v>
      </c>
      <c r="BA7" s="2">
        <v>30.184844675747101</v>
      </c>
      <c r="BB7" s="2">
        <v>30.8178439199983</v>
      </c>
      <c r="BC7" s="2">
        <v>29.9154359683838</v>
      </c>
      <c r="BD7" s="2">
        <v>30.344405538107601</v>
      </c>
      <c r="BE7" s="2">
        <v>30.526687449364299</v>
      </c>
      <c r="BF7" s="2">
        <v>30.645612147686698</v>
      </c>
      <c r="BG7" s="2">
        <v>30.618401722546999</v>
      </c>
      <c r="BH7" s="2">
        <v>30.025854293713699</v>
      </c>
      <c r="BI7" s="2">
        <v>30.832738761510001</v>
      </c>
      <c r="BJ7" s="2">
        <v>30.3026923309314</v>
      </c>
      <c r="BK7" s="2">
        <v>30.973384382299599</v>
      </c>
      <c r="BL7" s="2">
        <v>29.930147619432599</v>
      </c>
      <c r="BM7" s="2">
        <v>30.209880992676901</v>
      </c>
      <c r="BN7" s="2">
        <v>30.901765157992099</v>
      </c>
      <c r="BO7" s="2">
        <v>30.930296513676002</v>
      </c>
      <c r="BP7" s="2">
        <v>30.692906397228398</v>
      </c>
      <c r="BQ7" s="2">
        <v>29.857114726071998</v>
      </c>
      <c r="BR7" s="2">
        <v>30.191542320955399</v>
      </c>
      <c r="BS7" s="2">
        <v>30.433960429515</v>
      </c>
      <c r="BT7" s="2">
        <v>29.9588272758843</v>
      </c>
      <c r="BU7" s="2">
        <v>30.066407830917701</v>
      </c>
      <c r="BV7" s="2">
        <v>30.1510024466285</v>
      </c>
      <c r="BW7" s="2">
        <v>29.7823490212207</v>
      </c>
      <c r="BX7" s="2">
        <v>30.867328452010899</v>
      </c>
      <c r="BY7" s="2">
        <v>30.2240600842369</v>
      </c>
      <c r="BZ7" s="2">
        <v>30.532560916887199</v>
      </c>
      <c r="CA7" s="2">
        <v>31.118982559743099</v>
      </c>
      <c r="CB7" s="2">
        <v>30.601589624179098</v>
      </c>
      <c r="CC7" s="2">
        <v>30.4383494256126</v>
      </c>
      <c r="CD7" s="2">
        <v>30.8766416404758</v>
      </c>
      <c r="CE7" s="2">
        <v>30.575009602933999</v>
      </c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</row>
    <row r="8" spans="1:97">
      <c r="A8" s="2" t="s">
        <v>173</v>
      </c>
      <c r="B8" s="2">
        <v>432.23755999999997</v>
      </c>
      <c r="C8" s="2">
        <v>9.8070000000000004</v>
      </c>
      <c r="D8" s="2" t="s">
        <v>84</v>
      </c>
      <c r="E8" s="2" t="s">
        <v>174</v>
      </c>
      <c r="F8" s="2" t="s">
        <v>175</v>
      </c>
      <c r="G8" s="2">
        <v>62657</v>
      </c>
      <c r="H8" s="3" t="str">
        <f>HYPERLINK("https://cloud.oebiotech.com/#/lm/network/62657", "https://cloud.oebiotech.com/#/lm/network/62657")</f>
        <v>https://cloud.oebiotech.com/#/lm/network/62657</v>
      </c>
      <c r="I8" s="2" t="s">
        <v>176</v>
      </c>
      <c r="J8" s="2">
        <v>93956</v>
      </c>
      <c r="K8" s="2"/>
      <c r="L8" s="2">
        <v>53462326</v>
      </c>
      <c r="M8" s="2"/>
      <c r="N8" s="2"/>
      <c r="O8" s="2"/>
      <c r="P8" s="2"/>
      <c r="Q8" s="2"/>
      <c r="R8" s="2"/>
      <c r="S8" s="2" t="s">
        <v>177</v>
      </c>
      <c r="T8" s="2" t="s">
        <v>178</v>
      </c>
      <c r="U8" s="2" t="s">
        <v>179</v>
      </c>
      <c r="V8" s="2" t="s">
        <v>95</v>
      </c>
      <c r="W8" s="2" t="s">
        <v>180</v>
      </c>
      <c r="X8" s="2" t="s">
        <v>181</v>
      </c>
      <c r="Y8" s="2" t="s">
        <v>98</v>
      </c>
      <c r="Z8" s="2" t="s">
        <v>182</v>
      </c>
      <c r="AA8" s="2" t="s">
        <v>183</v>
      </c>
      <c r="AB8" s="2" t="s">
        <v>101</v>
      </c>
      <c r="AC8" s="2">
        <v>76.180000000000007</v>
      </c>
      <c r="AD8" s="2">
        <v>98.48</v>
      </c>
      <c r="AE8" s="2">
        <v>96.23</v>
      </c>
      <c r="AF8" s="2" t="s">
        <v>184</v>
      </c>
      <c r="AG8" s="2" t="s">
        <v>132</v>
      </c>
      <c r="AH8" s="2" t="s">
        <v>185</v>
      </c>
      <c r="AI8" s="2">
        <v>1.1599999999999999</v>
      </c>
      <c r="AJ8" s="2">
        <v>23.269565385238</v>
      </c>
      <c r="AK8" s="2">
        <v>23.463081655019401</v>
      </c>
      <c r="AL8" s="2">
        <v>23.484097730236002</v>
      </c>
      <c r="AM8" s="2">
        <v>23.4051982134133</v>
      </c>
      <c r="AN8" s="2">
        <v>23.491820493554101</v>
      </c>
      <c r="AO8" s="2">
        <v>23.514479317296502</v>
      </c>
      <c r="AP8" s="2">
        <v>23.427033539776598</v>
      </c>
      <c r="AQ8" s="2">
        <v>23.460052378710699</v>
      </c>
      <c r="AR8" s="2">
        <v>24.0607858077685</v>
      </c>
      <c r="AS8" s="2">
        <v>22.7950373876985</v>
      </c>
      <c r="AT8" s="2">
        <v>22.7027374383477</v>
      </c>
      <c r="AU8" s="2">
        <v>22.620044458733901</v>
      </c>
      <c r="AV8" s="2">
        <v>22.714022651820201</v>
      </c>
      <c r="AW8" s="2">
        <v>22.956057801326999</v>
      </c>
      <c r="AX8" s="2">
        <v>22.977498984155901</v>
      </c>
      <c r="AY8" s="2">
        <v>22.747385035177501</v>
      </c>
      <c r="AZ8" s="2">
        <v>22.569046001741999</v>
      </c>
      <c r="BA8" s="2">
        <v>22.568604943255998</v>
      </c>
      <c r="BB8" s="2">
        <v>22.892214897516201</v>
      </c>
      <c r="BC8" s="2">
        <v>22.788690413622</v>
      </c>
      <c r="BD8" s="2">
        <v>22.633873801689099</v>
      </c>
      <c r="BE8" s="2">
        <v>23.333697751135499</v>
      </c>
      <c r="BF8" s="2">
        <v>22.790083151494201</v>
      </c>
      <c r="BG8" s="2">
        <v>23.0111119003145</v>
      </c>
      <c r="BH8" s="2">
        <v>22.5992399555427</v>
      </c>
      <c r="BI8" s="2">
        <v>22.5424486500504</v>
      </c>
      <c r="BJ8" s="2">
        <v>22.378101764779998</v>
      </c>
      <c r="BK8" s="2">
        <v>22.581316196190201</v>
      </c>
      <c r="BL8" s="2">
        <v>22.562974393507702</v>
      </c>
      <c r="BM8" s="2">
        <v>22.594732568361898</v>
      </c>
      <c r="BN8" s="2">
        <v>22.835133805201</v>
      </c>
      <c r="BO8" s="2">
        <v>22.667308191599101</v>
      </c>
      <c r="BP8" s="2">
        <v>23.822570511987401</v>
      </c>
      <c r="BQ8" s="2">
        <v>22.813941503283399</v>
      </c>
      <c r="BR8" s="2">
        <v>22.512228560216201</v>
      </c>
      <c r="BS8" s="2">
        <v>22.397333223295998</v>
      </c>
      <c r="BT8" s="2">
        <v>22.591224320838201</v>
      </c>
      <c r="BU8" s="2">
        <v>22.414714873629599</v>
      </c>
      <c r="BV8" s="2">
        <v>22.5299967696854</v>
      </c>
      <c r="BW8" s="2">
        <v>22.475523386908002</v>
      </c>
      <c r="BX8" s="2">
        <v>22.5070304242149</v>
      </c>
      <c r="BY8" s="2">
        <v>24.3655240026421</v>
      </c>
      <c r="BZ8" s="2">
        <v>23.754637316291198</v>
      </c>
      <c r="CA8" s="2">
        <v>22.7506249469821</v>
      </c>
      <c r="CB8" s="2">
        <v>22.9476555243725</v>
      </c>
      <c r="CC8" s="2">
        <v>22.155598452518401</v>
      </c>
      <c r="CD8" s="2">
        <v>22.8365652006446</v>
      </c>
      <c r="CE8" s="2">
        <v>22.880828919674101</v>
      </c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</row>
    <row r="9" spans="1:97">
      <c r="A9" s="2" t="s">
        <v>186</v>
      </c>
      <c r="B9" s="2">
        <v>281.24790000000002</v>
      </c>
      <c r="C9" s="2">
        <v>13.7</v>
      </c>
      <c r="D9" s="2" t="s">
        <v>146</v>
      </c>
      <c r="E9" s="2" t="s">
        <v>187</v>
      </c>
      <c r="F9" s="2" t="s">
        <v>188</v>
      </c>
      <c r="G9" s="2">
        <v>47796</v>
      </c>
      <c r="H9" s="3" t="str">
        <f>HYPERLINK("https://cloud.oebiotech.com/#/lm/network/47796", "https://cloud.oebiotech.com/#/lm/network/47796")</f>
        <v>https://cloud.oebiotech.com/#/lm/network/47796</v>
      </c>
      <c r="I9" s="2" t="s">
        <v>189</v>
      </c>
      <c r="J9" s="2"/>
      <c r="K9" s="2"/>
      <c r="L9" s="2">
        <v>11634</v>
      </c>
      <c r="M9" s="2"/>
      <c r="N9" s="2"/>
      <c r="O9" s="2"/>
      <c r="P9" s="2">
        <v>36022</v>
      </c>
      <c r="Q9" s="2"/>
      <c r="R9" s="2"/>
      <c r="S9" s="2" t="s">
        <v>190</v>
      </c>
      <c r="T9" s="2" t="s">
        <v>191</v>
      </c>
      <c r="U9" s="2" t="s">
        <v>192</v>
      </c>
      <c r="V9" s="2" t="s">
        <v>95</v>
      </c>
      <c r="W9" s="2" t="s">
        <v>96</v>
      </c>
      <c r="X9" s="2" t="s">
        <v>141</v>
      </c>
      <c r="Y9" s="2" t="s">
        <v>98</v>
      </c>
      <c r="Z9" s="2" t="s">
        <v>99</v>
      </c>
      <c r="AA9" s="2" t="s">
        <v>142</v>
      </c>
      <c r="AB9" s="2" t="s">
        <v>101</v>
      </c>
      <c r="AC9" s="2">
        <v>76.02</v>
      </c>
      <c r="AD9" s="2">
        <v>99.4</v>
      </c>
      <c r="AE9" s="2">
        <v>99.83</v>
      </c>
      <c r="AF9" s="2" t="s">
        <v>193</v>
      </c>
      <c r="AG9" s="2" t="s">
        <v>194</v>
      </c>
      <c r="AH9" s="2" t="s">
        <v>195</v>
      </c>
      <c r="AI9" s="2">
        <v>2.4900000000000002</v>
      </c>
      <c r="AJ9" s="2">
        <v>25.7722715551585</v>
      </c>
      <c r="AK9" s="2">
        <v>25.715137002288898</v>
      </c>
      <c r="AL9" s="2">
        <v>25.680531941335101</v>
      </c>
      <c r="AM9" s="2">
        <v>25.556247656418901</v>
      </c>
      <c r="AN9" s="2">
        <v>25.698329079764001</v>
      </c>
      <c r="AO9" s="2">
        <v>25.8022732459549</v>
      </c>
      <c r="AP9" s="2">
        <v>25.647605179257901</v>
      </c>
      <c r="AQ9" s="2">
        <v>25.482427730657399</v>
      </c>
      <c r="AR9" s="2">
        <v>23.759359044552902</v>
      </c>
      <c r="AS9" s="2">
        <v>24.710524616666099</v>
      </c>
      <c r="AT9" s="2">
        <v>26.721284125333302</v>
      </c>
      <c r="AU9" s="2">
        <v>24.706453695653298</v>
      </c>
      <c r="AV9" s="2">
        <v>24.394023855636</v>
      </c>
      <c r="AW9" s="2">
        <v>24.5350507099939</v>
      </c>
      <c r="AX9" s="2">
        <v>26.500367561891402</v>
      </c>
      <c r="AY9" s="2">
        <v>22.797378518632101</v>
      </c>
      <c r="AZ9" s="2">
        <v>22.4361165328053</v>
      </c>
      <c r="BA9" s="2">
        <v>26.020489354175901</v>
      </c>
      <c r="BB9" s="2">
        <v>24.849850600594799</v>
      </c>
      <c r="BC9" s="2">
        <v>27.143935705236899</v>
      </c>
      <c r="BD9" s="2">
        <v>22.363320986055701</v>
      </c>
      <c r="BE9" s="2">
        <v>23.9440702077945</v>
      </c>
      <c r="BF9" s="2">
        <v>24.717981071016201</v>
      </c>
      <c r="BG9" s="2">
        <v>25.630431440962202</v>
      </c>
      <c r="BH9" s="2">
        <v>23.182609260084401</v>
      </c>
      <c r="BI9" s="2">
        <v>26.2544122483684</v>
      </c>
      <c r="BJ9" s="2">
        <v>25.126782751955002</v>
      </c>
      <c r="BK9" s="2">
        <v>23.503628493178901</v>
      </c>
      <c r="BL9" s="2">
        <v>26.5376073167789</v>
      </c>
      <c r="BM9" s="2">
        <v>24.649169723004999</v>
      </c>
      <c r="BN9" s="2">
        <v>24.403220836961101</v>
      </c>
      <c r="BO9" s="2">
        <v>25.702361098063498</v>
      </c>
      <c r="BP9" s="2">
        <v>25.4855297698554</v>
      </c>
      <c r="BQ9" s="2">
        <v>26.174397187024699</v>
      </c>
      <c r="BR9" s="2">
        <v>25.611859398029701</v>
      </c>
      <c r="BS9" s="2">
        <v>23.598835161445699</v>
      </c>
      <c r="BT9" s="2">
        <v>25.5022449047629</v>
      </c>
      <c r="BU9" s="2">
        <v>26.287614205848399</v>
      </c>
      <c r="BV9" s="2">
        <v>25.758580204822401</v>
      </c>
      <c r="BW9" s="2">
        <v>25.312232347115302</v>
      </c>
      <c r="BX9" s="2">
        <v>25.428892736605601</v>
      </c>
      <c r="BY9" s="2">
        <v>24.1166001907728</v>
      </c>
      <c r="BZ9" s="2">
        <v>26.193815001553698</v>
      </c>
      <c r="CA9" s="2">
        <v>24.5317643423706</v>
      </c>
      <c r="CB9" s="2">
        <v>25.0451449523759</v>
      </c>
      <c r="CC9" s="2">
        <v>26.015796777391301</v>
      </c>
      <c r="CD9" s="2">
        <v>25.286347389010999</v>
      </c>
      <c r="CE9" s="2">
        <v>26.560298677169801</v>
      </c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</row>
    <row r="10" spans="1:97">
      <c r="A10" s="2" t="s">
        <v>196</v>
      </c>
      <c r="B10" s="2">
        <v>550.38588000000004</v>
      </c>
      <c r="C10" s="2">
        <v>11.778</v>
      </c>
      <c r="D10" s="2" t="s">
        <v>84</v>
      </c>
      <c r="E10" s="2" t="s">
        <v>197</v>
      </c>
      <c r="F10" s="2" t="s">
        <v>198</v>
      </c>
      <c r="G10" s="2">
        <v>19582</v>
      </c>
      <c r="H10" s="3" t="str">
        <f>HYPERLINK("https://cloud.oebiotech.com/#/lm/network/19582", "https://cloud.oebiotech.com/#/lm/network/19582")</f>
        <v>https://cloud.oebiotech.com/#/lm/network/19582</v>
      </c>
      <c r="I10" s="2"/>
      <c r="J10" s="2">
        <v>40011</v>
      </c>
      <c r="K10" s="2" t="s">
        <v>199</v>
      </c>
      <c r="L10" s="2">
        <v>24779375</v>
      </c>
      <c r="M10" s="2"/>
      <c r="N10" s="2"/>
      <c r="O10" s="2"/>
      <c r="P10" s="2"/>
      <c r="Q10" s="2"/>
      <c r="R10" s="2"/>
      <c r="S10" s="2"/>
      <c r="T10" s="2" t="s">
        <v>200</v>
      </c>
      <c r="U10" s="2" t="s">
        <v>201</v>
      </c>
      <c r="V10" s="2" t="s">
        <v>95</v>
      </c>
      <c r="W10" s="2" t="s">
        <v>202</v>
      </c>
      <c r="X10" s="2" t="s">
        <v>203</v>
      </c>
      <c r="Y10" s="2" t="s">
        <v>98</v>
      </c>
      <c r="Z10" s="2" t="s">
        <v>204</v>
      </c>
      <c r="AA10" s="2" t="s">
        <v>205</v>
      </c>
      <c r="AB10" s="2" t="s">
        <v>101</v>
      </c>
      <c r="AC10" s="2">
        <v>76.02</v>
      </c>
      <c r="AD10" s="2">
        <v>97.77</v>
      </c>
      <c r="AE10" s="2">
        <v>97.8</v>
      </c>
      <c r="AF10" s="2" t="s">
        <v>206</v>
      </c>
      <c r="AG10" s="2" t="s">
        <v>103</v>
      </c>
      <c r="AH10" s="2" t="s">
        <v>207</v>
      </c>
      <c r="AI10" s="2">
        <v>1.45</v>
      </c>
      <c r="AJ10" s="2">
        <v>23.744536523348401</v>
      </c>
      <c r="AK10" s="2">
        <v>23.879509691802099</v>
      </c>
      <c r="AL10" s="2">
        <v>23.959363570728101</v>
      </c>
      <c r="AM10" s="2">
        <v>24.0117188937738</v>
      </c>
      <c r="AN10" s="2">
        <v>23.922129885060301</v>
      </c>
      <c r="AO10" s="2">
        <v>23.959291978353399</v>
      </c>
      <c r="AP10" s="2">
        <v>23.891181008763802</v>
      </c>
      <c r="AQ10" s="2">
        <v>23.9282754347261</v>
      </c>
      <c r="AR10" s="2">
        <v>23.938809565147999</v>
      </c>
      <c r="AS10" s="2">
        <v>22.935336697401699</v>
      </c>
      <c r="AT10" s="2">
        <v>23.383112368171801</v>
      </c>
      <c r="AU10" s="2">
        <v>23.511230645804101</v>
      </c>
      <c r="AV10" s="2">
        <v>24.087736273417299</v>
      </c>
      <c r="AW10" s="2">
        <v>23.797755658650001</v>
      </c>
      <c r="AX10" s="2">
        <v>24.089228465727899</v>
      </c>
      <c r="AY10" s="2">
        <v>23.620470031390202</v>
      </c>
      <c r="AZ10" s="2">
        <v>24.303477902926101</v>
      </c>
      <c r="BA10" s="2">
        <v>22.555119981520701</v>
      </c>
      <c r="BB10" s="2">
        <v>23.627965331216298</v>
      </c>
      <c r="BC10" s="2">
        <v>24.5235751540948</v>
      </c>
      <c r="BD10" s="2">
        <v>23.387591658756399</v>
      </c>
      <c r="BE10" s="2">
        <v>24.504635821362001</v>
      </c>
      <c r="BF10" s="2">
        <v>23.394164307373501</v>
      </c>
      <c r="BG10" s="2">
        <v>23.782559309844</v>
      </c>
      <c r="BH10" s="2">
        <v>23.950237352419101</v>
      </c>
      <c r="BI10" s="2">
        <v>23.5142865858421</v>
      </c>
      <c r="BJ10" s="2">
        <v>23.8072965607758</v>
      </c>
      <c r="BK10" s="2">
        <v>22.862780839594802</v>
      </c>
      <c r="BL10" s="2">
        <v>24.052323010413101</v>
      </c>
      <c r="BM10" s="2">
        <v>23.8308659409177</v>
      </c>
      <c r="BN10" s="2">
        <v>23.2871381642423</v>
      </c>
      <c r="BO10" s="2">
        <v>23.809844492796401</v>
      </c>
      <c r="BP10" s="2">
        <v>24.014864590140899</v>
      </c>
      <c r="BQ10" s="2">
        <v>23.874018220896801</v>
      </c>
      <c r="BR10" s="2">
        <v>23.8886755739811</v>
      </c>
      <c r="BS10" s="2">
        <v>23.699556415835598</v>
      </c>
      <c r="BT10" s="2">
        <v>24.428955395787199</v>
      </c>
      <c r="BU10" s="2">
        <v>23.700250721700201</v>
      </c>
      <c r="BV10" s="2">
        <v>23.8885693490672</v>
      </c>
      <c r="BW10" s="2">
        <v>23.322725461239301</v>
      </c>
      <c r="BX10" s="2">
        <v>23.772222706702799</v>
      </c>
      <c r="BY10" s="2">
        <v>24.790546776189601</v>
      </c>
      <c r="BZ10" s="2">
        <v>23.488326189071</v>
      </c>
      <c r="CA10" s="2">
        <v>23.800076508584699</v>
      </c>
      <c r="CB10" s="2">
        <v>23.482329651398199</v>
      </c>
      <c r="CC10" s="2">
        <v>23.272356225822001</v>
      </c>
      <c r="CD10" s="2">
        <v>24.159243021390999</v>
      </c>
      <c r="CE10" s="2">
        <v>22.953575393538198</v>
      </c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</row>
    <row r="11" spans="1:97">
      <c r="A11" s="2" t="s">
        <v>208</v>
      </c>
      <c r="B11" s="2">
        <v>303.23226</v>
      </c>
      <c r="C11" s="2">
        <v>12.736000000000001</v>
      </c>
      <c r="D11" s="2" t="s">
        <v>146</v>
      </c>
      <c r="E11" s="2" t="s">
        <v>209</v>
      </c>
      <c r="F11" s="2" t="s">
        <v>210</v>
      </c>
      <c r="G11" s="2">
        <v>511</v>
      </c>
      <c r="H11" s="3" t="str">
        <f>HYPERLINK("https://cloud.oebiotech.com/#/lm/network/511", "https://cloud.oebiotech.com/#/lm/network/511")</f>
        <v>https://cloud.oebiotech.com/#/lm/network/511</v>
      </c>
      <c r="I11" s="2" t="s">
        <v>211</v>
      </c>
      <c r="J11" s="2">
        <v>193</v>
      </c>
      <c r="K11" s="2" t="s">
        <v>212</v>
      </c>
      <c r="L11" s="2">
        <v>444899</v>
      </c>
      <c r="M11" s="2" t="s">
        <v>213</v>
      </c>
      <c r="N11" s="2" t="s">
        <v>214</v>
      </c>
      <c r="O11" s="2" t="s">
        <v>215</v>
      </c>
      <c r="P11" s="2">
        <v>15843</v>
      </c>
      <c r="Q11" s="2"/>
      <c r="R11" s="2"/>
      <c r="S11" s="2" t="s">
        <v>216</v>
      </c>
      <c r="T11" s="2" t="s">
        <v>217</v>
      </c>
      <c r="U11" s="2" t="s">
        <v>218</v>
      </c>
      <c r="V11" s="2" t="s">
        <v>95</v>
      </c>
      <c r="W11" s="2" t="s">
        <v>96</v>
      </c>
      <c r="X11" s="2" t="s">
        <v>141</v>
      </c>
      <c r="Y11" s="2" t="s">
        <v>98</v>
      </c>
      <c r="Z11" s="2" t="s">
        <v>99</v>
      </c>
      <c r="AA11" s="2" t="s">
        <v>142</v>
      </c>
      <c r="AB11" s="2" t="s">
        <v>101</v>
      </c>
      <c r="AC11" s="2">
        <v>75.95</v>
      </c>
      <c r="AD11" s="2">
        <v>99.7</v>
      </c>
      <c r="AE11" s="2">
        <v>99.37</v>
      </c>
      <c r="AF11" s="2" t="s">
        <v>219</v>
      </c>
      <c r="AG11" s="2" t="s">
        <v>194</v>
      </c>
      <c r="AH11" s="2" t="s">
        <v>220</v>
      </c>
      <c r="AI11" s="2">
        <v>1.98</v>
      </c>
      <c r="AJ11" s="2">
        <v>25.315829063305099</v>
      </c>
      <c r="AK11" s="2">
        <v>25.229543610308401</v>
      </c>
      <c r="AL11" s="2">
        <v>25.051356583781999</v>
      </c>
      <c r="AM11" s="2">
        <v>24.619799456049002</v>
      </c>
      <c r="AN11" s="2">
        <v>25.2212061459308</v>
      </c>
      <c r="AO11" s="2">
        <v>25.058653867107399</v>
      </c>
      <c r="AP11" s="2">
        <v>24.612427404744601</v>
      </c>
      <c r="AQ11" s="2">
        <v>24.594174181881201</v>
      </c>
      <c r="AR11" s="2">
        <v>23.8628633766772</v>
      </c>
      <c r="AS11" s="2">
        <v>24.133274922530202</v>
      </c>
      <c r="AT11" s="2">
        <v>25.478912123813501</v>
      </c>
      <c r="AU11" s="2">
        <v>23.662097745917801</v>
      </c>
      <c r="AV11" s="2">
        <v>23.682511626587001</v>
      </c>
      <c r="AW11" s="2">
        <v>23.2895037408605</v>
      </c>
      <c r="AX11" s="2">
        <v>25.463675009190801</v>
      </c>
      <c r="AY11" s="2">
        <v>24.6500552312867</v>
      </c>
      <c r="AZ11" s="2">
        <v>24.033689351240898</v>
      </c>
      <c r="BA11" s="2">
        <v>25.075600999077501</v>
      </c>
      <c r="BB11" s="2">
        <v>25.094891515977601</v>
      </c>
      <c r="BC11" s="2">
        <v>25.998820181293901</v>
      </c>
      <c r="BD11" s="2">
        <v>23.121754444466202</v>
      </c>
      <c r="BE11" s="2">
        <v>24.183236619158201</v>
      </c>
      <c r="BF11" s="2">
        <v>24.712616407198201</v>
      </c>
      <c r="BG11" s="2">
        <v>25.860738159901899</v>
      </c>
      <c r="BH11" s="2">
        <v>24.447267461578399</v>
      </c>
      <c r="BI11" s="2">
        <v>24.639048186398099</v>
      </c>
      <c r="BJ11" s="2">
        <v>24.904039198450999</v>
      </c>
      <c r="BK11" s="2">
        <v>24.111595978563599</v>
      </c>
      <c r="BL11" s="2">
        <v>25.7641923847338</v>
      </c>
      <c r="BM11" s="2">
        <v>21.922452549007801</v>
      </c>
      <c r="BN11" s="2">
        <v>23.952202690968701</v>
      </c>
      <c r="BO11" s="2">
        <v>24.792106787973299</v>
      </c>
      <c r="BP11" s="2">
        <v>25.123071459693101</v>
      </c>
      <c r="BQ11" s="2">
        <v>25.2744782499922</v>
      </c>
      <c r="BR11" s="2">
        <v>25.606083942372301</v>
      </c>
      <c r="BS11" s="2">
        <v>24.619473377624299</v>
      </c>
      <c r="BT11" s="2">
        <v>24.579821476442799</v>
      </c>
      <c r="BU11" s="2">
        <v>24.304963663952499</v>
      </c>
      <c r="BV11" s="2">
        <v>25.174172659320799</v>
      </c>
      <c r="BW11" s="2">
        <v>24.153764378892198</v>
      </c>
      <c r="BX11" s="2">
        <v>24.288718884394399</v>
      </c>
      <c r="BY11" s="2">
        <v>24.819457147785599</v>
      </c>
      <c r="BZ11" s="2">
        <v>25.294671720757002</v>
      </c>
      <c r="CA11" s="2">
        <v>24.605525233090098</v>
      </c>
      <c r="CB11" s="2">
        <v>26.144422377021701</v>
      </c>
      <c r="CC11" s="2">
        <v>25.1419531154975</v>
      </c>
      <c r="CD11" s="2">
        <v>25.0011928900092</v>
      </c>
      <c r="CE11" s="2">
        <v>26.224184883470699</v>
      </c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</row>
    <row r="12" spans="1:97">
      <c r="A12" s="2" t="s">
        <v>221</v>
      </c>
      <c r="B12" s="2">
        <v>510.35480999999999</v>
      </c>
      <c r="C12" s="2">
        <v>11.087999999999999</v>
      </c>
      <c r="D12" s="2" t="s">
        <v>84</v>
      </c>
      <c r="E12" s="2" t="s">
        <v>222</v>
      </c>
      <c r="F12" s="2" t="s">
        <v>223</v>
      </c>
      <c r="G12" s="2">
        <v>19526</v>
      </c>
      <c r="H12" s="3" t="str">
        <f>HYPERLINK("https://cloud.oebiotech.com/#/lm/network/19526", "https://cloud.oebiotech.com/#/lm/network/19526")</f>
        <v>https://cloud.oebiotech.com/#/lm/network/19526</v>
      </c>
      <c r="I12" s="2"/>
      <c r="J12" s="2">
        <v>40057</v>
      </c>
      <c r="K12" s="2" t="s">
        <v>224</v>
      </c>
      <c r="L12" s="2">
        <v>24779290</v>
      </c>
      <c r="M12" s="2"/>
      <c r="N12" s="2"/>
      <c r="O12" s="2"/>
      <c r="P12" s="2">
        <v>131688</v>
      </c>
      <c r="Q12" s="2"/>
      <c r="R12" s="2"/>
      <c r="S12" s="2"/>
      <c r="T12" s="2" t="s">
        <v>225</v>
      </c>
      <c r="U12" s="2" t="s">
        <v>226</v>
      </c>
      <c r="V12" s="2" t="s">
        <v>95</v>
      </c>
      <c r="W12" s="2" t="s">
        <v>202</v>
      </c>
      <c r="X12" s="2" t="s">
        <v>203</v>
      </c>
      <c r="Y12" s="2" t="s">
        <v>98</v>
      </c>
      <c r="Z12" s="2" t="s">
        <v>204</v>
      </c>
      <c r="AA12" s="2" t="s">
        <v>205</v>
      </c>
      <c r="AB12" s="2" t="s">
        <v>101</v>
      </c>
      <c r="AC12" s="2">
        <v>75.900000000000006</v>
      </c>
      <c r="AD12" s="2">
        <v>98.91</v>
      </c>
      <c r="AE12" s="2">
        <v>92.83</v>
      </c>
      <c r="AF12" s="2" t="s">
        <v>227</v>
      </c>
      <c r="AG12" s="2" t="s">
        <v>103</v>
      </c>
      <c r="AH12" s="2" t="s">
        <v>228</v>
      </c>
      <c r="AI12" s="2">
        <v>1.18</v>
      </c>
      <c r="AJ12" s="2">
        <v>25.817326205331501</v>
      </c>
      <c r="AK12" s="2">
        <v>25.816859397225599</v>
      </c>
      <c r="AL12" s="2">
        <v>26.2204260290872</v>
      </c>
      <c r="AM12" s="2">
        <v>26.2459685105568</v>
      </c>
      <c r="AN12" s="2">
        <v>25.819536964023399</v>
      </c>
      <c r="AO12" s="2">
        <v>25.754143383668499</v>
      </c>
      <c r="AP12" s="2">
        <v>25.776556758384601</v>
      </c>
      <c r="AQ12" s="2">
        <v>25.8469707571561</v>
      </c>
      <c r="AR12" s="2">
        <v>26.7922815248576</v>
      </c>
      <c r="AS12" s="2">
        <v>24.879702834162</v>
      </c>
      <c r="AT12" s="2">
        <v>25.2314768779495</v>
      </c>
      <c r="AU12" s="2">
        <v>25.7904141502672</v>
      </c>
      <c r="AV12" s="2">
        <v>25.420385101075802</v>
      </c>
      <c r="AW12" s="2">
        <v>25.366265137390801</v>
      </c>
      <c r="AX12" s="2">
        <v>25.678339734630001</v>
      </c>
      <c r="AY12" s="2">
        <v>25.964429589629599</v>
      </c>
      <c r="AZ12" s="2">
        <v>26.0723774130213</v>
      </c>
      <c r="BA12" s="2">
        <v>24.252935324286799</v>
      </c>
      <c r="BB12" s="2">
        <v>25.648804773986701</v>
      </c>
      <c r="BC12" s="2">
        <v>26.552998934970599</v>
      </c>
      <c r="BD12" s="2">
        <v>25.794961070414399</v>
      </c>
      <c r="BE12" s="2">
        <v>26.498747789426101</v>
      </c>
      <c r="BF12" s="2">
        <v>25.253627366822201</v>
      </c>
      <c r="BG12" s="2">
        <v>26.2568587070717</v>
      </c>
      <c r="BH12" s="2">
        <v>26.2773561456981</v>
      </c>
      <c r="BI12" s="2">
        <v>24.8298665567585</v>
      </c>
      <c r="BJ12" s="2">
        <v>25.471789159724999</v>
      </c>
      <c r="BK12" s="2">
        <v>25.136575514965902</v>
      </c>
      <c r="BL12" s="2">
        <v>25.708018906899099</v>
      </c>
      <c r="BM12" s="2">
        <v>25.794382059432799</v>
      </c>
      <c r="BN12" s="2">
        <v>25.746626193697502</v>
      </c>
      <c r="BO12" s="2">
        <v>25.736200919122599</v>
      </c>
      <c r="BP12" s="2">
        <v>25.942359191332301</v>
      </c>
      <c r="BQ12" s="2">
        <v>25.434988205358501</v>
      </c>
      <c r="BR12" s="2">
        <v>25.547895514614201</v>
      </c>
      <c r="BS12" s="2">
        <v>26.161816556093399</v>
      </c>
      <c r="BT12" s="2">
        <v>26.065859794390601</v>
      </c>
      <c r="BU12" s="2">
        <v>25.360350537626399</v>
      </c>
      <c r="BV12" s="2">
        <v>25.579501000300699</v>
      </c>
      <c r="BW12" s="2">
        <v>24.903521433315401</v>
      </c>
      <c r="BX12" s="2">
        <v>25.4752300982855</v>
      </c>
      <c r="BY12" s="2">
        <v>26.789943293336599</v>
      </c>
      <c r="BZ12" s="2">
        <v>25.415647370889701</v>
      </c>
      <c r="CA12" s="2">
        <v>26.1591378280561</v>
      </c>
      <c r="CB12" s="2">
        <v>25.405346400761399</v>
      </c>
      <c r="CC12" s="2">
        <v>24.5555959109568</v>
      </c>
      <c r="CD12" s="2">
        <v>25.748049360224101</v>
      </c>
      <c r="CE12" s="2">
        <v>24.617890095972299</v>
      </c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</row>
    <row r="13" spans="1:97">
      <c r="A13" s="2" t="s">
        <v>229</v>
      </c>
      <c r="B13" s="2">
        <v>175.11879999999999</v>
      </c>
      <c r="C13" s="2">
        <v>0.70199999999999996</v>
      </c>
      <c r="D13" s="2" t="s">
        <v>84</v>
      </c>
      <c r="E13" s="2" t="s">
        <v>230</v>
      </c>
      <c r="F13" s="2" t="s">
        <v>231</v>
      </c>
      <c r="G13" s="2">
        <v>48094</v>
      </c>
      <c r="H13" s="3" t="str">
        <f>HYPERLINK("https://cloud.oebiotech.com/#/lm/network/48094", "https://cloud.oebiotech.com/#/lm/network/48094")</f>
        <v>https://cloud.oebiotech.com/#/lm/network/48094</v>
      </c>
      <c r="I13" s="2" t="s">
        <v>232</v>
      </c>
      <c r="J13" s="2">
        <v>6924</v>
      </c>
      <c r="K13" s="2"/>
      <c r="L13" s="2">
        <v>71070</v>
      </c>
      <c r="M13" s="2" t="s">
        <v>233</v>
      </c>
      <c r="N13" s="2" t="s">
        <v>234</v>
      </c>
      <c r="O13" s="2" t="s">
        <v>235</v>
      </c>
      <c r="P13" s="2">
        <v>15816</v>
      </c>
      <c r="Q13" s="2"/>
      <c r="R13" s="2"/>
      <c r="S13" s="2" t="s">
        <v>236</v>
      </c>
      <c r="T13" s="2" t="s">
        <v>237</v>
      </c>
      <c r="U13" s="2" t="s">
        <v>238</v>
      </c>
      <c r="V13" s="2" t="s">
        <v>115</v>
      </c>
      <c r="W13" s="2" t="s">
        <v>116</v>
      </c>
      <c r="X13" s="2" t="s">
        <v>117</v>
      </c>
      <c r="Y13" s="2" t="s">
        <v>118</v>
      </c>
      <c r="Z13" s="2" t="s">
        <v>119</v>
      </c>
      <c r="AA13" s="2" t="s">
        <v>120</v>
      </c>
      <c r="AB13" s="2" t="s">
        <v>101</v>
      </c>
      <c r="AC13" s="2">
        <v>75.8</v>
      </c>
      <c r="AD13" s="2">
        <v>98.4</v>
      </c>
      <c r="AE13" s="2">
        <v>94.87</v>
      </c>
      <c r="AF13" s="2" t="s">
        <v>239</v>
      </c>
      <c r="AG13" s="2" t="s">
        <v>103</v>
      </c>
      <c r="AH13" s="2" t="s">
        <v>240</v>
      </c>
      <c r="AI13" s="2">
        <v>1.1399999999999999</v>
      </c>
      <c r="AJ13" s="2">
        <v>26.063900404876001</v>
      </c>
      <c r="AK13" s="2">
        <v>26.214260392104801</v>
      </c>
      <c r="AL13" s="2">
        <v>25.949205755402598</v>
      </c>
      <c r="AM13" s="2">
        <v>26.235698226895899</v>
      </c>
      <c r="AN13" s="2">
        <v>26.121841261060599</v>
      </c>
      <c r="AO13" s="2">
        <v>26.214183527707998</v>
      </c>
      <c r="AP13" s="2">
        <v>26.1005955645347</v>
      </c>
      <c r="AQ13" s="2">
        <v>25.964766346824302</v>
      </c>
      <c r="AR13" s="2">
        <v>25.091981864974599</v>
      </c>
      <c r="AS13" s="2">
        <v>25.205384126909301</v>
      </c>
      <c r="AT13" s="2">
        <v>25.403885010902901</v>
      </c>
      <c r="AU13" s="2">
        <v>25.3563959429741</v>
      </c>
      <c r="AV13" s="2">
        <v>26.361962723694301</v>
      </c>
      <c r="AW13" s="2">
        <v>26.104451706621401</v>
      </c>
      <c r="AX13" s="2">
        <v>25.487430447341101</v>
      </c>
      <c r="AY13" s="2">
        <v>26.189430274971699</v>
      </c>
      <c r="AZ13" s="2">
        <v>26.9985659209704</v>
      </c>
      <c r="BA13" s="2">
        <v>25.960435005408499</v>
      </c>
      <c r="BB13" s="2">
        <v>25.6777747390088</v>
      </c>
      <c r="BC13" s="2">
        <v>25.307149468340999</v>
      </c>
      <c r="BD13" s="2">
        <v>25.786886641145301</v>
      </c>
      <c r="BE13" s="2">
        <v>25.4684148197883</v>
      </c>
      <c r="BF13" s="2">
        <v>25.001789855106299</v>
      </c>
      <c r="BG13" s="2">
        <v>26.0859088691743</v>
      </c>
      <c r="BH13" s="2">
        <v>25.6511237037369</v>
      </c>
      <c r="BI13" s="2">
        <v>25.035815918099502</v>
      </c>
      <c r="BJ13" s="2">
        <v>25.915130710647698</v>
      </c>
      <c r="BK13" s="2">
        <v>25.581905579966101</v>
      </c>
      <c r="BL13" s="2">
        <v>25.507466662622299</v>
      </c>
      <c r="BM13" s="2">
        <v>26.270271983834199</v>
      </c>
      <c r="BN13" s="2">
        <v>26.723225530384301</v>
      </c>
      <c r="BO13" s="2">
        <v>25.325216418529799</v>
      </c>
      <c r="BP13" s="2">
        <v>26.288600948648799</v>
      </c>
      <c r="BQ13" s="2">
        <v>26.012668129112299</v>
      </c>
      <c r="BR13" s="2">
        <v>25.817295627759201</v>
      </c>
      <c r="BS13" s="2">
        <v>26.615766367626598</v>
      </c>
      <c r="BT13" s="2">
        <v>26.2442942016602</v>
      </c>
      <c r="BU13" s="2">
        <v>24.960751701137301</v>
      </c>
      <c r="BV13" s="2">
        <v>24.9396068949195</v>
      </c>
      <c r="BW13" s="2">
        <v>25.813764971862501</v>
      </c>
      <c r="BX13" s="2">
        <v>26.438155402970398</v>
      </c>
      <c r="BY13" s="2">
        <v>25.5809013885277</v>
      </c>
      <c r="BZ13" s="2">
        <v>25.703387359335402</v>
      </c>
      <c r="CA13" s="2">
        <v>26.592223410379301</v>
      </c>
      <c r="CB13" s="2">
        <v>26.083119271899498</v>
      </c>
      <c r="CC13" s="2">
        <v>25.062478321876799</v>
      </c>
      <c r="CD13" s="2">
        <v>26.136120452145601</v>
      </c>
      <c r="CE13" s="2">
        <v>24.9347285202557</v>
      </c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</row>
    <row r="14" spans="1:97">
      <c r="A14" s="2" t="s">
        <v>241</v>
      </c>
      <c r="B14" s="2">
        <v>280.26292999999998</v>
      </c>
      <c r="C14" s="2">
        <v>12.034000000000001</v>
      </c>
      <c r="D14" s="2" t="s">
        <v>84</v>
      </c>
      <c r="E14" s="2" t="s">
        <v>242</v>
      </c>
      <c r="F14" s="2" t="s">
        <v>243</v>
      </c>
      <c r="G14" s="2">
        <v>6567</v>
      </c>
      <c r="H14" s="3" t="str">
        <f>HYPERLINK("https://cloud.oebiotech.com/#/lm/network/6567", "https://cloud.oebiotech.com/#/lm/network/6567")</f>
        <v>https://cloud.oebiotech.com/#/lm/network/6567</v>
      </c>
      <c r="I14" s="2"/>
      <c r="J14" s="2">
        <v>75376</v>
      </c>
      <c r="K14" s="2" t="s">
        <v>244</v>
      </c>
      <c r="L14" s="2">
        <v>5283384</v>
      </c>
      <c r="M14" s="2"/>
      <c r="N14" s="2"/>
      <c r="O14" s="2"/>
      <c r="P14" s="2"/>
      <c r="Q14" s="2"/>
      <c r="R14" s="2"/>
      <c r="S14" s="2"/>
      <c r="T14" s="2" t="s">
        <v>245</v>
      </c>
      <c r="U14" s="2" t="s">
        <v>246</v>
      </c>
      <c r="V14" s="2" t="s">
        <v>95</v>
      </c>
      <c r="W14" s="2" t="s">
        <v>96</v>
      </c>
      <c r="X14" s="2" t="s">
        <v>129</v>
      </c>
      <c r="Y14" s="2" t="s">
        <v>98</v>
      </c>
      <c r="Z14" s="2" t="s">
        <v>99</v>
      </c>
      <c r="AA14" s="2" t="s">
        <v>130</v>
      </c>
      <c r="AB14" s="2" t="s">
        <v>101</v>
      </c>
      <c r="AC14" s="2">
        <v>75.77</v>
      </c>
      <c r="AD14" s="2">
        <v>98.47</v>
      </c>
      <c r="AE14" s="2">
        <v>97.67</v>
      </c>
      <c r="AF14" s="2" t="s">
        <v>247</v>
      </c>
      <c r="AG14" s="2" t="s">
        <v>132</v>
      </c>
      <c r="AH14" s="2" t="s">
        <v>248</v>
      </c>
      <c r="AI14" s="2">
        <v>2.14</v>
      </c>
      <c r="AJ14" s="2">
        <v>26.814058254497098</v>
      </c>
      <c r="AK14" s="2">
        <v>26.716295002630499</v>
      </c>
      <c r="AL14" s="2">
        <v>26.555436917258501</v>
      </c>
      <c r="AM14" s="2">
        <v>26.676261507758301</v>
      </c>
      <c r="AN14" s="2">
        <v>26.632666346443401</v>
      </c>
      <c r="AO14" s="2">
        <v>26.644809102877801</v>
      </c>
      <c r="AP14" s="2">
        <v>25.835466486412901</v>
      </c>
      <c r="AQ14" s="2">
        <v>26.6036190485883</v>
      </c>
      <c r="AR14" s="2">
        <v>26.588672856397899</v>
      </c>
      <c r="AS14" s="2">
        <v>26.9368268801075</v>
      </c>
      <c r="AT14" s="2">
        <v>26.939473067565501</v>
      </c>
      <c r="AU14" s="2">
        <v>27.1332413445115</v>
      </c>
      <c r="AV14" s="2">
        <v>26.1494323863806</v>
      </c>
      <c r="AW14" s="2">
        <v>27.9591270283291</v>
      </c>
      <c r="AX14" s="2">
        <v>26.673886661754601</v>
      </c>
      <c r="AY14" s="2">
        <v>26.953820980556099</v>
      </c>
      <c r="AZ14" s="2">
        <v>27.571613608795499</v>
      </c>
      <c r="BA14" s="2">
        <v>25.745023480670799</v>
      </c>
      <c r="BB14" s="2">
        <v>27.860970010399502</v>
      </c>
      <c r="BC14" s="2">
        <v>26.771814534333899</v>
      </c>
      <c r="BD14" s="2">
        <v>26.9662823549824</v>
      </c>
      <c r="BE14" s="2">
        <v>27.278034378156899</v>
      </c>
      <c r="BF14" s="2">
        <v>27.548589436491</v>
      </c>
      <c r="BG14" s="2">
        <v>27.508195400644301</v>
      </c>
      <c r="BH14" s="2">
        <v>26.079709897440299</v>
      </c>
      <c r="BI14" s="2">
        <v>27.572263526193399</v>
      </c>
      <c r="BJ14" s="2">
        <v>26.353837222437001</v>
      </c>
      <c r="BK14" s="2">
        <v>26.3572676609209</v>
      </c>
      <c r="BL14" s="2">
        <v>27.598158860005402</v>
      </c>
      <c r="BM14" s="2">
        <v>26.121639001379901</v>
      </c>
      <c r="BN14" s="2">
        <v>25.4019784589761</v>
      </c>
      <c r="BO14" s="2">
        <v>27.123600574325899</v>
      </c>
      <c r="BP14" s="2">
        <v>25.777750526928799</v>
      </c>
      <c r="BQ14" s="2">
        <v>26.403992914749502</v>
      </c>
      <c r="BR14" s="2">
        <v>27.4673786587148</v>
      </c>
      <c r="BS14" s="2">
        <v>26.6340160139552</v>
      </c>
      <c r="BT14" s="2">
        <v>26.354964419124599</v>
      </c>
      <c r="BU14" s="2">
        <v>27.742570138049501</v>
      </c>
      <c r="BV14" s="2">
        <v>26.326126326045401</v>
      </c>
      <c r="BW14" s="2">
        <v>26.355514497135299</v>
      </c>
      <c r="BX14" s="2">
        <v>26.412318288293601</v>
      </c>
      <c r="BY14" s="2">
        <v>26.319512779755001</v>
      </c>
      <c r="BZ14" s="2">
        <v>27.249598735125801</v>
      </c>
      <c r="CA14" s="2">
        <v>26.1072153739632</v>
      </c>
      <c r="CB14" s="2">
        <v>27.259840534741599</v>
      </c>
      <c r="CC14" s="2">
        <v>26.179177536985001</v>
      </c>
      <c r="CD14" s="2">
        <v>26.959805298819202</v>
      </c>
      <c r="CE14" s="2">
        <v>26.590669066185701</v>
      </c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</row>
    <row r="15" spans="1:97">
      <c r="A15" s="2" t="s">
        <v>249</v>
      </c>
      <c r="B15" s="2">
        <v>144.10173</v>
      </c>
      <c r="C15" s="2">
        <v>0.753</v>
      </c>
      <c r="D15" s="2" t="s">
        <v>84</v>
      </c>
      <c r="E15" s="2" t="s">
        <v>250</v>
      </c>
      <c r="F15" s="2" t="s">
        <v>251</v>
      </c>
      <c r="G15" s="2">
        <v>48322</v>
      </c>
      <c r="H15" s="3" t="str">
        <f>HYPERLINK("https://cloud.oebiotech.com/#/lm/network/48322", "https://cloud.oebiotech.com/#/lm/network/48322")</f>
        <v>https://cloud.oebiotech.com/#/lm/network/48322</v>
      </c>
      <c r="I15" s="2" t="s">
        <v>252</v>
      </c>
      <c r="J15" s="2">
        <v>7089</v>
      </c>
      <c r="K15" s="2"/>
      <c r="L15" s="2">
        <v>115244</v>
      </c>
      <c r="M15" s="2" t="s">
        <v>253</v>
      </c>
      <c r="N15" s="2"/>
      <c r="O15" s="2"/>
      <c r="P15" s="2">
        <v>35280</v>
      </c>
      <c r="Q15" s="2"/>
      <c r="R15" s="2"/>
      <c r="S15" s="2" t="s">
        <v>254</v>
      </c>
      <c r="T15" s="2" t="s">
        <v>255</v>
      </c>
      <c r="U15" s="2" t="s">
        <v>256</v>
      </c>
      <c r="V15" s="2" t="s">
        <v>115</v>
      </c>
      <c r="W15" s="2" t="s">
        <v>116</v>
      </c>
      <c r="X15" s="2" t="s">
        <v>117</v>
      </c>
      <c r="Y15" s="2" t="s">
        <v>118</v>
      </c>
      <c r="Z15" s="2" t="s">
        <v>119</v>
      </c>
      <c r="AA15" s="2" t="s">
        <v>120</v>
      </c>
      <c r="AB15" s="2" t="s">
        <v>101</v>
      </c>
      <c r="AC15" s="2">
        <v>75.760000000000005</v>
      </c>
      <c r="AD15" s="2">
        <v>99.23</v>
      </c>
      <c r="AE15" s="2">
        <v>94.62</v>
      </c>
      <c r="AF15" s="2" t="s">
        <v>257</v>
      </c>
      <c r="AG15" s="2" t="s">
        <v>103</v>
      </c>
      <c r="AH15" s="2" t="s">
        <v>258</v>
      </c>
      <c r="AI15" s="2">
        <v>1.39</v>
      </c>
      <c r="AJ15" s="2">
        <v>28.316143789572401</v>
      </c>
      <c r="AK15" s="2">
        <v>28.149433565275601</v>
      </c>
      <c r="AL15" s="2">
        <v>28.047919526601799</v>
      </c>
      <c r="AM15" s="2">
        <v>28.3122450435459</v>
      </c>
      <c r="AN15" s="2">
        <v>28.060336549805498</v>
      </c>
      <c r="AO15" s="2">
        <v>28.2722798203419</v>
      </c>
      <c r="AP15" s="2">
        <v>28.158531339084998</v>
      </c>
      <c r="AQ15" s="2">
        <v>27.9587870997211</v>
      </c>
      <c r="AR15" s="2">
        <v>28.826292522277299</v>
      </c>
      <c r="AS15" s="2">
        <v>24.128465076213299</v>
      </c>
      <c r="AT15" s="2">
        <v>25.917917029521998</v>
      </c>
      <c r="AU15" s="2">
        <v>28.0815590642624</v>
      </c>
      <c r="AV15" s="2">
        <v>28.127711441214501</v>
      </c>
      <c r="AW15" s="2">
        <v>25.7852469623137</v>
      </c>
      <c r="AX15" s="2">
        <v>27.466532723991499</v>
      </c>
      <c r="AY15" s="2">
        <v>25.253601677047001</v>
      </c>
      <c r="AZ15" s="2">
        <v>26.045958603079502</v>
      </c>
      <c r="BA15" s="2">
        <v>24.831898167850198</v>
      </c>
      <c r="BB15" s="2">
        <v>27.134464388965899</v>
      </c>
      <c r="BC15" s="2">
        <v>24.0074004508066</v>
      </c>
      <c r="BD15" s="2">
        <v>27.780793049498499</v>
      </c>
      <c r="BE15" s="2">
        <v>25.8250890450526</v>
      </c>
      <c r="BF15" s="2">
        <v>26.528805035091601</v>
      </c>
      <c r="BG15" s="2">
        <v>29.6080726489737</v>
      </c>
      <c r="BH15" s="2">
        <v>25.6271937178456</v>
      </c>
      <c r="BI15" s="2">
        <v>27.666216261315199</v>
      </c>
      <c r="BJ15" s="2">
        <v>25.518270921824101</v>
      </c>
      <c r="BK15" s="2">
        <v>26.561020222279399</v>
      </c>
      <c r="BL15" s="2">
        <v>29.138363627036799</v>
      </c>
      <c r="BM15" s="2">
        <v>27.638538899309101</v>
      </c>
      <c r="BN15" s="2">
        <v>24.4936814456223</v>
      </c>
      <c r="BO15" s="2">
        <v>28.7272946053886</v>
      </c>
      <c r="BP15" s="2">
        <v>29.845908993342</v>
      </c>
      <c r="BQ15" s="2">
        <v>27.250057264272101</v>
      </c>
      <c r="BR15" s="2">
        <v>24.938748121592699</v>
      </c>
      <c r="BS15" s="2">
        <v>28.656806368297499</v>
      </c>
      <c r="BT15" s="2">
        <v>28.3575223964522</v>
      </c>
      <c r="BU15" s="2">
        <v>25.990750296219801</v>
      </c>
      <c r="BV15" s="2">
        <v>28.073355404256102</v>
      </c>
      <c r="BW15" s="2">
        <v>29.125534645337002</v>
      </c>
      <c r="BX15" s="2">
        <v>26.490389777921202</v>
      </c>
      <c r="BY15" s="2">
        <v>28.8348856881024</v>
      </c>
      <c r="BZ15" s="2">
        <v>24.855397962779801</v>
      </c>
      <c r="CA15" s="2">
        <v>27.5361640117282</v>
      </c>
      <c r="CB15" s="2">
        <v>27.0638892352098</v>
      </c>
      <c r="CC15" s="2">
        <v>29.213092228550199</v>
      </c>
      <c r="CD15" s="2">
        <v>29.264338269999701</v>
      </c>
      <c r="CE15" s="2">
        <v>26.184316319321201</v>
      </c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</row>
    <row r="16" spans="1:97">
      <c r="A16" s="2" t="s">
        <v>259</v>
      </c>
      <c r="B16" s="2">
        <v>544.33873000000006</v>
      </c>
      <c r="C16" s="2">
        <v>10.39</v>
      </c>
      <c r="D16" s="2" t="s">
        <v>84</v>
      </c>
      <c r="E16" s="2" t="s">
        <v>260</v>
      </c>
      <c r="F16" s="2" t="s">
        <v>261</v>
      </c>
      <c r="G16" s="2">
        <v>19889</v>
      </c>
      <c r="H16" s="3" t="str">
        <f>HYPERLINK("https://cloud.oebiotech.com/#/lm/network/19889", "https://cloud.oebiotech.com/#/lm/network/19889")</f>
        <v>https://cloud.oebiotech.com/#/lm/network/19889</v>
      </c>
      <c r="I16" s="2" t="s">
        <v>262</v>
      </c>
      <c r="J16" s="2">
        <v>61706</v>
      </c>
      <c r="K16" s="2" t="s">
        <v>263</v>
      </c>
      <c r="L16" s="2">
        <v>53480469</v>
      </c>
      <c r="M16" s="2" t="s">
        <v>264</v>
      </c>
      <c r="N16" s="2" t="s">
        <v>265</v>
      </c>
      <c r="O16" s="2" t="s">
        <v>266</v>
      </c>
      <c r="P16" s="2">
        <v>86259</v>
      </c>
      <c r="Q16" s="2"/>
      <c r="R16" s="2"/>
      <c r="S16" s="2"/>
      <c r="T16" s="2" t="s">
        <v>267</v>
      </c>
      <c r="U16" s="2" t="s">
        <v>268</v>
      </c>
      <c r="V16" s="2" t="s">
        <v>95</v>
      </c>
      <c r="W16" s="2" t="s">
        <v>202</v>
      </c>
      <c r="X16" s="2" t="s">
        <v>203</v>
      </c>
      <c r="Y16" s="2" t="s">
        <v>98</v>
      </c>
      <c r="Z16" s="2" t="s">
        <v>204</v>
      </c>
      <c r="AA16" s="2" t="s">
        <v>205</v>
      </c>
      <c r="AB16" s="2" t="s">
        <v>101</v>
      </c>
      <c r="AC16" s="2">
        <v>75.69</v>
      </c>
      <c r="AD16" s="2">
        <v>99.76</v>
      </c>
      <c r="AE16" s="2">
        <v>95.66</v>
      </c>
      <c r="AF16" s="2" t="s">
        <v>269</v>
      </c>
      <c r="AG16" s="2" t="s">
        <v>103</v>
      </c>
      <c r="AH16" s="2" t="s">
        <v>270</v>
      </c>
      <c r="AI16" s="2">
        <v>2.02</v>
      </c>
      <c r="AJ16" s="2">
        <v>29.203335437799598</v>
      </c>
      <c r="AK16" s="2">
        <v>29.117907274033001</v>
      </c>
      <c r="AL16" s="2">
        <v>29.1815016781742</v>
      </c>
      <c r="AM16" s="2">
        <v>29.225420762439601</v>
      </c>
      <c r="AN16" s="2">
        <v>29.233637533385</v>
      </c>
      <c r="AO16" s="2">
        <v>29.217783961533002</v>
      </c>
      <c r="AP16" s="2">
        <v>29.246330609337701</v>
      </c>
      <c r="AQ16" s="2">
        <v>29.171195631028201</v>
      </c>
      <c r="AR16" s="2">
        <v>29.586520690855</v>
      </c>
      <c r="AS16" s="2">
        <v>27.796348585687099</v>
      </c>
      <c r="AT16" s="2">
        <v>28.7426663723122</v>
      </c>
      <c r="AU16" s="2">
        <v>28.0651058858742</v>
      </c>
      <c r="AV16" s="2">
        <v>28.720217978593499</v>
      </c>
      <c r="AW16" s="2">
        <v>29.3481270943103</v>
      </c>
      <c r="AX16" s="2">
        <v>29.786412872494498</v>
      </c>
      <c r="AY16" s="2">
        <v>29.283172320273302</v>
      </c>
      <c r="AZ16" s="2">
        <v>28.810499503736001</v>
      </c>
      <c r="BA16" s="2">
        <v>27.786465184261001</v>
      </c>
      <c r="BB16" s="2">
        <v>28.712325577189599</v>
      </c>
      <c r="BC16" s="2">
        <v>29.5244268860964</v>
      </c>
      <c r="BD16" s="2">
        <v>28.599672938570698</v>
      </c>
      <c r="BE16" s="2">
        <v>29.192463063980199</v>
      </c>
      <c r="BF16" s="2">
        <v>29.272156402523599</v>
      </c>
      <c r="BG16" s="2">
        <v>29.155300657546899</v>
      </c>
      <c r="BH16" s="2">
        <v>29.964041317358301</v>
      </c>
      <c r="BI16" s="2">
        <v>29.667555883985901</v>
      </c>
      <c r="BJ16" s="2">
        <v>28.989408650585698</v>
      </c>
      <c r="BK16" s="2">
        <v>28.8681551286545</v>
      </c>
      <c r="BL16" s="2">
        <v>29.201433781561001</v>
      </c>
      <c r="BM16" s="2">
        <v>28.426408469845398</v>
      </c>
      <c r="BN16" s="2">
        <v>29.2846666088675</v>
      </c>
      <c r="BO16" s="2">
        <v>28.418667027599898</v>
      </c>
      <c r="BP16" s="2">
        <v>28.938371471309601</v>
      </c>
      <c r="BQ16" s="2">
        <v>29.114879989818501</v>
      </c>
      <c r="BR16" s="2">
        <v>29.462552052074098</v>
      </c>
      <c r="BS16" s="2">
        <v>29.596293924541701</v>
      </c>
      <c r="BT16" s="2">
        <v>28.843581184740099</v>
      </c>
      <c r="BU16" s="2">
        <v>28.108543434515099</v>
      </c>
      <c r="BV16" s="2">
        <v>28.441443817129599</v>
      </c>
      <c r="BW16" s="2">
        <v>28.937854680757301</v>
      </c>
      <c r="BX16" s="2">
        <v>28.9522001081037</v>
      </c>
      <c r="BY16" s="2">
        <v>29.449205798088698</v>
      </c>
      <c r="BZ16" s="2">
        <v>28.935744646056602</v>
      </c>
      <c r="CA16" s="2">
        <v>29.149334702289998</v>
      </c>
      <c r="CB16" s="2">
        <v>29.3976620927093</v>
      </c>
      <c r="CC16" s="2">
        <v>28.834572155542901</v>
      </c>
      <c r="CD16" s="2">
        <v>29.422268444696801</v>
      </c>
      <c r="CE16" s="2">
        <v>28.7165087464113</v>
      </c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</row>
    <row r="17" spans="1:97">
      <c r="A17" s="2" t="s">
        <v>271</v>
      </c>
      <c r="B17" s="2">
        <v>466.31598000000002</v>
      </c>
      <c r="C17" s="2">
        <v>7.5039999999999996</v>
      </c>
      <c r="D17" s="2" t="s">
        <v>84</v>
      </c>
      <c r="E17" s="2" t="s">
        <v>272</v>
      </c>
      <c r="F17" s="2" t="s">
        <v>273</v>
      </c>
      <c r="G17" s="2">
        <v>209126</v>
      </c>
      <c r="H17" s="3" t="str">
        <f>HYPERLINK("https://cloud.oebiotech.com/#/lm/network/209126", "https://cloud.oebiotech.com/#/lm/network/209126")</f>
        <v>https://cloud.oebiotech.com/#/lm/network/209126</v>
      </c>
      <c r="I17" s="2" t="s">
        <v>274</v>
      </c>
      <c r="J17" s="2">
        <v>88551</v>
      </c>
      <c r="K17" s="2"/>
      <c r="L17" s="2">
        <v>755</v>
      </c>
      <c r="M17" s="2"/>
      <c r="N17" s="2"/>
      <c r="O17" s="2"/>
      <c r="P17" s="2">
        <v>36273</v>
      </c>
      <c r="Q17" s="2"/>
      <c r="R17" s="2"/>
      <c r="S17" s="2" t="s">
        <v>275</v>
      </c>
      <c r="T17" s="2" t="s">
        <v>276</v>
      </c>
      <c r="U17" s="2" t="s">
        <v>277</v>
      </c>
      <c r="V17" s="2" t="s">
        <v>95</v>
      </c>
      <c r="W17" s="2" t="s">
        <v>152</v>
      </c>
      <c r="X17" s="2" t="s">
        <v>278</v>
      </c>
      <c r="Y17" s="2" t="s">
        <v>98</v>
      </c>
      <c r="Z17" s="2" t="s">
        <v>154</v>
      </c>
      <c r="AA17" s="2" t="s">
        <v>279</v>
      </c>
      <c r="AB17" s="2" t="s">
        <v>101</v>
      </c>
      <c r="AC17" s="2">
        <v>75.67</v>
      </c>
      <c r="AD17" s="2">
        <v>99.19</v>
      </c>
      <c r="AE17" s="2">
        <v>95.69</v>
      </c>
      <c r="AF17" s="2" t="s">
        <v>280</v>
      </c>
      <c r="AG17" s="2" t="s">
        <v>103</v>
      </c>
      <c r="AH17" s="2" t="s">
        <v>281</v>
      </c>
      <c r="AI17" s="2">
        <v>0.64</v>
      </c>
      <c r="AJ17" s="2">
        <v>24.8790801007566</v>
      </c>
      <c r="AK17" s="2">
        <v>25.0068971063174</v>
      </c>
      <c r="AL17" s="2">
        <v>24.889326113141198</v>
      </c>
      <c r="AM17" s="2">
        <v>25.007214805685901</v>
      </c>
      <c r="AN17" s="2">
        <v>24.900798069468699</v>
      </c>
      <c r="AO17" s="2">
        <v>24.910198057708801</v>
      </c>
      <c r="AP17" s="2">
        <v>24.6940722218514</v>
      </c>
      <c r="AQ17" s="2">
        <v>24.9503991197193</v>
      </c>
      <c r="AR17" s="2">
        <v>24.1382997611123</v>
      </c>
      <c r="AS17" s="2">
        <v>18.7361226054221</v>
      </c>
      <c r="AT17" s="2">
        <v>22.385350366023101</v>
      </c>
      <c r="AU17" s="2">
        <v>23.968084547029701</v>
      </c>
      <c r="AV17" s="2">
        <v>21.9907668518563</v>
      </c>
      <c r="AW17" s="2">
        <v>25.8396323478614</v>
      </c>
      <c r="AX17" s="2">
        <v>22.2524339646159</v>
      </c>
      <c r="AY17" s="2">
        <v>24.1718410995894</v>
      </c>
      <c r="AZ17" s="2">
        <v>21.237058244097401</v>
      </c>
      <c r="BA17" s="2">
        <v>19.3398645264704</v>
      </c>
      <c r="BB17" s="2">
        <v>26.388701356741901</v>
      </c>
      <c r="BC17" s="2">
        <v>22.364088900362599</v>
      </c>
      <c r="BD17" s="2">
        <v>21.744778671658601</v>
      </c>
      <c r="BE17" s="2">
        <v>23.104498135287599</v>
      </c>
      <c r="BF17" s="2">
        <v>21.377399181108</v>
      </c>
      <c r="BG17" s="2">
        <v>19.5362472536378</v>
      </c>
      <c r="BH17" s="2">
        <v>22.581055442318199</v>
      </c>
      <c r="BI17" s="2">
        <v>19.437565868492399</v>
      </c>
      <c r="BJ17" s="2">
        <v>22.2470135855622</v>
      </c>
      <c r="BK17" s="2">
        <v>24.169027076585198</v>
      </c>
      <c r="BL17" s="2">
        <v>21.154884096356799</v>
      </c>
      <c r="BM17" s="2">
        <v>24.384620485219301</v>
      </c>
      <c r="BN17" s="2">
        <v>23.642264188770401</v>
      </c>
      <c r="BO17" s="2">
        <v>21.078322059478602</v>
      </c>
      <c r="BP17" s="2">
        <v>18.367258261950798</v>
      </c>
      <c r="BQ17" s="2">
        <v>23.656017690028001</v>
      </c>
      <c r="BR17" s="2">
        <v>23.134385330138201</v>
      </c>
      <c r="BS17" s="2">
        <v>23.180321107869499</v>
      </c>
      <c r="BT17" s="2">
        <v>21.4426688389531</v>
      </c>
      <c r="BU17" s="2">
        <v>20.1789469523235</v>
      </c>
      <c r="BV17" s="2">
        <v>25.845678896711</v>
      </c>
      <c r="BW17" s="2">
        <v>21.0165171732583</v>
      </c>
      <c r="BX17" s="2">
        <v>21.9909160553972</v>
      </c>
      <c r="BY17" s="2">
        <v>21.844431305125202</v>
      </c>
      <c r="BZ17" s="2">
        <v>23.101760912651699</v>
      </c>
      <c r="CA17" s="2">
        <v>22.2340097988655</v>
      </c>
      <c r="CB17" s="2">
        <v>23.1651253696674</v>
      </c>
      <c r="CC17" s="2">
        <v>20.8593212013696</v>
      </c>
      <c r="CD17" s="2">
        <v>22.7701683362381</v>
      </c>
      <c r="CE17" s="2">
        <v>20.7854692788551</v>
      </c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</row>
    <row r="18" spans="1:97">
      <c r="A18" s="2" t="s">
        <v>282</v>
      </c>
      <c r="B18" s="2">
        <v>329.24799999999999</v>
      </c>
      <c r="C18" s="2">
        <v>12.885</v>
      </c>
      <c r="D18" s="2" t="s">
        <v>146</v>
      </c>
      <c r="E18" s="2" t="s">
        <v>283</v>
      </c>
      <c r="F18" s="2" t="s">
        <v>284</v>
      </c>
      <c r="G18" s="2">
        <v>2535</v>
      </c>
      <c r="H18" s="3" t="str">
        <f>HYPERLINK("https://cloud.oebiotech.com/#/lm/network/2535", "https://cloud.oebiotech.com/#/lm/network/2535")</f>
        <v>https://cloud.oebiotech.com/#/lm/network/2535</v>
      </c>
      <c r="I18" s="2"/>
      <c r="J18" s="2">
        <v>45895</v>
      </c>
      <c r="K18" s="2" t="s">
        <v>285</v>
      </c>
      <c r="L18" s="2">
        <v>42607294</v>
      </c>
      <c r="M18" s="2"/>
      <c r="N18" s="2"/>
      <c r="O18" s="2"/>
      <c r="P18" s="2"/>
      <c r="Q18" s="2"/>
      <c r="R18" s="2"/>
      <c r="S18" s="2"/>
      <c r="T18" s="2" t="s">
        <v>286</v>
      </c>
      <c r="U18" s="2" t="s">
        <v>287</v>
      </c>
      <c r="V18" s="2" t="s">
        <v>95</v>
      </c>
      <c r="W18" s="2" t="s">
        <v>96</v>
      </c>
      <c r="X18" s="2" t="s">
        <v>141</v>
      </c>
      <c r="Y18" s="2" t="s">
        <v>98</v>
      </c>
      <c r="Z18" s="2" t="s">
        <v>99</v>
      </c>
      <c r="AA18" s="2" t="s">
        <v>142</v>
      </c>
      <c r="AB18" s="2" t="s">
        <v>101</v>
      </c>
      <c r="AC18" s="2">
        <v>75.64</v>
      </c>
      <c r="AD18" s="2">
        <v>97.57</v>
      </c>
      <c r="AE18" s="2">
        <v>94.76</v>
      </c>
      <c r="AF18" s="2" t="s">
        <v>288</v>
      </c>
      <c r="AG18" s="2" t="s">
        <v>194</v>
      </c>
      <c r="AH18" s="2" t="s">
        <v>289</v>
      </c>
      <c r="AI18" s="2">
        <v>1.82</v>
      </c>
      <c r="AJ18" s="2">
        <v>21.800366199051101</v>
      </c>
      <c r="AK18" s="2">
        <v>21.740728920446202</v>
      </c>
      <c r="AL18" s="2">
        <v>21.277418535983301</v>
      </c>
      <c r="AM18" s="2">
        <v>21.175553491601701</v>
      </c>
      <c r="AN18" s="2">
        <v>21.614541855721299</v>
      </c>
      <c r="AO18" s="2">
        <v>21.422281822394599</v>
      </c>
      <c r="AP18" s="2">
        <v>21.489680751350299</v>
      </c>
      <c r="AQ18" s="2">
        <v>21.577902141150599</v>
      </c>
      <c r="AR18" s="2">
        <v>20.241578891714902</v>
      </c>
      <c r="AS18" s="2">
        <v>20.6187774533647</v>
      </c>
      <c r="AT18" s="2">
        <v>22.4841462732278</v>
      </c>
      <c r="AU18" s="2">
        <v>20.104912729862701</v>
      </c>
      <c r="AV18" s="2">
        <v>20.1727390771842</v>
      </c>
      <c r="AW18" s="2">
        <v>20.484607780405099</v>
      </c>
      <c r="AX18" s="2">
        <v>21.9958214732216</v>
      </c>
      <c r="AY18" s="2">
        <v>19.920303100235401</v>
      </c>
      <c r="AZ18" s="2">
        <v>20.370954526936799</v>
      </c>
      <c r="BA18" s="2">
        <v>21.7973659826106</v>
      </c>
      <c r="BB18" s="2">
        <v>21.6320851433317</v>
      </c>
      <c r="BC18" s="2">
        <v>22.9125419352374</v>
      </c>
      <c r="BD18" s="2">
        <v>19.2599559592961</v>
      </c>
      <c r="BE18" s="2">
        <v>20.542511242697898</v>
      </c>
      <c r="BF18" s="2">
        <v>21.055631574825401</v>
      </c>
      <c r="BG18" s="2">
        <v>22.6179822565386</v>
      </c>
      <c r="BH18" s="2">
        <v>19.707946934007701</v>
      </c>
      <c r="BI18" s="2">
        <v>21.105320487404398</v>
      </c>
      <c r="BJ18" s="2">
        <v>21.966148195216199</v>
      </c>
      <c r="BK18" s="2">
        <v>19.944304078090799</v>
      </c>
      <c r="BL18" s="2">
        <v>22.246293931193801</v>
      </c>
      <c r="BM18" s="2">
        <v>20.029962738883398</v>
      </c>
      <c r="BN18" s="2">
        <v>19.758269238551801</v>
      </c>
      <c r="BO18" s="2">
        <v>21.7776073642585</v>
      </c>
      <c r="BP18" s="2">
        <v>20.876401143817802</v>
      </c>
      <c r="BQ18" s="2">
        <v>21.7462601710704</v>
      </c>
      <c r="BR18" s="2">
        <v>21.349928801916899</v>
      </c>
      <c r="BS18" s="2">
        <v>20.281840274427498</v>
      </c>
      <c r="BT18" s="2">
        <v>22.238441669518501</v>
      </c>
      <c r="BU18" s="2">
        <v>21.978959390128502</v>
      </c>
      <c r="BV18" s="2">
        <v>22.237683090052499</v>
      </c>
      <c r="BW18" s="2">
        <v>20.547703868985501</v>
      </c>
      <c r="BX18" s="2">
        <v>20.313411787162298</v>
      </c>
      <c r="BY18" s="2">
        <v>20.2049517906276</v>
      </c>
      <c r="BZ18" s="2">
        <v>21.6409919842358</v>
      </c>
      <c r="CA18" s="2">
        <v>20.737776422694001</v>
      </c>
      <c r="CB18" s="2">
        <v>22.699119068167999</v>
      </c>
      <c r="CC18" s="2">
        <v>21.8024569242274</v>
      </c>
      <c r="CD18" s="2">
        <v>21.454235054004702</v>
      </c>
      <c r="CE18" s="2">
        <v>22.724841811784898</v>
      </c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</row>
    <row r="19" spans="1:97">
      <c r="A19" s="2" t="s">
        <v>290</v>
      </c>
      <c r="B19" s="2">
        <v>329.24799000000002</v>
      </c>
      <c r="C19" s="2">
        <v>13.14</v>
      </c>
      <c r="D19" s="2" t="s">
        <v>146</v>
      </c>
      <c r="E19" s="2" t="s">
        <v>291</v>
      </c>
      <c r="F19" s="2" t="s">
        <v>292</v>
      </c>
      <c r="G19" s="2">
        <v>4874</v>
      </c>
      <c r="H19" s="3" t="str">
        <f>HYPERLINK("https://cloud.oebiotech.com/#/lm/network/4874", "https://cloud.oebiotech.com/#/lm/network/4874")</f>
        <v>https://cloud.oebiotech.com/#/lm/network/4874</v>
      </c>
      <c r="I19" s="2" t="s">
        <v>293</v>
      </c>
      <c r="J19" s="2">
        <v>73870</v>
      </c>
      <c r="K19" s="2" t="s">
        <v>294</v>
      </c>
      <c r="L19" s="2">
        <v>6441454</v>
      </c>
      <c r="M19" s="2"/>
      <c r="N19" s="2"/>
      <c r="O19" s="2"/>
      <c r="P19" s="2">
        <v>65136</v>
      </c>
      <c r="Q19" s="2" t="s">
        <v>295</v>
      </c>
      <c r="R19" s="2" t="s">
        <v>296</v>
      </c>
      <c r="S19" s="2" t="s">
        <v>297</v>
      </c>
      <c r="T19" s="2" t="s">
        <v>298</v>
      </c>
      <c r="U19" s="2" t="s">
        <v>299</v>
      </c>
      <c r="V19" s="2" t="s">
        <v>95</v>
      </c>
      <c r="W19" s="2" t="s">
        <v>96</v>
      </c>
      <c r="X19" s="2" t="s">
        <v>141</v>
      </c>
      <c r="Y19" s="2" t="s">
        <v>98</v>
      </c>
      <c r="Z19" s="2" t="s">
        <v>99</v>
      </c>
      <c r="AA19" s="2" t="s">
        <v>142</v>
      </c>
      <c r="AB19" s="2" t="s">
        <v>101</v>
      </c>
      <c r="AC19" s="2">
        <v>75.59</v>
      </c>
      <c r="AD19" s="2">
        <v>99.38</v>
      </c>
      <c r="AE19" s="2">
        <v>96.24</v>
      </c>
      <c r="AF19" s="2" t="s">
        <v>300</v>
      </c>
      <c r="AG19" s="2" t="s">
        <v>194</v>
      </c>
      <c r="AH19" s="2" t="s">
        <v>289</v>
      </c>
      <c r="AI19" s="2">
        <v>1.82</v>
      </c>
      <c r="AJ19" s="2">
        <v>23.1889050564398</v>
      </c>
      <c r="AK19" s="2">
        <v>23.040814808588099</v>
      </c>
      <c r="AL19" s="2">
        <v>23.058402538030499</v>
      </c>
      <c r="AM19" s="2">
        <v>22.837613130212301</v>
      </c>
      <c r="AN19" s="2">
        <v>22.9974505308261</v>
      </c>
      <c r="AO19" s="2">
        <v>22.949438908066998</v>
      </c>
      <c r="AP19" s="2">
        <v>23.187647227019198</v>
      </c>
      <c r="AQ19" s="2">
        <v>23.0482594659947</v>
      </c>
      <c r="AR19" s="2">
        <v>21.650627365209999</v>
      </c>
      <c r="AS19" s="2">
        <v>20.195207001287098</v>
      </c>
      <c r="AT19" s="2">
        <v>24.0758754401961</v>
      </c>
      <c r="AU19" s="2">
        <v>21.777255267025001</v>
      </c>
      <c r="AV19" s="2">
        <v>22.105448755648801</v>
      </c>
      <c r="AW19" s="2">
        <v>21.355458694421198</v>
      </c>
      <c r="AX19" s="2">
        <v>23.2427376639701</v>
      </c>
      <c r="AY19" s="2">
        <v>22.507894497051598</v>
      </c>
      <c r="AZ19" s="2">
        <v>21.5253322512926</v>
      </c>
      <c r="BA19" s="2">
        <v>23.048617349312298</v>
      </c>
      <c r="BB19" s="2">
        <v>23.043866003867201</v>
      </c>
      <c r="BC19" s="2">
        <v>24.254487029383</v>
      </c>
      <c r="BD19" s="2">
        <v>20.822174165673601</v>
      </c>
      <c r="BE19" s="2">
        <v>21.6673926455416</v>
      </c>
      <c r="BF19" s="2">
        <v>22.406655024705898</v>
      </c>
      <c r="BG19" s="2">
        <v>23.9212736235013</v>
      </c>
      <c r="BH19" s="2">
        <v>22.273697193197801</v>
      </c>
      <c r="BI19" s="2">
        <v>23.156121637895101</v>
      </c>
      <c r="BJ19" s="2">
        <v>22.422019367012599</v>
      </c>
      <c r="BK19" s="2">
        <v>21.5610951737489</v>
      </c>
      <c r="BL19" s="2">
        <v>23.486254981950399</v>
      </c>
      <c r="BM19" s="2">
        <v>22.234425489496299</v>
      </c>
      <c r="BN19" s="2">
        <v>21.338158070261201</v>
      </c>
      <c r="BO19" s="2">
        <v>23.044800223095201</v>
      </c>
      <c r="BP19" s="2">
        <v>22.910869780447399</v>
      </c>
      <c r="BQ19" s="2">
        <v>23.705379695555798</v>
      </c>
      <c r="BR19" s="2">
        <v>23.212976171285099</v>
      </c>
      <c r="BS19" s="2">
        <v>21.712894111031702</v>
      </c>
      <c r="BT19" s="2">
        <v>22.658916616634599</v>
      </c>
      <c r="BU19" s="2">
        <v>22.581711176753799</v>
      </c>
      <c r="BV19" s="2">
        <v>23.183993926427402</v>
      </c>
      <c r="BW19" s="2">
        <v>22.568751598188801</v>
      </c>
      <c r="BX19" s="2">
        <v>21.9292465703681</v>
      </c>
      <c r="BY19" s="2">
        <v>21.496314406318199</v>
      </c>
      <c r="BZ19" s="2">
        <v>23.118974952957402</v>
      </c>
      <c r="CA19" s="2">
        <v>22.365971741664399</v>
      </c>
      <c r="CB19" s="2">
        <v>24.260024312413702</v>
      </c>
      <c r="CC19" s="2">
        <v>23.473690638984898</v>
      </c>
      <c r="CD19" s="2">
        <v>22.633189155997702</v>
      </c>
      <c r="CE19" s="2">
        <v>24.069347038810001</v>
      </c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</row>
    <row r="20" spans="1:97">
      <c r="A20" s="2" t="s">
        <v>301</v>
      </c>
      <c r="B20" s="2">
        <v>508.33938000000001</v>
      </c>
      <c r="C20" s="2">
        <v>10.504</v>
      </c>
      <c r="D20" s="2" t="s">
        <v>84</v>
      </c>
      <c r="E20" s="2" t="s">
        <v>302</v>
      </c>
      <c r="F20" s="2" t="s">
        <v>303</v>
      </c>
      <c r="G20" s="2">
        <v>19821</v>
      </c>
      <c r="H20" s="3" t="str">
        <f>HYPERLINK("https://cloud.oebiotech.com/#/lm/network/19821", "https://cloud.oebiotech.com/#/lm/network/19821")</f>
        <v>https://cloud.oebiotech.com/#/lm/network/19821</v>
      </c>
      <c r="I20" s="2"/>
      <c r="J20" s="2">
        <v>40268</v>
      </c>
      <c r="K20" s="2" t="s">
        <v>304</v>
      </c>
      <c r="L20" s="2">
        <v>42607442</v>
      </c>
      <c r="M20" s="2"/>
      <c r="N20" s="2"/>
      <c r="O20" s="2"/>
      <c r="P20" s="2">
        <v>73854</v>
      </c>
      <c r="Q20" s="2"/>
      <c r="R20" s="2"/>
      <c r="S20" s="2"/>
      <c r="T20" s="2" t="s">
        <v>305</v>
      </c>
      <c r="U20" s="2" t="s">
        <v>306</v>
      </c>
      <c r="V20" s="2" t="s">
        <v>95</v>
      </c>
      <c r="W20" s="2" t="s">
        <v>202</v>
      </c>
      <c r="X20" s="2" t="s">
        <v>203</v>
      </c>
      <c r="Y20" s="2" t="s">
        <v>98</v>
      </c>
      <c r="Z20" s="2" t="s">
        <v>204</v>
      </c>
      <c r="AA20" s="2" t="s">
        <v>205</v>
      </c>
      <c r="AB20" s="2" t="s">
        <v>101</v>
      </c>
      <c r="AC20" s="2">
        <v>75.55</v>
      </c>
      <c r="AD20" s="2">
        <v>97.03</v>
      </c>
      <c r="AE20" s="2">
        <v>91.05</v>
      </c>
      <c r="AF20" s="2" t="s">
        <v>307</v>
      </c>
      <c r="AG20" s="2" t="s">
        <v>103</v>
      </c>
      <c r="AH20" s="2" t="s">
        <v>308</v>
      </c>
      <c r="AI20" s="2">
        <v>0.79</v>
      </c>
      <c r="AJ20" s="2">
        <v>23.285016588927402</v>
      </c>
      <c r="AK20" s="2">
        <v>23.244309074396899</v>
      </c>
      <c r="AL20" s="2">
        <v>23.254894470486999</v>
      </c>
      <c r="AM20" s="2">
        <v>23.351762590896801</v>
      </c>
      <c r="AN20" s="2">
        <v>23.150040410897599</v>
      </c>
      <c r="AO20" s="2">
        <v>23.196396000544201</v>
      </c>
      <c r="AP20" s="2">
        <v>23.320221798471</v>
      </c>
      <c r="AQ20" s="2">
        <v>23.455142561171201</v>
      </c>
      <c r="AR20" s="2">
        <v>23.802530432178099</v>
      </c>
      <c r="AS20" s="2">
        <v>22.199606853105202</v>
      </c>
      <c r="AT20" s="2">
        <v>22.750766506781201</v>
      </c>
      <c r="AU20" s="2">
        <v>23.2260266568506</v>
      </c>
      <c r="AV20" s="2">
        <v>23.2212927437734</v>
      </c>
      <c r="AW20" s="2">
        <v>23.020862957302899</v>
      </c>
      <c r="AX20" s="2">
        <v>23.181740182930302</v>
      </c>
      <c r="AY20" s="2">
        <v>22.3327597606844</v>
      </c>
      <c r="AZ20" s="2">
        <v>23.370524339998902</v>
      </c>
      <c r="BA20" s="2">
        <v>22.0770358778298</v>
      </c>
      <c r="BB20" s="2">
        <v>23.0562656876088</v>
      </c>
      <c r="BC20" s="2">
        <v>24.100618370923499</v>
      </c>
      <c r="BD20" s="2">
        <v>23.394787287085801</v>
      </c>
      <c r="BE20" s="2">
        <v>23.4671586471692</v>
      </c>
      <c r="BF20" s="2">
        <v>22.9862966795605</v>
      </c>
      <c r="BG20" s="2">
        <v>23.826792054531101</v>
      </c>
      <c r="BH20" s="2">
        <v>23.100294366044299</v>
      </c>
      <c r="BI20" s="2">
        <v>23.2237157627094</v>
      </c>
      <c r="BJ20" s="2">
        <v>22.632852081626002</v>
      </c>
      <c r="BK20" s="2">
        <v>22.517983932850498</v>
      </c>
      <c r="BL20" s="2">
        <v>23.1792714346231</v>
      </c>
      <c r="BM20" s="2">
        <v>22.787051646265599</v>
      </c>
      <c r="BN20" s="2">
        <v>22.904569473190602</v>
      </c>
      <c r="BO20" s="2">
        <v>23.454349439604201</v>
      </c>
      <c r="BP20" s="2">
        <v>23.287848755686898</v>
      </c>
      <c r="BQ20" s="2">
        <v>22.958053530905499</v>
      </c>
      <c r="BR20" s="2">
        <v>23.259758979935299</v>
      </c>
      <c r="BS20" s="2">
        <v>23.234581206301801</v>
      </c>
      <c r="BT20" s="2">
        <v>23.691683911972302</v>
      </c>
      <c r="BU20" s="2">
        <v>23.029747552861899</v>
      </c>
      <c r="BV20" s="2">
        <v>23.382890172526299</v>
      </c>
      <c r="BW20" s="2">
        <v>22.430250174050698</v>
      </c>
      <c r="BX20" s="2">
        <v>23.318839427727301</v>
      </c>
      <c r="BY20" s="2">
        <v>23.6336277644048</v>
      </c>
      <c r="BZ20" s="2">
        <v>22.949200505663299</v>
      </c>
      <c r="CA20" s="2">
        <v>23.744866922444999</v>
      </c>
      <c r="CB20" s="2">
        <v>23.2255345911822</v>
      </c>
      <c r="CC20" s="2">
        <v>22.6236225088347</v>
      </c>
      <c r="CD20" s="2">
        <v>23.300376356660799</v>
      </c>
      <c r="CE20" s="2">
        <v>22.4378903331827</v>
      </c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</row>
    <row r="21" spans="1:97">
      <c r="A21" s="2" t="s">
        <v>309</v>
      </c>
      <c r="B21" s="2">
        <v>338.34107999999998</v>
      </c>
      <c r="C21" s="2">
        <v>15.119</v>
      </c>
      <c r="D21" s="2" t="s">
        <v>84</v>
      </c>
      <c r="E21" s="2" t="s">
        <v>310</v>
      </c>
      <c r="F21" s="2" t="s">
        <v>311</v>
      </c>
      <c r="G21" s="2">
        <v>200006</v>
      </c>
      <c r="H21" s="3" t="str">
        <f>HYPERLINK("https://cloud.oebiotech.com/#/lm/network/200006", "https://cloud.oebiotech.com/#/lm/network/200006")</f>
        <v>https://cloud.oebiotech.com/#/lm/network/200006</v>
      </c>
      <c r="I21" s="2" t="s">
        <v>312</v>
      </c>
      <c r="J21" s="2"/>
      <c r="K21" s="2"/>
      <c r="L21" s="2">
        <v>8214</v>
      </c>
      <c r="M21" s="2"/>
      <c r="N21" s="2"/>
      <c r="O21" s="2"/>
      <c r="P21" s="2"/>
      <c r="Q21" s="2"/>
      <c r="R21" s="2"/>
      <c r="S21" s="2"/>
      <c r="T21" s="2" t="s">
        <v>313</v>
      </c>
      <c r="U21" s="2" t="s">
        <v>314</v>
      </c>
      <c r="V21" s="2" t="s">
        <v>95</v>
      </c>
      <c r="W21" s="2" t="s">
        <v>96</v>
      </c>
      <c r="X21" s="2" t="s">
        <v>315</v>
      </c>
      <c r="Y21" s="2" t="s">
        <v>98</v>
      </c>
      <c r="Z21" s="2" t="s">
        <v>99</v>
      </c>
      <c r="AA21" s="2" t="s">
        <v>316</v>
      </c>
      <c r="AB21" s="2" t="s">
        <v>101</v>
      </c>
      <c r="AC21" s="2">
        <v>75.48</v>
      </c>
      <c r="AD21" s="2">
        <v>99.21</v>
      </c>
      <c r="AE21" s="2">
        <v>97.47</v>
      </c>
      <c r="AF21" s="2" t="s">
        <v>317</v>
      </c>
      <c r="AG21" s="2" t="s">
        <v>103</v>
      </c>
      <c r="AH21" s="2" t="s">
        <v>318</v>
      </c>
      <c r="AI21" s="2">
        <v>1.77</v>
      </c>
      <c r="AJ21" s="2">
        <v>27.978877982694499</v>
      </c>
      <c r="AK21" s="2">
        <v>27.252951418401199</v>
      </c>
      <c r="AL21" s="2">
        <v>27.735708713927199</v>
      </c>
      <c r="AM21" s="2">
        <v>27.8382035974846</v>
      </c>
      <c r="AN21" s="2">
        <v>27.690496474132601</v>
      </c>
      <c r="AO21" s="2">
        <v>26.636941652714899</v>
      </c>
      <c r="AP21" s="2">
        <v>27.450203226833899</v>
      </c>
      <c r="AQ21" s="2">
        <v>27.551124052228399</v>
      </c>
      <c r="AR21" s="2">
        <v>25.854770176828598</v>
      </c>
      <c r="AS21" s="2">
        <v>27.0380431018488</v>
      </c>
      <c r="AT21" s="2">
        <v>27.029992897330001</v>
      </c>
      <c r="AU21" s="2">
        <v>25.923493126538599</v>
      </c>
      <c r="AV21" s="2">
        <v>26.5035520314837</v>
      </c>
      <c r="AW21" s="2">
        <v>26.448895005604399</v>
      </c>
      <c r="AX21" s="2">
        <v>25.120746735487899</v>
      </c>
      <c r="AY21" s="2">
        <v>25.496150165498602</v>
      </c>
      <c r="AZ21" s="2">
        <v>26.478705991925601</v>
      </c>
      <c r="BA21" s="2">
        <v>25.364739567710402</v>
      </c>
      <c r="BB21" s="2">
        <v>26.746291356989701</v>
      </c>
      <c r="BC21" s="2">
        <v>26.109309750689398</v>
      </c>
      <c r="BD21" s="2">
        <v>26.438912913768998</v>
      </c>
      <c r="BE21" s="2">
        <v>27.384221414846898</v>
      </c>
      <c r="BF21" s="2">
        <v>26.289926027382698</v>
      </c>
      <c r="BG21" s="2">
        <v>25.605652114982899</v>
      </c>
      <c r="BH21" s="2">
        <v>24.400151567686901</v>
      </c>
      <c r="BI21" s="2">
        <v>27.375967628152399</v>
      </c>
      <c r="BJ21" s="2">
        <v>24.952074877271901</v>
      </c>
      <c r="BK21" s="2">
        <v>26.087332400676299</v>
      </c>
      <c r="BL21" s="2">
        <v>24.386393360177301</v>
      </c>
      <c r="BM21" s="2">
        <v>25.829830292337601</v>
      </c>
      <c r="BN21" s="2">
        <v>27.815096729430799</v>
      </c>
      <c r="BO21" s="2">
        <v>26.5925380154771</v>
      </c>
      <c r="BP21" s="2">
        <v>26.330126198115298</v>
      </c>
      <c r="BQ21" s="2">
        <v>26.168584145633901</v>
      </c>
      <c r="BR21" s="2">
        <v>27.0231357269552</v>
      </c>
      <c r="BS21" s="2">
        <v>26.885137519324299</v>
      </c>
      <c r="BT21" s="2">
        <v>25.429204797329898</v>
      </c>
      <c r="BU21" s="2">
        <v>25.900225436743401</v>
      </c>
      <c r="BV21" s="2">
        <v>26.5004749228973</v>
      </c>
      <c r="BW21" s="2">
        <v>25.669352027535201</v>
      </c>
      <c r="BX21" s="2">
        <v>25.912195594056101</v>
      </c>
      <c r="BY21" s="2">
        <v>26.568151647917201</v>
      </c>
      <c r="BZ21" s="2">
        <v>28.083264800798599</v>
      </c>
      <c r="CA21" s="2">
        <v>25.872344115554601</v>
      </c>
      <c r="CB21" s="2">
        <v>27.277206529952799</v>
      </c>
      <c r="CC21" s="2">
        <v>25.408943118349701</v>
      </c>
      <c r="CD21" s="2">
        <v>26.321973961243302</v>
      </c>
      <c r="CE21" s="2">
        <v>26.584540511537298</v>
      </c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</row>
    <row r="22" spans="1:97">
      <c r="A22" s="2" t="s">
        <v>319</v>
      </c>
      <c r="B22" s="2">
        <v>478.29307999999997</v>
      </c>
      <c r="C22" s="2">
        <v>10.851000000000001</v>
      </c>
      <c r="D22" s="2" t="s">
        <v>146</v>
      </c>
      <c r="E22" s="2" t="s">
        <v>320</v>
      </c>
      <c r="F22" s="2" t="s">
        <v>321</v>
      </c>
      <c r="G22" s="2">
        <v>21166</v>
      </c>
      <c r="H22" s="3" t="str">
        <f>HYPERLINK("https://cloud.oebiotech.com/#/lm/network/21166", "https://cloud.oebiotech.com/#/lm/network/21166")</f>
        <v>https://cloud.oebiotech.com/#/lm/network/21166</v>
      </c>
      <c r="I22" s="2" t="s">
        <v>322</v>
      </c>
      <c r="J22" s="2">
        <v>40778</v>
      </c>
      <c r="K22" s="2" t="s">
        <v>323</v>
      </c>
      <c r="L22" s="2">
        <v>9547071</v>
      </c>
      <c r="M22" s="2"/>
      <c r="N22" s="2"/>
      <c r="O22" s="2"/>
      <c r="P22" s="2">
        <v>74971</v>
      </c>
      <c r="Q22" s="2"/>
      <c r="R22" s="2"/>
      <c r="S22" s="2" t="s">
        <v>324</v>
      </c>
      <c r="T22" s="2" t="s">
        <v>325</v>
      </c>
      <c r="U22" s="2" t="s">
        <v>326</v>
      </c>
      <c r="V22" s="2" t="s">
        <v>95</v>
      </c>
      <c r="W22" s="2" t="s">
        <v>202</v>
      </c>
      <c r="X22" s="2" t="s">
        <v>327</v>
      </c>
      <c r="Y22" s="2" t="s">
        <v>98</v>
      </c>
      <c r="Z22" s="2" t="s">
        <v>204</v>
      </c>
      <c r="AA22" s="2" t="s">
        <v>328</v>
      </c>
      <c r="AB22" s="2" t="s">
        <v>101</v>
      </c>
      <c r="AC22" s="2">
        <v>75.36</v>
      </c>
      <c r="AD22" s="2">
        <v>97.2</v>
      </c>
      <c r="AE22" s="2">
        <v>95.22</v>
      </c>
      <c r="AF22" s="2" t="s">
        <v>329</v>
      </c>
      <c r="AG22" s="2" t="s">
        <v>194</v>
      </c>
      <c r="AH22" s="2" t="s">
        <v>330</v>
      </c>
      <c r="AI22" s="2">
        <v>1.67</v>
      </c>
      <c r="AJ22" s="2">
        <v>24.3561138970264</v>
      </c>
      <c r="AK22" s="2">
        <v>24.1161746823995</v>
      </c>
      <c r="AL22" s="2">
        <v>24.082305302293101</v>
      </c>
      <c r="AM22" s="2">
        <v>24.2283553992363</v>
      </c>
      <c r="AN22" s="2">
        <v>24.137979005559199</v>
      </c>
      <c r="AO22" s="2">
        <v>24.1367105729522</v>
      </c>
      <c r="AP22" s="2">
        <v>24.024592716654698</v>
      </c>
      <c r="AQ22" s="2">
        <v>24.124398090799399</v>
      </c>
      <c r="AR22" s="2">
        <v>25.079932215914202</v>
      </c>
      <c r="AS22" s="2">
        <v>22.0542031547796</v>
      </c>
      <c r="AT22" s="2">
        <v>22.755790491758098</v>
      </c>
      <c r="AU22" s="2">
        <v>24.2918069121991</v>
      </c>
      <c r="AV22" s="2">
        <v>24.465909374839701</v>
      </c>
      <c r="AW22" s="2">
        <v>24.3177695233897</v>
      </c>
      <c r="AX22" s="2">
        <v>24.437620497249998</v>
      </c>
      <c r="AY22" s="2">
        <v>23.810933567451301</v>
      </c>
      <c r="AZ22" s="2">
        <v>24.131023039374</v>
      </c>
      <c r="BA22" s="2">
        <v>22.967360868685699</v>
      </c>
      <c r="BB22" s="2">
        <v>22.892203896653701</v>
      </c>
      <c r="BC22" s="2">
        <v>23.537325019139001</v>
      </c>
      <c r="BD22" s="2">
        <v>23.302494838062898</v>
      </c>
      <c r="BE22" s="2">
        <v>23.916098450808299</v>
      </c>
      <c r="BF22" s="2">
        <v>23.727476952045201</v>
      </c>
      <c r="BG22" s="2">
        <v>23.879095795284901</v>
      </c>
      <c r="BH22" s="2">
        <v>24.683005072593399</v>
      </c>
      <c r="BI22" s="2">
        <v>24.499537237910801</v>
      </c>
      <c r="BJ22" s="2">
        <v>23.670481434534</v>
      </c>
      <c r="BK22" s="2">
        <v>23.515923272870499</v>
      </c>
      <c r="BL22" s="2">
        <v>24.1670302445876</v>
      </c>
      <c r="BM22" s="2">
        <v>25.000393773198201</v>
      </c>
      <c r="BN22" s="2">
        <v>25.366286722927399</v>
      </c>
      <c r="BO22" s="2">
        <v>23.592226036059301</v>
      </c>
      <c r="BP22" s="2">
        <v>23.591169256560001</v>
      </c>
      <c r="BQ22" s="2">
        <v>24.385066564364799</v>
      </c>
      <c r="BR22" s="2">
        <v>24.813335847817001</v>
      </c>
      <c r="BS22" s="2">
        <v>25.0286069444678</v>
      </c>
      <c r="BT22" s="2">
        <v>23.949559179138902</v>
      </c>
      <c r="BU22" s="2">
        <v>23.6394118189978</v>
      </c>
      <c r="BV22" s="2">
        <v>23.295805657910702</v>
      </c>
      <c r="BW22" s="2">
        <v>22.899349485704199</v>
      </c>
      <c r="BX22" s="2">
        <v>24.696044537014799</v>
      </c>
      <c r="BY22" s="2">
        <v>25.028086130574302</v>
      </c>
      <c r="BZ22" s="2">
        <v>24.066331560700402</v>
      </c>
      <c r="CA22" s="2">
        <v>24.464522934966698</v>
      </c>
      <c r="CB22" s="2">
        <v>23.863088897089</v>
      </c>
      <c r="CC22" s="2">
        <v>23.675320804251601</v>
      </c>
      <c r="CD22" s="2">
        <v>23.763812531631601</v>
      </c>
      <c r="CE22" s="2">
        <v>23.080671739019799</v>
      </c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</row>
    <row r="23" spans="1:97">
      <c r="A23" s="2" t="s">
        <v>331</v>
      </c>
      <c r="B23" s="2">
        <v>133.01390000000001</v>
      </c>
      <c r="C23" s="2">
        <v>0.78800000000000003</v>
      </c>
      <c r="D23" s="2" t="s">
        <v>146</v>
      </c>
      <c r="E23" s="2" t="s">
        <v>332</v>
      </c>
      <c r="F23" s="2" t="s">
        <v>333</v>
      </c>
      <c r="G23" s="2">
        <v>63466</v>
      </c>
      <c r="H23" s="3" t="str">
        <f>HYPERLINK("https://cloud.oebiotech.com/#/lm/network/63466", "https://cloud.oebiotech.com/#/lm/network/63466")</f>
        <v>https://cloud.oebiotech.com/#/lm/network/63466</v>
      </c>
      <c r="I23" s="2" t="s">
        <v>334</v>
      </c>
      <c r="J23" s="2">
        <v>94790</v>
      </c>
      <c r="K23" s="2"/>
      <c r="L23" s="2">
        <v>4451502</v>
      </c>
      <c r="M23" s="2"/>
      <c r="N23" s="2"/>
      <c r="O23" s="2"/>
      <c r="P23" s="2">
        <v>173321</v>
      </c>
      <c r="Q23" s="2"/>
      <c r="R23" s="2"/>
      <c r="S23" s="2" t="s">
        <v>335</v>
      </c>
      <c r="T23" s="2" t="s">
        <v>336</v>
      </c>
      <c r="U23" s="2" t="s">
        <v>337</v>
      </c>
      <c r="V23" s="2" t="s">
        <v>338</v>
      </c>
      <c r="W23" s="2" t="s">
        <v>339</v>
      </c>
      <c r="X23" s="2" t="s">
        <v>340</v>
      </c>
      <c r="Y23" s="2" t="s">
        <v>341</v>
      </c>
      <c r="Z23" s="2" t="s">
        <v>341</v>
      </c>
      <c r="AA23" s="2" t="s">
        <v>342</v>
      </c>
      <c r="AB23" s="2" t="s">
        <v>101</v>
      </c>
      <c r="AC23" s="2">
        <v>75.319999999999993</v>
      </c>
      <c r="AD23" s="2">
        <v>99.22</v>
      </c>
      <c r="AE23" s="2">
        <v>94.13</v>
      </c>
      <c r="AF23" s="2" t="s">
        <v>343</v>
      </c>
      <c r="AG23" s="2" t="s">
        <v>157</v>
      </c>
      <c r="AH23" s="2" t="s">
        <v>344</v>
      </c>
      <c r="AI23" s="2">
        <v>2.2599999999999998</v>
      </c>
      <c r="AJ23" s="2">
        <v>25.8785842564299</v>
      </c>
      <c r="AK23" s="2">
        <v>25.840501417474599</v>
      </c>
      <c r="AL23" s="2">
        <v>26.1141559297999</v>
      </c>
      <c r="AM23" s="2">
        <v>26.263191443602601</v>
      </c>
      <c r="AN23" s="2">
        <v>25.724183762715001</v>
      </c>
      <c r="AO23" s="2">
        <v>25.795251059623901</v>
      </c>
      <c r="AP23" s="2">
        <v>25.927965130348799</v>
      </c>
      <c r="AQ23" s="2">
        <v>25.89083659992</v>
      </c>
      <c r="AR23" s="2">
        <v>25.6528233799208</v>
      </c>
      <c r="AS23" s="2">
        <v>24.7574837079564</v>
      </c>
      <c r="AT23" s="2">
        <v>25.6714023583875</v>
      </c>
      <c r="AU23" s="2">
        <v>24.609440722298199</v>
      </c>
      <c r="AV23" s="2">
        <v>25.0527873539776</v>
      </c>
      <c r="AW23" s="2">
        <v>25.9314882130301</v>
      </c>
      <c r="AX23" s="2">
        <v>25.5747198892693</v>
      </c>
      <c r="AY23" s="2">
        <v>24.7229957317568</v>
      </c>
      <c r="AZ23" s="2">
        <v>25.451634705137401</v>
      </c>
      <c r="BA23" s="2">
        <v>24.989079565560498</v>
      </c>
      <c r="BB23" s="2">
        <v>25.3653909069611</v>
      </c>
      <c r="BC23" s="2">
        <v>25.7177782577775</v>
      </c>
      <c r="BD23" s="2">
        <v>25.357906877119099</v>
      </c>
      <c r="BE23" s="2">
        <v>25.9870633142115</v>
      </c>
      <c r="BF23" s="2">
        <v>26.299856094043701</v>
      </c>
      <c r="BG23" s="2">
        <v>25.603990395075801</v>
      </c>
      <c r="BH23" s="2">
        <v>25.611182693336598</v>
      </c>
      <c r="BI23" s="2">
        <v>25.872309308242802</v>
      </c>
      <c r="BJ23" s="2">
        <v>25.847345470040999</v>
      </c>
      <c r="BK23" s="2">
        <v>25.5344293799896</v>
      </c>
      <c r="BL23" s="2">
        <v>25.775096473310601</v>
      </c>
      <c r="BM23" s="2">
        <v>25.6775319736591</v>
      </c>
      <c r="BN23" s="2">
        <v>25.971346992812801</v>
      </c>
      <c r="BO23" s="2">
        <v>24.814931828360798</v>
      </c>
      <c r="BP23" s="2">
        <v>25.569832966981298</v>
      </c>
      <c r="BQ23" s="2">
        <v>25.6978117179581</v>
      </c>
      <c r="BR23" s="2">
        <v>25.4444018062262</v>
      </c>
      <c r="BS23" s="2">
        <v>25.2279549591101</v>
      </c>
      <c r="BT23" s="2">
        <v>24.639753989556901</v>
      </c>
      <c r="BU23" s="2">
        <v>25.752853048713799</v>
      </c>
      <c r="BV23" s="2">
        <v>25.167169699515298</v>
      </c>
      <c r="BW23" s="2">
        <v>25.0498293840439</v>
      </c>
      <c r="BX23" s="2">
        <v>25.1411230573129</v>
      </c>
      <c r="BY23" s="2">
        <v>25.617310041788901</v>
      </c>
      <c r="BZ23" s="2">
        <v>25.6325240458571</v>
      </c>
      <c r="CA23" s="2">
        <v>26.355637369151601</v>
      </c>
      <c r="CB23" s="2">
        <v>25.527084909447002</v>
      </c>
      <c r="CC23" s="2">
        <v>25.6137951307268</v>
      </c>
      <c r="CD23" s="2">
        <v>25.393730035915802</v>
      </c>
      <c r="CE23" s="2">
        <v>25.325558953657101</v>
      </c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</row>
    <row r="24" spans="1:97">
      <c r="A24" s="2" t="s">
        <v>345</v>
      </c>
      <c r="B24" s="2">
        <v>200.20054999999999</v>
      </c>
      <c r="C24" s="2">
        <v>10.441000000000001</v>
      </c>
      <c r="D24" s="2" t="s">
        <v>84</v>
      </c>
      <c r="E24" s="2" t="s">
        <v>346</v>
      </c>
      <c r="F24" s="2" t="s">
        <v>347</v>
      </c>
      <c r="G24" s="2">
        <v>6312</v>
      </c>
      <c r="H24" s="3" t="str">
        <f>HYPERLINK("https://cloud.oebiotech.com/#/lm/network/6312", "https://cloud.oebiotech.com/#/lm/network/6312")</f>
        <v>https://cloud.oebiotech.com/#/lm/network/6312</v>
      </c>
      <c r="I24" s="2" t="s">
        <v>348</v>
      </c>
      <c r="J24" s="2">
        <v>87409</v>
      </c>
      <c r="K24" s="2" t="s">
        <v>349</v>
      </c>
      <c r="L24" s="2">
        <v>12352610</v>
      </c>
      <c r="M24" s="2"/>
      <c r="N24" s="2"/>
      <c r="O24" s="2"/>
      <c r="P24" s="2"/>
      <c r="Q24" s="2"/>
      <c r="R24" s="2"/>
      <c r="S24" s="2" t="s">
        <v>350</v>
      </c>
      <c r="T24" s="2" t="s">
        <v>351</v>
      </c>
      <c r="U24" s="2" t="s">
        <v>352</v>
      </c>
      <c r="V24" s="2" t="s">
        <v>95</v>
      </c>
      <c r="W24" s="2" t="s">
        <v>96</v>
      </c>
      <c r="X24" s="2" t="s">
        <v>353</v>
      </c>
      <c r="Y24" s="2" t="s">
        <v>98</v>
      </c>
      <c r="Z24" s="2" t="s">
        <v>99</v>
      </c>
      <c r="AA24" s="2" t="s">
        <v>354</v>
      </c>
      <c r="AB24" s="2" t="s">
        <v>101</v>
      </c>
      <c r="AC24" s="2">
        <v>75.31</v>
      </c>
      <c r="AD24" s="2">
        <v>98.75</v>
      </c>
      <c r="AE24" s="2">
        <v>96.73</v>
      </c>
      <c r="AF24" s="2" t="s">
        <v>355</v>
      </c>
      <c r="AG24" s="2" t="s">
        <v>132</v>
      </c>
      <c r="AH24" s="2" t="s">
        <v>356</v>
      </c>
      <c r="AI24" s="2">
        <v>2</v>
      </c>
      <c r="AJ24" s="2">
        <v>27.622233502989701</v>
      </c>
      <c r="AK24" s="2">
        <v>27.6185921648453</v>
      </c>
      <c r="AL24" s="2">
        <v>27.589857226983</v>
      </c>
      <c r="AM24" s="2">
        <v>27.766009843734899</v>
      </c>
      <c r="AN24" s="2">
        <v>27.7303949736534</v>
      </c>
      <c r="AO24" s="2">
        <v>27.589607743645999</v>
      </c>
      <c r="AP24" s="2">
        <v>27.540402338567699</v>
      </c>
      <c r="AQ24" s="2">
        <v>27.580150332140299</v>
      </c>
      <c r="AR24" s="2">
        <v>27.451369140020098</v>
      </c>
      <c r="AS24" s="2">
        <v>27.686556421864498</v>
      </c>
      <c r="AT24" s="2">
        <v>27.551802495411099</v>
      </c>
      <c r="AU24" s="2">
        <v>27.487412414035301</v>
      </c>
      <c r="AV24" s="2">
        <v>27.513070493948</v>
      </c>
      <c r="AW24" s="2">
        <v>27.511711759652499</v>
      </c>
      <c r="AX24" s="2">
        <v>27.5349369852986</v>
      </c>
      <c r="AY24" s="2">
        <v>27.4185983204626</v>
      </c>
      <c r="AZ24" s="2">
        <v>27.7330445818667</v>
      </c>
      <c r="BA24" s="2">
        <v>27.6492038043327</v>
      </c>
      <c r="BB24" s="2">
        <v>27.511889415051002</v>
      </c>
      <c r="BC24" s="2">
        <v>27.461170809425798</v>
      </c>
      <c r="BD24" s="2">
        <v>27.444308789130801</v>
      </c>
      <c r="BE24" s="2">
        <v>27.404735738244099</v>
      </c>
      <c r="BF24" s="2">
        <v>27.514809058524399</v>
      </c>
      <c r="BG24" s="2">
        <v>27.491093462877998</v>
      </c>
      <c r="BH24" s="2">
        <v>27.525672342634302</v>
      </c>
      <c r="BI24" s="2">
        <v>27.6635826158501</v>
      </c>
      <c r="BJ24" s="2">
        <v>27.597812905727501</v>
      </c>
      <c r="BK24" s="2">
        <v>27.5554416975334</v>
      </c>
      <c r="BL24" s="2">
        <v>27.4737553577935</v>
      </c>
      <c r="BM24" s="2">
        <v>27.426730240554999</v>
      </c>
      <c r="BN24" s="2">
        <v>27.647988683347702</v>
      </c>
      <c r="BO24" s="2">
        <v>27.4657253009056</v>
      </c>
      <c r="BP24" s="2">
        <v>27.439554879753299</v>
      </c>
      <c r="BQ24" s="2">
        <v>27.458080320475101</v>
      </c>
      <c r="BR24" s="2">
        <v>27.473377874401201</v>
      </c>
      <c r="BS24" s="2">
        <v>27.436694024558001</v>
      </c>
      <c r="BT24" s="2">
        <v>27.507164074722802</v>
      </c>
      <c r="BU24" s="2">
        <v>27.456508551743902</v>
      </c>
      <c r="BV24" s="2">
        <v>27.659220373482398</v>
      </c>
      <c r="BW24" s="2">
        <v>27.447194331041999</v>
      </c>
      <c r="BX24" s="2">
        <v>27.724857142467599</v>
      </c>
      <c r="BY24" s="2">
        <v>27.377516045487202</v>
      </c>
      <c r="BZ24" s="2">
        <v>27.4719933974737</v>
      </c>
      <c r="CA24" s="2">
        <v>27.415069857989199</v>
      </c>
      <c r="CB24" s="2">
        <v>27.414852322327899</v>
      </c>
      <c r="CC24" s="2">
        <v>27.722833559753902</v>
      </c>
      <c r="CD24" s="2">
        <v>27.415411788643802</v>
      </c>
      <c r="CE24" s="2">
        <v>27.5876250040562</v>
      </c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</row>
    <row r="25" spans="1:97">
      <c r="A25" s="2" t="s">
        <v>357</v>
      </c>
      <c r="B25" s="2">
        <v>181.0857</v>
      </c>
      <c r="C25" s="2">
        <v>7.4139999999999997</v>
      </c>
      <c r="D25" s="2" t="s">
        <v>84</v>
      </c>
      <c r="E25" s="2" t="s">
        <v>358</v>
      </c>
      <c r="F25" s="2" t="s">
        <v>359</v>
      </c>
      <c r="G25" s="2">
        <v>61134</v>
      </c>
      <c r="H25" s="3" t="str">
        <f>HYPERLINK("https://cloud.oebiotech.com/#/lm/network/61134", "https://cloud.oebiotech.com/#/lm/network/61134")</f>
        <v>https://cloud.oebiotech.com/#/lm/network/61134</v>
      </c>
      <c r="I25" s="2" t="s">
        <v>360</v>
      </c>
      <c r="J25" s="2">
        <v>92445</v>
      </c>
      <c r="K25" s="2"/>
      <c r="L25" s="2">
        <v>15715950</v>
      </c>
      <c r="M25" s="2"/>
      <c r="N25" s="2"/>
      <c r="O25" s="2"/>
      <c r="P25" s="2">
        <v>169848</v>
      </c>
      <c r="Q25" s="2"/>
      <c r="R25" s="2"/>
      <c r="S25" s="2" t="s">
        <v>361</v>
      </c>
      <c r="T25" s="2" t="s">
        <v>362</v>
      </c>
      <c r="U25" s="2" t="s">
        <v>363</v>
      </c>
      <c r="V25" s="2" t="s">
        <v>338</v>
      </c>
      <c r="W25" s="2" t="s">
        <v>339</v>
      </c>
      <c r="X25" s="2" t="s">
        <v>340</v>
      </c>
      <c r="Y25" s="2" t="s">
        <v>341</v>
      </c>
      <c r="Z25" s="2" t="s">
        <v>341</v>
      </c>
      <c r="AA25" s="2" t="s">
        <v>342</v>
      </c>
      <c r="AB25" s="2" t="s">
        <v>101</v>
      </c>
      <c r="AC25" s="2">
        <v>75.28</v>
      </c>
      <c r="AD25" s="2">
        <v>99.12</v>
      </c>
      <c r="AE25" s="2">
        <v>96.66</v>
      </c>
      <c r="AF25" s="2" t="s">
        <v>364</v>
      </c>
      <c r="AG25" s="2" t="s">
        <v>103</v>
      </c>
      <c r="AH25" s="2" t="s">
        <v>365</v>
      </c>
      <c r="AI25" s="2">
        <v>1.1000000000000001</v>
      </c>
      <c r="AJ25" s="2">
        <v>26.201412389402201</v>
      </c>
      <c r="AK25" s="2">
        <v>26.0430430364021</v>
      </c>
      <c r="AL25" s="2">
        <v>25.9391726800045</v>
      </c>
      <c r="AM25" s="2">
        <v>26.071713519143099</v>
      </c>
      <c r="AN25" s="2">
        <v>25.854456383627902</v>
      </c>
      <c r="AO25" s="2">
        <v>26.009534395093599</v>
      </c>
      <c r="AP25" s="2">
        <v>25.898175405054999</v>
      </c>
      <c r="AQ25" s="2">
        <v>26.013824150677902</v>
      </c>
      <c r="AR25" s="2">
        <v>25.8835915302327</v>
      </c>
      <c r="AS25" s="2">
        <v>24.605374195097401</v>
      </c>
      <c r="AT25" s="2">
        <v>26.198008984135701</v>
      </c>
      <c r="AU25" s="2">
        <v>25.945641548541399</v>
      </c>
      <c r="AV25" s="2">
        <v>24.873503413320201</v>
      </c>
      <c r="AW25" s="2">
        <v>26.547460280508901</v>
      </c>
      <c r="AX25" s="2">
        <v>24.585747943179399</v>
      </c>
      <c r="AY25" s="2">
        <v>24.965464148101201</v>
      </c>
      <c r="AZ25" s="2">
        <v>24.473512619188501</v>
      </c>
      <c r="BA25" s="2">
        <v>26.541419360939202</v>
      </c>
      <c r="BB25" s="2">
        <v>25.979520825514498</v>
      </c>
      <c r="BC25" s="2">
        <v>26.342685152549102</v>
      </c>
      <c r="BD25" s="2">
        <v>26.314530791753398</v>
      </c>
      <c r="BE25" s="2">
        <v>25.1531701076077</v>
      </c>
      <c r="BF25" s="2">
        <v>25.203742643178799</v>
      </c>
      <c r="BG25" s="2">
        <v>25.285018617981599</v>
      </c>
      <c r="BH25" s="2">
        <v>25.6610714063305</v>
      </c>
      <c r="BI25" s="2">
        <v>25.268236980753901</v>
      </c>
      <c r="BJ25" s="2">
        <v>28.2398225251426</v>
      </c>
      <c r="BK25" s="2">
        <v>26.508824336843301</v>
      </c>
      <c r="BL25" s="2">
        <v>25.714842973963801</v>
      </c>
      <c r="BM25" s="2">
        <v>25.578213026907701</v>
      </c>
      <c r="BN25" s="2">
        <v>26.739988930049901</v>
      </c>
      <c r="BO25" s="2">
        <v>26.361717173429401</v>
      </c>
      <c r="BP25" s="2">
        <v>22.951071278479802</v>
      </c>
      <c r="BQ25" s="2">
        <v>25.938074358668601</v>
      </c>
      <c r="BR25" s="2">
        <v>24.856588047655201</v>
      </c>
      <c r="BS25" s="2">
        <v>25.279337617308698</v>
      </c>
      <c r="BT25" s="2">
        <v>28.223031866944599</v>
      </c>
      <c r="BU25" s="2">
        <v>26.649197771146799</v>
      </c>
      <c r="BV25" s="2">
        <v>25.7071731428926</v>
      </c>
      <c r="BW25" s="2">
        <v>24.129272079986201</v>
      </c>
      <c r="BX25" s="2">
        <v>26.0039420011482</v>
      </c>
      <c r="BY25" s="2">
        <v>25.313304622633499</v>
      </c>
      <c r="BZ25" s="2">
        <v>24.4344248613356</v>
      </c>
      <c r="CA25" s="2">
        <v>25.509760414764401</v>
      </c>
      <c r="CB25" s="2">
        <v>23.7771470971642</v>
      </c>
      <c r="CC25" s="2">
        <v>26.1519901018601</v>
      </c>
      <c r="CD25" s="2">
        <v>26.5003740268466</v>
      </c>
      <c r="CE25" s="2">
        <v>26.448372273014201</v>
      </c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</row>
    <row r="26" spans="1:97">
      <c r="A26" s="2" t="s">
        <v>366</v>
      </c>
      <c r="B26" s="2">
        <v>286.14332999999999</v>
      </c>
      <c r="C26" s="2">
        <v>9.4079999999999995</v>
      </c>
      <c r="D26" s="2" t="s">
        <v>84</v>
      </c>
      <c r="E26" s="2" t="s">
        <v>367</v>
      </c>
      <c r="F26" s="2" t="s">
        <v>368</v>
      </c>
      <c r="G26" s="2">
        <v>54340</v>
      </c>
      <c r="H26" s="3" t="str">
        <f>HYPERLINK("https://cloud.oebiotech.com/#/lm/network/54340", "https://cloud.oebiotech.com/#/lm/network/54340")</f>
        <v>https://cloud.oebiotech.com/#/lm/network/54340</v>
      </c>
      <c r="I26" s="2" t="s">
        <v>369</v>
      </c>
      <c r="J26" s="2">
        <v>43568</v>
      </c>
      <c r="K26" s="2"/>
      <c r="L26" s="2">
        <v>638024</v>
      </c>
      <c r="M26" s="2" t="s">
        <v>370</v>
      </c>
      <c r="N26" s="2"/>
      <c r="O26" s="2"/>
      <c r="P26" s="2">
        <v>28821</v>
      </c>
      <c r="Q26" s="2"/>
      <c r="R26" s="2"/>
      <c r="S26" s="2" t="s">
        <v>371</v>
      </c>
      <c r="T26" s="2" t="s">
        <v>372</v>
      </c>
      <c r="U26" s="2" t="s">
        <v>373</v>
      </c>
      <c r="V26" s="2" t="s">
        <v>374</v>
      </c>
      <c r="W26" s="2" t="s">
        <v>375</v>
      </c>
      <c r="X26" s="2" t="s">
        <v>375</v>
      </c>
      <c r="Y26" s="2" t="s">
        <v>376</v>
      </c>
      <c r="Z26" s="2"/>
      <c r="AA26" s="2"/>
      <c r="AB26" s="2" t="s">
        <v>101</v>
      </c>
      <c r="AC26" s="2">
        <v>75.180000000000007</v>
      </c>
      <c r="AD26" s="2">
        <v>95.62</v>
      </c>
      <c r="AE26" s="2">
        <v>96.03</v>
      </c>
      <c r="AF26" s="2" t="s">
        <v>377</v>
      </c>
      <c r="AG26" s="2" t="s">
        <v>103</v>
      </c>
      <c r="AH26" s="2" t="s">
        <v>378</v>
      </c>
      <c r="AI26" s="2">
        <v>1.75</v>
      </c>
      <c r="AJ26" s="2">
        <v>22.832205221200201</v>
      </c>
      <c r="AK26" s="2">
        <v>23.322132343534999</v>
      </c>
      <c r="AL26" s="2">
        <v>23.324299586456402</v>
      </c>
      <c r="AM26" s="2">
        <v>23.3403749102003</v>
      </c>
      <c r="AN26" s="2">
        <v>23.3512786001614</v>
      </c>
      <c r="AO26" s="2">
        <v>23.2064728569121</v>
      </c>
      <c r="AP26" s="2">
        <v>23.297230645572601</v>
      </c>
      <c r="AQ26" s="2">
        <v>23.3464112366146</v>
      </c>
      <c r="AR26" s="2">
        <v>18.798516859304002</v>
      </c>
      <c r="AS26" s="2">
        <v>23.793853974219601</v>
      </c>
      <c r="AT26" s="2">
        <v>19.112442739442798</v>
      </c>
      <c r="AU26" s="2">
        <v>9.6233145402724691</v>
      </c>
      <c r="AV26" s="2">
        <v>9.6233145402724691</v>
      </c>
      <c r="AW26" s="2">
        <v>21.3768326569222</v>
      </c>
      <c r="AX26" s="2">
        <v>20.1282897278459</v>
      </c>
      <c r="AY26" s="2">
        <v>23.510400242547501</v>
      </c>
      <c r="AZ26" s="2">
        <v>23.2069053139559</v>
      </c>
      <c r="BA26" s="2">
        <v>20.608521410866398</v>
      </c>
      <c r="BB26" s="2">
        <v>20.7096513607856</v>
      </c>
      <c r="BC26" s="2">
        <v>23.740368958533001</v>
      </c>
      <c r="BD26" s="2">
        <v>16.620916973010399</v>
      </c>
      <c r="BE26" s="2">
        <v>22.591382524476298</v>
      </c>
      <c r="BF26" s="2">
        <v>20.900982490818802</v>
      </c>
      <c r="BG26" s="2">
        <v>16.002529366053</v>
      </c>
      <c r="BH26" s="2">
        <v>9.6233145402724691</v>
      </c>
      <c r="BI26" s="2">
        <v>24.458480017544399</v>
      </c>
      <c r="BJ26" s="2">
        <v>22.8261376749589</v>
      </c>
      <c r="BK26" s="2">
        <v>22.4364313700564</v>
      </c>
      <c r="BL26" s="2">
        <v>21.310259475138398</v>
      </c>
      <c r="BM26" s="2">
        <v>13.906073212613199</v>
      </c>
      <c r="BN26" s="2">
        <v>22.214132731359101</v>
      </c>
      <c r="BO26" s="2">
        <v>17.819982827739199</v>
      </c>
      <c r="BP26" s="2">
        <v>9.6233145402724691</v>
      </c>
      <c r="BQ26" s="2">
        <v>18.926499884531001</v>
      </c>
      <c r="BR26" s="2">
        <v>9.6233145402724691</v>
      </c>
      <c r="BS26" s="2">
        <v>20.802756951476901</v>
      </c>
      <c r="BT26" s="2">
        <v>9.6233145402724691</v>
      </c>
      <c r="BU26" s="2">
        <v>20.371989438922</v>
      </c>
      <c r="BV26" s="2">
        <v>18.819251295788</v>
      </c>
      <c r="BW26" s="2">
        <v>19.327323849837299</v>
      </c>
      <c r="BX26" s="2">
        <v>22.401134708407302</v>
      </c>
      <c r="BY26" s="2">
        <v>25.033697693907001</v>
      </c>
      <c r="BZ26" s="2">
        <v>18.1276028026614</v>
      </c>
      <c r="CA26" s="2">
        <v>21.4285127492013</v>
      </c>
      <c r="CB26" s="2">
        <v>24.425195787528001</v>
      </c>
      <c r="CC26" s="2">
        <v>25.259856413311201</v>
      </c>
      <c r="CD26" s="2">
        <v>21.4819775998855</v>
      </c>
      <c r="CE26" s="2">
        <v>24.305191576772099</v>
      </c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</row>
    <row r="27" spans="1:97">
      <c r="A27" s="2" t="s">
        <v>379</v>
      </c>
      <c r="B27" s="2">
        <v>180.13815</v>
      </c>
      <c r="C27" s="2">
        <v>4.4749999999999996</v>
      </c>
      <c r="D27" s="2" t="s">
        <v>84</v>
      </c>
      <c r="E27" s="2" t="s">
        <v>380</v>
      </c>
      <c r="F27" s="2" t="s">
        <v>381</v>
      </c>
      <c r="G27" s="2">
        <v>206408</v>
      </c>
      <c r="H27" s="3" t="str">
        <f>HYPERLINK("https://cloud.oebiotech.com/#/lm/network/206408", "https://cloud.oebiotech.com/#/lm/network/206408")</f>
        <v>https://cloud.oebiotech.com/#/lm/network/206408</v>
      </c>
      <c r="I27" s="2" t="s">
        <v>382</v>
      </c>
      <c r="J27" s="2"/>
      <c r="K27" s="2"/>
      <c r="L27" s="2">
        <v>3808691</v>
      </c>
      <c r="M27" s="2"/>
      <c r="N27" s="2"/>
      <c r="O27" s="2"/>
      <c r="P27" s="2"/>
      <c r="Q27" s="2"/>
      <c r="R27" s="2"/>
      <c r="S27" s="2"/>
      <c r="T27" s="2" t="s">
        <v>383</v>
      </c>
      <c r="U27" s="2" t="s">
        <v>384</v>
      </c>
      <c r="V27" s="2" t="s">
        <v>385</v>
      </c>
      <c r="W27" s="2" t="s">
        <v>386</v>
      </c>
      <c r="X27" s="2" t="s">
        <v>387</v>
      </c>
      <c r="Y27" s="2" t="s">
        <v>388</v>
      </c>
      <c r="Z27" s="2" t="s">
        <v>389</v>
      </c>
      <c r="AA27" s="2" t="s">
        <v>390</v>
      </c>
      <c r="AB27" s="2" t="s">
        <v>101</v>
      </c>
      <c r="AC27" s="2">
        <v>75.13</v>
      </c>
      <c r="AD27" s="2">
        <v>93.02</v>
      </c>
      <c r="AE27" s="2">
        <v>97.81</v>
      </c>
      <c r="AF27" s="2" t="s">
        <v>391</v>
      </c>
      <c r="AG27" s="2" t="s">
        <v>103</v>
      </c>
      <c r="AH27" s="2" t="s">
        <v>392</v>
      </c>
      <c r="AI27" s="2">
        <v>1.1100000000000001</v>
      </c>
      <c r="AJ27" s="2">
        <v>20.841761224578999</v>
      </c>
      <c r="AK27" s="2">
        <v>20.869659203035901</v>
      </c>
      <c r="AL27" s="2">
        <v>20.9270592171552</v>
      </c>
      <c r="AM27" s="2">
        <v>20.7906988290542</v>
      </c>
      <c r="AN27" s="2">
        <v>20.725767770801198</v>
      </c>
      <c r="AO27" s="2">
        <v>21.0811451042361</v>
      </c>
      <c r="AP27" s="2">
        <v>20.846515520864099</v>
      </c>
      <c r="AQ27" s="2">
        <v>20.7240252664187</v>
      </c>
      <c r="AR27" s="2">
        <v>14.0404626833532</v>
      </c>
      <c r="AS27" s="2">
        <v>9.6233145402724691</v>
      </c>
      <c r="AT27" s="2">
        <v>9.6233145402724691</v>
      </c>
      <c r="AU27" s="2">
        <v>14.3573341269207</v>
      </c>
      <c r="AV27" s="2">
        <v>15.2820451772351</v>
      </c>
      <c r="AW27" s="2">
        <v>14.2149572932532</v>
      </c>
      <c r="AX27" s="2">
        <v>13.736880706535899</v>
      </c>
      <c r="AY27" s="2">
        <v>9.6233145402724691</v>
      </c>
      <c r="AZ27" s="2">
        <v>9.6233145402724691</v>
      </c>
      <c r="BA27" s="2">
        <v>14.250171080828</v>
      </c>
      <c r="BB27" s="2">
        <v>13.612179690135701</v>
      </c>
      <c r="BC27" s="2">
        <v>14.3094536161514</v>
      </c>
      <c r="BD27" s="2">
        <v>9.6233145402724691</v>
      </c>
      <c r="BE27" s="2">
        <v>15.398876600775701</v>
      </c>
      <c r="BF27" s="2">
        <v>14.0945775265638</v>
      </c>
      <c r="BG27" s="2">
        <v>9.6233145402724691</v>
      </c>
      <c r="BH27" s="2">
        <v>22.279982090388899</v>
      </c>
      <c r="BI27" s="2">
        <v>9.6233145402724691</v>
      </c>
      <c r="BJ27" s="2">
        <v>9.6233145402724691</v>
      </c>
      <c r="BK27" s="2">
        <v>9.6233145402724691</v>
      </c>
      <c r="BL27" s="2">
        <v>15.0498353643826</v>
      </c>
      <c r="BM27" s="2">
        <v>14.327072601478299</v>
      </c>
      <c r="BN27" s="2">
        <v>9.6233145402724691</v>
      </c>
      <c r="BO27" s="2">
        <v>14.145494368532701</v>
      </c>
      <c r="BP27" s="2">
        <v>13.737392070112501</v>
      </c>
      <c r="BQ27" s="2">
        <v>14.1651331154831</v>
      </c>
      <c r="BR27" s="2">
        <v>15.3278553958292</v>
      </c>
      <c r="BS27" s="2">
        <v>14.273206252134701</v>
      </c>
      <c r="BT27" s="2">
        <v>26.862124802880899</v>
      </c>
      <c r="BU27" s="2">
        <v>13.9880233591585</v>
      </c>
      <c r="BV27" s="2">
        <v>9.6233145402724691</v>
      </c>
      <c r="BW27" s="2">
        <v>14.737430098178701</v>
      </c>
      <c r="BX27" s="2">
        <v>14.7831430238344</v>
      </c>
      <c r="BY27" s="2">
        <v>14.154236642737301</v>
      </c>
      <c r="BZ27" s="2">
        <v>15.181572360431799</v>
      </c>
      <c r="CA27" s="2">
        <v>9.6233145402724691</v>
      </c>
      <c r="CB27" s="2">
        <v>9.6233145402724691</v>
      </c>
      <c r="CC27" s="2">
        <v>9.6233145402724691</v>
      </c>
      <c r="CD27" s="2">
        <v>9.6233145402724691</v>
      </c>
      <c r="CE27" s="2">
        <v>9.6233145402724691</v>
      </c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</row>
    <row r="28" spans="1:97">
      <c r="A28" s="2" t="s">
        <v>393</v>
      </c>
      <c r="B28" s="2">
        <v>191.01920000000001</v>
      </c>
      <c r="C28" s="2">
        <v>0.81299999999999994</v>
      </c>
      <c r="D28" s="2" t="s">
        <v>146</v>
      </c>
      <c r="E28" s="2" t="s">
        <v>394</v>
      </c>
      <c r="F28" s="2" t="s">
        <v>395</v>
      </c>
      <c r="G28" s="2">
        <v>46929</v>
      </c>
      <c r="H28" s="3" t="str">
        <f>HYPERLINK("https://cloud.oebiotech.com/#/lm/network/46929", "https://cloud.oebiotech.com/#/lm/network/46929")</f>
        <v>https://cloud.oebiotech.com/#/lm/network/46929</v>
      </c>
      <c r="I28" s="2" t="s">
        <v>396</v>
      </c>
      <c r="J28" s="2">
        <v>119</v>
      </c>
      <c r="K28" s="2"/>
      <c r="L28" s="2">
        <v>51</v>
      </c>
      <c r="M28" s="2" t="s">
        <v>397</v>
      </c>
      <c r="N28" s="2" t="s">
        <v>398</v>
      </c>
      <c r="O28" s="2" t="s">
        <v>399</v>
      </c>
      <c r="P28" s="2">
        <v>30915</v>
      </c>
      <c r="Q28" s="2"/>
      <c r="R28" s="2"/>
      <c r="S28" s="2" t="s">
        <v>400</v>
      </c>
      <c r="T28" s="2" t="s">
        <v>401</v>
      </c>
      <c r="U28" s="2" t="s">
        <v>402</v>
      </c>
      <c r="V28" s="2" t="s">
        <v>115</v>
      </c>
      <c r="W28" s="2" t="s">
        <v>403</v>
      </c>
      <c r="X28" s="2" t="s">
        <v>404</v>
      </c>
      <c r="Y28" s="2" t="s">
        <v>118</v>
      </c>
      <c r="Z28" s="2" t="s">
        <v>405</v>
      </c>
      <c r="AA28" s="2" t="s">
        <v>406</v>
      </c>
      <c r="AB28" s="2" t="s">
        <v>101</v>
      </c>
      <c r="AC28" s="2">
        <v>75.03</v>
      </c>
      <c r="AD28" s="2">
        <v>99.67</v>
      </c>
      <c r="AE28" s="2">
        <v>96.08</v>
      </c>
      <c r="AF28" s="2" t="s">
        <v>407</v>
      </c>
      <c r="AG28" s="2" t="s">
        <v>157</v>
      </c>
      <c r="AH28" s="2" t="s">
        <v>408</v>
      </c>
      <c r="AI28" s="2">
        <v>2.62</v>
      </c>
      <c r="AJ28" s="2">
        <v>30.155861334862202</v>
      </c>
      <c r="AK28" s="2">
        <v>30.078456191512899</v>
      </c>
      <c r="AL28" s="2">
        <v>30.173128818910399</v>
      </c>
      <c r="AM28" s="2">
        <v>30.391131593092599</v>
      </c>
      <c r="AN28" s="2">
        <v>30.158760060972199</v>
      </c>
      <c r="AO28" s="2">
        <v>30.272057144341399</v>
      </c>
      <c r="AP28" s="2">
        <v>30.161145383496098</v>
      </c>
      <c r="AQ28" s="2">
        <v>30.359436376949201</v>
      </c>
      <c r="AR28" s="2">
        <v>30.033382243305301</v>
      </c>
      <c r="AS28" s="2">
        <v>29.9454090265438</v>
      </c>
      <c r="AT28" s="2">
        <v>30.019808966118799</v>
      </c>
      <c r="AU28" s="2">
        <v>29.938213050041298</v>
      </c>
      <c r="AV28" s="2">
        <v>30.0672595299561</v>
      </c>
      <c r="AW28" s="2">
        <v>30.396320477157701</v>
      </c>
      <c r="AX28" s="2">
        <v>30.160333320002799</v>
      </c>
      <c r="AY28" s="2">
        <v>30.312842285800599</v>
      </c>
      <c r="AZ28" s="2">
        <v>30.162674676725899</v>
      </c>
      <c r="BA28" s="2">
        <v>29.9424315907359</v>
      </c>
      <c r="BB28" s="2">
        <v>30.0266683494002</v>
      </c>
      <c r="BC28" s="2">
        <v>30.209011817230099</v>
      </c>
      <c r="BD28" s="2">
        <v>30.2651422160579</v>
      </c>
      <c r="BE28" s="2">
        <v>30.031827563042601</v>
      </c>
      <c r="BF28" s="2">
        <v>30.127016384196398</v>
      </c>
      <c r="BG28" s="2">
        <v>29.550810951591401</v>
      </c>
      <c r="BH28" s="2">
        <v>29.9673312147826</v>
      </c>
      <c r="BI28" s="2">
        <v>30.291853067156499</v>
      </c>
      <c r="BJ28" s="2">
        <v>30.518405981743101</v>
      </c>
      <c r="BK28" s="2">
        <v>30.188873706988002</v>
      </c>
      <c r="BL28" s="2">
        <v>30.1128938309506</v>
      </c>
      <c r="BM28" s="2">
        <v>30.859451438450002</v>
      </c>
      <c r="BN28" s="2">
        <v>30.331246087865299</v>
      </c>
      <c r="BO28" s="2">
        <v>29.452646339538401</v>
      </c>
      <c r="BP28" s="2">
        <v>29.485698421367299</v>
      </c>
      <c r="BQ28" s="2">
        <v>30.288180687369699</v>
      </c>
      <c r="BR28" s="2">
        <v>29.818062810263701</v>
      </c>
      <c r="BS28" s="2">
        <v>29.860028026911301</v>
      </c>
      <c r="BT28" s="2">
        <v>29.641416204354201</v>
      </c>
      <c r="BU28" s="2">
        <v>29.942038560172001</v>
      </c>
      <c r="BV28" s="2">
        <v>30.002055851326901</v>
      </c>
      <c r="BW28" s="2">
        <v>30.239569678676101</v>
      </c>
      <c r="BX28" s="2">
        <v>30.4558432818067</v>
      </c>
      <c r="BY28" s="2">
        <v>29.6407202368109</v>
      </c>
      <c r="BZ28" s="2">
        <v>30.0348499306455</v>
      </c>
      <c r="CA28" s="2">
        <v>29.3321504653</v>
      </c>
      <c r="CB28" s="2">
        <v>29.765538026327601</v>
      </c>
      <c r="CC28" s="2">
        <v>30.0808051637337</v>
      </c>
      <c r="CD28" s="2">
        <v>29.588431383103199</v>
      </c>
      <c r="CE28" s="2">
        <v>30.0681920221806</v>
      </c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</row>
    <row r="29" spans="1:97">
      <c r="A29" s="2" t="s">
        <v>409</v>
      </c>
      <c r="B29" s="2">
        <v>544.33909000000006</v>
      </c>
      <c r="C29" s="2">
        <v>10.272</v>
      </c>
      <c r="D29" s="2" t="s">
        <v>84</v>
      </c>
      <c r="E29" s="2" t="s">
        <v>410</v>
      </c>
      <c r="F29" s="2" t="s">
        <v>411</v>
      </c>
      <c r="G29" s="2">
        <v>19873</v>
      </c>
      <c r="H29" s="3" t="str">
        <f>HYPERLINK("https://cloud.oebiotech.com/#/lm/network/19873", "https://cloud.oebiotech.com/#/lm/network/19873")</f>
        <v>https://cloud.oebiotech.com/#/lm/network/19873</v>
      </c>
      <c r="I29" s="2" t="s">
        <v>412</v>
      </c>
      <c r="J29" s="2">
        <v>46690</v>
      </c>
      <c r="K29" s="2" t="s">
        <v>413</v>
      </c>
      <c r="L29" s="2">
        <v>52924038</v>
      </c>
      <c r="M29" s="2"/>
      <c r="N29" s="2"/>
      <c r="O29" s="2"/>
      <c r="P29" s="2">
        <v>76079</v>
      </c>
      <c r="Q29" s="2"/>
      <c r="R29" s="2"/>
      <c r="S29" s="2" t="s">
        <v>414</v>
      </c>
      <c r="T29" s="2" t="s">
        <v>415</v>
      </c>
      <c r="U29" s="2" t="s">
        <v>416</v>
      </c>
      <c r="V29" s="2" t="s">
        <v>95</v>
      </c>
      <c r="W29" s="2" t="s">
        <v>202</v>
      </c>
      <c r="X29" s="2" t="s">
        <v>203</v>
      </c>
      <c r="Y29" s="2" t="s">
        <v>98</v>
      </c>
      <c r="Z29" s="2" t="s">
        <v>204</v>
      </c>
      <c r="AA29" s="2" t="s">
        <v>205</v>
      </c>
      <c r="AB29" s="2" t="s">
        <v>101</v>
      </c>
      <c r="AC29" s="2">
        <v>75.03</v>
      </c>
      <c r="AD29" s="2">
        <v>99.14</v>
      </c>
      <c r="AE29" s="2">
        <v>95.39</v>
      </c>
      <c r="AF29" s="2" t="s">
        <v>417</v>
      </c>
      <c r="AG29" s="2" t="s">
        <v>103</v>
      </c>
      <c r="AH29" s="2" t="s">
        <v>270</v>
      </c>
      <c r="AI29" s="2">
        <v>1.29</v>
      </c>
      <c r="AJ29" s="2">
        <v>26.540881160154999</v>
      </c>
      <c r="AK29" s="2">
        <v>26.551676076412399</v>
      </c>
      <c r="AL29" s="2">
        <v>26.643789701125701</v>
      </c>
      <c r="AM29" s="2">
        <v>26.532347221718801</v>
      </c>
      <c r="AN29" s="2">
        <v>26.5156426521486</v>
      </c>
      <c r="AO29" s="2">
        <v>26.663885325278901</v>
      </c>
      <c r="AP29" s="2">
        <v>26.641255365252501</v>
      </c>
      <c r="AQ29" s="2">
        <v>26.539172197287801</v>
      </c>
      <c r="AR29" s="2">
        <v>27.223829013163702</v>
      </c>
      <c r="AS29" s="2">
        <v>25.109904861716799</v>
      </c>
      <c r="AT29" s="2">
        <v>26.058899216771799</v>
      </c>
      <c r="AU29" s="2">
        <v>25.538930006479099</v>
      </c>
      <c r="AV29" s="2">
        <v>26.0457711264133</v>
      </c>
      <c r="AW29" s="2">
        <v>26.816042991993498</v>
      </c>
      <c r="AX29" s="2">
        <v>27.009805211363702</v>
      </c>
      <c r="AY29" s="2">
        <v>26.655853760966298</v>
      </c>
      <c r="AZ29" s="2">
        <v>26.3586484247732</v>
      </c>
      <c r="BA29" s="2">
        <v>25.302859010281502</v>
      </c>
      <c r="BB29" s="2">
        <v>25.9978863483285</v>
      </c>
      <c r="BC29" s="2">
        <v>26.999208691208999</v>
      </c>
      <c r="BD29" s="2">
        <v>26.1405234755047</v>
      </c>
      <c r="BE29" s="2">
        <v>26.6472382349409</v>
      </c>
      <c r="BF29" s="2">
        <v>26.544944276779098</v>
      </c>
      <c r="BG29" s="2">
        <v>26.530359009376401</v>
      </c>
      <c r="BH29" s="2">
        <v>27.2621663112091</v>
      </c>
      <c r="BI29" s="2">
        <v>27.1138042787362</v>
      </c>
      <c r="BJ29" s="2">
        <v>26.430213117112601</v>
      </c>
      <c r="BK29" s="2">
        <v>26.0516274733545</v>
      </c>
      <c r="BL29" s="2">
        <v>26.5833729189686</v>
      </c>
      <c r="BM29" s="2">
        <v>25.879649469841102</v>
      </c>
      <c r="BN29" s="2">
        <v>26.297645856816001</v>
      </c>
      <c r="BO29" s="2">
        <v>25.890145239731702</v>
      </c>
      <c r="BP29" s="2">
        <v>26.2515285282993</v>
      </c>
      <c r="BQ29" s="2">
        <v>26.461328407836302</v>
      </c>
      <c r="BR29" s="2">
        <v>26.763534858093699</v>
      </c>
      <c r="BS29" s="2">
        <v>27.072084203306002</v>
      </c>
      <c r="BT29" s="2">
        <v>26.390728065259999</v>
      </c>
      <c r="BU29" s="2">
        <v>25.518598429310401</v>
      </c>
      <c r="BV29" s="2">
        <v>25.902448139037698</v>
      </c>
      <c r="BW29" s="2">
        <v>26.2846779613858</v>
      </c>
      <c r="BX29" s="2">
        <v>26.317383666044702</v>
      </c>
      <c r="BY29" s="2">
        <v>27.048522142899301</v>
      </c>
      <c r="BZ29" s="2">
        <v>26.499475258941501</v>
      </c>
      <c r="CA29" s="2">
        <v>26.501826220176699</v>
      </c>
      <c r="CB29" s="2">
        <v>26.7092421797181</v>
      </c>
      <c r="CC29" s="2">
        <v>26.4450571900306</v>
      </c>
      <c r="CD29" s="2">
        <v>26.723449107092499</v>
      </c>
      <c r="CE29" s="2">
        <v>26.132222854243199</v>
      </c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</row>
    <row r="30" spans="1:97">
      <c r="A30" s="2" t="s">
        <v>418</v>
      </c>
      <c r="B30" s="2">
        <v>133.09703999999999</v>
      </c>
      <c r="C30" s="2">
        <v>0.623</v>
      </c>
      <c r="D30" s="2" t="s">
        <v>84</v>
      </c>
      <c r="E30" s="2" t="s">
        <v>419</v>
      </c>
      <c r="F30" s="2" t="s">
        <v>420</v>
      </c>
      <c r="G30" s="2">
        <v>48082</v>
      </c>
      <c r="H30" s="3" t="str">
        <f>HYPERLINK("https://cloud.oebiotech.com/#/lm/network/48082", "https://cloud.oebiotech.com/#/lm/network/48082")</f>
        <v>https://cloud.oebiotech.com/#/lm/network/48082</v>
      </c>
      <c r="I30" s="2" t="s">
        <v>421</v>
      </c>
      <c r="J30" s="2">
        <v>6910</v>
      </c>
      <c r="K30" s="2"/>
      <c r="L30" s="2">
        <v>71082</v>
      </c>
      <c r="M30" s="2" t="s">
        <v>422</v>
      </c>
      <c r="N30" s="2" t="s">
        <v>234</v>
      </c>
      <c r="O30" s="2" t="s">
        <v>235</v>
      </c>
      <c r="P30" s="2">
        <v>16176</v>
      </c>
      <c r="Q30" s="2"/>
      <c r="R30" s="2"/>
      <c r="S30" s="2" t="s">
        <v>423</v>
      </c>
      <c r="T30" s="2" t="s">
        <v>424</v>
      </c>
      <c r="U30" s="2" t="s">
        <v>425</v>
      </c>
      <c r="V30" s="2" t="s">
        <v>115</v>
      </c>
      <c r="W30" s="2" t="s">
        <v>116</v>
      </c>
      <c r="X30" s="2" t="s">
        <v>117</v>
      </c>
      <c r="Y30" s="2" t="s">
        <v>118</v>
      </c>
      <c r="Z30" s="2" t="s">
        <v>119</v>
      </c>
      <c r="AA30" s="2" t="s">
        <v>120</v>
      </c>
      <c r="AB30" s="2" t="s">
        <v>101</v>
      </c>
      <c r="AC30" s="2">
        <v>75.010000000000005</v>
      </c>
      <c r="AD30" s="2">
        <v>98.66</v>
      </c>
      <c r="AE30" s="2">
        <v>94.89</v>
      </c>
      <c r="AF30" s="2" t="s">
        <v>426</v>
      </c>
      <c r="AG30" s="2" t="s">
        <v>103</v>
      </c>
      <c r="AH30" s="2" t="s">
        <v>427</v>
      </c>
      <c r="AI30" s="2">
        <v>1.5</v>
      </c>
      <c r="AJ30" s="2">
        <v>24.470135161339702</v>
      </c>
      <c r="AK30" s="2">
        <v>24.269479786903698</v>
      </c>
      <c r="AL30" s="2">
        <v>24.6200401947528</v>
      </c>
      <c r="AM30" s="2">
        <v>24.378061978634801</v>
      </c>
      <c r="AN30" s="2">
        <v>24.0969852469213</v>
      </c>
      <c r="AO30" s="2">
        <v>24.257400743716801</v>
      </c>
      <c r="AP30" s="2">
        <v>24.653514160821299</v>
      </c>
      <c r="AQ30" s="2">
        <v>24.543856497476401</v>
      </c>
      <c r="AR30" s="2">
        <v>22.903087866481801</v>
      </c>
      <c r="AS30" s="2">
        <v>22.991152174821199</v>
      </c>
      <c r="AT30" s="2">
        <v>23.608670685670901</v>
      </c>
      <c r="AU30" s="2">
        <v>24.847640858058199</v>
      </c>
      <c r="AV30" s="2">
        <v>24.828038147785001</v>
      </c>
      <c r="AW30" s="2">
        <v>23.164514187286301</v>
      </c>
      <c r="AX30" s="2">
        <v>22.919456595812498</v>
      </c>
      <c r="AY30" s="2">
        <v>22.959151238621502</v>
      </c>
      <c r="AZ30" s="2">
        <v>24.398120573959499</v>
      </c>
      <c r="BA30" s="2">
        <v>23.8856718852455</v>
      </c>
      <c r="BB30" s="2">
        <v>23.157869736894</v>
      </c>
      <c r="BC30" s="2">
        <v>24.932136748077198</v>
      </c>
      <c r="BD30" s="2">
        <v>22.559006135312401</v>
      </c>
      <c r="BE30" s="2">
        <v>22.5021731616762</v>
      </c>
      <c r="BF30" s="2">
        <v>22.589796941507998</v>
      </c>
      <c r="BG30" s="2">
        <v>22.8792805438163</v>
      </c>
      <c r="BH30" s="2">
        <v>22.601209420193801</v>
      </c>
      <c r="BI30" s="2">
        <v>23.8017504639406</v>
      </c>
      <c r="BJ30" s="2">
        <v>23.4985306905585</v>
      </c>
      <c r="BK30" s="2">
        <v>24.129012558606298</v>
      </c>
      <c r="BL30" s="2">
        <v>24.0934558180865</v>
      </c>
      <c r="BM30" s="2">
        <v>26.051500099680201</v>
      </c>
      <c r="BN30" s="2">
        <v>24.540042358822799</v>
      </c>
      <c r="BO30" s="2">
        <v>24.954155194629902</v>
      </c>
      <c r="BP30" s="2">
        <v>24.377062131346001</v>
      </c>
      <c r="BQ30" s="2">
        <v>23.684184399923002</v>
      </c>
      <c r="BR30" s="2">
        <v>24.295839086794199</v>
      </c>
      <c r="BS30" s="2">
        <v>25.687760367861699</v>
      </c>
      <c r="BT30" s="2">
        <v>26.023160685966499</v>
      </c>
      <c r="BU30" s="2">
        <v>25.275624470950099</v>
      </c>
      <c r="BV30" s="2">
        <v>25.8687782475379</v>
      </c>
      <c r="BW30" s="2">
        <v>23.509531125395199</v>
      </c>
      <c r="BX30" s="2">
        <v>25.0936516559435</v>
      </c>
      <c r="BY30" s="2">
        <v>23.7554849598</v>
      </c>
      <c r="BZ30" s="2">
        <v>23.171413277665501</v>
      </c>
      <c r="CA30" s="2">
        <v>24.602889002275699</v>
      </c>
      <c r="CB30" s="2">
        <v>23.030365112623599</v>
      </c>
      <c r="CC30" s="2">
        <v>23.329540458969198</v>
      </c>
      <c r="CD30" s="2">
        <v>23.949247567585601</v>
      </c>
      <c r="CE30" s="2">
        <v>23.175377121331799</v>
      </c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</row>
    <row r="31" spans="1:97">
      <c r="A31" s="2" t="s">
        <v>428</v>
      </c>
      <c r="B31" s="2">
        <v>147.11263</v>
      </c>
      <c r="C31" s="2">
        <v>0.623</v>
      </c>
      <c r="D31" s="2" t="s">
        <v>84</v>
      </c>
      <c r="E31" s="2" t="s">
        <v>429</v>
      </c>
      <c r="F31" s="2" t="s">
        <v>430</v>
      </c>
      <c r="G31" s="2">
        <v>48090</v>
      </c>
      <c r="H31" s="3" t="str">
        <f>HYPERLINK("https://cloud.oebiotech.com/#/lm/network/48090", "https://cloud.oebiotech.com/#/lm/network/48090")</f>
        <v>https://cloud.oebiotech.com/#/lm/network/48090</v>
      </c>
      <c r="I31" s="2" t="s">
        <v>431</v>
      </c>
      <c r="J31" s="2">
        <v>6919</v>
      </c>
      <c r="K31" s="2"/>
      <c r="L31" s="2">
        <v>57449</v>
      </c>
      <c r="M31" s="2" t="s">
        <v>432</v>
      </c>
      <c r="N31" s="2" t="s">
        <v>433</v>
      </c>
      <c r="O31" s="2" t="s">
        <v>434</v>
      </c>
      <c r="P31" s="2">
        <v>16855</v>
      </c>
      <c r="Q31" s="2"/>
      <c r="R31" s="2"/>
      <c r="S31" s="2" t="s">
        <v>435</v>
      </c>
      <c r="T31" s="2" t="s">
        <v>436</v>
      </c>
      <c r="U31" s="2" t="s">
        <v>437</v>
      </c>
      <c r="V31" s="2" t="s">
        <v>115</v>
      </c>
      <c r="W31" s="2" t="s">
        <v>116</v>
      </c>
      <c r="X31" s="2" t="s">
        <v>117</v>
      </c>
      <c r="Y31" s="2" t="s">
        <v>118</v>
      </c>
      <c r="Z31" s="2" t="s">
        <v>119</v>
      </c>
      <c r="AA31" s="2" t="s">
        <v>120</v>
      </c>
      <c r="AB31" s="2" t="s">
        <v>101</v>
      </c>
      <c r="AC31" s="2">
        <v>74.989999999999995</v>
      </c>
      <c r="AD31" s="2">
        <v>99.2</v>
      </c>
      <c r="AE31" s="2">
        <v>88.2</v>
      </c>
      <c r="AF31" s="2" t="s">
        <v>438</v>
      </c>
      <c r="AG31" s="2" t="s">
        <v>103</v>
      </c>
      <c r="AH31" s="2" t="s">
        <v>439</v>
      </c>
      <c r="AI31" s="2">
        <v>1.36</v>
      </c>
      <c r="AJ31" s="2">
        <v>26.009844196249901</v>
      </c>
      <c r="AK31" s="2">
        <v>26.080511484713501</v>
      </c>
      <c r="AL31" s="2">
        <v>26.163698713514801</v>
      </c>
      <c r="AM31" s="2">
        <v>25.919374056856601</v>
      </c>
      <c r="AN31" s="2">
        <v>25.680085034539299</v>
      </c>
      <c r="AO31" s="2">
        <v>25.922357873007901</v>
      </c>
      <c r="AP31" s="2">
        <v>26.160499116863399</v>
      </c>
      <c r="AQ31" s="2">
        <v>26.111971445356399</v>
      </c>
      <c r="AR31" s="2">
        <v>25.807820936229401</v>
      </c>
      <c r="AS31" s="2">
        <v>25.761301114703201</v>
      </c>
      <c r="AT31" s="2">
        <v>26.058587118458501</v>
      </c>
      <c r="AU31" s="2">
        <v>25.580649326882099</v>
      </c>
      <c r="AV31" s="2">
        <v>25.9897898584058</v>
      </c>
      <c r="AW31" s="2">
        <v>26.120129228624101</v>
      </c>
      <c r="AX31" s="2">
        <v>25.866511725682798</v>
      </c>
      <c r="AY31" s="2">
        <v>26.310710849886501</v>
      </c>
      <c r="AZ31" s="2">
        <v>26.506317210526401</v>
      </c>
      <c r="BA31" s="2">
        <v>25.672052381155201</v>
      </c>
      <c r="BB31" s="2">
        <v>26.2507630835903</v>
      </c>
      <c r="BC31" s="2">
        <v>26.094131101632101</v>
      </c>
      <c r="BD31" s="2">
        <v>25.4872939225226</v>
      </c>
      <c r="BE31" s="2">
        <v>25.644329744011099</v>
      </c>
      <c r="BF31" s="2">
        <v>25.561755596174599</v>
      </c>
      <c r="BG31" s="2">
        <v>26.2712568699834</v>
      </c>
      <c r="BH31" s="2">
        <v>26.158616478573101</v>
      </c>
      <c r="BI31" s="2">
        <v>25.7550385719674</v>
      </c>
      <c r="BJ31" s="2">
        <v>26.353490521640602</v>
      </c>
      <c r="BK31" s="2">
        <v>25.882516547836101</v>
      </c>
      <c r="BL31" s="2">
        <v>25.4569643555098</v>
      </c>
      <c r="BM31" s="2">
        <v>26.641555568994299</v>
      </c>
      <c r="BN31" s="2">
        <v>26.415590967793399</v>
      </c>
      <c r="BO31" s="2">
        <v>25.735972515362398</v>
      </c>
      <c r="BP31" s="2">
        <v>26.043790980225399</v>
      </c>
      <c r="BQ31" s="2">
        <v>26.031626664376802</v>
      </c>
      <c r="BR31" s="2">
        <v>26.172483800825098</v>
      </c>
      <c r="BS31" s="2">
        <v>26.014195184421698</v>
      </c>
      <c r="BT31" s="2">
        <v>25.4718873846478</v>
      </c>
      <c r="BU31" s="2">
        <v>25.8122203610328</v>
      </c>
      <c r="BV31" s="2">
        <v>25.583756161650399</v>
      </c>
      <c r="BW31" s="2">
        <v>25.3476211867813</v>
      </c>
      <c r="BX31" s="2">
        <v>26.27810068182</v>
      </c>
      <c r="BY31" s="2">
        <v>26.525291916482601</v>
      </c>
      <c r="BZ31" s="2">
        <v>25.909845897537998</v>
      </c>
      <c r="CA31" s="2">
        <v>26.432220384219999</v>
      </c>
      <c r="CB31" s="2">
        <v>26.063104181839201</v>
      </c>
      <c r="CC31" s="2">
        <v>25.783184865447801</v>
      </c>
      <c r="CD31" s="2">
        <v>26.460726717399201</v>
      </c>
      <c r="CE31" s="2">
        <v>25.478600136124701</v>
      </c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</row>
    <row r="32" spans="1:97">
      <c r="A32" s="2" t="s">
        <v>440</v>
      </c>
      <c r="B32" s="2">
        <v>468.30795999999998</v>
      </c>
      <c r="C32" s="2">
        <v>9.8140000000000001</v>
      </c>
      <c r="D32" s="2" t="s">
        <v>84</v>
      </c>
      <c r="E32" s="2" t="s">
        <v>441</v>
      </c>
      <c r="F32" s="2" t="s">
        <v>442</v>
      </c>
      <c r="G32" s="2">
        <v>19858</v>
      </c>
      <c r="H32" s="3" t="str">
        <f>HYPERLINK("https://cloud.oebiotech.com/#/lm/network/19858", "https://cloud.oebiotech.com/#/lm/network/19858")</f>
        <v>https://cloud.oebiotech.com/#/lm/network/19858</v>
      </c>
      <c r="I32" s="2"/>
      <c r="J32" s="2">
        <v>40339</v>
      </c>
      <c r="K32" s="2" t="s">
        <v>443</v>
      </c>
      <c r="L32" s="2">
        <v>24779490</v>
      </c>
      <c r="M32" s="2"/>
      <c r="N32" s="2"/>
      <c r="O32" s="2"/>
      <c r="P32" s="2">
        <v>131738</v>
      </c>
      <c r="Q32" s="2"/>
      <c r="R32" s="2"/>
      <c r="S32" s="2"/>
      <c r="T32" s="2" t="s">
        <v>444</v>
      </c>
      <c r="U32" s="2" t="s">
        <v>445</v>
      </c>
      <c r="V32" s="2" t="s">
        <v>95</v>
      </c>
      <c r="W32" s="2" t="s">
        <v>202</v>
      </c>
      <c r="X32" s="2" t="s">
        <v>203</v>
      </c>
      <c r="Y32" s="2" t="s">
        <v>98</v>
      </c>
      <c r="Z32" s="2" t="s">
        <v>204</v>
      </c>
      <c r="AA32" s="2" t="s">
        <v>205</v>
      </c>
      <c r="AB32" s="2" t="s">
        <v>101</v>
      </c>
      <c r="AC32" s="2">
        <v>74.819999999999993</v>
      </c>
      <c r="AD32" s="2">
        <v>99.5</v>
      </c>
      <c r="AE32" s="2">
        <v>84.94</v>
      </c>
      <c r="AF32" s="2" t="s">
        <v>446</v>
      </c>
      <c r="AG32" s="2" t="s">
        <v>103</v>
      </c>
      <c r="AH32" s="2" t="s">
        <v>447</v>
      </c>
      <c r="AI32" s="2">
        <v>1.07</v>
      </c>
      <c r="AJ32" s="2">
        <v>25.418661735202999</v>
      </c>
      <c r="AK32" s="2">
        <v>25.766570905779702</v>
      </c>
      <c r="AL32" s="2">
        <v>25.681900682252</v>
      </c>
      <c r="AM32" s="2">
        <v>25.633917381173099</v>
      </c>
      <c r="AN32" s="2">
        <v>25.710283176100301</v>
      </c>
      <c r="AO32" s="2">
        <v>25.844326911278401</v>
      </c>
      <c r="AP32" s="2">
        <v>25.522577010566302</v>
      </c>
      <c r="AQ32" s="2">
        <v>25.7039802205374</v>
      </c>
      <c r="AR32" s="2">
        <v>25.756288366533798</v>
      </c>
      <c r="AS32" s="2">
        <v>24.392451187631401</v>
      </c>
      <c r="AT32" s="2">
        <v>25.4631425788786</v>
      </c>
      <c r="AU32" s="2">
        <v>25.553961485926902</v>
      </c>
      <c r="AV32" s="2">
        <v>25.680158173396599</v>
      </c>
      <c r="AW32" s="2">
        <v>25.441557078934501</v>
      </c>
      <c r="AX32" s="2">
        <v>25.1071495218441</v>
      </c>
      <c r="AY32" s="2">
        <v>24.920573998115799</v>
      </c>
      <c r="AZ32" s="2">
        <v>25.599205944163401</v>
      </c>
      <c r="BA32" s="2">
        <v>25.1210355362333</v>
      </c>
      <c r="BB32" s="2">
        <v>25.5265217079411</v>
      </c>
      <c r="BC32" s="2">
        <v>25.409322226259</v>
      </c>
      <c r="BD32" s="2">
        <v>24.907833502183301</v>
      </c>
      <c r="BE32" s="2">
        <v>25.254925469589502</v>
      </c>
      <c r="BF32" s="2">
        <v>24.730852747344802</v>
      </c>
      <c r="BG32" s="2">
        <v>26.131453295035499</v>
      </c>
      <c r="BH32" s="2">
        <v>24.3777609056004</v>
      </c>
      <c r="BI32" s="2">
        <v>26.458929743200901</v>
      </c>
      <c r="BJ32" s="2">
        <v>25.1354326451942</v>
      </c>
      <c r="BK32" s="2">
        <v>25.305270132594998</v>
      </c>
      <c r="BL32" s="2">
        <v>25.721329045894901</v>
      </c>
      <c r="BM32" s="2">
        <v>25.1412124228486</v>
      </c>
      <c r="BN32" s="2">
        <v>25.212077703443899</v>
      </c>
      <c r="BO32" s="2">
        <v>25.8000839676446</v>
      </c>
      <c r="BP32" s="2">
        <v>25.816549131519601</v>
      </c>
      <c r="BQ32" s="2">
        <v>25.204993091166301</v>
      </c>
      <c r="BR32" s="2">
        <v>26.4929622281003</v>
      </c>
      <c r="BS32" s="2">
        <v>26.186213728000901</v>
      </c>
      <c r="BT32" s="2">
        <v>25.049198563347201</v>
      </c>
      <c r="BU32" s="2">
        <v>26.076947132354299</v>
      </c>
      <c r="BV32" s="2">
        <v>25.9781264901263</v>
      </c>
      <c r="BW32" s="2">
        <v>23.7619371807695</v>
      </c>
      <c r="BX32" s="2">
        <v>25.0369830744526</v>
      </c>
      <c r="BY32" s="2">
        <v>26.035318191182601</v>
      </c>
      <c r="BZ32" s="2">
        <v>25.2263660428635</v>
      </c>
      <c r="CA32" s="2">
        <v>25.8412604936692</v>
      </c>
      <c r="CB32" s="2">
        <v>26.0886795811601</v>
      </c>
      <c r="CC32" s="2">
        <v>25.791439916052301</v>
      </c>
      <c r="CD32" s="2">
        <v>26.019276089786</v>
      </c>
      <c r="CE32" s="2">
        <v>25.531373603955601</v>
      </c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</row>
    <row r="33" spans="1:97">
      <c r="A33" s="2" t="s">
        <v>448</v>
      </c>
      <c r="B33" s="2">
        <v>255.23245</v>
      </c>
      <c r="C33" s="2">
        <v>13.500999999999999</v>
      </c>
      <c r="D33" s="2" t="s">
        <v>146</v>
      </c>
      <c r="E33" s="2" t="s">
        <v>449</v>
      </c>
      <c r="F33" s="2" t="s">
        <v>450</v>
      </c>
      <c r="G33" s="2">
        <v>48</v>
      </c>
      <c r="H33" s="3" t="str">
        <f>HYPERLINK("https://cloud.oebiotech.com/#/lm/network/48", "https://cloud.oebiotech.com/#/lm/network/48")</f>
        <v>https://cloud.oebiotech.com/#/lm/network/48</v>
      </c>
      <c r="I33" s="2" t="s">
        <v>451</v>
      </c>
      <c r="J33" s="2">
        <v>187</v>
      </c>
      <c r="K33" s="2" t="s">
        <v>452</v>
      </c>
      <c r="L33" s="2">
        <v>985</v>
      </c>
      <c r="M33" s="2" t="s">
        <v>453</v>
      </c>
      <c r="N33" s="2" t="s">
        <v>454</v>
      </c>
      <c r="O33" s="2" t="s">
        <v>455</v>
      </c>
      <c r="P33" s="2">
        <v>15756</v>
      </c>
      <c r="Q33" s="2" t="s">
        <v>456</v>
      </c>
      <c r="R33" s="2" t="s">
        <v>457</v>
      </c>
      <c r="S33" s="2" t="s">
        <v>458</v>
      </c>
      <c r="T33" s="2" t="s">
        <v>459</v>
      </c>
      <c r="U33" s="2" t="s">
        <v>460</v>
      </c>
      <c r="V33" s="2" t="s">
        <v>95</v>
      </c>
      <c r="W33" s="2" t="s">
        <v>96</v>
      </c>
      <c r="X33" s="2" t="s">
        <v>141</v>
      </c>
      <c r="Y33" s="2" t="s">
        <v>98</v>
      </c>
      <c r="Z33" s="2" t="s">
        <v>99</v>
      </c>
      <c r="AA33" s="2" t="s">
        <v>142</v>
      </c>
      <c r="AB33" s="2" t="s">
        <v>101</v>
      </c>
      <c r="AC33" s="2">
        <v>74.760000000000005</v>
      </c>
      <c r="AD33" s="2">
        <v>99</v>
      </c>
      <c r="AE33" s="2">
        <v>99.95</v>
      </c>
      <c r="AF33" s="2" t="s">
        <v>461</v>
      </c>
      <c r="AG33" s="2" t="s">
        <v>194</v>
      </c>
      <c r="AH33" s="2" t="s">
        <v>462</v>
      </c>
      <c r="AI33" s="2">
        <v>1.96</v>
      </c>
      <c r="AJ33" s="2">
        <v>23.4707866320969</v>
      </c>
      <c r="AK33" s="2">
        <v>22.142249369171701</v>
      </c>
      <c r="AL33" s="2">
        <v>23.468832516521399</v>
      </c>
      <c r="AM33" s="2">
        <v>23.692660419214199</v>
      </c>
      <c r="AN33" s="2">
        <v>23.203230477846802</v>
      </c>
      <c r="AO33" s="2">
        <v>23.569876296500698</v>
      </c>
      <c r="AP33" s="2">
        <v>22.991582623585899</v>
      </c>
      <c r="AQ33" s="2">
        <v>23.376586259348201</v>
      </c>
      <c r="AR33" s="2">
        <v>21.573179092836899</v>
      </c>
      <c r="AS33" s="2">
        <v>21.9856196458373</v>
      </c>
      <c r="AT33" s="2">
        <v>23.822787006354702</v>
      </c>
      <c r="AU33" s="2">
        <v>23.2370767411462</v>
      </c>
      <c r="AV33" s="2">
        <v>22.1165014872083</v>
      </c>
      <c r="AW33" s="2">
        <v>22.2115795102671</v>
      </c>
      <c r="AX33" s="2">
        <v>23.459069335164202</v>
      </c>
      <c r="AY33" s="2">
        <v>21.3878055379916</v>
      </c>
      <c r="AZ33" s="2">
        <v>21.185620768350901</v>
      </c>
      <c r="BA33" s="2">
        <v>23.7062738153883</v>
      </c>
      <c r="BB33" s="2">
        <v>22.555236410261099</v>
      </c>
      <c r="BC33" s="2">
        <v>24.367604827792601</v>
      </c>
      <c r="BD33" s="2">
        <v>20.587548634970599</v>
      </c>
      <c r="BE33" s="2">
        <v>21.873000798607599</v>
      </c>
      <c r="BF33" s="2">
        <v>22.6670103303776</v>
      </c>
      <c r="BG33" s="2">
        <v>23.3340334212355</v>
      </c>
      <c r="BH33" s="2">
        <v>21.086666013787301</v>
      </c>
      <c r="BI33" s="2">
        <v>23.705788464259399</v>
      </c>
      <c r="BJ33" s="2">
        <v>22.675641244358498</v>
      </c>
      <c r="BK33" s="2">
        <v>22.111629210373199</v>
      </c>
      <c r="BL33" s="2">
        <v>24.1410675725242</v>
      </c>
      <c r="BM33" s="2">
        <v>22.945811149133799</v>
      </c>
      <c r="BN33" s="2">
        <v>22.583023113806899</v>
      </c>
      <c r="BO33" s="2">
        <v>23.0607805462163</v>
      </c>
      <c r="BP33" s="2">
        <v>22.837152407220199</v>
      </c>
      <c r="BQ33" s="2">
        <v>22.926316946859899</v>
      </c>
      <c r="BR33" s="2">
        <v>22.538759972820099</v>
      </c>
      <c r="BS33" s="2">
        <v>21.798153960786902</v>
      </c>
      <c r="BT33" s="2">
        <v>22.6624355739885</v>
      </c>
      <c r="BU33" s="2">
        <v>23.6346417506759</v>
      </c>
      <c r="BV33" s="2">
        <v>23.426212000019198</v>
      </c>
      <c r="BW33" s="2">
        <v>22.6110518081306</v>
      </c>
      <c r="BX33" s="2">
        <v>22.501442046309698</v>
      </c>
      <c r="BY33" s="2">
        <v>21.994617374330399</v>
      </c>
      <c r="BZ33" s="2">
        <v>24.003907389120702</v>
      </c>
      <c r="CA33" s="2">
        <v>21.684814856035999</v>
      </c>
      <c r="CB33" s="2">
        <v>22.838413276882601</v>
      </c>
      <c r="CC33" s="2">
        <v>23.830760273387799</v>
      </c>
      <c r="CD33" s="2">
        <v>22.709722231834299</v>
      </c>
      <c r="CE33" s="2">
        <v>24.2911626204355</v>
      </c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</row>
    <row r="34" spans="1:97">
      <c r="A34" s="2" t="s">
        <v>463</v>
      </c>
      <c r="B34" s="2">
        <v>132.07665</v>
      </c>
      <c r="C34" s="2">
        <v>0.72699999999999998</v>
      </c>
      <c r="D34" s="2" t="s">
        <v>84</v>
      </c>
      <c r="E34" s="2" t="s">
        <v>464</v>
      </c>
      <c r="F34" s="2" t="s">
        <v>465</v>
      </c>
      <c r="G34" s="2">
        <v>46852</v>
      </c>
      <c r="H34" s="3" t="str">
        <f>HYPERLINK("https://cloud.oebiotech.com/#/lm/network/46852", "https://cloud.oebiotech.com/#/lm/network/46852")</f>
        <v>https://cloud.oebiotech.com/#/lm/network/46852</v>
      </c>
      <c r="I34" s="2" t="s">
        <v>466</v>
      </c>
      <c r="J34" s="2">
        <v>7</v>
      </c>
      <c r="K34" s="2"/>
      <c r="L34" s="2">
        <v>586</v>
      </c>
      <c r="M34" s="2" t="s">
        <v>467</v>
      </c>
      <c r="N34" s="2" t="s">
        <v>468</v>
      </c>
      <c r="O34" s="2" t="s">
        <v>469</v>
      </c>
      <c r="P34" s="2">
        <v>16919</v>
      </c>
      <c r="Q34" s="2"/>
      <c r="R34" s="2"/>
      <c r="S34" s="2" t="s">
        <v>470</v>
      </c>
      <c r="T34" s="2" t="s">
        <v>471</v>
      </c>
      <c r="U34" s="2" t="s">
        <v>472</v>
      </c>
      <c r="V34" s="2" t="s">
        <v>115</v>
      </c>
      <c r="W34" s="2" t="s">
        <v>116</v>
      </c>
      <c r="X34" s="2" t="s">
        <v>117</v>
      </c>
      <c r="Y34" s="2" t="s">
        <v>118</v>
      </c>
      <c r="Z34" s="2" t="s">
        <v>119</v>
      </c>
      <c r="AA34" s="2" t="s">
        <v>120</v>
      </c>
      <c r="AB34" s="2" t="s">
        <v>101</v>
      </c>
      <c r="AC34" s="2">
        <v>74.760000000000005</v>
      </c>
      <c r="AD34" s="2">
        <v>98.74</v>
      </c>
      <c r="AE34" s="2">
        <v>89.47</v>
      </c>
      <c r="AF34" s="2" t="s">
        <v>473</v>
      </c>
      <c r="AG34" s="2" t="s">
        <v>103</v>
      </c>
      <c r="AH34" s="2" t="s">
        <v>474</v>
      </c>
      <c r="AI34" s="2">
        <v>0.76</v>
      </c>
      <c r="AJ34" s="2">
        <v>28.134586521501198</v>
      </c>
      <c r="AK34" s="2">
        <v>28.0150558422804</v>
      </c>
      <c r="AL34" s="2">
        <v>28.0060296591313</v>
      </c>
      <c r="AM34" s="2">
        <v>28.335611982478099</v>
      </c>
      <c r="AN34" s="2">
        <v>27.9799384573396</v>
      </c>
      <c r="AO34" s="2">
        <v>28.0503859088798</v>
      </c>
      <c r="AP34" s="2">
        <v>28.251616555388502</v>
      </c>
      <c r="AQ34" s="2">
        <v>28.0217063344029</v>
      </c>
      <c r="AR34" s="2">
        <v>27.859025452012201</v>
      </c>
      <c r="AS34" s="2">
        <v>27.415487461989599</v>
      </c>
      <c r="AT34" s="2">
        <v>27.7811121551551</v>
      </c>
      <c r="AU34" s="2">
        <v>27.802374876387901</v>
      </c>
      <c r="AV34" s="2">
        <v>27.859622316698601</v>
      </c>
      <c r="AW34" s="2">
        <v>28.7162350697172</v>
      </c>
      <c r="AX34" s="2">
        <v>28.406516893370402</v>
      </c>
      <c r="AY34" s="2">
        <v>28.364818051368001</v>
      </c>
      <c r="AZ34" s="2">
        <v>27.6419159500335</v>
      </c>
      <c r="BA34" s="2">
        <v>26.238991952355999</v>
      </c>
      <c r="BB34" s="2">
        <v>27.951655906640099</v>
      </c>
      <c r="BC34" s="2">
        <v>27.611525345538599</v>
      </c>
      <c r="BD34" s="2">
        <v>28.0017878706314</v>
      </c>
      <c r="BE34" s="2">
        <v>27.674632164371602</v>
      </c>
      <c r="BF34" s="2">
        <v>26.976480392040301</v>
      </c>
      <c r="BG34" s="2">
        <v>27.977917841300702</v>
      </c>
      <c r="BH34" s="2">
        <v>29.1151044355707</v>
      </c>
      <c r="BI34" s="2">
        <v>27.885396815046299</v>
      </c>
      <c r="BJ34" s="2">
        <v>29.0089015395322</v>
      </c>
      <c r="BK34" s="2">
        <v>28.385101580676601</v>
      </c>
      <c r="BL34" s="2">
        <v>25.654426761180801</v>
      </c>
      <c r="BM34" s="2">
        <v>28.0932480025829</v>
      </c>
      <c r="BN34" s="2">
        <v>28.550923839563801</v>
      </c>
      <c r="BO34" s="2">
        <v>27.139184161697699</v>
      </c>
      <c r="BP34" s="2">
        <v>27.6664218120392</v>
      </c>
      <c r="BQ34" s="2">
        <v>26.3990545401372</v>
      </c>
      <c r="BR34" s="2">
        <v>27.858790167917899</v>
      </c>
      <c r="BS34" s="2">
        <v>28.062157653126299</v>
      </c>
      <c r="BT34" s="2">
        <v>24.6553856678497</v>
      </c>
      <c r="BU34" s="2">
        <v>26.627092002205099</v>
      </c>
      <c r="BV34" s="2">
        <v>26.537713861622901</v>
      </c>
      <c r="BW34" s="2">
        <v>28.2519820970019</v>
      </c>
      <c r="BX34" s="2">
        <v>28.1524933300363</v>
      </c>
      <c r="BY34" s="2">
        <v>28.315729980509701</v>
      </c>
      <c r="BZ34" s="2">
        <v>28.114764151511199</v>
      </c>
      <c r="CA34" s="2">
        <v>27.451492571898001</v>
      </c>
      <c r="CB34" s="2">
        <v>28.408294770224</v>
      </c>
      <c r="CC34" s="2">
        <v>27.979774280676398</v>
      </c>
      <c r="CD34" s="2">
        <v>27.846601614521798</v>
      </c>
      <c r="CE34" s="2">
        <v>28.068643355239001</v>
      </c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</row>
    <row r="35" spans="1:97">
      <c r="A35" s="2" t="s">
        <v>475</v>
      </c>
      <c r="B35" s="2">
        <v>166.12244000000001</v>
      </c>
      <c r="C35" s="2">
        <v>3.82</v>
      </c>
      <c r="D35" s="2" t="s">
        <v>84</v>
      </c>
      <c r="E35" s="2" t="s">
        <v>476</v>
      </c>
      <c r="F35" s="2" t="s">
        <v>477</v>
      </c>
      <c r="G35" s="2">
        <v>63083</v>
      </c>
      <c r="H35" s="3" t="str">
        <f>HYPERLINK("https://cloud.oebiotech.com/#/lm/network/63083", "https://cloud.oebiotech.com/#/lm/network/63083")</f>
        <v>https://cloud.oebiotech.com/#/lm/network/63083</v>
      </c>
      <c r="I35" s="2" t="s">
        <v>478</v>
      </c>
      <c r="J35" s="2">
        <v>94384</v>
      </c>
      <c r="K35" s="2"/>
      <c r="L35" s="2">
        <v>17389585</v>
      </c>
      <c r="M35" s="2"/>
      <c r="N35" s="2"/>
      <c r="O35" s="2"/>
      <c r="P35" s="2">
        <v>173456</v>
      </c>
      <c r="Q35" s="2"/>
      <c r="R35" s="2"/>
      <c r="S35" s="2" t="s">
        <v>479</v>
      </c>
      <c r="T35" s="2" t="s">
        <v>480</v>
      </c>
      <c r="U35" s="2" t="s">
        <v>481</v>
      </c>
      <c r="V35" s="2" t="s">
        <v>166</v>
      </c>
      <c r="W35" s="2" t="s">
        <v>167</v>
      </c>
      <c r="X35" s="2" t="s">
        <v>482</v>
      </c>
      <c r="Y35" s="2" t="s">
        <v>169</v>
      </c>
      <c r="Z35" s="2" t="s">
        <v>169</v>
      </c>
      <c r="AA35" s="2" t="s">
        <v>483</v>
      </c>
      <c r="AB35" s="2" t="s">
        <v>101</v>
      </c>
      <c r="AC35" s="2">
        <v>74.739999999999995</v>
      </c>
      <c r="AD35" s="2">
        <v>94.17</v>
      </c>
      <c r="AE35" s="2">
        <v>92.73</v>
      </c>
      <c r="AF35" s="2" t="s">
        <v>484</v>
      </c>
      <c r="AG35" s="2" t="s">
        <v>103</v>
      </c>
      <c r="AH35" s="2" t="s">
        <v>485</v>
      </c>
      <c r="AI35" s="2">
        <v>1.2</v>
      </c>
      <c r="AJ35" s="2">
        <v>19.623396496002201</v>
      </c>
      <c r="AK35" s="2">
        <v>19.8583524336292</v>
      </c>
      <c r="AL35" s="2">
        <v>19.9229662092593</v>
      </c>
      <c r="AM35" s="2">
        <v>19.760050431140002</v>
      </c>
      <c r="AN35" s="2">
        <v>19.857467633560301</v>
      </c>
      <c r="AO35" s="2">
        <v>19.916216216876698</v>
      </c>
      <c r="AP35" s="2">
        <v>19.546064299252102</v>
      </c>
      <c r="AQ35" s="2">
        <v>19.898777704579999</v>
      </c>
      <c r="AR35" s="2">
        <v>14.749698715139999</v>
      </c>
      <c r="AS35" s="2">
        <v>15.338891993072201</v>
      </c>
      <c r="AT35" s="2">
        <v>15.034566001469599</v>
      </c>
      <c r="AU35" s="2">
        <v>16.013075310635902</v>
      </c>
      <c r="AV35" s="2">
        <v>16.071968214343201</v>
      </c>
      <c r="AW35" s="2">
        <v>13.443964007395101</v>
      </c>
      <c r="AX35" s="2">
        <v>14.378469627125</v>
      </c>
      <c r="AY35" s="2">
        <v>14.899933696795699</v>
      </c>
      <c r="AZ35" s="2">
        <v>15.4814488040778</v>
      </c>
      <c r="BA35" s="2">
        <v>15.9705308243371</v>
      </c>
      <c r="BB35" s="2">
        <v>14.4834536727959</v>
      </c>
      <c r="BC35" s="2">
        <v>15.109587872667101</v>
      </c>
      <c r="BD35" s="2">
        <v>15.1586152103306</v>
      </c>
      <c r="BE35" s="2">
        <v>15.788373214908599</v>
      </c>
      <c r="BF35" s="2">
        <v>15.133993061597799</v>
      </c>
      <c r="BG35" s="2">
        <v>15.5960420890296</v>
      </c>
      <c r="BH35" s="2">
        <v>23.412887393005001</v>
      </c>
      <c r="BI35" s="2">
        <v>14.7074427188233</v>
      </c>
      <c r="BJ35" s="2">
        <v>15.477048315674301</v>
      </c>
      <c r="BK35" s="2">
        <v>13.210726128633</v>
      </c>
      <c r="BL35" s="2">
        <v>16.0932665191858</v>
      </c>
      <c r="BM35" s="2">
        <v>15.632181578024801</v>
      </c>
      <c r="BN35" s="2">
        <v>15.322283793708401</v>
      </c>
      <c r="BO35" s="2">
        <v>15.2323339790943</v>
      </c>
      <c r="BP35" s="2">
        <v>15.392228861771301</v>
      </c>
      <c r="BQ35" s="2">
        <v>15.5197246987381</v>
      </c>
      <c r="BR35" s="2">
        <v>14.0053508602654</v>
      </c>
      <c r="BS35" s="2">
        <v>14.8384963436666</v>
      </c>
      <c r="BT35" s="2">
        <v>25.2501066821374</v>
      </c>
      <c r="BU35" s="2">
        <v>16.6828075433456</v>
      </c>
      <c r="BV35" s="2">
        <v>13.1035615666095</v>
      </c>
      <c r="BW35" s="2">
        <v>15.2653674465812</v>
      </c>
      <c r="BX35" s="2">
        <v>16.250942334471802</v>
      </c>
      <c r="BY35" s="2">
        <v>17.2896166518765</v>
      </c>
      <c r="BZ35" s="2">
        <v>13.0822754712649</v>
      </c>
      <c r="CA35" s="2">
        <v>14.9541740407918</v>
      </c>
      <c r="CB35" s="2">
        <v>15.410603722158401</v>
      </c>
      <c r="CC35" s="2">
        <v>15.1676580523414</v>
      </c>
      <c r="CD35" s="2">
        <v>15.1175079641396</v>
      </c>
      <c r="CE35" s="2">
        <v>14.686875815441599</v>
      </c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</row>
    <row r="36" spans="1:97">
      <c r="A36" s="2" t="s">
        <v>486</v>
      </c>
      <c r="B36" s="2">
        <v>295.12848000000002</v>
      </c>
      <c r="C36" s="2">
        <v>4</v>
      </c>
      <c r="D36" s="2" t="s">
        <v>84</v>
      </c>
      <c r="E36" s="2" t="s">
        <v>487</v>
      </c>
      <c r="F36" s="2" t="s">
        <v>488</v>
      </c>
      <c r="G36" s="2">
        <v>47112</v>
      </c>
      <c r="H36" s="3" t="str">
        <f>HYPERLINK("https://cloud.oebiotech.com/#/lm/network/47112", "https://cloud.oebiotech.com/#/lm/network/47112")</f>
        <v>https://cloud.oebiotech.com/#/lm/network/47112</v>
      </c>
      <c r="I36" s="2" t="s">
        <v>489</v>
      </c>
      <c r="J36" s="2"/>
      <c r="K36" s="2"/>
      <c r="L36" s="2">
        <v>111299</v>
      </c>
      <c r="M36" s="2"/>
      <c r="N36" s="2"/>
      <c r="O36" s="2"/>
      <c r="P36" s="2">
        <v>89582</v>
      </c>
      <c r="Q36" s="2"/>
      <c r="R36" s="2"/>
      <c r="S36" s="2" t="s">
        <v>490</v>
      </c>
      <c r="T36" s="2" t="s">
        <v>491</v>
      </c>
      <c r="U36" s="2" t="s">
        <v>492</v>
      </c>
      <c r="V36" s="2" t="s">
        <v>115</v>
      </c>
      <c r="W36" s="2" t="s">
        <v>116</v>
      </c>
      <c r="X36" s="2" t="s">
        <v>117</v>
      </c>
      <c r="Y36" s="2" t="s">
        <v>118</v>
      </c>
      <c r="Z36" s="2" t="s">
        <v>119</v>
      </c>
      <c r="AA36" s="2" t="s">
        <v>120</v>
      </c>
      <c r="AB36" s="2" t="s">
        <v>101</v>
      </c>
      <c r="AC36" s="2">
        <v>74.739999999999995</v>
      </c>
      <c r="AD36" s="2">
        <v>96.97</v>
      </c>
      <c r="AE36" s="2">
        <v>87.99</v>
      </c>
      <c r="AF36" s="2" t="s">
        <v>493</v>
      </c>
      <c r="AG36" s="2" t="s">
        <v>103</v>
      </c>
      <c r="AH36" s="2" t="s">
        <v>494</v>
      </c>
      <c r="AI36" s="2">
        <v>1.02</v>
      </c>
      <c r="AJ36" s="2">
        <v>21.392424825058399</v>
      </c>
      <c r="AK36" s="2">
        <v>21.3322605257048</v>
      </c>
      <c r="AL36" s="2">
        <v>21.3498024263546</v>
      </c>
      <c r="AM36" s="2">
        <v>21.539764219222299</v>
      </c>
      <c r="AN36" s="2">
        <v>21.573446546544201</v>
      </c>
      <c r="AO36" s="2">
        <v>21.383000243958399</v>
      </c>
      <c r="AP36" s="2">
        <v>21.4078399234442</v>
      </c>
      <c r="AQ36" s="2">
        <v>21.3509565659221</v>
      </c>
      <c r="AR36" s="2">
        <v>20.838846193864601</v>
      </c>
      <c r="AS36" s="2">
        <v>20.431770917774202</v>
      </c>
      <c r="AT36" s="2">
        <v>20.609067493519099</v>
      </c>
      <c r="AU36" s="2">
        <v>21.1559647488195</v>
      </c>
      <c r="AV36" s="2">
        <v>21.372564191024001</v>
      </c>
      <c r="AW36" s="2">
        <v>21.590293845691999</v>
      </c>
      <c r="AX36" s="2">
        <v>21.112548649635499</v>
      </c>
      <c r="AY36" s="2">
        <v>21.195069365148601</v>
      </c>
      <c r="AZ36" s="2">
        <v>21.021143354522302</v>
      </c>
      <c r="BA36" s="2">
        <v>20.9309490873618</v>
      </c>
      <c r="BB36" s="2">
        <v>21.482051895000101</v>
      </c>
      <c r="BC36" s="2">
        <v>21.181123393307701</v>
      </c>
      <c r="BD36" s="2">
        <v>20.682309287860001</v>
      </c>
      <c r="BE36" s="2">
        <v>21.6993283266928</v>
      </c>
      <c r="BF36" s="2">
        <v>21.300108515984501</v>
      </c>
      <c r="BG36" s="2">
        <v>21.336682855404799</v>
      </c>
      <c r="BH36" s="2">
        <v>21.209232806399601</v>
      </c>
      <c r="BI36" s="2">
        <v>21.480648137596901</v>
      </c>
      <c r="BJ36" s="2">
        <v>21.561990890789701</v>
      </c>
      <c r="BK36" s="2">
        <v>21.1478389625901</v>
      </c>
      <c r="BL36" s="2">
        <v>20.963214613212401</v>
      </c>
      <c r="BM36" s="2">
        <v>22.0169829458282</v>
      </c>
      <c r="BN36" s="2">
        <v>21.732432960136101</v>
      </c>
      <c r="BO36" s="2">
        <v>21.129858499583801</v>
      </c>
      <c r="BP36" s="2">
        <v>21.140700226442299</v>
      </c>
      <c r="BQ36" s="2">
        <v>21.5703394827359</v>
      </c>
      <c r="BR36" s="2">
        <v>21.215357163179299</v>
      </c>
      <c r="BS36" s="2">
        <v>21.842571143427602</v>
      </c>
      <c r="BT36" s="2">
        <v>20.8694781009475</v>
      </c>
      <c r="BU36" s="2">
        <v>21.187684191559001</v>
      </c>
      <c r="BV36" s="2">
        <v>21.1495772375395</v>
      </c>
      <c r="BW36" s="2">
        <v>20.167918432665399</v>
      </c>
      <c r="BX36" s="2">
        <v>21.206049044356298</v>
      </c>
      <c r="BY36" s="2">
        <v>22.054374268356302</v>
      </c>
      <c r="BZ36" s="2">
        <v>21.324785348868801</v>
      </c>
      <c r="CA36" s="2">
        <v>21.895297103083699</v>
      </c>
      <c r="CB36" s="2">
        <v>20.659276129543901</v>
      </c>
      <c r="CC36" s="2">
        <v>20.912308567098599</v>
      </c>
      <c r="CD36" s="2">
        <v>22.007862677445502</v>
      </c>
      <c r="CE36" s="2">
        <v>21.293846306634101</v>
      </c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</row>
    <row r="37" spans="1:97">
      <c r="A37" s="2" t="s">
        <v>495</v>
      </c>
      <c r="B37" s="2">
        <v>447.34737000000001</v>
      </c>
      <c r="C37" s="2">
        <v>13.492000000000001</v>
      </c>
      <c r="D37" s="2" t="s">
        <v>146</v>
      </c>
      <c r="E37" s="2" t="s">
        <v>496</v>
      </c>
      <c r="F37" s="2" t="s">
        <v>497</v>
      </c>
      <c r="G37" s="2">
        <v>207021</v>
      </c>
      <c r="H37" s="3" t="str">
        <f>HYPERLINK("https://cloud.oebiotech.com/#/lm/network/207021", "https://cloud.oebiotech.com/#/lm/network/207021")</f>
        <v>https://cloud.oebiotech.com/#/lm/network/207021</v>
      </c>
      <c r="I37" s="2" t="s">
        <v>498</v>
      </c>
      <c r="J37" s="2"/>
      <c r="K37" s="2"/>
      <c r="L37" s="2">
        <v>620829</v>
      </c>
      <c r="M37" s="2"/>
      <c r="N37" s="2"/>
      <c r="O37" s="2"/>
      <c r="P37" s="2"/>
      <c r="Q37" s="2"/>
      <c r="R37" s="2"/>
      <c r="S37" s="2"/>
      <c r="T37" s="2" t="s">
        <v>499</v>
      </c>
      <c r="U37" s="2" t="s">
        <v>500</v>
      </c>
      <c r="V37" s="2" t="s">
        <v>95</v>
      </c>
      <c r="W37" s="2" t="s">
        <v>152</v>
      </c>
      <c r="X37" s="2" t="s">
        <v>501</v>
      </c>
      <c r="Y37" s="2" t="s">
        <v>98</v>
      </c>
      <c r="Z37" s="2" t="s">
        <v>154</v>
      </c>
      <c r="AA37" s="2" t="s">
        <v>502</v>
      </c>
      <c r="AB37" s="2" t="s">
        <v>101</v>
      </c>
      <c r="AC37" s="2">
        <v>74.73</v>
      </c>
      <c r="AD37" s="2">
        <v>95.23</v>
      </c>
      <c r="AE37" s="2">
        <v>92.72</v>
      </c>
      <c r="AF37" s="2" t="s">
        <v>503</v>
      </c>
      <c r="AG37" s="2" t="s">
        <v>157</v>
      </c>
      <c r="AH37" s="2" t="s">
        <v>504</v>
      </c>
      <c r="AI37" s="2">
        <v>1.34</v>
      </c>
      <c r="AJ37" s="2">
        <v>21.4987632835991</v>
      </c>
      <c r="AK37" s="2">
        <v>21.547022595582501</v>
      </c>
      <c r="AL37" s="2">
        <v>21.277210358005501</v>
      </c>
      <c r="AM37" s="2">
        <v>21.227606731012902</v>
      </c>
      <c r="AN37" s="2">
        <v>21.780719134456898</v>
      </c>
      <c r="AO37" s="2">
        <v>21.0656597461399</v>
      </c>
      <c r="AP37" s="2">
        <v>21.373140647634301</v>
      </c>
      <c r="AQ37" s="2">
        <v>20.9645476300132</v>
      </c>
      <c r="AR37" s="2">
        <v>19.918266318426799</v>
      </c>
      <c r="AS37" s="2">
        <v>20.430589696734501</v>
      </c>
      <c r="AT37" s="2">
        <v>21.350528745868601</v>
      </c>
      <c r="AU37" s="2">
        <v>20.8853431192382</v>
      </c>
      <c r="AV37" s="2">
        <v>20.342496402574199</v>
      </c>
      <c r="AW37" s="2">
        <v>20.123442452328099</v>
      </c>
      <c r="AX37" s="2">
        <v>20.943207776368499</v>
      </c>
      <c r="AY37" s="2">
        <v>20.915521068517702</v>
      </c>
      <c r="AZ37" s="2">
        <v>22.4809587024995</v>
      </c>
      <c r="BA37" s="2">
        <v>20.837514255791799</v>
      </c>
      <c r="BB37" s="2">
        <v>20.660588032442799</v>
      </c>
      <c r="BC37" s="2">
        <v>22.680660302604299</v>
      </c>
      <c r="BD37" s="2">
        <v>20.233831391362799</v>
      </c>
      <c r="BE37" s="2">
        <v>21.325601553443601</v>
      </c>
      <c r="BF37" s="2">
        <v>20.4015782266573</v>
      </c>
      <c r="BG37" s="2">
        <v>20.570879594659299</v>
      </c>
      <c r="BH37" s="2">
        <v>20.432330715763001</v>
      </c>
      <c r="BI37" s="2">
        <v>20.5956906271057</v>
      </c>
      <c r="BJ37" s="2">
        <v>21.155744942059499</v>
      </c>
      <c r="BK37" s="2">
        <v>18.722320926356598</v>
      </c>
      <c r="BL37" s="2">
        <v>20.8174596358927</v>
      </c>
      <c r="BM37" s="2">
        <v>21.1847662170067</v>
      </c>
      <c r="BN37" s="2">
        <v>20.235255310621099</v>
      </c>
      <c r="BO37" s="2">
        <v>20.653210500911101</v>
      </c>
      <c r="BP37" s="2">
        <v>20.239078990637701</v>
      </c>
      <c r="BQ37" s="2">
        <v>20.902321562731199</v>
      </c>
      <c r="BR37" s="2">
        <v>20.743792457313301</v>
      </c>
      <c r="BS37" s="2">
        <v>21.1931222268075</v>
      </c>
      <c r="BT37" s="2">
        <v>21.411671355784399</v>
      </c>
      <c r="BU37" s="2">
        <v>21.254484052980001</v>
      </c>
      <c r="BV37" s="2">
        <v>20.968656360120001</v>
      </c>
      <c r="BW37" s="2">
        <v>19.3618815717583</v>
      </c>
      <c r="BX37" s="2">
        <v>20.6857421049157</v>
      </c>
      <c r="BY37" s="2">
        <v>22.150798440008298</v>
      </c>
      <c r="BZ37" s="2">
        <v>20.1325437212159</v>
      </c>
      <c r="CA37" s="2">
        <v>20.105689322575099</v>
      </c>
      <c r="CB37" s="2">
        <v>20.807486133939399</v>
      </c>
      <c r="CC37" s="2">
        <v>20.281626095161801</v>
      </c>
      <c r="CD37" s="2">
        <v>21.959019390473902</v>
      </c>
      <c r="CE37" s="2">
        <v>21.092815346436002</v>
      </c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</row>
    <row r="38" spans="1:97">
      <c r="A38" s="2" t="s">
        <v>505</v>
      </c>
      <c r="B38" s="2">
        <v>271.22734000000003</v>
      </c>
      <c r="C38" s="2">
        <v>12.262</v>
      </c>
      <c r="D38" s="2" t="s">
        <v>146</v>
      </c>
      <c r="E38" s="2" t="s">
        <v>506</v>
      </c>
      <c r="F38" s="2" t="s">
        <v>507</v>
      </c>
      <c r="G38" s="2">
        <v>2276</v>
      </c>
      <c r="H38" s="3" t="str">
        <f>HYPERLINK("https://cloud.oebiotech.com/#/lm/network/2276", "https://cloud.oebiotech.com/#/lm/network/2276")</f>
        <v>https://cloud.oebiotech.com/#/lm/network/2276</v>
      </c>
      <c r="I38" s="2"/>
      <c r="J38" s="2">
        <v>96774</v>
      </c>
      <c r="K38" s="2" t="s">
        <v>508</v>
      </c>
      <c r="L38" s="2">
        <v>15389269</v>
      </c>
      <c r="M38" s="2"/>
      <c r="N38" s="2"/>
      <c r="O38" s="2"/>
      <c r="P38" s="2"/>
      <c r="Q38" s="2"/>
      <c r="R38" s="2"/>
      <c r="S38" s="2"/>
      <c r="T38" s="2" t="s">
        <v>509</v>
      </c>
      <c r="U38" s="2" t="s">
        <v>510</v>
      </c>
      <c r="V38" s="2" t="s">
        <v>95</v>
      </c>
      <c r="W38" s="2" t="s">
        <v>96</v>
      </c>
      <c r="X38" s="2" t="s">
        <v>141</v>
      </c>
      <c r="Y38" s="2" t="s">
        <v>98</v>
      </c>
      <c r="Z38" s="2" t="s">
        <v>99</v>
      </c>
      <c r="AA38" s="2" t="s">
        <v>142</v>
      </c>
      <c r="AB38" s="2" t="s">
        <v>101</v>
      </c>
      <c r="AC38" s="2">
        <v>74.709999999999994</v>
      </c>
      <c r="AD38" s="2">
        <v>97.9</v>
      </c>
      <c r="AE38" s="2">
        <v>94.28</v>
      </c>
      <c r="AF38" s="2" t="s">
        <v>511</v>
      </c>
      <c r="AG38" s="2" t="s">
        <v>194</v>
      </c>
      <c r="AH38" s="2" t="s">
        <v>512</v>
      </c>
      <c r="AI38" s="2">
        <v>2.21</v>
      </c>
      <c r="AJ38" s="2">
        <v>24.131911746018499</v>
      </c>
      <c r="AK38" s="2">
        <v>23.841049444852299</v>
      </c>
      <c r="AL38" s="2">
        <v>23.774798776111201</v>
      </c>
      <c r="AM38" s="2">
        <v>23.479332483605202</v>
      </c>
      <c r="AN38" s="2">
        <v>23.390040719416401</v>
      </c>
      <c r="AO38" s="2">
        <v>23.616577837738198</v>
      </c>
      <c r="AP38" s="2">
        <v>23.705754371760001</v>
      </c>
      <c r="AQ38" s="2">
        <v>23.1626220162563</v>
      </c>
      <c r="AR38" s="2">
        <v>23.1736378365025</v>
      </c>
      <c r="AS38" s="2">
        <v>23.123578608769002</v>
      </c>
      <c r="AT38" s="2">
        <v>24.008491168914698</v>
      </c>
      <c r="AU38" s="2">
        <v>23.156057968399899</v>
      </c>
      <c r="AV38" s="2">
        <v>23.4586506285636</v>
      </c>
      <c r="AW38" s="2">
        <v>23.255945190307099</v>
      </c>
      <c r="AX38" s="2">
        <v>23.859616439316699</v>
      </c>
      <c r="AY38" s="2">
        <v>23.7293178228933</v>
      </c>
      <c r="AZ38" s="2">
        <v>23.2319438896861</v>
      </c>
      <c r="BA38" s="2">
        <v>23.585804032348999</v>
      </c>
      <c r="BB38" s="2">
        <v>23.523598993765301</v>
      </c>
      <c r="BC38" s="2">
        <v>24.129971114420201</v>
      </c>
      <c r="BD38" s="2">
        <v>23.0273858108174</v>
      </c>
      <c r="BE38" s="2">
        <v>24.0937099180532</v>
      </c>
      <c r="BF38" s="2">
        <v>23.2142215112179</v>
      </c>
      <c r="BG38" s="2">
        <v>23.760629947760901</v>
      </c>
      <c r="BH38" s="2">
        <v>22.7858460692288</v>
      </c>
      <c r="BI38" s="2">
        <v>23.994673837303001</v>
      </c>
      <c r="BJ38" s="2">
        <v>23.849970128507302</v>
      </c>
      <c r="BK38" s="2">
        <v>23.205626703027502</v>
      </c>
      <c r="BL38" s="2">
        <v>23.714335295450901</v>
      </c>
      <c r="BM38" s="2">
        <v>23.1954282176311</v>
      </c>
      <c r="BN38" s="2">
        <v>23.621579241434301</v>
      </c>
      <c r="BO38" s="2">
        <v>23.871225506314499</v>
      </c>
      <c r="BP38" s="2">
        <v>23.904758258248901</v>
      </c>
      <c r="BQ38" s="2">
        <v>23.7089853042316</v>
      </c>
      <c r="BR38" s="2">
        <v>24.046135731840401</v>
      </c>
      <c r="BS38" s="2">
        <v>23.1657147718341</v>
      </c>
      <c r="BT38" s="2">
        <v>23.2492216341731</v>
      </c>
      <c r="BU38" s="2">
        <v>23.850500068066999</v>
      </c>
      <c r="BV38" s="2">
        <v>23.888272037135401</v>
      </c>
      <c r="BW38" s="2">
        <v>23.175091471010202</v>
      </c>
      <c r="BX38" s="2">
        <v>23.307336903824201</v>
      </c>
      <c r="BY38" s="2">
        <v>24.072542355225298</v>
      </c>
      <c r="BZ38" s="2">
        <v>23.5069024422409</v>
      </c>
      <c r="CA38" s="2">
        <v>23.415719363697001</v>
      </c>
      <c r="CB38" s="2">
        <v>23.287299909871599</v>
      </c>
      <c r="CC38" s="2">
        <v>23.595496188400599</v>
      </c>
      <c r="CD38" s="2">
        <v>23.870266465165699</v>
      </c>
      <c r="CE38" s="2">
        <v>23.6656496173871</v>
      </c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</row>
    <row r="39" spans="1:97">
      <c r="A39" s="2" t="s">
        <v>513</v>
      </c>
      <c r="B39" s="2">
        <v>520.33879999999999</v>
      </c>
      <c r="C39" s="2">
        <v>10.379</v>
      </c>
      <c r="D39" s="2" t="s">
        <v>84</v>
      </c>
      <c r="E39" s="2" t="s">
        <v>514</v>
      </c>
      <c r="F39" s="2" t="s">
        <v>515</v>
      </c>
      <c r="G39" s="2">
        <v>19838</v>
      </c>
      <c r="H39" s="3" t="str">
        <f>HYPERLINK("https://cloud.oebiotech.com/#/lm/network/19838", "https://cloud.oebiotech.com/#/lm/network/19838")</f>
        <v>https://cloud.oebiotech.com/#/lm/network/19838</v>
      </c>
      <c r="I39" s="2"/>
      <c r="J39" s="2">
        <v>40300</v>
      </c>
      <c r="K39" s="2" t="s">
        <v>516</v>
      </c>
      <c r="L39" s="2">
        <v>24779467</v>
      </c>
      <c r="M39" s="2"/>
      <c r="N39" s="2"/>
      <c r="O39" s="2"/>
      <c r="P39" s="2"/>
      <c r="Q39" s="2"/>
      <c r="R39" s="2"/>
      <c r="S39" s="2"/>
      <c r="T39" s="2" t="s">
        <v>517</v>
      </c>
      <c r="U39" s="2" t="s">
        <v>518</v>
      </c>
      <c r="V39" s="2" t="s">
        <v>95</v>
      </c>
      <c r="W39" s="2" t="s">
        <v>202</v>
      </c>
      <c r="X39" s="2" t="s">
        <v>203</v>
      </c>
      <c r="Y39" s="2" t="s">
        <v>98</v>
      </c>
      <c r="Z39" s="2" t="s">
        <v>204</v>
      </c>
      <c r="AA39" s="2" t="s">
        <v>205</v>
      </c>
      <c r="AB39" s="2" t="s">
        <v>101</v>
      </c>
      <c r="AC39" s="2">
        <v>74.66</v>
      </c>
      <c r="AD39" s="2">
        <v>99.38</v>
      </c>
      <c r="AE39" s="2">
        <v>96.31</v>
      </c>
      <c r="AF39" s="2" t="s">
        <v>519</v>
      </c>
      <c r="AG39" s="2" t="s">
        <v>103</v>
      </c>
      <c r="AH39" s="2" t="s">
        <v>520</v>
      </c>
      <c r="AI39" s="2">
        <v>1.92</v>
      </c>
      <c r="AJ39" s="2">
        <v>31.069830822612801</v>
      </c>
      <c r="AK39" s="2">
        <v>31.016458085759499</v>
      </c>
      <c r="AL39" s="2">
        <v>31.062440200428</v>
      </c>
      <c r="AM39" s="2">
        <v>31.094174396221099</v>
      </c>
      <c r="AN39" s="2">
        <v>31.102228666930401</v>
      </c>
      <c r="AO39" s="2">
        <v>31.101546107021299</v>
      </c>
      <c r="AP39" s="2">
        <v>31.104496368574999</v>
      </c>
      <c r="AQ39" s="2">
        <v>30.950428668812499</v>
      </c>
      <c r="AR39" s="2">
        <v>31.365259619125698</v>
      </c>
      <c r="AS39" s="2">
        <v>29.791017190463101</v>
      </c>
      <c r="AT39" s="2">
        <v>30.241606014613499</v>
      </c>
      <c r="AU39" s="2">
        <v>30.8474979926206</v>
      </c>
      <c r="AV39" s="2">
        <v>31.178873407278299</v>
      </c>
      <c r="AW39" s="2">
        <v>31.035226698959899</v>
      </c>
      <c r="AX39" s="2">
        <v>31.200967815269699</v>
      </c>
      <c r="AY39" s="2">
        <v>30.996800306163699</v>
      </c>
      <c r="AZ39" s="2">
        <v>30.8867724139117</v>
      </c>
      <c r="BA39" s="2">
        <v>29.9754319666384</v>
      </c>
      <c r="BB39" s="2">
        <v>30.7280011752988</v>
      </c>
      <c r="BC39" s="2">
        <v>31.287595090654499</v>
      </c>
      <c r="BD39" s="2">
        <v>30.744020491065001</v>
      </c>
      <c r="BE39" s="2">
        <v>31.480793420125998</v>
      </c>
      <c r="BF39" s="2">
        <v>31.0226080695668</v>
      </c>
      <c r="BG39" s="2">
        <v>30.998206268374101</v>
      </c>
      <c r="BH39" s="2">
        <v>31.345567030939701</v>
      </c>
      <c r="BI39" s="2">
        <v>30.961499309908501</v>
      </c>
      <c r="BJ39" s="2">
        <v>30.757012752403099</v>
      </c>
      <c r="BK39" s="2">
        <v>30.442899099089701</v>
      </c>
      <c r="BL39" s="2">
        <v>30.997053025054001</v>
      </c>
      <c r="BM39" s="2">
        <v>31.376283249547502</v>
      </c>
      <c r="BN39" s="2">
        <v>31.350809483878901</v>
      </c>
      <c r="BO39" s="2">
        <v>30.714043292426801</v>
      </c>
      <c r="BP39" s="2">
        <v>30.881464378276799</v>
      </c>
      <c r="BQ39" s="2">
        <v>30.9365954316638</v>
      </c>
      <c r="BR39" s="2">
        <v>31.3666959495648</v>
      </c>
      <c r="BS39" s="2">
        <v>31.576944548118899</v>
      </c>
      <c r="BT39" s="2">
        <v>30.876225309198599</v>
      </c>
      <c r="BU39" s="2">
        <v>30.291669270822499</v>
      </c>
      <c r="BV39" s="2">
        <v>30.715511495106501</v>
      </c>
      <c r="BW39" s="2">
        <v>30.4396558291172</v>
      </c>
      <c r="BX39" s="2">
        <v>31.299636512648</v>
      </c>
      <c r="BY39" s="2">
        <v>31.892256747680801</v>
      </c>
      <c r="BZ39" s="2">
        <v>30.8209231248855</v>
      </c>
      <c r="CA39" s="2">
        <v>31.147287535604999</v>
      </c>
      <c r="CB39" s="2">
        <v>30.998750818211299</v>
      </c>
      <c r="CC39" s="2">
        <v>30.584612649955901</v>
      </c>
      <c r="CD39" s="2">
        <v>31.236507216361399</v>
      </c>
      <c r="CE39" s="2">
        <v>29.9337043156278</v>
      </c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</row>
    <row r="40" spans="1:97">
      <c r="A40" s="2" t="s">
        <v>521</v>
      </c>
      <c r="B40" s="2">
        <v>265.11797999999999</v>
      </c>
      <c r="C40" s="2">
        <v>4.282</v>
      </c>
      <c r="D40" s="2" t="s">
        <v>84</v>
      </c>
      <c r="E40" s="2" t="s">
        <v>522</v>
      </c>
      <c r="F40" s="2" t="s">
        <v>523</v>
      </c>
      <c r="G40" s="2">
        <v>48709</v>
      </c>
      <c r="H40" s="3" t="str">
        <f>HYPERLINK("https://cloud.oebiotech.com/#/lm/network/48709", "https://cloud.oebiotech.com/#/lm/network/48709")</f>
        <v>https://cloud.oebiotech.com/#/lm/network/48709</v>
      </c>
      <c r="I40" s="2" t="s">
        <v>524</v>
      </c>
      <c r="J40" s="2">
        <v>58397</v>
      </c>
      <c r="K40" s="2"/>
      <c r="L40" s="2">
        <v>92258</v>
      </c>
      <c r="M40" s="2" t="s">
        <v>525</v>
      </c>
      <c r="N40" s="2" t="s">
        <v>526</v>
      </c>
      <c r="O40" s="2" t="s">
        <v>527</v>
      </c>
      <c r="P40" s="2">
        <v>17884</v>
      </c>
      <c r="Q40" s="2"/>
      <c r="R40" s="2"/>
      <c r="S40" s="2" t="s">
        <v>528</v>
      </c>
      <c r="T40" s="2" t="s">
        <v>529</v>
      </c>
      <c r="U40" s="2" t="s">
        <v>530</v>
      </c>
      <c r="V40" s="2" t="s">
        <v>115</v>
      </c>
      <c r="W40" s="2" t="s">
        <v>116</v>
      </c>
      <c r="X40" s="2" t="s">
        <v>117</v>
      </c>
      <c r="Y40" s="2" t="s">
        <v>118</v>
      </c>
      <c r="Z40" s="2" t="s">
        <v>119</v>
      </c>
      <c r="AA40" s="2" t="s">
        <v>120</v>
      </c>
      <c r="AB40" s="2" t="s">
        <v>101</v>
      </c>
      <c r="AC40" s="2">
        <v>74.650000000000006</v>
      </c>
      <c r="AD40" s="2">
        <v>97.66</v>
      </c>
      <c r="AE40" s="2">
        <v>97.34</v>
      </c>
      <c r="AF40" s="2" t="s">
        <v>531</v>
      </c>
      <c r="AG40" s="2" t="s">
        <v>103</v>
      </c>
      <c r="AH40" s="2" t="s">
        <v>532</v>
      </c>
      <c r="AI40" s="2">
        <v>1.1299999999999999</v>
      </c>
      <c r="AJ40" s="2">
        <v>23.3661215333501</v>
      </c>
      <c r="AK40" s="2">
        <v>23.337920152087101</v>
      </c>
      <c r="AL40" s="2">
        <v>23.420934801252201</v>
      </c>
      <c r="AM40" s="2">
        <v>23.5548914098847</v>
      </c>
      <c r="AN40" s="2">
        <v>23.393528840717</v>
      </c>
      <c r="AO40" s="2">
        <v>23.602299183260001</v>
      </c>
      <c r="AP40" s="2">
        <v>23.4093468470438</v>
      </c>
      <c r="AQ40" s="2">
        <v>23.577522337465201</v>
      </c>
      <c r="AR40" s="2">
        <v>21.921580008890899</v>
      </c>
      <c r="AS40" s="2">
        <v>20.8520468504395</v>
      </c>
      <c r="AT40" s="2">
        <v>19.990476597541001</v>
      </c>
      <c r="AU40" s="2">
        <v>21.203247901975001</v>
      </c>
      <c r="AV40" s="2">
        <v>24.4244126087087</v>
      </c>
      <c r="AW40" s="2">
        <v>23.239620185255799</v>
      </c>
      <c r="AX40" s="2">
        <v>24.253376217231001</v>
      </c>
      <c r="AY40" s="2">
        <v>22.624851395148902</v>
      </c>
      <c r="AZ40" s="2">
        <v>22.745045433412201</v>
      </c>
      <c r="BA40" s="2">
        <v>22.9906093238308</v>
      </c>
      <c r="BB40" s="2">
        <v>24.181587106242102</v>
      </c>
      <c r="BC40" s="2">
        <v>21.319136800867302</v>
      </c>
      <c r="BD40" s="2">
        <v>23.306339378525902</v>
      </c>
      <c r="BE40" s="2">
        <v>25.023769641481501</v>
      </c>
      <c r="BF40" s="2">
        <v>22.7431198377725</v>
      </c>
      <c r="BG40" s="2">
        <v>23.851656207942</v>
      </c>
      <c r="BH40" s="2">
        <v>24.177955824755099</v>
      </c>
      <c r="BI40" s="2">
        <v>24.837663554154201</v>
      </c>
      <c r="BJ40" s="2">
        <v>24.083828715319999</v>
      </c>
      <c r="BK40" s="2">
        <v>24.046472648315898</v>
      </c>
      <c r="BL40" s="2">
        <v>24.122067417492499</v>
      </c>
      <c r="BM40" s="2">
        <v>22.883713020276101</v>
      </c>
      <c r="BN40" s="2">
        <v>21.575012758904499</v>
      </c>
      <c r="BO40" s="2">
        <v>21.1167103953359</v>
      </c>
      <c r="BP40" s="2">
        <v>23.826541970421701</v>
      </c>
      <c r="BQ40" s="2">
        <v>23.2692516349383</v>
      </c>
      <c r="BR40" s="2">
        <v>22.266668327574902</v>
      </c>
      <c r="BS40" s="2">
        <v>23.657847181728499</v>
      </c>
      <c r="BT40" s="2">
        <v>24.095213845251799</v>
      </c>
      <c r="BU40" s="2">
        <v>22.243557881763401</v>
      </c>
      <c r="BV40" s="2">
        <v>22.586061993251398</v>
      </c>
      <c r="BW40" s="2">
        <v>19.7435569043969</v>
      </c>
      <c r="BX40" s="2">
        <v>23.188883054106601</v>
      </c>
      <c r="BY40" s="2">
        <v>24.901396742576001</v>
      </c>
      <c r="BZ40" s="2">
        <v>22.866366486938901</v>
      </c>
      <c r="CA40" s="2">
        <v>22.1276164670447</v>
      </c>
      <c r="CB40" s="2">
        <v>23.3389286889321</v>
      </c>
      <c r="CC40" s="2">
        <v>22.6561104667989</v>
      </c>
      <c r="CD40" s="2">
        <v>23.778416003649902</v>
      </c>
      <c r="CE40" s="2">
        <v>22.857062255518599</v>
      </c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</row>
    <row r="41" spans="1:97">
      <c r="A41" s="2" t="s">
        <v>533</v>
      </c>
      <c r="B41" s="2">
        <v>314.23205000000002</v>
      </c>
      <c r="C41" s="2">
        <v>6.8769999999999998</v>
      </c>
      <c r="D41" s="2" t="s">
        <v>84</v>
      </c>
      <c r="E41" s="2" t="s">
        <v>534</v>
      </c>
      <c r="F41" s="2" t="s">
        <v>535</v>
      </c>
      <c r="G41" s="2">
        <v>197620</v>
      </c>
      <c r="H41" s="3" t="str">
        <f>HYPERLINK("https://cloud.oebiotech.com/#/lm/network/197620", "https://cloud.oebiotech.com/#/lm/network/197620")</f>
        <v>https://cloud.oebiotech.com/#/lm/network/197620</v>
      </c>
      <c r="I41" s="2" t="s">
        <v>536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 t="s">
        <v>537</v>
      </c>
      <c r="U41" s="2" t="s">
        <v>538</v>
      </c>
      <c r="V41" s="2" t="s">
        <v>95</v>
      </c>
      <c r="W41" s="2" t="s">
        <v>96</v>
      </c>
      <c r="X41" s="2" t="s">
        <v>97</v>
      </c>
      <c r="Y41" s="2" t="s">
        <v>98</v>
      </c>
      <c r="Z41" s="2" t="s">
        <v>99</v>
      </c>
      <c r="AA41" s="2" t="s">
        <v>100</v>
      </c>
      <c r="AB41" s="2" t="s">
        <v>101</v>
      </c>
      <c r="AC41" s="2">
        <v>74.64</v>
      </c>
      <c r="AD41" s="2">
        <v>96.72</v>
      </c>
      <c r="AE41" s="2">
        <v>90.49</v>
      </c>
      <c r="AF41" s="2" t="s">
        <v>539</v>
      </c>
      <c r="AG41" s="2" t="s">
        <v>103</v>
      </c>
      <c r="AH41" s="2" t="s">
        <v>540</v>
      </c>
      <c r="AI41" s="2">
        <v>1.59</v>
      </c>
      <c r="AJ41" s="2">
        <v>22.134762870865</v>
      </c>
      <c r="AK41" s="2">
        <v>21.971274676627299</v>
      </c>
      <c r="AL41" s="2">
        <v>22.047764231981901</v>
      </c>
      <c r="AM41" s="2">
        <v>21.951435083923901</v>
      </c>
      <c r="AN41" s="2">
        <v>22.019331049280598</v>
      </c>
      <c r="AO41" s="2">
        <v>21.949699239781001</v>
      </c>
      <c r="AP41" s="2">
        <v>22.0612739949961</v>
      </c>
      <c r="AQ41" s="2">
        <v>22.101838247142702</v>
      </c>
      <c r="AR41" s="2">
        <v>20.041655301935901</v>
      </c>
      <c r="AS41" s="2">
        <v>21.229472527668001</v>
      </c>
      <c r="AT41" s="2">
        <v>21.505831451574199</v>
      </c>
      <c r="AU41" s="2">
        <v>21.1783546205207</v>
      </c>
      <c r="AV41" s="2">
        <v>20.238888005159801</v>
      </c>
      <c r="AW41" s="2">
        <v>21.486623423406201</v>
      </c>
      <c r="AX41" s="2">
        <v>21.454755682080801</v>
      </c>
      <c r="AY41" s="2">
        <v>21.955658572906199</v>
      </c>
      <c r="AZ41" s="2">
        <v>19.314940913217299</v>
      </c>
      <c r="BA41" s="2">
        <v>22.381078864365701</v>
      </c>
      <c r="BB41" s="2">
        <v>22.432317465991499</v>
      </c>
      <c r="BC41" s="2">
        <v>22.829397430551399</v>
      </c>
      <c r="BD41" s="2">
        <v>19.630667103140201</v>
      </c>
      <c r="BE41" s="2">
        <v>21.984748253145899</v>
      </c>
      <c r="BF41" s="2">
        <v>21.453300288558999</v>
      </c>
      <c r="BG41" s="2">
        <v>22.759974354818802</v>
      </c>
      <c r="BH41" s="2">
        <v>20.935556195149701</v>
      </c>
      <c r="BI41" s="2">
        <v>22.399513216239701</v>
      </c>
      <c r="BJ41" s="2">
        <v>21.391261916314999</v>
      </c>
      <c r="BK41" s="2">
        <v>19.6881744836796</v>
      </c>
      <c r="BL41" s="2">
        <v>22.5645062028768</v>
      </c>
      <c r="BM41" s="2">
        <v>21.029148597117</v>
      </c>
      <c r="BN41" s="2">
        <v>21.0840437110928</v>
      </c>
      <c r="BO41" s="2">
        <v>22.913935062898901</v>
      </c>
      <c r="BP41" s="2">
        <v>21.834797875871999</v>
      </c>
      <c r="BQ41" s="2">
        <v>22.848609800865098</v>
      </c>
      <c r="BR41" s="2">
        <v>22.326582308147898</v>
      </c>
      <c r="BS41" s="2">
        <v>21.099549515565499</v>
      </c>
      <c r="BT41" s="2">
        <v>22.756413183611802</v>
      </c>
      <c r="BU41" s="2">
        <v>22.295982974437599</v>
      </c>
      <c r="BV41" s="2">
        <v>22.389117499487899</v>
      </c>
      <c r="BW41" s="2">
        <v>21.672496267761701</v>
      </c>
      <c r="BX41" s="2">
        <v>21.650060603719801</v>
      </c>
      <c r="BY41" s="2">
        <v>20.8024363185311</v>
      </c>
      <c r="BZ41" s="2">
        <v>22.120521451822501</v>
      </c>
      <c r="CA41" s="2">
        <v>21.719545201697098</v>
      </c>
      <c r="CB41" s="2">
        <v>21.329377340280999</v>
      </c>
      <c r="CC41" s="2">
        <v>22.84455236702</v>
      </c>
      <c r="CD41" s="2">
        <v>21.3975131246874</v>
      </c>
      <c r="CE41" s="2">
        <v>22.066169863774899</v>
      </c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</row>
    <row r="42" spans="1:97">
      <c r="A42" s="2" t="s">
        <v>541</v>
      </c>
      <c r="B42" s="2">
        <v>156.07660000000001</v>
      </c>
      <c r="C42" s="2">
        <v>0.874</v>
      </c>
      <c r="D42" s="2" t="s">
        <v>84</v>
      </c>
      <c r="E42" s="2" t="s">
        <v>542</v>
      </c>
      <c r="F42" s="2" t="s">
        <v>543</v>
      </c>
      <c r="G42" s="2">
        <v>46985</v>
      </c>
      <c r="H42" s="3" t="str">
        <f>HYPERLINK("https://cloud.oebiotech.com/#/lm/network/46985", "https://cloud.oebiotech.com/#/lm/network/46985")</f>
        <v>https://cloud.oebiotech.com/#/lm/network/46985</v>
      </c>
      <c r="I42" s="2" t="s">
        <v>544</v>
      </c>
      <c r="J42" s="2">
        <v>298</v>
      </c>
      <c r="K42" s="2"/>
      <c r="L42" s="2">
        <v>736715</v>
      </c>
      <c r="M42" s="2" t="s">
        <v>545</v>
      </c>
      <c r="N42" s="2" t="s">
        <v>546</v>
      </c>
      <c r="O42" s="2" t="s">
        <v>547</v>
      </c>
      <c r="P42" s="2">
        <v>30817</v>
      </c>
      <c r="Q42" s="2" t="s">
        <v>548</v>
      </c>
      <c r="R42" s="2" t="s">
        <v>549</v>
      </c>
      <c r="S42" s="2" t="s">
        <v>550</v>
      </c>
      <c r="T42" s="2" t="s">
        <v>551</v>
      </c>
      <c r="U42" s="2" t="s">
        <v>552</v>
      </c>
      <c r="V42" s="2" t="s">
        <v>553</v>
      </c>
      <c r="W42" s="2" t="s">
        <v>554</v>
      </c>
      <c r="X42" s="2" t="s">
        <v>555</v>
      </c>
      <c r="Y42" s="2" t="s">
        <v>556</v>
      </c>
      <c r="Z42" s="2" t="s">
        <v>557</v>
      </c>
      <c r="AA42" s="2" t="s">
        <v>558</v>
      </c>
      <c r="AB42" s="2" t="s">
        <v>101</v>
      </c>
      <c r="AC42" s="2">
        <v>74.63</v>
      </c>
      <c r="AD42" s="2">
        <v>95.68</v>
      </c>
      <c r="AE42" s="2">
        <v>89.78</v>
      </c>
      <c r="AF42" s="2" t="s">
        <v>559</v>
      </c>
      <c r="AG42" s="2" t="s">
        <v>132</v>
      </c>
      <c r="AH42" s="2" t="s">
        <v>560</v>
      </c>
      <c r="AI42" s="2">
        <v>1.28</v>
      </c>
      <c r="AJ42" s="2">
        <v>23.451863633805001</v>
      </c>
      <c r="AK42" s="2">
        <v>22.790289918772899</v>
      </c>
      <c r="AL42" s="2">
        <v>23.225967581186499</v>
      </c>
      <c r="AM42" s="2">
        <v>23.273962211497501</v>
      </c>
      <c r="AN42" s="2">
        <v>23.398887303338601</v>
      </c>
      <c r="AO42" s="2">
        <v>23.249486739302</v>
      </c>
      <c r="AP42" s="2">
        <v>23.219993646052199</v>
      </c>
      <c r="AQ42" s="2">
        <v>22.931927360833001</v>
      </c>
      <c r="AR42" s="2">
        <v>22.1589223047053</v>
      </c>
      <c r="AS42" s="2">
        <v>21.597917204799501</v>
      </c>
      <c r="AT42" s="2">
        <v>23.5969424696824</v>
      </c>
      <c r="AU42" s="2">
        <v>22.278477110949002</v>
      </c>
      <c r="AV42" s="2">
        <v>22.569147278999299</v>
      </c>
      <c r="AW42" s="2">
        <v>22.358739038731098</v>
      </c>
      <c r="AX42" s="2">
        <v>22.330547466953099</v>
      </c>
      <c r="AY42" s="2">
        <v>22.447854577071201</v>
      </c>
      <c r="AZ42" s="2">
        <v>23.073786514493801</v>
      </c>
      <c r="BA42" s="2">
        <v>21.796177863596501</v>
      </c>
      <c r="BB42" s="2">
        <v>23.649582976313901</v>
      </c>
      <c r="BC42" s="2">
        <v>22.468970671225101</v>
      </c>
      <c r="BD42" s="2">
        <v>21.616734602317301</v>
      </c>
      <c r="BE42" s="2">
        <v>23.226798310579799</v>
      </c>
      <c r="BF42" s="2">
        <v>22.114118614545198</v>
      </c>
      <c r="BG42" s="2">
        <v>22.759264766597902</v>
      </c>
      <c r="BH42" s="2">
        <v>22.205861962067399</v>
      </c>
      <c r="BI42" s="2">
        <v>21.669899714599399</v>
      </c>
      <c r="BJ42" s="2">
        <v>24.027438205524</v>
      </c>
      <c r="BK42" s="2">
        <v>22.3025625041445</v>
      </c>
      <c r="BL42" s="2">
        <v>22.359040423090502</v>
      </c>
      <c r="BM42" s="2">
        <v>22.433946621839102</v>
      </c>
      <c r="BN42" s="2">
        <v>22.797881175978699</v>
      </c>
      <c r="BO42" s="2">
        <v>22.597334778123098</v>
      </c>
      <c r="BP42" s="2">
        <v>22.2352888443016</v>
      </c>
      <c r="BQ42" s="2">
        <v>22.155936516112199</v>
      </c>
      <c r="BR42" s="2">
        <v>21.201636810295199</v>
      </c>
      <c r="BS42" s="2">
        <v>22.453583945566301</v>
      </c>
      <c r="BT42" s="2">
        <v>21.6336076823101</v>
      </c>
      <c r="BU42" s="2">
        <v>22.052244727924901</v>
      </c>
      <c r="BV42" s="2">
        <v>24.214801207979399</v>
      </c>
      <c r="BW42" s="2">
        <v>20.701510088135599</v>
      </c>
      <c r="BX42" s="2">
        <v>22.221923145885398</v>
      </c>
      <c r="BY42" s="2">
        <v>23.284070755975101</v>
      </c>
      <c r="BZ42" s="2">
        <v>21.686687362914</v>
      </c>
      <c r="CA42" s="2">
        <v>23.4302203265275</v>
      </c>
      <c r="CB42" s="2">
        <v>22.8247280759328</v>
      </c>
      <c r="CC42" s="2">
        <v>26.149584216479901</v>
      </c>
      <c r="CD42" s="2">
        <v>23.527881313296199</v>
      </c>
      <c r="CE42" s="2">
        <v>23.915444562597301</v>
      </c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</row>
    <row r="43" spans="1:97">
      <c r="A43" s="2" t="s">
        <v>561</v>
      </c>
      <c r="B43" s="2">
        <v>454.29203999999999</v>
      </c>
      <c r="C43" s="2">
        <v>10.622</v>
      </c>
      <c r="D43" s="2" t="s">
        <v>84</v>
      </c>
      <c r="E43" s="2" t="s">
        <v>562</v>
      </c>
      <c r="F43" s="2" t="s">
        <v>563</v>
      </c>
      <c r="G43" s="2">
        <v>21197</v>
      </c>
      <c r="H43" s="3" t="str">
        <f>HYPERLINK("https://cloud.oebiotech.com/#/lm/network/21197", "https://cloud.oebiotech.com/#/lm/network/21197")</f>
        <v>https://cloud.oebiotech.com/#/lm/network/21197</v>
      </c>
      <c r="I43" s="2" t="s">
        <v>564</v>
      </c>
      <c r="J43" s="2">
        <v>62261</v>
      </c>
      <c r="K43" s="2" t="s">
        <v>565</v>
      </c>
      <c r="L43" s="2">
        <v>53480922</v>
      </c>
      <c r="M43" s="2"/>
      <c r="N43" s="2"/>
      <c r="O43" s="2"/>
      <c r="P43" s="2">
        <v>131743</v>
      </c>
      <c r="Q43" s="2"/>
      <c r="R43" s="2"/>
      <c r="S43" s="2"/>
      <c r="T43" s="2" t="s">
        <v>566</v>
      </c>
      <c r="U43" s="2" t="s">
        <v>567</v>
      </c>
      <c r="V43" s="2" t="s">
        <v>95</v>
      </c>
      <c r="W43" s="2" t="s">
        <v>202</v>
      </c>
      <c r="X43" s="2" t="s">
        <v>327</v>
      </c>
      <c r="Y43" s="2" t="s">
        <v>98</v>
      </c>
      <c r="Z43" s="2" t="s">
        <v>204</v>
      </c>
      <c r="AA43" s="2" t="s">
        <v>328</v>
      </c>
      <c r="AB43" s="2" t="s">
        <v>101</v>
      </c>
      <c r="AC43" s="2">
        <v>74.62</v>
      </c>
      <c r="AD43" s="2">
        <v>98.46</v>
      </c>
      <c r="AE43" s="2">
        <v>93.26</v>
      </c>
      <c r="AF43" s="2" t="s">
        <v>568</v>
      </c>
      <c r="AG43" s="2" t="s">
        <v>103</v>
      </c>
      <c r="AH43" s="2" t="s">
        <v>569</v>
      </c>
      <c r="AI43" s="2">
        <v>1.76</v>
      </c>
      <c r="AJ43" s="2">
        <v>26.0587387313116</v>
      </c>
      <c r="AK43" s="2">
        <v>26.083002998750199</v>
      </c>
      <c r="AL43" s="2">
        <v>26.1657698401592</v>
      </c>
      <c r="AM43" s="2">
        <v>26.135340197160001</v>
      </c>
      <c r="AN43" s="2">
        <v>26.1833997865957</v>
      </c>
      <c r="AO43" s="2">
        <v>26.187782395960099</v>
      </c>
      <c r="AP43" s="2">
        <v>26.196425005182299</v>
      </c>
      <c r="AQ43" s="2">
        <v>26.194173981428001</v>
      </c>
      <c r="AR43" s="2">
        <v>26.2822779510619</v>
      </c>
      <c r="AS43" s="2">
        <v>24.979242388915399</v>
      </c>
      <c r="AT43" s="2">
        <v>24.988280275537399</v>
      </c>
      <c r="AU43" s="2">
        <v>26.222586531360498</v>
      </c>
      <c r="AV43" s="2">
        <v>25.3624305480812</v>
      </c>
      <c r="AW43" s="2">
        <v>25.8723668954073</v>
      </c>
      <c r="AX43" s="2">
        <v>25.963656187211601</v>
      </c>
      <c r="AY43" s="2">
        <v>25.8912802334704</v>
      </c>
      <c r="AZ43" s="2">
        <v>26.207648591031599</v>
      </c>
      <c r="BA43" s="2">
        <v>25.283491570380701</v>
      </c>
      <c r="BB43" s="2">
        <v>25.399782471314399</v>
      </c>
      <c r="BC43" s="2">
        <v>25.908077923187101</v>
      </c>
      <c r="BD43" s="2">
        <v>25.973217041365</v>
      </c>
      <c r="BE43" s="2">
        <v>26.073588918917402</v>
      </c>
      <c r="BF43" s="2">
        <v>26.292228380542699</v>
      </c>
      <c r="BG43" s="2">
        <v>26.662999765562201</v>
      </c>
      <c r="BH43" s="2">
        <v>26.036388462152502</v>
      </c>
      <c r="BI43" s="2">
        <v>26.1164536090936</v>
      </c>
      <c r="BJ43" s="2">
        <v>25.8283613823431</v>
      </c>
      <c r="BK43" s="2">
        <v>25.8354649144642</v>
      </c>
      <c r="BL43" s="2">
        <v>25.421216451690501</v>
      </c>
      <c r="BM43" s="2">
        <v>25.9982229867523</v>
      </c>
      <c r="BN43" s="2">
        <v>25.8225691945633</v>
      </c>
      <c r="BO43" s="2">
        <v>26.362138875058498</v>
      </c>
      <c r="BP43" s="2">
        <v>25.9835401165852</v>
      </c>
      <c r="BQ43" s="2">
        <v>26.0351231928875</v>
      </c>
      <c r="BR43" s="2">
        <v>26.591465589565601</v>
      </c>
      <c r="BS43" s="2">
        <v>26.197440053987499</v>
      </c>
      <c r="BT43" s="2">
        <v>26.412700499048899</v>
      </c>
      <c r="BU43" s="2">
        <v>25.946251741989698</v>
      </c>
      <c r="BV43" s="2">
        <v>26.0174404849738</v>
      </c>
      <c r="BW43" s="2">
        <v>25.647067356308799</v>
      </c>
      <c r="BX43" s="2">
        <v>26.131247649665902</v>
      </c>
      <c r="BY43" s="2">
        <v>26.184271673881501</v>
      </c>
      <c r="BZ43" s="2">
        <v>26.270107663108298</v>
      </c>
      <c r="CA43" s="2">
        <v>26.856343563677399</v>
      </c>
      <c r="CB43" s="2">
        <v>25.361196828180901</v>
      </c>
      <c r="CC43" s="2">
        <v>25.573155079138299</v>
      </c>
      <c r="CD43" s="2">
        <v>26.238452914984201</v>
      </c>
      <c r="CE43" s="2">
        <v>25.373315391081501</v>
      </c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</row>
    <row r="44" spans="1:97">
      <c r="A44" s="2" t="s">
        <v>570</v>
      </c>
      <c r="B44" s="2">
        <v>450.32092999999998</v>
      </c>
      <c r="C44" s="2">
        <v>9.2080000000000002</v>
      </c>
      <c r="D44" s="2" t="s">
        <v>84</v>
      </c>
      <c r="E44" s="2" t="s">
        <v>571</v>
      </c>
      <c r="F44" s="2" t="s">
        <v>572</v>
      </c>
      <c r="G44" s="2">
        <v>46732</v>
      </c>
      <c r="H44" s="3" t="str">
        <f>HYPERLINK("https://cloud.oebiotech.com/#/lm/network/46732", "https://cloud.oebiotech.com/#/lm/network/46732")</f>
        <v>https://cloud.oebiotech.com/#/lm/network/46732</v>
      </c>
      <c r="I44" s="2" t="s">
        <v>573</v>
      </c>
      <c r="J44" s="2">
        <v>43193</v>
      </c>
      <c r="K44" s="2" t="s">
        <v>574</v>
      </c>
      <c r="L44" s="2">
        <v>12544</v>
      </c>
      <c r="M44" s="2" t="s">
        <v>575</v>
      </c>
      <c r="N44" s="2" t="s">
        <v>576</v>
      </c>
      <c r="O44" s="2" t="s">
        <v>577</v>
      </c>
      <c r="P44" s="2">
        <v>36274</v>
      </c>
      <c r="Q44" s="2"/>
      <c r="R44" s="2"/>
      <c r="S44" s="2" t="s">
        <v>578</v>
      </c>
      <c r="T44" s="2" t="s">
        <v>579</v>
      </c>
      <c r="U44" s="2" t="s">
        <v>580</v>
      </c>
      <c r="V44" s="2" t="s">
        <v>95</v>
      </c>
      <c r="W44" s="2" t="s">
        <v>152</v>
      </c>
      <c r="X44" s="2" t="s">
        <v>278</v>
      </c>
      <c r="Y44" s="2" t="s">
        <v>98</v>
      </c>
      <c r="Z44" s="2" t="s">
        <v>154</v>
      </c>
      <c r="AA44" s="2" t="s">
        <v>279</v>
      </c>
      <c r="AB44" s="2" t="s">
        <v>101</v>
      </c>
      <c r="AC44" s="2">
        <v>74.58</v>
      </c>
      <c r="AD44" s="2">
        <v>97.49</v>
      </c>
      <c r="AE44" s="2">
        <v>89.7</v>
      </c>
      <c r="AF44" s="2" t="s">
        <v>581</v>
      </c>
      <c r="AG44" s="2" t="s">
        <v>103</v>
      </c>
      <c r="AH44" s="2" t="s">
        <v>582</v>
      </c>
      <c r="AI44" s="2">
        <v>1.1100000000000001</v>
      </c>
      <c r="AJ44" s="2">
        <v>23.536843925703099</v>
      </c>
      <c r="AK44" s="2">
        <v>23.595928759468201</v>
      </c>
      <c r="AL44" s="2">
        <v>23.6479863487397</v>
      </c>
      <c r="AM44" s="2">
        <v>23.6584973937962</v>
      </c>
      <c r="AN44" s="2">
        <v>23.508000620038299</v>
      </c>
      <c r="AO44" s="2">
        <v>23.5979323527568</v>
      </c>
      <c r="AP44" s="2">
        <v>23.667798152256601</v>
      </c>
      <c r="AQ44" s="2">
        <v>23.613545070874501</v>
      </c>
      <c r="AR44" s="2">
        <v>24.238844447119899</v>
      </c>
      <c r="AS44" s="2">
        <v>18.628853533081301</v>
      </c>
      <c r="AT44" s="2">
        <v>22.4695469157895</v>
      </c>
      <c r="AU44" s="2">
        <v>25.529393924122601</v>
      </c>
      <c r="AV44" s="2">
        <v>23.783711042356799</v>
      </c>
      <c r="AW44" s="2">
        <v>26.493130365980001</v>
      </c>
      <c r="AX44" s="2">
        <v>20.467036422688</v>
      </c>
      <c r="AY44" s="2">
        <v>25.442725791928702</v>
      </c>
      <c r="AZ44" s="2">
        <v>22.454666244108399</v>
      </c>
      <c r="BA44" s="2">
        <v>19.266586470170701</v>
      </c>
      <c r="BB44" s="2">
        <v>23.171468272647498</v>
      </c>
      <c r="BC44" s="2">
        <v>19.548962206709</v>
      </c>
      <c r="BD44" s="2">
        <v>23.4603873216792</v>
      </c>
      <c r="BE44" s="2">
        <v>24.9359656055403</v>
      </c>
      <c r="BF44" s="2">
        <v>21.114615891376499</v>
      </c>
      <c r="BG44" s="2">
        <v>17.658730513524699</v>
      </c>
      <c r="BH44" s="2">
        <v>22.2319201660553</v>
      </c>
      <c r="BI44" s="2">
        <v>19.842073405553201</v>
      </c>
      <c r="BJ44" s="2">
        <v>23.1673147562312</v>
      </c>
      <c r="BK44" s="2">
        <v>22.2127980669203</v>
      </c>
      <c r="BL44" s="2">
        <v>20.7441070540157</v>
      </c>
      <c r="BM44" s="2">
        <v>24.901876499270902</v>
      </c>
      <c r="BN44" s="2">
        <v>23.4816030960361</v>
      </c>
      <c r="BO44" s="2">
        <v>22.401072628778401</v>
      </c>
      <c r="BP44" s="2">
        <v>21.028486847720199</v>
      </c>
      <c r="BQ44" s="2">
        <v>25.012287113627099</v>
      </c>
      <c r="BR44" s="2">
        <v>23.200666496420698</v>
      </c>
      <c r="BS44" s="2">
        <v>25.263437808546101</v>
      </c>
      <c r="BT44" s="2">
        <v>21.695131442486701</v>
      </c>
      <c r="BU44" s="2">
        <v>19.082143608570401</v>
      </c>
      <c r="BV44" s="2">
        <v>23.068328566005501</v>
      </c>
      <c r="BW44" s="2">
        <v>18.2269482679914</v>
      </c>
      <c r="BX44" s="2">
        <v>23.417096139463101</v>
      </c>
      <c r="BY44" s="2">
        <v>23.767044074514001</v>
      </c>
      <c r="BZ44" s="2">
        <v>22.3817712216267</v>
      </c>
      <c r="CA44" s="2">
        <v>20.931155870665702</v>
      </c>
      <c r="CB44" s="2">
        <v>22.9960989123452</v>
      </c>
      <c r="CC44" s="2">
        <v>21.165085977332801</v>
      </c>
      <c r="CD44" s="2">
        <v>24.328009599692699</v>
      </c>
      <c r="CE44" s="2">
        <v>20.1303944732452</v>
      </c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</row>
    <row r="45" spans="1:97">
      <c r="A45" s="2" t="s">
        <v>583</v>
      </c>
      <c r="B45" s="2">
        <v>518.32351000000006</v>
      </c>
      <c r="C45" s="2">
        <v>9.99</v>
      </c>
      <c r="D45" s="2" t="s">
        <v>84</v>
      </c>
      <c r="E45" s="2" t="s">
        <v>584</v>
      </c>
      <c r="F45" s="2" t="s">
        <v>585</v>
      </c>
      <c r="G45" s="2">
        <v>19840</v>
      </c>
      <c r="H45" s="3" t="str">
        <f>HYPERLINK("https://cloud.oebiotech.com/#/lm/network/19840", "https://cloud.oebiotech.com/#/lm/network/19840")</f>
        <v>https://cloud.oebiotech.com/#/lm/network/19840</v>
      </c>
      <c r="I45" s="2" t="s">
        <v>586</v>
      </c>
      <c r="J45" s="2">
        <v>40304</v>
      </c>
      <c r="K45" s="2" t="s">
        <v>587</v>
      </c>
      <c r="L45" s="2">
        <v>24779469</v>
      </c>
      <c r="M45" s="2"/>
      <c r="N45" s="2"/>
      <c r="O45" s="2"/>
      <c r="P45" s="2">
        <v>133456</v>
      </c>
      <c r="Q45" s="2"/>
      <c r="R45" s="2"/>
      <c r="S45" s="2"/>
      <c r="T45" s="2" t="s">
        <v>588</v>
      </c>
      <c r="U45" s="2" t="s">
        <v>589</v>
      </c>
      <c r="V45" s="2" t="s">
        <v>95</v>
      </c>
      <c r="W45" s="2" t="s">
        <v>202</v>
      </c>
      <c r="X45" s="2" t="s">
        <v>203</v>
      </c>
      <c r="Y45" s="2" t="s">
        <v>98</v>
      </c>
      <c r="Z45" s="2" t="s">
        <v>204</v>
      </c>
      <c r="AA45" s="2" t="s">
        <v>205</v>
      </c>
      <c r="AB45" s="2" t="s">
        <v>101</v>
      </c>
      <c r="AC45" s="2">
        <v>74.56</v>
      </c>
      <c r="AD45" s="2">
        <v>95.76</v>
      </c>
      <c r="AE45" s="2">
        <v>96.24</v>
      </c>
      <c r="AF45" s="2" t="s">
        <v>590</v>
      </c>
      <c r="AG45" s="2" t="s">
        <v>103</v>
      </c>
      <c r="AH45" s="2" t="s">
        <v>591</v>
      </c>
      <c r="AI45" s="2">
        <v>1.1599999999999999</v>
      </c>
      <c r="AJ45" s="2">
        <v>25.042286154523101</v>
      </c>
      <c r="AK45" s="2">
        <v>24.8132036757351</v>
      </c>
      <c r="AL45" s="2">
        <v>24.8505627472891</v>
      </c>
      <c r="AM45" s="2">
        <v>25.1848299325328</v>
      </c>
      <c r="AN45" s="2">
        <v>25.008494614024599</v>
      </c>
      <c r="AO45" s="2">
        <v>24.639457453420501</v>
      </c>
      <c r="AP45" s="2">
        <v>23.415515047871299</v>
      </c>
      <c r="AQ45" s="2">
        <v>25.084172401722899</v>
      </c>
      <c r="AR45" s="2">
        <v>25.713802284429899</v>
      </c>
      <c r="AS45" s="2">
        <v>22.784591244636999</v>
      </c>
      <c r="AT45" s="2">
        <v>23.956681956612801</v>
      </c>
      <c r="AU45" s="2">
        <v>25.201544639419701</v>
      </c>
      <c r="AV45" s="2">
        <v>25.056101022710401</v>
      </c>
      <c r="AW45" s="2">
        <v>24.988151482117399</v>
      </c>
      <c r="AX45" s="2">
        <v>25.086649420951101</v>
      </c>
      <c r="AY45" s="2">
        <v>23.504633559395799</v>
      </c>
      <c r="AZ45" s="2">
        <v>24.9836264616569</v>
      </c>
      <c r="BA45" s="2">
        <v>23.5532614613677</v>
      </c>
      <c r="BB45" s="2">
        <v>23.449355337121901</v>
      </c>
      <c r="BC45" s="2">
        <v>25.8630430333858</v>
      </c>
      <c r="BD45" s="2">
        <v>23.230067923100101</v>
      </c>
      <c r="BE45" s="2">
        <v>23.403800689472199</v>
      </c>
      <c r="BF45" s="2">
        <v>24.649633863693399</v>
      </c>
      <c r="BG45" s="2">
        <v>24.225725355964698</v>
      </c>
      <c r="BH45" s="2">
        <v>24.6310593307586</v>
      </c>
      <c r="BI45" s="2">
        <v>25.939992731415199</v>
      </c>
      <c r="BJ45" s="2">
        <v>24.178228720804</v>
      </c>
      <c r="BK45" s="2">
        <v>23.209050106083101</v>
      </c>
      <c r="BL45" s="2">
        <v>24.978771043943802</v>
      </c>
      <c r="BM45" s="2">
        <v>24.535117409315799</v>
      </c>
      <c r="BN45" s="2">
        <v>25.008217689853399</v>
      </c>
      <c r="BO45" s="2">
        <v>23.589511826421301</v>
      </c>
      <c r="BP45" s="2">
        <v>21.917770911292699</v>
      </c>
      <c r="BQ45" s="2">
        <v>24.9590618611536</v>
      </c>
      <c r="BR45" s="2">
        <v>25.029406545144202</v>
      </c>
      <c r="BS45" s="2">
        <v>26.063823833854499</v>
      </c>
      <c r="BT45" s="2">
        <v>24.553720697270901</v>
      </c>
      <c r="BU45" s="2">
        <v>23.930190637264602</v>
      </c>
      <c r="BV45" s="2">
        <v>23.636489587897</v>
      </c>
      <c r="BW45" s="2">
        <v>23.7086205966826</v>
      </c>
      <c r="BX45" s="2">
        <v>24.264431255389798</v>
      </c>
      <c r="BY45" s="2">
        <v>24.456656607421099</v>
      </c>
      <c r="BZ45" s="2">
        <v>24.848491861281101</v>
      </c>
      <c r="CA45" s="2">
        <v>24.391430176841698</v>
      </c>
      <c r="CB45" s="2">
        <v>24.3583454428713</v>
      </c>
      <c r="CC45" s="2">
        <v>24.5930169312104</v>
      </c>
      <c r="CD45" s="2">
        <v>24.752562370660002</v>
      </c>
      <c r="CE45" s="2">
        <v>23.842579694374699</v>
      </c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</row>
    <row r="46" spans="1:97">
      <c r="A46" s="2" t="s">
        <v>592</v>
      </c>
      <c r="B46" s="2">
        <v>327.23221000000001</v>
      </c>
      <c r="C46" s="2">
        <v>12.532</v>
      </c>
      <c r="D46" s="2" t="s">
        <v>146</v>
      </c>
      <c r="E46" s="2" t="s">
        <v>593</v>
      </c>
      <c r="F46" s="2" t="s">
        <v>594</v>
      </c>
      <c r="G46" s="2">
        <v>685</v>
      </c>
      <c r="H46" s="3" t="str">
        <f>HYPERLINK("https://cloud.oebiotech.com/#/lm/network/685", "https://cloud.oebiotech.com/#/lm/network/685")</f>
        <v>https://cloud.oebiotech.com/#/lm/network/685</v>
      </c>
      <c r="I46" s="2" t="s">
        <v>595</v>
      </c>
      <c r="J46" s="2">
        <v>3457</v>
      </c>
      <c r="K46" s="2" t="s">
        <v>596</v>
      </c>
      <c r="L46" s="2">
        <v>445580</v>
      </c>
      <c r="M46" s="2" t="s">
        <v>597</v>
      </c>
      <c r="N46" s="2" t="s">
        <v>598</v>
      </c>
      <c r="O46" s="2" t="s">
        <v>599</v>
      </c>
      <c r="P46" s="2">
        <v>28125</v>
      </c>
      <c r="Q46" s="2"/>
      <c r="R46" s="2"/>
      <c r="S46" s="2" t="s">
        <v>600</v>
      </c>
      <c r="T46" s="2" t="s">
        <v>601</v>
      </c>
      <c r="U46" s="2" t="s">
        <v>602</v>
      </c>
      <c r="V46" s="2" t="s">
        <v>95</v>
      </c>
      <c r="W46" s="2" t="s">
        <v>96</v>
      </c>
      <c r="X46" s="2" t="s">
        <v>141</v>
      </c>
      <c r="Y46" s="2" t="s">
        <v>98</v>
      </c>
      <c r="Z46" s="2" t="s">
        <v>99</v>
      </c>
      <c r="AA46" s="2" t="s">
        <v>142</v>
      </c>
      <c r="AB46" s="2" t="s">
        <v>101</v>
      </c>
      <c r="AC46" s="2">
        <v>74.52</v>
      </c>
      <c r="AD46" s="2">
        <v>99.2</v>
      </c>
      <c r="AE46" s="2">
        <v>94.25</v>
      </c>
      <c r="AF46" s="2" t="s">
        <v>603</v>
      </c>
      <c r="AG46" s="2" t="s">
        <v>194</v>
      </c>
      <c r="AH46" s="2" t="s">
        <v>604</v>
      </c>
      <c r="AI46" s="2">
        <v>2.14</v>
      </c>
      <c r="AJ46" s="2">
        <v>25.7851349586041</v>
      </c>
      <c r="AK46" s="2">
        <v>25.6239708896933</v>
      </c>
      <c r="AL46" s="2">
        <v>25.482664156353799</v>
      </c>
      <c r="AM46" s="2">
        <v>25.5342697379021</v>
      </c>
      <c r="AN46" s="2">
        <v>25.163896041948799</v>
      </c>
      <c r="AO46" s="2">
        <v>25.388194191685699</v>
      </c>
      <c r="AP46" s="2">
        <v>25.3692556842506</v>
      </c>
      <c r="AQ46" s="2">
        <v>25.267816891773801</v>
      </c>
      <c r="AR46" s="2">
        <v>24.093475848041301</v>
      </c>
      <c r="AS46" s="2">
        <v>24.7435424717609</v>
      </c>
      <c r="AT46" s="2">
        <v>25.819250488015498</v>
      </c>
      <c r="AU46" s="2">
        <v>24.660612786345499</v>
      </c>
      <c r="AV46" s="2">
        <v>24.6182427075458</v>
      </c>
      <c r="AW46" s="2">
        <v>24.4795738839615</v>
      </c>
      <c r="AX46" s="2">
        <v>25.848259738506901</v>
      </c>
      <c r="AY46" s="2">
        <v>24.343568508515801</v>
      </c>
      <c r="AZ46" s="2">
        <v>24.362436421558201</v>
      </c>
      <c r="BA46" s="2">
        <v>26.0448812114386</v>
      </c>
      <c r="BB46" s="2">
        <v>25.787916585387801</v>
      </c>
      <c r="BC46" s="2">
        <v>27.0363419556246</v>
      </c>
      <c r="BD46" s="2">
        <v>23.935605066500699</v>
      </c>
      <c r="BE46" s="2">
        <v>24.464279621729599</v>
      </c>
      <c r="BF46" s="2">
        <v>24.456117630195799</v>
      </c>
      <c r="BG46" s="2">
        <v>26.620117644386902</v>
      </c>
      <c r="BH46" s="2">
        <v>24.7314673973043</v>
      </c>
      <c r="BI46" s="2">
        <v>25.021615260316999</v>
      </c>
      <c r="BJ46" s="2">
        <v>25.643318457497799</v>
      </c>
      <c r="BK46" s="2">
        <v>23.389612836736799</v>
      </c>
      <c r="BL46" s="2">
        <v>25.268898484891299</v>
      </c>
      <c r="BM46" s="2">
        <v>24.423727837811899</v>
      </c>
      <c r="BN46" s="2">
        <v>23.930676628778102</v>
      </c>
      <c r="BO46" s="2">
        <v>25.791030957620698</v>
      </c>
      <c r="BP46" s="2">
        <v>24.904233550885699</v>
      </c>
      <c r="BQ46" s="2">
        <v>26.035379768510399</v>
      </c>
      <c r="BR46" s="2">
        <v>25.5134676732232</v>
      </c>
      <c r="BS46" s="2">
        <v>23.835535507824599</v>
      </c>
      <c r="BT46" s="2">
        <v>26.107855755114599</v>
      </c>
      <c r="BU46" s="2">
        <v>26.0027599352645</v>
      </c>
      <c r="BV46" s="2">
        <v>26.2826325224679</v>
      </c>
      <c r="BW46" s="2">
        <v>24.268765167603</v>
      </c>
      <c r="BX46" s="2">
        <v>24.171156439440001</v>
      </c>
      <c r="BY46" s="2">
        <v>24.601991120729998</v>
      </c>
      <c r="BZ46" s="2">
        <v>25.0835943531631</v>
      </c>
      <c r="CA46" s="2">
        <v>24.989594989970499</v>
      </c>
      <c r="CB46" s="2">
        <v>26.2528492345355</v>
      </c>
      <c r="CC46" s="2">
        <v>25.429383688002002</v>
      </c>
      <c r="CD46" s="2">
        <v>25.589435809683899</v>
      </c>
      <c r="CE46" s="2">
        <v>26.318638141215001</v>
      </c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</row>
    <row r="47" spans="1:97">
      <c r="A47" s="2" t="s">
        <v>605</v>
      </c>
      <c r="B47" s="2">
        <v>187.00651999999999</v>
      </c>
      <c r="C47" s="2">
        <v>4.8120000000000003</v>
      </c>
      <c r="D47" s="2" t="s">
        <v>146</v>
      </c>
      <c r="E47" s="2" t="s">
        <v>606</v>
      </c>
      <c r="F47" s="2" t="s">
        <v>607</v>
      </c>
      <c r="G47" s="2">
        <v>51429</v>
      </c>
      <c r="H47" s="3" t="str">
        <f>HYPERLINK("https://cloud.oebiotech.com/#/lm/network/51429", "https://cloud.oebiotech.com/#/lm/network/51429")</f>
        <v>https://cloud.oebiotech.com/#/lm/network/51429</v>
      </c>
      <c r="I47" s="2" t="s">
        <v>608</v>
      </c>
      <c r="J47" s="2">
        <v>62391</v>
      </c>
      <c r="K47" s="2"/>
      <c r="L47" s="2">
        <v>4615423</v>
      </c>
      <c r="M47" s="2" t="s">
        <v>609</v>
      </c>
      <c r="N47" s="2"/>
      <c r="O47" s="2"/>
      <c r="P47" s="2">
        <v>82914</v>
      </c>
      <c r="Q47" s="2"/>
      <c r="R47" s="2"/>
      <c r="S47" s="2" t="s">
        <v>610</v>
      </c>
      <c r="T47" s="2" t="s">
        <v>611</v>
      </c>
      <c r="U47" s="2" t="s">
        <v>612</v>
      </c>
      <c r="V47" s="2" t="s">
        <v>115</v>
      </c>
      <c r="W47" s="2" t="s">
        <v>613</v>
      </c>
      <c r="X47" s="2" t="s">
        <v>614</v>
      </c>
      <c r="Y47" s="2" t="s">
        <v>118</v>
      </c>
      <c r="Z47" s="2" t="s">
        <v>615</v>
      </c>
      <c r="AA47" s="2" t="s">
        <v>616</v>
      </c>
      <c r="AB47" s="2" t="s">
        <v>101</v>
      </c>
      <c r="AC47" s="2">
        <v>74.5</v>
      </c>
      <c r="AD47" s="2">
        <v>92.94</v>
      </c>
      <c r="AE47" s="2">
        <v>98.17</v>
      </c>
      <c r="AF47" s="2" t="s">
        <v>617</v>
      </c>
      <c r="AG47" s="2" t="s">
        <v>194</v>
      </c>
      <c r="AH47" s="2" t="s">
        <v>618</v>
      </c>
      <c r="AI47" s="2">
        <v>2.67</v>
      </c>
      <c r="AJ47" s="2">
        <v>28.0408078980184</v>
      </c>
      <c r="AK47" s="2">
        <v>28.155397762638898</v>
      </c>
      <c r="AL47" s="2">
        <v>28.346561729295999</v>
      </c>
      <c r="AM47" s="2">
        <v>28.303103210268301</v>
      </c>
      <c r="AN47" s="2">
        <v>28.258091420019301</v>
      </c>
      <c r="AO47" s="2">
        <v>28.0616864342167</v>
      </c>
      <c r="AP47" s="2">
        <v>28.040734162506698</v>
      </c>
      <c r="AQ47" s="2">
        <v>28.153495124917999</v>
      </c>
      <c r="AR47" s="2">
        <v>26.607224985401</v>
      </c>
      <c r="AS47" s="2">
        <v>25.204556893428201</v>
      </c>
      <c r="AT47" s="2">
        <v>23.660577156780601</v>
      </c>
      <c r="AU47" s="2">
        <v>26.2381579087563</v>
      </c>
      <c r="AV47" s="2">
        <v>29.5959473929992</v>
      </c>
      <c r="AW47" s="2">
        <v>27.998623494471801</v>
      </c>
      <c r="AX47" s="2">
        <v>27.4164469347382</v>
      </c>
      <c r="AY47" s="2">
        <v>26.4788005859129</v>
      </c>
      <c r="AZ47" s="2">
        <v>27.349871732504599</v>
      </c>
      <c r="BA47" s="2">
        <v>26.363353960970201</v>
      </c>
      <c r="BB47" s="2">
        <v>26.213559651603202</v>
      </c>
      <c r="BC47" s="2">
        <v>24.702061869611502</v>
      </c>
      <c r="BD47" s="2">
        <v>27.522521354338899</v>
      </c>
      <c r="BE47" s="2">
        <v>30.7000367606372</v>
      </c>
      <c r="BF47" s="2">
        <v>27.663821382297801</v>
      </c>
      <c r="BG47" s="2">
        <v>26.780493162334398</v>
      </c>
      <c r="BH47" s="2">
        <v>28.944523462611102</v>
      </c>
      <c r="BI47" s="2">
        <v>29.105842894305699</v>
      </c>
      <c r="BJ47" s="2">
        <v>29.222155142322102</v>
      </c>
      <c r="BK47" s="2">
        <v>25.758234958750599</v>
      </c>
      <c r="BL47" s="2">
        <v>27.89084361978</v>
      </c>
      <c r="BM47" s="2">
        <v>24.5620139694953</v>
      </c>
      <c r="BN47" s="2">
        <v>26.348573032312299</v>
      </c>
      <c r="BO47" s="2">
        <v>24.509162005062599</v>
      </c>
      <c r="BP47" s="2">
        <v>29.0497941218207</v>
      </c>
      <c r="BQ47" s="2">
        <v>27.9620380487695</v>
      </c>
      <c r="BR47" s="2">
        <v>27.6456595545339</v>
      </c>
      <c r="BS47" s="2">
        <v>27.380126157166298</v>
      </c>
      <c r="BT47" s="2">
        <v>27.974891155360201</v>
      </c>
      <c r="BU47" s="2">
        <v>26.6995057582015</v>
      </c>
      <c r="BV47" s="2">
        <v>26.313936910304701</v>
      </c>
      <c r="BW47" s="2">
        <v>24.148236462657799</v>
      </c>
      <c r="BX47" s="2">
        <v>27.659084969146502</v>
      </c>
      <c r="BY47" s="2">
        <v>30.414674673518899</v>
      </c>
      <c r="BZ47" s="2">
        <v>25.917452319405999</v>
      </c>
      <c r="CA47" s="2">
        <v>25.512587041657799</v>
      </c>
      <c r="CB47" s="2">
        <v>28.1515060848714</v>
      </c>
      <c r="CC47" s="2">
        <v>26.1679850841088</v>
      </c>
      <c r="CD47" s="2">
        <v>28.7626877798286</v>
      </c>
      <c r="CE47" s="2">
        <v>23.6589333867615</v>
      </c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</row>
    <row r="48" spans="1:97">
      <c r="A48" s="2" t="s">
        <v>619</v>
      </c>
      <c r="B48" s="2">
        <v>212.00183999999999</v>
      </c>
      <c r="C48" s="2">
        <v>4.2510000000000003</v>
      </c>
      <c r="D48" s="2" t="s">
        <v>146</v>
      </c>
      <c r="E48" s="2" t="s">
        <v>620</v>
      </c>
      <c r="F48" s="2" t="s">
        <v>621</v>
      </c>
      <c r="G48" s="2">
        <v>47156</v>
      </c>
      <c r="H48" s="3" t="str">
        <f>HYPERLINK("https://cloud.oebiotech.com/#/lm/network/47156", "https://cloud.oebiotech.com/#/lm/network/47156")</f>
        <v>https://cloud.oebiotech.com/#/lm/network/47156</v>
      </c>
      <c r="I48" s="2" t="s">
        <v>622</v>
      </c>
      <c r="J48" s="2">
        <v>253</v>
      </c>
      <c r="K48" s="2"/>
      <c r="L48" s="2">
        <v>10258</v>
      </c>
      <c r="M48" s="2"/>
      <c r="N48" s="2"/>
      <c r="O48" s="2"/>
      <c r="P48" s="2">
        <v>43355</v>
      </c>
      <c r="Q48" s="2"/>
      <c r="R48" s="2"/>
      <c r="S48" s="2" t="s">
        <v>623</v>
      </c>
      <c r="T48" s="2" t="s">
        <v>624</v>
      </c>
      <c r="U48" s="2" t="s">
        <v>625</v>
      </c>
      <c r="V48" s="2" t="s">
        <v>115</v>
      </c>
      <c r="W48" s="2" t="s">
        <v>613</v>
      </c>
      <c r="X48" s="2" t="s">
        <v>614</v>
      </c>
      <c r="Y48" s="2" t="s">
        <v>118</v>
      </c>
      <c r="Z48" s="2" t="s">
        <v>615</v>
      </c>
      <c r="AA48" s="2" t="s">
        <v>616</v>
      </c>
      <c r="AB48" s="2" t="s">
        <v>101</v>
      </c>
      <c r="AC48" s="2">
        <v>74.489999999999995</v>
      </c>
      <c r="AD48" s="2">
        <v>97.72</v>
      </c>
      <c r="AE48" s="2">
        <v>94.63</v>
      </c>
      <c r="AF48" s="2" t="s">
        <v>626</v>
      </c>
      <c r="AG48" s="2" t="s">
        <v>194</v>
      </c>
      <c r="AH48" s="2" t="s">
        <v>627</v>
      </c>
      <c r="AI48" s="2">
        <v>2.36</v>
      </c>
      <c r="AJ48" s="2">
        <v>25.600507837036201</v>
      </c>
      <c r="AK48" s="2">
        <v>25.689327341151198</v>
      </c>
      <c r="AL48" s="2">
        <v>25.674969943826</v>
      </c>
      <c r="AM48" s="2">
        <v>25.650364546236201</v>
      </c>
      <c r="AN48" s="2">
        <v>25.635734171344701</v>
      </c>
      <c r="AO48" s="2">
        <v>25.5550172087178</v>
      </c>
      <c r="AP48" s="2">
        <v>25.672573233805402</v>
      </c>
      <c r="AQ48" s="2">
        <v>25.679727648449699</v>
      </c>
      <c r="AR48" s="2">
        <v>23.3267569614978</v>
      </c>
      <c r="AS48" s="2">
        <v>23.879205978522201</v>
      </c>
      <c r="AT48" s="2">
        <v>24.4577501171931</v>
      </c>
      <c r="AU48" s="2">
        <v>25.518129455614201</v>
      </c>
      <c r="AV48" s="2">
        <v>25.651836519428699</v>
      </c>
      <c r="AW48" s="2">
        <v>24.863756897611001</v>
      </c>
      <c r="AX48" s="2">
        <v>25.560971217636201</v>
      </c>
      <c r="AY48" s="2">
        <v>25.2619513707794</v>
      </c>
      <c r="AZ48" s="2">
        <v>25.036369512244299</v>
      </c>
      <c r="BA48" s="2">
        <v>24.477027082306499</v>
      </c>
      <c r="BB48" s="2">
        <v>25.6239851904385</v>
      </c>
      <c r="BC48" s="2">
        <v>24.083486404998101</v>
      </c>
      <c r="BD48" s="2">
        <v>25.609155194198799</v>
      </c>
      <c r="BE48" s="2">
        <v>27.6237229717707</v>
      </c>
      <c r="BF48" s="2">
        <v>24.505862335514198</v>
      </c>
      <c r="BG48" s="2">
        <v>25.9548107048448</v>
      </c>
      <c r="BH48" s="2">
        <v>25.388143393817899</v>
      </c>
      <c r="BI48" s="2">
        <v>27.8156948237934</v>
      </c>
      <c r="BJ48" s="2">
        <v>25.466664766871499</v>
      </c>
      <c r="BK48" s="2">
        <v>25.7136975611478</v>
      </c>
      <c r="BL48" s="2">
        <v>25.284717829489399</v>
      </c>
      <c r="BM48" s="2">
        <v>25.592993898497699</v>
      </c>
      <c r="BN48" s="2">
        <v>25.273793851625001</v>
      </c>
      <c r="BO48" s="2">
        <v>25.085506831875001</v>
      </c>
      <c r="BP48" s="2">
        <v>26.193765433029299</v>
      </c>
      <c r="BQ48" s="2">
        <v>25.3317642803637</v>
      </c>
      <c r="BR48" s="2">
        <v>25.1878868692556</v>
      </c>
      <c r="BS48" s="2">
        <v>25.149355457876901</v>
      </c>
      <c r="BT48" s="2">
        <v>25.481707945656002</v>
      </c>
      <c r="BU48" s="2">
        <v>24.2587126184456</v>
      </c>
      <c r="BV48" s="2">
        <v>24.339936169309802</v>
      </c>
      <c r="BW48" s="2">
        <v>22.420138943084002</v>
      </c>
      <c r="BX48" s="2">
        <v>24.991164296266799</v>
      </c>
      <c r="BY48" s="2">
        <v>28.056502391615599</v>
      </c>
      <c r="BZ48" s="2">
        <v>24.312845335460299</v>
      </c>
      <c r="CA48" s="2">
        <v>24.277757072532101</v>
      </c>
      <c r="CB48" s="2">
        <v>24.7413244776887</v>
      </c>
      <c r="CC48" s="2">
        <v>25.436338055284899</v>
      </c>
      <c r="CD48" s="2">
        <v>25.369668145048799</v>
      </c>
      <c r="CE48" s="2">
        <v>23.1717599193125</v>
      </c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</row>
    <row r="49" spans="1:97">
      <c r="A49" s="2" t="s">
        <v>628</v>
      </c>
      <c r="B49" s="2">
        <v>247.09294</v>
      </c>
      <c r="C49" s="2">
        <v>0.79500000000000004</v>
      </c>
      <c r="D49" s="2" t="s">
        <v>146</v>
      </c>
      <c r="E49" s="2" t="s">
        <v>629</v>
      </c>
      <c r="F49" s="2" t="s">
        <v>630</v>
      </c>
      <c r="G49" s="2">
        <v>53861</v>
      </c>
      <c r="H49" s="3" t="str">
        <f>HYPERLINK("https://cloud.oebiotech.com/#/lm/network/53861", "https://cloud.oebiotech.com/#/lm/network/53861")</f>
        <v>https://cloud.oebiotech.com/#/lm/network/53861</v>
      </c>
      <c r="I49" s="2" t="s">
        <v>631</v>
      </c>
      <c r="J49" s="2">
        <v>23793</v>
      </c>
      <c r="K49" s="2"/>
      <c r="L49" s="2">
        <v>6998031</v>
      </c>
      <c r="M49" s="2"/>
      <c r="N49" s="2"/>
      <c r="O49" s="2"/>
      <c r="P49" s="2">
        <v>73510</v>
      </c>
      <c r="Q49" s="2"/>
      <c r="R49" s="2"/>
      <c r="S49" s="2" t="s">
        <v>632</v>
      </c>
      <c r="T49" s="2" t="s">
        <v>633</v>
      </c>
      <c r="U49" s="2" t="s">
        <v>634</v>
      </c>
      <c r="V49" s="2" t="s">
        <v>115</v>
      </c>
      <c r="W49" s="2" t="s">
        <v>116</v>
      </c>
      <c r="X49" s="2" t="s">
        <v>117</v>
      </c>
      <c r="Y49" s="2" t="s">
        <v>118</v>
      </c>
      <c r="Z49" s="2" t="s">
        <v>119</v>
      </c>
      <c r="AA49" s="2" t="s">
        <v>120</v>
      </c>
      <c r="AB49" s="2" t="s">
        <v>101</v>
      </c>
      <c r="AC49" s="2">
        <v>74.48</v>
      </c>
      <c r="AD49" s="2">
        <v>97.17</v>
      </c>
      <c r="AE49" s="2">
        <v>98.78</v>
      </c>
      <c r="AF49" s="2" t="s">
        <v>635</v>
      </c>
      <c r="AG49" s="2" t="s">
        <v>194</v>
      </c>
      <c r="AH49" s="2" t="s">
        <v>636</v>
      </c>
      <c r="AI49" s="2">
        <v>2.83</v>
      </c>
      <c r="AJ49" s="2">
        <v>23.707795104397398</v>
      </c>
      <c r="AK49" s="2">
        <v>23.550408866585901</v>
      </c>
      <c r="AL49" s="2">
        <v>23.6578703203798</v>
      </c>
      <c r="AM49" s="2">
        <v>23.363835899429901</v>
      </c>
      <c r="AN49" s="2">
        <v>23.094255773203699</v>
      </c>
      <c r="AO49" s="2">
        <v>23.6938051108583</v>
      </c>
      <c r="AP49" s="2">
        <v>23.621225648294001</v>
      </c>
      <c r="AQ49" s="2">
        <v>22.4198898862989</v>
      </c>
      <c r="AR49" s="2">
        <v>23.672842498886499</v>
      </c>
      <c r="AS49" s="2">
        <v>23.8001464341211</v>
      </c>
      <c r="AT49" s="2">
        <v>23.7046610297248</v>
      </c>
      <c r="AU49" s="2">
        <v>24.1636627752106</v>
      </c>
      <c r="AV49" s="2">
        <v>23.471259886681899</v>
      </c>
      <c r="AW49" s="2">
        <v>23.693989767744899</v>
      </c>
      <c r="AX49" s="2">
        <v>23.472022641768501</v>
      </c>
      <c r="AY49" s="2">
        <v>23.372153323527201</v>
      </c>
      <c r="AZ49" s="2">
        <v>23.6134685721244</v>
      </c>
      <c r="BA49" s="2">
        <v>24.180321579133299</v>
      </c>
      <c r="BB49" s="2">
        <v>23.935449201295999</v>
      </c>
      <c r="BC49" s="2">
        <v>24.398755898282602</v>
      </c>
      <c r="BD49" s="2">
        <v>23.902055286222701</v>
      </c>
      <c r="BE49" s="2">
        <v>23.163893246462401</v>
      </c>
      <c r="BF49" s="2">
        <v>23.772544629653598</v>
      </c>
      <c r="BG49" s="2">
        <v>23.324776258659899</v>
      </c>
      <c r="BH49" s="2">
        <v>23.785824753076898</v>
      </c>
      <c r="BI49" s="2">
        <v>23.597202688470102</v>
      </c>
      <c r="BJ49" s="2">
        <v>23.4840547643912</v>
      </c>
      <c r="BK49" s="2">
        <v>23.8619879898547</v>
      </c>
      <c r="BL49" s="2">
        <v>23.861957264232501</v>
      </c>
      <c r="BM49" s="2">
        <v>24.4139687027489</v>
      </c>
      <c r="BN49" s="2">
        <v>23.4266717487066</v>
      </c>
      <c r="BO49" s="2">
        <v>23.106829058797299</v>
      </c>
      <c r="BP49" s="2">
        <v>22.848616759367101</v>
      </c>
      <c r="BQ49" s="2">
        <v>23.8661723753792</v>
      </c>
      <c r="BR49" s="2">
        <v>23.534136192741698</v>
      </c>
      <c r="BS49" s="2">
        <v>23.1258974196911</v>
      </c>
      <c r="BT49" s="2">
        <v>23.470216934754099</v>
      </c>
      <c r="BU49" s="2">
        <v>23.602191811751599</v>
      </c>
      <c r="BV49" s="2">
        <v>23.6403774365373</v>
      </c>
      <c r="BW49" s="2">
        <v>24.215020584236999</v>
      </c>
      <c r="BX49" s="2">
        <v>24.072760798104198</v>
      </c>
      <c r="BY49" s="2">
        <v>23.124439239405501</v>
      </c>
      <c r="BZ49" s="2">
        <v>23.993627166261799</v>
      </c>
      <c r="CA49" s="2">
        <v>23.225849219656698</v>
      </c>
      <c r="CB49" s="2">
        <v>23.485156077733201</v>
      </c>
      <c r="CC49" s="2">
        <v>23.317256524175502</v>
      </c>
      <c r="CD49" s="2">
        <v>22.799968550752801</v>
      </c>
      <c r="CE49" s="2">
        <v>23.288147134431998</v>
      </c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</row>
    <row r="50" spans="1:97">
      <c r="A50" s="2" t="s">
        <v>637</v>
      </c>
      <c r="B50" s="2">
        <v>494.32321999999999</v>
      </c>
      <c r="C50" s="2">
        <v>10.093999999999999</v>
      </c>
      <c r="D50" s="2" t="s">
        <v>84</v>
      </c>
      <c r="E50" s="2" t="s">
        <v>638</v>
      </c>
      <c r="F50" s="2" t="s">
        <v>639</v>
      </c>
      <c r="G50" s="2">
        <v>200724</v>
      </c>
      <c r="H50" s="3" t="str">
        <f>HYPERLINK("https://cloud.oebiotech.com/#/lm/network/200724", "https://cloud.oebiotech.com/#/lm/network/200724")</f>
        <v>https://cloud.oebiotech.com/#/lm/network/200724</v>
      </c>
      <c r="I50" s="2" t="s">
        <v>640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 t="s">
        <v>641</v>
      </c>
      <c r="U50" s="2" t="s">
        <v>642</v>
      </c>
      <c r="V50" s="2" t="s">
        <v>95</v>
      </c>
      <c r="W50" s="2" t="s">
        <v>202</v>
      </c>
      <c r="X50" s="2" t="s">
        <v>203</v>
      </c>
      <c r="Y50" s="2" t="s">
        <v>98</v>
      </c>
      <c r="Z50" s="2" t="s">
        <v>204</v>
      </c>
      <c r="AA50" s="2" t="s">
        <v>205</v>
      </c>
      <c r="AB50" s="2" t="s">
        <v>101</v>
      </c>
      <c r="AC50" s="2">
        <v>74.48</v>
      </c>
      <c r="AD50" s="2">
        <v>98.96</v>
      </c>
      <c r="AE50" s="2">
        <v>95.49</v>
      </c>
      <c r="AF50" s="2" t="s">
        <v>643</v>
      </c>
      <c r="AG50" s="2" t="s">
        <v>103</v>
      </c>
      <c r="AH50" s="2" t="s">
        <v>644</v>
      </c>
      <c r="AI50" s="2">
        <v>1.82</v>
      </c>
      <c r="AJ50" s="2">
        <v>27.1214242035207</v>
      </c>
      <c r="AK50" s="2">
        <v>26.993722157776901</v>
      </c>
      <c r="AL50" s="2">
        <v>27.133127971688999</v>
      </c>
      <c r="AM50" s="2">
        <v>27.0717223790402</v>
      </c>
      <c r="AN50" s="2">
        <v>27.160419644882499</v>
      </c>
      <c r="AO50" s="2">
        <v>27.2562401524089</v>
      </c>
      <c r="AP50" s="2">
        <v>27.381783435639601</v>
      </c>
      <c r="AQ50" s="2">
        <v>27.396180662827799</v>
      </c>
      <c r="AR50" s="2">
        <v>27.247347747816299</v>
      </c>
      <c r="AS50" s="2">
        <v>25.649473332726199</v>
      </c>
      <c r="AT50" s="2">
        <v>26.9840445040163</v>
      </c>
      <c r="AU50" s="2">
        <v>26.763378332170898</v>
      </c>
      <c r="AV50" s="2">
        <v>26.711195938844501</v>
      </c>
      <c r="AW50" s="2">
        <v>27.346978402938198</v>
      </c>
      <c r="AX50" s="2">
        <v>26.937258079087101</v>
      </c>
      <c r="AY50" s="2">
        <v>26.551062655432499</v>
      </c>
      <c r="AZ50" s="2">
        <v>27.119379514342501</v>
      </c>
      <c r="BA50" s="2">
        <v>26.184713422664402</v>
      </c>
      <c r="BB50" s="2">
        <v>27.1577532539518</v>
      </c>
      <c r="BC50" s="2">
        <v>27.560780719359801</v>
      </c>
      <c r="BD50" s="2">
        <v>26.986528877326499</v>
      </c>
      <c r="BE50" s="2">
        <v>26.991466614219402</v>
      </c>
      <c r="BF50" s="2">
        <v>27.106445003665499</v>
      </c>
      <c r="BG50" s="2">
        <v>27.828957921087198</v>
      </c>
      <c r="BH50" s="2">
        <v>26.482392743872001</v>
      </c>
      <c r="BI50" s="2">
        <v>28.405467564680201</v>
      </c>
      <c r="BJ50" s="2">
        <v>26.6553569154682</v>
      </c>
      <c r="BK50" s="2">
        <v>26.663946938389799</v>
      </c>
      <c r="BL50" s="2">
        <v>26.920899827866599</v>
      </c>
      <c r="BM50" s="2">
        <v>26.6020385617479</v>
      </c>
      <c r="BN50" s="2">
        <v>26.6490481366898</v>
      </c>
      <c r="BO50" s="2">
        <v>27.482984495742699</v>
      </c>
      <c r="BP50" s="2">
        <v>26.9786491719012</v>
      </c>
      <c r="BQ50" s="2">
        <v>27.242181874806899</v>
      </c>
      <c r="BR50" s="2">
        <v>27.756062211873601</v>
      </c>
      <c r="BS50" s="2">
        <v>27.2868927759535</v>
      </c>
      <c r="BT50" s="2">
        <v>27.093139170821502</v>
      </c>
      <c r="BU50" s="2">
        <v>27.198909523551801</v>
      </c>
      <c r="BV50" s="2">
        <v>27.190670069539799</v>
      </c>
      <c r="BW50" s="2">
        <v>24.768928535810101</v>
      </c>
      <c r="BX50" s="2">
        <v>26.7986101398857</v>
      </c>
      <c r="BY50" s="2">
        <v>27.482452414997699</v>
      </c>
      <c r="BZ50" s="2">
        <v>26.937042014178299</v>
      </c>
      <c r="CA50" s="2">
        <v>27.386578383097099</v>
      </c>
      <c r="CB50" s="2">
        <v>27.458215849036801</v>
      </c>
      <c r="CC50" s="2">
        <v>27.1597590657917</v>
      </c>
      <c r="CD50" s="2">
        <v>27.2069446365023</v>
      </c>
      <c r="CE50" s="2">
        <v>26.812594446601501</v>
      </c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</row>
    <row r="51" spans="1:97">
      <c r="A51" s="2" t="s">
        <v>645</v>
      </c>
      <c r="B51" s="2">
        <v>522.35450000000003</v>
      </c>
      <c r="C51" s="2">
        <v>10.891999999999999</v>
      </c>
      <c r="D51" s="2" t="s">
        <v>84</v>
      </c>
      <c r="E51" s="2" t="s">
        <v>646</v>
      </c>
      <c r="F51" s="2" t="s">
        <v>647</v>
      </c>
      <c r="G51" s="2">
        <v>19861</v>
      </c>
      <c r="H51" s="3" t="str">
        <f>HYPERLINK("https://cloud.oebiotech.com/#/lm/network/19861", "https://cloud.oebiotech.com/#/lm/network/19861")</f>
        <v>https://cloud.oebiotech.com/#/lm/network/19861</v>
      </c>
      <c r="I51" s="2"/>
      <c r="J51" s="2">
        <v>40345</v>
      </c>
      <c r="K51" s="2" t="s">
        <v>648</v>
      </c>
      <c r="L51" s="2">
        <v>24779492</v>
      </c>
      <c r="M51" s="2"/>
      <c r="N51" s="2"/>
      <c r="O51" s="2"/>
      <c r="P51" s="2"/>
      <c r="Q51" s="2"/>
      <c r="R51" s="2"/>
      <c r="S51" s="2"/>
      <c r="T51" s="2" t="s">
        <v>649</v>
      </c>
      <c r="U51" s="2" t="s">
        <v>650</v>
      </c>
      <c r="V51" s="2" t="s">
        <v>95</v>
      </c>
      <c r="W51" s="2" t="s">
        <v>202</v>
      </c>
      <c r="X51" s="2" t="s">
        <v>203</v>
      </c>
      <c r="Y51" s="2" t="s">
        <v>98</v>
      </c>
      <c r="Z51" s="2" t="s">
        <v>204</v>
      </c>
      <c r="AA51" s="2" t="s">
        <v>205</v>
      </c>
      <c r="AB51" s="2" t="s">
        <v>101</v>
      </c>
      <c r="AC51" s="2">
        <v>74.48</v>
      </c>
      <c r="AD51" s="2">
        <v>99.31</v>
      </c>
      <c r="AE51" s="2">
        <v>97.38</v>
      </c>
      <c r="AF51" s="2" t="s">
        <v>651</v>
      </c>
      <c r="AG51" s="2" t="s">
        <v>103</v>
      </c>
      <c r="AH51" s="2" t="s">
        <v>652</v>
      </c>
      <c r="AI51" s="2">
        <v>1.72</v>
      </c>
      <c r="AJ51" s="2">
        <v>30.172969045603502</v>
      </c>
      <c r="AK51" s="2">
        <v>30.200542682467798</v>
      </c>
      <c r="AL51" s="2">
        <v>30.256303134775202</v>
      </c>
      <c r="AM51" s="2">
        <v>30.2440403539191</v>
      </c>
      <c r="AN51" s="2">
        <v>30.307270934897598</v>
      </c>
      <c r="AO51" s="2">
        <v>30.3478500394422</v>
      </c>
      <c r="AP51" s="2">
        <v>30.311155276268298</v>
      </c>
      <c r="AQ51" s="2">
        <v>30.345367565754898</v>
      </c>
      <c r="AR51" s="2">
        <v>30.5358638977007</v>
      </c>
      <c r="AS51" s="2">
        <v>29.193173793307601</v>
      </c>
      <c r="AT51" s="2">
        <v>29.867263501730601</v>
      </c>
      <c r="AU51" s="2">
        <v>29.840348336419598</v>
      </c>
      <c r="AV51" s="2">
        <v>30.1255903581913</v>
      </c>
      <c r="AW51" s="2">
        <v>30.2251334355288</v>
      </c>
      <c r="AX51" s="2">
        <v>30.4776244706085</v>
      </c>
      <c r="AY51" s="2">
        <v>29.713674316278301</v>
      </c>
      <c r="AZ51" s="2">
        <v>30.261779062273199</v>
      </c>
      <c r="BA51" s="2">
        <v>29.0853796517302</v>
      </c>
      <c r="BB51" s="2">
        <v>29.9508147520724</v>
      </c>
      <c r="BC51" s="2">
        <v>30.782981450232299</v>
      </c>
      <c r="BD51" s="2">
        <v>30.043825750144201</v>
      </c>
      <c r="BE51" s="2">
        <v>30.640385531860801</v>
      </c>
      <c r="BF51" s="2">
        <v>30.3253152335263</v>
      </c>
      <c r="BG51" s="2">
        <v>30.4474996575528</v>
      </c>
      <c r="BH51" s="2">
        <v>30.1333722621753</v>
      </c>
      <c r="BI51" s="2">
        <v>30.795911418549199</v>
      </c>
      <c r="BJ51" s="2">
        <v>30.0773098098052</v>
      </c>
      <c r="BK51" s="2">
        <v>29.518272787335899</v>
      </c>
      <c r="BL51" s="2">
        <v>30.439600403143899</v>
      </c>
      <c r="BM51" s="2">
        <v>30.227892094348999</v>
      </c>
      <c r="BN51" s="2">
        <v>30.378619936114401</v>
      </c>
      <c r="BO51" s="2">
        <v>29.980707358700101</v>
      </c>
      <c r="BP51" s="2">
        <v>30.158769638656501</v>
      </c>
      <c r="BQ51" s="2">
        <v>30.154280869391499</v>
      </c>
      <c r="BR51" s="2">
        <v>30.537598465924901</v>
      </c>
      <c r="BS51" s="2">
        <v>30.363567367923999</v>
      </c>
      <c r="BT51" s="2">
        <v>30.2120643703464</v>
      </c>
      <c r="BU51" s="2">
        <v>29.8116887333445</v>
      </c>
      <c r="BV51" s="2">
        <v>30.026729024618898</v>
      </c>
      <c r="BW51" s="2">
        <v>29.8673004773133</v>
      </c>
      <c r="BX51" s="2">
        <v>30.166676231635002</v>
      </c>
      <c r="BY51" s="2">
        <v>30.798605988576</v>
      </c>
      <c r="BZ51" s="2">
        <v>30.144949551154902</v>
      </c>
      <c r="CA51" s="2">
        <v>30.4841758513145</v>
      </c>
      <c r="CB51" s="2">
        <v>30.3769580605674</v>
      </c>
      <c r="CC51" s="2">
        <v>29.204090009782899</v>
      </c>
      <c r="CD51" s="2">
        <v>30.386332523132101</v>
      </c>
      <c r="CE51" s="2">
        <v>29.507289671684301</v>
      </c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</row>
    <row r="52" spans="1:97">
      <c r="A52" s="2" t="s">
        <v>653</v>
      </c>
      <c r="B52" s="2">
        <v>195.05056999999999</v>
      </c>
      <c r="C52" s="2">
        <v>0.71599999999999997</v>
      </c>
      <c r="D52" s="2" t="s">
        <v>146</v>
      </c>
      <c r="E52" s="2" t="s">
        <v>654</v>
      </c>
      <c r="F52" s="2" t="s">
        <v>655</v>
      </c>
      <c r="G52" s="2">
        <v>47128</v>
      </c>
      <c r="H52" s="3" t="str">
        <f>HYPERLINK("https://cloud.oebiotech.com/#/lm/network/47128", "https://cloud.oebiotech.com/#/lm/network/47128")</f>
        <v>https://cloud.oebiotech.com/#/lm/network/47128</v>
      </c>
      <c r="I52" s="2" t="s">
        <v>656</v>
      </c>
      <c r="J52" s="2">
        <v>345</v>
      </c>
      <c r="K52" s="2"/>
      <c r="L52" s="2">
        <v>10690</v>
      </c>
      <c r="M52" s="2" t="s">
        <v>657</v>
      </c>
      <c r="N52" s="2" t="s">
        <v>658</v>
      </c>
      <c r="O52" s="2" t="s">
        <v>659</v>
      </c>
      <c r="P52" s="2">
        <v>33198</v>
      </c>
      <c r="Q52" s="2"/>
      <c r="R52" s="2"/>
      <c r="S52" s="2" t="s">
        <v>660</v>
      </c>
      <c r="T52" s="2" t="s">
        <v>661</v>
      </c>
      <c r="U52" s="2" t="s">
        <v>662</v>
      </c>
      <c r="V52" s="2" t="s">
        <v>338</v>
      </c>
      <c r="W52" s="2" t="s">
        <v>339</v>
      </c>
      <c r="X52" s="2" t="s">
        <v>663</v>
      </c>
      <c r="Y52" s="2" t="s">
        <v>341</v>
      </c>
      <c r="Z52" s="2" t="s">
        <v>341</v>
      </c>
      <c r="AA52" s="2" t="s">
        <v>664</v>
      </c>
      <c r="AB52" s="2" t="s">
        <v>101</v>
      </c>
      <c r="AC52" s="2">
        <v>74.459999999999994</v>
      </c>
      <c r="AD52" s="2">
        <v>95.61</v>
      </c>
      <c r="AE52" s="2">
        <v>93.71</v>
      </c>
      <c r="AF52" s="2" t="s">
        <v>665</v>
      </c>
      <c r="AG52" s="2" t="s">
        <v>194</v>
      </c>
      <c r="AH52" s="2" t="s">
        <v>666</v>
      </c>
      <c r="AI52" s="2">
        <v>2.0499999999999998</v>
      </c>
      <c r="AJ52" s="2">
        <v>22.978849904095501</v>
      </c>
      <c r="AK52" s="2">
        <v>23.1288375339415</v>
      </c>
      <c r="AL52" s="2">
        <v>23.1098432417228</v>
      </c>
      <c r="AM52" s="2">
        <v>22.330509688798202</v>
      </c>
      <c r="AN52" s="2">
        <v>22.843493659091799</v>
      </c>
      <c r="AO52" s="2">
        <v>22.408048639375998</v>
      </c>
      <c r="AP52" s="2">
        <v>22.976818697794499</v>
      </c>
      <c r="AQ52" s="2">
        <v>22.779014714103699</v>
      </c>
      <c r="AR52" s="2">
        <v>22.894176239060901</v>
      </c>
      <c r="AS52" s="2">
        <v>22.845971436861799</v>
      </c>
      <c r="AT52" s="2">
        <v>22.484798853109901</v>
      </c>
      <c r="AU52" s="2">
        <v>23.356079751983799</v>
      </c>
      <c r="AV52" s="2">
        <v>24.065499777627998</v>
      </c>
      <c r="AW52" s="2">
        <v>22.9073449471644</v>
      </c>
      <c r="AX52" s="2">
        <v>22.244986927516099</v>
      </c>
      <c r="AY52" s="2">
        <v>22.421762952004499</v>
      </c>
      <c r="AZ52" s="2">
        <v>23.1985999921515</v>
      </c>
      <c r="BA52" s="2">
        <v>23.054367502707802</v>
      </c>
      <c r="BB52" s="2">
        <v>22.642475463436998</v>
      </c>
      <c r="BC52" s="2">
        <v>20.770202839877999</v>
      </c>
      <c r="BD52" s="2">
        <v>22.248360314729499</v>
      </c>
      <c r="BE52" s="2">
        <v>21.291816779403099</v>
      </c>
      <c r="BF52" s="2">
        <v>21.4126057402862</v>
      </c>
      <c r="BG52" s="2">
        <v>21.655015485251699</v>
      </c>
      <c r="BH52" s="2">
        <v>22.4606950539326</v>
      </c>
      <c r="BI52" s="2">
        <v>22.5460977484436</v>
      </c>
      <c r="BJ52" s="2">
        <v>22.471660951873002</v>
      </c>
      <c r="BK52" s="2">
        <v>22.801526802999799</v>
      </c>
      <c r="BL52" s="2">
        <v>22.292143601615901</v>
      </c>
      <c r="BM52" s="2">
        <v>22.225758149313801</v>
      </c>
      <c r="BN52" s="2">
        <v>22.1137370067094</v>
      </c>
      <c r="BO52" s="2">
        <v>23.287702260924299</v>
      </c>
      <c r="BP52" s="2">
        <v>22.6814038236462</v>
      </c>
      <c r="BQ52" s="2">
        <v>22.719331689483699</v>
      </c>
      <c r="BR52" s="2">
        <v>22.238389839855799</v>
      </c>
      <c r="BS52" s="2">
        <v>21.560864705696599</v>
      </c>
      <c r="BT52" s="2">
        <v>22.641490568026398</v>
      </c>
      <c r="BU52" s="2">
        <v>22.693776470264002</v>
      </c>
      <c r="BV52" s="2">
        <v>22.498047695748198</v>
      </c>
      <c r="BW52" s="2">
        <v>22.238525189032</v>
      </c>
      <c r="BX52" s="2">
        <v>22.641568241137399</v>
      </c>
      <c r="BY52" s="2">
        <v>22.5844087180892</v>
      </c>
      <c r="BZ52" s="2">
        <v>22.8304678044022</v>
      </c>
      <c r="CA52" s="2">
        <v>21.9011470392003</v>
      </c>
      <c r="CB52" s="2">
        <v>22.232644243433899</v>
      </c>
      <c r="CC52" s="2">
        <v>22.703811477944701</v>
      </c>
      <c r="CD52" s="2">
        <v>21.029247150800401</v>
      </c>
      <c r="CE52" s="2">
        <v>23.2468997513317</v>
      </c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</row>
    <row r="53" spans="1:97">
      <c r="A53" s="2" t="s">
        <v>667</v>
      </c>
      <c r="B53" s="2">
        <v>508.37558000000001</v>
      </c>
      <c r="C53" s="2">
        <v>11.901</v>
      </c>
      <c r="D53" s="2" t="s">
        <v>84</v>
      </c>
      <c r="E53" s="2" t="s">
        <v>668</v>
      </c>
      <c r="F53" s="2" t="s">
        <v>669</v>
      </c>
      <c r="G53" s="2">
        <v>19909</v>
      </c>
      <c r="H53" s="3" t="str">
        <f>HYPERLINK("https://cloud.oebiotech.com/#/lm/network/19909", "https://cloud.oebiotech.com/#/lm/network/19909")</f>
        <v>https://cloud.oebiotech.com/#/lm/network/19909</v>
      </c>
      <c r="I53" s="2"/>
      <c r="J53" s="2">
        <v>76583</v>
      </c>
      <c r="K53" s="2" t="s">
        <v>670</v>
      </c>
      <c r="L53" s="2">
        <v>24779510</v>
      </c>
      <c r="M53" s="2"/>
      <c r="N53" s="2"/>
      <c r="O53" s="2"/>
      <c r="P53" s="2">
        <v>64396</v>
      </c>
      <c r="Q53" s="2"/>
      <c r="R53" s="2"/>
      <c r="S53" s="2"/>
      <c r="T53" s="2" t="s">
        <v>671</v>
      </c>
      <c r="U53" s="2" t="s">
        <v>672</v>
      </c>
      <c r="V53" s="2" t="s">
        <v>95</v>
      </c>
      <c r="W53" s="2" t="s">
        <v>202</v>
      </c>
      <c r="X53" s="2" t="s">
        <v>203</v>
      </c>
      <c r="Y53" s="2" t="s">
        <v>98</v>
      </c>
      <c r="Z53" s="2" t="s">
        <v>204</v>
      </c>
      <c r="AA53" s="2" t="s">
        <v>205</v>
      </c>
      <c r="AB53" s="2" t="s">
        <v>101</v>
      </c>
      <c r="AC53" s="2">
        <v>74.45</v>
      </c>
      <c r="AD53" s="2">
        <v>95.43</v>
      </c>
      <c r="AE53" s="2">
        <v>90.92</v>
      </c>
      <c r="AF53" s="2" t="s">
        <v>673</v>
      </c>
      <c r="AG53" s="2" t="s">
        <v>103</v>
      </c>
      <c r="AH53" s="2" t="s">
        <v>674</v>
      </c>
      <c r="AI53" s="2">
        <v>1.18</v>
      </c>
      <c r="AJ53" s="2">
        <v>23.021553371382399</v>
      </c>
      <c r="AK53" s="2">
        <v>22.984153217274802</v>
      </c>
      <c r="AL53" s="2">
        <v>23.0295572250361</v>
      </c>
      <c r="AM53" s="2">
        <v>23.020989981729102</v>
      </c>
      <c r="AN53" s="2">
        <v>23.047202400545999</v>
      </c>
      <c r="AO53" s="2">
        <v>23.123536729934902</v>
      </c>
      <c r="AP53" s="2">
        <v>22.949392607625999</v>
      </c>
      <c r="AQ53" s="2">
        <v>23.1585165994736</v>
      </c>
      <c r="AR53" s="2">
        <v>23.555030440219898</v>
      </c>
      <c r="AS53" s="2">
        <v>21.890537116306099</v>
      </c>
      <c r="AT53" s="2">
        <v>22.5541433340704</v>
      </c>
      <c r="AU53" s="2">
        <v>22.6071474026452</v>
      </c>
      <c r="AV53" s="2">
        <v>21.8908394545447</v>
      </c>
      <c r="AW53" s="2">
        <v>22.330093199153701</v>
      </c>
      <c r="AX53" s="2">
        <v>22.878842944292501</v>
      </c>
      <c r="AY53" s="2">
        <v>22.779824664819301</v>
      </c>
      <c r="AZ53" s="2">
        <v>23.048632298128499</v>
      </c>
      <c r="BA53" s="2">
        <v>21.7929961360006</v>
      </c>
      <c r="BB53" s="2">
        <v>22.787178953368599</v>
      </c>
      <c r="BC53" s="2">
        <v>23.845359198934698</v>
      </c>
      <c r="BD53" s="2">
        <v>22.842839131487398</v>
      </c>
      <c r="BE53" s="2">
        <v>23.639889415677999</v>
      </c>
      <c r="BF53" s="2">
        <v>23.061185924664802</v>
      </c>
      <c r="BG53" s="2">
        <v>23.114118428628998</v>
      </c>
      <c r="BH53" s="2">
        <v>23.648777611250399</v>
      </c>
      <c r="BI53" s="2">
        <v>22.6051031786054</v>
      </c>
      <c r="BJ53" s="2">
        <v>22.885508239599499</v>
      </c>
      <c r="BK53" s="2">
        <v>22.3608621184245</v>
      </c>
      <c r="BL53" s="2">
        <v>23.255953111652602</v>
      </c>
      <c r="BM53" s="2">
        <v>22.864793568728199</v>
      </c>
      <c r="BN53" s="2">
        <v>22.9979723122478</v>
      </c>
      <c r="BO53" s="2">
        <v>22.667123824249401</v>
      </c>
      <c r="BP53" s="2">
        <v>23.1045355876307</v>
      </c>
      <c r="BQ53" s="2">
        <v>22.776690164609001</v>
      </c>
      <c r="BR53" s="2">
        <v>22.962390628686901</v>
      </c>
      <c r="BS53" s="2">
        <v>22.4784680976143</v>
      </c>
      <c r="BT53" s="2">
        <v>22.479235097395801</v>
      </c>
      <c r="BU53" s="2">
        <v>22.359638512782698</v>
      </c>
      <c r="BV53" s="2">
        <v>22.9737946291208</v>
      </c>
      <c r="BW53" s="2">
        <v>22.626202934911099</v>
      </c>
      <c r="BX53" s="2">
        <v>22.8374434098127</v>
      </c>
      <c r="BY53" s="2">
        <v>23.748396082866901</v>
      </c>
      <c r="BZ53" s="2">
        <v>22.868935230788399</v>
      </c>
      <c r="CA53" s="2">
        <v>23.200129109358699</v>
      </c>
      <c r="CB53" s="2">
        <v>22.700970192901</v>
      </c>
      <c r="CC53" s="2">
        <v>21.7087087689386</v>
      </c>
      <c r="CD53" s="2">
        <v>23.119599581026701</v>
      </c>
      <c r="CE53" s="2">
        <v>21.6344432629738</v>
      </c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</row>
    <row r="54" spans="1:97">
      <c r="A54" s="2" t="s">
        <v>675</v>
      </c>
      <c r="B54" s="2">
        <v>186.11313999999999</v>
      </c>
      <c r="C54" s="2">
        <v>4.5949999999999998</v>
      </c>
      <c r="D54" s="2" t="s">
        <v>146</v>
      </c>
      <c r="E54" s="2" t="s">
        <v>676</v>
      </c>
      <c r="F54" s="2" t="s">
        <v>677</v>
      </c>
      <c r="G54" s="2">
        <v>550581</v>
      </c>
      <c r="H54" s="3" t="str">
        <f>HYPERLINK("https://cloud.oebiotech.com/#/lm/network/550581", "https://cloud.oebiotech.com/#/lm/network/550581")</f>
        <v>https://cloud.oebiotech.com/#/lm/network/550581</v>
      </c>
      <c r="I54" s="2"/>
      <c r="J54" s="2"/>
      <c r="K54" s="2"/>
      <c r="L54" s="2"/>
      <c r="M54" s="2"/>
      <c r="N54" s="2"/>
      <c r="O54" s="2"/>
      <c r="P54" s="2"/>
      <c r="Q54" s="2"/>
      <c r="R54" s="2"/>
      <c r="S54" s="2" t="s">
        <v>678</v>
      </c>
      <c r="T54" s="2" t="s">
        <v>679</v>
      </c>
      <c r="U54" s="2" t="s">
        <v>680</v>
      </c>
      <c r="V54" s="2" t="s">
        <v>374</v>
      </c>
      <c r="W54" s="2" t="s">
        <v>681</v>
      </c>
      <c r="X54" s="2" t="s">
        <v>375</v>
      </c>
      <c r="Y54" s="2" t="s">
        <v>376</v>
      </c>
      <c r="Z54" s="2" t="s">
        <v>682</v>
      </c>
      <c r="AA54" s="2"/>
      <c r="AB54" s="2" t="s">
        <v>101</v>
      </c>
      <c r="AC54" s="2">
        <v>74.430000000000007</v>
      </c>
      <c r="AD54" s="2">
        <v>98.58</v>
      </c>
      <c r="AE54" s="2">
        <v>96.17</v>
      </c>
      <c r="AF54" s="2" t="s">
        <v>683</v>
      </c>
      <c r="AG54" s="2" t="s">
        <v>157</v>
      </c>
      <c r="AH54" s="2" t="s">
        <v>684</v>
      </c>
      <c r="AI54" s="2">
        <v>2.69</v>
      </c>
      <c r="AJ54" s="2">
        <v>24.130043260592998</v>
      </c>
      <c r="AK54" s="2">
        <v>24.180903502847599</v>
      </c>
      <c r="AL54" s="2">
        <v>24.307046107395902</v>
      </c>
      <c r="AM54" s="2">
        <v>24.210778728391801</v>
      </c>
      <c r="AN54" s="2">
        <v>24.2872761745028</v>
      </c>
      <c r="AO54" s="2">
        <v>24.263107862769999</v>
      </c>
      <c r="AP54" s="2">
        <v>24.245693636156801</v>
      </c>
      <c r="AQ54" s="2">
        <v>24.221709882132199</v>
      </c>
      <c r="AR54" s="2">
        <v>24.0126935338977</v>
      </c>
      <c r="AS54" s="2">
        <v>23.832577554595598</v>
      </c>
      <c r="AT54" s="2">
        <v>23.7611299448808</v>
      </c>
      <c r="AU54" s="2">
        <v>23.7979103580487</v>
      </c>
      <c r="AV54" s="2">
        <v>23.770735329201202</v>
      </c>
      <c r="AW54" s="2">
        <v>23.7513956673485</v>
      </c>
      <c r="AX54" s="2">
        <v>23.8739082647961</v>
      </c>
      <c r="AY54" s="2">
        <v>23.821523836076501</v>
      </c>
      <c r="AZ54" s="2">
        <v>23.972364423819499</v>
      </c>
      <c r="BA54" s="2">
        <v>23.813915692073898</v>
      </c>
      <c r="BB54" s="2">
        <v>23.948589100941401</v>
      </c>
      <c r="BC54" s="2">
        <v>23.924689656051601</v>
      </c>
      <c r="BD54" s="2">
        <v>23.720455818291001</v>
      </c>
      <c r="BE54" s="2">
        <v>23.814406846618599</v>
      </c>
      <c r="BF54" s="2">
        <v>23.915615486513701</v>
      </c>
      <c r="BG54" s="2">
        <v>24.029255007704499</v>
      </c>
      <c r="BH54" s="2">
        <v>23.7654104117121</v>
      </c>
      <c r="BI54" s="2">
        <v>23.9364479107333</v>
      </c>
      <c r="BJ54" s="2">
        <v>23.893617471542601</v>
      </c>
      <c r="BK54" s="2">
        <v>23.8230159117808</v>
      </c>
      <c r="BL54" s="2">
        <v>23.8102765865907</v>
      </c>
      <c r="BM54" s="2">
        <v>23.957285852439401</v>
      </c>
      <c r="BN54" s="2">
        <v>23.745959434400898</v>
      </c>
      <c r="BO54" s="2">
        <v>23.932574966887199</v>
      </c>
      <c r="BP54" s="2">
        <v>23.923229489713499</v>
      </c>
      <c r="BQ54" s="2">
        <v>23.896702918687001</v>
      </c>
      <c r="BR54" s="2">
        <v>23.8753667506477</v>
      </c>
      <c r="BS54" s="2">
        <v>23.776719522497</v>
      </c>
      <c r="BT54" s="2">
        <v>23.8077264825254</v>
      </c>
      <c r="BU54" s="2">
        <v>23.9717730446947</v>
      </c>
      <c r="BV54" s="2">
        <v>23.933453128780101</v>
      </c>
      <c r="BW54" s="2">
        <v>23.812090943289601</v>
      </c>
      <c r="BX54" s="2">
        <v>23.8755770848941</v>
      </c>
      <c r="BY54" s="2">
        <v>24.070568729037898</v>
      </c>
      <c r="BZ54" s="2">
        <v>23.889871590547799</v>
      </c>
      <c r="CA54" s="2">
        <v>23.717527927515501</v>
      </c>
      <c r="CB54" s="2">
        <v>23.971031543630801</v>
      </c>
      <c r="CC54" s="2">
        <v>23.963502488486</v>
      </c>
      <c r="CD54" s="2">
        <v>23.8536481213938</v>
      </c>
      <c r="CE54" s="2">
        <v>23.864421192042698</v>
      </c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</row>
    <row r="55" spans="1:97">
      <c r="A55" s="2" t="s">
        <v>685</v>
      </c>
      <c r="B55" s="2">
        <v>448.30617999999998</v>
      </c>
      <c r="C55" s="2">
        <v>7.5380000000000003</v>
      </c>
      <c r="D55" s="2" t="s">
        <v>146</v>
      </c>
      <c r="E55" s="2" t="s">
        <v>686</v>
      </c>
      <c r="F55" s="2" t="s">
        <v>687</v>
      </c>
      <c r="G55" s="2">
        <v>599812</v>
      </c>
      <c r="H55" s="3" t="str">
        <f>HYPERLINK("https://cloud.oebiotech.com/#/lm/network/599812", "https://cloud.oebiotech.com/#/lm/network/599812")</f>
        <v>https://cloud.oebiotech.com/#/lm/network/599812</v>
      </c>
      <c r="I55" s="2"/>
      <c r="J55" s="2"/>
      <c r="K55" s="2"/>
      <c r="L55" s="2"/>
      <c r="M55" s="2"/>
      <c r="N55" s="2"/>
      <c r="O55" s="2"/>
      <c r="P55" s="2"/>
      <c r="Q55" s="2"/>
      <c r="R55" s="2"/>
      <c r="S55" s="2" t="s">
        <v>688</v>
      </c>
      <c r="T55" s="2" t="s">
        <v>689</v>
      </c>
      <c r="U55" s="2" t="s">
        <v>690</v>
      </c>
      <c r="V55" s="2" t="s">
        <v>95</v>
      </c>
      <c r="W55" s="2" t="s">
        <v>152</v>
      </c>
      <c r="X55" s="2" t="s">
        <v>278</v>
      </c>
      <c r="Y55" s="2" t="s">
        <v>98</v>
      </c>
      <c r="Z55" s="2" t="s">
        <v>154</v>
      </c>
      <c r="AA55" s="2" t="s">
        <v>279</v>
      </c>
      <c r="AB55" s="2" t="s">
        <v>101</v>
      </c>
      <c r="AC55" s="2">
        <v>74.430000000000007</v>
      </c>
      <c r="AD55" s="2">
        <v>98.96</v>
      </c>
      <c r="AE55" s="2">
        <v>94.73</v>
      </c>
      <c r="AF55" s="2" t="s">
        <v>691</v>
      </c>
      <c r="AG55" s="2" t="s">
        <v>194</v>
      </c>
      <c r="AH55" s="2" t="s">
        <v>582</v>
      </c>
      <c r="AI55" s="2">
        <v>1.56</v>
      </c>
      <c r="AJ55" s="2">
        <v>22.693213714037199</v>
      </c>
      <c r="AK55" s="2">
        <v>22.614886053657099</v>
      </c>
      <c r="AL55" s="2">
        <v>22.6611421192225</v>
      </c>
      <c r="AM55" s="2">
        <v>22.7619847758519</v>
      </c>
      <c r="AN55" s="2">
        <v>22.5753544369663</v>
      </c>
      <c r="AO55" s="2">
        <v>22.7688848936399</v>
      </c>
      <c r="AP55" s="2">
        <v>22.858015267897599</v>
      </c>
      <c r="AQ55" s="2">
        <v>22.786345971309899</v>
      </c>
      <c r="AR55" s="2">
        <v>20.671245879649302</v>
      </c>
      <c r="AS55" s="2">
        <v>17.1670771316154</v>
      </c>
      <c r="AT55" s="2">
        <v>20.055628457233698</v>
      </c>
      <c r="AU55" s="2">
        <v>23.635801352430899</v>
      </c>
      <c r="AV55" s="2">
        <v>21.474771731659299</v>
      </c>
      <c r="AW55" s="2">
        <v>24.700006328739899</v>
      </c>
      <c r="AX55" s="2">
        <v>21.591384067729699</v>
      </c>
      <c r="AY55" s="2">
        <v>21.980764549887802</v>
      </c>
      <c r="AZ55" s="2">
        <v>20.212037728071401</v>
      </c>
      <c r="BA55" s="2">
        <v>19.424703922131901</v>
      </c>
      <c r="BB55" s="2">
        <v>25.3592825057918</v>
      </c>
      <c r="BC55" s="2">
        <v>22.967985103135799</v>
      </c>
      <c r="BD55" s="2">
        <v>19.1656218429703</v>
      </c>
      <c r="BE55" s="2">
        <v>20.0352852873297</v>
      </c>
      <c r="BF55" s="2">
        <v>22.0217285978805</v>
      </c>
      <c r="BG55" s="2">
        <v>22.914785695388598</v>
      </c>
      <c r="BH55" s="2">
        <v>21.1835318134295</v>
      </c>
      <c r="BI55" s="2">
        <v>19.5935463194246</v>
      </c>
      <c r="BJ55" s="2">
        <v>22.643270737817701</v>
      </c>
      <c r="BK55" s="2">
        <v>22.9553729551407</v>
      </c>
      <c r="BL55" s="2">
        <v>18.703827349908</v>
      </c>
      <c r="BM55" s="2">
        <v>23.441395104135299</v>
      </c>
      <c r="BN55" s="2">
        <v>20.525248852057</v>
      </c>
      <c r="BO55" s="2">
        <v>20.8687789013788</v>
      </c>
      <c r="BP55" s="2">
        <v>19.264021134082299</v>
      </c>
      <c r="BQ55" s="2">
        <v>22.855221307980401</v>
      </c>
      <c r="BR55" s="2">
        <v>23.251745783344202</v>
      </c>
      <c r="BS55" s="2">
        <v>20.757099104126901</v>
      </c>
      <c r="BT55" s="2">
        <v>21.564349008851799</v>
      </c>
      <c r="BU55" s="2">
        <v>19.0004170457991</v>
      </c>
      <c r="BV55" s="2">
        <v>24.642732390134199</v>
      </c>
      <c r="BW55" s="2">
        <v>20.958791639180099</v>
      </c>
      <c r="BX55" s="2">
        <v>18.8296123736122</v>
      </c>
      <c r="BY55" s="2">
        <v>19.2583400890504</v>
      </c>
      <c r="BZ55" s="2">
        <v>22.8961665735658</v>
      </c>
      <c r="CA55" s="2">
        <v>24.0148027079765</v>
      </c>
      <c r="CB55" s="2">
        <v>21.0342329148441</v>
      </c>
      <c r="CC55" s="2">
        <v>20.973568991908699</v>
      </c>
      <c r="CD55" s="2">
        <v>22.802945686780099</v>
      </c>
      <c r="CE55" s="2">
        <v>20.375510109946902</v>
      </c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</row>
    <row r="56" spans="1:97">
      <c r="A56" s="2" t="s">
        <v>692</v>
      </c>
      <c r="B56" s="2">
        <v>344.27910000000003</v>
      </c>
      <c r="C56" s="2">
        <v>8.6329999999999991</v>
      </c>
      <c r="D56" s="2" t="s">
        <v>84</v>
      </c>
      <c r="E56" s="2" t="s">
        <v>693</v>
      </c>
      <c r="F56" s="2" t="s">
        <v>694</v>
      </c>
      <c r="G56" s="2">
        <v>8344</v>
      </c>
      <c r="H56" s="3" t="str">
        <f>HYPERLINK("https://cloud.oebiotech.com/#/lm/network/8344", "https://cloud.oebiotech.com/#/lm/network/8344")</f>
        <v>https://cloud.oebiotech.com/#/lm/network/8344</v>
      </c>
      <c r="I56" s="2" t="s">
        <v>695</v>
      </c>
      <c r="J56" s="2">
        <v>34490</v>
      </c>
      <c r="K56" s="2" t="s">
        <v>696</v>
      </c>
      <c r="L56" s="2">
        <v>168381</v>
      </c>
      <c r="M56" s="2"/>
      <c r="N56" s="2"/>
      <c r="O56" s="2"/>
      <c r="P56" s="2">
        <v>77086</v>
      </c>
      <c r="Q56" s="2"/>
      <c r="R56" s="2"/>
      <c r="S56" s="2" t="s">
        <v>697</v>
      </c>
      <c r="T56" s="2" t="s">
        <v>698</v>
      </c>
      <c r="U56" s="2" t="s">
        <v>699</v>
      </c>
      <c r="V56" s="2" t="s">
        <v>95</v>
      </c>
      <c r="W56" s="2" t="s">
        <v>96</v>
      </c>
      <c r="X56" s="2" t="s">
        <v>97</v>
      </c>
      <c r="Y56" s="2" t="s">
        <v>98</v>
      </c>
      <c r="Z56" s="2" t="s">
        <v>99</v>
      </c>
      <c r="AA56" s="2" t="s">
        <v>100</v>
      </c>
      <c r="AB56" s="2" t="s">
        <v>101</v>
      </c>
      <c r="AC56" s="2">
        <v>74.430000000000007</v>
      </c>
      <c r="AD56" s="2">
        <v>97.28</v>
      </c>
      <c r="AE56" s="2">
        <v>95.71</v>
      </c>
      <c r="AF56" s="2" t="s">
        <v>700</v>
      </c>
      <c r="AG56" s="2" t="s">
        <v>103</v>
      </c>
      <c r="AH56" s="2" t="s">
        <v>701</v>
      </c>
      <c r="AI56" s="2">
        <v>1.1599999999999999</v>
      </c>
      <c r="AJ56" s="2">
        <v>22.411469615737001</v>
      </c>
      <c r="AK56" s="2">
        <v>22.550009932828001</v>
      </c>
      <c r="AL56" s="2">
        <v>22.475403901474799</v>
      </c>
      <c r="AM56" s="2">
        <v>22.5437309052712</v>
      </c>
      <c r="AN56" s="2">
        <v>22.538495674705</v>
      </c>
      <c r="AO56" s="2">
        <v>22.506030098160799</v>
      </c>
      <c r="AP56" s="2">
        <v>22.484201675163199</v>
      </c>
      <c r="AQ56" s="2">
        <v>22.514072473006198</v>
      </c>
      <c r="AR56" s="2">
        <v>20.781432757397798</v>
      </c>
      <c r="AS56" s="2">
        <v>21.485843171482799</v>
      </c>
      <c r="AT56" s="2">
        <v>22.293966704479899</v>
      </c>
      <c r="AU56" s="2">
        <v>21.753189803857399</v>
      </c>
      <c r="AV56" s="2">
        <v>20.830965066083301</v>
      </c>
      <c r="AW56" s="2">
        <v>21.5420153912176</v>
      </c>
      <c r="AX56" s="2">
        <v>21.155599530223899</v>
      </c>
      <c r="AY56" s="2">
        <v>22.342940048548101</v>
      </c>
      <c r="AZ56" s="2">
        <v>19.664279927800099</v>
      </c>
      <c r="BA56" s="2">
        <v>22.974069263883202</v>
      </c>
      <c r="BB56" s="2">
        <v>23.8691724000685</v>
      </c>
      <c r="BC56" s="2">
        <v>23.1268433128573</v>
      </c>
      <c r="BD56" s="2">
        <v>20.428074227230301</v>
      </c>
      <c r="BE56" s="2">
        <v>22.1490324248402</v>
      </c>
      <c r="BF56" s="2">
        <v>21.606990552587099</v>
      </c>
      <c r="BG56" s="2">
        <v>23.1363083544734</v>
      </c>
      <c r="BH56" s="2">
        <v>21.231275899848502</v>
      </c>
      <c r="BI56" s="2">
        <v>23.581016128000101</v>
      </c>
      <c r="BJ56" s="2">
        <v>22.0986090049872</v>
      </c>
      <c r="BK56" s="2">
        <v>20.7499640042879</v>
      </c>
      <c r="BL56" s="2">
        <v>23.314917937970201</v>
      </c>
      <c r="BM56" s="2">
        <v>21.293924109615801</v>
      </c>
      <c r="BN56" s="2">
        <v>21.7221067632283</v>
      </c>
      <c r="BO56" s="2">
        <v>23.201011468281401</v>
      </c>
      <c r="BP56" s="2">
        <v>22.402752785269801</v>
      </c>
      <c r="BQ56" s="2">
        <v>23.4346587348494</v>
      </c>
      <c r="BR56" s="2">
        <v>23.046188461894701</v>
      </c>
      <c r="BS56" s="2">
        <v>21.277962812784899</v>
      </c>
      <c r="BT56" s="2">
        <v>22.1990824017068</v>
      </c>
      <c r="BU56" s="2">
        <v>22.588850652598499</v>
      </c>
      <c r="BV56" s="2">
        <v>23.602094971603599</v>
      </c>
      <c r="BW56" s="2">
        <v>22.4160539163388</v>
      </c>
      <c r="BX56" s="2">
        <v>22.062744419588299</v>
      </c>
      <c r="BY56" s="2">
        <v>21.5200890154278</v>
      </c>
      <c r="BZ56" s="2">
        <v>22.776751317083299</v>
      </c>
      <c r="CA56" s="2">
        <v>22.156388401528599</v>
      </c>
      <c r="CB56" s="2">
        <v>22.520735793304599</v>
      </c>
      <c r="CC56" s="2">
        <v>23.280400122317399</v>
      </c>
      <c r="CD56" s="2">
        <v>21.275754941188499</v>
      </c>
      <c r="CE56" s="2">
        <v>23.0951504522242</v>
      </c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</row>
    <row r="57" spans="1:97">
      <c r="A57" s="2" t="s">
        <v>702</v>
      </c>
      <c r="B57" s="2">
        <v>391.28469999999999</v>
      </c>
      <c r="C57" s="2">
        <v>10.129</v>
      </c>
      <c r="D57" s="2" t="s">
        <v>146</v>
      </c>
      <c r="E57" s="2" t="s">
        <v>703</v>
      </c>
      <c r="F57" s="2" t="s">
        <v>704</v>
      </c>
      <c r="G57" s="2">
        <v>45895</v>
      </c>
      <c r="H57" s="3" t="str">
        <f>HYPERLINK("https://cloud.oebiotech.com/#/lm/network/45895", "https://cloud.oebiotech.com/#/lm/network/45895")</f>
        <v>https://cloud.oebiotech.com/#/lm/network/45895</v>
      </c>
      <c r="I57" s="2" t="s">
        <v>705</v>
      </c>
      <c r="J57" s="2">
        <v>207</v>
      </c>
      <c r="K57" s="2" t="s">
        <v>706</v>
      </c>
      <c r="L57" s="2">
        <v>10133</v>
      </c>
      <c r="M57" s="2" t="s">
        <v>707</v>
      </c>
      <c r="N57" s="2" t="s">
        <v>576</v>
      </c>
      <c r="O57" s="2" t="s">
        <v>577</v>
      </c>
      <c r="P57" s="2">
        <v>16755</v>
      </c>
      <c r="Q57" s="2"/>
      <c r="R57" s="2"/>
      <c r="S57" s="2" t="s">
        <v>708</v>
      </c>
      <c r="T57" s="2" t="s">
        <v>709</v>
      </c>
      <c r="U57" s="2" t="s">
        <v>710</v>
      </c>
      <c r="V57" s="2" t="s">
        <v>95</v>
      </c>
      <c r="W57" s="2" t="s">
        <v>152</v>
      </c>
      <c r="X57" s="2" t="s">
        <v>278</v>
      </c>
      <c r="Y57" s="2" t="s">
        <v>98</v>
      </c>
      <c r="Z57" s="2" t="s">
        <v>154</v>
      </c>
      <c r="AA57" s="2" t="s">
        <v>279</v>
      </c>
      <c r="AB57" s="2" t="s">
        <v>101</v>
      </c>
      <c r="AC57" s="2">
        <v>74.349999999999994</v>
      </c>
      <c r="AD57" s="2">
        <v>96.14</v>
      </c>
      <c r="AE57" s="2">
        <v>99.79</v>
      </c>
      <c r="AF57" s="2" t="s">
        <v>711</v>
      </c>
      <c r="AG57" s="2" t="s">
        <v>194</v>
      </c>
      <c r="AH57" s="2" t="s">
        <v>712</v>
      </c>
      <c r="AI57" s="2">
        <v>1.79</v>
      </c>
      <c r="AJ57" s="2">
        <v>20.508308819474401</v>
      </c>
      <c r="AK57" s="2">
        <v>20.3258324321943</v>
      </c>
      <c r="AL57" s="2">
        <v>20.392129433821601</v>
      </c>
      <c r="AM57" s="2">
        <v>20.389596828330799</v>
      </c>
      <c r="AN57" s="2">
        <v>20.529737730137001</v>
      </c>
      <c r="AO57" s="2">
        <v>20.3036885437206</v>
      </c>
      <c r="AP57" s="2">
        <v>20.3453488145345</v>
      </c>
      <c r="AQ57" s="2">
        <v>20.282873646517</v>
      </c>
      <c r="AR57" s="2">
        <v>17.947528046890898</v>
      </c>
      <c r="AS57" s="2">
        <v>16.400333120190702</v>
      </c>
      <c r="AT57" s="2">
        <v>15.2189302200892</v>
      </c>
      <c r="AU57" s="2">
        <v>19.8494706029227</v>
      </c>
      <c r="AV57" s="2">
        <v>18.1334180910101</v>
      </c>
      <c r="AW57" s="2">
        <v>21.688532211660899</v>
      </c>
      <c r="AX57" s="2">
        <v>18.3313054059156</v>
      </c>
      <c r="AY57" s="2">
        <v>19.424275960053698</v>
      </c>
      <c r="AZ57" s="2">
        <v>18.7031278041534</v>
      </c>
      <c r="BA57" s="2">
        <v>18.8569150434191</v>
      </c>
      <c r="BB57" s="2">
        <v>17.7446702797032</v>
      </c>
      <c r="BC57" s="2">
        <v>20.718769991887399</v>
      </c>
      <c r="BD57" s="2">
        <v>17.316324847307399</v>
      </c>
      <c r="BE57" s="2">
        <v>18.5049131556591</v>
      </c>
      <c r="BF57" s="2">
        <v>17.613988762087299</v>
      </c>
      <c r="BG57" s="2">
        <v>18.9532255596623</v>
      </c>
      <c r="BH57" s="2">
        <v>15.090601231781999</v>
      </c>
      <c r="BI57" s="2">
        <v>18.370501984334599</v>
      </c>
      <c r="BJ57" s="2">
        <v>18.608972315866499</v>
      </c>
      <c r="BK57" s="2">
        <v>20.583361513659799</v>
      </c>
      <c r="BL57" s="2">
        <v>20.498286030702499</v>
      </c>
      <c r="BM57" s="2">
        <v>20.1956568755913</v>
      </c>
      <c r="BN57" s="2">
        <v>21.907345449653899</v>
      </c>
      <c r="BO57" s="2">
        <v>14.2709427876935</v>
      </c>
      <c r="BP57" s="2">
        <v>19.011639048861301</v>
      </c>
      <c r="BQ57" s="2">
        <v>22.189048316118502</v>
      </c>
      <c r="BR57" s="2">
        <v>19.375490500078399</v>
      </c>
      <c r="BS57" s="2">
        <v>20.216096691193901</v>
      </c>
      <c r="BT57" s="2">
        <v>14.133793237393601</v>
      </c>
      <c r="BU57" s="2">
        <v>16.112563920831601</v>
      </c>
      <c r="BV57" s="2">
        <v>20.0312447429888</v>
      </c>
      <c r="BW57" s="2">
        <v>20.152105588712299</v>
      </c>
      <c r="BX57" s="2">
        <v>15.0213161872095</v>
      </c>
      <c r="BY57" s="2">
        <v>19.0524593160489</v>
      </c>
      <c r="BZ57" s="2">
        <v>18.950153152639199</v>
      </c>
      <c r="CA57" s="2">
        <v>21.5480170130316</v>
      </c>
      <c r="CB57" s="2">
        <v>21.444890992356399</v>
      </c>
      <c r="CC57" s="2">
        <v>20.470921374812701</v>
      </c>
      <c r="CD57" s="2">
        <v>19.544363882717299</v>
      </c>
      <c r="CE57" s="2">
        <v>19.598134867407399</v>
      </c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</row>
    <row r="58" spans="1:97">
      <c r="A58" s="2" t="s">
        <v>713</v>
      </c>
      <c r="B58" s="2">
        <v>120.06554</v>
      </c>
      <c r="C58" s="2">
        <v>0.73099999999999998</v>
      </c>
      <c r="D58" s="2" t="s">
        <v>84</v>
      </c>
      <c r="E58" s="2" t="s">
        <v>714</v>
      </c>
      <c r="F58" s="2" t="s">
        <v>715</v>
      </c>
      <c r="G58" s="2">
        <v>47178</v>
      </c>
      <c r="H58" s="3" t="str">
        <f>HYPERLINK("https://cloud.oebiotech.com/#/lm/network/47178", "https://cloud.oebiotech.com/#/lm/network/47178")</f>
        <v>https://cloud.oebiotech.com/#/lm/network/47178</v>
      </c>
      <c r="I58" s="2" t="s">
        <v>716</v>
      </c>
      <c r="J58" s="2">
        <v>5687</v>
      </c>
      <c r="K58" s="2"/>
      <c r="L58" s="2">
        <v>12647</v>
      </c>
      <c r="M58" s="2" t="s">
        <v>717</v>
      </c>
      <c r="N58" s="2" t="s">
        <v>718</v>
      </c>
      <c r="O58" s="2" t="s">
        <v>719</v>
      </c>
      <c r="P58" s="2">
        <v>15699</v>
      </c>
      <c r="Q58" s="2"/>
      <c r="R58" s="2"/>
      <c r="S58" s="2" t="s">
        <v>720</v>
      </c>
      <c r="T58" s="2" t="s">
        <v>721</v>
      </c>
      <c r="U58" s="2" t="s">
        <v>722</v>
      </c>
      <c r="V58" s="2" t="s">
        <v>115</v>
      </c>
      <c r="W58" s="2" t="s">
        <v>116</v>
      </c>
      <c r="X58" s="2" t="s">
        <v>117</v>
      </c>
      <c r="Y58" s="2" t="s">
        <v>118</v>
      </c>
      <c r="Z58" s="2" t="s">
        <v>119</v>
      </c>
      <c r="AA58" s="2" t="s">
        <v>120</v>
      </c>
      <c r="AB58" s="2" t="s">
        <v>101</v>
      </c>
      <c r="AC58" s="2">
        <v>74.25</v>
      </c>
      <c r="AD58" s="2">
        <v>98.52</v>
      </c>
      <c r="AE58" s="2">
        <v>82.71</v>
      </c>
      <c r="AF58" s="2" t="s">
        <v>723</v>
      </c>
      <c r="AG58" s="2" t="s">
        <v>103</v>
      </c>
      <c r="AH58" s="2" t="s">
        <v>724</v>
      </c>
      <c r="AI58" s="2">
        <v>0</v>
      </c>
      <c r="AJ58" s="2">
        <v>24.698653670724099</v>
      </c>
      <c r="AK58" s="2">
        <v>23.820013758050099</v>
      </c>
      <c r="AL58" s="2">
        <v>24.616581265084498</v>
      </c>
      <c r="AM58" s="2">
        <v>24.814351550384298</v>
      </c>
      <c r="AN58" s="2">
        <v>24.742580318157199</v>
      </c>
      <c r="AO58" s="2">
        <v>24.7162762656742</v>
      </c>
      <c r="AP58" s="2">
        <v>24.672905037425998</v>
      </c>
      <c r="AQ58" s="2">
        <v>24.674189392609701</v>
      </c>
      <c r="AR58" s="2">
        <v>24.215952512122399</v>
      </c>
      <c r="AS58" s="2">
        <v>24.906164290138701</v>
      </c>
      <c r="AT58" s="2">
        <v>24.269300581805901</v>
      </c>
      <c r="AU58" s="2">
        <v>23.655764554139701</v>
      </c>
      <c r="AV58" s="2">
        <v>24.467078727596601</v>
      </c>
      <c r="AW58" s="2">
        <v>24.552970235103299</v>
      </c>
      <c r="AX58" s="2">
        <v>24.1630644475845</v>
      </c>
      <c r="AY58" s="2">
        <v>24.883180411497801</v>
      </c>
      <c r="AZ58" s="2">
        <v>24.253333738674701</v>
      </c>
      <c r="BA58" s="2">
        <v>24.236128775824799</v>
      </c>
      <c r="BB58" s="2">
        <v>24.414970442974798</v>
      </c>
      <c r="BC58" s="2">
        <v>24.656522463672601</v>
      </c>
      <c r="BD58" s="2">
        <v>22.950970327503502</v>
      </c>
      <c r="BE58" s="2">
        <v>24.389872090021498</v>
      </c>
      <c r="BF58" s="2">
        <v>24.811113490645798</v>
      </c>
      <c r="BG58" s="2">
        <v>23.598055240661498</v>
      </c>
      <c r="BH58" s="2">
        <v>24.594227959342302</v>
      </c>
      <c r="BI58" s="2">
        <v>23.915347048527099</v>
      </c>
      <c r="BJ58" s="2">
        <v>23.9987060131653</v>
      </c>
      <c r="BK58" s="2">
        <v>24.191105928935801</v>
      </c>
      <c r="BL58" s="2">
        <v>24.452742193977301</v>
      </c>
      <c r="BM58" s="2">
        <v>25.213120024595799</v>
      </c>
      <c r="BN58" s="2">
        <v>23.9874606391963</v>
      </c>
      <c r="BO58" s="2">
        <v>24.6264792132508</v>
      </c>
      <c r="BP58" s="2">
        <v>24.076324272651</v>
      </c>
      <c r="BQ58" s="2">
        <v>24.475317028476201</v>
      </c>
      <c r="BR58" s="2">
        <v>24.356496195243299</v>
      </c>
      <c r="BS58" s="2">
        <v>23.669668222011399</v>
      </c>
      <c r="BT58" s="2">
        <v>24.7888935338155</v>
      </c>
      <c r="BU58" s="2">
        <v>24.440051458817099</v>
      </c>
      <c r="BV58" s="2">
        <v>23.114226802628799</v>
      </c>
      <c r="BW58" s="2">
        <v>24.756182096750901</v>
      </c>
      <c r="BX58" s="2">
        <v>25.074793987370501</v>
      </c>
      <c r="BY58" s="2">
        <v>25.043426200748499</v>
      </c>
      <c r="BZ58" s="2">
        <v>25.1503397304106</v>
      </c>
      <c r="CA58" s="2">
        <v>23.707594972016</v>
      </c>
      <c r="CB58" s="2">
        <v>24.404284941099</v>
      </c>
      <c r="CC58" s="2">
        <v>24.183755568294799</v>
      </c>
      <c r="CD58" s="2">
        <v>25.274679540792999</v>
      </c>
      <c r="CE58" s="2">
        <v>24.403446976294799</v>
      </c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</row>
    <row r="59" spans="1:97">
      <c r="A59" s="2" t="s">
        <v>725</v>
      </c>
      <c r="B59" s="2">
        <v>311.22221000000002</v>
      </c>
      <c r="C59" s="2">
        <v>10.595000000000001</v>
      </c>
      <c r="D59" s="2" t="s">
        <v>146</v>
      </c>
      <c r="E59" s="2" t="s">
        <v>726</v>
      </c>
      <c r="F59" s="2" t="s">
        <v>727</v>
      </c>
      <c r="G59" s="2">
        <v>2868</v>
      </c>
      <c r="H59" s="3" t="str">
        <f>HYPERLINK("https://cloud.oebiotech.com/#/lm/network/2868", "https://cloud.oebiotech.com/#/lm/network/2868")</f>
        <v>https://cloud.oebiotech.com/#/lm/network/2868</v>
      </c>
      <c r="I59" s="2"/>
      <c r="J59" s="2">
        <v>36000</v>
      </c>
      <c r="K59" s="2" t="s">
        <v>728</v>
      </c>
      <c r="L59" s="2">
        <v>9543674</v>
      </c>
      <c r="M59" s="2" t="s">
        <v>729</v>
      </c>
      <c r="N59" s="2"/>
      <c r="O59" s="2"/>
      <c r="P59" s="2"/>
      <c r="Q59" s="2"/>
      <c r="R59" s="2"/>
      <c r="S59" s="2"/>
      <c r="T59" s="2" t="s">
        <v>730</v>
      </c>
      <c r="U59" s="2" t="s">
        <v>731</v>
      </c>
      <c r="V59" s="2" t="s">
        <v>95</v>
      </c>
      <c r="W59" s="2" t="s">
        <v>96</v>
      </c>
      <c r="X59" s="2" t="s">
        <v>141</v>
      </c>
      <c r="Y59" s="2" t="s">
        <v>98</v>
      </c>
      <c r="Z59" s="2" t="s">
        <v>99</v>
      </c>
      <c r="AA59" s="2" t="s">
        <v>142</v>
      </c>
      <c r="AB59" s="2" t="s">
        <v>101</v>
      </c>
      <c r="AC59" s="2">
        <v>74.25</v>
      </c>
      <c r="AD59" s="2">
        <v>97.89</v>
      </c>
      <c r="AE59" s="2">
        <v>96.47</v>
      </c>
      <c r="AF59" s="2" t="s">
        <v>732</v>
      </c>
      <c r="AG59" s="2" t="s">
        <v>194</v>
      </c>
      <c r="AH59" s="2" t="s">
        <v>733</v>
      </c>
      <c r="AI59" s="2">
        <v>1.93</v>
      </c>
      <c r="AJ59" s="2">
        <v>23.857004687746201</v>
      </c>
      <c r="AK59" s="2">
        <v>23.757357516611599</v>
      </c>
      <c r="AL59" s="2">
        <v>23.6804894260612</v>
      </c>
      <c r="AM59" s="2">
        <v>23.769863402586001</v>
      </c>
      <c r="AN59" s="2">
        <v>23.7432659485527</v>
      </c>
      <c r="AO59" s="2">
        <v>23.750458027869598</v>
      </c>
      <c r="AP59" s="2">
        <v>23.669832644706201</v>
      </c>
      <c r="AQ59" s="2">
        <v>23.8029486066165</v>
      </c>
      <c r="AR59" s="2">
        <v>24.312937535963901</v>
      </c>
      <c r="AS59" s="2">
        <v>22.107960267307998</v>
      </c>
      <c r="AT59" s="2">
        <v>23.009417357585999</v>
      </c>
      <c r="AU59" s="2">
        <v>24.0679216704956</v>
      </c>
      <c r="AV59" s="2">
        <v>24.007126835055001</v>
      </c>
      <c r="AW59" s="2">
        <v>24.431052465752298</v>
      </c>
      <c r="AX59" s="2">
        <v>23.1454599268001</v>
      </c>
      <c r="AY59" s="2">
        <v>24.307359274629</v>
      </c>
      <c r="AZ59" s="2">
        <v>22.720132923511201</v>
      </c>
      <c r="BA59" s="2">
        <v>22.534305734891301</v>
      </c>
      <c r="BB59" s="2">
        <v>23.4129537431687</v>
      </c>
      <c r="BC59" s="2">
        <v>23.5879437770087</v>
      </c>
      <c r="BD59" s="2">
        <v>22.423342575585</v>
      </c>
      <c r="BE59" s="2">
        <v>23.3819747817181</v>
      </c>
      <c r="BF59" s="2">
        <v>23.564341693244099</v>
      </c>
      <c r="BG59" s="2">
        <v>21.151066239225301</v>
      </c>
      <c r="BH59" s="2">
        <v>25.4095218484096</v>
      </c>
      <c r="BI59" s="2">
        <v>22.486617845957898</v>
      </c>
      <c r="BJ59" s="2">
        <v>24.0304087858357</v>
      </c>
      <c r="BK59" s="2">
        <v>23.433910093060899</v>
      </c>
      <c r="BL59" s="2">
        <v>22.8532462609489</v>
      </c>
      <c r="BM59" s="2">
        <v>23.856561350337401</v>
      </c>
      <c r="BN59" s="2">
        <v>24.110633775460499</v>
      </c>
      <c r="BO59" s="2">
        <v>22.397502214773201</v>
      </c>
      <c r="BP59" s="2">
        <v>22.569472311423699</v>
      </c>
      <c r="BQ59" s="2">
        <v>24.343997026018599</v>
      </c>
      <c r="BR59" s="2">
        <v>24.455612039203199</v>
      </c>
      <c r="BS59" s="2">
        <v>24.2641337428383</v>
      </c>
      <c r="BT59" s="2">
        <v>22.8463996204563</v>
      </c>
      <c r="BU59" s="2">
        <v>23.509915532966399</v>
      </c>
      <c r="BV59" s="2">
        <v>22.8762868326987</v>
      </c>
      <c r="BW59" s="2">
        <v>23.925616847644701</v>
      </c>
      <c r="BX59" s="2">
        <v>22.690481632743499</v>
      </c>
      <c r="BY59" s="2">
        <v>25.054873888812399</v>
      </c>
      <c r="BZ59" s="2">
        <v>23.6116830347835</v>
      </c>
      <c r="CA59" s="2">
        <v>23.8496019825734</v>
      </c>
      <c r="CB59" s="2">
        <v>23.6758907844773</v>
      </c>
      <c r="CC59" s="2">
        <v>22.701365718398002</v>
      </c>
      <c r="CD59" s="2">
        <v>22.940725926546399</v>
      </c>
      <c r="CE59" s="2">
        <v>22.752228313877801</v>
      </c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</row>
    <row r="60" spans="1:97">
      <c r="A60" s="2" t="s">
        <v>734</v>
      </c>
      <c r="B60" s="2">
        <v>524.33500000000004</v>
      </c>
      <c r="C60" s="2">
        <v>10.911</v>
      </c>
      <c r="D60" s="2" t="s">
        <v>146</v>
      </c>
      <c r="E60" s="2" t="s">
        <v>735</v>
      </c>
      <c r="F60" s="2" t="s">
        <v>736</v>
      </c>
      <c r="G60" s="2">
        <v>19906</v>
      </c>
      <c r="H60" s="3" t="str">
        <f>HYPERLINK("https://cloud.oebiotech.com/#/lm/network/19906", "https://cloud.oebiotech.com/#/lm/network/19906")</f>
        <v>https://cloud.oebiotech.com/#/lm/network/19906</v>
      </c>
      <c r="I60" s="2"/>
      <c r="J60" s="2">
        <v>76580</v>
      </c>
      <c r="K60" s="2" t="s">
        <v>737</v>
      </c>
      <c r="L60" s="2">
        <v>24779504</v>
      </c>
      <c r="M60" s="2"/>
      <c r="N60" s="2"/>
      <c r="O60" s="2"/>
      <c r="P60" s="2"/>
      <c r="Q60" s="2"/>
      <c r="R60" s="2"/>
      <c r="S60" s="2"/>
      <c r="T60" s="2" t="s">
        <v>738</v>
      </c>
      <c r="U60" s="2" t="s">
        <v>739</v>
      </c>
      <c r="V60" s="2" t="s">
        <v>95</v>
      </c>
      <c r="W60" s="2" t="s">
        <v>202</v>
      </c>
      <c r="X60" s="2" t="s">
        <v>203</v>
      </c>
      <c r="Y60" s="2" t="s">
        <v>98</v>
      </c>
      <c r="Z60" s="2" t="s">
        <v>204</v>
      </c>
      <c r="AA60" s="2" t="s">
        <v>205</v>
      </c>
      <c r="AB60" s="2" t="s">
        <v>101</v>
      </c>
      <c r="AC60" s="2">
        <v>74.25</v>
      </c>
      <c r="AD60" s="2">
        <v>96.18</v>
      </c>
      <c r="AE60" s="2">
        <v>93.58</v>
      </c>
      <c r="AF60" s="2" t="s">
        <v>740</v>
      </c>
      <c r="AG60" s="2" t="s">
        <v>157</v>
      </c>
      <c r="AH60" s="2" t="s">
        <v>741</v>
      </c>
      <c r="AI60" s="2">
        <v>1.53</v>
      </c>
      <c r="AJ60" s="2">
        <v>23.366234796880999</v>
      </c>
      <c r="AK60" s="2">
        <v>22.965913490955199</v>
      </c>
      <c r="AL60" s="2">
        <v>22.8924455256649</v>
      </c>
      <c r="AM60" s="2">
        <v>23.112436124570198</v>
      </c>
      <c r="AN60" s="2">
        <v>22.9991718000079</v>
      </c>
      <c r="AO60" s="2">
        <v>22.977694034100502</v>
      </c>
      <c r="AP60" s="2">
        <v>22.978225676571199</v>
      </c>
      <c r="AQ60" s="2">
        <v>23.096087956373999</v>
      </c>
      <c r="AR60" s="2">
        <v>23.300727943313301</v>
      </c>
      <c r="AS60" s="2">
        <v>22.123816163844801</v>
      </c>
      <c r="AT60" s="2">
        <v>22.7827045826917</v>
      </c>
      <c r="AU60" s="2">
        <v>22.559169914463698</v>
      </c>
      <c r="AV60" s="2">
        <v>22.841205099550098</v>
      </c>
      <c r="AW60" s="2">
        <v>22.708698858286699</v>
      </c>
      <c r="AX60" s="2">
        <v>23.0343411107694</v>
      </c>
      <c r="AY60" s="2">
        <v>22.913791555071899</v>
      </c>
      <c r="AZ60" s="2">
        <v>23.043098270130901</v>
      </c>
      <c r="BA60" s="2">
        <v>21.693070758345399</v>
      </c>
      <c r="BB60" s="2">
        <v>22.658909427510299</v>
      </c>
      <c r="BC60" s="2">
        <v>23.741034827197002</v>
      </c>
      <c r="BD60" s="2">
        <v>22.715045352125799</v>
      </c>
      <c r="BE60" s="2">
        <v>23.599157089380899</v>
      </c>
      <c r="BF60" s="2">
        <v>22.989340655712901</v>
      </c>
      <c r="BG60" s="2">
        <v>23.204002355776101</v>
      </c>
      <c r="BH60" s="2">
        <v>23.370166823352999</v>
      </c>
      <c r="BI60" s="2">
        <v>22.963764403248501</v>
      </c>
      <c r="BJ60" s="2">
        <v>23.085055475573601</v>
      </c>
      <c r="BK60" s="2">
        <v>22.497920442800702</v>
      </c>
      <c r="BL60" s="2">
        <v>22.945735780102002</v>
      </c>
      <c r="BM60" s="2">
        <v>22.695738502445899</v>
      </c>
      <c r="BN60" s="2">
        <v>23.133656172971399</v>
      </c>
      <c r="BO60" s="2">
        <v>23.0403648343501</v>
      </c>
      <c r="BP60" s="2">
        <v>22.947147362961299</v>
      </c>
      <c r="BQ60" s="2">
        <v>22.9657390553227</v>
      </c>
      <c r="BR60" s="2">
        <v>23.3947822626548</v>
      </c>
      <c r="BS60" s="2">
        <v>23.192149757700999</v>
      </c>
      <c r="BT60" s="2">
        <v>23.271157735015201</v>
      </c>
      <c r="BU60" s="2">
        <v>22.8463435578706</v>
      </c>
      <c r="BV60" s="2">
        <v>22.9058416466941</v>
      </c>
      <c r="BW60" s="2">
        <v>22.429275609416599</v>
      </c>
      <c r="BX60" s="2">
        <v>22.787054143959299</v>
      </c>
      <c r="BY60" s="2">
        <v>23.949016801972199</v>
      </c>
      <c r="BZ60" s="2">
        <v>22.897497805008602</v>
      </c>
      <c r="CA60" s="2">
        <v>23.352701767494601</v>
      </c>
      <c r="CB60" s="2">
        <v>22.457775061629899</v>
      </c>
      <c r="CC60" s="2">
        <v>22.401666619202398</v>
      </c>
      <c r="CD60" s="2">
        <v>23.3579702433797</v>
      </c>
      <c r="CE60" s="2">
        <v>22.018883929052102</v>
      </c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</row>
    <row r="61" spans="1:97">
      <c r="A61" s="2" t="s">
        <v>742</v>
      </c>
      <c r="B61" s="2">
        <v>255.08687</v>
      </c>
      <c r="C61" s="2">
        <v>4.9509999999999996</v>
      </c>
      <c r="D61" s="2" t="s">
        <v>146</v>
      </c>
      <c r="E61" s="2" t="s">
        <v>743</v>
      </c>
      <c r="F61" s="2" t="s">
        <v>744</v>
      </c>
      <c r="G61" s="2">
        <v>2669</v>
      </c>
      <c r="H61" s="3" t="str">
        <f>HYPERLINK("https://cloud.oebiotech.com/#/lm/network/2669", "https://cloud.oebiotech.com/#/lm/network/2669")</f>
        <v>https://cloud.oebiotech.com/#/lm/network/2669</v>
      </c>
      <c r="I61" s="2"/>
      <c r="J61" s="2"/>
      <c r="K61" s="2" t="s">
        <v>745</v>
      </c>
      <c r="L61" s="2">
        <v>129725053</v>
      </c>
      <c r="M61" s="2"/>
      <c r="N61" s="2"/>
      <c r="O61" s="2"/>
      <c r="P61" s="2"/>
      <c r="Q61" s="2"/>
      <c r="R61" s="2"/>
      <c r="S61" s="2"/>
      <c r="T61" s="2" t="s">
        <v>746</v>
      </c>
      <c r="U61" s="2" t="s">
        <v>747</v>
      </c>
      <c r="V61" s="2" t="s">
        <v>95</v>
      </c>
      <c r="W61" s="2" t="s">
        <v>96</v>
      </c>
      <c r="X61" s="2" t="s">
        <v>141</v>
      </c>
      <c r="Y61" s="2" t="s">
        <v>98</v>
      </c>
      <c r="Z61" s="2" t="s">
        <v>99</v>
      </c>
      <c r="AA61" s="2" t="s">
        <v>142</v>
      </c>
      <c r="AB61" s="2" t="s">
        <v>101</v>
      </c>
      <c r="AC61" s="2">
        <v>74.209999999999994</v>
      </c>
      <c r="AD61" s="2">
        <v>99.26</v>
      </c>
      <c r="AE61" s="2">
        <v>96.01</v>
      </c>
      <c r="AF61" s="2" t="s">
        <v>748</v>
      </c>
      <c r="AG61" s="2" t="s">
        <v>194</v>
      </c>
      <c r="AH61" s="2" t="s">
        <v>749</v>
      </c>
      <c r="AI61" s="2">
        <v>1.96</v>
      </c>
      <c r="AJ61" s="2">
        <v>25.3833451648112</v>
      </c>
      <c r="AK61" s="2">
        <v>25.4170617937176</v>
      </c>
      <c r="AL61" s="2">
        <v>25.391019788152001</v>
      </c>
      <c r="AM61" s="2">
        <v>25.491416353590399</v>
      </c>
      <c r="AN61" s="2">
        <v>25.570392451740702</v>
      </c>
      <c r="AO61" s="2">
        <v>25.597327243086799</v>
      </c>
      <c r="AP61" s="2">
        <v>25.213993806076701</v>
      </c>
      <c r="AQ61" s="2">
        <v>25.5213258918901</v>
      </c>
      <c r="AR61" s="2">
        <v>24.355253119344798</v>
      </c>
      <c r="AS61" s="2">
        <v>23.9320373807547</v>
      </c>
      <c r="AT61" s="2">
        <v>24.345637705681298</v>
      </c>
      <c r="AU61" s="2">
        <v>25.922868667752201</v>
      </c>
      <c r="AV61" s="2">
        <v>24.7792921584659</v>
      </c>
      <c r="AW61" s="2">
        <v>24.916585076449199</v>
      </c>
      <c r="AX61" s="2">
        <v>24.0541521695766</v>
      </c>
      <c r="AY61" s="2">
        <v>23.7537068298926</v>
      </c>
      <c r="AZ61" s="2">
        <v>24.477393872312401</v>
      </c>
      <c r="BA61" s="2">
        <v>26.2379351806239</v>
      </c>
      <c r="BB61" s="2">
        <v>26.3765096430309</v>
      </c>
      <c r="BC61" s="2">
        <v>25.986652410801799</v>
      </c>
      <c r="BD61" s="2">
        <v>25.983115893250101</v>
      </c>
      <c r="BE61" s="2">
        <v>24.765640432406599</v>
      </c>
      <c r="BF61" s="2">
        <v>25.1244730838499</v>
      </c>
      <c r="BG61" s="2">
        <v>25.175956005362799</v>
      </c>
      <c r="BH61" s="2">
        <v>26.0704149082413</v>
      </c>
      <c r="BI61" s="2">
        <v>23.9177570220265</v>
      </c>
      <c r="BJ61" s="2">
        <v>26.4958936448506</v>
      </c>
      <c r="BK61" s="2">
        <v>26.675764927321801</v>
      </c>
      <c r="BL61" s="2">
        <v>25.513389211711001</v>
      </c>
      <c r="BM61" s="2">
        <v>25.347792035037799</v>
      </c>
      <c r="BN61" s="2">
        <v>25.701103645662101</v>
      </c>
      <c r="BO61" s="2">
        <v>26.031027961153399</v>
      </c>
      <c r="BP61" s="2">
        <v>24.196584011892298</v>
      </c>
      <c r="BQ61" s="2">
        <v>24.480470679690001</v>
      </c>
      <c r="BR61" s="2">
        <v>24.158884491075199</v>
      </c>
      <c r="BS61" s="2">
        <v>24.2806814161939</v>
      </c>
      <c r="BT61" s="2">
        <v>27.047511506364</v>
      </c>
      <c r="BU61" s="2">
        <v>26.243739243969799</v>
      </c>
      <c r="BV61" s="2">
        <v>25.757999344422</v>
      </c>
      <c r="BW61" s="2">
        <v>25.015340427360599</v>
      </c>
      <c r="BX61" s="2">
        <v>25.9415606336899</v>
      </c>
      <c r="BY61" s="2">
        <v>25.191209642717698</v>
      </c>
      <c r="BZ61" s="2">
        <v>24.5212817642098</v>
      </c>
      <c r="CA61" s="2">
        <v>24.8880338667195</v>
      </c>
      <c r="CB61" s="2">
        <v>25.139410585757702</v>
      </c>
      <c r="CC61" s="2">
        <v>24.2904795808351</v>
      </c>
      <c r="CD61" s="2">
        <v>26.096114361829301</v>
      </c>
      <c r="CE61" s="2">
        <v>26.474099750049</v>
      </c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</row>
    <row r="62" spans="1:97">
      <c r="A62" s="2" t="s">
        <v>750</v>
      </c>
      <c r="B62" s="2">
        <v>331.26366999999999</v>
      </c>
      <c r="C62" s="2">
        <v>13.515000000000001</v>
      </c>
      <c r="D62" s="2" t="s">
        <v>146</v>
      </c>
      <c r="E62" s="2" t="s">
        <v>751</v>
      </c>
      <c r="F62" s="2" t="s">
        <v>752</v>
      </c>
      <c r="G62" s="2">
        <v>679</v>
      </c>
      <c r="H62" s="3" t="str">
        <f>HYPERLINK("https://cloud.oebiotech.com/#/lm/network/679", "https://cloud.oebiotech.com/#/lm/network/679")</f>
        <v>https://cloud.oebiotech.com/#/lm/network/679</v>
      </c>
      <c r="I62" s="2" t="s">
        <v>753</v>
      </c>
      <c r="J62" s="2">
        <v>34846</v>
      </c>
      <c r="K62" s="2" t="s">
        <v>754</v>
      </c>
      <c r="L62" s="2">
        <v>5497181</v>
      </c>
      <c r="M62" s="2" t="s">
        <v>755</v>
      </c>
      <c r="N62" s="2" t="s">
        <v>598</v>
      </c>
      <c r="O62" s="2" t="s">
        <v>599</v>
      </c>
      <c r="P62" s="2">
        <v>53487</v>
      </c>
      <c r="Q62" s="2" t="s">
        <v>756</v>
      </c>
      <c r="R62" s="2" t="s">
        <v>757</v>
      </c>
      <c r="S62" s="2" t="s">
        <v>758</v>
      </c>
      <c r="T62" s="2" t="s">
        <v>759</v>
      </c>
      <c r="U62" s="2" t="s">
        <v>760</v>
      </c>
      <c r="V62" s="2" t="s">
        <v>95</v>
      </c>
      <c r="W62" s="2" t="s">
        <v>96</v>
      </c>
      <c r="X62" s="2" t="s">
        <v>141</v>
      </c>
      <c r="Y62" s="2" t="s">
        <v>98</v>
      </c>
      <c r="Z62" s="2" t="s">
        <v>99</v>
      </c>
      <c r="AA62" s="2" t="s">
        <v>142</v>
      </c>
      <c r="AB62" s="2" t="s">
        <v>101</v>
      </c>
      <c r="AC62" s="2">
        <v>74.180000000000007</v>
      </c>
      <c r="AD62" s="2">
        <v>98.5</v>
      </c>
      <c r="AE62" s="2">
        <v>93.94</v>
      </c>
      <c r="AF62" s="2" t="s">
        <v>761</v>
      </c>
      <c r="AG62" s="2" t="s">
        <v>194</v>
      </c>
      <c r="AH62" s="2" t="s">
        <v>762</v>
      </c>
      <c r="AI62" s="2">
        <v>1.81</v>
      </c>
      <c r="AJ62" s="2">
        <v>22.207850699641298</v>
      </c>
      <c r="AK62" s="2">
        <v>21.672605412080902</v>
      </c>
      <c r="AL62" s="2">
        <v>21.7189639838533</v>
      </c>
      <c r="AM62" s="2">
        <v>22.1074859547359</v>
      </c>
      <c r="AN62" s="2">
        <v>21.9654166112227</v>
      </c>
      <c r="AO62" s="2">
        <v>21.7303390197998</v>
      </c>
      <c r="AP62" s="2">
        <v>21.867986781741902</v>
      </c>
      <c r="AQ62" s="2">
        <v>21.820901160868299</v>
      </c>
      <c r="AR62" s="2">
        <v>19.6343841755643</v>
      </c>
      <c r="AS62" s="2">
        <v>20.4647962562982</v>
      </c>
      <c r="AT62" s="2">
        <v>23.382233820383899</v>
      </c>
      <c r="AU62" s="2">
        <v>20.0680531512863</v>
      </c>
      <c r="AV62" s="2">
        <v>20.3917801446003</v>
      </c>
      <c r="AW62" s="2">
        <v>20.7208394402887</v>
      </c>
      <c r="AX62" s="2">
        <v>22.1704405423514</v>
      </c>
      <c r="AY62" s="2">
        <v>21.002520301247099</v>
      </c>
      <c r="AZ62" s="2">
        <v>19.769521302704899</v>
      </c>
      <c r="BA62" s="2">
        <v>22.031709773104499</v>
      </c>
      <c r="BB62" s="2">
        <v>21.713160459374599</v>
      </c>
      <c r="BC62" s="2">
        <v>23.2451866334067</v>
      </c>
      <c r="BD62" s="2">
        <v>18.763453947941301</v>
      </c>
      <c r="BE62" s="2">
        <v>20.253928865524799</v>
      </c>
      <c r="BF62" s="2">
        <v>21.567845588116</v>
      </c>
      <c r="BG62" s="2">
        <v>22.4265407631726</v>
      </c>
      <c r="BH62" s="2">
        <v>20.1490220328728</v>
      </c>
      <c r="BI62" s="2">
        <v>22.301957133836599</v>
      </c>
      <c r="BJ62" s="2">
        <v>21.264805616537799</v>
      </c>
      <c r="BK62" s="2">
        <v>20.472646946104501</v>
      </c>
      <c r="BL62" s="2">
        <v>22.397556489344801</v>
      </c>
      <c r="BM62" s="2">
        <v>20.276862731743599</v>
      </c>
      <c r="BN62" s="2">
        <v>20.0199915389315</v>
      </c>
      <c r="BO62" s="2">
        <v>21.447228477041001</v>
      </c>
      <c r="BP62" s="2">
        <v>21.854166921263101</v>
      </c>
      <c r="BQ62" s="2">
        <v>22.2422175855754</v>
      </c>
      <c r="BR62" s="2">
        <v>22.108135765505299</v>
      </c>
      <c r="BS62" s="2">
        <v>20.034441244893902</v>
      </c>
      <c r="BT62" s="2">
        <v>20.775935388022901</v>
      </c>
      <c r="BU62" s="2">
        <v>21.790277871935501</v>
      </c>
      <c r="BV62" s="2">
        <v>22.291870481322398</v>
      </c>
      <c r="BW62" s="2">
        <v>21.5016074071203</v>
      </c>
      <c r="BX62" s="2">
        <v>20.606195338196699</v>
      </c>
      <c r="BY62" s="2">
        <v>20.128846310688001</v>
      </c>
      <c r="BZ62" s="2">
        <v>22.421820116505501</v>
      </c>
      <c r="CA62" s="2">
        <v>20.1765910406322</v>
      </c>
      <c r="CB62" s="2">
        <v>22.340168588625001</v>
      </c>
      <c r="CC62" s="2">
        <v>22.623474028571199</v>
      </c>
      <c r="CD62" s="2">
        <v>21.111380331251699</v>
      </c>
      <c r="CE62" s="2">
        <v>23.5542434644907</v>
      </c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</row>
    <row r="63" spans="1:97">
      <c r="A63" s="2" t="s">
        <v>763</v>
      </c>
      <c r="B63" s="2">
        <v>291.08265999999998</v>
      </c>
      <c r="C63" s="2">
        <v>0.81200000000000006</v>
      </c>
      <c r="D63" s="2" t="s">
        <v>146</v>
      </c>
      <c r="E63" s="2" t="s">
        <v>764</v>
      </c>
      <c r="F63" s="2" t="s">
        <v>765</v>
      </c>
      <c r="G63" s="2">
        <v>211448</v>
      </c>
      <c r="H63" s="3" t="str">
        <f>HYPERLINK("https://cloud.oebiotech.com/#/lm/network/211448", "https://cloud.oebiotech.com/#/lm/network/211448")</f>
        <v>https://cloud.oebiotech.com/#/lm/network/211448</v>
      </c>
      <c r="I63" s="2" t="s">
        <v>766</v>
      </c>
      <c r="J63" s="2"/>
      <c r="K63" s="2"/>
      <c r="L63" s="2">
        <v>18185437</v>
      </c>
      <c r="M63" s="2"/>
      <c r="N63" s="2"/>
      <c r="O63" s="2"/>
      <c r="P63" s="2"/>
      <c r="Q63" s="2"/>
      <c r="R63" s="2"/>
      <c r="S63" s="2"/>
      <c r="T63" s="2" t="s">
        <v>767</v>
      </c>
      <c r="U63" s="2" t="s">
        <v>768</v>
      </c>
      <c r="V63" s="2" t="s">
        <v>115</v>
      </c>
      <c r="W63" s="2" t="s">
        <v>116</v>
      </c>
      <c r="X63" s="2" t="s">
        <v>769</v>
      </c>
      <c r="Y63" s="2" t="s">
        <v>118</v>
      </c>
      <c r="Z63" s="2" t="s">
        <v>119</v>
      </c>
      <c r="AA63" s="2" t="s">
        <v>770</v>
      </c>
      <c r="AB63" s="2" t="s">
        <v>101</v>
      </c>
      <c r="AC63" s="2">
        <v>74.17</v>
      </c>
      <c r="AD63" s="2">
        <v>99.19</v>
      </c>
      <c r="AE63" s="2">
        <v>91.2</v>
      </c>
      <c r="AF63" s="2" t="s">
        <v>771</v>
      </c>
      <c r="AG63" s="2" t="s">
        <v>194</v>
      </c>
      <c r="AH63" s="2" t="s">
        <v>772</v>
      </c>
      <c r="AI63" s="2">
        <v>2.4</v>
      </c>
      <c r="AJ63" s="2">
        <v>31.557522927372599</v>
      </c>
      <c r="AK63" s="2">
        <v>31.417816734135599</v>
      </c>
      <c r="AL63" s="2">
        <v>31.531030803991101</v>
      </c>
      <c r="AM63" s="2">
        <v>31.6411269271502</v>
      </c>
      <c r="AN63" s="2">
        <v>31.476767857640599</v>
      </c>
      <c r="AO63" s="2">
        <v>31.520190572301701</v>
      </c>
      <c r="AP63" s="2">
        <v>31.638466859495999</v>
      </c>
      <c r="AQ63" s="2">
        <v>31.439575495892001</v>
      </c>
      <c r="AR63" s="2">
        <v>31.636671841237401</v>
      </c>
      <c r="AS63" s="2">
        <v>31.509110524476199</v>
      </c>
      <c r="AT63" s="2">
        <v>31.280309044726799</v>
      </c>
      <c r="AU63" s="2">
        <v>31.9362375242628</v>
      </c>
      <c r="AV63" s="2">
        <v>31.413863034399199</v>
      </c>
      <c r="AW63" s="2">
        <v>31.5847251319469</v>
      </c>
      <c r="AX63" s="2">
        <v>31.318644877819601</v>
      </c>
      <c r="AY63" s="2">
        <v>31.491814092807701</v>
      </c>
      <c r="AZ63" s="2">
        <v>31.346784472242199</v>
      </c>
      <c r="BA63" s="2">
        <v>31.8228434300453</v>
      </c>
      <c r="BB63" s="2">
        <v>31.665146756066701</v>
      </c>
      <c r="BC63" s="2">
        <v>23.649834910323499</v>
      </c>
      <c r="BD63" s="2">
        <v>31.794912310130599</v>
      </c>
      <c r="BE63" s="2">
        <v>31.5227400996123</v>
      </c>
      <c r="BF63" s="2">
        <v>31.761705111373399</v>
      </c>
      <c r="BG63" s="2">
        <v>31.488478303163699</v>
      </c>
      <c r="BH63" s="2">
        <v>31.5204546281639</v>
      </c>
      <c r="BI63" s="2">
        <v>31.340489965296499</v>
      </c>
      <c r="BJ63" s="2">
        <v>31.346502991644101</v>
      </c>
      <c r="BK63" s="2">
        <v>31.780089989861601</v>
      </c>
      <c r="BL63" s="2">
        <v>31.6146506551156</v>
      </c>
      <c r="BM63" s="2">
        <v>32.284245516749699</v>
      </c>
      <c r="BN63" s="2">
        <v>31.2925156889508</v>
      </c>
      <c r="BO63" s="2">
        <v>31.264653297984101</v>
      </c>
      <c r="BP63" s="2">
        <v>31.0028391549235</v>
      </c>
      <c r="BQ63" s="2">
        <v>31.546800069575799</v>
      </c>
      <c r="BR63" s="2">
        <v>31.3113930031396</v>
      </c>
      <c r="BS63" s="2">
        <v>31.295896274545999</v>
      </c>
      <c r="BT63" s="2">
        <v>31.385907192326201</v>
      </c>
      <c r="BU63" s="2">
        <v>31.486325220767601</v>
      </c>
      <c r="BV63" s="2">
        <v>31.518490362886499</v>
      </c>
      <c r="BW63" s="2">
        <v>31.982751901127699</v>
      </c>
      <c r="BX63" s="2">
        <v>31.619584298529801</v>
      </c>
      <c r="BY63" s="2">
        <v>31.105891481070799</v>
      </c>
      <c r="BZ63" s="2">
        <v>23.928402586942401</v>
      </c>
      <c r="CA63" s="2">
        <v>31.370146623861999</v>
      </c>
      <c r="CB63" s="2">
        <v>31.336086454512198</v>
      </c>
      <c r="CC63" s="2">
        <v>31.475659567725199</v>
      </c>
      <c r="CD63" s="2">
        <v>30.909843794130499</v>
      </c>
      <c r="CE63" s="2">
        <v>31.3835532927746</v>
      </c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</row>
    <row r="64" spans="1:97">
      <c r="A64" s="2" t="s">
        <v>773</v>
      </c>
      <c r="B64" s="2">
        <v>301.21668</v>
      </c>
      <c r="C64" s="2">
        <v>12.113</v>
      </c>
      <c r="D64" s="2" t="s">
        <v>146</v>
      </c>
      <c r="E64" s="2" t="s">
        <v>774</v>
      </c>
      <c r="F64" s="2" t="s">
        <v>775</v>
      </c>
      <c r="G64" s="2">
        <v>1173</v>
      </c>
      <c r="H64" s="3" t="str">
        <f>HYPERLINK("https://cloud.oebiotech.com/#/lm/network/1173", "https://cloud.oebiotech.com/#/lm/network/1173")</f>
        <v>https://cloud.oebiotech.com/#/lm/network/1173</v>
      </c>
      <c r="I64" s="2" t="s">
        <v>776</v>
      </c>
      <c r="J64" s="2">
        <v>6423</v>
      </c>
      <c r="K64" s="2" t="s">
        <v>777</v>
      </c>
      <c r="L64" s="2">
        <v>446284</v>
      </c>
      <c r="M64" s="2" t="s">
        <v>778</v>
      </c>
      <c r="N64" s="2" t="s">
        <v>598</v>
      </c>
      <c r="O64" s="2" t="s">
        <v>599</v>
      </c>
      <c r="P64" s="2">
        <v>28364</v>
      </c>
      <c r="Q64" s="2" t="s">
        <v>779</v>
      </c>
      <c r="R64" s="2" t="s">
        <v>780</v>
      </c>
      <c r="S64" s="2" t="s">
        <v>781</v>
      </c>
      <c r="T64" s="2" t="s">
        <v>782</v>
      </c>
      <c r="U64" s="2" t="s">
        <v>783</v>
      </c>
      <c r="V64" s="2" t="s">
        <v>95</v>
      </c>
      <c r="W64" s="2" t="s">
        <v>96</v>
      </c>
      <c r="X64" s="2" t="s">
        <v>141</v>
      </c>
      <c r="Y64" s="2" t="s">
        <v>98</v>
      </c>
      <c r="Z64" s="2" t="s">
        <v>99</v>
      </c>
      <c r="AA64" s="2" t="s">
        <v>142</v>
      </c>
      <c r="AB64" s="2" t="s">
        <v>101</v>
      </c>
      <c r="AC64" s="2">
        <v>74.11</v>
      </c>
      <c r="AD64" s="2">
        <v>96.94</v>
      </c>
      <c r="AE64" s="2">
        <v>97.21</v>
      </c>
      <c r="AF64" s="2" t="s">
        <v>784</v>
      </c>
      <c r="AG64" s="2" t="s">
        <v>194</v>
      </c>
      <c r="AH64" s="2" t="s">
        <v>785</v>
      </c>
      <c r="AI64" s="2">
        <v>1.99</v>
      </c>
      <c r="AJ64" s="2">
        <v>22.0353217356108</v>
      </c>
      <c r="AK64" s="2">
        <v>21.669351860457599</v>
      </c>
      <c r="AL64" s="2">
        <v>21.2577141679756</v>
      </c>
      <c r="AM64" s="2">
        <v>21.129922501278099</v>
      </c>
      <c r="AN64" s="2">
        <v>21.615619858271099</v>
      </c>
      <c r="AO64" s="2">
        <v>21.5083149279221</v>
      </c>
      <c r="AP64" s="2">
        <v>21.526594987392201</v>
      </c>
      <c r="AQ64" s="2">
        <v>21.492538041656701</v>
      </c>
      <c r="AR64" s="2">
        <v>22.041591386035599</v>
      </c>
      <c r="AS64" s="2">
        <v>20.619472539716</v>
      </c>
      <c r="AT64" s="2">
        <v>21.469486782224799</v>
      </c>
      <c r="AU64" s="2">
        <v>19.7549377742369</v>
      </c>
      <c r="AV64" s="2">
        <v>19.822152555678301</v>
      </c>
      <c r="AW64" s="2">
        <v>20.494105880194699</v>
      </c>
      <c r="AX64" s="2">
        <v>21.613046683753598</v>
      </c>
      <c r="AY64" s="2">
        <v>20.358101117052101</v>
      </c>
      <c r="AZ64" s="2">
        <v>22.405129065234298</v>
      </c>
      <c r="BA64" s="2">
        <v>22.517692940583199</v>
      </c>
      <c r="BB64" s="2">
        <v>20.7345467049267</v>
      </c>
      <c r="BC64" s="2">
        <v>22.332366633262499</v>
      </c>
      <c r="BD64" s="2">
        <v>20.3708427691686</v>
      </c>
      <c r="BE64" s="2">
        <v>20.320986874970998</v>
      </c>
      <c r="BF64" s="2">
        <v>20.344172387037901</v>
      </c>
      <c r="BG64" s="2">
        <v>22.170977597573501</v>
      </c>
      <c r="BH64" s="2">
        <v>21.062291478447499</v>
      </c>
      <c r="BI64" s="2">
        <v>20.541090913621701</v>
      </c>
      <c r="BJ64" s="2">
        <v>22.589495045660701</v>
      </c>
      <c r="BK64" s="2">
        <v>20.477237567912699</v>
      </c>
      <c r="BL64" s="2">
        <v>22.025004606851599</v>
      </c>
      <c r="BM64" s="2">
        <v>21.291574389253299</v>
      </c>
      <c r="BN64" s="2">
        <v>19.648793295221999</v>
      </c>
      <c r="BO64" s="2">
        <v>21.541620312310801</v>
      </c>
      <c r="BP64" s="2">
        <v>20.336116509406899</v>
      </c>
      <c r="BQ64" s="2">
        <v>21.468863721838002</v>
      </c>
      <c r="BR64" s="2">
        <v>21.7331022442646</v>
      </c>
      <c r="BS64" s="2">
        <v>20.911395455181001</v>
      </c>
      <c r="BT64" s="2">
        <v>24.121695128950002</v>
      </c>
      <c r="BU64" s="2">
        <v>22.266442610162599</v>
      </c>
      <c r="BV64" s="2">
        <v>21.403954116373001</v>
      </c>
      <c r="BW64" s="2">
        <v>20.106095307566001</v>
      </c>
      <c r="BX64" s="2">
        <v>20.0108310212478</v>
      </c>
      <c r="BY64" s="2">
        <v>20.696214307743201</v>
      </c>
      <c r="BZ64" s="2">
        <v>20.201198784151</v>
      </c>
      <c r="CA64" s="2">
        <v>20.613244959704801</v>
      </c>
      <c r="CB64" s="2">
        <v>22.851805917801599</v>
      </c>
      <c r="CC64" s="2">
        <v>20.8195511564927</v>
      </c>
      <c r="CD64" s="2">
        <v>21.430590421525</v>
      </c>
      <c r="CE64" s="2">
        <v>22.688008069982899</v>
      </c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</row>
    <row r="65" spans="1:97">
      <c r="A65" s="2" t="s">
        <v>786</v>
      </c>
      <c r="B65" s="2">
        <v>568.33884</v>
      </c>
      <c r="C65" s="2">
        <v>10.364000000000001</v>
      </c>
      <c r="D65" s="2" t="s">
        <v>84</v>
      </c>
      <c r="E65" s="2" t="s">
        <v>787</v>
      </c>
      <c r="F65" s="2" t="s">
        <v>788</v>
      </c>
      <c r="G65" s="2">
        <v>19850</v>
      </c>
      <c r="H65" s="3" t="str">
        <f>HYPERLINK("https://cloud.oebiotech.com/#/lm/network/19850", "https://cloud.oebiotech.com/#/lm/network/19850")</f>
        <v>https://cloud.oebiotech.com/#/lm/network/19850</v>
      </c>
      <c r="I65" s="2" t="s">
        <v>789</v>
      </c>
      <c r="J65" s="2">
        <v>40322</v>
      </c>
      <c r="K65" s="2" t="s">
        <v>790</v>
      </c>
      <c r="L65" s="2">
        <v>10415542</v>
      </c>
      <c r="M65" s="2" t="s">
        <v>264</v>
      </c>
      <c r="N65" s="2" t="s">
        <v>265</v>
      </c>
      <c r="O65" s="2" t="s">
        <v>266</v>
      </c>
      <c r="P65" s="2">
        <v>73873</v>
      </c>
      <c r="Q65" s="2"/>
      <c r="R65" s="2"/>
      <c r="S65" s="2" t="s">
        <v>791</v>
      </c>
      <c r="T65" s="2" t="s">
        <v>792</v>
      </c>
      <c r="U65" s="2" t="s">
        <v>793</v>
      </c>
      <c r="V65" s="2" t="s">
        <v>95</v>
      </c>
      <c r="W65" s="2" t="s">
        <v>202</v>
      </c>
      <c r="X65" s="2" t="s">
        <v>203</v>
      </c>
      <c r="Y65" s="2" t="s">
        <v>98</v>
      </c>
      <c r="Z65" s="2" t="s">
        <v>204</v>
      </c>
      <c r="AA65" s="2" t="s">
        <v>205</v>
      </c>
      <c r="AB65" s="2" t="s">
        <v>101</v>
      </c>
      <c r="AC65" s="2">
        <v>74.099999999999994</v>
      </c>
      <c r="AD65" s="2">
        <v>98.14</v>
      </c>
      <c r="AE65" s="2">
        <v>95.68</v>
      </c>
      <c r="AF65" s="2" t="s">
        <v>794</v>
      </c>
      <c r="AG65" s="2" t="s">
        <v>103</v>
      </c>
      <c r="AH65" s="2" t="s">
        <v>795</v>
      </c>
      <c r="AI65" s="2">
        <v>1.76</v>
      </c>
      <c r="AJ65" s="2">
        <v>27.453196543886001</v>
      </c>
      <c r="AK65" s="2">
        <v>27.440109114570099</v>
      </c>
      <c r="AL65" s="2">
        <v>27.5049113087724</v>
      </c>
      <c r="AM65" s="2">
        <v>27.5513790756087</v>
      </c>
      <c r="AN65" s="2">
        <v>27.5287638980463</v>
      </c>
      <c r="AO65" s="2">
        <v>27.570503062503601</v>
      </c>
      <c r="AP65" s="2">
        <v>27.5711930518966</v>
      </c>
      <c r="AQ65" s="2">
        <v>27.3965531594156</v>
      </c>
      <c r="AR65" s="2">
        <v>27.732483697360198</v>
      </c>
      <c r="AS65" s="2">
        <v>25.849254309537098</v>
      </c>
      <c r="AT65" s="2">
        <v>26.844978692818501</v>
      </c>
      <c r="AU65" s="2">
        <v>27.146744904167399</v>
      </c>
      <c r="AV65" s="2">
        <v>26.828623014195799</v>
      </c>
      <c r="AW65" s="2">
        <v>27.454149947266899</v>
      </c>
      <c r="AX65" s="2">
        <v>27.803567014574401</v>
      </c>
      <c r="AY65" s="2">
        <v>27.1623285134905</v>
      </c>
      <c r="AZ65" s="2">
        <v>27.186617224151501</v>
      </c>
      <c r="BA65" s="2">
        <v>26.4647609094005</v>
      </c>
      <c r="BB65" s="2">
        <v>27.3761581865358</v>
      </c>
      <c r="BC65" s="2">
        <v>27.7757938231276</v>
      </c>
      <c r="BD65" s="2">
        <v>27.8450536383389</v>
      </c>
      <c r="BE65" s="2">
        <v>27.407619880869699</v>
      </c>
      <c r="BF65" s="2">
        <v>27.3394244906473</v>
      </c>
      <c r="BG65" s="2">
        <v>28.187241013798801</v>
      </c>
      <c r="BH65" s="2">
        <v>27.786188854512499</v>
      </c>
      <c r="BI65" s="2">
        <v>27.0464194962757</v>
      </c>
      <c r="BJ65" s="2">
        <v>27.402282351292801</v>
      </c>
      <c r="BK65" s="2">
        <v>26.681138852969699</v>
      </c>
      <c r="BL65" s="2">
        <v>26.890686153834299</v>
      </c>
      <c r="BM65" s="2">
        <v>26.5127919937147</v>
      </c>
      <c r="BN65" s="2">
        <v>27.329495964769201</v>
      </c>
      <c r="BO65" s="2">
        <v>27.484622023284299</v>
      </c>
      <c r="BP65" s="2">
        <v>27.010226600103898</v>
      </c>
      <c r="BQ65" s="2">
        <v>27.311426710758798</v>
      </c>
      <c r="BR65" s="2">
        <v>27.0435561233122</v>
      </c>
      <c r="BS65" s="2">
        <v>27.8737259088334</v>
      </c>
      <c r="BT65" s="2">
        <v>28.250910841553001</v>
      </c>
      <c r="BU65" s="2">
        <v>26.9233028377108</v>
      </c>
      <c r="BV65" s="2">
        <v>27.444496545807201</v>
      </c>
      <c r="BW65" s="2">
        <v>26.9118567524398</v>
      </c>
      <c r="BX65" s="2">
        <v>27.698237952942002</v>
      </c>
      <c r="BY65" s="2">
        <v>27.8952852625969</v>
      </c>
      <c r="BZ65" s="2">
        <v>27.083045174429301</v>
      </c>
      <c r="CA65" s="2">
        <v>27.9895011074045</v>
      </c>
      <c r="CB65" s="2">
        <v>27.112748629550602</v>
      </c>
      <c r="CC65" s="2">
        <v>26.8828825982742</v>
      </c>
      <c r="CD65" s="2">
        <v>28.194480974730201</v>
      </c>
      <c r="CE65" s="2">
        <v>26.875603505279201</v>
      </c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</row>
    <row r="66" spans="1:97">
      <c r="A66" s="2" t="s">
        <v>796</v>
      </c>
      <c r="B66" s="2">
        <v>524.37005999999997</v>
      </c>
      <c r="C66" s="2">
        <v>11.582000000000001</v>
      </c>
      <c r="D66" s="2" t="s">
        <v>84</v>
      </c>
      <c r="E66" s="2" t="s">
        <v>797</v>
      </c>
      <c r="F66" s="2" t="s">
        <v>798</v>
      </c>
      <c r="G66" s="2">
        <v>19860</v>
      </c>
      <c r="H66" s="3" t="str">
        <f>HYPERLINK("https://cloud.oebiotech.com/#/lm/network/19860", "https://cloud.oebiotech.com/#/lm/network/19860")</f>
        <v>https://cloud.oebiotech.com/#/lm/network/19860</v>
      </c>
      <c r="I66" s="2" t="s">
        <v>799</v>
      </c>
      <c r="J66" s="2">
        <v>40342</v>
      </c>
      <c r="K66" s="2" t="s">
        <v>800</v>
      </c>
      <c r="L66" s="2">
        <v>24779491</v>
      </c>
      <c r="M66" s="2"/>
      <c r="N66" s="2"/>
      <c r="O66" s="2"/>
      <c r="P66" s="2">
        <v>76076</v>
      </c>
      <c r="Q66" s="2"/>
      <c r="R66" s="2"/>
      <c r="S66" s="2" t="s">
        <v>801</v>
      </c>
      <c r="T66" s="2" t="s">
        <v>802</v>
      </c>
      <c r="U66" s="2" t="s">
        <v>803</v>
      </c>
      <c r="V66" s="2" t="s">
        <v>95</v>
      </c>
      <c r="W66" s="2" t="s">
        <v>202</v>
      </c>
      <c r="X66" s="2" t="s">
        <v>203</v>
      </c>
      <c r="Y66" s="2" t="s">
        <v>98</v>
      </c>
      <c r="Z66" s="2" t="s">
        <v>204</v>
      </c>
      <c r="AA66" s="2" t="s">
        <v>205</v>
      </c>
      <c r="AB66" s="2" t="s">
        <v>101</v>
      </c>
      <c r="AC66" s="2">
        <v>74.05</v>
      </c>
      <c r="AD66" s="2">
        <v>99.05</v>
      </c>
      <c r="AE66" s="2">
        <v>87.98</v>
      </c>
      <c r="AF66" s="2" t="s">
        <v>804</v>
      </c>
      <c r="AG66" s="2" t="s">
        <v>103</v>
      </c>
      <c r="AH66" s="2" t="s">
        <v>805</v>
      </c>
      <c r="AI66" s="2">
        <v>1.91</v>
      </c>
      <c r="AJ66" s="2">
        <v>30.854021057478501</v>
      </c>
      <c r="AK66" s="2">
        <v>30.852250144069501</v>
      </c>
      <c r="AL66" s="2">
        <v>30.910884210702299</v>
      </c>
      <c r="AM66" s="2">
        <v>30.8333155217545</v>
      </c>
      <c r="AN66" s="2">
        <v>30.7517317201061</v>
      </c>
      <c r="AO66" s="2">
        <v>30.8222316877075</v>
      </c>
      <c r="AP66" s="2">
        <v>30.847363521139801</v>
      </c>
      <c r="AQ66" s="2">
        <v>30.841350385335101</v>
      </c>
      <c r="AR66" s="2">
        <v>31.396926819035102</v>
      </c>
      <c r="AS66" s="2">
        <v>29.668622851557799</v>
      </c>
      <c r="AT66" s="2">
        <v>30.530459268299499</v>
      </c>
      <c r="AU66" s="2">
        <v>30.775232072958499</v>
      </c>
      <c r="AV66" s="2">
        <v>30.387934445957299</v>
      </c>
      <c r="AW66" s="2">
        <v>30.670456983585101</v>
      </c>
      <c r="AX66" s="2">
        <v>30.837890478144701</v>
      </c>
      <c r="AY66" s="2">
        <v>30.681943880587198</v>
      </c>
      <c r="AZ66" s="2">
        <v>31.025010618726501</v>
      </c>
      <c r="BA66" s="2">
        <v>29.6416449847591</v>
      </c>
      <c r="BB66" s="2">
        <v>30.7422659054678</v>
      </c>
      <c r="BC66" s="2">
        <v>31.329704154739598</v>
      </c>
      <c r="BD66" s="2">
        <v>30.845606769001002</v>
      </c>
      <c r="BE66" s="2">
        <v>31.3419580955158</v>
      </c>
      <c r="BF66" s="2">
        <v>30.3137623475594</v>
      </c>
      <c r="BG66" s="2">
        <v>30.9332570249395</v>
      </c>
      <c r="BH66" s="2">
        <v>30.639175586067701</v>
      </c>
      <c r="BI66" s="2">
        <v>30.693411022045002</v>
      </c>
      <c r="BJ66" s="2">
        <v>30.238016975669598</v>
      </c>
      <c r="BK66" s="2">
        <v>30.290381258351399</v>
      </c>
      <c r="BL66" s="2">
        <v>31.0694306615381</v>
      </c>
      <c r="BM66" s="2">
        <v>30.435597658827898</v>
      </c>
      <c r="BN66" s="2">
        <v>30.648675582927101</v>
      </c>
      <c r="BO66" s="2">
        <v>30.729641523680201</v>
      </c>
      <c r="BP66" s="2">
        <v>30.727252088452001</v>
      </c>
      <c r="BQ66" s="2">
        <v>30.823916545920198</v>
      </c>
      <c r="BR66" s="2">
        <v>30.8708775319461</v>
      </c>
      <c r="BS66" s="2">
        <v>30.2485223011656</v>
      </c>
      <c r="BT66" s="2">
        <v>30.819382517824501</v>
      </c>
      <c r="BU66" s="2">
        <v>30.517880295215001</v>
      </c>
      <c r="BV66" s="2">
        <v>31.053373675468499</v>
      </c>
      <c r="BW66" s="2">
        <v>30.138353759092599</v>
      </c>
      <c r="BX66" s="2">
        <v>30.7973636190133</v>
      </c>
      <c r="BY66" s="2">
        <v>31.574972288932699</v>
      </c>
      <c r="BZ66" s="2">
        <v>30.5319296253499</v>
      </c>
      <c r="CA66" s="2">
        <v>30.935313004253</v>
      </c>
      <c r="CB66" s="2">
        <v>30.733612333013198</v>
      </c>
      <c r="CC66" s="2">
        <v>30.461013632194899</v>
      </c>
      <c r="CD66" s="2">
        <v>31.287540811497301</v>
      </c>
      <c r="CE66" s="2">
        <v>29.935082155463402</v>
      </c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</row>
    <row r="67" spans="1:97">
      <c r="A67" s="2" t="s">
        <v>806</v>
      </c>
      <c r="B67" s="2">
        <v>267.07301999999999</v>
      </c>
      <c r="C67" s="2">
        <v>1.355</v>
      </c>
      <c r="D67" s="2" t="s">
        <v>146</v>
      </c>
      <c r="E67" s="2" t="s">
        <v>807</v>
      </c>
      <c r="F67" s="2" t="s">
        <v>808</v>
      </c>
      <c r="G67" s="2">
        <v>46924</v>
      </c>
      <c r="H67" s="3" t="str">
        <f>HYPERLINK("https://cloud.oebiotech.com/#/lm/network/46924", "https://cloud.oebiotech.com/#/lm/network/46924")</f>
        <v>https://cloud.oebiotech.com/#/lm/network/46924</v>
      </c>
      <c r="I67" s="2" t="s">
        <v>809</v>
      </c>
      <c r="J67" s="2">
        <v>84</v>
      </c>
      <c r="K67" s="2"/>
      <c r="L67" s="2">
        <v>6021</v>
      </c>
      <c r="M67" s="2" t="s">
        <v>810</v>
      </c>
      <c r="N67" s="2" t="s">
        <v>811</v>
      </c>
      <c r="O67" s="2" t="s">
        <v>812</v>
      </c>
      <c r="P67" s="2">
        <v>17596</v>
      </c>
      <c r="Q67" s="2" t="s">
        <v>813</v>
      </c>
      <c r="R67" s="2" t="s">
        <v>814</v>
      </c>
      <c r="S67" s="2" t="s">
        <v>815</v>
      </c>
      <c r="T67" s="2" t="s">
        <v>816</v>
      </c>
      <c r="U67" s="2" t="s">
        <v>817</v>
      </c>
      <c r="V67" s="2" t="s">
        <v>818</v>
      </c>
      <c r="W67" s="2" t="s">
        <v>819</v>
      </c>
      <c r="X67" s="2" t="s">
        <v>375</v>
      </c>
      <c r="Y67" s="2" t="s">
        <v>820</v>
      </c>
      <c r="Z67" s="2" t="s">
        <v>821</v>
      </c>
      <c r="AA67" s="2"/>
      <c r="AB67" s="2" t="s">
        <v>101</v>
      </c>
      <c r="AC67" s="2">
        <v>74.02</v>
      </c>
      <c r="AD67" s="2">
        <v>92.5</v>
      </c>
      <c r="AE67" s="2">
        <v>95.96</v>
      </c>
      <c r="AF67" s="2" t="s">
        <v>822</v>
      </c>
      <c r="AG67" s="2" t="s">
        <v>194</v>
      </c>
      <c r="AH67" s="2" t="s">
        <v>823</v>
      </c>
      <c r="AI67" s="2">
        <v>1.87</v>
      </c>
      <c r="AJ67" s="2">
        <v>18.347490357149201</v>
      </c>
      <c r="AK67" s="2">
        <v>18.5514440697339</v>
      </c>
      <c r="AL67" s="2">
        <v>18.257470025128001</v>
      </c>
      <c r="AM67" s="2">
        <v>17.9073701227783</v>
      </c>
      <c r="AN67" s="2">
        <v>18.350132937789098</v>
      </c>
      <c r="AO67" s="2">
        <v>18.281606389162601</v>
      </c>
      <c r="AP67" s="2">
        <v>18.163730841051201</v>
      </c>
      <c r="AQ67" s="2">
        <v>18.5877176444721</v>
      </c>
      <c r="AR67" s="2">
        <v>13.136592265806</v>
      </c>
      <c r="AS67" s="2">
        <v>15.367491880401801</v>
      </c>
      <c r="AT67" s="2">
        <v>14.9623221742035</v>
      </c>
      <c r="AU67" s="2">
        <v>12.3038920277196</v>
      </c>
      <c r="AV67" s="2">
        <v>14.3562002194319</v>
      </c>
      <c r="AW67" s="2">
        <v>14.521612094100901</v>
      </c>
      <c r="AX67" s="2">
        <v>14.3739655656392</v>
      </c>
      <c r="AY67" s="2">
        <v>11.7005264159591</v>
      </c>
      <c r="AZ67" s="2">
        <v>14.2231268656239</v>
      </c>
      <c r="BA67" s="2">
        <v>9.6233145402724691</v>
      </c>
      <c r="BB67" s="2">
        <v>15.4503433016766</v>
      </c>
      <c r="BC67" s="2">
        <v>15.5464314888057</v>
      </c>
      <c r="BD67" s="2">
        <v>9.6233145402724691</v>
      </c>
      <c r="BE67" s="2">
        <v>9.6233145402724691</v>
      </c>
      <c r="BF67" s="2">
        <v>16.3087718519417</v>
      </c>
      <c r="BG67" s="2">
        <v>15.4184423121014</v>
      </c>
      <c r="BH67" s="2">
        <v>13.4096614161012</v>
      </c>
      <c r="BI67" s="2">
        <v>15.8909353959568</v>
      </c>
      <c r="BJ67" s="2">
        <v>19.455416587208902</v>
      </c>
      <c r="BK67" s="2">
        <v>16.4991616776848</v>
      </c>
      <c r="BL67" s="2">
        <v>14.975124737945899</v>
      </c>
      <c r="BM67" s="2">
        <v>12.687408491472</v>
      </c>
      <c r="BN67" s="2">
        <v>13.9378317167501</v>
      </c>
      <c r="BO67" s="2">
        <v>13.877256330121201</v>
      </c>
      <c r="BP67" s="2">
        <v>16.993882517211301</v>
      </c>
      <c r="BQ67" s="2">
        <v>15.868565768852401</v>
      </c>
      <c r="BR67" s="2">
        <v>21.896808975945</v>
      </c>
      <c r="BS67" s="2">
        <v>15.0569382452759</v>
      </c>
      <c r="BT67" s="2">
        <v>15.7591664992256</v>
      </c>
      <c r="BU67" s="2">
        <v>16.259310191608101</v>
      </c>
      <c r="BV67" s="2">
        <v>15.7974801644461</v>
      </c>
      <c r="BW67" s="2">
        <v>16.089851197072001</v>
      </c>
      <c r="BX67" s="2">
        <v>9.6233145402724691</v>
      </c>
      <c r="BY67" s="2">
        <v>17.420101100287798</v>
      </c>
      <c r="BZ67" s="2">
        <v>13.370976134851499</v>
      </c>
      <c r="CA67" s="2">
        <v>15.102352622592999</v>
      </c>
      <c r="CB67" s="2">
        <v>14.150509698481001</v>
      </c>
      <c r="CC67" s="2">
        <v>11.8791849985664</v>
      </c>
      <c r="CD67" s="2">
        <v>17.0976102822857</v>
      </c>
      <c r="CE67" s="2">
        <v>16.292692613131099</v>
      </c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</row>
    <row r="68" spans="1:97">
      <c r="A68" s="2" t="s">
        <v>824</v>
      </c>
      <c r="B68" s="2">
        <v>149.04514</v>
      </c>
      <c r="C68" s="2">
        <v>0.75700000000000001</v>
      </c>
      <c r="D68" s="2" t="s">
        <v>146</v>
      </c>
      <c r="E68" s="2" t="s">
        <v>825</v>
      </c>
      <c r="F68" s="2" t="s">
        <v>826</v>
      </c>
      <c r="G68" s="2">
        <v>1943</v>
      </c>
      <c r="H68" s="3" t="str">
        <f>HYPERLINK("https://cloud.oebiotech.com/#/lm/network/1943", "https://cloud.oebiotech.com/#/lm/network/1943")</f>
        <v>https://cloud.oebiotech.com/#/lm/network/1943</v>
      </c>
      <c r="I68" s="2" t="s">
        <v>827</v>
      </c>
      <c r="J68" s="2">
        <v>5355</v>
      </c>
      <c r="K68" s="2" t="s">
        <v>828</v>
      </c>
      <c r="L68" s="2">
        <v>11528367</v>
      </c>
      <c r="M68" s="2"/>
      <c r="N68" s="2"/>
      <c r="O68" s="2"/>
      <c r="P68" s="2">
        <v>86350</v>
      </c>
      <c r="Q68" s="2"/>
      <c r="R68" s="2"/>
      <c r="S68" s="2" t="s">
        <v>829</v>
      </c>
      <c r="T68" s="2" t="s">
        <v>830</v>
      </c>
      <c r="U68" s="2" t="s">
        <v>831</v>
      </c>
      <c r="V68" s="2" t="s">
        <v>115</v>
      </c>
      <c r="W68" s="2" t="s">
        <v>832</v>
      </c>
      <c r="X68" s="2" t="s">
        <v>833</v>
      </c>
      <c r="Y68" s="2" t="s">
        <v>118</v>
      </c>
      <c r="Z68" s="2" t="s">
        <v>834</v>
      </c>
      <c r="AA68" s="2" t="s">
        <v>835</v>
      </c>
      <c r="AB68" s="2" t="s">
        <v>101</v>
      </c>
      <c r="AC68" s="2">
        <v>74.010000000000005</v>
      </c>
      <c r="AD68" s="2">
        <v>96.65</v>
      </c>
      <c r="AE68" s="2">
        <v>92.61</v>
      </c>
      <c r="AF68" s="2" t="s">
        <v>836</v>
      </c>
      <c r="AG68" s="2" t="s">
        <v>194</v>
      </c>
      <c r="AH68" s="2" t="s">
        <v>837</v>
      </c>
      <c r="AI68" s="2">
        <v>2.68</v>
      </c>
      <c r="AJ68" s="2">
        <v>23.178437155479202</v>
      </c>
      <c r="AK68" s="2">
        <v>23.383588512485701</v>
      </c>
      <c r="AL68" s="2">
        <v>23.379339936979299</v>
      </c>
      <c r="AM68" s="2">
        <v>23.455097122213498</v>
      </c>
      <c r="AN68" s="2">
        <v>23.212210831260599</v>
      </c>
      <c r="AO68" s="2">
        <v>23.492686573604001</v>
      </c>
      <c r="AP68" s="2">
        <v>23.609071211057302</v>
      </c>
      <c r="AQ68" s="2">
        <v>23.349851386593201</v>
      </c>
      <c r="AR68" s="2">
        <v>23.1658004906398</v>
      </c>
      <c r="AS68" s="2">
        <v>22.025102294708201</v>
      </c>
      <c r="AT68" s="2">
        <v>22.2270251143526</v>
      </c>
      <c r="AU68" s="2">
        <v>23.270421698211798</v>
      </c>
      <c r="AV68" s="2">
        <v>23.0158930010437</v>
      </c>
      <c r="AW68" s="2">
        <v>23.238799189816</v>
      </c>
      <c r="AX68" s="2">
        <v>22.939030460228299</v>
      </c>
      <c r="AY68" s="2">
        <v>23.028277824640401</v>
      </c>
      <c r="AZ68" s="2">
        <v>22.999161056925601</v>
      </c>
      <c r="BA68" s="2">
        <v>22.393846739929</v>
      </c>
      <c r="BB68" s="2">
        <v>22.745310104220799</v>
      </c>
      <c r="BC68" s="2">
        <v>22.3682244657446</v>
      </c>
      <c r="BD68" s="2">
        <v>22.744200015489401</v>
      </c>
      <c r="BE68" s="2">
        <v>23.665956049771101</v>
      </c>
      <c r="BF68" s="2">
        <v>23.1775733905144</v>
      </c>
      <c r="BG68" s="2">
        <v>23.267911474987599</v>
      </c>
      <c r="BH68" s="2">
        <v>22.9643385090768</v>
      </c>
      <c r="BI68" s="2">
        <v>22.944073517919598</v>
      </c>
      <c r="BJ68" s="2">
        <v>22.787058971891199</v>
      </c>
      <c r="BK68" s="2">
        <v>23.524501340631701</v>
      </c>
      <c r="BL68" s="2">
        <v>22.707575038447398</v>
      </c>
      <c r="BM68" s="2">
        <v>23.497138765066701</v>
      </c>
      <c r="BN68" s="2">
        <v>24.7533848777203</v>
      </c>
      <c r="BO68" s="2">
        <v>23.693917369021001</v>
      </c>
      <c r="BP68" s="2">
        <v>23.542011827546698</v>
      </c>
      <c r="BQ68" s="2">
        <v>23.411466385660098</v>
      </c>
      <c r="BR68" s="2">
        <v>23.137540254086201</v>
      </c>
      <c r="BS68" s="2">
        <v>23.819323260049401</v>
      </c>
      <c r="BT68" s="2">
        <v>23.303281981598602</v>
      </c>
      <c r="BU68" s="2">
        <v>22.855931666724501</v>
      </c>
      <c r="BV68" s="2">
        <v>23.335983905358599</v>
      </c>
      <c r="BW68" s="2">
        <v>22.266310398429599</v>
      </c>
      <c r="BX68" s="2">
        <v>23.2187105345722</v>
      </c>
      <c r="BY68" s="2">
        <v>24.264987691570301</v>
      </c>
      <c r="BZ68" s="2">
        <v>23.274467872115601</v>
      </c>
      <c r="CA68" s="2">
        <v>22.339904367741902</v>
      </c>
      <c r="CB68" s="2">
        <v>22.952801071890001</v>
      </c>
      <c r="CC68" s="2">
        <v>23.602054332018</v>
      </c>
      <c r="CD68" s="2">
        <v>23.177168800926999</v>
      </c>
      <c r="CE68" s="2">
        <v>24.252964476330099</v>
      </c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</row>
    <row r="69" spans="1:97">
      <c r="A69" s="2" t="s">
        <v>838</v>
      </c>
      <c r="B69" s="2">
        <v>460.26877000000002</v>
      </c>
      <c r="C69" s="2">
        <v>9.8109999999999999</v>
      </c>
      <c r="D69" s="2" t="s">
        <v>84</v>
      </c>
      <c r="E69" s="2" t="s">
        <v>839</v>
      </c>
      <c r="F69" s="2" t="s">
        <v>840</v>
      </c>
      <c r="G69" s="2">
        <v>62376</v>
      </c>
      <c r="H69" s="3" t="str">
        <f>HYPERLINK("https://cloud.oebiotech.com/#/lm/network/62376", "https://cloud.oebiotech.com/#/lm/network/62376")</f>
        <v>https://cloud.oebiotech.com/#/lm/network/62376</v>
      </c>
      <c r="I69" s="2" t="s">
        <v>841</v>
      </c>
      <c r="J69" s="2">
        <v>93670</v>
      </c>
      <c r="K69" s="2"/>
      <c r="L69" s="2">
        <v>78178168</v>
      </c>
      <c r="M69" s="2"/>
      <c r="N69" s="2"/>
      <c r="O69" s="2"/>
      <c r="P69" s="2">
        <v>175561</v>
      </c>
      <c r="Q69" s="2"/>
      <c r="R69" s="2"/>
      <c r="S69" s="2" t="s">
        <v>842</v>
      </c>
      <c r="T69" s="2" t="s">
        <v>843</v>
      </c>
      <c r="U69" s="2" t="s">
        <v>844</v>
      </c>
      <c r="V69" s="2" t="s">
        <v>845</v>
      </c>
      <c r="W69" s="2" t="s">
        <v>846</v>
      </c>
      <c r="X69" s="2" t="s">
        <v>375</v>
      </c>
      <c r="Y69" s="2" t="s">
        <v>847</v>
      </c>
      <c r="Z69" s="2" t="s">
        <v>848</v>
      </c>
      <c r="AA69" s="2"/>
      <c r="AB69" s="2" t="s">
        <v>101</v>
      </c>
      <c r="AC69" s="2">
        <v>74.010000000000005</v>
      </c>
      <c r="AD69" s="2">
        <v>97.73</v>
      </c>
      <c r="AE69" s="2">
        <v>93.49</v>
      </c>
      <c r="AF69" s="2" t="s">
        <v>849</v>
      </c>
      <c r="AG69" s="2" t="s">
        <v>132</v>
      </c>
      <c r="AH69" s="2" t="s">
        <v>850</v>
      </c>
      <c r="AI69" s="2">
        <v>1.0900000000000001</v>
      </c>
      <c r="AJ69" s="2">
        <v>23.262735861792802</v>
      </c>
      <c r="AK69" s="2">
        <v>23.397576904776699</v>
      </c>
      <c r="AL69" s="2">
        <v>23.515856356184901</v>
      </c>
      <c r="AM69" s="2">
        <v>23.609064286754101</v>
      </c>
      <c r="AN69" s="2">
        <v>23.809208841377998</v>
      </c>
      <c r="AO69" s="2">
        <v>23.836026324674201</v>
      </c>
      <c r="AP69" s="2">
        <v>23.736997533742599</v>
      </c>
      <c r="AQ69" s="2">
        <v>23.8981553776499</v>
      </c>
      <c r="AR69" s="2">
        <v>23.765913888945899</v>
      </c>
      <c r="AS69" s="2">
        <v>22.686635315745502</v>
      </c>
      <c r="AT69" s="2">
        <v>22.4892038361623</v>
      </c>
      <c r="AU69" s="2">
        <v>22.370415030077599</v>
      </c>
      <c r="AV69" s="2">
        <v>22.528364261938702</v>
      </c>
      <c r="AW69" s="2">
        <v>22.7008112882828</v>
      </c>
      <c r="AX69" s="2">
        <v>22.936724047149301</v>
      </c>
      <c r="AY69" s="2">
        <v>22.692886217846201</v>
      </c>
      <c r="AZ69" s="2">
        <v>22.4666962188534</v>
      </c>
      <c r="BA69" s="2">
        <v>22.501875129478801</v>
      </c>
      <c r="BB69" s="2">
        <v>22.876501801005301</v>
      </c>
      <c r="BC69" s="2">
        <v>22.688940961268202</v>
      </c>
      <c r="BD69" s="2">
        <v>22.601501541280101</v>
      </c>
      <c r="BE69" s="2">
        <v>23.346181324002899</v>
      </c>
      <c r="BF69" s="2">
        <v>22.802710130557902</v>
      </c>
      <c r="BG69" s="2">
        <v>22.957121376352099</v>
      </c>
      <c r="BH69" s="2">
        <v>22.745648907286601</v>
      </c>
      <c r="BI69" s="2">
        <v>22.509942821097098</v>
      </c>
      <c r="BJ69" s="2">
        <v>22.512219644232498</v>
      </c>
      <c r="BK69" s="2">
        <v>22.7744398434339</v>
      </c>
      <c r="BL69" s="2">
        <v>22.9150006201764</v>
      </c>
      <c r="BM69" s="2">
        <v>23.073878822220099</v>
      </c>
      <c r="BN69" s="2">
        <v>23.259935626158899</v>
      </c>
      <c r="BO69" s="2">
        <v>23.093568076382201</v>
      </c>
      <c r="BP69" s="2">
        <v>24.155095028176</v>
      </c>
      <c r="BQ69" s="2">
        <v>23.303930803290999</v>
      </c>
      <c r="BR69" s="2">
        <v>22.904312144970099</v>
      </c>
      <c r="BS69" s="2">
        <v>22.776962422672401</v>
      </c>
      <c r="BT69" s="2">
        <v>22.982337669065299</v>
      </c>
      <c r="BU69" s="2">
        <v>22.8021621389106</v>
      </c>
      <c r="BV69" s="2">
        <v>22.9366741777208</v>
      </c>
      <c r="BW69" s="2">
        <v>22.985877219406401</v>
      </c>
      <c r="BX69" s="2">
        <v>22.9671823995076</v>
      </c>
      <c r="BY69" s="2">
        <v>24.6375456534793</v>
      </c>
      <c r="BZ69" s="2">
        <v>24.160239555681201</v>
      </c>
      <c r="CA69" s="2">
        <v>23.104935264012799</v>
      </c>
      <c r="CB69" s="2">
        <v>23.401574599393001</v>
      </c>
      <c r="CC69" s="2">
        <v>22.7171080104903</v>
      </c>
      <c r="CD69" s="2">
        <v>23.302641807363202</v>
      </c>
      <c r="CE69" s="2">
        <v>23.342462203636199</v>
      </c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</row>
    <row r="70" spans="1:97">
      <c r="A70" s="2" t="s">
        <v>851</v>
      </c>
      <c r="B70" s="2">
        <v>510.39121</v>
      </c>
      <c r="C70" s="2">
        <v>11.965999999999999</v>
      </c>
      <c r="D70" s="2" t="s">
        <v>84</v>
      </c>
      <c r="E70" s="2" t="s">
        <v>852</v>
      </c>
      <c r="F70" s="2" t="s">
        <v>853</v>
      </c>
      <c r="G70" s="2">
        <v>273689</v>
      </c>
      <c r="H70" s="3" t="str">
        <f>HYPERLINK("https://cloud.oebiotech.com/#/lm/network/273689", "https://cloud.oebiotech.com/#/lm/network/273689")</f>
        <v>https://cloud.oebiotech.com/#/lm/network/273689</v>
      </c>
      <c r="I70" s="2"/>
      <c r="J70" s="2">
        <v>62939</v>
      </c>
      <c r="K70" s="2"/>
      <c r="L70" s="2">
        <v>24779410</v>
      </c>
      <c r="M70" s="2"/>
      <c r="N70" s="2"/>
      <c r="O70" s="2"/>
      <c r="P70" s="2"/>
      <c r="Q70" s="2"/>
      <c r="R70" s="2"/>
      <c r="S70" s="2"/>
      <c r="T70" s="2" t="s">
        <v>854</v>
      </c>
      <c r="U70" s="2" t="s">
        <v>855</v>
      </c>
      <c r="V70" s="2" t="s">
        <v>95</v>
      </c>
      <c r="W70" s="2" t="s">
        <v>202</v>
      </c>
      <c r="X70" s="2" t="s">
        <v>203</v>
      </c>
      <c r="Y70" s="2" t="s">
        <v>98</v>
      </c>
      <c r="Z70" s="2" t="s">
        <v>204</v>
      </c>
      <c r="AA70" s="2" t="s">
        <v>205</v>
      </c>
      <c r="AB70" s="2" t="s">
        <v>101</v>
      </c>
      <c r="AC70" s="2">
        <v>73.989999999999995</v>
      </c>
      <c r="AD70" s="2">
        <v>95.97</v>
      </c>
      <c r="AE70" s="2">
        <v>96.59</v>
      </c>
      <c r="AF70" s="2" t="s">
        <v>856</v>
      </c>
      <c r="AG70" s="2" t="s">
        <v>103</v>
      </c>
      <c r="AH70" s="2" t="s">
        <v>857</v>
      </c>
      <c r="AI70" s="2">
        <v>1.18</v>
      </c>
      <c r="AJ70" s="2">
        <v>24.0856395491844</v>
      </c>
      <c r="AK70" s="2">
        <v>24.033897778271101</v>
      </c>
      <c r="AL70" s="2">
        <v>23.989504550250501</v>
      </c>
      <c r="AM70" s="2">
        <v>24.0980678235757</v>
      </c>
      <c r="AN70" s="2">
        <v>23.654652400568899</v>
      </c>
      <c r="AO70" s="2">
        <v>24.087085472485398</v>
      </c>
      <c r="AP70" s="2">
        <v>23.7423400735935</v>
      </c>
      <c r="AQ70" s="2">
        <v>24.112279146876201</v>
      </c>
      <c r="AR70" s="2">
        <v>23.687596808186701</v>
      </c>
      <c r="AS70" s="2">
        <v>22.7569603381564</v>
      </c>
      <c r="AT70" s="2">
        <v>23.093528378202301</v>
      </c>
      <c r="AU70" s="2">
        <v>22.561570369896401</v>
      </c>
      <c r="AV70" s="2">
        <v>23.7813735291063</v>
      </c>
      <c r="AW70" s="2">
        <v>22.6842009698704</v>
      </c>
      <c r="AX70" s="2">
        <v>23.729437978715101</v>
      </c>
      <c r="AY70" s="2">
        <v>22.696884147298899</v>
      </c>
      <c r="AZ70" s="2">
        <v>22.847728667032001</v>
      </c>
      <c r="BA70" s="2">
        <v>22.453817361473899</v>
      </c>
      <c r="BB70" s="2">
        <v>23.450187549615698</v>
      </c>
      <c r="BC70" s="2">
        <v>24.065488562404099</v>
      </c>
      <c r="BD70" s="2">
        <v>23.225913916182801</v>
      </c>
      <c r="BE70" s="2">
        <v>24.7180491199722</v>
      </c>
      <c r="BF70" s="2">
        <v>23.359749575065202</v>
      </c>
      <c r="BG70" s="2">
        <v>24.041900750805201</v>
      </c>
      <c r="BH70" s="2">
        <v>24.164960990584198</v>
      </c>
      <c r="BI70" s="2">
        <v>22.987606253427899</v>
      </c>
      <c r="BJ70" s="2">
        <v>23.267547999320101</v>
      </c>
      <c r="BK70" s="2">
        <v>23.530027151348801</v>
      </c>
      <c r="BL70" s="2">
        <v>24.414845135683699</v>
      </c>
      <c r="BM70" s="2">
        <v>24.301973801671501</v>
      </c>
      <c r="BN70" s="2">
        <v>24.2272153662792</v>
      </c>
      <c r="BO70" s="2">
        <v>24.296204417178402</v>
      </c>
      <c r="BP70" s="2">
        <v>24.217609056548199</v>
      </c>
      <c r="BQ70" s="2">
        <v>23.893250200573299</v>
      </c>
      <c r="BR70" s="2">
        <v>24.019953995657598</v>
      </c>
      <c r="BS70" s="2">
        <v>23.8945752639242</v>
      </c>
      <c r="BT70" s="2">
        <v>23.5519170034372</v>
      </c>
      <c r="BU70" s="2">
        <v>23.810325521269601</v>
      </c>
      <c r="BV70" s="2">
        <v>24.693183190135699</v>
      </c>
      <c r="BW70" s="2">
        <v>23.953449242721199</v>
      </c>
      <c r="BX70" s="2">
        <v>23.786883076832201</v>
      </c>
      <c r="BY70" s="2">
        <v>25.038771712939798</v>
      </c>
      <c r="BZ70" s="2">
        <v>23.501638478794</v>
      </c>
      <c r="CA70" s="2">
        <v>24.419111872231401</v>
      </c>
      <c r="CB70" s="2">
        <v>22.982976369039498</v>
      </c>
      <c r="CC70" s="2">
        <v>22.644957888878299</v>
      </c>
      <c r="CD70" s="2">
        <v>23.321964801021501</v>
      </c>
      <c r="CE70" s="2">
        <v>23.242069694153699</v>
      </c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</row>
    <row r="71" spans="1:97">
      <c r="A71" s="2" t="s">
        <v>858</v>
      </c>
      <c r="B71" s="2">
        <v>172.99091000000001</v>
      </c>
      <c r="C71" s="2">
        <v>3.9089999999999998</v>
      </c>
      <c r="D71" s="2" t="s">
        <v>146</v>
      </c>
      <c r="E71" s="2" t="s">
        <v>859</v>
      </c>
      <c r="F71" s="2" t="s">
        <v>860</v>
      </c>
      <c r="G71" s="2">
        <v>82031</v>
      </c>
      <c r="H71" s="3" t="str">
        <f>HYPERLINK("https://cloud.oebiotech.com/#/lm/network/82031", "https://cloud.oebiotech.com/#/lm/network/82031")</f>
        <v>https://cloud.oebiotech.com/#/lm/network/82031</v>
      </c>
      <c r="I71" s="2" t="s">
        <v>861</v>
      </c>
      <c r="J71" s="2"/>
      <c r="K71" s="2"/>
      <c r="L71" s="2">
        <v>74426</v>
      </c>
      <c r="M71" s="2" t="s">
        <v>862</v>
      </c>
      <c r="N71" s="2"/>
      <c r="O71" s="2"/>
      <c r="P71" s="2">
        <v>27905</v>
      </c>
      <c r="Q71" s="2" t="s">
        <v>863</v>
      </c>
      <c r="R71" s="2" t="s">
        <v>864</v>
      </c>
      <c r="S71" s="2" t="s">
        <v>865</v>
      </c>
      <c r="T71" s="2" t="s">
        <v>866</v>
      </c>
      <c r="U71" s="2" t="s">
        <v>867</v>
      </c>
      <c r="V71" s="2" t="s">
        <v>115</v>
      </c>
      <c r="W71" s="2" t="s">
        <v>613</v>
      </c>
      <c r="X71" s="2" t="s">
        <v>614</v>
      </c>
      <c r="Y71" s="2" t="s">
        <v>118</v>
      </c>
      <c r="Z71" s="2" t="s">
        <v>615</v>
      </c>
      <c r="AA71" s="2" t="s">
        <v>616</v>
      </c>
      <c r="AB71" s="2" t="s">
        <v>101</v>
      </c>
      <c r="AC71" s="2">
        <v>73.98</v>
      </c>
      <c r="AD71" s="2">
        <v>93.34</v>
      </c>
      <c r="AE71" s="2">
        <v>99.52</v>
      </c>
      <c r="AF71" s="2" t="s">
        <v>868</v>
      </c>
      <c r="AG71" s="2" t="s">
        <v>194</v>
      </c>
      <c r="AH71" s="2" t="s">
        <v>869</v>
      </c>
      <c r="AI71" s="2">
        <v>2.89</v>
      </c>
      <c r="AJ71" s="2">
        <v>27.794898827750799</v>
      </c>
      <c r="AK71" s="2">
        <v>27.815107160889902</v>
      </c>
      <c r="AL71" s="2">
        <v>27.733990709391499</v>
      </c>
      <c r="AM71" s="2">
        <v>27.800026264612601</v>
      </c>
      <c r="AN71" s="2">
        <v>27.765172637672102</v>
      </c>
      <c r="AO71" s="2">
        <v>27.715018624347898</v>
      </c>
      <c r="AP71" s="2">
        <v>27.720240118007801</v>
      </c>
      <c r="AQ71" s="2">
        <v>27.649692916531102</v>
      </c>
      <c r="AR71" s="2">
        <v>26.429459877073501</v>
      </c>
      <c r="AS71" s="2">
        <v>26.733933183250901</v>
      </c>
      <c r="AT71" s="2">
        <v>25.080236354115399</v>
      </c>
      <c r="AU71" s="2">
        <v>27.349630614458299</v>
      </c>
      <c r="AV71" s="2">
        <v>25.692242443209601</v>
      </c>
      <c r="AW71" s="2">
        <v>28.3760677660228</v>
      </c>
      <c r="AX71" s="2">
        <v>27.670601574025401</v>
      </c>
      <c r="AY71" s="2">
        <v>25.948114412372099</v>
      </c>
      <c r="AZ71" s="2">
        <v>24.8985648991898</v>
      </c>
      <c r="BA71" s="2">
        <v>25.4096715424478</v>
      </c>
      <c r="BB71" s="2">
        <v>28.743671492026099</v>
      </c>
      <c r="BC71" s="2">
        <v>26.585039997605101</v>
      </c>
      <c r="BD71" s="2">
        <v>26.014649691062999</v>
      </c>
      <c r="BE71" s="2">
        <v>26.8467651691562</v>
      </c>
      <c r="BF71" s="2">
        <v>25.365442536652601</v>
      </c>
      <c r="BG71" s="2">
        <v>28.5583770829187</v>
      </c>
      <c r="BH71" s="2">
        <v>29.170690223591102</v>
      </c>
      <c r="BI71" s="2">
        <v>29.688159284787702</v>
      </c>
      <c r="BJ71" s="2">
        <v>26.6972000377217</v>
      </c>
      <c r="BK71" s="2">
        <v>25.168354046502401</v>
      </c>
      <c r="BL71" s="2">
        <v>26.741201280949799</v>
      </c>
      <c r="BM71" s="2">
        <v>27.591319831196898</v>
      </c>
      <c r="BN71" s="2">
        <v>27.1022944318123</v>
      </c>
      <c r="BO71" s="2">
        <v>27.370012237204101</v>
      </c>
      <c r="BP71" s="2">
        <v>28.134748820558201</v>
      </c>
      <c r="BQ71" s="2">
        <v>27.9549969555747</v>
      </c>
      <c r="BR71" s="2">
        <v>28.145800423477301</v>
      </c>
      <c r="BS71" s="2">
        <v>27.0684972905417</v>
      </c>
      <c r="BT71" s="2">
        <v>25.3755234735908</v>
      </c>
      <c r="BU71" s="2">
        <v>25.9118543359297</v>
      </c>
      <c r="BV71" s="2">
        <v>26.7760872588346</v>
      </c>
      <c r="BW71" s="2">
        <v>24.9394748939233</v>
      </c>
      <c r="BX71" s="2">
        <v>25.157992966442499</v>
      </c>
      <c r="BY71" s="2">
        <v>27.900131126484901</v>
      </c>
      <c r="BZ71" s="2">
        <v>26.648153130835599</v>
      </c>
      <c r="CA71" s="2">
        <v>25.5467016180652</v>
      </c>
      <c r="CB71" s="2">
        <v>27.041562580388199</v>
      </c>
      <c r="CC71" s="2">
        <v>28.679182828396101</v>
      </c>
      <c r="CD71" s="2">
        <v>26.385282628611101</v>
      </c>
      <c r="CE71" s="2">
        <v>25.173037688921902</v>
      </c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</row>
    <row r="72" spans="1:97">
      <c r="A72" s="2" t="s">
        <v>870</v>
      </c>
      <c r="B72" s="2">
        <v>128.03498999999999</v>
      </c>
      <c r="C72" s="2">
        <v>1.071</v>
      </c>
      <c r="D72" s="2" t="s">
        <v>146</v>
      </c>
      <c r="E72" s="2" t="s">
        <v>871</v>
      </c>
      <c r="F72" s="2" t="s">
        <v>872</v>
      </c>
      <c r="G72" s="2">
        <v>46966</v>
      </c>
      <c r="H72" s="3" t="str">
        <f>HYPERLINK("https://cloud.oebiotech.com/#/lm/network/46966", "https://cloud.oebiotech.com/#/lm/network/46966")</f>
        <v>https://cloud.oebiotech.com/#/lm/network/46966</v>
      </c>
      <c r="I72" s="2" t="s">
        <v>873</v>
      </c>
      <c r="J72" s="2">
        <v>3251</v>
      </c>
      <c r="K72" s="2"/>
      <c r="L72" s="2">
        <v>7405</v>
      </c>
      <c r="M72" s="2" t="s">
        <v>874</v>
      </c>
      <c r="N72" s="2" t="s">
        <v>875</v>
      </c>
      <c r="O72" s="2" t="s">
        <v>876</v>
      </c>
      <c r="P72" s="2">
        <v>18183</v>
      </c>
      <c r="Q72" s="2"/>
      <c r="R72" s="2"/>
      <c r="S72" s="2" t="s">
        <v>877</v>
      </c>
      <c r="T72" s="2" t="s">
        <v>878</v>
      </c>
      <c r="U72" s="2" t="s">
        <v>879</v>
      </c>
      <c r="V72" s="2" t="s">
        <v>115</v>
      </c>
      <c r="W72" s="2" t="s">
        <v>116</v>
      </c>
      <c r="X72" s="2" t="s">
        <v>117</v>
      </c>
      <c r="Y72" s="2" t="s">
        <v>118</v>
      </c>
      <c r="Z72" s="2" t="s">
        <v>119</v>
      </c>
      <c r="AA72" s="2" t="s">
        <v>120</v>
      </c>
      <c r="AB72" s="2" t="s">
        <v>101</v>
      </c>
      <c r="AC72" s="2">
        <v>73.930000000000007</v>
      </c>
      <c r="AD72" s="2">
        <v>99.36</v>
      </c>
      <c r="AE72" s="2">
        <v>91.76</v>
      </c>
      <c r="AF72" s="2" t="s">
        <v>880</v>
      </c>
      <c r="AG72" s="2" t="s">
        <v>194</v>
      </c>
      <c r="AH72" s="2" t="s">
        <v>881</v>
      </c>
      <c r="AI72" s="2">
        <v>2.58</v>
      </c>
      <c r="AJ72" s="2">
        <v>25.063295671454199</v>
      </c>
      <c r="AK72" s="2">
        <v>25.1045108565242</v>
      </c>
      <c r="AL72" s="2">
        <v>25.0925149032932</v>
      </c>
      <c r="AM72" s="2">
        <v>25.035681726203102</v>
      </c>
      <c r="AN72" s="2">
        <v>25.099088506521099</v>
      </c>
      <c r="AO72" s="2">
        <v>24.932581161180799</v>
      </c>
      <c r="AP72" s="2">
        <v>24.8865689869181</v>
      </c>
      <c r="AQ72" s="2">
        <v>25.201663440013</v>
      </c>
      <c r="AR72" s="2">
        <v>24.346679856960598</v>
      </c>
      <c r="AS72" s="2">
        <v>24.662341804000899</v>
      </c>
      <c r="AT72" s="2">
        <v>24.990846721008602</v>
      </c>
      <c r="AU72" s="2">
        <v>24.3437483097978</v>
      </c>
      <c r="AV72" s="2">
        <v>24.9924389893417</v>
      </c>
      <c r="AW72" s="2">
        <v>24.953877837931699</v>
      </c>
      <c r="AX72" s="2">
        <v>24.651042230151301</v>
      </c>
      <c r="AY72" s="2">
        <v>24.6045519051412</v>
      </c>
      <c r="AZ72" s="2">
        <v>24.519083098893599</v>
      </c>
      <c r="BA72" s="2">
        <v>24.279934829719</v>
      </c>
      <c r="BB72" s="2">
        <v>24.855420090458399</v>
      </c>
      <c r="BC72" s="2">
        <v>25.627436536590402</v>
      </c>
      <c r="BD72" s="2">
        <v>23.980902573082201</v>
      </c>
      <c r="BE72" s="2">
        <v>24.899546119756799</v>
      </c>
      <c r="BF72" s="2">
        <v>25.4057224414045</v>
      </c>
      <c r="BG72" s="2">
        <v>25.083537646233999</v>
      </c>
      <c r="BH72" s="2">
        <v>24.5076314314515</v>
      </c>
      <c r="BI72" s="2">
        <v>24.5494695659856</v>
      </c>
      <c r="BJ72" s="2">
        <v>25.208434468881499</v>
      </c>
      <c r="BK72" s="2">
        <v>24.4762906887232</v>
      </c>
      <c r="BL72" s="2">
        <v>24.00812488287</v>
      </c>
      <c r="BM72" s="2">
        <v>24.648399858270501</v>
      </c>
      <c r="BN72" s="2">
        <v>24.7255506630677</v>
      </c>
      <c r="BO72" s="2">
        <v>24.3376512524924</v>
      </c>
      <c r="BP72" s="2">
        <v>25.1979554667417</v>
      </c>
      <c r="BQ72" s="2">
        <v>24.835956929792701</v>
      </c>
      <c r="BR72" s="2">
        <v>25.1189446325373</v>
      </c>
      <c r="BS72" s="2">
        <v>24.8326198368303</v>
      </c>
      <c r="BT72" s="2">
        <v>24.4530165475012</v>
      </c>
      <c r="BU72" s="2">
        <v>25.989577882353402</v>
      </c>
      <c r="BV72" s="2">
        <v>24.985097296596901</v>
      </c>
      <c r="BW72" s="2">
        <v>24.501432350879</v>
      </c>
      <c r="BX72" s="2">
        <v>23.509149910715799</v>
      </c>
      <c r="BY72" s="2">
        <v>25.232054878146599</v>
      </c>
      <c r="BZ72" s="2">
        <v>24.5345493171695</v>
      </c>
      <c r="CA72" s="2">
        <v>25.011996597371201</v>
      </c>
      <c r="CB72" s="2">
        <v>24.546067822890802</v>
      </c>
      <c r="CC72" s="2">
        <v>24.487120431815899</v>
      </c>
      <c r="CD72" s="2">
        <v>25.1434808930819</v>
      </c>
      <c r="CE72" s="2">
        <v>24.2591912916984</v>
      </c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</row>
    <row r="73" spans="1:97">
      <c r="A73" s="2" t="s">
        <v>882</v>
      </c>
      <c r="B73" s="2">
        <v>305.24799999999999</v>
      </c>
      <c r="C73" s="2">
        <v>13.2</v>
      </c>
      <c r="D73" s="2" t="s">
        <v>146</v>
      </c>
      <c r="E73" s="2" t="s">
        <v>883</v>
      </c>
      <c r="F73" s="2" t="s">
        <v>884</v>
      </c>
      <c r="G73" s="2">
        <v>873</v>
      </c>
      <c r="H73" s="3" t="str">
        <f>HYPERLINK("https://cloud.oebiotech.com/#/lm/network/873", "https://cloud.oebiotech.com/#/lm/network/873")</f>
        <v>https://cloud.oebiotech.com/#/lm/network/873</v>
      </c>
      <c r="I73" s="2" t="s">
        <v>885</v>
      </c>
      <c r="J73" s="2">
        <v>35045</v>
      </c>
      <c r="K73" s="2" t="s">
        <v>886</v>
      </c>
      <c r="L73" s="2">
        <v>5312531</v>
      </c>
      <c r="M73" s="2"/>
      <c r="N73" s="2"/>
      <c r="O73" s="2"/>
      <c r="P73" s="2">
        <v>72865</v>
      </c>
      <c r="Q73" s="2"/>
      <c r="R73" s="2"/>
      <c r="S73" s="2" t="s">
        <v>887</v>
      </c>
      <c r="T73" s="2" t="s">
        <v>888</v>
      </c>
      <c r="U73" s="2" t="s">
        <v>889</v>
      </c>
      <c r="V73" s="2" t="s">
        <v>95</v>
      </c>
      <c r="W73" s="2" t="s">
        <v>96</v>
      </c>
      <c r="X73" s="2" t="s">
        <v>141</v>
      </c>
      <c r="Y73" s="2" t="s">
        <v>98</v>
      </c>
      <c r="Z73" s="2" t="s">
        <v>99</v>
      </c>
      <c r="AA73" s="2" t="s">
        <v>142</v>
      </c>
      <c r="AB73" s="2" t="s">
        <v>101</v>
      </c>
      <c r="AC73" s="2">
        <v>73.930000000000007</v>
      </c>
      <c r="AD73" s="2">
        <v>98.49</v>
      </c>
      <c r="AE73" s="2">
        <v>87.37</v>
      </c>
      <c r="AF73" s="2" t="s">
        <v>890</v>
      </c>
      <c r="AG73" s="2" t="s">
        <v>194</v>
      </c>
      <c r="AH73" s="2" t="s">
        <v>891</v>
      </c>
      <c r="AI73" s="2">
        <v>1.97</v>
      </c>
      <c r="AJ73" s="2">
        <v>21.083227082963099</v>
      </c>
      <c r="AK73" s="2">
        <v>20.771673627945699</v>
      </c>
      <c r="AL73" s="2">
        <v>21.0077708799611</v>
      </c>
      <c r="AM73" s="2">
        <v>20.199653931016101</v>
      </c>
      <c r="AN73" s="2">
        <v>20.659970474862501</v>
      </c>
      <c r="AO73" s="2">
        <v>20.9502364890301</v>
      </c>
      <c r="AP73" s="2">
        <v>20.910636977828801</v>
      </c>
      <c r="AQ73" s="2">
        <v>20.714040225616699</v>
      </c>
      <c r="AR73" s="2">
        <v>19.124636648355398</v>
      </c>
      <c r="AS73" s="2">
        <v>19.369678256213099</v>
      </c>
      <c r="AT73" s="2">
        <v>22.423404968766601</v>
      </c>
      <c r="AU73" s="2">
        <v>19.921177651521301</v>
      </c>
      <c r="AV73" s="2">
        <v>19.7699243589704</v>
      </c>
      <c r="AW73" s="2">
        <v>20.169743107239601</v>
      </c>
      <c r="AX73" s="2">
        <v>20.831338243509801</v>
      </c>
      <c r="AY73" s="2">
        <v>19.590723947998299</v>
      </c>
      <c r="AZ73" s="2">
        <v>19.400613454048599</v>
      </c>
      <c r="BA73" s="2">
        <v>21.564520516074602</v>
      </c>
      <c r="BB73" s="2">
        <v>20.713547759547101</v>
      </c>
      <c r="BC73" s="2">
        <v>21.206445488208999</v>
      </c>
      <c r="BD73" s="2">
        <v>18.906645634828799</v>
      </c>
      <c r="BE73" s="2">
        <v>19.324883563413</v>
      </c>
      <c r="BF73" s="2">
        <v>20.320753214520899</v>
      </c>
      <c r="BG73" s="2">
        <v>22.1623422598615</v>
      </c>
      <c r="BH73" s="2">
        <v>19.092090554856401</v>
      </c>
      <c r="BI73" s="2">
        <v>21.4810707325815</v>
      </c>
      <c r="BJ73" s="2">
        <v>20.275358304173601</v>
      </c>
      <c r="BK73" s="2">
        <v>19.705152579086501</v>
      </c>
      <c r="BL73" s="2">
        <v>21.446540422003299</v>
      </c>
      <c r="BM73" s="2">
        <v>19.3026824724164</v>
      </c>
      <c r="BN73" s="2">
        <v>19.645145726417802</v>
      </c>
      <c r="BO73" s="2">
        <v>21.275403991384501</v>
      </c>
      <c r="BP73" s="2">
        <v>21.0892611845447</v>
      </c>
      <c r="BQ73" s="2">
        <v>21.262136290913102</v>
      </c>
      <c r="BR73" s="2">
        <v>21.182518467891502</v>
      </c>
      <c r="BS73" s="2">
        <v>19.784274018057101</v>
      </c>
      <c r="BT73" s="2">
        <v>20.191789358429101</v>
      </c>
      <c r="BU73" s="2">
        <v>20.422759510340001</v>
      </c>
      <c r="BV73" s="2">
        <v>21.5726225647559</v>
      </c>
      <c r="BW73" s="2">
        <v>20.157221154479501</v>
      </c>
      <c r="BX73" s="2">
        <v>20.035395632941601</v>
      </c>
      <c r="BY73" s="2">
        <v>19.548165603973199</v>
      </c>
      <c r="BZ73" s="2">
        <v>21.042724976651002</v>
      </c>
      <c r="CA73" s="2">
        <v>20.237828090505602</v>
      </c>
      <c r="CB73" s="2">
        <v>21.5202530826184</v>
      </c>
      <c r="CC73" s="2">
        <v>21.644096247675702</v>
      </c>
      <c r="CD73" s="2">
        <v>20.815527132198898</v>
      </c>
      <c r="CE73" s="2">
        <v>21.972455979453699</v>
      </c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</row>
    <row r="74" spans="1:97">
      <c r="A74" s="2" t="s">
        <v>892</v>
      </c>
      <c r="B74" s="2">
        <v>391.28482000000002</v>
      </c>
      <c r="C74" s="2">
        <v>8.7520000000000007</v>
      </c>
      <c r="D74" s="2" t="s">
        <v>146</v>
      </c>
      <c r="E74" s="2" t="s">
        <v>893</v>
      </c>
      <c r="F74" s="2" t="s">
        <v>894</v>
      </c>
      <c r="G74" s="2">
        <v>45888</v>
      </c>
      <c r="H74" s="3" t="str">
        <f>HYPERLINK("https://cloud.oebiotech.com/#/lm/network/45888", "https://cloud.oebiotech.com/#/lm/network/45888")</f>
        <v>https://cloud.oebiotech.com/#/lm/network/45888</v>
      </c>
      <c r="I74" s="2" t="s">
        <v>895</v>
      </c>
      <c r="J74" s="2">
        <v>5775</v>
      </c>
      <c r="K74" s="2" t="s">
        <v>896</v>
      </c>
      <c r="L74" s="2">
        <v>5283821</v>
      </c>
      <c r="M74" s="2" t="s">
        <v>897</v>
      </c>
      <c r="N74" s="2"/>
      <c r="O74" s="2"/>
      <c r="P74" s="2">
        <v>52030</v>
      </c>
      <c r="Q74" s="2"/>
      <c r="R74" s="2"/>
      <c r="S74" s="2" t="s">
        <v>898</v>
      </c>
      <c r="T74" s="2" t="s">
        <v>899</v>
      </c>
      <c r="U74" s="2" t="s">
        <v>900</v>
      </c>
      <c r="V74" s="2" t="s">
        <v>95</v>
      </c>
      <c r="W74" s="2" t="s">
        <v>152</v>
      </c>
      <c r="X74" s="2" t="s">
        <v>278</v>
      </c>
      <c r="Y74" s="2" t="s">
        <v>98</v>
      </c>
      <c r="Z74" s="2" t="s">
        <v>154</v>
      </c>
      <c r="AA74" s="2" t="s">
        <v>279</v>
      </c>
      <c r="AB74" s="2" t="s">
        <v>101</v>
      </c>
      <c r="AC74" s="2">
        <v>73.92</v>
      </c>
      <c r="AD74" s="2">
        <v>84.32</v>
      </c>
      <c r="AE74" s="2">
        <v>99.76</v>
      </c>
      <c r="AF74" s="2" t="s">
        <v>901</v>
      </c>
      <c r="AG74" s="2" t="s">
        <v>194</v>
      </c>
      <c r="AH74" s="2" t="s">
        <v>712</v>
      </c>
      <c r="AI74" s="2">
        <v>1.53</v>
      </c>
      <c r="AJ74" s="2">
        <v>17.969471684157</v>
      </c>
      <c r="AK74" s="2">
        <v>17.715753440561802</v>
      </c>
      <c r="AL74" s="2">
        <v>18.2583750573754</v>
      </c>
      <c r="AM74" s="2">
        <v>18.447841078237399</v>
      </c>
      <c r="AN74" s="2">
        <v>17.786735392945399</v>
      </c>
      <c r="AO74" s="2">
        <v>17.5388827650468</v>
      </c>
      <c r="AP74" s="2">
        <v>18.1656759122931</v>
      </c>
      <c r="AQ74" s="2">
        <v>17.594939860652602</v>
      </c>
      <c r="AR74" s="2">
        <v>14.257150615365299</v>
      </c>
      <c r="AS74" s="2">
        <v>9.6233145402724691</v>
      </c>
      <c r="AT74" s="2">
        <v>9.6233145402724691</v>
      </c>
      <c r="AU74" s="2">
        <v>16.9162601642265</v>
      </c>
      <c r="AV74" s="2">
        <v>13.641588927096601</v>
      </c>
      <c r="AW74" s="2">
        <v>18.769980080430301</v>
      </c>
      <c r="AX74" s="2">
        <v>12.361258440464599</v>
      </c>
      <c r="AY74" s="2">
        <v>15.279693275401399</v>
      </c>
      <c r="AZ74" s="2">
        <v>13.142271425802999</v>
      </c>
      <c r="BA74" s="2">
        <v>15.651984195716199</v>
      </c>
      <c r="BB74" s="2">
        <v>19.502991714463199</v>
      </c>
      <c r="BC74" s="2">
        <v>19.989212407869701</v>
      </c>
      <c r="BD74" s="2">
        <v>9.6233145402724691</v>
      </c>
      <c r="BE74" s="2">
        <v>9.6233145402724691</v>
      </c>
      <c r="BF74" s="2">
        <v>16.448898048226301</v>
      </c>
      <c r="BG74" s="2">
        <v>21.3786390752893</v>
      </c>
      <c r="BH74" s="2">
        <v>9.6233145402724691</v>
      </c>
      <c r="BI74" s="2">
        <v>18.254787956080801</v>
      </c>
      <c r="BJ74" s="2">
        <v>19.866810414119801</v>
      </c>
      <c r="BK74" s="2">
        <v>19.191065674403301</v>
      </c>
      <c r="BL74" s="2">
        <v>15.972704768542799</v>
      </c>
      <c r="BM74" s="2">
        <v>13.793441759029401</v>
      </c>
      <c r="BN74" s="2">
        <v>14.711362616256199</v>
      </c>
      <c r="BO74" s="2">
        <v>18.391546273201001</v>
      </c>
      <c r="BP74" s="2">
        <v>16.020185647888901</v>
      </c>
      <c r="BQ74" s="2">
        <v>17.377428308021202</v>
      </c>
      <c r="BR74" s="2">
        <v>15.022854987141899</v>
      </c>
      <c r="BS74" s="2">
        <v>15.6473209748725</v>
      </c>
      <c r="BT74" s="2">
        <v>9.6233145402724691</v>
      </c>
      <c r="BU74" s="2">
        <v>12.9057329696428</v>
      </c>
      <c r="BV74" s="2">
        <v>19.6878547091783</v>
      </c>
      <c r="BW74" s="2">
        <v>17.5371536246499</v>
      </c>
      <c r="BX74" s="2">
        <v>9.6233145402724691</v>
      </c>
      <c r="BY74" s="2">
        <v>14.8095656750555</v>
      </c>
      <c r="BZ74" s="2">
        <v>15.2160830816015</v>
      </c>
      <c r="CA74" s="2">
        <v>19.453275598250599</v>
      </c>
      <c r="CB74" s="2">
        <v>16.646032537898101</v>
      </c>
      <c r="CC74" s="2">
        <v>18.1502891395447</v>
      </c>
      <c r="CD74" s="2">
        <v>16.891344895845201</v>
      </c>
      <c r="CE74" s="2">
        <v>19.079742916851298</v>
      </c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</row>
    <row r="75" spans="1:97">
      <c r="A75" s="2" t="s">
        <v>902</v>
      </c>
      <c r="B75" s="2">
        <v>283.26362</v>
      </c>
      <c r="C75" s="2">
        <v>14.661</v>
      </c>
      <c r="D75" s="2" t="s">
        <v>146</v>
      </c>
      <c r="E75" s="2" t="s">
        <v>903</v>
      </c>
      <c r="F75" s="2" t="s">
        <v>904</v>
      </c>
      <c r="G75" s="2">
        <v>110</v>
      </c>
      <c r="H75" s="3" t="str">
        <f>HYPERLINK("https://cloud.oebiotech.com/#/lm/network/110", "https://cloud.oebiotech.com/#/lm/network/110")</f>
        <v>https://cloud.oebiotech.com/#/lm/network/110</v>
      </c>
      <c r="I75" s="2" t="s">
        <v>905</v>
      </c>
      <c r="J75" s="2">
        <v>4293</v>
      </c>
      <c r="K75" s="2" t="s">
        <v>906</v>
      </c>
      <c r="L75" s="2">
        <v>21859</v>
      </c>
      <c r="M75" s="2" t="s">
        <v>907</v>
      </c>
      <c r="N75" s="2"/>
      <c r="O75" s="2"/>
      <c r="P75" s="2">
        <v>84896</v>
      </c>
      <c r="Q75" s="2"/>
      <c r="R75" s="2"/>
      <c r="S75" s="2" t="s">
        <v>908</v>
      </c>
      <c r="T75" s="2" t="s">
        <v>909</v>
      </c>
      <c r="U75" s="2" t="s">
        <v>910</v>
      </c>
      <c r="V75" s="2" t="s">
        <v>95</v>
      </c>
      <c r="W75" s="2" t="s">
        <v>96</v>
      </c>
      <c r="X75" s="2" t="s">
        <v>141</v>
      </c>
      <c r="Y75" s="2" t="s">
        <v>98</v>
      </c>
      <c r="Z75" s="2" t="s">
        <v>99</v>
      </c>
      <c r="AA75" s="2" t="s">
        <v>142</v>
      </c>
      <c r="AB75" s="2" t="s">
        <v>101</v>
      </c>
      <c r="AC75" s="2">
        <v>73.89</v>
      </c>
      <c r="AD75" s="2">
        <v>97.37</v>
      </c>
      <c r="AE75" s="2">
        <v>99.92</v>
      </c>
      <c r="AF75" s="2" t="s">
        <v>911</v>
      </c>
      <c r="AG75" s="2" t="s">
        <v>194</v>
      </c>
      <c r="AH75" s="2" t="s">
        <v>912</v>
      </c>
      <c r="AI75" s="2">
        <v>2.4700000000000002</v>
      </c>
      <c r="AJ75" s="2">
        <v>23.6716955117633</v>
      </c>
      <c r="AK75" s="2">
        <v>23.689330759135601</v>
      </c>
      <c r="AL75" s="2">
        <v>23.124391279653999</v>
      </c>
      <c r="AM75" s="2">
        <v>23.562332321501799</v>
      </c>
      <c r="AN75" s="2">
        <v>24.2255073779878</v>
      </c>
      <c r="AO75" s="2">
        <v>23.374342936908999</v>
      </c>
      <c r="AP75" s="2">
        <v>23.3964139123559</v>
      </c>
      <c r="AQ75" s="2">
        <v>23.139532214335201</v>
      </c>
      <c r="AR75" s="2">
        <v>21.159551070017901</v>
      </c>
      <c r="AS75" s="2">
        <v>23.243659270078599</v>
      </c>
      <c r="AT75" s="2">
        <v>22.332414959487</v>
      </c>
      <c r="AU75" s="2">
        <v>21.895218058869101</v>
      </c>
      <c r="AV75" s="2">
        <v>22.9135120857995</v>
      </c>
      <c r="AW75" s="2">
        <v>21.132562120723101</v>
      </c>
      <c r="AX75" s="2">
        <v>23.949732113847201</v>
      </c>
      <c r="AY75" s="2">
        <v>22.241917846366899</v>
      </c>
      <c r="AZ75" s="2">
        <v>21.479918506406101</v>
      </c>
      <c r="BA75" s="2">
        <v>22.976012631297401</v>
      </c>
      <c r="BB75" s="2">
        <v>21.537996332529499</v>
      </c>
      <c r="BC75" s="2">
        <v>23.783426793766399</v>
      </c>
      <c r="BD75" s="2">
        <v>21.353168152451399</v>
      </c>
      <c r="BE75" s="2">
        <v>22.335834877308599</v>
      </c>
      <c r="BF75" s="2">
        <v>20.475983100035101</v>
      </c>
      <c r="BG75" s="2">
        <v>23.099299418608901</v>
      </c>
      <c r="BH75" s="2">
        <v>21.968758634747001</v>
      </c>
      <c r="BI75" s="2">
        <v>23.594752002069502</v>
      </c>
      <c r="BJ75" s="2">
        <v>22.020286511549202</v>
      </c>
      <c r="BK75" s="2">
        <v>22.3735193193063</v>
      </c>
      <c r="BL75" s="2">
        <v>24.001073636361401</v>
      </c>
      <c r="BM75" s="2">
        <v>22.077164432509999</v>
      </c>
      <c r="BN75" s="2">
        <v>20.238586144787</v>
      </c>
      <c r="BO75" s="2">
        <v>22.547690004486999</v>
      </c>
      <c r="BP75" s="2">
        <v>23.252711624559101</v>
      </c>
      <c r="BQ75" s="2">
        <v>23.375293356509399</v>
      </c>
      <c r="BR75" s="2">
        <v>21.6092697668984</v>
      </c>
      <c r="BS75" s="2">
        <v>21.655044279934501</v>
      </c>
      <c r="BT75" s="2">
        <v>22.507652228208801</v>
      </c>
      <c r="BU75" s="2">
        <v>22.026789464329401</v>
      </c>
      <c r="BV75" s="2">
        <v>23.321288202303698</v>
      </c>
      <c r="BW75" s="2">
        <v>21.982345200659498</v>
      </c>
      <c r="BX75" s="2">
        <v>23.7349111738177</v>
      </c>
      <c r="BY75" s="2">
        <v>21.095883854856002</v>
      </c>
      <c r="BZ75" s="2">
        <v>22.0340632822865</v>
      </c>
      <c r="CA75" s="2">
        <v>21.3568664776536</v>
      </c>
      <c r="CB75" s="2">
        <v>22.454386166195501</v>
      </c>
      <c r="CC75" s="2">
        <v>22.839321919389899</v>
      </c>
      <c r="CD75" s="2">
        <v>21.854094233873401</v>
      </c>
      <c r="CE75" s="2">
        <v>22.7319562622184</v>
      </c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</row>
    <row r="76" spans="1:97">
      <c r="A76" s="2" t="s">
        <v>913</v>
      </c>
      <c r="B76" s="2">
        <v>246.16971000000001</v>
      </c>
      <c r="C76" s="2">
        <v>6.82</v>
      </c>
      <c r="D76" s="2" t="s">
        <v>84</v>
      </c>
      <c r="E76" s="2" t="s">
        <v>914</v>
      </c>
      <c r="F76" s="2" t="s">
        <v>915</v>
      </c>
      <c r="G76" s="2">
        <v>3372</v>
      </c>
      <c r="H76" s="3" t="str">
        <f>HYPERLINK("https://cloud.oebiotech.com/#/lm/network/3372", "https://cloud.oebiotech.com/#/lm/network/3372")</f>
        <v>https://cloud.oebiotech.com/#/lm/network/3372</v>
      </c>
      <c r="I76" s="2"/>
      <c r="J76" s="2">
        <v>45945</v>
      </c>
      <c r="K76" s="2" t="s">
        <v>916</v>
      </c>
      <c r="L76" s="2">
        <v>10082491</v>
      </c>
      <c r="M76" s="2"/>
      <c r="N76" s="2"/>
      <c r="O76" s="2"/>
      <c r="P76" s="2">
        <v>18472</v>
      </c>
      <c r="Q76" s="2"/>
      <c r="R76" s="2"/>
      <c r="S76" s="2"/>
      <c r="T76" s="2" t="s">
        <v>917</v>
      </c>
      <c r="U76" s="2" t="s">
        <v>918</v>
      </c>
      <c r="V76" s="2" t="s">
        <v>95</v>
      </c>
      <c r="W76" s="2" t="s">
        <v>96</v>
      </c>
      <c r="X76" s="2" t="s">
        <v>919</v>
      </c>
      <c r="Y76" s="2" t="s">
        <v>98</v>
      </c>
      <c r="Z76" s="2" t="s">
        <v>99</v>
      </c>
      <c r="AA76" s="2" t="s">
        <v>920</v>
      </c>
      <c r="AB76" s="2" t="s">
        <v>101</v>
      </c>
      <c r="AC76" s="2">
        <v>73.87</v>
      </c>
      <c r="AD76" s="2">
        <v>92.2</v>
      </c>
      <c r="AE76" s="2">
        <v>91.42</v>
      </c>
      <c r="AF76" s="2" t="s">
        <v>921</v>
      </c>
      <c r="AG76" s="2" t="s">
        <v>132</v>
      </c>
      <c r="AH76" s="2" t="s">
        <v>922</v>
      </c>
      <c r="AI76" s="2">
        <v>1.22</v>
      </c>
      <c r="AJ76" s="2">
        <v>17.712456470660101</v>
      </c>
      <c r="AK76" s="2">
        <v>18.148180972201299</v>
      </c>
      <c r="AL76" s="2">
        <v>17.692311185167501</v>
      </c>
      <c r="AM76" s="2">
        <v>17.808427726273699</v>
      </c>
      <c r="AN76" s="2">
        <v>17.781088029903302</v>
      </c>
      <c r="AO76" s="2">
        <v>17.6969790688348</v>
      </c>
      <c r="AP76" s="2">
        <v>17.8967009428039</v>
      </c>
      <c r="AQ76" s="2">
        <v>17.842051347084698</v>
      </c>
      <c r="AR76" s="2">
        <v>16.904794065654102</v>
      </c>
      <c r="AS76" s="2">
        <v>14.8850886091831</v>
      </c>
      <c r="AT76" s="2">
        <v>13.411741355941301</v>
      </c>
      <c r="AU76" s="2">
        <v>15.8579807522169</v>
      </c>
      <c r="AV76" s="2">
        <v>15.977845601655501</v>
      </c>
      <c r="AW76" s="2">
        <v>16.226005323719999</v>
      </c>
      <c r="AX76" s="2">
        <v>17.3181183836721</v>
      </c>
      <c r="AY76" s="2">
        <v>9.6233145402724691</v>
      </c>
      <c r="AZ76" s="2">
        <v>17.3894038837918</v>
      </c>
      <c r="BA76" s="2">
        <v>15.8160553994959</v>
      </c>
      <c r="BB76" s="2">
        <v>19.2880103103947</v>
      </c>
      <c r="BC76" s="2">
        <v>19.206329240705699</v>
      </c>
      <c r="BD76" s="2">
        <v>16.099947096444101</v>
      </c>
      <c r="BE76" s="2">
        <v>15.848020143134899</v>
      </c>
      <c r="BF76" s="2">
        <v>17.809375566310099</v>
      </c>
      <c r="BG76" s="2">
        <v>18.327113269174099</v>
      </c>
      <c r="BH76" s="2">
        <v>16.962824175984199</v>
      </c>
      <c r="BI76" s="2">
        <v>17.799977893358299</v>
      </c>
      <c r="BJ76" s="2">
        <v>16.614623152146201</v>
      </c>
      <c r="BK76" s="2">
        <v>17.496466531531102</v>
      </c>
      <c r="BL76" s="2">
        <v>14.931310938695701</v>
      </c>
      <c r="BM76" s="2">
        <v>17.661874733396001</v>
      </c>
      <c r="BN76" s="2">
        <v>16.690466203669899</v>
      </c>
      <c r="BO76" s="2">
        <v>16.670957009725001</v>
      </c>
      <c r="BP76" s="2">
        <v>15.293582648743101</v>
      </c>
      <c r="BQ76" s="2">
        <v>16.657711312740201</v>
      </c>
      <c r="BR76" s="2">
        <v>18.080771787006299</v>
      </c>
      <c r="BS76" s="2">
        <v>16.792224978904599</v>
      </c>
      <c r="BT76" s="2">
        <v>14.9889624427271</v>
      </c>
      <c r="BU76" s="2">
        <v>18.486191446102701</v>
      </c>
      <c r="BV76" s="2">
        <v>16.842926672762101</v>
      </c>
      <c r="BW76" s="2">
        <v>14.147906064629501</v>
      </c>
      <c r="BX76" s="2">
        <v>17.516073259131801</v>
      </c>
      <c r="BY76" s="2">
        <v>18.7660521392555</v>
      </c>
      <c r="BZ76" s="2">
        <v>17.8167444371398</v>
      </c>
      <c r="CA76" s="2">
        <v>16.2351010035682</v>
      </c>
      <c r="CB76" s="2">
        <v>17.293631320765201</v>
      </c>
      <c r="CC76" s="2">
        <v>17.694950295208599</v>
      </c>
      <c r="CD76" s="2">
        <v>17.477676616168299</v>
      </c>
      <c r="CE76" s="2">
        <v>18.156155876971901</v>
      </c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</row>
    <row r="77" spans="1:97">
      <c r="A77" s="2" t="s">
        <v>923</v>
      </c>
      <c r="B77" s="2">
        <v>205.09673000000001</v>
      </c>
      <c r="C77" s="2">
        <v>3.6840000000000002</v>
      </c>
      <c r="D77" s="2" t="s">
        <v>84</v>
      </c>
      <c r="E77" s="2" t="s">
        <v>924</v>
      </c>
      <c r="F77" s="2" t="s">
        <v>925</v>
      </c>
      <c r="G77" s="2">
        <v>52406</v>
      </c>
      <c r="H77" s="3" t="str">
        <f>HYPERLINK("https://cloud.oebiotech.com/#/lm/network/52406", "https://cloud.oebiotech.com/#/lm/network/52406")</f>
        <v>https://cloud.oebiotech.com/#/lm/network/52406</v>
      </c>
      <c r="I77" s="2" t="s">
        <v>926</v>
      </c>
      <c r="J77" s="2">
        <v>65364</v>
      </c>
      <c r="K77" s="2"/>
      <c r="L77" s="2">
        <v>9060</v>
      </c>
      <c r="M77" s="2" t="s">
        <v>927</v>
      </c>
      <c r="N77" s="2"/>
      <c r="O77" s="2"/>
      <c r="P77" s="2">
        <v>16296</v>
      </c>
      <c r="Q77" s="2" t="s">
        <v>928</v>
      </c>
      <c r="R77" s="2" t="s">
        <v>929</v>
      </c>
      <c r="S77" s="2" t="s">
        <v>930</v>
      </c>
      <c r="T77" s="2" t="s">
        <v>931</v>
      </c>
      <c r="U77" s="2" t="s">
        <v>932</v>
      </c>
      <c r="V77" s="2" t="s">
        <v>553</v>
      </c>
      <c r="W77" s="2" t="s">
        <v>933</v>
      </c>
      <c r="X77" s="2" t="s">
        <v>934</v>
      </c>
      <c r="Y77" s="2" t="s">
        <v>556</v>
      </c>
      <c r="Z77" s="2" t="s">
        <v>935</v>
      </c>
      <c r="AA77" s="2" t="s">
        <v>936</v>
      </c>
      <c r="AB77" s="2" t="s">
        <v>101</v>
      </c>
      <c r="AC77" s="2">
        <v>73.77</v>
      </c>
      <c r="AD77" s="2">
        <v>98.75</v>
      </c>
      <c r="AE77" s="2">
        <v>96.55</v>
      </c>
      <c r="AF77" s="2" t="s">
        <v>937</v>
      </c>
      <c r="AG77" s="2" t="s">
        <v>103</v>
      </c>
      <c r="AH77" s="2" t="s">
        <v>938</v>
      </c>
      <c r="AI77" s="2">
        <v>2.44</v>
      </c>
      <c r="AJ77" s="2">
        <v>30.7044618186411</v>
      </c>
      <c r="AK77" s="2">
        <v>30.561301240029501</v>
      </c>
      <c r="AL77" s="2">
        <v>30.753138869817299</v>
      </c>
      <c r="AM77" s="2">
        <v>30.622163168015401</v>
      </c>
      <c r="AN77" s="2">
        <v>30.496043745265101</v>
      </c>
      <c r="AO77" s="2">
        <v>30.4855425147523</v>
      </c>
      <c r="AP77" s="2">
        <v>30.4755587218995</v>
      </c>
      <c r="AQ77" s="2">
        <v>30.818092620719501</v>
      </c>
      <c r="AR77" s="2">
        <v>29.698319016865302</v>
      </c>
      <c r="AS77" s="2">
        <v>29.440231318402802</v>
      </c>
      <c r="AT77" s="2">
        <v>29.3364341174412</v>
      </c>
      <c r="AU77" s="2">
        <v>29.830416347894101</v>
      </c>
      <c r="AV77" s="2">
        <v>30.158633008717</v>
      </c>
      <c r="AW77" s="2">
        <v>30.412352349140701</v>
      </c>
      <c r="AX77" s="2">
        <v>30.021924314087499</v>
      </c>
      <c r="AY77" s="2">
        <v>30.3233464900858</v>
      </c>
      <c r="AZ77" s="2">
        <v>30.425166087077901</v>
      </c>
      <c r="BA77" s="2">
        <v>29.888122898748001</v>
      </c>
      <c r="BB77" s="2">
        <v>31.042738978389298</v>
      </c>
      <c r="BC77" s="2">
        <v>30.821295446865498</v>
      </c>
      <c r="BD77" s="2">
        <v>30.069822812264601</v>
      </c>
      <c r="BE77" s="2">
        <v>30.999239503661201</v>
      </c>
      <c r="BF77" s="2">
        <v>30.651175276015302</v>
      </c>
      <c r="BG77" s="2">
        <v>30.950473209987098</v>
      </c>
      <c r="BH77" s="2">
        <v>30.714482881565701</v>
      </c>
      <c r="BI77" s="2">
        <v>30.342764929766201</v>
      </c>
      <c r="BJ77" s="2">
        <v>30.743899996521499</v>
      </c>
      <c r="BK77" s="2">
        <v>30.447151451750099</v>
      </c>
      <c r="BL77" s="2">
        <v>30.133783326296498</v>
      </c>
      <c r="BM77" s="2">
        <v>30.7308937081708</v>
      </c>
      <c r="BN77" s="2">
        <v>30.599767535380401</v>
      </c>
      <c r="BO77" s="2">
        <v>30.573805294216701</v>
      </c>
      <c r="BP77" s="2">
        <v>30.269706983221699</v>
      </c>
      <c r="BQ77" s="2">
        <v>30.668669725869499</v>
      </c>
      <c r="BR77" s="2">
        <v>30.576104831866999</v>
      </c>
      <c r="BS77" s="2">
        <v>30.430152921431201</v>
      </c>
      <c r="BT77" s="2">
        <v>30.228897370493399</v>
      </c>
      <c r="BU77" s="2">
        <v>29.701616972876302</v>
      </c>
      <c r="BV77" s="2">
        <v>30.5960778745055</v>
      </c>
      <c r="BW77" s="2">
        <v>29.8074862630836</v>
      </c>
      <c r="BX77" s="2">
        <v>30.508450119770298</v>
      </c>
      <c r="BY77" s="2">
        <v>30.778757379373701</v>
      </c>
      <c r="BZ77" s="2">
        <v>30.739874190830001</v>
      </c>
      <c r="CA77" s="2">
        <v>30.994138968770599</v>
      </c>
      <c r="CB77" s="2">
        <v>30.391556218556499</v>
      </c>
      <c r="CC77" s="2">
        <v>30.107702946510202</v>
      </c>
      <c r="CD77" s="2">
        <v>30.980988993361201</v>
      </c>
      <c r="CE77" s="2">
        <v>30.412849528713799</v>
      </c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</row>
    <row r="78" spans="1:97">
      <c r="A78" s="2" t="s">
        <v>939</v>
      </c>
      <c r="B78" s="2">
        <v>137.04562000000001</v>
      </c>
      <c r="C78" s="2">
        <v>0.99099999999999999</v>
      </c>
      <c r="D78" s="2" t="s">
        <v>84</v>
      </c>
      <c r="E78" s="2" t="s">
        <v>940</v>
      </c>
      <c r="F78" s="2" t="s">
        <v>941</v>
      </c>
      <c r="G78" s="2">
        <v>46900</v>
      </c>
      <c r="H78" s="3" t="str">
        <f>HYPERLINK("https://cloud.oebiotech.com/#/lm/network/46900", "https://cloud.oebiotech.com/#/lm/network/46900")</f>
        <v>https://cloud.oebiotech.com/#/lm/network/46900</v>
      </c>
      <c r="I78" s="2" t="s">
        <v>942</v>
      </c>
      <c r="J78" s="2">
        <v>83</v>
      </c>
      <c r="K78" s="2"/>
      <c r="L78" s="2">
        <v>790</v>
      </c>
      <c r="M78" s="2" t="s">
        <v>943</v>
      </c>
      <c r="N78" s="2" t="s">
        <v>811</v>
      </c>
      <c r="O78" s="2" t="s">
        <v>812</v>
      </c>
      <c r="P78" s="2">
        <v>17368</v>
      </c>
      <c r="Q78" s="2" t="s">
        <v>944</v>
      </c>
      <c r="R78" s="2" t="s">
        <v>945</v>
      </c>
      <c r="S78" s="2" t="s">
        <v>946</v>
      </c>
      <c r="T78" s="2" t="s">
        <v>947</v>
      </c>
      <c r="U78" s="2" t="s">
        <v>948</v>
      </c>
      <c r="V78" s="2" t="s">
        <v>553</v>
      </c>
      <c r="W78" s="2" t="s">
        <v>949</v>
      </c>
      <c r="X78" s="2" t="s">
        <v>950</v>
      </c>
      <c r="Y78" s="2" t="s">
        <v>556</v>
      </c>
      <c r="Z78" s="2" t="s">
        <v>951</v>
      </c>
      <c r="AA78" s="2" t="s">
        <v>952</v>
      </c>
      <c r="AB78" s="2" t="s">
        <v>101</v>
      </c>
      <c r="AC78" s="2">
        <v>73.72</v>
      </c>
      <c r="AD78" s="2">
        <v>98.4</v>
      </c>
      <c r="AE78" s="2">
        <v>94.08</v>
      </c>
      <c r="AF78" s="2" t="s">
        <v>953</v>
      </c>
      <c r="AG78" s="2" t="s">
        <v>103</v>
      </c>
      <c r="AH78" s="2" t="s">
        <v>954</v>
      </c>
      <c r="AI78" s="2">
        <v>1.46</v>
      </c>
      <c r="AJ78" s="2">
        <v>24.832764772531299</v>
      </c>
      <c r="AK78" s="2">
        <v>24.885537720197998</v>
      </c>
      <c r="AL78" s="2">
        <v>24.7992059119</v>
      </c>
      <c r="AM78" s="2">
        <v>24.807288871836999</v>
      </c>
      <c r="AN78" s="2">
        <v>24.710632093998498</v>
      </c>
      <c r="AO78" s="2">
        <v>24.711141310052501</v>
      </c>
      <c r="AP78" s="2">
        <v>24.7665694507889</v>
      </c>
      <c r="AQ78" s="2">
        <v>24.929828862745801</v>
      </c>
      <c r="AR78" s="2">
        <v>23.856902243143399</v>
      </c>
      <c r="AS78" s="2">
        <v>24.797887595590101</v>
      </c>
      <c r="AT78" s="2">
        <v>25.216310165248501</v>
      </c>
      <c r="AU78" s="2">
        <v>23.696136569694499</v>
      </c>
      <c r="AV78" s="2">
        <v>23.466087712735799</v>
      </c>
      <c r="AW78" s="2">
        <v>24.152988152310002</v>
      </c>
      <c r="AX78" s="2">
        <v>23.9398315885134</v>
      </c>
      <c r="AY78" s="2">
        <v>23.2177905549859</v>
      </c>
      <c r="AZ78" s="2">
        <v>23.746348720860102</v>
      </c>
      <c r="BA78" s="2">
        <v>22.450953416903101</v>
      </c>
      <c r="BB78" s="2">
        <v>24.4384255005859</v>
      </c>
      <c r="BC78" s="2">
        <v>25.401874311711801</v>
      </c>
      <c r="BD78" s="2">
        <v>20.5778469693083</v>
      </c>
      <c r="BE78" s="2">
        <v>22.357224721930098</v>
      </c>
      <c r="BF78" s="2">
        <v>24.4961552623746</v>
      </c>
      <c r="BG78" s="2">
        <v>24.253634241706798</v>
      </c>
      <c r="BH78" s="2">
        <v>22.910148715698401</v>
      </c>
      <c r="BI78" s="2">
        <v>24.7898727456679</v>
      </c>
      <c r="BJ78" s="2">
        <v>26.231199772426699</v>
      </c>
      <c r="BK78" s="2">
        <v>25.191258161313399</v>
      </c>
      <c r="BL78" s="2">
        <v>23.580066547403899</v>
      </c>
      <c r="BM78" s="2">
        <v>23.156716264294602</v>
      </c>
      <c r="BN78" s="2">
        <v>22.214963027629</v>
      </c>
      <c r="BO78" s="2">
        <v>22.9509111047674</v>
      </c>
      <c r="BP78" s="2">
        <v>24.8760398820259</v>
      </c>
      <c r="BQ78" s="2">
        <v>24.4562019839613</v>
      </c>
      <c r="BR78" s="2">
        <v>27.072191600809699</v>
      </c>
      <c r="BS78" s="2">
        <v>23.513152550109201</v>
      </c>
      <c r="BT78" s="2">
        <v>23.813715469294099</v>
      </c>
      <c r="BU78" s="2">
        <v>24.780227588069799</v>
      </c>
      <c r="BV78" s="2">
        <v>24.784824126184201</v>
      </c>
      <c r="BW78" s="2">
        <v>24.492380904872501</v>
      </c>
      <c r="BX78" s="2">
        <v>22.7790754574416</v>
      </c>
      <c r="BY78" s="2">
        <v>25.196973209916301</v>
      </c>
      <c r="BZ78" s="2">
        <v>23.3295191589695</v>
      </c>
      <c r="CA78" s="2">
        <v>23.576285451926399</v>
      </c>
      <c r="CB78" s="2">
        <v>24.510998036388902</v>
      </c>
      <c r="CC78" s="2">
        <v>23.3548817414285</v>
      </c>
      <c r="CD78" s="2">
        <v>25.273084064682301</v>
      </c>
      <c r="CE78" s="2">
        <v>24.770238763990001</v>
      </c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</row>
    <row r="79" spans="1:97">
      <c r="A79" s="2" t="s">
        <v>955</v>
      </c>
      <c r="B79" s="2">
        <v>199.09720999999999</v>
      </c>
      <c r="C79" s="2">
        <v>5.7140000000000004</v>
      </c>
      <c r="D79" s="2" t="s">
        <v>146</v>
      </c>
      <c r="E79" s="2" t="s">
        <v>956</v>
      </c>
      <c r="F79" s="2" t="s">
        <v>957</v>
      </c>
      <c r="G79" s="2">
        <v>2846</v>
      </c>
      <c r="H79" s="3" t="str">
        <f>HYPERLINK("https://cloud.oebiotech.com/#/lm/network/2846", "https://cloud.oebiotech.com/#/lm/network/2846")</f>
        <v>https://cloud.oebiotech.com/#/lm/network/2846</v>
      </c>
      <c r="I79" s="2" t="s">
        <v>958</v>
      </c>
      <c r="J79" s="2">
        <v>74917</v>
      </c>
      <c r="K79" s="2" t="s">
        <v>959</v>
      </c>
      <c r="L79" s="2">
        <v>6442613</v>
      </c>
      <c r="M79" s="2"/>
      <c r="N79" s="2"/>
      <c r="O79" s="2"/>
      <c r="P79" s="2">
        <v>137808</v>
      </c>
      <c r="Q79" s="2"/>
      <c r="R79" s="2"/>
      <c r="S79" s="2"/>
      <c r="T79" s="2" t="s">
        <v>960</v>
      </c>
      <c r="U79" s="2" t="s">
        <v>961</v>
      </c>
      <c r="V79" s="2" t="s">
        <v>95</v>
      </c>
      <c r="W79" s="2" t="s">
        <v>96</v>
      </c>
      <c r="X79" s="2" t="s">
        <v>141</v>
      </c>
      <c r="Y79" s="2" t="s">
        <v>98</v>
      </c>
      <c r="Z79" s="2" t="s">
        <v>99</v>
      </c>
      <c r="AA79" s="2" t="s">
        <v>142</v>
      </c>
      <c r="AB79" s="2" t="s">
        <v>101</v>
      </c>
      <c r="AC79" s="2">
        <v>73.709999999999994</v>
      </c>
      <c r="AD79" s="2">
        <v>93.89</v>
      </c>
      <c r="AE79" s="2">
        <v>92.15</v>
      </c>
      <c r="AF79" s="2" t="s">
        <v>962</v>
      </c>
      <c r="AG79" s="2" t="s">
        <v>194</v>
      </c>
      <c r="AH79" s="2" t="s">
        <v>963</v>
      </c>
      <c r="AI79" s="2">
        <v>2.0099999999999998</v>
      </c>
      <c r="AJ79" s="2">
        <v>20.593780951961399</v>
      </c>
      <c r="AK79" s="2">
        <v>20.005231036486599</v>
      </c>
      <c r="AL79" s="2">
        <v>20.706059864836</v>
      </c>
      <c r="AM79" s="2">
        <v>20.610557349346401</v>
      </c>
      <c r="AN79" s="2">
        <v>20.662429349902201</v>
      </c>
      <c r="AO79" s="2">
        <v>20.407524898582299</v>
      </c>
      <c r="AP79" s="2">
        <v>20.7080874294703</v>
      </c>
      <c r="AQ79" s="2">
        <v>20.864957603516899</v>
      </c>
      <c r="AR79" s="2">
        <v>21.262869917982599</v>
      </c>
      <c r="AS79" s="2">
        <v>19.840779229537301</v>
      </c>
      <c r="AT79" s="2">
        <v>20.407852300664899</v>
      </c>
      <c r="AU79" s="2">
        <v>20.081773572268698</v>
      </c>
      <c r="AV79" s="2">
        <v>20.499438411652701</v>
      </c>
      <c r="AW79" s="2">
        <v>22.312810064296698</v>
      </c>
      <c r="AX79" s="2">
        <v>20.461849096525601</v>
      </c>
      <c r="AY79" s="2">
        <v>20.266574014880401</v>
      </c>
      <c r="AZ79" s="2">
        <v>20.488949670503999</v>
      </c>
      <c r="BA79" s="2">
        <v>20.299972570265702</v>
      </c>
      <c r="BB79" s="2">
        <v>20.3639886925932</v>
      </c>
      <c r="BC79" s="2">
        <v>20.140964899801698</v>
      </c>
      <c r="BD79" s="2">
        <v>20.427511496103101</v>
      </c>
      <c r="BE79" s="2">
        <v>19.466275274844101</v>
      </c>
      <c r="BF79" s="2">
        <v>20.486595904184799</v>
      </c>
      <c r="BG79" s="2">
        <v>20.208073489121801</v>
      </c>
      <c r="BH79" s="2">
        <v>20.238756998425998</v>
      </c>
      <c r="BI79" s="2">
        <v>20.2678409183867</v>
      </c>
      <c r="BJ79" s="2">
        <v>20.646910316487102</v>
      </c>
      <c r="BK79" s="2">
        <v>20.591665839029901</v>
      </c>
      <c r="BL79" s="2">
        <v>20.238009603483999</v>
      </c>
      <c r="BM79" s="2">
        <v>20.499513360425301</v>
      </c>
      <c r="BN79" s="2">
        <v>20.7794822940971</v>
      </c>
      <c r="BO79" s="2">
        <v>20.0715065531097</v>
      </c>
      <c r="BP79" s="2">
        <v>20.2779512042646</v>
      </c>
      <c r="BQ79" s="2">
        <v>20.355179396205902</v>
      </c>
      <c r="BR79" s="2">
        <v>20.251229945562301</v>
      </c>
      <c r="BS79" s="2">
        <v>22.3891922269353</v>
      </c>
      <c r="BT79" s="2">
        <v>20.273616348260401</v>
      </c>
      <c r="BU79" s="2">
        <v>19.8524273104155</v>
      </c>
      <c r="BV79" s="2">
        <v>19.835516592223001</v>
      </c>
      <c r="BW79" s="2">
        <v>19.3963007525746</v>
      </c>
      <c r="BX79" s="2">
        <v>20.086643514760699</v>
      </c>
      <c r="BY79" s="2">
        <v>20.687036922491899</v>
      </c>
      <c r="BZ79" s="2">
        <v>20.521601714425799</v>
      </c>
      <c r="CA79" s="2">
        <v>20.4604915528794</v>
      </c>
      <c r="CB79" s="2">
        <v>20.3191531666324</v>
      </c>
      <c r="CC79" s="2">
        <v>19.883784105736702</v>
      </c>
      <c r="CD79" s="2">
        <v>20.288189528376002</v>
      </c>
      <c r="CE79" s="2">
        <v>19.921403768874601</v>
      </c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</row>
    <row r="80" spans="1:97">
      <c r="A80" s="2" t="s">
        <v>964</v>
      </c>
      <c r="B80" s="2">
        <v>273.00698999999997</v>
      </c>
      <c r="C80" s="2">
        <v>4.226</v>
      </c>
      <c r="D80" s="2" t="s">
        <v>146</v>
      </c>
      <c r="E80" s="2" t="s">
        <v>965</v>
      </c>
      <c r="F80" s="2" t="s">
        <v>966</v>
      </c>
      <c r="G80" s="2">
        <v>64806</v>
      </c>
      <c r="H80" s="3" t="str">
        <f>HYPERLINK("https://cloud.oebiotech.com/#/lm/network/64806", "https://cloud.oebiotech.com/#/lm/network/64806")</f>
        <v>https://cloud.oebiotech.com/#/lm/network/64806</v>
      </c>
      <c r="I80" s="2" t="s">
        <v>967</v>
      </c>
      <c r="J80" s="2">
        <v>96106</v>
      </c>
      <c r="K80" s="2"/>
      <c r="L80" s="2">
        <v>71749556</v>
      </c>
      <c r="M80" s="2"/>
      <c r="N80" s="2"/>
      <c r="O80" s="2"/>
      <c r="P80" s="2"/>
      <c r="Q80" s="2"/>
      <c r="R80" s="2"/>
      <c r="S80" s="2"/>
      <c r="T80" s="2" t="s">
        <v>968</v>
      </c>
      <c r="U80" s="2" t="s">
        <v>969</v>
      </c>
      <c r="V80" s="2" t="s">
        <v>845</v>
      </c>
      <c r="W80" s="2" t="s">
        <v>970</v>
      </c>
      <c r="X80" s="2" t="s">
        <v>971</v>
      </c>
      <c r="Y80" s="2" t="s">
        <v>847</v>
      </c>
      <c r="Z80" s="2" t="s">
        <v>972</v>
      </c>
      <c r="AA80" s="2" t="s">
        <v>973</v>
      </c>
      <c r="AB80" s="2" t="s">
        <v>101</v>
      </c>
      <c r="AC80" s="2">
        <v>73.66</v>
      </c>
      <c r="AD80" s="2">
        <v>90.36</v>
      </c>
      <c r="AE80" s="2">
        <v>90.93</v>
      </c>
      <c r="AF80" s="2" t="s">
        <v>974</v>
      </c>
      <c r="AG80" s="2" t="s">
        <v>194</v>
      </c>
      <c r="AH80" s="2" t="s">
        <v>975</v>
      </c>
      <c r="AI80" s="2">
        <v>1.47</v>
      </c>
      <c r="AJ80" s="2">
        <v>18.168475718137</v>
      </c>
      <c r="AK80" s="2">
        <v>18.284396911433099</v>
      </c>
      <c r="AL80" s="2">
        <v>18.281788158589201</v>
      </c>
      <c r="AM80" s="2">
        <v>18.122927409163498</v>
      </c>
      <c r="AN80" s="2">
        <v>18.359227986760601</v>
      </c>
      <c r="AO80" s="2">
        <v>18.387961055142799</v>
      </c>
      <c r="AP80" s="2">
        <v>18.052408368688099</v>
      </c>
      <c r="AQ80" s="2">
        <v>18.3862673604858</v>
      </c>
      <c r="AR80" s="2">
        <v>16.1205252454324</v>
      </c>
      <c r="AS80" s="2">
        <v>12.1650765716058</v>
      </c>
      <c r="AT80" s="2">
        <v>9.6233145402724691</v>
      </c>
      <c r="AU80" s="2">
        <v>14.743445437412401</v>
      </c>
      <c r="AV80" s="2">
        <v>16.823751847738802</v>
      </c>
      <c r="AW80" s="2">
        <v>18.101979875795301</v>
      </c>
      <c r="AX80" s="2">
        <v>9.6233145402724691</v>
      </c>
      <c r="AY80" s="2">
        <v>16.519775061338699</v>
      </c>
      <c r="AZ80" s="2">
        <v>15.075200427711801</v>
      </c>
      <c r="BA80" s="2">
        <v>9.6233145402724691</v>
      </c>
      <c r="BB80" s="2">
        <v>9.6233145402724691</v>
      </c>
      <c r="BC80" s="2">
        <v>12.3405316710699</v>
      </c>
      <c r="BD80" s="2">
        <v>16.831921268078499</v>
      </c>
      <c r="BE80" s="2">
        <v>16.216152822002702</v>
      </c>
      <c r="BF80" s="2">
        <v>17.2773586031043</v>
      </c>
      <c r="BG80" s="2">
        <v>16.144774732248599</v>
      </c>
      <c r="BH80" s="2">
        <v>18.423553838677599</v>
      </c>
      <c r="BI80" s="2">
        <v>14.7624593831976</v>
      </c>
      <c r="BJ80" s="2">
        <v>17.331982859016801</v>
      </c>
      <c r="BK80" s="2">
        <v>16.450953464712999</v>
      </c>
      <c r="BL80" s="2">
        <v>14.6517664690644</v>
      </c>
      <c r="BM80" s="2">
        <v>18.816238941675302</v>
      </c>
      <c r="BN80" s="2">
        <v>16.300965053695599</v>
      </c>
      <c r="BO80" s="2">
        <v>9.6233145402724691</v>
      </c>
      <c r="BP80" s="2">
        <v>14.9662075633883</v>
      </c>
      <c r="BQ80" s="2">
        <v>13.9197087843151</v>
      </c>
      <c r="BR80" s="2">
        <v>17.765192780047698</v>
      </c>
      <c r="BS80" s="2">
        <v>21.865556912004699</v>
      </c>
      <c r="BT80" s="2">
        <v>18.051308475450401</v>
      </c>
      <c r="BU80" s="2">
        <v>9.6233145402724691</v>
      </c>
      <c r="BV80" s="2">
        <v>9.6233145402724691</v>
      </c>
      <c r="BW80" s="2">
        <v>15.1226193388448</v>
      </c>
      <c r="BX80" s="2">
        <v>17.252970457773401</v>
      </c>
      <c r="BY80" s="2">
        <v>20.594710636940601</v>
      </c>
      <c r="BZ80" s="2">
        <v>13.972427903501099</v>
      </c>
      <c r="CA80" s="2">
        <v>15.310418231908001</v>
      </c>
      <c r="CB80" s="2">
        <v>15.1249197602226</v>
      </c>
      <c r="CC80" s="2">
        <v>12.213957794602001</v>
      </c>
      <c r="CD80" s="2">
        <v>17.383506360520801</v>
      </c>
      <c r="CE80" s="2">
        <v>9.6233145402724691</v>
      </c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</row>
    <row r="81" spans="1:97">
      <c r="A81" s="2" t="s">
        <v>976</v>
      </c>
      <c r="B81" s="2">
        <v>204.06612999999999</v>
      </c>
      <c r="C81" s="2">
        <v>5.0380000000000003</v>
      </c>
      <c r="D81" s="2" t="s">
        <v>146</v>
      </c>
      <c r="E81" s="2" t="s">
        <v>977</v>
      </c>
      <c r="F81" s="2" t="s">
        <v>978</v>
      </c>
      <c r="G81" s="2">
        <v>257697</v>
      </c>
      <c r="H81" s="3" t="str">
        <f>HYPERLINK("https://cloud.oebiotech.com/#/lm/network/257697", "https://cloud.oebiotech.com/#/lm/network/257697")</f>
        <v>https://cloud.oebiotech.com/#/lm/network/257697</v>
      </c>
      <c r="I81" s="2" t="s">
        <v>979</v>
      </c>
      <c r="J81" s="2">
        <v>71</v>
      </c>
      <c r="K81" s="2"/>
      <c r="L81" s="2">
        <v>92904</v>
      </c>
      <c r="M81" s="2" t="s">
        <v>980</v>
      </c>
      <c r="N81" s="2"/>
      <c r="O81" s="2"/>
      <c r="P81" s="2"/>
      <c r="Q81" s="2"/>
      <c r="R81" s="2"/>
      <c r="S81" s="2" t="s">
        <v>981</v>
      </c>
      <c r="T81" s="2" t="s">
        <v>982</v>
      </c>
      <c r="U81" s="2" t="s">
        <v>983</v>
      </c>
      <c r="V81" s="2" t="s">
        <v>553</v>
      </c>
      <c r="W81" s="2" t="s">
        <v>933</v>
      </c>
      <c r="X81" s="2" t="s">
        <v>934</v>
      </c>
      <c r="Y81" s="2" t="s">
        <v>556</v>
      </c>
      <c r="Z81" s="2" t="s">
        <v>935</v>
      </c>
      <c r="AA81" s="2" t="s">
        <v>936</v>
      </c>
      <c r="AB81" s="2" t="s">
        <v>101</v>
      </c>
      <c r="AC81" s="2">
        <v>73.58</v>
      </c>
      <c r="AD81" s="2">
        <v>99.11</v>
      </c>
      <c r="AE81" s="2">
        <v>95.31</v>
      </c>
      <c r="AF81" s="2" t="s">
        <v>984</v>
      </c>
      <c r="AG81" s="2" t="s">
        <v>194</v>
      </c>
      <c r="AH81" s="2" t="s">
        <v>985</v>
      </c>
      <c r="AI81" s="2">
        <v>2.4500000000000002</v>
      </c>
      <c r="AJ81" s="2">
        <v>23.034855116977599</v>
      </c>
      <c r="AK81" s="2">
        <v>23.210281817104601</v>
      </c>
      <c r="AL81" s="2">
        <v>23.1837804826494</v>
      </c>
      <c r="AM81" s="2">
        <v>23.1305764383713</v>
      </c>
      <c r="AN81" s="2">
        <v>22.966881789376298</v>
      </c>
      <c r="AO81" s="2">
        <v>23.0859836296715</v>
      </c>
      <c r="AP81" s="2">
        <v>23.166295485716802</v>
      </c>
      <c r="AQ81" s="2">
        <v>23.067634941785599</v>
      </c>
      <c r="AR81" s="2">
        <v>22.536312905089002</v>
      </c>
      <c r="AS81" s="2">
        <v>22.311933882520499</v>
      </c>
      <c r="AT81" s="2">
        <v>21.871211102399101</v>
      </c>
      <c r="AU81" s="2">
        <v>22.226767965093401</v>
      </c>
      <c r="AV81" s="2">
        <v>22.7570637768554</v>
      </c>
      <c r="AW81" s="2">
        <v>22.752984575170998</v>
      </c>
      <c r="AX81" s="2">
        <v>22.4759190817514</v>
      </c>
      <c r="AY81" s="2">
        <v>22.201172140993101</v>
      </c>
      <c r="AZ81" s="2">
        <v>22.832917704916099</v>
      </c>
      <c r="BA81" s="2">
        <v>22.350440466063201</v>
      </c>
      <c r="BB81" s="2">
        <v>22.995266281295699</v>
      </c>
      <c r="BC81" s="2">
        <v>22.9136740975866</v>
      </c>
      <c r="BD81" s="2">
        <v>22.463708202184598</v>
      </c>
      <c r="BE81" s="2">
        <v>23.396607445042701</v>
      </c>
      <c r="BF81" s="2">
        <v>22.7853800446238</v>
      </c>
      <c r="BG81" s="2">
        <v>23.8637920942693</v>
      </c>
      <c r="BH81" s="2">
        <v>22.526920483459701</v>
      </c>
      <c r="BI81" s="2">
        <v>23.4454755645985</v>
      </c>
      <c r="BJ81" s="2">
        <v>22.719620634832498</v>
      </c>
      <c r="BK81" s="2">
        <v>23.3730423282116</v>
      </c>
      <c r="BL81" s="2">
        <v>22.8759200023601</v>
      </c>
      <c r="BM81" s="2">
        <v>22.782678398469098</v>
      </c>
      <c r="BN81" s="2">
        <v>22.627549482723499</v>
      </c>
      <c r="BO81" s="2">
        <v>23.131092712914199</v>
      </c>
      <c r="BP81" s="2">
        <v>22.948641479381902</v>
      </c>
      <c r="BQ81" s="2">
        <v>23.091463668607499</v>
      </c>
      <c r="BR81" s="2">
        <v>23.077703514526199</v>
      </c>
      <c r="BS81" s="2">
        <v>22.7403328537318</v>
      </c>
      <c r="BT81" s="2">
        <v>22.643948946254699</v>
      </c>
      <c r="BU81" s="2">
        <v>22.839199848682501</v>
      </c>
      <c r="BV81" s="2">
        <v>22.736548838588401</v>
      </c>
      <c r="BW81" s="2">
        <v>21.502542031758701</v>
      </c>
      <c r="BX81" s="2">
        <v>22.8420994220625</v>
      </c>
      <c r="BY81" s="2">
        <v>23.9102618292298</v>
      </c>
      <c r="BZ81" s="2">
        <v>22.923774634545701</v>
      </c>
      <c r="CA81" s="2">
        <v>23.3371784252864</v>
      </c>
      <c r="CB81" s="2">
        <v>22.833616309204601</v>
      </c>
      <c r="CC81" s="2">
        <v>22.887790547717898</v>
      </c>
      <c r="CD81" s="2">
        <v>23.3783629154211</v>
      </c>
      <c r="CE81" s="2">
        <v>23.586637442808101</v>
      </c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</row>
    <row r="82" spans="1:97">
      <c r="A82" s="2" t="s">
        <v>986</v>
      </c>
      <c r="B82" s="2">
        <v>205.05017000000001</v>
      </c>
      <c r="C82" s="2">
        <v>5.8209999999999997</v>
      </c>
      <c r="D82" s="2" t="s">
        <v>146</v>
      </c>
      <c r="E82" s="2" t="s">
        <v>987</v>
      </c>
      <c r="F82" s="2" t="s">
        <v>988</v>
      </c>
      <c r="G82" s="2">
        <v>2662</v>
      </c>
      <c r="H82" s="3" t="str">
        <f>HYPERLINK("https://cloud.oebiotech.com/#/lm/network/2662", "https://cloud.oebiotech.com/#/lm/network/2662")</f>
        <v>https://cloud.oebiotech.com/#/lm/network/2662</v>
      </c>
      <c r="I82" s="2"/>
      <c r="J82" s="2"/>
      <c r="K82" s="2" t="s">
        <v>989</v>
      </c>
      <c r="L82" s="2">
        <v>134812135</v>
      </c>
      <c r="M82" s="2"/>
      <c r="N82" s="2"/>
      <c r="O82" s="2"/>
      <c r="P82" s="2"/>
      <c r="Q82" s="2"/>
      <c r="R82" s="2"/>
      <c r="S82" s="2"/>
      <c r="T82" s="2" t="s">
        <v>990</v>
      </c>
      <c r="U82" s="2" t="s">
        <v>991</v>
      </c>
      <c r="V82" s="2" t="s">
        <v>95</v>
      </c>
      <c r="W82" s="2" t="s">
        <v>96</v>
      </c>
      <c r="X82" s="2" t="s">
        <v>141</v>
      </c>
      <c r="Y82" s="2" t="s">
        <v>98</v>
      </c>
      <c r="Z82" s="2" t="s">
        <v>99</v>
      </c>
      <c r="AA82" s="2" t="s">
        <v>142</v>
      </c>
      <c r="AB82" s="2" t="s">
        <v>101</v>
      </c>
      <c r="AC82" s="2">
        <v>73.58</v>
      </c>
      <c r="AD82" s="2">
        <v>93.44</v>
      </c>
      <c r="AE82" s="2">
        <v>86.51</v>
      </c>
      <c r="AF82" s="2" t="s">
        <v>992</v>
      </c>
      <c r="AG82" s="2" t="s">
        <v>993</v>
      </c>
      <c r="AH82" s="2" t="s">
        <v>994</v>
      </c>
      <c r="AI82" s="2">
        <v>-0.49</v>
      </c>
      <c r="AJ82" s="2">
        <v>18.110706980352699</v>
      </c>
      <c r="AK82" s="2">
        <v>18.163621178733901</v>
      </c>
      <c r="AL82" s="2">
        <v>18.148290870905502</v>
      </c>
      <c r="AM82" s="2">
        <v>18.152201941216202</v>
      </c>
      <c r="AN82" s="2">
        <v>17.837436435708501</v>
      </c>
      <c r="AO82" s="2">
        <v>18.112145126071798</v>
      </c>
      <c r="AP82" s="2">
        <v>18.147162334833201</v>
      </c>
      <c r="AQ82" s="2">
        <v>18.002355037103602</v>
      </c>
      <c r="AR82" s="2">
        <v>14.401233530706399</v>
      </c>
      <c r="AS82" s="2">
        <v>14.857805602964101</v>
      </c>
      <c r="AT82" s="2">
        <v>15.3216181075741</v>
      </c>
      <c r="AU82" s="2">
        <v>15.6202115189881</v>
      </c>
      <c r="AV82" s="2">
        <v>18.691257705339801</v>
      </c>
      <c r="AW82" s="2">
        <v>15.102692573932099</v>
      </c>
      <c r="AX82" s="2">
        <v>15.174061569553</v>
      </c>
      <c r="AY82" s="2">
        <v>14.993429356465899</v>
      </c>
      <c r="AZ82" s="2">
        <v>15.249818624265</v>
      </c>
      <c r="BA82" s="2">
        <v>15.279805703097299</v>
      </c>
      <c r="BB82" s="2">
        <v>14.9799552115735</v>
      </c>
      <c r="BC82" s="2">
        <v>22.078195768091</v>
      </c>
      <c r="BD82" s="2">
        <v>14.7593015010861</v>
      </c>
      <c r="BE82" s="2">
        <v>18.289039364112199</v>
      </c>
      <c r="BF82" s="2">
        <v>16.027575384261301</v>
      </c>
      <c r="BG82" s="2">
        <v>19.244116626604001</v>
      </c>
      <c r="BH82" s="2">
        <v>14.729177267581401</v>
      </c>
      <c r="BI82" s="2">
        <v>15.4916213949273</v>
      </c>
      <c r="BJ82" s="2">
        <v>15.3401387078121</v>
      </c>
      <c r="BK82" s="2">
        <v>14.873504191515</v>
      </c>
      <c r="BL82" s="2">
        <v>14.897287229951701</v>
      </c>
      <c r="BM82" s="2">
        <v>15.2236167483646</v>
      </c>
      <c r="BN82" s="2">
        <v>14.2595512936366</v>
      </c>
      <c r="BO82" s="2">
        <v>15.329958870464299</v>
      </c>
      <c r="BP82" s="2">
        <v>14.0833205889029</v>
      </c>
      <c r="BQ82" s="2">
        <v>15.660425772453999</v>
      </c>
      <c r="BR82" s="2">
        <v>14.375122264433401</v>
      </c>
      <c r="BS82" s="2">
        <v>14.7346556451499</v>
      </c>
      <c r="BT82" s="2">
        <v>14.4028355383596</v>
      </c>
      <c r="BU82" s="2">
        <v>14.2188167298851</v>
      </c>
      <c r="BV82" s="2">
        <v>14.9722317773125</v>
      </c>
      <c r="BW82" s="2">
        <v>14.305127652340101</v>
      </c>
      <c r="BX82" s="2">
        <v>14.444208020268199</v>
      </c>
      <c r="BY82" s="2">
        <v>17.943748009482999</v>
      </c>
      <c r="BZ82" s="2">
        <v>20.1028158838858</v>
      </c>
      <c r="CA82" s="2">
        <v>14.192332118127201</v>
      </c>
      <c r="CB82" s="2">
        <v>19.714855384279399</v>
      </c>
      <c r="CC82" s="2">
        <v>14.857334708012299</v>
      </c>
      <c r="CD82" s="2">
        <v>14.207330866688199</v>
      </c>
      <c r="CE82" s="2">
        <v>19.063866913716701</v>
      </c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</row>
    <row r="83" spans="1:97">
      <c r="A83" s="2" t="s">
        <v>995</v>
      </c>
      <c r="B83" s="2">
        <v>190.08606</v>
      </c>
      <c r="C83" s="2">
        <v>6.2510000000000003</v>
      </c>
      <c r="D83" s="2" t="s">
        <v>84</v>
      </c>
      <c r="E83" s="2" t="s">
        <v>996</v>
      </c>
      <c r="F83" s="2" t="s">
        <v>997</v>
      </c>
      <c r="G83" s="2">
        <v>47900</v>
      </c>
      <c r="H83" s="3" t="str">
        <f>HYPERLINK("https://cloud.oebiotech.com/#/lm/network/47900", "https://cloud.oebiotech.com/#/lm/network/47900")</f>
        <v>https://cloud.oebiotech.com/#/lm/network/47900</v>
      </c>
      <c r="I83" s="2" t="s">
        <v>998</v>
      </c>
      <c r="J83" s="2">
        <v>6602</v>
      </c>
      <c r="K83" s="2"/>
      <c r="L83" s="2">
        <v>3744</v>
      </c>
      <c r="M83" s="2"/>
      <c r="N83" s="2"/>
      <c r="O83" s="2"/>
      <c r="P83" s="2">
        <v>43580</v>
      </c>
      <c r="Q83" s="2" t="s">
        <v>999</v>
      </c>
      <c r="R83" s="2" t="s">
        <v>1000</v>
      </c>
      <c r="S83" s="2" t="s">
        <v>1001</v>
      </c>
      <c r="T83" s="2" t="s">
        <v>1002</v>
      </c>
      <c r="U83" s="2" t="s">
        <v>1003</v>
      </c>
      <c r="V83" s="2" t="s">
        <v>553</v>
      </c>
      <c r="W83" s="2" t="s">
        <v>933</v>
      </c>
      <c r="X83" s="2" t="s">
        <v>934</v>
      </c>
      <c r="Y83" s="2" t="s">
        <v>556</v>
      </c>
      <c r="Z83" s="2" t="s">
        <v>935</v>
      </c>
      <c r="AA83" s="2" t="s">
        <v>936</v>
      </c>
      <c r="AB83" s="2" t="s">
        <v>101</v>
      </c>
      <c r="AC83" s="2">
        <v>73.569999999999993</v>
      </c>
      <c r="AD83" s="2">
        <v>98.92</v>
      </c>
      <c r="AE83" s="2">
        <v>85.6</v>
      </c>
      <c r="AF83" s="2" t="s">
        <v>1004</v>
      </c>
      <c r="AG83" s="2" t="s">
        <v>103</v>
      </c>
      <c r="AH83" s="2" t="s">
        <v>1005</v>
      </c>
      <c r="AI83" s="2">
        <v>1.05</v>
      </c>
      <c r="AJ83" s="2">
        <v>23.1498477546223</v>
      </c>
      <c r="AK83" s="2">
        <v>23.121769776590199</v>
      </c>
      <c r="AL83" s="2">
        <v>23.557537397232601</v>
      </c>
      <c r="AM83" s="2">
        <v>23.200485411014402</v>
      </c>
      <c r="AN83" s="2">
        <v>23.3322040892816</v>
      </c>
      <c r="AO83" s="2">
        <v>23.218136400977698</v>
      </c>
      <c r="AP83" s="2">
        <v>23.111164025933</v>
      </c>
      <c r="AQ83" s="2">
        <v>23.122036023763101</v>
      </c>
      <c r="AR83" s="2">
        <v>23.706915153279301</v>
      </c>
      <c r="AS83" s="2">
        <v>21.621980193556599</v>
      </c>
      <c r="AT83" s="2">
        <v>22.832783019367799</v>
      </c>
      <c r="AU83" s="2">
        <v>24.347229394364099</v>
      </c>
      <c r="AV83" s="2">
        <v>25.564469715383701</v>
      </c>
      <c r="AW83" s="2">
        <v>20.5234576739727</v>
      </c>
      <c r="AX83" s="2">
        <v>18.6793416788116</v>
      </c>
      <c r="AY83" s="2">
        <v>24.964220026254399</v>
      </c>
      <c r="AZ83" s="2">
        <v>20.9314152531894</v>
      </c>
      <c r="BA83" s="2">
        <v>23.206961159832201</v>
      </c>
      <c r="BB83" s="2">
        <v>21.939083620998201</v>
      </c>
      <c r="BC83" s="2">
        <v>22.243426670810798</v>
      </c>
      <c r="BD83" s="2">
        <v>23.925479936529801</v>
      </c>
      <c r="BE83" s="2">
        <v>23.4845394370886</v>
      </c>
      <c r="BF83" s="2">
        <v>15.049604393487099</v>
      </c>
      <c r="BG83" s="2">
        <v>19.459819049151999</v>
      </c>
      <c r="BH83" s="2">
        <v>21.128192041920801</v>
      </c>
      <c r="BI83" s="2">
        <v>22.940351270800701</v>
      </c>
      <c r="BJ83" s="2">
        <v>21.641021466025101</v>
      </c>
      <c r="BK83" s="2">
        <v>22.993537263147701</v>
      </c>
      <c r="BL83" s="2">
        <v>22.485601263540801</v>
      </c>
      <c r="BM83" s="2">
        <v>23.574079890386901</v>
      </c>
      <c r="BN83" s="2">
        <v>21.733687723951199</v>
      </c>
      <c r="BO83" s="2">
        <v>23.798563520865599</v>
      </c>
      <c r="BP83" s="2">
        <v>14.9025268005434</v>
      </c>
      <c r="BQ83" s="2">
        <v>22.9429897546609</v>
      </c>
      <c r="BR83" s="2">
        <v>20.2102408750747</v>
      </c>
      <c r="BS83" s="2">
        <v>24.019718966707899</v>
      </c>
      <c r="BT83" s="2">
        <v>21.760156187135301</v>
      </c>
      <c r="BU83" s="2">
        <v>22.670556279867601</v>
      </c>
      <c r="BV83" s="2">
        <v>24.403442215982501</v>
      </c>
      <c r="BW83" s="2">
        <v>19.373947537945401</v>
      </c>
      <c r="BX83" s="2">
        <v>23.867375118190001</v>
      </c>
      <c r="BY83" s="2">
        <v>24.431506210169498</v>
      </c>
      <c r="BZ83" s="2">
        <v>9.6233145402724691</v>
      </c>
      <c r="CA83" s="2">
        <v>19.846486735535901</v>
      </c>
      <c r="CB83" s="2">
        <v>23.780913678433699</v>
      </c>
      <c r="CC83" s="2">
        <v>21.0442138352544</v>
      </c>
      <c r="CD83" s="2">
        <v>19.627021519777099</v>
      </c>
      <c r="CE83" s="2">
        <v>19.861121960974501</v>
      </c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</row>
    <row r="84" spans="1:97">
      <c r="A84" s="2" t="s">
        <v>1006</v>
      </c>
      <c r="B84" s="2">
        <v>365.26898</v>
      </c>
      <c r="C84" s="2">
        <v>11.435</v>
      </c>
      <c r="D84" s="2" t="s">
        <v>146</v>
      </c>
      <c r="E84" s="2" t="s">
        <v>1007</v>
      </c>
      <c r="F84" s="2" t="s">
        <v>1008</v>
      </c>
      <c r="G84" s="2">
        <v>48647</v>
      </c>
      <c r="H84" s="3" t="str">
        <f>HYPERLINK("https://cloud.oebiotech.com/#/lm/network/48647", "https://cloud.oebiotech.com/#/lm/network/48647")</f>
        <v>https://cloud.oebiotech.com/#/lm/network/48647</v>
      </c>
      <c r="I84" s="2" t="s">
        <v>1009</v>
      </c>
      <c r="J84" s="2"/>
      <c r="K84" s="2"/>
      <c r="L84" s="2">
        <v>15706076</v>
      </c>
      <c r="M84" s="2"/>
      <c r="N84" s="2"/>
      <c r="O84" s="2"/>
      <c r="P84" s="2"/>
      <c r="Q84" s="2"/>
      <c r="R84" s="2"/>
      <c r="S84" s="2" t="s">
        <v>1010</v>
      </c>
      <c r="T84" s="2" t="s">
        <v>1011</v>
      </c>
      <c r="U84" s="2" t="s">
        <v>1012</v>
      </c>
      <c r="V84" s="2" t="s">
        <v>95</v>
      </c>
      <c r="W84" s="2" t="s">
        <v>152</v>
      </c>
      <c r="X84" s="2" t="s">
        <v>1013</v>
      </c>
      <c r="Y84" s="2" t="s">
        <v>98</v>
      </c>
      <c r="Z84" s="2" t="s">
        <v>154</v>
      </c>
      <c r="AA84" s="2" t="s">
        <v>1014</v>
      </c>
      <c r="AB84" s="2" t="s">
        <v>101</v>
      </c>
      <c r="AC84" s="2">
        <v>73.569999999999993</v>
      </c>
      <c r="AD84" s="2">
        <v>98.16</v>
      </c>
      <c r="AE84" s="2">
        <v>93.92</v>
      </c>
      <c r="AF84" s="2" t="s">
        <v>1015</v>
      </c>
      <c r="AG84" s="2" t="s">
        <v>157</v>
      </c>
      <c r="AH84" s="2" t="s">
        <v>1016</v>
      </c>
      <c r="AI84" s="2">
        <v>1.92</v>
      </c>
      <c r="AJ84" s="2">
        <v>22.100683622844699</v>
      </c>
      <c r="AK84" s="2">
        <v>21.942909328396802</v>
      </c>
      <c r="AL84" s="2">
        <v>21.766641121433601</v>
      </c>
      <c r="AM84" s="2">
        <v>21.977270286324298</v>
      </c>
      <c r="AN84" s="2">
        <v>21.8113161653155</v>
      </c>
      <c r="AO84" s="2">
        <v>21.683502595822301</v>
      </c>
      <c r="AP84" s="2">
        <v>21.751778585352099</v>
      </c>
      <c r="AQ84" s="2">
        <v>22.0141952278479</v>
      </c>
      <c r="AR84" s="2">
        <v>21.6261698839436</v>
      </c>
      <c r="AS84" s="2">
        <v>20.541764422064201</v>
      </c>
      <c r="AT84" s="2">
        <v>21.352192644216402</v>
      </c>
      <c r="AU84" s="2">
        <v>21.2213313169092</v>
      </c>
      <c r="AV84" s="2">
        <v>21.741533194923601</v>
      </c>
      <c r="AW84" s="2">
        <v>21.875871987912699</v>
      </c>
      <c r="AX84" s="2">
        <v>20.985716653620599</v>
      </c>
      <c r="AY84" s="2">
        <v>23.032292255148299</v>
      </c>
      <c r="AZ84" s="2">
        <v>22.555017361188199</v>
      </c>
      <c r="BA84" s="2">
        <v>21.377758957874502</v>
      </c>
      <c r="BB84" s="2">
        <v>21.677899052194</v>
      </c>
      <c r="BC84" s="2">
        <v>22.030447554186601</v>
      </c>
      <c r="BD84" s="2">
        <v>21.353241916505201</v>
      </c>
      <c r="BE84" s="2">
        <v>22.993670602958499</v>
      </c>
      <c r="BF84" s="2">
        <v>21.1650752095189</v>
      </c>
      <c r="BG84" s="2">
        <v>21.105555286007199</v>
      </c>
      <c r="BH84" s="2">
        <v>21.613029115278302</v>
      </c>
      <c r="BI84" s="2">
        <v>21.646426301701698</v>
      </c>
      <c r="BJ84" s="2">
        <v>22.237995706146599</v>
      </c>
      <c r="BK84" s="2">
        <v>20.909000496325699</v>
      </c>
      <c r="BL84" s="2">
        <v>21.640411741371</v>
      </c>
      <c r="BM84" s="2">
        <v>21.728464740180701</v>
      </c>
      <c r="BN84" s="2">
        <v>21.127978343487602</v>
      </c>
      <c r="BO84" s="2">
        <v>21.229289567632399</v>
      </c>
      <c r="BP84" s="2">
        <v>21.556360126046801</v>
      </c>
      <c r="BQ84" s="2">
        <v>21.611623114716501</v>
      </c>
      <c r="BR84" s="2">
        <v>21.169690064714199</v>
      </c>
      <c r="BS84" s="2">
        <v>23.053956389863</v>
      </c>
      <c r="BT84" s="2">
        <v>22.020051574929699</v>
      </c>
      <c r="BU84" s="2">
        <v>21.3439408205695</v>
      </c>
      <c r="BV84" s="2">
        <v>21.555775070512201</v>
      </c>
      <c r="BW84" s="2">
        <v>20.979090828010701</v>
      </c>
      <c r="BX84" s="2">
        <v>21.346786264386701</v>
      </c>
      <c r="BY84" s="2">
        <v>23.184148279870001</v>
      </c>
      <c r="BZ84" s="2">
        <v>20.806087370179</v>
      </c>
      <c r="CA84" s="2">
        <v>20.996071725610499</v>
      </c>
      <c r="CB84" s="2">
        <v>21.172756665988398</v>
      </c>
      <c r="CC84" s="2">
        <v>21.382010605153098</v>
      </c>
      <c r="CD84" s="2">
        <v>22.1050929484372</v>
      </c>
      <c r="CE84" s="2">
        <v>21.189978315426998</v>
      </c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</row>
    <row r="85" spans="1:97">
      <c r="A85" s="2" t="s">
        <v>1017</v>
      </c>
      <c r="B85" s="2">
        <v>309.20656000000002</v>
      </c>
      <c r="C85" s="2">
        <v>10.239000000000001</v>
      </c>
      <c r="D85" s="2" t="s">
        <v>146</v>
      </c>
      <c r="E85" s="2" t="s">
        <v>1018</v>
      </c>
      <c r="F85" s="2" t="s">
        <v>1019</v>
      </c>
      <c r="G85" s="2">
        <v>198679</v>
      </c>
      <c r="H85" s="3" t="str">
        <f>HYPERLINK("https://cloud.oebiotech.com/#/lm/network/198679", "https://cloud.oebiotech.com/#/lm/network/198679")</f>
        <v>https://cloud.oebiotech.com/#/lm/network/198679</v>
      </c>
      <c r="I85" s="2" t="s">
        <v>1020</v>
      </c>
      <c r="J85" s="2"/>
      <c r="K85" s="2"/>
      <c r="L85" s="2">
        <v>54552159</v>
      </c>
      <c r="M85" s="2"/>
      <c r="N85" s="2"/>
      <c r="O85" s="2"/>
      <c r="P85" s="2"/>
      <c r="Q85" s="2"/>
      <c r="R85" s="2"/>
      <c r="S85" s="2"/>
      <c r="T85" s="2" t="s">
        <v>1021</v>
      </c>
      <c r="U85" s="2" t="s">
        <v>1022</v>
      </c>
      <c r="V85" s="2" t="s">
        <v>95</v>
      </c>
      <c r="W85" s="2" t="s">
        <v>96</v>
      </c>
      <c r="X85" s="2" t="s">
        <v>141</v>
      </c>
      <c r="Y85" s="2" t="s">
        <v>98</v>
      </c>
      <c r="Z85" s="2" t="s">
        <v>99</v>
      </c>
      <c r="AA85" s="2" t="s">
        <v>142</v>
      </c>
      <c r="AB85" s="2" t="s">
        <v>101</v>
      </c>
      <c r="AC85" s="2">
        <v>73.56</v>
      </c>
      <c r="AD85" s="2">
        <v>96.77</v>
      </c>
      <c r="AE85" s="2">
        <v>94.35</v>
      </c>
      <c r="AF85" s="2" t="s">
        <v>1023</v>
      </c>
      <c r="AG85" s="2" t="s">
        <v>194</v>
      </c>
      <c r="AH85" s="2" t="s">
        <v>1024</v>
      </c>
      <c r="AI85" s="2">
        <v>1.62</v>
      </c>
      <c r="AJ85" s="2">
        <v>22.5462604344029</v>
      </c>
      <c r="AK85" s="2">
        <v>22.221728026170599</v>
      </c>
      <c r="AL85" s="2">
        <v>22.4741941486785</v>
      </c>
      <c r="AM85" s="2">
        <v>22.2096386591789</v>
      </c>
      <c r="AN85" s="2">
        <v>22.379991214206999</v>
      </c>
      <c r="AO85" s="2">
        <v>22.370680144236999</v>
      </c>
      <c r="AP85" s="2">
        <v>22.484845455367601</v>
      </c>
      <c r="AQ85" s="2">
        <v>22.457598016921299</v>
      </c>
      <c r="AR85" s="2">
        <v>23.936027280525298</v>
      </c>
      <c r="AS85" s="2">
        <v>21.122283229607199</v>
      </c>
      <c r="AT85" s="2">
        <v>21.484399489187599</v>
      </c>
      <c r="AU85" s="2">
        <v>22.354747248054299</v>
      </c>
      <c r="AV85" s="2">
        <v>22.1781758046709</v>
      </c>
      <c r="AW85" s="2">
        <v>22.997889952121898</v>
      </c>
      <c r="AX85" s="2">
        <v>21.445378759433599</v>
      </c>
      <c r="AY85" s="2">
        <v>23.9135595923469</v>
      </c>
      <c r="AZ85" s="2">
        <v>21.612551585519402</v>
      </c>
      <c r="BA85" s="2">
        <v>20.673797304669101</v>
      </c>
      <c r="BB85" s="2">
        <v>22.4624677790422</v>
      </c>
      <c r="BC85" s="2">
        <v>21.4930276891231</v>
      </c>
      <c r="BD85" s="2">
        <v>21.006656425897798</v>
      </c>
      <c r="BE85" s="2">
        <v>21.7481540433822</v>
      </c>
      <c r="BF85" s="2">
        <v>21.3725397215321</v>
      </c>
      <c r="BG85" s="2">
        <v>20.606256752829999</v>
      </c>
      <c r="BH85" s="2">
        <v>25.512044655693899</v>
      </c>
      <c r="BI85" s="2">
        <v>21.674149056901701</v>
      </c>
      <c r="BJ85" s="2">
        <v>21.545650401756699</v>
      </c>
      <c r="BK85" s="2">
        <v>21.597121519743901</v>
      </c>
      <c r="BL85" s="2">
        <v>20.5125754087811</v>
      </c>
      <c r="BM85" s="2">
        <v>20.9147038546459</v>
      </c>
      <c r="BN85" s="2">
        <v>20.2876345846304</v>
      </c>
      <c r="BO85" s="2">
        <v>21.759123255803001</v>
      </c>
      <c r="BP85" s="2">
        <v>21.066281696327898</v>
      </c>
      <c r="BQ85" s="2">
        <v>22.430711785609699</v>
      </c>
      <c r="BR85" s="2">
        <v>22.740701862322801</v>
      </c>
      <c r="BS85" s="2">
        <v>23.401961185032601</v>
      </c>
      <c r="BT85" s="2">
        <v>21.240066338521</v>
      </c>
      <c r="BU85" s="2">
        <v>20.932308200927402</v>
      </c>
      <c r="BV85" s="2">
        <v>20.5646625146546</v>
      </c>
      <c r="BW85" s="2">
        <v>21.0147481704537</v>
      </c>
      <c r="BX85" s="2">
        <v>21.9570978319191</v>
      </c>
      <c r="BY85" s="2">
        <v>23.149688279503401</v>
      </c>
      <c r="BZ85" s="2">
        <v>21.109695522790901</v>
      </c>
      <c r="CA85" s="2">
        <v>21.1080477509928</v>
      </c>
      <c r="CB85" s="2">
        <v>22.802590029776901</v>
      </c>
      <c r="CC85" s="2">
        <v>19.554090298640801</v>
      </c>
      <c r="CD85" s="2">
        <v>22.204752463712701</v>
      </c>
      <c r="CE85" s="2">
        <v>20.6804837075432</v>
      </c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</row>
    <row r="86" spans="1:97">
      <c r="A86" s="2" t="s">
        <v>1025</v>
      </c>
      <c r="B86" s="2">
        <v>146.11736999999999</v>
      </c>
      <c r="C86" s="2">
        <v>0.73199999999999998</v>
      </c>
      <c r="D86" s="2" t="s">
        <v>84</v>
      </c>
      <c r="E86" s="2" t="s">
        <v>1026</v>
      </c>
      <c r="F86" s="2" t="s">
        <v>1027</v>
      </c>
      <c r="G86" s="2">
        <v>47422</v>
      </c>
      <c r="H86" s="3" t="str">
        <f>HYPERLINK("https://cloud.oebiotech.com/#/lm/network/47422", "https://cloud.oebiotech.com/#/lm/network/47422")</f>
        <v>https://cloud.oebiotech.com/#/lm/network/47422</v>
      </c>
      <c r="I86" s="2" t="s">
        <v>1028</v>
      </c>
      <c r="J86" s="2"/>
      <c r="K86" s="2"/>
      <c r="L86" s="2">
        <v>725</v>
      </c>
      <c r="M86" s="2" t="s">
        <v>1029</v>
      </c>
      <c r="N86" s="2" t="s">
        <v>1030</v>
      </c>
      <c r="O86" s="2" t="s">
        <v>1031</v>
      </c>
      <c r="P86" s="2">
        <v>16244</v>
      </c>
      <c r="Q86" s="2" t="s">
        <v>1032</v>
      </c>
      <c r="R86" s="2" t="s">
        <v>1033</v>
      </c>
      <c r="S86" s="2" t="s">
        <v>1034</v>
      </c>
      <c r="T86" s="2" t="s">
        <v>1035</v>
      </c>
      <c r="U86" s="2" t="s">
        <v>1036</v>
      </c>
      <c r="V86" s="2" t="s">
        <v>95</v>
      </c>
      <c r="W86" s="2" t="s">
        <v>96</v>
      </c>
      <c r="X86" s="2" t="s">
        <v>141</v>
      </c>
      <c r="Y86" s="2" t="s">
        <v>98</v>
      </c>
      <c r="Z86" s="2" t="s">
        <v>99</v>
      </c>
      <c r="AA86" s="2" t="s">
        <v>142</v>
      </c>
      <c r="AB86" s="2" t="s">
        <v>101</v>
      </c>
      <c r="AC86" s="2">
        <v>73.5</v>
      </c>
      <c r="AD86" s="2">
        <v>99.48</v>
      </c>
      <c r="AE86" s="2">
        <v>83.86</v>
      </c>
      <c r="AF86" s="2" t="s">
        <v>1037</v>
      </c>
      <c r="AG86" s="2" t="s">
        <v>103</v>
      </c>
      <c r="AH86" s="2" t="s">
        <v>1038</v>
      </c>
      <c r="AI86" s="2">
        <v>1.37</v>
      </c>
      <c r="AJ86" s="2">
        <v>25.354167879216899</v>
      </c>
      <c r="AK86" s="2">
        <v>25.294226234671001</v>
      </c>
      <c r="AL86" s="2">
        <v>25.314188003820501</v>
      </c>
      <c r="AM86" s="2">
        <v>25.529348957869999</v>
      </c>
      <c r="AN86" s="2">
        <v>25.222146377455001</v>
      </c>
      <c r="AO86" s="2">
        <v>25.3013911924116</v>
      </c>
      <c r="AP86" s="2">
        <v>25.4274953838896</v>
      </c>
      <c r="AQ86" s="2">
        <v>25.256255027958598</v>
      </c>
      <c r="AR86" s="2">
        <v>24.681562173740101</v>
      </c>
      <c r="AS86" s="2">
        <v>24.907659411372901</v>
      </c>
      <c r="AT86" s="2">
        <v>24.726234491540701</v>
      </c>
      <c r="AU86" s="2">
        <v>24.373421116629501</v>
      </c>
      <c r="AV86" s="2">
        <v>24.967435132708601</v>
      </c>
      <c r="AW86" s="2">
        <v>25.648474076146499</v>
      </c>
      <c r="AX86" s="2">
        <v>25.2573453698615</v>
      </c>
      <c r="AY86" s="2">
        <v>25.2062911781513</v>
      </c>
      <c r="AZ86" s="2">
        <v>25.127201845740402</v>
      </c>
      <c r="BA86" s="2">
        <v>24.679671390860499</v>
      </c>
      <c r="BB86" s="2">
        <v>25.0009057546158</v>
      </c>
      <c r="BC86" s="2">
        <v>24.806677188102199</v>
      </c>
      <c r="BD86" s="2">
        <v>25.020122703736401</v>
      </c>
      <c r="BE86" s="2">
        <v>25.319486037390899</v>
      </c>
      <c r="BF86" s="2">
        <v>25.546646634080499</v>
      </c>
      <c r="BG86" s="2">
        <v>24.995088956313701</v>
      </c>
      <c r="BH86" s="2">
        <v>25.7551541584033</v>
      </c>
      <c r="BI86" s="2">
        <v>24.597449540892899</v>
      </c>
      <c r="BJ86" s="2">
        <v>25.565918560232099</v>
      </c>
      <c r="BK86" s="2">
        <v>24.879451118821901</v>
      </c>
      <c r="BL86" s="2">
        <v>25.029792897860599</v>
      </c>
      <c r="BM86" s="2">
        <v>25.478910092944599</v>
      </c>
      <c r="BN86" s="2">
        <v>25.403216397771999</v>
      </c>
      <c r="BO86" s="2">
        <v>24.9847134710839</v>
      </c>
      <c r="BP86" s="2">
        <v>24.8194890814374</v>
      </c>
      <c r="BQ86" s="2">
        <v>25.393500086155001</v>
      </c>
      <c r="BR86" s="2">
        <v>25.085668322123102</v>
      </c>
      <c r="BS86" s="2">
        <v>25.445442615665002</v>
      </c>
      <c r="BT86" s="2">
        <v>25.054206774445099</v>
      </c>
      <c r="BU86" s="2">
        <v>24.823473326525399</v>
      </c>
      <c r="BV86" s="2">
        <v>24.786238974568601</v>
      </c>
      <c r="BW86" s="2">
        <v>24.086521654052301</v>
      </c>
      <c r="BX86" s="2">
        <v>25.359831551781401</v>
      </c>
      <c r="BY86" s="2">
        <v>25.709683945085398</v>
      </c>
      <c r="BZ86" s="2">
        <v>25.353313396909801</v>
      </c>
      <c r="CA86" s="2">
        <v>25.724715262018499</v>
      </c>
      <c r="CB86" s="2">
        <v>25.037246702526499</v>
      </c>
      <c r="CC86" s="2">
        <v>25.14021817363</v>
      </c>
      <c r="CD86" s="2">
        <v>25.714970402588602</v>
      </c>
      <c r="CE86" s="2">
        <v>25.529322233051101</v>
      </c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</row>
    <row r="87" spans="1:97">
      <c r="A87" s="2" t="s">
        <v>1039</v>
      </c>
      <c r="B87" s="2">
        <v>583.25449000000003</v>
      </c>
      <c r="C87" s="2">
        <v>8.9250000000000007</v>
      </c>
      <c r="D87" s="2" t="s">
        <v>84</v>
      </c>
      <c r="E87" s="2" t="s">
        <v>1040</v>
      </c>
      <c r="F87" s="2" t="s">
        <v>1041</v>
      </c>
      <c r="G87" s="2">
        <v>599906</v>
      </c>
      <c r="H87" s="3" t="str">
        <f>HYPERLINK("https://cloud.oebiotech.com/#/lm/network/599906", "https://cloud.oebiotech.com/#/lm/network/599906")</f>
        <v>https://cloud.oebiotech.com/#/lm/network/599906</v>
      </c>
      <c r="I87" s="2"/>
      <c r="J87" s="2"/>
      <c r="K87" s="2"/>
      <c r="L87" s="2"/>
      <c r="M87" s="2"/>
      <c r="N87" s="2"/>
      <c r="O87" s="2"/>
      <c r="P87" s="2"/>
      <c r="Q87" s="2"/>
      <c r="R87" s="2"/>
      <c r="S87" s="2" t="s">
        <v>1042</v>
      </c>
      <c r="T87" s="2" t="s">
        <v>1043</v>
      </c>
      <c r="U87" s="2" t="s">
        <v>1044</v>
      </c>
      <c r="V87" s="2" t="s">
        <v>553</v>
      </c>
      <c r="W87" s="2" t="s">
        <v>1045</v>
      </c>
      <c r="X87" s="2" t="s">
        <v>1046</v>
      </c>
      <c r="Y87" s="2" t="s">
        <v>556</v>
      </c>
      <c r="Z87" s="2" t="s">
        <v>1047</v>
      </c>
      <c r="AA87" s="2" t="s">
        <v>1048</v>
      </c>
      <c r="AB87" s="2" t="s">
        <v>101</v>
      </c>
      <c r="AC87" s="2">
        <v>73.48</v>
      </c>
      <c r="AD87" s="2">
        <v>91.62</v>
      </c>
      <c r="AE87" s="2">
        <v>91.58</v>
      </c>
      <c r="AF87" s="2" t="s">
        <v>1049</v>
      </c>
      <c r="AG87" s="2" t="s">
        <v>103</v>
      </c>
      <c r="AH87" s="2" t="s">
        <v>1050</v>
      </c>
      <c r="AI87" s="2">
        <v>1.03</v>
      </c>
      <c r="AJ87" s="2">
        <v>21.117712770247199</v>
      </c>
      <c r="AK87" s="2">
        <v>21.121064425067999</v>
      </c>
      <c r="AL87" s="2">
        <v>21.152735038571699</v>
      </c>
      <c r="AM87" s="2">
        <v>21.199552854485201</v>
      </c>
      <c r="AN87" s="2">
        <v>21.084135684495099</v>
      </c>
      <c r="AO87" s="2">
        <v>21.070584300455899</v>
      </c>
      <c r="AP87" s="2">
        <v>21.151515738196601</v>
      </c>
      <c r="AQ87" s="2">
        <v>20.514727536198698</v>
      </c>
      <c r="AR87" s="2">
        <v>19.46647047618</v>
      </c>
      <c r="AS87" s="2">
        <v>20.791769367397499</v>
      </c>
      <c r="AT87" s="2">
        <v>21.6521109776305</v>
      </c>
      <c r="AU87" s="2">
        <v>19.192691822069602</v>
      </c>
      <c r="AV87" s="2">
        <v>20.382970844215301</v>
      </c>
      <c r="AW87" s="2">
        <v>20.913841792741898</v>
      </c>
      <c r="AX87" s="2">
        <v>21.182300875549799</v>
      </c>
      <c r="AY87" s="2">
        <v>21.193865960498499</v>
      </c>
      <c r="AZ87" s="2">
        <v>19.7754404655388</v>
      </c>
      <c r="BA87" s="2">
        <v>20.239950112556901</v>
      </c>
      <c r="BB87" s="2">
        <v>21.0099065888787</v>
      </c>
      <c r="BC87" s="2">
        <v>22.208454906523901</v>
      </c>
      <c r="BD87" s="2">
        <v>20.010817433756198</v>
      </c>
      <c r="BE87" s="2">
        <v>22.3213041169805</v>
      </c>
      <c r="BF87" s="2">
        <v>19.8578028698842</v>
      </c>
      <c r="BG87" s="2">
        <v>21.207409956716202</v>
      </c>
      <c r="BH87" s="2">
        <v>20.8274913386552</v>
      </c>
      <c r="BI87" s="2">
        <v>21.168478515469999</v>
      </c>
      <c r="BJ87" s="2">
        <v>21.6952127112854</v>
      </c>
      <c r="BK87" s="2">
        <v>20.259876882938801</v>
      </c>
      <c r="BL87" s="2">
        <v>20.815808595042</v>
      </c>
      <c r="BM87" s="2">
        <v>20.038303235453501</v>
      </c>
      <c r="BN87" s="2">
        <v>20.915828951359401</v>
      </c>
      <c r="BO87" s="2">
        <v>20.764599221683</v>
      </c>
      <c r="BP87" s="2">
        <v>21.2277321274263</v>
      </c>
      <c r="BQ87" s="2">
        <v>20.838855570759598</v>
      </c>
      <c r="BR87" s="2">
        <v>21.6577140163566</v>
      </c>
      <c r="BS87" s="2">
        <v>20.5056251896393</v>
      </c>
      <c r="BT87" s="2">
        <v>20.4364892652587</v>
      </c>
      <c r="BU87" s="2">
        <v>20.9031035447893</v>
      </c>
      <c r="BV87" s="2">
        <v>21.290015274084801</v>
      </c>
      <c r="BW87" s="2">
        <v>21.0149146628161</v>
      </c>
      <c r="BX87" s="2">
        <v>19.701978557812101</v>
      </c>
      <c r="BY87" s="2">
        <v>21.709335756533299</v>
      </c>
      <c r="BZ87" s="2">
        <v>19.732048514777102</v>
      </c>
      <c r="CA87" s="2">
        <v>20.565833237589999</v>
      </c>
      <c r="CB87" s="2">
        <v>21.306965394351199</v>
      </c>
      <c r="CC87" s="2">
        <v>20.267818577695799</v>
      </c>
      <c r="CD87" s="2">
        <v>21.193346856998598</v>
      </c>
      <c r="CE87" s="2">
        <v>20.434692867806501</v>
      </c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</row>
    <row r="88" spans="1:97">
      <c r="A88" s="2" t="s">
        <v>1051</v>
      </c>
      <c r="B88" s="2">
        <v>153.01900000000001</v>
      </c>
      <c r="C88" s="2">
        <v>4.55</v>
      </c>
      <c r="D88" s="2" t="s">
        <v>146</v>
      </c>
      <c r="E88" s="2" t="s">
        <v>1052</v>
      </c>
      <c r="F88" s="2" t="s">
        <v>1053</v>
      </c>
      <c r="G88" s="2">
        <v>47021</v>
      </c>
      <c r="H88" s="3" t="str">
        <f>HYPERLINK("https://cloud.oebiotech.com/#/lm/network/47021", "https://cloud.oebiotech.com/#/lm/network/47021")</f>
        <v>https://cloud.oebiotech.com/#/lm/network/47021</v>
      </c>
      <c r="I88" s="2" t="s">
        <v>1054</v>
      </c>
      <c r="J88" s="2">
        <v>3276</v>
      </c>
      <c r="K88" s="2"/>
      <c r="L88" s="2">
        <v>19</v>
      </c>
      <c r="M88" s="2" t="s">
        <v>1055</v>
      </c>
      <c r="N88" s="2"/>
      <c r="O88" s="2"/>
      <c r="P88" s="2">
        <v>18026</v>
      </c>
      <c r="Q88" s="2"/>
      <c r="R88" s="2"/>
      <c r="S88" s="2" t="s">
        <v>1056</v>
      </c>
      <c r="T88" s="2" t="s">
        <v>1057</v>
      </c>
      <c r="U88" s="2" t="s">
        <v>1058</v>
      </c>
      <c r="V88" s="2" t="s">
        <v>385</v>
      </c>
      <c r="W88" s="2" t="s">
        <v>386</v>
      </c>
      <c r="X88" s="2" t="s">
        <v>1059</v>
      </c>
      <c r="Y88" s="2" t="s">
        <v>388</v>
      </c>
      <c r="Z88" s="2" t="s">
        <v>389</v>
      </c>
      <c r="AA88" s="2" t="s">
        <v>1060</v>
      </c>
      <c r="AB88" s="2" t="s">
        <v>101</v>
      </c>
      <c r="AC88" s="2">
        <v>73.459999999999994</v>
      </c>
      <c r="AD88" s="2">
        <v>98.34</v>
      </c>
      <c r="AE88" s="2">
        <v>84.11</v>
      </c>
      <c r="AF88" s="2" t="s">
        <v>1061</v>
      </c>
      <c r="AG88" s="2" t="s">
        <v>194</v>
      </c>
      <c r="AH88" s="2" t="s">
        <v>1062</v>
      </c>
      <c r="AI88" s="2">
        <v>1.96</v>
      </c>
      <c r="AJ88" s="2">
        <v>22.661192138313702</v>
      </c>
      <c r="AK88" s="2">
        <v>22.6142864120803</v>
      </c>
      <c r="AL88" s="2">
        <v>22.8757045086898</v>
      </c>
      <c r="AM88" s="2">
        <v>22.7898639680622</v>
      </c>
      <c r="AN88" s="2">
        <v>22.6812112978401</v>
      </c>
      <c r="AO88" s="2">
        <v>22.507142306708701</v>
      </c>
      <c r="AP88" s="2">
        <v>22.565412789373699</v>
      </c>
      <c r="AQ88" s="2">
        <v>22.626405311282198</v>
      </c>
      <c r="AR88" s="2">
        <v>21.055599121094101</v>
      </c>
      <c r="AS88" s="2">
        <v>21.683331848917199</v>
      </c>
      <c r="AT88" s="2">
        <v>20.4014412956599</v>
      </c>
      <c r="AU88" s="2">
        <v>21.742232747445598</v>
      </c>
      <c r="AV88" s="2">
        <v>21.297078689518798</v>
      </c>
      <c r="AW88" s="2">
        <v>21.843567840921501</v>
      </c>
      <c r="AX88" s="2">
        <v>21.7493407421128</v>
      </c>
      <c r="AY88" s="2">
        <v>21.617195833126502</v>
      </c>
      <c r="AZ88" s="2">
        <v>21.032737124423999</v>
      </c>
      <c r="BA88" s="2">
        <v>21.041039752282</v>
      </c>
      <c r="BB88" s="2">
        <v>21.918110413426898</v>
      </c>
      <c r="BC88" s="2">
        <v>22.620131955684599</v>
      </c>
      <c r="BD88" s="2">
        <v>21.168155127437501</v>
      </c>
      <c r="BE88" s="2">
        <v>22.290558096392701</v>
      </c>
      <c r="BF88" s="2">
        <v>23.333649188093201</v>
      </c>
      <c r="BG88" s="2">
        <v>21.608870780702699</v>
      </c>
      <c r="BH88" s="2">
        <v>21.4174877300579</v>
      </c>
      <c r="BI88" s="2">
        <v>23.100252410665899</v>
      </c>
      <c r="BJ88" s="2">
        <v>20.444132680843499</v>
      </c>
      <c r="BK88" s="2">
        <v>22.144437263571401</v>
      </c>
      <c r="BL88" s="2">
        <v>22.117120439629399</v>
      </c>
      <c r="BM88" s="2">
        <v>22.372498781364101</v>
      </c>
      <c r="BN88" s="2">
        <v>21.8568244173014</v>
      </c>
      <c r="BO88" s="2">
        <v>22.3970043445294</v>
      </c>
      <c r="BP88" s="2">
        <v>22.6263546708294</v>
      </c>
      <c r="BQ88" s="2">
        <v>24.278327625773102</v>
      </c>
      <c r="BR88" s="2">
        <v>22.471251068683401</v>
      </c>
      <c r="BS88" s="2">
        <v>23.024445297836401</v>
      </c>
      <c r="BT88" s="2">
        <v>22.087785569240701</v>
      </c>
      <c r="BU88" s="2">
        <v>21.554234695494401</v>
      </c>
      <c r="BV88" s="2">
        <v>21.224974269926602</v>
      </c>
      <c r="BW88" s="2">
        <v>21.509433266516702</v>
      </c>
      <c r="BX88" s="2">
        <v>22.0090231263652</v>
      </c>
      <c r="BY88" s="2">
        <v>23.613596287720998</v>
      </c>
      <c r="BZ88" s="2">
        <v>22.5712422130661</v>
      </c>
      <c r="CA88" s="2">
        <v>20.508932734167999</v>
      </c>
      <c r="CB88" s="2">
        <v>23.281883691537899</v>
      </c>
      <c r="CC88" s="2">
        <v>21.866185291802701</v>
      </c>
      <c r="CD88" s="2">
        <v>21.840008956234399</v>
      </c>
      <c r="CE88" s="2">
        <v>22.366341020561599</v>
      </c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</row>
    <row r="89" spans="1:97">
      <c r="A89" s="2" t="s">
        <v>1063</v>
      </c>
      <c r="B89" s="2">
        <v>353.16001999999997</v>
      </c>
      <c r="C89" s="2">
        <v>7.0789999999999997</v>
      </c>
      <c r="D89" s="2" t="s">
        <v>146</v>
      </c>
      <c r="E89" s="2" t="s">
        <v>1064</v>
      </c>
      <c r="F89" s="2" t="s">
        <v>1065</v>
      </c>
      <c r="G89" s="2">
        <v>82782</v>
      </c>
      <c r="H89" s="3" t="str">
        <f>HYPERLINK("https://cloud.oebiotech.com/#/lm/network/82782", "https://cloud.oebiotech.com/#/lm/network/82782")</f>
        <v>https://cloud.oebiotech.com/#/lm/network/82782</v>
      </c>
      <c r="I89" s="2" t="s">
        <v>1066</v>
      </c>
      <c r="J89" s="2">
        <v>2159</v>
      </c>
      <c r="K89" s="2"/>
      <c r="L89" s="2">
        <v>71751823</v>
      </c>
      <c r="M89" s="2"/>
      <c r="N89" s="2"/>
      <c r="O89" s="2"/>
      <c r="P89" s="2"/>
      <c r="Q89" s="2"/>
      <c r="R89" s="2"/>
      <c r="S89" s="2" t="s">
        <v>1067</v>
      </c>
      <c r="T89" s="2" t="s">
        <v>1068</v>
      </c>
      <c r="U89" s="2" t="s">
        <v>1069</v>
      </c>
      <c r="V89" s="2" t="s">
        <v>338</v>
      </c>
      <c r="W89" s="2" t="s">
        <v>339</v>
      </c>
      <c r="X89" s="2" t="s">
        <v>663</v>
      </c>
      <c r="Y89" s="2" t="s">
        <v>341</v>
      </c>
      <c r="Z89" s="2" t="s">
        <v>341</v>
      </c>
      <c r="AA89" s="2" t="s">
        <v>664</v>
      </c>
      <c r="AB89" s="2" t="s">
        <v>101</v>
      </c>
      <c r="AC89" s="2">
        <v>73.45</v>
      </c>
      <c r="AD89" s="2">
        <v>88.03</v>
      </c>
      <c r="AE89" s="2">
        <v>93.67</v>
      </c>
      <c r="AF89" s="2" t="s">
        <v>1070</v>
      </c>
      <c r="AG89" s="2" t="s">
        <v>194</v>
      </c>
      <c r="AH89" s="2" t="s">
        <v>1071</v>
      </c>
      <c r="AI89" s="2">
        <v>1.7</v>
      </c>
      <c r="AJ89" s="2">
        <v>18.172479614358299</v>
      </c>
      <c r="AK89" s="2">
        <v>18.212918714826799</v>
      </c>
      <c r="AL89" s="2">
        <v>18.200099929829001</v>
      </c>
      <c r="AM89" s="2">
        <v>18.3197667047517</v>
      </c>
      <c r="AN89" s="2">
        <v>18.1115530770867</v>
      </c>
      <c r="AO89" s="2">
        <v>18.102460531990001</v>
      </c>
      <c r="AP89" s="2">
        <v>18.175814564202302</v>
      </c>
      <c r="AQ89" s="2">
        <v>18.192750327485498</v>
      </c>
      <c r="AR89" s="2">
        <v>16.842350220635399</v>
      </c>
      <c r="AS89" s="2">
        <v>9.6233145402724691</v>
      </c>
      <c r="AT89" s="2">
        <v>17.051912121594501</v>
      </c>
      <c r="AU89" s="2">
        <v>17.4069370644667</v>
      </c>
      <c r="AV89" s="2">
        <v>19.853581862761999</v>
      </c>
      <c r="AW89" s="2">
        <v>9.6233145402724691</v>
      </c>
      <c r="AX89" s="2">
        <v>20.653231313685701</v>
      </c>
      <c r="AY89" s="2">
        <v>15.2405647754833</v>
      </c>
      <c r="AZ89" s="2">
        <v>18.7740094560777</v>
      </c>
      <c r="BA89" s="2">
        <v>9.6233145402724691</v>
      </c>
      <c r="BB89" s="2">
        <v>19.209891432818701</v>
      </c>
      <c r="BC89" s="2">
        <v>19.409166844359898</v>
      </c>
      <c r="BD89" s="2">
        <v>15.867371415215199</v>
      </c>
      <c r="BE89" s="2">
        <v>17.234575340347099</v>
      </c>
      <c r="BF89" s="2">
        <v>17.6014786107568</v>
      </c>
      <c r="BG89" s="2">
        <v>18.335851896861399</v>
      </c>
      <c r="BH89" s="2">
        <v>9.6233145402724691</v>
      </c>
      <c r="BI89" s="2">
        <v>14.6915423433899</v>
      </c>
      <c r="BJ89" s="2">
        <v>17.8560751958073</v>
      </c>
      <c r="BK89" s="2">
        <v>9.6233145402724691</v>
      </c>
      <c r="BL89" s="2">
        <v>9.6233145402724691</v>
      </c>
      <c r="BM89" s="2">
        <v>9.6233145402724691</v>
      </c>
      <c r="BN89" s="2">
        <v>9.6233145402724691</v>
      </c>
      <c r="BO89" s="2">
        <v>9.6233145402724691</v>
      </c>
      <c r="BP89" s="2">
        <v>9.6233145402724691</v>
      </c>
      <c r="BQ89" s="2">
        <v>9.6233145402724691</v>
      </c>
      <c r="BR89" s="2">
        <v>9.6233145402724691</v>
      </c>
      <c r="BS89" s="2">
        <v>9.6233145402724691</v>
      </c>
      <c r="BT89" s="2">
        <v>9.6233145402724691</v>
      </c>
      <c r="BU89" s="2">
        <v>9.6233145402724691</v>
      </c>
      <c r="BV89" s="2">
        <v>9.6233145402724691</v>
      </c>
      <c r="BW89" s="2">
        <v>9.6233145402724691</v>
      </c>
      <c r="BX89" s="2">
        <v>9.6233145402724691</v>
      </c>
      <c r="BY89" s="2">
        <v>9.6233145402724691</v>
      </c>
      <c r="BZ89" s="2">
        <v>9.6233145402724691</v>
      </c>
      <c r="CA89" s="2">
        <v>9.6233145402724691</v>
      </c>
      <c r="CB89" s="2">
        <v>9.6233145402724691</v>
      </c>
      <c r="CC89" s="2">
        <v>9.6233145402724691</v>
      </c>
      <c r="CD89" s="2">
        <v>9.6233145402724691</v>
      </c>
      <c r="CE89" s="2">
        <v>9.6233145402724691</v>
      </c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</row>
    <row r="90" spans="1:97">
      <c r="A90" s="2" t="s">
        <v>1072</v>
      </c>
      <c r="B90" s="2">
        <v>269.22581000000002</v>
      </c>
      <c r="C90" s="2">
        <v>12.824999999999999</v>
      </c>
      <c r="D90" s="2" t="s">
        <v>84</v>
      </c>
      <c r="E90" s="2" t="s">
        <v>1073</v>
      </c>
      <c r="F90" s="2" t="s">
        <v>1074</v>
      </c>
      <c r="G90" s="2">
        <v>37368</v>
      </c>
      <c r="H90" s="3" t="str">
        <f>HYPERLINK("https://cloud.oebiotech.com/#/lm/network/37368", "https://cloud.oebiotech.com/#/lm/network/37368")</f>
        <v>https://cloud.oebiotech.com/#/lm/network/37368</v>
      </c>
      <c r="I90" s="2" t="s">
        <v>1075</v>
      </c>
      <c r="J90" s="2"/>
      <c r="K90" s="2" t="s">
        <v>1076</v>
      </c>
      <c r="L90" s="2">
        <v>445354</v>
      </c>
      <c r="M90" s="2" t="s">
        <v>1077</v>
      </c>
      <c r="N90" s="2" t="s">
        <v>1078</v>
      </c>
      <c r="O90" s="2" t="s">
        <v>1079</v>
      </c>
      <c r="P90" s="2">
        <v>17336</v>
      </c>
      <c r="Q90" s="2" t="s">
        <v>1080</v>
      </c>
      <c r="R90" s="2" t="s">
        <v>1081</v>
      </c>
      <c r="S90" s="2" t="s">
        <v>1082</v>
      </c>
      <c r="T90" s="2" t="s">
        <v>1083</v>
      </c>
      <c r="U90" s="2" t="s">
        <v>1084</v>
      </c>
      <c r="V90" s="2" t="s">
        <v>95</v>
      </c>
      <c r="W90" s="2" t="s">
        <v>180</v>
      </c>
      <c r="X90" s="2" t="s">
        <v>1085</v>
      </c>
      <c r="Y90" s="2" t="s">
        <v>98</v>
      </c>
      <c r="Z90" s="2" t="s">
        <v>182</v>
      </c>
      <c r="AA90" s="2" t="s">
        <v>1086</v>
      </c>
      <c r="AB90" s="2" t="s">
        <v>101</v>
      </c>
      <c r="AC90" s="2">
        <v>73.430000000000007</v>
      </c>
      <c r="AD90" s="2">
        <v>98.56</v>
      </c>
      <c r="AE90" s="2">
        <v>95.88</v>
      </c>
      <c r="AF90" s="2" t="s">
        <v>1087</v>
      </c>
      <c r="AG90" s="2" t="s">
        <v>1088</v>
      </c>
      <c r="AH90" s="2" t="s">
        <v>1089</v>
      </c>
      <c r="AI90" s="2">
        <v>4.46</v>
      </c>
      <c r="AJ90" s="2">
        <v>24.584763660742901</v>
      </c>
      <c r="AK90" s="2">
        <v>24.231450005505899</v>
      </c>
      <c r="AL90" s="2">
        <v>24.059928502879099</v>
      </c>
      <c r="AM90" s="2">
        <v>24.132655603475499</v>
      </c>
      <c r="AN90" s="2">
        <v>24.160542353895799</v>
      </c>
      <c r="AO90" s="2">
        <v>24.071314465752</v>
      </c>
      <c r="AP90" s="2">
        <v>24.0758616945777</v>
      </c>
      <c r="AQ90" s="2">
        <v>24.008483351989799</v>
      </c>
      <c r="AR90" s="2">
        <v>24.2128743715427</v>
      </c>
      <c r="AS90" s="2">
        <v>23.156343464414999</v>
      </c>
      <c r="AT90" s="2">
        <v>23.297797638072801</v>
      </c>
      <c r="AU90" s="2">
        <v>23.959638337972301</v>
      </c>
      <c r="AV90" s="2">
        <v>23.8824470369224</v>
      </c>
      <c r="AW90" s="2">
        <v>24.382563829917501</v>
      </c>
      <c r="AX90" s="2">
        <v>24.004923267317</v>
      </c>
      <c r="AY90" s="2">
        <v>23.8934230075489</v>
      </c>
      <c r="AZ90" s="2">
        <v>23.453743590828601</v>
      </c>
      <c r="BA90" s="2">
        <v>23.393362654018301</v>
      </c>
      <c r="BB90" s="2">
        <v>23.9975608711588</v>
      </c>
      <c r="BC90" s="2">
        <v>24.045476580145898</v>
      </c>
      <c r="BD90" s="2">
        <v>24.1159516525002</v>
      </c>
      <c r="BE90" s="2">
        <v>24.686322668393299</v>
      </c>
      <c r="BF90" s="2">
        <v>23.550426537995001</v>
      </c>
      <c r="BG90" s="2">
        <v>24.069151147317498</v>
      </c>
      <c r="BH90" s="2">
        <v>23.631471321882898</v>
      </c>
      <c r="BI90" s="2">
        <v>24.533170082872498</v>
      </c>
      <c r="BJ90" s="2">
        <v>23.778282659407299</v>
      </c>
      <c r="BK90" s="2">
        <v>24.076831793394199</v>
      </c>
      <c r="BL90" s="2">
        <v>24.110218756200801</v>
      </c>
      <c r="BM90" s="2">
        <v>23.793500365950099</v>
      </c>
      <c r="BN90" s="2">
        <v>23.640927200927202</v>
      </c>
      <c r="BO90" s="2">
        <v>24.528732001927001</v>
      </c>
      <c r="BP90" s="2">
        <v>24.170710025446098</v>
      </c>
      <c r="BQ90" s="2">
        <v>24.112969876534301</v>
      </c>
      <c r="BR90" s="2">
        <v>24.571849406584001</v>
      </c>
      <c r="BS90" s="2">
        <v>24.074547509598901</v>
      </c>
      <c r="BT90" s="2">
        <v>23.829913818485402</v>
      </c>
      <c r="BU90" s="2">
        <v>23.4128269732585</v>
      </c>
      <c r="BV90" s="2">
        <v>24.299471927581099</v>
      </c>
      <c r="BW90" s="2">
        <v>22.8944191404435</v>
      </c>
      <c r="BX90" s="2">
        <v>24.028963869195302</v>
      </c>
      <c r="BY90" s="2">
        <v>25.023965825298401</v>
      </c>
      <c r="BZ90" s="2">
        <v>23.880195485072299</v>
      </c>
      <c r="CA90" s="2">
        <v>24.1959418772379</v>
      </c>
      <c r="CB90" s="2">
        <v>24.305072746154099</v>
      </c>
      <c r="CC90" s="2">
        <v>23.698069506528</v>
      </c>
      <c r="CD90" s="2">
        <v>24.3093716199615</v>
      </c>
      <c r="CE90" s="2">
        <v>24.363602104537701</v>
      </c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</row>
    <row r="91" spans="1:97">
      <c r="A91" s="2" t="s">
        <v>1090</v>
      </c>
      <c r="B91" s="2">
        <v>246.16971000000001</v>
      </c>
      <c r="C91" s="2">
        <v>4.0999999999999996</v>
      </c>
      <c r="D91" s="2" t="s">
        <v>84</v>
      </c>
      <c r="E91" s="2" t="s">
        <v>1091</v>
      </c>
      <c r="F91" s="2" t="s">
        <v>1092</v>
      </c>
      <c r="G91" s="2">
        <v>8359</v>
      </c>
      <c r="H91" s="3" t="str">
        <f>HYPERLINK("https://cloud.oebiotech.com/#/lm/network/8359", "https://cloud.oebiotech.com/#/lm/network/8359")</f>
        <v>https://cloud.oebiotech.com/#/lm/network/8359</v>
      </c>
      <c r="I91" s="2"/>
      <c r="J91" s="2"/>
      <c r="K91" s="2" t="s">
        <v>1093</v>
      </c>
      <c r="L91" s="2">
        <v>169235</v>
      </c>
      <c r="M91" s="2"/>
      <c r="N91" s="2"/>
      <c r="O91" s="2"/>
      <c r="P91" s="2">
        <v>70819</v>
      </c>
      <c r="Q91" s="2"/>
      <c r="R91" s="2"/>
      <c r="S91" s="2" t="s">
        <v>1094</v>
      </c>
      <c r="T91" s="2" t="s">
        <v>1095</v>
      </c>
      <c r="U91" s="2" t="s">
        <v>1096</v>
      </c>
      <c r="V91" s="2" t="s">
        <v>95</v>
      </c>
      <c r="W91" s="2" t="s">
        <v>96</v>
      </c>
      <c r="X91" s="2" t="s">
        <v>97</v>
      </c>
      <c r="Y91" s="2" t="s">
        <v>98</v>
      </c>
      <c r="Z91" s="2" t="s">
        <v>99</v>
      </c>
      <c r="AA91" s="2" t="s">
        <v>100</v>
      </c>
      <c r="AB91" s="2" t="s">
        <v>101</v>
      </c>
      <c r="AC91" s="2">
        <v>73.430000000000007</v>
      </c>
      <c r="AD91" s="2">
        <v>97.83</v>
      </c>
      <c r="AE91" s="2">
        <v>90.58</v>
      </c>
      <c r="AF91" s="2" t="s">
        <v>1097</v>
      </c>
      <c r="AG91" s="2" t="s">
        <v>103</v>
      </c>
      <c r="AH91" s="2" t="s">
        <v>1098</v>
      </c>
      <c r="AI91" s="2">
        <v>1.22</v>
      </c>
      <c r="AJ91" s="2">
        <v>23.709068121400801</v>
      </c>
      <c r="AK91" s="2">
        <v>23.648936115946501</v>
      </c>
      <c r="AL91" s="2">
        <v>23.820796876663</v>
      </c>
      <c r="AM91" s="2">
        <v>23.833782408445099</v>
      </c>
      <c r="AN91" s="2">
        <v>23.7825629130995</v>
      </c>
      <c r="AO91" s="2">
        <v>23.833980179281902</v>
      </c>
      <c r="AP91" s="2">
        <v>23.734152230124401</v>
      </c>
      <c r="AQ91" s="2">
        <v>23.834673147880501</v>
      </c>
      <c r="AR91" s="2">
        <v>23.391411325002299</v>
      </c>
      <c r="AS91" s="2">
        <v>22.854297056793399</v>
      </c>
      <c r="AT91" s="2">
        <v>22.217048798147001</v>
      </c>
      <c r="AU91" s="2">
        <v>23.460002137997002</v>
      </c>
      <c r="AV91" s="2">
        <v>24.011940218165901</v>
      </c>
      <c r="AW91" s="2">
        <v>23.9633783979016</v>
      </c>
      <c r="AX91" s="2">
        <v>24.404124858076202</v>
      </c>
      <c r="AY91" s="2">
        <v>23.724852484180602</v>
      </c>
      <c r="AZ91" s="2">
        <v>23.988453768881701</v>
      </c>
      <c r="BA91" s="2">
        <v>22.690468111265599</v>
      </c>
      <c r="BB91" s="2">
        <v>23.571474854357199</v>
      </c>
      <c r="BC91" s="2">
        <v>22.9889006535155</v>
      </c>
      <c r="BD91" s="2">
        <v>23.949508155570701</v>
      </c>
      <c r="BE91" s="2">
        <v>23.575859183802901</v>
      </c>
      <c r="BF91" s="2">
        <v>24.081702980545199</v>
      </c>
      <c r="BG91" s="2">
        <v>23.3851887046428</v>
      </c>
      <c r="BH91" s="2">
        <v>23.9794299587609</v>
      </c>
      <c r="BI91" s="2">
        <v>24.3215331466522</v>
      </c>
      <c r="BJ91" s="2">
        <v>23.393289865532498</v>
      </c>
      <c r="BK91" s="2">
        <v>24.067061241115798</v>
      </c>
      <c r="BL91" s="2">
        <v>23.0096306599835</v>
      </c>
      <c r="BM91" s="2">
        <v>24.191123532502601</v>
      </c>
      <c r="BN91" s="2">
        <v>23.326371992294401</v>
      </c>
      <c r="BO91" s="2">
        <v>23.1088317156781</v>
      </c>
      <c r="BP91" s="2">
        <v>22.854304071631901</v>
      </c>
      <c r="BQ91" s="2">
        <v>23.3174550976631</v>
      </c>
      <c r="BR91" s="2">
        <v>23.682815378246001</v>
      </c>
      <c r="BS91" s="2">
        <v>23.8911651521328</v>
      </c>
      <c r="BT91" s="2">
        <v>22.904102124806499</v>
      </c>
      <c r="BU91" s="2">
        <v>22.630444304375601</v>
      </c>
      <c r="BV91" s="2">
        <v>23.254989425833699</v>
      </c>
      <c r="BW91" s="2">
        <v>20.864304065666602</v>
      </c>
      <c r="BX91" s="2">
        <v>23.5535764587068</v>
      </c>
      <c r="BY91" s="2">
        <v>24.704977043084298</v>
      </c>
      <c r="BZ91" s="2">
        <v>23.627937742663701</v>
      </c>
      <c r="CA91" s="2">
        <v>24.247176149014699</v>
      </c>
      <c r="CB91" s="2">
        <v>22.2631927301072</v>
      </c>
      <c r="CC91" s="2">
        <v>22.616818922241499</v>
      </c>
      <c r="CD91" s="2">
        <v>24.050890931453601</v>
      </c>
      <c r="CE91" s="2">
        <v>23.8980161583805</v>
      </c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</row>
    <row r="92" spans="1:97">
      <c r="A92" s="2" t="s">
        <v>1099</v>
      </c>
      <c r="B92" s="2">
        <v>286.20087999999998</v>
      </c>
      <c r="C92" s="2">
        <v>5.2009999999999996</v>
      </c>
      <c r="D92" s="2" t="s">
        <v>84</v>
      </c>
      <c r="E92" s="2" t="s">
        <v>1100</v>
      </c>
      <c r="F92" s="2" t="s">
        <v>1101</v>
      </c>
      <c r="G92" s="2">
        <v>198228</v>
      </c>
      <c r="H92" s="3" t="str">
        <f>HYPERLINK("https://cloud.oebiotech.com/#/lm/network/198228", "https://cloud.oebiotech.com/#/lm/network/198228")</f>
        <v>https://cloud.oebiotech.com/#/lm/network/198228</v>
      </c>
      <c r="I92" s="2" t="s">
        <v>1102</v>
      </c>
      <c r="J92" s="2"/>
      <c r="K92" s="2"/>
      <c r="L92" s="2"/>
      <c r="M92" s="2"/>
      <c r="N92" s="2"/>
      <c r="O92" s="2"/>
      <c r="P92" s="2"/>
      <c r="Q92" s="2"/>
      <c r="R92" s="2"/>
      <c r="S92" s="2"/>
      <c r="T92" s="2" t="s">
        <v>1103</v>
      </c>
      <c r="U92" s="2" t="s">
        <v>1104</v>
      </c>
      <c r="V92" s="2" t="s">
        <v>95</v>
      </c>
      <c r="W92" s="2" t="s">
        <v>96</v>
      </c>
      <c r="X92" s="2" t="s">
        <v>97</v>
      </c>
      <c r="Y92" s="2" t="s">
        <v>98</v>
      </c>
      <c r="Z92" s="2" t="s">
        <v>99</v>
      </c>
      <c r="AA92" s="2" t="s">
        <v>100</v>
      </c>
      <c r="AB92" s="2" t="s">
        <v>101</v>
      </c>
      <c r="AC92" s="2">
        <v>73.430000000000007</v>
      </c>
      <c r="AD92" s="2">
        <v>97.3</v>
      </c>
      <c r="AE92" s="2">
        <v>98.34</v>
      </c>
      <c r="AF92" s="2" t="s">
        <v>1105</v>
      </c>
      <c r="AG92" s="2" t="s">
        <v>103</v>
      </c>
      <c r="AH92" s="2" t="s">
        <v>1106</v>
      </c>
      <c r="AI92" s="2">
        <v>1.4</v>
      </c>
      <c r="AJ92" s="2">
        <v>23.413555882129302</v>
      </c>
      <c r="AK92" s="2">
        <v>23.6412782250408</v>
      </c>
      <c r="AL92" s="2">
        <v>23.566864333534699</v>
      </c>
      <c r="AM92" s="2">
        <v>23.688463581007198</v>
      </c>
      <c r="AN92" s="2">
        <v>23.562769744213401</v>
      </c>
      <c r="AO92" s="2">
        <v>23.6142446516611</v>
      </c>
      <c r="AP92" s="2">
        <v>23.522097818665799</v>
      </c>
      <c r="AQ92" s="2">
        <v>23.5837063419253</v>
      </c>
      <c r="AR92" s="2">
        <v>20.8233697203604</v>
      </c>
      <c r="AS92" s="2">
        <v>21.843660139260798</v>
      </c>
      <c r="AT92" s="2">
        <v>22.174607152894499</v>
      </c>
      <c r="AU92" s="2">
        <v>23.355363784371999</v>
      </c>
      <c r="AV92" s="2">
        <v>23.281373114084399</v>
      </c>
      <c r="AW92" s="2">
        <v>23.2890063600519</v>
      </c>
      <c r="AX92" s="2">
        <v>22.084290813050298</v>
      </c>
      <c r="AY92" s="2">
        <v>24.098973883292398</v>
      </c>
      <c r="AZ92" s="2">
        <v>22.911663610937101</v>
      </c>
      <c r="BA92" s="2">
        <v>23.169730279481499</v>
      </c>
      <c r="BB92" s="2">
        <v>24.1815560115739</v>
      </c>
      <c r="BC92" s="2">
        <v>22.502190603352599</v>
      </c>
      <c r="BD92" s="2">
        <v>22.868814472516899</v>
      </c>
      <c r="BE92" s="2">
        <v>23.840915769840102</v>
      </c>
      <c r="BF92" s="2">
        <v>23.243580919443399</v>
      </c>
      <c r="BG92" s="2">
        <v>21.803804384430901</v>
      </c>
      <c r="BH92" s="2">
        <v>21.920584662560699</v>
      </c>
      <c r="BI92" s="2">
        <v>21.340972937059899</v>
      </c>
      <c r="BJ92" s="2">
        <v>22.9167631942003</v>
      </c>
      <c r="BK92" s="2">
        <v>20.328598039330402</v>
      </c>
      <c r="BL92" s="2">
        <v>20.554453840004101</v>
      </c>
      <c r="BM92" s="2">
        <v>23.560538620089101</v>
      </c>
      <c r="BN92" s="2">
        <v>23.1950064119935</v>
      </c>
      <c r="BO92" s="2">
        <v>23.3252737466632</v>
      </c>
      <c r="BP92" s="2">
        <v>21.5056462188439</v>
      </c>
      <c r="BQ92" s="2">
        <v>23.938445333599901</v>
      </c>
      <c r="BR92" s="2">
        <v>23.194838522480602</v>
      </c>
      <c r="BS92" s="2">
        <v>24.929870118401901</v>
      </c>
      <c r="BT92" s="2">
        <v>24.192484129750099</v>
      </c>
      <c r="BU92" s="2">
        <v>24.0611593231665</v>
      </c>
      <c r="BV92" s="2">
        <v>24.298499827643099</v>
      </c>
      <c r="BW92" s="2">
        <v>21.9419026359455</v>
      </c>
      <c r="BX92" s="2">
        <v>22.612140109998901</v>
      </c>
      <c r="BY92" s="2">
        <v>24.5934504182881</v>
      </c>
      <c r="BZ92" s="2">
        <v>22.3751690495525</v>
      </c>
      <c r="CA92" s="2">
        <v>22.022340793401401</v>
      </c>
      <c r="CB92" s="2">
        <v>22.921740136769699</v>
      </c>
      <c r="CC92" s="2">
        <v>22.823262991072699</v>
      </c>
      <c r="CD92" s="2">
        <v>23.068050801967399</v>
      </c>
      <c r="CE92" s="2">
        <v>21.1381970724923</v>
      </c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</row>
    <row r="93" spans="1:97">
      <c r="A93" s="2" t="s">
        <v>1107</v>
      </c>
      <c r="B93" s="2">
        <v>536.37045000000001</v>
      </c>
      <c r="C93" s="2">
        <v>11.308</v>
      </c>
      <c r="D93" s="2" t="s">
        <v>84</v>
      </c>
      <c r="E93" s="2" t="s">
        <v>1108</v>
      </c>
      <c r="F93" s="2" t="s">
        <v>1109</v>
      </c>
      <c r="G93" s="2">
        <v>19880</v>
      </c>
      <c r="H93" s="3" t="str">
        <f>HYPERLINK("https://cloud.oebiotech.com/#/lm/network/19880", "https://cloud.oebiotech.com/#/lm/network/19880")</f>
        <v>https://cloud.oebiotech.com/#/lm/network/19880</v>
      </c>
      <c r="I93" s="2"/>
      <c r="J93" s="2">
        <v>76572</v>
      </c>
      <c r="K93" s="2" t="s">
        <v>1110</v>
      </c>
      <c r="L93" s="2">
        <v>52924049</v>
      </c>
      <c r="M93" s="2"/>
      <c r="N93" s="2"/>
      <c r="O93" s="2"/>
      <c r="P93" s="2"/>
      <c r="Q93" s="2"/>
      <c r="R93" s="2"/>
      <c r="S93" s="2"/>
      <c r="T93" s="2" t="s">
        <v>1111</v>
      </c>
      <c r="U93" s="2" t="s">
        <v>1112</v>
      </c>
      <c r="V93" s="2" t="s">
        <v>95</v>
      </c>
      <c r="W93" s="2" t="s">
        <v>202</v>
      </c>
      <c r="X93" s="2" t="s">
        <v>203</v>
      </c>
      <c r="Y93" s="2" t="s">
        <v>98</v>
      </c>
      <c r="Z93" s="2" t="s">
        <v>204</v>
      </c>
      <c r="AA93" s="2" t="s">
        <v>205</v>
      </c>
      <c r="AB93" s="2" t="s">
        <v>101</v>
      </c>
      <c r="AC93" s="2">
        <v>73.39</v>
      </c>
      <c r="AD93" s="2">
        <v>94.39</v>
      </c>
      <c r="AE93" s="2">
        <v>83.24</v>
      </c>
      <c r="AF93" s="2" t="s">
        <v>1113</v>
      </c>
      <c r="AG93" s="2" t="s">
        <v>103</v>
      </c>
      <c r="AH93" s="2" t="s">
        <v>1114</v>
      </c>
      <c r="AI93" s="2">
        <v>1.1200000000000001</v>
      </c>
      <c r="AJ93" s="2">
        <v>21.497707014943099</v>
      </c>
      <c r="AK93" s="2">
        <v>21.566212347474401</v>
      </c>
      <c r="AL93" s="2">
        <v>21.607409412170401</v>
      </c>
      <c r="AM93" s="2">
        <v>21.484259364193999</v>
      </c>
      <c r="AN93" s="2">
        <v>20.970072929703999</v>
      </c>
      <c r="AO93" s="2">
        <v>21.494537105912201</v>
      </c>
      <c r="AP93" s="2">
        <v>21.3156374350452</v>
      </c>
      <c r="AQ93" s="2">
        <v>20.728721367633501</v>
      </c>
      <c r="AR93" s="2">
        <v>21.689801674041401</v>
      </c>
      <c r="AS93" s="2">
        <v>19.7895735547784</v>
      </c>
      <c r="AT93" s="2">
        <v>20.755794168606101</v>
      </c>
      <c r="AU93" s="2">
        <v>21.0935856532248</v>
      </c>
      <c r="AV93" s="2">
        <v>21.1637701629353</v>
      </c>
      <c r="AW93" s="2">
        <v>20.773051297863098</v>
      </c>
      <c r="AX93" s="2">
        <v>21.673825593240299</v>
      </c>
      <c r="AY93" s="2">
        <v>20.620538167253301</v>
      </c>
      <c r="AZ93" s="2">
        <v>21.5262128495017</v>
      </c>
      <c r="BA93" s="2">
        <v>19.8164132726194</v>
      </c>
      <c r="BB93" s="2">
        <v>21.1424264329256</v>
      </c>
      <c r="BC93" s="2">
        <v>22.031323426904301</v>
      </c>
      <c r="BD93" s="2">
        <v>20.6642996091553</v>
      </c>
      <c r="BE93" s="2">
        <v>22.210521988631399</v>
      </c>
      <c r="BF93" s="2">
        <v>21.277059775661101</v>
      </c>
      <c r="BG93" s="2">
        <v>21.62243314605</v>
      </c>
      <c r="BH93" s="2">
        <v>21.3923811669857</v>
      </c>
      <c r="BI93" s="2">
        <v>20.9713829619478</v>
      </c>
      <c r="BJ93" s="2">
        <v>20.7701297173207</v>
      </c>
      <c r="BK93" s="2">
        <v>20.590079927781801</v>
      </c>
      <c r="BL93" s="2">
        <v>21.409178863110199</v>
      </c>
      <c r="BM93" s="2">
        <v>21.24996124742</v>
      </c>
      <c r="BN93" s="2">
        <v>21.321921672353</v>
      </c>
      <c r="BO93" s="2">
        <v>21.2032517799502</v>
      </c>
      <c r="BP93" s="2">
        <v>21.698739871433698</v>
      </c>
      <c r="BQ93" s="2">
        <v>20.293419053364801</v>
      </c>
      <c r="BR93" s="2">
        <v>20.997551483936299</v>
      </c>
      <c r="BS93" s="2">
        <v>21.7070506070487</v>
      </c>
      <c r="BT93" s="2">
        <v>21.842340904795201</v>
      </c>
      <c r="BU93" s="2">
        <v>20.6406157264061</v>
      </c>
      <c r="BV93" s="2">
        <v>20.525627102162598</v>
      </c>
      <c r="BW93" s="2">
        <v>20.710362264917599</v>
      </c>
      <c r="BX93" s="2">
        <v>21.2444223089215</v>
      </c>
      <c r="BY93" s="2">
        <v>22.5183956708191</v>
      </c>
      <c r="BZ93" s="2">
        <v>20.462604415413601</v>
      </c>
      <c r="CA93" s="2">
        <v>21.632808938566001</v>
      </c>
      <c r="CB93" s="2">
        <v>21.4383277807692</v>
      </c>
      <c r="CC93" s="2">
        <v>20.7132299351066</v>
      </c>
      <c r="CD93" s="2">
        <v>21.157991774145302</v>
      </c>
      <c r="CE93" s="2">
        <v>20.51011063284</v>
      </c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</row>
    <row r="94" spans="1:97">
      <c r="A94" s="2" t="s">
        <v>1115</v>
      </c>
      <c r="B94" s="2">
        <v>520.33905000000004</v>
      </c>
      <c r="C94" s="2">
        <v>10.241</v>
      </c>
      <c r="D94" s="2" t="s">
        <v>84</v>
      </c>
      <c r="E94" s="2" t="s">
        <v>1116</v>
      </c>
      <c r="F94" s="2" t="s">
        <v>1117</v>
      </c>
      <c r="G94" s="2">
        <v>83281</v>
      </c>
      <c r="H94" s="3" t="str">
        <f>HYPERLINK("https://cloud.oebiotech.com/#/lm/network/83281", "https://cloud.oebiotech.com/#/lm/network/83281")</f>
        <v>https://cloud.oebiotech.com/#/lm/network/83281</v>
      </c>
      <c r="I94" s="2" t="s">
        <v>1118</v>
      </c>
      <c r="J94" s="2"/>
      <c r="K94" s="2"/>
      <c r="L94" s="2">
        <v>71768169</v>
      </c>
      <c r="M94" s="2"/>
      <c r="N94" s="2"/>
      <c r="O94" s="2"/>
      <c r="P94" s="2">
        <v>76084</v>
      </c>
      <c r="Q94" s="2"/>
      <c r="R94" s="2"/>
      <c r="S94" s="2" t="s">
        <v>1119</v>
      </c>
      <c r="T94" s="2" t="s">
        <v>1120</v>
      </c>
      <c r="U94" s="2" t="s">
        <v>1121</v>
      </c>
      <c r="V94" s="2" t="s">
        <v>95</v>
      </c>
      <c r="W94" s="2" t="s">
        <v>202</v>
      </c>
      <c r="X94" s="2" t="s">
        <v>203</v>
      </c>
      <c r="Y94" s="2" t="s">
        <v>98</v>
      </c>
      <c r="Z94" s="2" t="s">
        <v>204</v>
      </c>
      <c r="AA94" s="2" t="s">
        <v>205</v>
      </c>
      <c r="AB94" s="2" t="s">
        <v>101</v>
      </c>
      <c r="AC94" s="2">
        <v>73.38</v>
      </c>
      <c r="AD94" s="2">
        <v>99.41</v>
      </c>
      <c r="AE94" s="2">
        <v>98.05</v>
      </c>
      <c r="AF94" s="2" t="s">
        <v>1122</v>
      </c>
      <c r="AG94" s="2" t="s">
        <v>103</v>
      </c>
      <c r="AH94" s="2" t="s">
        <v>520</v>
      </c>
      <c r="AI94" s="2">
        <v>1.35</v>
      </c>
      <c r="AJ94" s="2">
        <v>28.532259637023099</v>
      </c>
      <c r="AK94" s="2">
        <v>28.343508124472802</v>
      </c>
      <c r="AL94" s="2">
        <v>28.4076991321337</v>
      </c>
      <c r="AM94" s="2">
        <v>28.465951725300201</v>
      </c>
      <c r="AN94" s="2">
        <v>28.2072493638208</v>
      </c>
      <c r="AO94" s="2">
        <v>28.333015035892</v>
      </c>
      <c r="AP94" s="2">
        <v>28.4219131833913</v>
      </c>
      <c r="AQ94" s="2">
        <v>28.5749751884929</v>
      </c>
      <c r="AR94" s="2">
        <v>28.584700523854998</v>
      </c>
      <c r="AS94" s="2">
        <v>27.274979344169001</v>
      </c>
      <c r="AT94" s="2">
        <v>27.4105964433192</v>
      </c>
      <c r="AU94" s="2">
        <v>28.0692541153796</v>
      </c>
      <c r="AV94" s="2">
        <v>28.293417523306701</v>
      </c>
      <c r="AW94" s="2">
        <v>28.3527381506848</v>
      </c>
      <c r="AX94" s="2">
        <v>28.416712727617298</v>
      </c>
      <c r="AY94" s="2">
        <v>28.1840840343922</v>
      </c>
      <c r="AZ94" s="2">
        <v>28.262373585668801</v>
      </c>
      <c r="BA94" s="2">
        <v>27.3890938390605</v>
      </c>
      <c r="BB94" s="2">
        <v>27.854338923072699</v>
      </c>
      <c r="BC94" s="2">
        <v>28.562292523662698</v>
      </c>
      <c r="BD94" s="2">
        <v>28.013526596815399</v>
      </c>
      <c r="BE94" s="2">
        <v>28.804165892195002</v>
      </c>
      <c r="BF94" s="2">
        <v>28.180600708790099</v>
      </c>
      <c r="BG94" s="2">
        <v>28.428316363619899</v>
      </c>
      <c r="BH94" s="2">
        <v>28.662111273823299</v>
      </c>
      <c r="BI94" s="2">
        <v>28.388081301062901</v>
      </c>
      <c r="BJ94" s="2">
        <v>28.220363515049002</v>
      </c>
      <c r="BK94" s="2">
        <v>27.642516740469802</v>
      </c>
      <c r="BL94" s="2">
        <v>28.366650305742098</v>
      </c>
      <c r="BM94" s="2">
        <v>28.605666950143402</v>
      </c>
      <c r="BN94" s="2">
        <v>28.524179438681202</v>
      </c>
      <c r="BO94" s="2">
        <v>27.949670282635399</v>
      </c>
      <c r="BP94" s="2">
        <v>28.174782586695802</v>
      </c>
      <c r="BQ94" s="2">
        <v>28.1667336127699</v>
      </c>
      <c r="BR94" s="2">
        <v>28.634347419140099</v>
      </c>
      <c r="BS94" s="2">
        <v>28.8220350024949</v>
      </c>
      <c r="BT94" s="2">
        <v>28.166750584682902</v>
      </c>
      <c r="BU94" s="2">
        <v>27.542381736011201</v>
      </c>
      <c r="BV94" s="2">
        <v>28.0716725326537</v>
      </c>
      <c r="BW94" s="2">
        <v>27.495208656339202</v>
      </c>
      <c r="BX94" s="2">
        <v>28.481733261115</v>
      </c>
      <c r="BY94" s="2">
        <v>29.423702972195301</v>
      </c>
      <c r="BZ94" s="2">
        <v>28.155338870388402</v>
      </c>
      <c r="CA94" s="2">
        <v>28.5476999724766</v>
      </c>
      <c r="CB94" s="2">
        <v>28.291694616106501</v>
      </c>
      <c r="CC94" s="2">
        <v>27.901959233983401</v>
      </c>
      <c r="CD94" s="2">
        <v>28.429648161548499</v>
      </c>
      <c r="CE94" s="2">
        <v>27.343262247905901</v>
      </c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</row>
    <row r="95" spans="1:97">
      <c r="A95" s="2" t="s">
        <v>1123</v>
      </c>
      <c r="B95" s="2">
        <v>367.15762000000001</v>
      </c>
      <c r="C95" s="2">
        <v>7.54</v>
      </c>
      <c r="D95" s="2" t="s">
        <v>146</v>
      </c>
      <c r="E95" s="2" t="s">
        <v>1124</v>
      </c>
      <c r="F95" s="2" t="s">
        <v>1125</v>
      </c>
      <c r="G95" s="2">
        <v>46694</v>
      </c>
      <c r="H95" s="3" t="str">
        <f>HYPERLINK("https://cloud.oebiotech.com/#/lm/network/46694", "https://cloud.oebiotech.com/#/lm/network/46694")</f>
        <v>https://cloud.oebiotech.com/#/lm/network/46694</v>
      </c>
      <c r="I95" s="2" t="s">
        <v>1126</v>
      </c>
      <c r="J95" s="2">
        <v>3558</v>
      </c>
      <c r="K95" s="2" t="s">
        <v>1127</v>
      </c>
      <c r="L95" s="2">
        <v>119207</v>
      </c>
      <c r="M95" s="2"/>
      <c r="N95" s="2"/>
      <c r="O95" s="2"/>
      <c r="P95" s="2">
        <v>84094</v>
      </c>
      <c r="Q95" s="2"/>
      <c r="R95" s="2"/>
      <c r="S95" s="2" t="s">
        <v>1128</v>
      </c>
      <c r="T95" s="2" t="s">
        <v>1129</v>
      </c>
      <c r="U95" s="2" t="s">
        <v>1130</v>
      </c>
      <c r="V95" s="2" t="s">
        <v>95</v>
      </c>
      <c r="W95" s="2" t="s">
        <v>152</v>
      </c>
      <c r="X95" s="2" t="s">
        <v>1131</v>
      </c>
      <c r="Y95" s="2" t="s">
        <v>98</v>
      </c>
      <c r="Z95" s="2" t="s">
        <v>154</v>
      </c>
      <c r="AA95" s="2" t="s">
        <v>1132</v>
      </c>
      <c r="AB95" s="2" t="s">
        <v>101</v>
      </c>
      <c r="AC95" s="2">
        <v>73.36</v>
      </c>
      <c r="AD95" s="2">
        <v>96.53</v>
      </c>
      <c r="AE95" s="2">
        <v>93.42</v>
      </c>
      <c r="AF95" s="2" t="s">
        <v>1133</v>
      </c>
      <c r="AG95" s="2" t="s">
        <v>194</v>
      </c>
      <c r="AH95" s="2" t="s">
        <v>1134</v>
      </c>
      <c r="AI95" s="2">
        <v>2.4500000000000002</v>
      </c>
      <c r="AJ95" s="2">
        <v>26.407199467066299</v>
      </c>
      <c r="AK95" s="2">
        <v>25.532520843513201</v>
      </c>
      <c r="AL95" s="2">
        <v>26.560122452574401</v>
      </c>
      <c r="AM95" s="2">
        <v>26.603514526499499</v>
      </c>
      <c r="AN95" s="2">
        <v>26.5712697915625</v>
      </c>
      <c r="AO95" s="2">
        <v>26.613704557201501</v>
      </c>
      <c r="AP95" s="2">
        <v>26.5502181977437</v>
      </c>
      <c r="AQ95" s="2">
        <v>26.587951290989501</v>
      </c>
      <c r="AR95" s="2">
        <v>25.267428183635499</v>
      </c>
      <c r="AS95" s="2">
        <v>24.090622584620601</v>
      </c>
      <c r="AT95" s="2">
        <v>24.939103127918901</v>
      </c>
      <c r="AU95" s="2">
        <v>25.738275479188101</v>
      </c>
      <c r="AV95" s="2">
        <v>27.497949166999401</v>
      </c>
      <c r="AW95" s="2">
        <v>27.009468533658101</v>
      </c>
      <c r="AX95" s="2">
        <v>26.785727335081798</v>
      </c>
      <c r="AY95" s="2">
        <v>27.242177234548599</v>
      </c>
      <c r="AZ95" s="2">
        <v>26.384540764850701</v>
      </c>
      <c r="BA95" s="2">
        <v>26.190743771175701</v>
      </c>
      <c r="BB95" s="2">
        <v>25.569529859444799</v>
      </c>
      <c r="BC95" s="2">
        <v>28.126808802176701</v>
      </c>
      <c r="BD95" s="2">
        <v>26.7159267642445</v>
      </c>
      <c r="BE95" s="2">
        <v>27.5340486069829</v>
      </c>
      <c r="BF95" s="2">
        <v>26.2477699401271</v>
      </c>
      <c r="BG95" s="2">
        <v>27.059905254557599</v>
      </c>
      <c r="BH95" s="2">
        <v>26.617002483452801</v>
      </c>
      <c r="BI95" s="2">
        <v>24.2225169918371</v>
      </c>
      <c r="BJ95" s="2">
        <v>26.4126364798297</v>
      </c>
      <c r="BK95" s="2">
        <v>26.517582757707402</v>
      </c>
      <c r="BL95" s="2">
        <v>25.559252386195102</v>
      </c>
      <c r="BM95" s="2">
        <v>25.1035514325525</v>
      </c>
      <c r="BN95" s="2">
        <v>24.7739434213726</v>
      </c>
      <c r="BO95" s="2">
        <v>25.867190625570899</v>
      </c>
      <c r="BP95" s="2">
        <v>27.375057759442299</v>
      </c>
      <c r="BQ95" s="2">
        <v>26.672603266138601</v>
      </c>
      <c r="BR95" s="2">
        <v>27.004914652569202</v>
      </c>
      <c r="BS95" s="2">
        <v>27.0328626463508</v>
      </c>
      <c r="BT95" s="2">
        <v>26.058412877601398</v>
      </c>
      <c r="BU95" s="2">
        <v>25.566283877406601</v>
      </c>
      <c r="BV95" s="2">
        <v>24.2336147561963</v>
      </c>
      <c r="BW95" s="2">
        <v>26.8571595980316</v>
      </c>
      <c r="BX95" s="2">
        <v>26.753732482689401</v>
      </c>
      <c r="BY95" s="2">
        <v>28.1372844507632</v>
      </c>
      <c r="BZ95" s="2">
        <v>26.0692618021709</v>
      </c>
      <c r="CA95" s="2">
        <v>25.135549200064201</v>
      </c>
      <c r="CB95" s="2">
        <v>26.585597645024301</v>
      </c>
      <c r="CC95" s="2">
        <v>24.8871891323985</v>
      </c>
      <c r="CD95" s="2">
        <v>26.143484596824798</v>
      </c>
      <c r="CE95" s="2">
        <v>26.945151439424301</v>
      </c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</row>
    <row r="96" spans="1:97">
      <c r="A96" s="2" t="s">
        <v>1135</v>
      </c>
      <c r="B96" s="2">
        <v>154.06187</v>
      </c>
      <c r="C96" s="2">
        <v>0.68400000000000005</v>
      </c>
      <c r="D96" s="2" t="s">
        <v>146</v>
      </c>
      <c r="E96" s="2" t="s">
        <v>1136</v>
      </c>
      <c r="F96" s="2" t="s">
        <v>1137</v>
      </c>
      <c r="G96" s="2">
        <v>46913</v>
      </c>
      <c r="H96" s="3" t="str">
        <f>HYPERLINK("https://cloud.oebiotech.com/#/lm/network/46913", "https://cloud.oebiotech.com/#/lm/network/46913")</f>
        <v>https://cloud.oebiotech.com/#/lm/network/46913</v>
      </c>
      <c r="I96" s="2" t="s">
        <v>1138</v>
      </c>
      <c r="J96" s="2">
        <v>21</v>
      </c>
      <c r="K96" s="2"/>
      <c r="L96" s="2">
        <v>6274</v>
      </c>
      <c r="M96" s="2" t="s">
        <v>1139</v>
      </c>
      <c r="N96" s="2" t="s">
        <v>1140</v>
      </c>
      <c r="O96" s="2" t="s">
        <v>1141</v>
      </c>
      <c r="P96" s="2">
        <v>15971</v>
      </c>
      <c r="Q96" s="2"/>
      <c r="R96" s="2"/>
      <c r="S96" s="2" t="s">
        <v>1142</v>
      </c>
      <c r="T96" s="2" t="s">
        <v>1143</v>
      </c>
      <c r="U96" s="2" t="s">
        <v>1144</v>
      </c>
      <c r="V96" s="2" t="s">
        <v>115</v>
      </c>
      <c r="W96" s="2" t="s">
        <v>116</v>
      </c>
      <c r="X96" s="2" t="s">
        <v>117</v>
      </c>
      <c r="Y96" s="2" t="s">
        <v>118</v>
      </c>
      <c r="Z96" s="2" t="s">
        <v>119</v>
      </c>
      <c r="AA96" s="2" t="s">
        <v>120</v>
      </c>
      <c r="AB96" s="2" t="s">
        <v>101</v>
      </c>
      <c r="AC96" s="2">
        <v>73.33</v>
      </c>
      <c r="AD96" s="2">
        <v>98.17</v>
      </c>
      <c r="AE96" s="2">
        <v>85.55</v>
      </c>
      <c r="AF96" s="2" t="s">
        <v>1145</v>
      </c>
      <c r="AG96" s="2" t="s">
        <v>194</v>
      </c>
      <c r="AH96" s="2" t="s">
        <v>1146</v>
      </c>
      <c r="AI96" s="2">
        <v>1.95</v>
      </c>
      <c r="AJ96" s="2">
        <v>23.222354366970499</v>
      </c>
      <c r="AK96" s="2">
        <v>23.764246232511798</v>
      </c>
      <c r="AL96" s="2">
        <v>23.557360806079199</v>
      </c>
      <c r="AM96" s="2">
        <v>23.4767698630741</v>
      </c>
      <c r="AN96" s="2">
        <v>22.0968638900078</v>
      </c>
      <c r="AO96" s="2">
        <v>23.362415297397298</v>
      </c>
      <c r="AP96" s="2">
        <v>23.4133181625417</v>
      </c>
      <c r="AQ96" s="2">
        <v>23.527546737346299</v>
      </c>
      <c r="AR96" s="2">
        <v>22.777883782443599</v>
      </c>
      <c r="AS96" s="2">
        <v>22.454400497596801</v>
      </c>
      <c r="AT96" s="2">
        <v>22.702984506911399</v>
      </c>
      <c r="AU96" s="2">
        <v>22.959236324881299</v>
      </c>
      <c r="AV96" s="2">
        <v>23.0297462606751</v>
      </c>
      <c r="AW96" s="2">
        <v>23.789951547752899</v>
      </c>
      <c r="AX96" s="2">
        <v>23.205556829251201</v>
      </c>
      <c r="AY96" s="2">
        <v>23.219246088138998</v>
      </c>
      <c r="AZ96" s="2">
        <v>22.784098494199501</v>
      </c>
      <c r="BA96" s="2">
        <v>21.686980779355402</v>
      </c>
      <c r="BB96" s="2">
        <v>23.750124052961301</v>
      </c>
      <c r="BC96" s="2">
        <v>24.1975808450632</v>
      </c>
      <c r="BD96" s="2">
        <v>22.4989283067031</v>
      </c>
      <c r="BE96" s="2">
        <v>24.073715956564602</v>
      </c>
      <c r="BF96" s="2">
        <v>22.894135491178801</v>
      </c>
      <c r="BG96" s="2">
        <v>23.5729378713174</v>
      </c>
      <c r="BH96" s="2">
        <v>23.591308622169599</v>
      </c>
      <c r="BI96" s="2">
        <v>23.294094885494101</v>
      </c>
      <c r="BJ96" s="2">
        <v>23.509416969348401</v>
      </c>
      <c r="BK96" s="2">
        <v>22.163035760558198</v>
      </c>
      <c r="BL96" s="2">
        <v>22.9873448123085</v>
      </c>
      <c r="BM96" s="2">
        <v>23.9664752303337</v>
      </c>
      <c r="BN96" s="2">
        <v>23.605878046365401</v>
      </c>
      <c r="BO96" s="2">
        <v>23.3181892054243</v>
      </c>
      <c r="BP96" s="2">
        <v>23.6061567550029</v>
      </c>
      <c r="BQ96" s="2">
        <v>22.894911167154799</v>
      </c>
      <c r="BR96" s="2">
        <v>23.2941363209586</v>
      </c>
      <c r="BS96" s="2">
        <v>22.971711939887999</v>
      </c>
      <c r="BT96" s="2">
        <v>22.685061065629998</v>
      </c>
      <c r="BU96" s="2">
        <v>22.646790519834799</v>
      </c>
      <c r="BV96" s="2">
        <v>23.5917734900904</v>
      </c>
      <c r="BW96" s="2">
        <v>22.2966179449874</v>
      </c>
      <c r="BX96" s="2">
        <v>23.411579699106898</v>
      </c>
      <c r="BY96" s="2">
        <v>23.516589642275001</v>
      </c>
      <c r="BZ96" s="2">
        <v>23.542211065408399</v>
      </c>
      <c r="CA96" s="2">
        <v>23.508020516549099</v>
      </c>
      <c r="CB96" s="2">
        <v>22.9358713467585</v>
      </c>
      <c r="CC96" s="2">
        <v>22.503481275228499</v>
      </c>
      <c r="CD96" s="2">
        <v>23.777676094064802</v>
      </c>
      <c r="CE96" s="2">
        <v>22.188529803052599</v>
      </c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</row>
    <row r="97" spans="1:97">
      <c r="A97" s="2" t="s">
        <v>1147</v>
      </c>
      <c r="B97" s="2">
        <v>261.07213999999999</v>
      </c>
      <c r="C97" s="2">
        <v>0.76300000000000001</v>
      </c>
      <c r="D97" s="2" t="s">
        <v>146</v>
      </c>
      <c r="E97" s="2" t="s">
        <v>1148</v>
      </c>
      <c r="F97" s="2" t="s">
        <v>1149</v>
      </c>
      <c r="G97" s="2">
        <v>55234</v>
      </c>
      <c r="H97" s="3" t="str">
        <f>HYPERLINK("https://cloud.oebiotech.com/#/lm/network/55234", "https://cloud.oebiotech.com/#/lm/network/55234")</f>
        <v>https://cloud.oebiotech.com/#/lm/network/55234</v>
      </c>
      <c r="I97" s="2" t="s">
        <v>1150</v>
      </c>
      <c r="J97" s="2"/>
      <c r="K97" s="2"/>
      <c r="L97" s="2">
        <v>161197</v>
      </c>
      <c r="M97" s="2"/>
      <c r="N97" s="2"/>
      <c r="O97" s="2"/>
      <c r="P97" s="2"/>
      <c r="Q97" s="2"/>
      <c r="R97" s="2"/>
      <c r="S97" s="2" t="s">
        <v>1151</v>
      </c>
      <c r="T97" s="2" t="s">
        <v>1152</v>
      </c>
      <c r="U97" s="2" t="s">
        <v>1153</v>
      </c>
      <c r="V97" s="2" t="s">
        <v>115</v>
      </c>
      <c r="W97" s="2" t="s">
        <v>116</v>
      </c>
      <c r="X97" s="2" t="s">
        <v>117</v>
      </c>
      <c r="Y97" s="2" t="s">
        <v>118</v>
      </c>
      <c r="Z97" s="2" t="s">
        <v>119</v>
      </c>
      <c r="AA97" s="2" t="s">
        <v>120</v>
      </c>
      <c r="AB97" s="2" t="s">
        <v>101</v>
      </c>
      <c r="AC97" s="2">
        <v>73.319999999999993</v>
      </c>
      <c r="AD97" s="2">
        <v>93.34</v>
      </c>
      <c r="AE97" s="2">
        <v>94.43</v>
      </c>
      <c r="AF97" s="2" t="s">
        <v>1154</v>
      </c>
      <c r="AG97" s="2" t="s">
        <v>194</v>
      </c>
      <c r="AH97" s="2" t="s">
        <v>1155</v>
      </c>
      <c r="AI97" s="2">
        <v>2.68</v>
      </c>
      <c r="AJ97" s="2">
        <v>21.1951573264008</v>
      </c>
      <c r="AK97" s="2">
        <v>21.0537750649708</v>
      </c>
      <c r="AL97" s="2">
        <v>21.526392332084399</v>
      </c>
      <c r="AM97" s="2">
        <v>21.519967465215299</v>
      </c>
      <c r="AN97" s="2">
        <v>21.228194726170099</v>
      </c>
      <c r="AO97" s="2">
        <v>20.739490812390901</v>
      </c>
      <c r="AP97" s="2">
        <v>21.4439682502626</v>
      </c>
      <c r="AQ97" s="2">
        <v>21.356947809275599</v>
      </c>
      <c r="AR97" s="2">
        <v>21.310006757531401</v>
      </c>
      <c r="AS97" s="2">
        <v>19.1311206633636</v>
      </c>
      <c r="AT97" s="2">
        <v>20.906252113448801</v>
      </c>
      <c r="AU97" s="2">
        <v>21.334365661784801</v>
      </c>
      <c r="AV97" s="2">
        <v>20.4232605364741</v>
      </c>
      <c r="AW97" s="2">
        <v>20.8881256237012</v>
      </c>
      <c r="AX97" s="2">
        <v>20.630333380953299</v>
      </c>
      <c r="AY97" s="2">
        <v>19.905016857932502</v>
      </c>
      <c r="AZ97" s="2">
        <v>21.133649515131001</v>
      </c>
      <c r="BA97" s="2">
        <v>21.137501929000798</v>
      </c>
      <c r="BB97" s="2">
        <v>21.9546120836598</v>
      </c>
      <c r="BC97" s="2">
        <v>22.416166082559901</v>
      </c>
      <c r="BD97" s="2">
        <v>21.192529992881301</v>
      </c>
      <c r="BE97" s="2">
        <v>21.0516903104592</v>
      </c>
      <c r="BF97" s="2">
        <v>21.132444000841399</v>
      </c>
      <c r="BG97" s="2">
        <v>22.431427247715298</v>
      </c>
      <c r="BH97" s="2">
        <v>20.692521567503</v>
      </c>
      <c r="BI97" s="2">
        <v>19.874437392709499</v>
      </c>
      <c r="BJ97" s="2">
        <v>20.4617370298478</v>
      </c>
      <c r="BK97" s="2">
        <v>20.122544636414698</v>
      </c>
      <c r="BL97" s="2">
        <v>19.882474615462499</v>
      </c>
      <c r="BM97" s="2">
        <v>21.782621975612301</v>
      </c>
      <c r="BN97" s="2">
        <v>20.211301612369201</v>
      </c>
      <c r="BO97" s="2">
        <v>20.030615911840702</v>
      </c>
      <c r="BP97" s="2">
        <v>20.5177579354683</v>
      </c>
      <c r="BQ97" s="2">
        <v>19.5545925237587</v>
      </c>
      <c r="BR97" s="2">
        <v>19.8571931573927</v>
      </c>
      <c r="BS97" s="2">
        <v>20.4239423679144</v>
      </c>
      <c r="BT97" s="2">
        <v>21.105750652747702</v>
      </c>
      <c r="BU97" s="2">
        <v>20.399007567034399</v>
      </c>
      <c r="BV97" s="2">
        <v>22.8611732485553</v>
      </c>
      <c r="BW97" s="2">
        <v>21.765992831364901</v>
      </c>
      <c r="BX97" s="2">
        <v>21.162935342256901</v>
      </c>
      <c r="BY97" s="2">
        <v>20.818179903569099</v>
      </c>
      <c r="BZ97" s="2">
        <v>22.8680881181518</v>
      </c>
      <c r="CA97" s="2">
        <v>21.670113861626</v>
      </c>
      <c r="CB97" s="2">
        <v>22.430972858468401</v>
      </c>
      <c r="CC97" s="2">
        <v>20.774032217745599</v>
      </c>
      <c r="CD97" s="2">
        <v>19.8829627584823</v>
      </c>
      <c r="CE97" s="2">
        <v>20.610563044359999</v>
      </c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</row>
    <row r="98" spans="1:97">
      <c r="A98" s="2" t="s">
        <v>1156</v>
      </c>
      <c r="B98" s="2">
        <v>199.00663</v>
      </c>
      <c r="C98" s="2">
        <v>5.3319999999999999</v>
      </c>
      <c r="D98" s="2" t="s">
        <v>146</v>
      </c>
      <c r="E98" s="2" t="s">
        <v>1157</v>
      </c>
      <c r="F98" s="2" t="s">
        <v>1158</v>
      </c>
      <c r="G98" s="2">
        <v>83781</v>
      </c>
      <c r="H98" s="3" t="str">
        <f>HYPERLINK("https://cloud.oebiotech.com/#/lm/network/83781", "https://cloud.oebiotech.com/#/lm/network/83781")</f>
        <v>https://cloud.oebiotech.com/#/lm/network/83781</v>
      </c>
      <c r="I98" s="2" t="s">
        <v>1159</v>
      </c>
      <c r="J98" s="2"/>
      <c r="K98" s="2"/>
      <c r="L98" s="2">
        <v>6426766</v>
      </c>
      <c r="M98" s="2"/>
      <c r="N98" s="2"/>
      <c r="O98" s="2"/>
      <c r="P98" s="2">
        <v>82931</v>
      </c>
      <c r="Q98" s="2"/>
      <c r="R98" s="2"/>
      <c r="S98" s="2" t="s">
        <v>1160</v>
      </c>
      <c r="T98" s="2" t="s">
        <v>1161</v>
      </c>
      <c r="U98" s="2" t="s">
        <v>1162</v>
      </c>
      <c r="V98" s="2" t="s">
        <v>115</v>
      </c>
      <c r="W98" s="2" t="s">
        <v>613</v>
      </c>
      <c r="X98" s="2" t="s">
        <v>614</v>
      </c>
      <c r="Y98" s="2" t="s">
        <v>118</v>
      </c>
      <c r="Z98" s="2" t="s">
        <v>615</v>
      </c>
      <c r="AA98" s="2" t="s">
        <v>616</v>
      </c>
      <c r="AB98" s="2" t="s">
        <v>101</v>
      </c>
      <c r="AC98" s="2">
        <v>73.22</v>
      </c>
      <c r="AD98" s="2">
        <v>96.89</v>
      </c>
      <c r="AE98" s="2">
        <v>90.6</v>
      </c>
      <c r="AF98" s="2" t="s">
        <v>1163</v>
      </c>
      <c r="AG98" s="2" t="s">
        <v>194</v>
      </c>
      <c r="AH98" s="2" t="s">
        <v>1164</v>
      </c>
      <c r="AI98" s="2">
        <v>2.0099999999999998</v>
      </c>
      <c r="AJ98" s="2">
        <v>23.522377849162499</v>
      </c>
      <c r="AK98" s="2">
        <v>23.6370216568728</v>
      </c>
      <c r="AL98" s="2">
        <v>23.6103164136806</v>
      </c>
      <c r="AM98" s="2">
        <v>23.7352994999072</v>
      </c>
      <c r="AN98" s="2">
        <v>23.494626713346101</v>
      </c>
      <c r="AO98" s="2">
        <v>23.481726573145199</v>
      </c>
      <c r="AP98" s="2">
        <v>23.684091892214401</v>
      </c>
      <c r="AQ98" s="2">
        <v>23.854258133047502</v>
      </c>
      <c r="AR98" s="2">
        <v>21.3598664423894</v>
      </c>
      <c r="AS98" s="2">
        <v>20.940767701866701</v>
      </c>
      <c r="AT98" s="2">
        <v>20.527837695818398</v>
      </c>
      <c r="AU98" s="2">
        <v>20.159113149284501</v>
      </c>
      <c r="AV98" s="2">
        <v>23.213945196842101</v>
      </c>
      <c r="AW98" s="2">
        <v>22.070938529378999</v>
      </c>
      <c r="AX98" s="2">
        <v>22.4699203028581</v>
      </c>
      <c r="AY98" s="2">
        <v>20.294119880727301</v>
      </c>
      <c r="AZ98" s="2">
        <v>22.2314378650048</v>
      </c>
      <c r="BA98" s="2">
        <v>22.2143802659272</v>
      </c>
      <c r="BB98" s="2">
        <v>24.400719160553301</v>
      </c>
      <c r="BC98" s="2">
        <v>22.791023812409801</v>
      </c>
      <c r="BD98" s="2">
        <v>21.7909907474268</v>
      </c>
      <c r="BE98" s="2">
        <v>21.260761849692098</v>
      </c>
      <c r="BF98" s="2">
        <v>21.135386528390299</v>
      </c>
      <c r="BG98" s="2">
        <v>20.232543868254599</v>
      </c>
      <c r="BH98" s="2">
        <v>21.574939844364302</v>
      </c>
      <c r="BI98" s="2">
        <v>25.858487165602401</v>
      </c>
      <c r="BJ98" s="2">
        <v>23.255891773378501</v>
      </c>
      <c r="BK98" s="2">
        <v>22.302364079191801</v>
      </c>
      <c r="BL98" s="2">
        <v>21.785391398022998</v>
      </c>
      <c r="BM98" s="2">
        <v>21.829619588859799</v>
      </c>
      <c r="BN98" s="2">
        <v>21.9032935691035</v>
      </c>
      <c r="BO98" s="2">
        <v>21.011879650918999</v>
      </c>
      <c r="BP98" s="2">
        <v>22.174916471723201</v>
      </c>
      <c r="BQ98" s="2">
        <v>23.5002095368556</v>
      </c>
      <c r="BR98" s="2">
        <v>23.5628878158658</v>
      </c>
      <c r="BS98" s="2">
        <v>21.411106907138301</v>
      </c>
      <c r="BT98" s="2">
        <v>21.9018866635903</v>
      </c>
      <c r="BU98" s="2">
        <v>22.110548043013299</v>
      </c>
      <c r="BV98" s="2">
        <v>22.510954948230399</v>
      </c>
      <c r="BW98" s="2">
        <v>25.5626118004696</v>
      </c>
      <c r="BX98" s="2">
        <v>22.812793882788199</v>
      </c>
      <c r="BY98" s="2">
        <v>23.799225940162799</v>
      </c>
      <c r="BZ98" s="2">
        <v>22.945300928169001</v>
      </c>
      <c r="CA98" s="2">
        <v>22.661261587063699</v>
      </c>
      <c r="CB98" s="2">
        <v>22.3104192443313</v>
      </c>
      <c r="CC98" s="2">
        <v>25.216569861539298</v>
      </c>
      <c r="CD98" s="2">
        <v>23.2021681377473</v>
      </c>
      <c r="CE98" s="2">
        <v>23.280601462200199</v>
      </c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</row>
    <row r="99" spans="1:97">
      <c r="A99" s="2" t="s">
        <v>1165</v>
      </c>
      <c r="B99" s="2">
        <v>235.09210999999999</v>
      </c>
      <c r="C99" s="2">
        <v>0.92300000000000004</v>
      </c>
      <c r="D99" s="2" t="s">
        <v>84</v>
      </c>
      <c r="E99" s="2" t="s">
        <v>1166</v>
      </c>
      <c r="F99" s="2" t="s">
        <v>1167</v>
      </c>
      <c r="G99" s="2">
        <v>54161</v>
      </c>
      <c r="H99" s="3" t="str">
        <f>HYPERLINK("https://cloud.oebiotech.com/#/lm/network/54161", "https://cloud.oebiotech.com/#/lm/network/54161")</f>
        <v>https://cloud.oebiotech.com/#/lm/network/54161</v>
      </c>
      <c r="I99" s="2" t="s">
        <v>1168</v>
      </c>
      <c r="J99" s="2"/>
      <c r="K99" s="2"/>
      <c r="L99" s="2">
        <v>22844748</v>
      </c>
      <c r="M99" s="2"/>
      <c r="N99" s="2"/>
      <c r="O99" s="2"/>
      <c r="P99" s="2"/>
      <c r="Q99" s="2"/>
      <c r="R99" s="2"/>
      <c r="S99" s="2" t="s">
        <v>1169</v>
      </c>
      <c r="T99" s="2" t="s">
        <v>1170</v>
      </c>
      <c r="U99" s="2" t="s">
        <v>1171</v>
      </c>
      <c r="V99" s="2" t="s">
        <v>115</v>
      </c>
      <c r="W99" s="2" t="s">
        <v>116</v>
      </c>
      <c r="X99" s="2" t="s">
        <v>117</v>
      </c>
      <c r="Y99" s="2" t="s">
        <v>118</v>
      </c>
      <c r="Z99" s="2" t="s">
        <v>119</v>
      </c>
      <c r="AA99" s="2" t="s">
        <v>120</v>
      </c>
      <c r="AB99" s="2" t="s">
        <v>101</v>
      </c>
      <c r="AC99" s="2">
        <v>73.22</v>
      </c>
      <c r="AD99" s="2">
        <v>98.26</v>
      </c>
      <c r="AE99" s="2">
        <v>92.83</v>
      </c>
      <c r="AF99" s="2" t="s">
        <v>1172</v>
      </c>
      <c r="AG99" s="2" t="s">
        <v>103</v>
      </c>
      <c r="AH99" s="2" t="s">
        <v>1173</v>
      </c>
      <c r="AI99" s="2">
        <v>1.7</v>
      </c>
      <c r="AJ99" s="2">
        <v>27.2983245839585</v>
      </c>
      <c r="AK99" s="2">
        <v>27.490671712003</v>
      </c>
      <c r="AL99" s="2">
        <v>27.4814147014315</v>
      </c>
      <c r="AM99" s="2">
        <v>27.4583085620649</v>
      </c>
      <c r="AN99" s="2">
        <v>27.6341325754392</v>
      </c>
      <c r="AO99" s="2">
        <v>27.572342694023199</v>
      </c>
      <c r="AP99" s="2">
        <v>27.509737933054002</v>
      </c>
      <c r="AQ99" s="2">
        <v>26.8341921106062</v>
      </c>
      <c r="AR99" s="2">
        <v>27.164651914583001</v>
      </c>
      <c r="AS99" s="2">
        <v>26.857835481452501</v>
      </c>
      <c r="AT99" s="2">
        <v>27.209831472087401</v>
      </c>
      <c r="AU99" s="2">
        <v>27.6362712881329</v>
      </c>
      <c r="AV99" s="2">
        <v>27.335592195940301</v>
      </c>
      <c r="AW99" s="2">
        <v>26.9321859577929</v>
      </c>
      <c r="AX99" s="2">
        <v>27.112786241793401</v>
      </c>
      <c r="AY99" s="2">
        <v>27.3825034485216</v>
      </c>
      <c r="AZ99" s="2">
        <v>26.880984222131001</v>
      </c>
      <c r="BA99" s="2">
        <v>27.174187021498899</v>
      </c>
      <c r="BB99" s="2">
        <v>27.611493880210201</v>
      </c>
      <c r="BC99" s="2">
        <v>28.066920782821299</v>
      </c>
      <c r="BD99" s="2">
        <v>27.7276438744342</v>
      </c>
      <c r="BE99" s="2">
        <v>27.349923664178402</v>
      </c>
      <c r="BF99" s="2">
        <v>27.525767131291602</v>
      </c>
      <c r="BG99" s="2">
        <v>27.313129922431699</v>
      </c>
      <c r="BH99" s="2">
        <v>27.265638299268002</v>
      </c>
      <c r="BI99" s="2">
        <v>27.394288291351099</v>
      </c>
      <c r="BJ99" s="2">
        <v>27.4300794730812</v>
      </c>
      <c r="BK99" s="2">
        <v>27.4866357972187</v>
      </c>
      <c r="BL99" s="2">
        <v>27.2634058973164</v>
      </c>
      <c r="BM99" s="2">
        <v>27.567609772406598</v>
      </c>
      <c r="BN99" s="2">
        <v>27.326555389387799</v>
      </c>
      <c r="BO99" s="2">
        <v>27.060274998877599</v>
      </c>
      <c r="BP99" s="2">
        <v>25.933639078986701</v>
      </c>
      <c r="BQ99" s="2">
        <v>27.390883393217798</v>
      </c>
      <c r="BR99" s="2">
        <v>27.349726066304001</v>
      </c>
      <c r="BS99" s="2">
        <v>27.2715880637802</v>
      </c>
      <c r="BT99" s="2">
        <v>27.355220639138999</v>
      </c>
      <c r="BU99" s="2">
        <v>27.632905620807001</v>
      </c>
      <c r="BV99" s="2">
        <v>27.596016502062501</v>
      </c>
      <c r="BW99" s="2">
        <v>27.740633168856899</v>
      </c>
      <c r="BX99" s="2">
        <v>26.677251788702801</v>
      </c>
      <c r="BY99" s="2">
        <v>26.204251766757299</v>
      </c>
      <c r="BZ99" s="2">
        <v>26.473807163009901</v>
      </c>
      <c r="CA99" s="2">
        <v>26.4880972558528</v>
      </c>
      <c r="CB99" s="2">
        <v>26.011310094608099</v>
      </c>
      <c r="CC99" s="2">
        <v>27.499687712828901</v>
      </c>
      <c r="CD99" s="2">
        <v>26.7908841829673</v>
      </c>
      <c r="CE99" s="2">
        <v>27.287267001376499</v>
      </c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</row>
    <row r="100" spans="1:97">
      <c r="A100" s="2" t="s">
        <v>1174</v>
      </c>
      <c r="B100" s="2">
        <v>189.08671000000001</v>
      </c>
      <c r="C100" s="2">
        <v>0.91300000000000003</v>
      </c>
      <c r="D100" s="2" t="s">
        <v>84</v>
      </c>
      <c r="E100" s="2" t="s">
        <v>1175</v>
      </c>
      <c r="F100" s="2" t="s">
        <v>1176</v>
      </c>
      <c r="G100" s="2">
        <v>51191</v>
      </c>
      <c r="H100" s="3" t="str">
        <f>HYPERLINK("https://cloud.oebiotech.com/#/lm/network/51191", "https://cloud.oebiotech.com/#/lm/network/51191")</f>
        <v>https://cloud.oebiotech.com/#/lm/network/51191</v>
      </c>
      <c r="I100" s="2" t="s">
        <v>1177</v>
      </c>
      <c r="J100" s="2"/>
      <c r="K100" s="2"/>
      <c r="L100" s="2">
        <v>11862107</v>
      </c>
      <c r="M100" s="2"/>
      <c r="N100" s="2"/>
      <c r="O100" s="2"/>
      <c r="P100" s="2"/>
      <c r="Q100" s="2"/>
      <c r="R100" s="2"/>
      <c r="S100" s="2" t="s">
        <v>1178</v>
      </c>
      <c r="T100" s="2" t="s">
        <v>1179</v>
      </c>
      <c r="U100" s="2" t="s">
        <v>1180</v>
      </c>
      <c r="V100" s="2" t="s">
        <v>115</v>
      </c>
      <c r="W100" s="2" t="s">
        <v>116</v>
      </c>
      <c r="X100" s="2" t="s">
        <v>117</v>
      </c>
      <c r="Y100" s="2" t="s">
        <v>118</v>
      </c>
      <c r="Z100" s="2" t="s">
        <v>119</v>
      </c>
      <c r="AA100" s="2" t="s">
        <v>120</v>
      </c>
      <c r="AB100" s="2" t="s">
        <v>101</v>
      </c>
      <c r="AC100" s="2">
        <v>73.180000000000007</v>
      </c>
      <c r="AD100" s="2">
        <v>97.84</v>
      </c>
      <c r="AE100" s="2">
        <v>96.57</v>
      </c>
      <c r="AF100" s="2" t="s">
        <v>1181</v>
      </c>
      <c r="AG100" s="2" t="s">
        <v>103</v>
      </c>
      <c r="AH100" s="2" t="s">
        <v>1182</v>
      </c>
      <c r="AI100" s="2">
        <v>1.59</v>
      </c>
      <c r="AJ100" s="2">
        <v>25.361384469839699</v>
      </c>
      <c r="AK100" s="2">
        <v>24.703776622259799</v>
      </c>
      <c r="AL100" s="2">
        <v>25.549985769410501</v>
      </c>
      <c r="AM100" s="2">
        <v>25.464161485647001</v>
      </c>
      <c r="AN100" s="2">
        <v>25.087372512325</v>
      </c>
      <c r="AO100" s="2">
        <v>25.6548119048995</v>
      </c>
      <c r="AP100" s="2">
        <v>25.6941804545494</v>
      </c>
      <c r="AQ100" s="2">
        <v>25.808622168606199</v>
      </c>
      <c r="AR100" s="2">
        <v>25.220744156595099</v>
      </c>
      <c r="AS100" s="2">
        <v>25.083923991515199</v>
      </c>
      <c r="AT100" s="2">
        <v>24.718162339588702</v>
      </c>
      <c r="AU100" s="2">
        <v>25.7459223373321</v>
      </c>
      <c r="AV100" s="2">
        <v>24.527190849857799</v>
      </c>
      <c r="AW100" s="2">
        <v>24.6347092532034</v>
      </c>
      <c r="AX100" s="2">
        <v>24.968526373601598</v>
      </c>
      <c r="AY100" s="2">
        <v>25.530916485811399</v>
      </c>
      <c r="AZ100" s="2">
        <v>25.1322804106108</v>
      </c>
      <c r="BA100" s="2">
        <v>25.457848718456798</v>
      </c>
      <c r="BB100" s="2">
        <v>24.587794593427201</v>
      </c>
      <c r="BC100" s="2">
        <v>26.1358643586813</v>
      </c>
      <c r="BD100" s="2">
        <v>25.113720109981099</v>
      </c>
      <c r="BE100" s="2">
        <v>25.5369862274447</v>
      </c>
      <c r="BF100" s="2">
        <v>25.6043308702281</v>
      </c>
      <c r="BG100" s="2">
        <v>25.315598542726399</v>
      </c>
      <c r="BH100" s="2">
        <v>25.273695637545298</v>
      </c>
      <c r="BI100" s="2">
        <v>25.245474429008102</v>
      </c>
      <c r="BJ100" s="2">
        <v>25.504274101433499</v>
      </c>
      <c r="BK100" s="2">
        <v>25.544333763446101</v>
      </c>
      <c r="BL100" s="2">
        <v>25.498864136878101</v>
      </c>
      <c r="BM100" s="2">
        <v>25.894423122286</v>
      </c>
      <c r="BN100" s="2">
        <v>25.3538362921771</v>
      </c>
      <c r="BO100" s="2">
        <v>25.075559324341501</v>
      </c>
      <c r="BP100" s="2">
        <v>24.749150235691399</v>
      </c>
      <c r="BQ100" s="2">
        <v>24.177745368239901</v>
      </c>
      <c r="BR100" s="2">
        <v>25.276383251314499</v>
      </c>
      <c r="BS100" s="2">
        <v>25.364009987493599</v>
      </c>
      <c r="BT100" s="2">
        <v>25.521481149160401</v>
      </c>
      <c r="BU100" s="2">
        <v>25.711307291574801</v>
      </c>
      <c r="BV100" s="2">
        <v>25.8709390978409</v>
      </c>
      <c r="BW100" s="2">
        <v>25.987760936023701</v>
      </c>
      <c r="BX100" s="2">
        <v>24.754450985949301</v>
      </c>
      <c r="BY100" s="2">
        <v>24.063332451344198</v>
      </c>
      <c r="BZ100" s="2">
        <v>25.9354515856879</v>
      </c>
      <c r="CA100" s="2">
        <v>25.589998918308201</v>
      </c>
      <c r="CB100" s="2">
        <v>24.468972180910502</v>
      </c>
      <c r="CC100" s="2">
        <v>25.5662397676235</v>
      </c>
      <c r="CD100" s="2">
        <v>24.809779070559699</v>
      </c>
      <c r="CE100" s="2">
        <v>25.253146907491399</v>
      </c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</row>
    <row r="101" spans="1:97">
      <c r="A101" s="2" t="s">
        <v>1183</v>
      </c>
      <c r="B101" s="2">
        <v>209.11700999999999</v>
      </c>
      <c r="C101" s="2">
        <v>9.2230000000000008</v>
      </c>
      <c r="D101" s="2" t="s">
        <v>84</v>
      </c>
      <c r="E101" s="2" t="s">
        <v>1184</v>
      </c>
      <c r="F101" s="2" t="s">
        <v>1185</v>
      </c>
      <c r="G101" s="2">
        <v>63434</v>
      </c>
      <c r="H101" s="3" t="str">
        <f>HYPERLINK("https://cloud.oebiotech.com/#/lm/network/63434", "https://cloud.oebiotech.com/#/lm/network/63434")</f>
        <v>https://cloud.oebiotech.com/#/lm/network/63434</v>
      </c>
      <c r="I101" s="2" t="s">
        <v>1186</v>
      </c>
      <c r="J101" s="2">
        <v>94756</v>
      </c>
      <c r="K101" s="2"/>
      <c r="L101" s="2">
        <v>6874</v>
      </c>
      <c r="M101" s="2"/>
      <c r="N101" s="2"/>
      <c r="O101" s="2"/>
      <c r="P101" s="2"/>
      <c r="Q101" s="2"/>
      <c r="R101" s="2"/>
      <c r="S101" s="2" t="s">
        <v>1187</v>
      </c>
      <c r="T101" s="2" t="s">
        <v>1188</v>
      </c>
      <c r="U101" s="2" t="s">
        <v>1189</v>
      </c>
      <c r="V101" s="2" t="s">
        <v>385</v>
      </c>
      <c r="W101" s="2" t="s">
        <v>386</v>
      </c>
      <c r="X101" s="2" t="s">
        <v>1059</v>
      </c>
      <c r="Y101" s="2" t="s">
        <v>388</v>
      </c>
      <c r="Z101" s="2" t="s">
        <v>389</v>
      </c>
      <c r="AA101" s="2" t="s">
        <v>1060</v>
      </c>
      <c r="AB101" s="2" t="s">
        <v>101</v>
      </c>
      <c r="AC101" s="2">
        <v>73.150000000000006</v>
      </c>
      <c r="AD101" s="2">
        <v>97.9</v>
      </c>
      <c r="AE101" s="2">
        <v>89.43</v>
      </c>
      <c r="AF101" s="2" t="s">
        <v>1190</v>
      </c>
      <c r="AG101" s="2" t="s">
        <v>103</v>
      </c>
      <c r="AH101" s="2" t="s">
        <v>1191</v>
      </c>
      <c r="AI101" s="2">
        <v>0.96</v>
      </c>
      <c r="AJ101" s="2">
        <v>23.1129915822887</v>
      </c>
      <c r="AK101" s="2">
        <v>23.059067124094799</v>
      </c>
      <c r="AL101" s="2">
        <v>23.154249653816901</v>
      </c>
      <c r="AM101" s="2">
        <v>23.203255678828501</v>
      </c>
      <c r="AN101" s="2">
        <v>23.132167979820899</v>
      </c>
      <c r="AO101" s="2">
        <v>23.173535762413401</v>
      </c>
      <c r="AP101" s="2">
        <v>23.199265125300201</v>
      </c>
      <c r="AQ101" s="2">
        <v>23.110122107197199</v>
      </c>
      <c r="AR101" s="2">
        <v>23.606542442245701</v>
      </c>
      <c r="AS101" s="2">
        <v>22.329842068685</v>
      </c>
      <c r="AT101" s="2">
        <v>22.438640247704999</v>
      </c>
      <c r="AU101" s="2">
        <v>23.047355380293901</v>
      </c>
      <c r="AV101" s="2">
        <v>23.056281807828601</v>
      </c>
      <c r="AW101" s="2">
        <v>23.008142421392499</v>
      </c>
      <c r="AX101" s="2">
        <v>22.432148488870201</v>
      </c>
      <c r="AY101" s="2">
        <v>22.967978999654498</v>
      </c>
      <c r="AZ101" s="2">
        <v>22.308019815860199</v>
      </c>
      <c r="BA101" s="2">
        <v>22.640306769893002</v>
      </c>
      <c r="BB101" s="2">
        <v>23.008742134322901</v>
      </c>
      <c r="BC101" s="2">
        <v>23.551444942818399</v>
      </c>
      <c r="BD101" s="2">
        <v>22.983241200627901</v>
      </c>
      <c r="BE101" s="2">
        <v>23.642554384629499</v>
      </c>
      <c r="BF101" s="2">
        <v>22.567875036908401</v>
      </c>
      <c r="BG101" s="2">
        <v>22.502962580925001</v>
      </c>
      <c r="BH101" s="2">
        <v>24.420960275447101</v>
      </c>
      <c r="BI101" s="2">
        <v>22.0747904381778</v>
      </c>
      <c r="BJ101" s="2">
        <v>22.5739205900584</v>
      </c>
      <c r="BK101" s="2">
        <v>23.443679426122099</v>
      </c>
      <c r="BL101" s="2">
        <v>22.137392027779502</v>
      </c>
      <c r="BM101" s="2">
        <v>23.172881238568099</v>
      </c>
      <c r="BN101" s="2">
        <v>23.739490089266599</v>
      </c>
      <c r="BO101" s="2">
        <v>24.000386151697601</v>
      </c>
      <c r="BP101" s="2">
        <v>21.702398562356201</v>
      </c>
      <c r="BQ101" s="2">
        <v>23.643103177074</v>
      </c>
      <c r="BR101" s="2">
        <v>22.794677362381702</v>
      </c>
      <c r="BS101" s="2">
        <v>23.106536685803999</v>
      </c>
      <c r="BT101" s="2">
        <v>23.016634079328401</v>
      </c>
      <c r="BU101" s="2">
        <v>22.821235042380302</v>
      </c>
      <c r="BV101" s="2">
        <v>23.231617186845501</v>
      </c>
      <c r="BW101" s="2">
        <v>21.738661395838498</v>
      </c>
      <c r="BX101" s="2">
        <v>22.626505724614901</v>
      </c>
      <c r="BY101" s="2">
        <v>24.2172203180751</v>
      </c>
      <c r="BZ101" s="2">
        <v>22.898870027825101</v>
      </c>
      <c r="CA101" s="2">
        <v>22.370974898070401</v>
      </c>
      <c r="CB101" s="2">
        <v>22.426064041626699</v>
      </c>
      <c r="CC101" s="2">
        <v>22.7313161055203</v>
      </c>
      <c r="CD101" s="2">
        <v>23.528668852687701</v>
      </c>
      <c r="CE101" s="2">
        <v>23.626705952227201</v>
      </c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</row>
    <row r="102" spans="1:97">
      <c r="A102" s="2" t="s">
        <v>1192</v>
      </c>
      <c r="B102" s="2">
        <v>195.08751000000001</v>
      </c>
      <c r="C102" s="2">
        <v>4.17</v>
      </c>
      <c r="D102" s="2" t="s">
        <v>84</v>
      </c>
      <c r="E102" s="2" t="s">
        <v>1193</v>
      </c>
      <c r="F102" s="2" t="s">
        <v>1194</v>
      </c>
      <c r="G102" s="2">
        <v>47670</v>
      </c>
      <c r="H102" s="3" t="str">
        <f>HYPERLINK("https://cloud.oebiotech.com/#/lm/network/47670", "https://cloud.oebiotech.com/#/lm/network/47670")</f>
        <v>https://cloud.oebiotech.com/#/lm/network/47670</v>
      </c>
      <c r="I102" s="2" t="s">
        <v>1195</v>
      </c>
      <c r="J102" s="2">
        <v>1455</v>
      </c>
      <c r="K102" s="2"/>
      <c r="L102" s="2">
        <v>2519</v>
      </c>
      <c r="M102" s="2" t="s">
        <v>1196</v>
      </c>
      <c r="N102" s="2" t="s">
        <v>1197</v>
      </c>
      <c r="O102" s="2" t="s">
        <v>1198</v>
      </c>
      <c r="P102" s="2">
        <v>27732</v>
      </c>
      <c r="Q102" s="2" t="s">
        <v>1199</v>
      </c>
      <c r="R102" s="2" t="s">
        <v>1200</v>
      </c>
      <c r="S102" s="2" t="s">
        <v>1201</v>
      </c>
      <c r="T102" s="2" t="s">
        <v>1202</v>
      </c>
      <c r="U102" s="2" t="s">
        <v>1203</v>
      </c>
      <c r="V102" s="2" t="s">
        <v>553</v>
      </c>
      <c r="W102" s="2" t="s">
        <v>949</v>
      </c>
      <c r="X102" s="2" t="s">
        <v>950</v>
      </c>
      <c r="Y102" s="2" t="s">
        <v>556</v>
      </c>
      <c r="Z102" s="2" t="s">
        <v>951</v>
      </c>
      <c r="AA102" s="2" t="s">
        <v>952</v>
      </c>
      <c r="AB102" s="2" t="s">
        <v>101</v>
      </c>
      <c r="AC102" s="2">
        <v>73.12</v>
      </c>
      <c r="AD102" s="2">
        <v>94.28</v>
      </c>
      <c r="AE102" s="2">
        <v>83.19</v>
      </c>
      <c r="AF102" s="2" t="s">
        <v>1204</v>
      </c>
      <c r="AG102" s="2" t="s">
        <v>103</v>
      </c>
      <c r="AH102" s="2" t="s">
        <v>1205</v>
      </c>
      <c r="AI102" s="2">
        <v>0.51</v>
      </c>
      <c r="AJ102" s="2">
        <v>24.515397849202401</v>
      </c>
      <c r="AK102" s="2">
        <v>24.578628437996301</v>
      </c>
      <c r="AL102" s="2">
        <v>24.497948507391602</v>
      </c>
      <c r="AM102" s="2">
        <v>24.573256982958199</v>
      </c>
      <c r="AN102" s="2">
        <v>24.504570288365802</v>
      </c>
      <c r="AO102" s="2">
        <v>24.515982426632601</v>
      </c>
      <c r="AP102" s="2">
        <v>24.473254876603701</v>
      </c>
      <c r="AQ102" s="2">
        <v>24.414301670920199</v>
      </c>
      <c r="AR102" s="2">
        <v>19.3572856455168</v>
      </c>
      <c r="AS102" s="2">
        <v>24.452765737367098</v>
      </c>
      <c r="AT102" s="2">
        <v>20.460716370953399</v>
      </c>
      <c r="AU102" s="2">
        <v>17.123325654926301</v>
      </c>
      <c r="AV102" s="2">
        <v>16.855738523764</v>
      </c>
      <c r="AW102" s="2">
        <v>19.441591651854701</v>
      </c>
      <c r="AX102" s="2">
        <v>17.7458860099993</v>
      </c>
      <c r="AY102" s="2">
        <v>22.386276871422499</v>
      </c>
      <c r="AZ102" s="2">
        <v>23.605605491288401</v>
      </c>
      <c r="BA102" s="2">
        <v>17.834870111116398</v>
      </c>
      <c r="BB102" s="2">
        <v>17.151556992292399</v>
      </c>
      <c r="BC102" s="2">
        <v>27.5115072684466</v>
      </c>
      <c r="BD102" s="2">
        <v>19.2039528230538</v>
      </c>
      <c r="BE102" s="2">
        <v>25.783959386326099</v>
      </c>
      <c r="BF102" s="2">
        <v>19.360083171565901</v>
      </c>
      <c r="BG102" s="2">
        <v>17.556372756688301</v>
      </c>
      <c r="BH102" s="2">
        <v>20.635708733658198</v>
      </c>
      <c r="BI102" s="2">
        <v>18.4114055559359</v>
      </c>
      <c r="BJ102" s="2">
        <v>24.883939741734</v>
      </c>
      <c r="BK102" s="2">
        <v>19.337923854531301</v>
      </c>
      <c r="BL102" s="2">
        <v>16.269293817203799</v>
      </c>
      <c r="BM102" s="2">
        <v>19.530795722740201</v>
      </c>
      <c r="BN102" s="2">
        <v>19.475170243208002</v>
      </c>
      <c r="BO102" s="2">
        <v>16.745555503677899</v>
      </c>
      <c r="BP102" s="2">
        <v>16.381833738753802</v>
      </c>
      <c r="BQ102" s="2">
        <v>20.553478067877499</v>
      </c>
      <c r="BR102" s="2">
        <v>16.714896810776999</v>
      </c>
      <c r="BS102" s="2">
        <v>26.9036226628265</v>
      </c>
      <c r="BT102" s="2">
        <v>20.458790805319001</v>
      </c>
      <c r="BU102" s="2">
        <v>23.5759205085775</v>
      </c>
      <c r="BV102" s="2">
        <v>17.053433073076199</v>
      </c>
      <c r="BW102" s="2">
        <v>19.9582893933264</v>
      </c>
      <c r="BX102" s="2">
        <v>19.4977196921995</v>
      </c>
      <c r="BY102" s="2">
        <v>30.019445245265899</v>
      </c>
      <c r="BZ102" s="2">
        <v>19.1459857146682</v>
      </c>
      <c r="CA102" s="2">
        <v>19.545698731655101</v>
      </c>
      <c r="CB102" s="2">
        <v>18.082887865272198</v>
      </c>
      <c r="CC102" s="2">
        <v>20.926425242681699</v>
      </c>
      <c r="CD102" s="2">
        <v>18.927442481901899</v>
      </c>
      <c r="CE102" s="2">
        <v>18.666621556163101</v>
      </c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</row>
    <row r="103" spans="1:97">
      <c r="A103" s="2" t="s">
        <v>1206</v>
      </c>
      <c r="B103" s="2">
        <v>258.10986000000003</v>
      </c>
      <c r="C103" s="2">
        <v>0.72099999999999997</v>
      </c>
      <c r="D103" s="2" t="s">
        <v>84</v>
      </c>
      <c r="E103" s="2" t="s">
        <v>1207</v>
      </c>
      <c r="F103" s="2" t="s">
        <v>205</v>
      </c>
      <c r="G103" s="2">
        <v>46863</v>
      </c>
      <c r="H103" s="3" t="str">
        <f>HYPERLINK("https://cloud.oebiotech.com/#/lm/network/46863", "https://cloud.oebiotech.com/#/lm/network/46863")</f>
        <v>https://cloud.oebiotech.com/#/lm/network/46863</v>
      </c>
      <c r="I103" s="2" t="s">
        <v>1208</v>
      </c>
      <c r="J103" s="2">
        <v>370</v>
      </c>
      <c r="K103" s="2"/>
      <c r="L103" s="2">
        <v>657272</v>
      </c>
      <c r="M103" s="2" t="s">
        <v>1209</v>
      </c>
      <c r="N103" s="2" t="s">
        <v>1210</v>
      </c>
      <c r="O103" s="2" t="s">
        <v>1211</v>
      </c>
      <c r="P103" s="2">
        <v>16870</v>
      </c>
      <c r="Q103" s="2" t="s">
        <v>1212</v>
      </c>
      <c r="R103" s="2" t="s">
        <v>1213</v>
      </c>
      <c r="S103" s="2" t="s">
        <v>1214</v>
      </c>
      <c r="T103" s="2" t="s">
        <v>1215</v>
      </c>
      <c r="U103" s="2" t="s">
        <v>1216</v>
      </c>
      <c r="V103" s="2" t="s">
        <v>95</v>
      </c>
      <c r="W103" s="2" t="s">
        <v>202</v>
      </c>
      <c r="X103" s="2" t="s">
        <v>203</v>
      </c>
      <c r="Y103" s="2" t="s">
        <v>98</v>
      </c>
      <c r="Z103" s="2" t="s">
        <v>204</v>
      </c>
      <c r="AA103" s="2" t="s">
        <v>205</v>
      </c>
      <c r="AB103" s="2" t="s">
        <v>101</v>
      </c>
      <c r="AC103" s="2">
        <v>73.099999999999994</v>
      </c>
      <c r="AD103" s="2">
        <v>94.5</v>
      </c>
      <c r="AE103" s="2">
        <v>81.760000000000005</v>
      </c>
      <c r="AF103" s="2" t="s">
        <v>1217</v>
      </c>
      <c r="AG103" s="2" t="s">
        <v>103</v>
      </c>
      <c r="AH103" s="2" t="s">
        <v>1218</v>
      </c>
      <c r="AI103" s="2">
        <v>0.77</v>
      </c>
      <c r="AJ103" s="2">
        <v>22.361800143069001</v>
      </c>
      <c r="AK103" s="2">
        <v>21.817818815609002</v>
      </c>
      <c r="AL103" s="2">
        <v>21.278023287919702</v>
      </c>
      <c r="AM103" s="2">
        <v>22.5632008117332</v>
      </c>
      <c r="AN103" s="2">
        <v>21.853418301754701</v>
      </c>
      <c r="AO103" s="2">
        <v>21.929926909070101</v>
      </c>
      <c r="AP103" s="2">
        <v>21.791004253409898</v>
      </c>
      <c r="AQ103" s="2">
        <v>21.624734214150301</v>
      </c>
      <c r="AR103" s="2">
        <v>21.860835406234902</v>
      </c>
      <c r="AS103" s="2">
        <v>22.4179278489637</v>
      </c>
      <c r="AT103" s="2">
        <v>22.232063711491001</v>
      </c>
      <c r="AU103" s="2">
        <v>22.351266356182201</v>
      </c>
      <c r="AV103" s="2">
        <v>22.252298011057</v>
      </c>
      <c r="AW103" s="2">
        <v>22.427146794729801</v>
      </c>
      <c r="AX103" s="2">
        <v>22.095634143623599</v>
      </c>
      <c r="AY103" s="2">
        <v>22.389139945443802</v>
      </c>
      <c r="AZ103" s="2">
        <v>21.840645441133098</v>
      </c>
      <c r="BA103" s="2">
        <v>21.421897764983701</v>
      </c>
      <c r="BB103" s="2">
        <v>21.479263941739699</v>
      </c>
      <c r="BC103" s="2">
        <v>20.208250316845898</v>
      </c>
      <c r="BD103" s="2">
        <v>22.512858626605698</v>
      </c>
      <c r="BE103" s="2">
        <v>22.404431182242099</v>
      </c>
      <c r="BF103" s="2">
        <v>22.750297299539099</v>
      </c>
      <c r="BG103" s="2">
        <v>21.013109328261301</v>
      </c>
      <c r="BH103" s="2">
        <v>22.262463158434699</v>
      </c>
      <c r="BI103" s="2">
        <v>22.4783013914058</v>
      </c>
      <c r="BJ103" s="2">
        <v>22.596784528891899</v>
      </c>
      <c r="BK103" s="2">
        <v>21.757865149984301</v>
      </c>
      <c r="BL103" s="2">
        <v>21.397905419417601</v>
      </c>
      <c r="BM103" s="2">
        <v>22.156268361374099</v>
      </c>
      <c r="BN103" s="2">
        <v>21.5660989153793</v>
      </c>
      <c r="BO103" s="2">
        <v>21.414168320959</v>
      </c>
      <c r="BP103" s="2">
        <v>21.198845402115001</v>
      </c>
      <c r="BQ103" s="2">
        <v>21.2057519903993</v>
      </c>
      <c r="BR103" s="2">
        <v>22.419849087862701</v>
      </c>
      <c r="BS103" s="2">
        <v>22.540055260286099</v>
      </c>
      <c r="BT103" s="2">
        <v>22.407681058325402</v>
      </c>
      <c r="BU103" s="2">
        <v>22.230216642304001</v>
      </c>
      <c r="BV103" s="2">
        <v>22.051819597140899</v>
      </c>
      <c r="BW103" s="2">
        <v>23.0167931125482</v>
      </c>
      <c r="BX103" s="2">
        <v>22.153207197894002</v>
      </c>
      <c r="BY103" s="2">
        <v>21.934312974952</v>
      </c>
      <c r="BZ103" s="2">
        <v>22.459872532282599</v>
      </c>
      <c r="CA103" s="2">
        <v>22.5425981249345</v>
      </c>
      <c r="CB103" s="2">
        <v>21.964726235065498</v>
      </c>
      <c r="CC103" s="2">
        <v>21.655132573929102</v>
      </c>
      <c r="CD103" s="2">
        <v>21.035676923038</v>
      </c>
      <c r="CE103" s="2">
        <v>21.280078303881002</v>
      </c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</row>
    <row r="104" spans="1:97">
      <c r="A104" s="2" t="s">
        <v>1219</v>
      </c>
      <c r="B104" s="2">
        <v>217.08162999999999</v>
      </c>
      <c r="C104" s="2">
        <v>0.77500000000000002</v>
      </c>
      <c r="D104" s="2" t="s">
        <v>84</v>
      </c>
      <c r="E104" s="2" t="s">
        <v>1220</v>
      </c>
      <c r="F104" s="2" t="s">
        <v>1221</v>
      </c>
      <c r="G104" s="2">
        <v>54372</v>
      </c>
      <c r="H104" s="3" t="str">
        <f>HYPERLINK("https://cloud.oebiotech.com/#/lm/network/54372", "https://cloud.oebiotech.com/#/lm/network/54372")</f>
        <v>https://cloud.oebiotech.com/#/lm/network/54372</v>
      </c>
      <c r="I104" s="2" t="s">
        <v>1222</v>
      </c>
      <c r="J104" s="2">
        <v>86252</v>
      </c>
      <c r="K104" s="2"/>
      <c r="L104" s="2">
        <v>68590513</v>
      </c>
      <c r="M104" s="2"/>
      <c r="N104" s="2"/>
      <c r="O104" s="2"/>
      <c r="P104" s="2"/>
      <c r="Q104" s="2"/>
      <c r="R104" s="2"/>
      <c r="S104" s="2" t="s">
        <v>1223</v>
      </c>
      <c r="T104" s="2" t="s">
        <v>1224</v>
      </c>
      <c r="U104" s="2" t="s">
        <v>1225</v>
      </c>
      <c r="V104" s="2" t="s">
        <v>115</v>
      </c>
      <c r="W104" s="2" t="s">
        <v>116</v>
      </c>
      <c r="X104" s="2" t="s">
        <v>117</v>
      </c>
      <c r="Y104" s="2" t="s">
        <v>118</v>
      </c>
      <c r="Z104" s="2" t="s">
        <v>119</v>
      </c>
      <c r="AA104" s="2" t="s">
        <v>120</v>
      </c>
      <c r="AB104" s="2" t="s">
        <v>101</v>
      </c>
      <c r="AC104" s="2">
        <v>73.06</v>
      </c>
      <c r="AD104" s="2">
        <v>98.17</v>
      </c>
      <c r="AE104" s="2">
        <v>80.650000000000006</v>
      </c>
      <c r="AF104" s="2" t="s">
        <v>1226</v>
      </c>
      <c r="AG104" s="2" t="s">
        <v>132</v>
      </c>
      <c r="AH104" s="2" t="s">
        <v>1227</v>
      </c>
      <c r="AI104" s="2">
        <v>1.38</v>
      </c>
      <c r="AJ104" s="2">
        <v>25.344074754086101</v>
      </c>
      <c r="AK104" s="2">
        <v>25.022345572589799</v>
      </c>
      <c r="AL104" s="2">
        <v>25.065404841142399</v>
      </c>
      <c r="AM104" s="2">
        <v>25.062399620881301</v>
      </c>
      <c r="AN104" s="2">
        <v>25.189479774738</v>
      </c>
      <c r="AO104" s="2">
        <v>23.943567546492101</v>
      </c>
      <c r="AP104" s="2">
        <v>25.099699103935802</v>
      </c>
      <c r="AQ104" s="2">
        <v>24.919612176302699</v>
      </c>
      <c r="AR104" s="2">
        <v>24.691749598901101</v>
      </c>
      <c r="AS104" s="2">
        <v>23.596596103996301</v>
      </c>
      <c r="AT104" s="2">
        <v>23.630365632284398</v>
      </c>
      <c r="AU104" s="2">
        <v>24.0259089588052</v>
      </c>
      <c r="AV104" s="2">
        <v>24.461802157550999</v>
      </c>
      <c r="AW104" s="2">
        <v>24.663011881578299</v>
      </c>
      <c r="AX104" s="2">
        <v>24.592669610840499</v>
      </c>
      <c r="AY104" s="2">
        <v>23.887628344164</v>
      </c>
      <c r="AZ104" s="2">
        <v>24.457152731894499</v>
      </c>
      <c r="BA104" s="2">
        <v>24.641634762791799</v>
      </c>
      <c r="BB104" s="2">
        <v>25.9439168290716</v>
      </c>
      <c r="BC104" s="2">
        <v>26.270276563301799</v>
      </c>
      <c r="BD104" s="2">
        <v>24.675405929258101</v>
      </c>
      <c r="BE104" s="2">
        <v>24.513053152956999</v>
      </c>
      <c r="BF104" s="2">
        <v>24.705893447689999</v>
      </c>
      <c r="BG104" s="2">
        <v>25.957573059319699</v>
      </c>
      <c r="BH104" s="2">
        <v>24.3167269610944</v>
      </c>
      <c r="BI104" s="2">
        <v>23.722889608708901</v>
      </c>
      <c r="BJ104" s="2">
        <v>24.653551316583702</v>
      </c>
      <c r="BK104" s="2">
        <v>24.582440708588301</v>
      </c>
      <c r="BL104" s="2">
        <v>23.4762186171655</v>
      </c>
      <c r="BM104" s="2">
        <v>24.493614683285799</v>
      </c>
      <c r="BN104" s="2">
        <v>24.438130119525201</v>
      </c>
      <c r="BO104" s="2">
        <v>23.508397620361901</v>
      </c>
      <c r="BP104" s="2">
        <v>24.3911389901875</v>
      </c>
      <c r="BQ104" s="2">
        <v>24.460523806517401</v>
      </c>
      <c r="BR104" s="2">
        <v>24.824550097692999</v>
      </c>
      <c r="BS104" s="2">
        <v>24.3363749587384</v>
      </c>
      <c r="BT104" s="2">
        <v>25.866335106553699</v>
      </c>
      <c r="BU104" s="2">
        <v>24.502876849836898</v>
      </c>
      <c r="BV104" s="2">
        <v>26.2067143538594</v>
      </c>
      <c r="BW104" s="2">
        <v>26.291108164953901</v>
      </c>
      <c r="BX104" s="2">
        <v>24.561869187060498</v>
      </c>
      <c r="BY104" s="2">
        <v>24.242538041793502</v>
      </c>
      <c r="BZ104" s="2">
        <v>26.301904310573299</v>
      </c>
      <c r="CA104" s="2">
        <v>25.591068285938501</v>
      </c>
      <c r="CB104" s="2">
        <v>24.773990655706999</v>
      </c>
      <c r="CC104" s="2">
        <v>23.5213619008554</v>
      </c>
      <c r="CD104" s="2">
        <v>24.1096960049477</v>
      </c>
      <c r="CE104" s="2">
        <v>24.496113415635801</v>
      </c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</row>
    <row r="105" spans="1:97">
      <c r="A105" s="2" t="s">
        <v>1228</v>
      </c>
      <c r="B105" s="2">
        <v>115.00333999999999</v>
      </c>
      <c r="C105" s="2">
        <v>1.0640000000000001</v>
      </c>
      <c r="D105" s="2" t="s">
        <v>146</v>
      </c>
      <c r="E105" s="2" t="s">
        <v>1229</v>
      </c>
      <c r="F105" s="2" t="s">
        <v>1230</v>
      </c>
      <c r="G105" s="2">
        <v>46912</v>
      </c>
      <c r="H105" s="3" t="str">
        <f>HYPERLINK("https://cloud.oebiotech.com/#/lm/network/46912", "https://cloud.oebiotech.com/#/lm/network/46912")</f>
        <v>https://cloud.oebiotech.com/#/lm/network/46912</v>
      </c>
      <c r="I105" s="2" t="s">
        <v>1231</v>
      </c>
      <c r="J105" s="2">
        <v>4198</v>
      </c>
      <c r="K105" s="2"/>
      <c r="L105" s="2">
        <v>444266</v>
      </c>
      <c r="M105" s="2" t="s">
        <v>1232</v>
      </c>
      <c r="N105" s="2" t="s">
        <v>1233</v>
      </c>
      <c r="O105" s="2" t="s">
        <v>1234</v>
      </c>
      <c r="P105" s="2">
        <v>18300</v>
      </c>
      <c r="Q105" s="2"/>
      <c r="R105" s="2"/>
      <c r="S105" s="2" t="s">
        <v>1235</v>
      </c>
      <c r="T105" s="2" t="s">
        <v>1236</v>
      </c>
      <c r="U105" s="2" t="s">
        <v>1237</v>
      </c>
      <c r="V105" s="2" t="s">
        <v>115</v>
      </c>
      <c r="W105" s="2" t="s">
        <v>116</v>
      </c>
      <c r="X105" s="2" t="s">
        <v>1238</v>
      </c>
      <c r="Y105" s="2" t="s">
        <v>118</v>
      </c>
      <c r="Z105" s="2" t="s">
        <v>119</v>
      </c>
      <c r="AA105" s="2" t="s">
        <v>1239</v>
      </c>
      <c r="AB105" s="2" t="s">
        <v>101</v>
      </c>
      <c r="AC105" s="2">
        <v>73.040000000000006</v>
      </c>
      <c r="AD105" s="2">
        <v>97.23</v>
      </c>
      <c r="AE105" s="2">
        <v>88.99</v>
      </c>
      <c r="AF105" s="2" t="s">
        <v>1240</v>
      </c>
      <c r="AG105" s="2" t="s">
        <v>194</v>
      </c>
      <c r="AH105" s="2" t="s">
        <v>1241</v>
      </c>
      <c r="AI105" s="2">
        <v>3.04</v>
      </c>
      <c r="AJ105" s="2">
        <v>21.056318730161099</v>
      </c>
      <c r="AK105" s="2">
        <v>20.726129282263301</v>
      </c>
      <c r="AL105" s="2">
        <v>20.1915644072721</v>
      </c>
      <c r="AM105" s="2">
        <v>20.618461079801001</v>
      </c>
      <c r="AN105" s="2">
        <v>20.694358754486998</v>
      </c>
      <c r="AO105" s="2">
        <v>20.598890523258799</v>
      </c>
      <c r="AP105" s="2">
        <v>20.647220126553702</v>
      </c>
      <c r="AQ105" s="2">
        <v>20.4918607081853</v>
      </c>
      <c r="AR105" s="2">
        <v>19.394668339025198</v>
      </c>
      <c r="AS105" s="2">
        <v>19.278055757011401</v>
      </c>
      <c r="AT105" s="2">
        <v>19.460661324458499</v>
      </c>
      <c r="AU105" s="2">
        <v>19.233706711205699</v>
      </c>
      <c r="AV105" s="2">
        <v>19.674287593013599</v>
      </c>
      <c r="AW105" s="2">
        <v>19.891476371103099</v>
      </c>
      <c r="AX105" s="2">
        <v>19.778458006895001</v>
      </c>
      <c r="AY105" s="2">
        <v>19.245162762330299</v>
      </c>
      <c r="AZ105" s="2">
        <v>19.453584071152601</v>
      </c>
      <c r="BA105" s="2">
        <v>18.533556314433699</v>
      </c>
      <c r="BB105" s="2">
        <v>19.703677239258901</v>
      </c>
      <c r="BC105" s="2">
        <v>19.781107389534601</v>
      </c>
      <c r="BD105" s="2">
        <v>19.5349002842683</v>
      </c>
      <c r="BE105" s="2">
        <v>19.886014319664699</v>
      </c>
      <c r="BF105" s="2">
        <v>20.120225750526998</v>
      </c>
      <c r="BG105" s="2">
        <v>19.973788495875901</v>
      </c>
      <c r="BH105" s="2">
        <v>19.7865655103659</v>
      </c>
      <c r="BI105" s="2">
        <v>19.821213620772799</v>
      </c>
      <c r="BJ105" s="2">
        <v>19.667850850968598</v>
      </c>
      <c r="BK105" s="2">
        <v>18.987700435705499</v>
      </c>
      <c r="BL105" s="2">
        <v>19.9876150932519</v>
      </c>
      <c r="BM105" s="2">
        <v>19.7580392349101</v>
      </c>
      <c r="BN105" s="2">
        <v>20.088573423222702</v>
      </c>
      <c r="BO105" s="2">
        <v>19.2771316540803</v>
      </c>
      <c r="BP105" s="2">
        <v>19.492358463746498</v>
      </c>
      <c r="BQ105" s="2">
        <v>19.6458669529632</v>
      </c>
      <c r="BR105" s="2">
        <v>19.250738250506899</v>
      </c>
      <c r="BS105" s="2">
        <v>19.5143561749436</v>
      </c>
      <c r="BT105" s="2">
        <v>19.128371962685598</v>
      </c>
      <c r="BU105" s="2">
        <v>20.129165961786999</v>
      </c>
      <c r="BV105" s="2">
        <v>19.2145487692427</v>
      </c>
      <c r="BW105" s="2">
        <v>18.935548864888801</v>
      </c>
      <c r="BX105" s="2">
        <v>18.200505309400899</v>
      </c>
      <c r="BY105" s="2">
        <v>20.385244297701899</v>
      </c>
      <c r="BZ105" s="2">
        <v>19.600882248364901</v>
      </c>
      <c r="CA105" s="2">
        <v>22.179514272759601</v>
      </c>
      <c r="CB105" s="2">
        <v>18.720690555097299</v>
      </c>
      <c r="CC105" s="2">
        <v>19.252560293696298</v>
      </c>
      <c r="CD105" s="2">
        <v>19.803544372106501</v>
      </c>
      <c r="CE105" s="2">
        <v>18.962089300842798</v>
      </c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</row>
    <row r="106" spans="1:97">
      <c r="A106" s="2" t="s">
        <v>1242</v>
      </c>
      <c r="B106" s="2">
        <v>182.08104</v>
      </c>
      <c r="C106" s="2">
        <v>1.3049999999999999</v>
      </c>
      <c r="D106" s="2" t="s">
        <v>84</v>
      </c>
      <c r="E106" s="2" t="s">
        <v>1243</v>
      </c>
      <c r="F106" s="2" t="s">
        <v>1244</v>
      </c>
      <c r="G106" s="2">
        <v>46901</v>
      </c>
      <c r="H106" s="3" t="str">
        <f>HYPERLINK("https://cloud.oebiotech.com/#/lm/network/46901", "https://cloud.oebiotech.com/#/lm/network/46901")</f>
        <v>https://cloud.oebiotech.com/#/lm/network/46901</v>
      </c>
      <c r="I106" s="2" t="s">
        <v>1245</v>
      </c>
      <c r="J106" s="2">
        <v>34</v>
      </c>
      <c r="K106" s="2"/>
      <c r="L106" s="2">
        <v>6057</v>
      </c>
      <c r="M106" s="2" t="s">
        <v>1246</v>
      </c>
      <c r="N106" s="2" t="s">
        <v>1247</v>
      </c>
      <c r="O106" s="2" t="s">
        <v>1248</v>
      </c>
      <c r="P106" s="2">
        <v>17895</v>
      </c>
      <c r="Q106" s="2"/>
      <c r="R106" s="2"/>
      <c r="S106" s="2" t="s">
        <v>1249</v>
      </c>
      <c r="T106" s="2" t="s">
        <v>1250</v>
      </c>
      <c r="U106" s="2" t="s">
        <v>1251</v>
      </c>
      <c r="V106" s="2" t="s">
        <v>115</v>
      </c>
      <c r="W106" s="2" t="s">
        <v>116</v>
      </c>
      <c r="X106" s="2" t="s">
        <v>117</v>
      </c>
      <c r="Y106" s="2" t="s">
        <v>118</v>
      </c>
      <c r="Z106" s="2" t="s">
        <v>119</v>
      </c>
      <c r="AA106" s="2" t="s">
        <v>120</v>
      </c>
      <c r="AB106" s="2" t="s">
        <v>101</v>
      </c>
      <c r="AC106" s="2">
        <v>73.03</v>
      </c>
      <c r="AD106" s="2">
        <v>97.83</v>
      </c>
      <c r="AE106" s="2">
        <v>89.92</v>
      </c>
      <c r="AF106" s="2" t="s">
        <v>1252</v>
      </c>
      <c r="AG106" s="2" t="s">
        <v>103</v>
      </c>
      <c r="AH106" s="2" t="s">
        <v>1253</v>
      </c>
      <c r="AI106" s="2">
        <v>1.1000000000000001</v>
      </c>
      <c r="AJ106" s="2">
        <v>24.093674070118698</v>
      </c>
      <c r="AK106" s="2">
        <v>23.5621670524297</v>
      </c>
      <c r="AL106" s="2">
        <v>23.614323130365399</v>
      </c>
      <c r="AM106" s="2">
        <v>23.536173884369099</v>
      </c>
      <c r="AN106" s="2">
        <v>23.234915216482101</v>
      </c>
      <c r="AO106" s="2">
        <v>23.997014586153501</v>
      </c>
      <c r="AP106" s="2">
        <v>23.226764036652501</v>
      </c>
      <c r="AQ106" s="2">
        <v>23.8013719382941</v>
      </c>
      <c r="AR106" s="2">
        <v>22.0316392065678</v>
      </c>
      <c r="AS106" s="2">
        <v>22.036493467078401</v>
      </c>
      <c r="AT106" s="2">
        <v>22.780328914373399</v>
      </c>
      <c r="AU106" s="2">
        <v>23.1242582610192</v>
      </c>
      <c r="AV106" s="2">
        <v>22.947051261028601</v>
      </c>
      <c r="AW106" s="2">
        <v>24.026776731132902</v>
      </c>
      <c r="AX106" s="2">
        <v>22.868945003639102</v>
      </c>
      <c r="AY106" s="2">
        <v>23.802902198064999</v>
      </c>
      <c r="AZ106" s="2">
        <v>23.257263072404701</v>
      </c>
      <c r="BA106" s="2">
        <v>23.251614017762101</v>
      </c>
      <c r="BB106" s="2">
        <v>23.864796258376</v>
      </c>
      <c r="BC106" s="2">
        <v>23.576344995006401</v>
      </c>
      <c r="BD106" s="2">
        <v>22.2299267349796</v>
      </c>
      <c r="BE106" s="2">
        <v>24.139280272516999</v>
      </c>
      <c r="BF106" s="2">
        <v>21.872103392232599</v>
      </c>
      <c r="BG106" s="2">
        <v>23.7837631031379</v>
      </c>
      <c r="BH106" s="2">
        <v>23.931975196024599</v>
      </c>
      <c r="BI106" s="2">
        <v>23.388572904698599</v>
      </c>
      <c r="BJ106" s="2">
        <v>22.9425718474101</v>
      </c>
      <c r="BK106" s="2">
        <v>23.0171288253993</v>
      </c>
      <c r="BL106" s="2">
        <v>22.6770450290479</v>
      </c>
      <c r="BM106" s="2">
        <v>24.223291781216702</v>
      </c>
      <c r="BN106" s="2">
        <v>23.736957517150401</v>
      </c>
      <c r="BO106" s="2">
        <v>22.546270331969101</v>
      </c>
      <c r="BP106" s="2">
        <v>23.473121054159499</v>
      </c>
      <c r="BQ106" s="2">
        <v>23.6815526313619</v>
      </c>
      <c r="BR106" s="2">
        <v>23.220055533045699</v>
      </c>
      <c r="BS106" s="2">
        <v>23.437978109305998</v>
      </c>
      <c r="BT106" s="2">
        <v>18.066077782675102</v>
      </c>
      <c r="BU106" s="2">
        <v>22.953944518241901</v>
      </c>
      <c r="BV106" s="2">
        <v>23.443283413076902</v>
      </c>
      <c r="BW106" s="2">
        <v>22.527898964604301</v>
      </c>
      <c r="BX106" s="2">
        <v>22.958080836294801</v>
      </c>
      <c r="BY106" s="2">
        <v>23.8525463945527</v>
      </c>
      <c r="BZ106" s="2">
        <v>24.251336054002699</v>
      </c>
      <c r="CA106" s="2">
        <v>24.645778243954702</v>
      </c>
      <c r="CB106" s="2">
        <v>23.062922677950901</v>
      </c>
      <c r="CC106" s="2">
        <v>23.354453196645199</v>
      </c>
      <c r="CD106" s="2">
        <v>23.949169374261299</v>
      </c>
      <c r="CE106" s="2">
        <v>23.135694502161499</v>
      </c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</row>
    <row r="107" spans="1:97">
      <c r="A107" s="2" t="s">
        <v>1254</v>
      </c>
      <c r="B107" s="2">
        <v>260.18535000000003</v>
      </c>
      <c r="C107" s="2">
        <v>4.718</v>
      </c>
      <c r="D107" s="2" t="s">
        <v>84</v>
      </c>
      <c r="E107" s="2" t="s">
        <v>1255</v>
      </c>
      <c r="F107" s="2" t="s">
        <v>1256</v>
      </c>
      <c r="G107" s="2">
        <v>8283</v>
      </c>
      <c r="H107" s="3" t="str">
        <f>HYPERLINK("https://cloud.oebiotech.com/#/lm/network/8283", "https://cloud.oebiotech.com/#/lm/network/8283")</f>
        <v>https://cloud.oebiotech.com/#/lm/network/8283</v>
      </c>
      <c r="I107" s="2" t="s">
        <v>1257</v>
      </c>
      <c r="J107" s="2">
        <v>3548</v>
      </c>
      <c r="K107" s="2" t="s">
        <v>1258</v>
      </c>
      <c r="L107" s="2">
        <v>3246938</v>
      </c>
      <c r="M107" s="2"/>
      <c r="N107" s="2"/>
      <c r="O107" s="2"/>
      <c r="P107" s="2">
        <v>84834</v>
      </c>
      <c r="Q107" s="2"/>
      <c r="R107" s="2"/>
      <c r="S107" s="2" t="s">
        <v>1259</v>
      </c>
      <c r="T107" s="2" t="s">
        <v>1260</v>
      </c>
      <c r="U107" s="2" t="s">
        <v>1261</v>
      </c>
      <c r="V107" s="2" t="s">
        <v>95</v>
      </c>
      <c r="W107" s="2" t="s">
        <v>96</v>
      </c>
      <c r="X107" s="2" t="s">
        <v>97</v>
      </c>
      <c r="Y107" s="2" t="s">
        <v>98</v>
      </c>
      <c r="Z107" s="2" t="s">
        <v>99</v>
      </c>
      <c r="AA107" s="2" t="s">
        <v>100</v>
      </c>
      <c r="AB107" s="2" t="s">
        <v>101</v>
      </c>
      <c r="AC107" s="2">
        <v>73.010000000000005</v>
      </c>
      <c r="AD107" s="2">
        <v>97.78</v>
      </c>
      <c r="AE107" s="2">
        <v>89.17</v>
      </c>
      <c r="AF107" s="2" t="s">
        <v>1262</v>
      </c>
      <c r="AG107" s="2" t="s">
        <v>103</v>
      </c>
      <c r="AH107" s="2" t="s">
        <v>1263</v>
      </c>
      <c r="AI107" s="2">
        <v>0.77</v>
      </c>
      <c r="AJ107" s="2">
        <v>22.283166605470299</v>
      </c>
      <c r="AK107" s="2">
        <v>22.570098800700901</v>
      </c>
      <c r="AL107" s="2">
        <v>22.369224556747501</v>
      </c>
      <c r="AM107" s="2">
        <v>22.603852954801699</v>
      </c>
      <c r="AN107" s="2">
        <v>22.455376753593502</v>
      </c>
      <c r="AO107" s="2">
        <v>22.510491112069701</v>
      </c>
      <c r="AP107" s="2">
        <v>22.2234694875456</v>
      </c>
      <c r="AQ107" s="2">
        <v>22.386232976900398</v>
      </c>
      <c r="AR107" s="2">
        <v>21.221485463434</v>
      </c>
      <c r="AS107" s="2">
        <v>21.5763962543909</v>
      </c>
      <c r="AT107" s="2">
        <v>22.512360998410799</v>
      </c>
      <c r="AU107" s="2">
        <v>21.595089307433899</v>
      </c>
      <c r="AV107" s="2">
        <v>21.2028689514147</v>
      </c>
      <c r="AW107" s="2">
        <v>21.8829477736999</v>
      </c>
      <c r="AX107" s="2">
        <v>22.717902083780299</v>
      </c>
      <c r="AY107" s="2">
        <v>22.190607861836099</v>
      </c>
      <c r="AZ107" s="2">
        <v>21.650279942355802</v>
      </c>
      <c r="BA107" s="2">
        <v>22.265132415138801</v>
      </c>
      <c r="BB107" s="2">
        <v>23.650527067678802</v>
      </c>
      <c r="BC107" s="2">
        <v>23.205376112046199</v>
      </c>
      <c r="BD107" s="2">
        <v>20.618465892324298</v>
      </c>
      <c r="BE107" s="2">
        <v>21.855278410791598</v>
      </c>
      <c r="BF107" s="2">
        <v>21.923982361641901</v>
      </c>
      <c r="BG107" s="2">
        <v>23.036905495319701</v>
      </c>
      <c r="BH107" s="2">
        <v>20.789605663303899</v>
      </c>
      <c r="BI107" s="2">
        <v>23.209942735205502</v>
      </c>
      <c r="BJ107" s="2">
        <v>21.8958786814765</v>
      </c>
      <c r="BK107" s="2">
        <v>21.086265954273902</v>
      </c>
      <c r="BL107" s="2">
        <v>22.346296470900999</v>
      </c>
      <c r="BM107" s="2">
        <v>22.032089970794999</v>
      </c>
      <c r="BN107" s="2">
        <v>22.156512792257399</v>
      </c>
      <c r="BO107" s="2">
        <v>22.6703606907462</v>
      </c>
      <c r="BP107" s="2">
        <v>22.435659554411799</v>
      </c>
      <c r="BQ107" s="2">
        <v>22.897693900942699</v>
      </c>
      <c r="BR107" s="2">
        <v>22.482697430091001</v>
      </c>
      <c r="BS107" s="2">
        <v>21.1196020568403</v>
      </c>
      <c r="BT107" s="2">
        <v>21.523565076267602</v>
      </c>
      <c r="BU107" s="2">
        <v>22.0608682455909</v>
      </c>
      <c r="BV107" s="2">
        <v>23.120628877682002</v>
      </c>
      <c r="BW107" s="2">
        <v>21.972447652789</v>
      </c>
      <c r="BX107" s="2">
        <v>22.1824157350291</v>
      </c>
      <c r="BY107" s="2">
        <v>21.161378244011502</v>
      </c>
      <c r="BZ107" s="2">
        <v>22.944311317526498</v>
      </c>
      <c r="CA107" s="2">
        <v>21.608350850192299</v>
      </c>
      <c r="CB107" s="2">
        <v>21.4187174923238</v>
      </c>
      <c r="CC107" s="2">
        <v>23.306552495822601</v>
      </c>
      <c r="CD107" s="2">
        <v>21.725565247696501</v>
      </c>
      <c r="CE107" s="2">
        <v>23.040027870014001</v>
      </c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</row>
    <row r="108" spans="1:97">
      <c r="A108" s="2" t="s">
        <v>1264</v>
      </c>
      <c r="B108" s="2">
        <v>407.27958000000001</v>
      </c>
      <c r="C108" s="2">
        <v>8.8149999999999995</v>
      </c>
      <c r="D108" s="2" t="s">
        <v>146</v>
      </c>
      <c r="E108" s="2" t="s">
        <v>1265</v>
      </c>
      <c r="F108" s="2" t="s">
        <v>1266</v>
      </c>
      <c r="G108" s="2">
        <v>45954</v>
      </c>
      <c r="H108" s="3" t="str">
        <f>HYPERLINK("https://cloud.oebiotech.com/#/lm/network/45954", "https://cloud.oebiotech.com/#/lm/network/45954")</f>
        <v>https://cloud.oebiotech.com/#/lm/network/45954</v>
      </c>
      <c r="I108" s="2" t="s">
        <v>1267</v>
      </c>
      <c r="J108" s="2">
        <v>5404</v>
      </c>
      <c r="K108" s="2" t="s">
        <v>1268</v>
      </c>
      <c r="L108" s="2">
        <v>160636</v>
      </c>
      <c r="M108" s="2" t="s">
        <v>1269</v>
      </c>
      <c r="N108" s="2"/>
      <c r="O108" s="2"/>
      <c r="P108" s="2">
        <v>81308</v>
      </c>
      <c r="Q108" s="2"/>
      <c r="R108" s="2"/>
      <c r="S108" s="2" t="s">
        <v>1270</v>
      </c>
      <c r="T108" s="2" t="s">
        <v>1271</v>
      </c>
      <c r="U108" s="2" t="s">
        <v>1272</v>
      </c>
      <c r="V108" s="2" t="s">
        <v>95</v>
      </c>
      <c r="W108" s="2" t="s">
        <v>152</v>
      </c>
      <c r="X108" s="2" t="s">
        <v>278</v>
      </c>
      <c r="Y108" s="2" t="s">
        <v>98</v>
      </c>
      <c r="Z108" s="2" t="s">
        <v>154</v>
      </c>
      <c r="AA108" s="2" t="s">
        <v>279</v>
      </c>
      <c r="AB108" s="2" t="s">
        <v>101</v>
      </c>
      <c r="AC108" s="2">
        <v>73</v>
      </c>
      <c r="AD108" s="2">
        <v>97.48</v>
      </c>
      <c r="AE108" s="2">
        <v>86.55</v>
      </c>
      <c r="AF108" s="2" t="s">
        <v>1273</v>
      </c>
      <c r="AG108" s="2" t="s">
        <v>194</v>
      </c>
      <c r="AH108" s="2" t="s">
        <v>1274</v>
      </c>
      <c r="AI108" s="2">
        <v>1.72</v>
      </c>
      <c r="AJ108" s="2">
        <v>21.656640194889199</v>
      </c>
      <c r="AK108" s="2">
        <v>21.667141673290001</v>
      </c>
      <c r="AL108" s="2">
        <v>21.687749988205201</v>
      </c>
      <c r="AM108" s="2">
        <v>21.702386183670701</v>
      </c>
      <c r="AN108" s="2">
        <v>21.664376387314402</v>
      </c>
      <c r="AO108" s="2">
        <v>21.6275147103714</v>
      </c>
      <c r="AP108" s="2">
        <v>21.5742213266467</v>
      </c>
      <c r="AQ108" s="2">
        <v>21.3461405368007</v>
      </c>
      <c r="AR108" s="2">
        <v>20.929019825471102</v>
      </c>
      <c r="AS108" s="2">
        <v>20.412134950493201</v>
      </c>
      <c r="AT108" s="2">
        <v>20.564264736386701</v>
      </c>
      <c r="AU108" s="2">
        <v>20.771087696847601</v>
      </c>
      <c r="AV108" s="2">
        <v>20.800683836760498</v>
      </c>
      <c r="AW108" s="2">
        <v>21.167119768927702</v>
      </c>
      <c r="AX108" s="2">
        <v>20.6570446468833</v>
      </c>
      <c r="AY108" s="2">
        <v>20.844416926207199</v>
      </c>
      <c r="AZ108" s="2">
        <v>20.913129133133001</v>
      </c>
      <c r="BA108" s="2">
        <v>21.134300919270299</v>
      </c>
      <c r="BB108" s="2">
        <v>20.3450043365103</v>
      </c>
      <c r="BC108" s="2">
        <v>20.959415075662601</v>
      </c>
      <c r="BD108" s="2">
        <v>20.503376019183602</v>
      </c>
      <c r="BE108" s="2">
        <v>20.676401029368801</v>
      </c>
      <c r="BF108" s="2">
        <v>20.375512262880001</v>
      </c>
      <c r="BG108" s="2">
        <v>20.4192126289316</v>
      </c>
      <c r="BH108" s="2">
        <v>20.3184224484379</v>
      </c>
      <c r="BI108" s="2">
        <v>20.553474514831201</v>
      </c>
      <c r="BJ108" s="2">
        <v>20.739911242636701</v>
      </c>
      <c r="BK108" s="2">
        <v>20.618028837190401</v>
      </c>
      <c r="BL108" s="2">
        <v>21.7560864368408</v>
      </c>
      <c r="BM108" s="2">
        <v>21.145158029284499</v>
      </c>
      <c r="BN108" s="2">
        <v>20.868399398715201</v>
      </c>
      <c r="BO108" s="2">
        <v>20.376959907729699</v>
      </c>
      <c r="BP108" s="2">
        <v>20.961610201910801</v>
      </c>
      <c r="BQ108" s="2">
        <v>21.640674832723601</v>
      </c>
      <c r="BR108" s="2">
        <v>20.415256777691798</v>
      </c>
      <c r="BS108" s="2">
        <v>20.599981260298701</v>
      </c>
      <c r="BT108" s="2">
        <v>20.3294504912569</v>
      </c>
      <c r="BU108" s="2">
        <v>20.242395703456499</v>
      </c>
      <c r="BV108" s="2">
        <v>21.196240376113799</v>
      </c>
      <c r="BW108" s="2">
        <v>21.919444524077701</v>
      </c>
      <c r="BX108" s="2">
        <v>20.476881984101901</v>
      </c>
      <c r="BY108" s="2">
        <v>20.561850651553101</v>
      </c>
      <c r="BZ108" s="2">
        <v>21.745864424372702</v>
      </c>
      <c r="CA108" s="2">
        <v>20.537185026907601</v>
      </c>
      <c r="CB108" s="2">
        <v>23.202888014567399</v>
      </c>
      <c r="CC108" s="2">
        <v>22.331714073475698</v>
      </c>
      <c r="CD108" s="2">
        <v>20.297718564817298</v>
      </c>
      <c r="CE108" s="2">
        <v>20.748796421008301</v>
      </c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</row>
    <row r="109" spans="1:97">
      <c r="A109" s="2" t="s">
        <v>1275</v>
      </c>
      <c r="B109" s="2">
        <v>230.99638999999999</v>
      </c>
      <c r="C109" s="2">
        <v>4.7759999999999998</v>
      </c>
      <c r="D109" s="2" t="s">
        <v>146</v>
      </c>
      <c r="E109" s="2" t="s">
        <v>1276</v>
      </c>
      <c r="F109" s="2" t="s">
        <v>1277</v>
      </c>
      <c r="G109" s="2">
        <v>144437</v>
      </c>
      <c r="H109" s="3" t="str">
        <f>HYPERLINK("https://cloud.oebiotech.com/#/lm/network/144437", "https://cloud.oebiotech.com/#/lm/network/144437")</f>
        <v>https://cloud.oebiotech.com/#/lm/network/144437</v>
      </c>
      <c r="I109" s="2" t="s">
        <v>1278</v>
      </c>
      <c r="J109" s="2"/>
      <c r="K109" s="2"/>
      <c r="L109" s="2">
        <v>122164837</v>
      </c>
      <c r="M109" s="2"/>
      <c r="N109" s="2"/>
      <c r="O109" s="2"/>
      <c r="P109" s="2">
        <v>133532</v>
      </c>
      <c r="Q109" s="2"/>
      <c r="R109" s="2"/>
      <c r="S109" s="2" t="s">
        <v>1279</v>
      </c>
      <c r="T109" s="2" t="s">
        <v>1280</v>
      </c>
      <c r="U109" s="2" t="s">
        <v>1281</v>
      </c>
      <c r="V109" s="2" t="s">
        <v>115</v>
      </c>
      <c r="W109" s="2" t="s">
        <v>613</v>
      </c>
      <c r="X109" s="2" t="s">
        <v>614</v>
      </c>
      <c r="Y109" s="2" t="s">
        <v>118</v>
      </c>
      <c r="Z109" s="2" t="s">
        <v>615</v>
      </c>
      <c r="AA109" s="2" t="s">
        <v>616</v>
      </c>
      <c r="AB109" s="2" t="s">
        <v>101</v>
      </c>
      <c r="AC109" s="2">
        <v>72.959999999999994</v>
      </c>
      <c r="AD109" s="2">
        <v>90.92</v>
      </c>
      <c r="AE109" s="2">
        <v>95.9</v>
      </c>
      <c r="AF109" s="2" t="s">
        <v>1282</v>
      </c>
      <c r="AG109" s="2" t="s">
        <v>194</v>
      </c>
      <c r="AH109" s="2" t="s">
        <v>1283</v>
      </c>
      <c r="AI109" s="2">
        <v>2.16</v>
      </c>
      <c r="AJ109" s="2">
        <v>21.115119974223099</v>
      </c>
      <c r="AK109" s="2">
        <v>21.4112625451626</v>
      </c>
      <c r="AL109" s="2">
        <v>21.5231647345143</v>
      </c>
      <c r="AM109" s="2">
        <v>21.375323275085201</v>
      </c>
      <c r="AN109" s="2">
        <v>21.292677943785002</v>
      </c>
      <c r="AO109" s="2">
        <v>21.143798736927401</v>
      </c>
      <c r="AP109" s="2">
        <v>21.1547326837904</v>
      </c>
      <c r="AQ109" s="2">
        <v>21.329726697052301</v>
      </c>
      <c r="AR109" s="2">
        <v>19.7319401644775</v>
      </c>
      <c r="AS109" s="2">
        <v>18.4230559005873</v>
      </c>
      <c r="AT109" s="2">
        <v>14.5759994697169</v>
      </c>
      <c r="AU109" s="2">
        <v>19.566402313364101</v>
      </c>
      <c r="AV109" s="2">
        <v>24.603249694386601</v>
      </c>
      <c r="AW109" s="2">
        <v>19.7311891759975</v>
      </c>
      <c r="AX109" s="2">
        <v>21.826880738785</v>
      </c>
      <c r="AY109" s="2">
        <v>22.748924543333001</v>
      </c>
      <c r="AZ109" s="2">
        <v>9.6233145402724691</v>
      </c>
      <c r="BA109" s="2">
        <v>21.6902098254306</v>
      </c>
      <c r="BB109" s="2">
        <v>9.6233145402724691</v>
      </c>
      <c r="BC109" s="2">
        <v>15.7084650511243</v>
      </c>
      <c r="BD109" s="2">
        <v>21.880193613525702</v>
      </c>
      <c r="BE109" s="2">
        <v>24.436855901469801</v>
      </c>
      <c r="BF109" s="2">
        <v>15.955092035690299</v>
      </c>
      <c r="BG109" s="2">
        <v>14.806859212387399</v>
      </c>
      <c r="BH109" s="2">
        <v>23.405027980562998</v>
      </c>
      <c r="BI109" s="2">
        <v>21.136200758137502</v>
      </c>
      <c r="BJ109" s="2">
        <v>19.858978769950902</v>
      </c>
      <c r="BK109" s="2">
        <v>21.108754460103899</v>
      </c>
      <c r="BL109" s="2">
        <v>16.8859888430582</v>
      </c>
      <c r="BM109" s="2">
        <v>21.9030530145609</v>
      </c>
      <c r="BN109" s="2">
        <v>20.584009558112299</v>
      </c>
      <c r="BO109" s="2">
        <v>18.335105889539001</v>
      </c>
      <c r="BP109" s="2">
        <v>9.6233145402724691</v>
      </c>
      <c r="BQ109" s="2">
        <v>13.638433651292599</v>
      </c>
      <c r="BR109" s="2">
        <v>20.493786625380501</v>
      </c>
      <c r="BS109" s="2">
        <v>21.534088337399101</v>
      </c>
      <c r="BT109" s="2">
        <v>12.966404510190699</v>
      </c>
      <c r="BU109" s="2">
        <v>13.5615027580162</v>
      </c>
      <c r="BV109" s="2">
        <v>15.6945029003875</v>
      </c>
      <c r="BW109" s="2">
        <v>13.2604609024455</v>
      </c>
      <c r="BX109" s="2">
        <v>17.940042091175599</v>
      </c>
      <c r="BY109" s="2">
        <v>15.693136804461099</v>
      </c>
      <c r="BZ109" s="2">
        <v>12.598075769248799</v>
      </c>
      <c r="CA109" s="2">
        <v>16.511588056095501</v>
      </c>
      <c r="CB109" s="2">
        <v>22.023717070230301</v>
      </c>
      <c r="CC109" s="2">
        <v>21.030452656426501</v>
      </c>
      <c r="CD109" s="2">
        <v>19.5487166805196</v>
      </c>
      <c r="CE109" s="2">
        <v>14.2807323538046</v>
      </c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</row>
    <row r="110" spans="1:97">
      <c r="A110" s="2" t="s">
        <v>1284</v>
      </c>
      <c r="B110" s="2">
        <v>178.05055999999999</v>
      </c>
      <c r="C110" s="2">
        <v>4.306</v>
      </c>
      <c r="D110" s="2" t="s">
        <v>146</v>
      </c>
      <c r="E110" s="2" t="s">
        <v>1285</v>
      </c>
      <c r="F110" s="2" t="s">
        <v>1286</v>
      </c>
      <c r="G110" s="2">
        <v>47175</v>
      </c>
      <c r="H110" s="3" t="str">
        <f>HYPERLINK("https://cloud.oebiotech.com/#/lm/network/47175", "https://cloud.oebiotech.com/#/lm/network/47175")</f>
        <v>https://cloud.oebiotech.com/#/lm/network/47175</v>
      </c>
      <c r="I110" s="2" t="s">
        <v>1287</v>
      </c>
      <c r="J110" s="2">
        <v>1301</v>
      </c>
      <c r="K110" s="2"/>
      <c r="L110" s="2">
        <v>464</v>
      </c>
      <c r="M110" s="2" t="s">
        <v>1288</v>
      </c>
      <c r="N110" s="2"/>
      <c r="O110" s="2"/>
      <c r="P110" s="2">
        <v>18089</v>
      </c>
      <c r="Q110" s="2"/>
      <c r="R110" s="2"/>
      <c r="S110" s="2" t="s">
        <v>1289</v>
      </c>
      <c r="T110" s="2" t="s">
        <v>1290</v>
      </c>
      <c r="U110" s="2" t="s">
        <v>1291</v>
      </c>
      <c r="V110" s="2" t="s">
        <v>385</v>
      </c>
      <c r="W110" s="2" t="s">
        <v>386</v>
      </c>
      <c r="X110" s="2" t="s">
        <v>1059</v>
      </c>
      <c r="Y110" s="2" t="s">
        <v>388</v>
      </c>
      <c r="Z110" s="2" t="s">
        <v>389</v>
      </c>
      <c r="AA110" s="2" t="s">
        <v>1060</v>
      </c>
      <c r="AB110" s="2" t="s">
        <v>101</v>
      </c>
      <c r="AC110" s="2">
        <v>72.95</v>
      </c>
      <c r="AD110" s="2">
        <v>99.03</v>
      </c>
      <c r="AE110" s="2">
        <v>93.15</v>
      </c>
      <c r="AF110" s="2" t="s">
        <v>1292</v>
      </c>
      <c r="AG110" s="2" t="s">
        <v>194</v>
      </c>
      <c r="AH110" s="2" t="s">
        <v>1293</v>
      </c>
      <c r="AI110" s="2">
        <v>2.25</v>
      </c>
      <c r="AJ110" s="2">
        <v>23.935012815051302</v>
      </c>
      <c r="AK110" s="2">
        <v>24.084650336428201</v>
      </c>
      <c r="AL110" s="2">
        <v>23.9062763409569</v>
      </c>
      <c r="AM110" s="2">
        <v>24.118690235577901</v>
      </c>
      <c r="AN110" s="2">
        <v>24.035052332567599</v>
      </c>
      <c r="AO110" s="2">
        <v>23.9957546894294</v>
      </c>
      <c r="AP110" s="2">
        <v>23.859146170226399</v>
      </c>
      <c r="AQ110" s="2">
        <v>24.150046037208899</v>
      </c>
      <c r="AR110" s="2">
        <v>23.984753014675199</v>
      </c>
      <c r="AS110" s="2">
        <v>21.777896414675102</v>
      </c>
      <c r="AT110" s="2">
        <v>20.017227287598502</v>
      </c>
      <c r="AU110" s="2">
        <v>22.276395984299899</v>
      </c>
      <c r="AV110" s="2">
        <v>24.7972096403265</v>
      </c>
      <c r="AW110" s="2">
        <v>21.537041317111399</v>
      </c>
      <c r="AX110" s="2">
        <v>20.524323010915701</v>
      </c>
      <c r="AY110" s="2">
        <v>24.620592520157601</v>
      </c>
      <c r="AZ110" s="2">
        <v>22.115618137883999</v>
      </c>
      <c r="BA110" s="2">
        <v>22.2446470732955</v>
      </c>
      <c r="BB110" s="2">
        <v>22.7509089745095</v>
      </c>
      <c r="BC110" s="2">
        <v>21.565048600305001</v>
      </c>
      <c r="BD110" s="2">
        <v>23.071973739572201</v>
      </c>
      <c r="BE110" s="2">
        <v>24.6147517264071</v>
      </c>
      <c r="BF110" s="2">
        <v>23.7957016654161</v>
      </c>
      <c r="BG110" s="2">
        <v>23.9052740926372</v>
      </c>
      <c r="BH110" s="2">
        <v>20.693564231239499</v>
      </c>
      <c r="BI110" s="2">
        <v>23.048701970205801</v>
      </c>
      <c r="BJ110" s="2">
        <v>22.557429105513599</v>
      </c>
      <c r="BK110" s="2">
        <v>22.239171183786599</v>
      </c>
      <c r="BL110" s="2">
        <v>24.1079634254429</v>
      </c>
      <c r="BM110" s="2">
        <v>23.692593584050801</v>
      </c>
      <c r="BN110" s="2">
        <v>22.476987352228999</v>
      </c>
      <c r="BO110" s="2">
        <v>22.127310933274298</v>
      </c>
      <c r="BP110" s="2">
        <v>23.105128340272799</v>
      </c>
      <c r="BQ110" s="2">
        <v>23.886947604827299</v>
      </c>
      <c r="BR110" s="2">
        <v>20.878636273463901</v>
      </c>
      <c r="BS110" s="2">
        <v>24.455049604856001</v>
      </c>
      <c r="BT110" s="2">
        <v>22.142771027093801</v>
      </c>
      <c r="BU110" s="2">
        <v>24.509286742452201</v>
      </c>
      <c r="BV110" s="2">
        <v>23.638312430462399</v>
      </c>
      <c r="BW110" s="2">
        <v>20.405407442995301</v>
      </c>
      <c r="BX110" s="2">
        <v>23.598483093591799</v>
      </c>
      <c r="BY110" s="2">
        <v>25.380206100536501</v>
      </c>
      <c r="BZ110" s="2">
        <v>23.849535215248501</v>
      </c>
      <c r="CA110" s="2">
        <v>23.647904194253702</v>
      </c>
      <c r="CB110" s="2">
        <v>23.9428389635919</v>
      </c>
      <c r="CC110" s="2">
        <v>20.985747542997998</v>
      </c>
      <c r="CD110" s="2">
        <v>23.817707871470098</v>
      </c>
      <c r="CE110" s="2">
        <v>22.274354821473299</v>
      </c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</row>
    <row r="111" spans="1:97">
      <c r="A111" s="2" t="s">
        <v>1294</v>
      </c>
      <c r="B111" s="2">
        <v>165.04</v>
      </c>
      <c r="C111" s="2">
        <v>0.71699999999999997</v>
      </c>
      <c r="D111" s="2" t="s">
        <v>146</v>
      </c>
      <c r="E111" s="2" t="s">
        <v>1295</v>
      </c>
      <c r="F111" s="2" t="s">
        <v>1296</v>
      </c>
      <c r="G111" s="2">
        <v>254858</v>
      </c>
      <c r="H111" s="3" t="str">
        <f>HYPERLINK("https://cloud.oebiotech.com/#/lm/network/254858", "https://cloud.oebiotech.com/#/lm/network/254858")</f>
        <v>https://cloud.oebiotech.com/#/lm/network/254858</v>
      </c>
      <c r="I111" s="2" t="s">
        <v>1297</v>
      </c>
      <c r="J111" s="2"/>
      <c r="K111" s="2"/>
      <c r="L111" s="2">
        <v>50909243</v>
      </c>
      <c r="M111" s="2"/>
      <c r="N111" s="2"/>
      <c r="O111" s="2"/>
      <c r="P111" s="2"/>
      <c r="Q111" s="2"/>
      <c r="R111" s="2"/>
      <c r="S111" s="2" t="s">
        <v>1298</v>
      </c>
      <c r="T111" s="2" t="s">
        <v>1299</v>
      </c>
      <c r="U111" s="2" t="s">
        <v>1300</v>
      </c>
      <c r="V111" s="2" t="s">
        <v>338</v>
      </c>
      <c r="W111" s="2" t="s">
        <v>339</v>
      </c>
      <c r="X111" s="2" t="s">
        <v>663</v>
      </c>
      <c r="Y111" s="2" t="s">
        <v>341</v>
      </c>
      <c r="Z111" s="2" t="s">
        <v>341</v>
      </c>
      <c r="AA111" s="2" t="s">
        <v>664</v>
      </c>
      <c r="AB111" s="2" t="s">
        <v>101</v>
      </c>
      <c r="AC111" s="2">
        <v>72.84</v>
      </c>
      <c r="AD111" s="2">
        <v>96.29</v>
      </c>
      <c r="AE111" s="2">
        <v>90.67</v>
      </c>
      <c r="AF111" s="2" t="s">
        <v>1301</v>
      </c>
      <c r="AG111" s="2" t="s">
        <v>194</v>
      </c>
      <c r="AH111" s="2" t="s">
        <v>1302</v>
      </c>
      <c r="AI111" s="2">
        <v>3.03</v>
      </c>
      <c r="AJ111" s="2">
        <v>22.6360045438825</v>
      </c>
      <c r="AK111" s="2">
        <v>22.822109198530399</v>
      </c>
      <c r="AL111" s="2">
        <v>22.7437906148302</v>
      </c>
      <c r="AM111" s="2">
        <v>22.051751985235502</v>
      </c>
      <c r="AN111" s="2">
        <v>22.1428280687743</v>
      </c>
      <c r="AO111" s="2">
        <v>22.6701336797199</v>
      </c>
      <c r="AP111" s="2">
        <v>22.891968058462702</v>
      </c>
      <c r="AQ111" s="2">
        <v>22.518782854370698</v>
      </c>
      <c r="AR111" s="2">
        <v>22.966708276856799</v>
      </c>
      <c r="AS111" s="2">
        <v>22.171247291955201</v>
      </c>
      <c r="AT111" s="2">
        <v>22.0699943918457</v>
      </c>
      <c r="AU111" s="2">
        <v>22.511861731840501</v>
      </c>
      <c r="AV111" s="2">
        <v>22.766201595571999</v>
      </c>
      <c r="AW111" s="2">
        <v>22.386438258300402</v>
      </c>
      <c r="AX111" s="2">
        <v>22.4953283758068</v>
      </c>
      <c r="AY111" s="2">
        <v>22.548422209832001</v>
      </c>
      <c r="AZ111" s="2">
        <v>22.878608464304602</v>
      </c>
      <c r="BA111" s="2">
        <v>22.112071632897599</v>
      </c>
      <c r="BB111" s="2">
        <v>22.648234999689802</v>
      </c>
      <c r="BC111" s="2">
        <v>21.053395286267499</v>
      </c>
      <c r="BD111" s="2">
        <v>21.836569817547598</v>
      </c>
      <c r="BE111" s="2">
        <v>21.570734770029301</v>
      </c>
      <c r="BF111" s="2">
        <v>22.165919573220599</v>
      </c>
      <c r="BG111" s="2">
        <v>22.623606914950301</v>
      </c>
      <c r="BH111" s="2">
        <v>22.540920080632901</v>
      </c>
      <c r="BI111" s="2">
        <v>22.310916000523001</v>
      </c>
      <c r="BJ111" s="2">
        <v>23.004457327999599</v>
      </c>
      <c r="BK111" s="2">
        <v>21.8786695876259</v>
      </c>
      <c r="BL111" s="2">
        <v>22.623423541889601</v>
      </c>
      <c r="BM111" s="2">
        <v>22.260546565217599</v>
      </c>
      <c r="BN111" s="2">
        <v>22.739612386885199</v>
      </c>
      <c r="BO111" s="2">
        <v>23.078340821585201</v>
      </c>
      <c r="BP111" s="2">
        <v>22.889244390524599</v>
      </c>
      <c r="BQ111" s="2">
        <v>22.407852163256099</v>
      </c>
      <c r="BR111" s="2">
        <v>22.146460929853099</v>
      </c>
      <c r="BS111" s="2">
        <v>22.8349454241453</v>
      </c>
      <c r="BT111" s="2">
        <v>22.576827648246699</v>
      </c>
      <c r="BU111" s="2">
        <v>22.130907002520701</v>
      </c>
      <c r="BV111" s="2">
        <v>21.829827553638001</v>
      </c>
      <c r="BW111" s="2">
        <v>22.033162580231899</v>
      </c>
      <c r="BX111" s="2">
        <v>22.692272274696201</v>
      </c>
      <c r="BY111" s="2">
        <v>21.138442449803399</v>
      </c>
      <c r="BZ111" s="2">
        <v>21.365588090762198</v>
      </c>
      <c r="CA111" s="2">
        <v>21.614039548549499</v>
      </c>
      <c r="CB111" s="2">
        <v>22.184315727329501</v>
      </c>
      <c r="CC111" s="2">
        <v>22.048711339705299</v>
      </c>
      <c r="CD111" s="2">
        <v>22.6580177833645</v>
      </c>
      <c r="CE111" s="2">
        <v>22.4524940351452</v>
      </c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</row>
    <row r="112" spans="1:97">
      <c r="A112" s="2" t="s">
        <v>1303</v>
      </c>
      <c r="B112" s="2">
        <v>504.30842000000001</v>
      </c>
      <c r="C112" s="2">
        <v>10.375</v>
      </c>
      <c r="D112" s="2" t="s">
        <v>146</v>
      </c>
      <c r="E112" s="2" t="s">
        <v>1304</v>
      </c>
      <c r="F112" s="2" t="s">
        <v>1305</v>
      </c>
      <c r="G112" s="2">
        <v>19877</v>
      </c>
      <c r="H112" s="3" t="str">
        <f>HYPERLINK("https://cloud.oebiotech.com/#/lm/network/19877", "https://cloud.oebiotech.com/#/lm/network/19877")</f>
        <v>https://cloud.oebiotech.com/#/lm/network/19877</v>
      </c>
      <c r="I112" s="2"/>
      <c r="J112" s="2">
        <v>76569</v>
      </c>
      <c r="K112" s="2" t="s">
        <v>1306</v>
      </c>
      <c r="L112" s="2">
        <v>52924043</v>
      </c>
      <c r="M112" s="2"/>
      <c r="N112" s="2"/>
      <c r="O112" s="2"/>
      <c r="P112" s="2">
        <v>133731</v>
      </c>
      <c r="Q112" s="2"/>
      <c r="R112" s="2"/>
      <c r="S112" s="2"/>
      <c r="T112" s="2" t="s">
        <v>1307</v>
      </c>
      <c r="U112" s="2" t="s">
        <v>1308</v>
      </c>
      <c r="V112" s="2" t="s">
        <v>95</v>
      </c>
      <c r="W112" s="2" t="s">
        <v>202</v>
      </c>
      <c r="X112" s="2" t="s">
        <v>203</v>
      </c>
      <c r="Y112" s="2" t="s">
        <v>98</v>
      </c>
      <c r="Z112" s="2" t="s">
        <v>204</v>
      </c>
      <c r="AA112" s="2" t="s">
        <v>205</v>
      </c>
      <c r="AB112" s="2" t="s">
        <v>101</v>
      </c>
      <c r="AC112" s="2">
        <v>72.84</v>
      </c>
      <c r="AD112" s="2">
        <v>98.14</v>
      </c>
      <c r="AE112" s="2">
        <v>91.79</v>
      </c>
      <c r="AF112" s="2" t="s">
        <v>1309</v>
      </c>
      <c r="AG112" s="2" t="s">
        <v>194</v>
      </c>
      <c r="AH112" s="2" t="s">
        <v>1310</v>
      </c>
      <c r="AI112" s="2">
        <v>2.38</v>
      </c>
      <c r="AJ112" s="2">
        <v>22.685872673009499</v>
      </c>
      <c r="AK112" s="2">
        <v>22.714735083939999</v>
      </c>
      <c r="AL112" s="2">
        <v>22.587264677781</v>
      </c>
      <c r="AM112" s="2">
        <v>22.6616496794312</v>
      </c>
      <c r="AN112" s="2">
        <v>22.612242605669</v>
      </c>
      <c r="AO112" s="2">
        <v>22.651939902598802</v>
      </c>
      <c r="AP112" s="2">
        <v>22.622454948290201</v>
      </c>
      <c r="AQ112" s="2">
        <v>22.7153380440019</v>
      </c>
      <c r="AR112" s="2">
        <v>22.911577807834401</v>
      </c>
      <c r="AS112" s="2">
        <v>21.543272462138201</v>
      </c>
      <c r="AT112" s="2">
        <v>21.775134674600999</v>
      </c>
      <c r="AU112" s="2">
        <v>22.523057529806302</v>
      </c>
      <c r="AV112" s="2">
        <v>22.866777868049301</v>
      </c>
      <c r="AW112" s="2">
        <v>22.5457540439557</v>
      </c>
      <c r="AX112" s="2">
        <v>22.8204994357564</v>
      </c>
      <c r="AY112" s="2">
        <v>22.5857788593846</v>
      </c>
      <c r="AZ112" s="2">
        <v>22.408319635451601</v>
      </c>
      <c r="BA112" s="2">
        <v>21.516881919668101</v>
      </c>
      <c r="BB112" s="2">
        <v>22.275320624493201</v>
      </c>
      <c r="BC112" s="2">
        <v>22.8704296267864</v>
      </c>
      <c r="BD112" s="2">
        <v>22.324771301588299</v>
      </c>
      <c r="BE112" s="2">
        <v>23.046339830433499</v>
      </c>
      <c r="BF112" s="2">
        <v>22.499437019890799</v>
      </c>
      <c r="BG112" s="2">
        <v>22.497625833038001</v>
      </c>
      <c r="BH112" s="2">
        <v>22.893245535608202</v>
      </c>
      <c r="BI112" s="2">
        <v>22.416175011762999</v>
      </c>
      <c r="BJ112" s="2">
        <v>22.471580297775098</v>
      </c>
      <c r="BK112" s="2">
        <v>21.911739930927599</v>
      </c>
      <c r="BL112" s="2">
        <v>22.639403104428801</v>
      </c>
      <c r="BM112" s="2">
        <v>22.975626714964498</v>
      </c>
      <c r="BN112" s="2">
        <v>22.876708208336201</v>
      </c>
      <c r="BO112" s="2">
        <v>22.341923042416099</v>
      </c>
      <c r="BP112" s="2">
        <v>22.466280099927701</v>
      </c>
      <c r="BQ112" s="2">
        <v>22.385303101444499</v>
      </c>
      <c r="BR112" s="2">
        <v>22.865724433224301</v>
      </c>
      <c r="BS112" s="2">
        <v>23.026408228393802</v>
      </c>
      <c r="BT112" s="2">
        <v>22.569054241812101</v>
      </c>
      <c r="BU112" s="2">
        <v>21.988887362241499</v>
      </c>
      <c r="BV112" s="2">
        <v>22.353800584883</v>
      </c>
      <c r="BW112" s="2">
        <v>21.938891284265001</v>
      </c>
      <c r="BX112" s="2">
        <v>22.785002994764199</v>
      </c>
      <c r="BY112" s="2">
        <v>23.350743432394399</v>
      </c>
      <c r="BZ112" s="2">
        <v>22.4704414937205</v>
      </c>
      <c r="CA112" s="2">
        <v>22.755620543931499</v>
      </c>
      <c r="CB112" s="2">
        <v>22.551587349427699</v>
      </c>
      <c r="CC112" s="2">
        <v>22.191150849203499</v>
      </c>
      <c r="CD112" s="2">
        <v>22.654043575636901</v>
      </c>
      <c r="CE112" s="2">
        <v>21.464818233065401</v>
      </c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</row>
    <row r="113" spans="1:97">
      <c r="A113" s="2" t="s">
        <v>1311</v>
      </c>
      <c r="B113" s="2">
        <v>546.35449000000006</v>
      </c>
      <c r="C113" s="2">
        <v>10.685</v>
      </c>
      <c r="D113" s="2" t="s">
        <v>84</v>
      </c>
      <c r="E113" s="2" t="s">
        <v>1312</v>
      </c>
      <c r="F113" s="2" t="s">
        <v>1313</v>
      </c>
      <c r="G113" s="2">
        <v>19883</v>
      </c>
      <c r="H113" s="3" t="str">
        <f>HYPERLINK("https://cloud.oebiotech.com/#/lm/network/19883", "https://cloud.oebiotech.com/#/lm/network/19883")</f>
        <v>https://cloud.oebiotech.com/#/lm/network/19883</v>
      </c>
      <c r="I113" s="2" t="s">
        <v>1314</v>
      </c>
      <c r="J113" s="2">
        <v>76575</v>
      </c>
      <c r="K113" s="2" t="s">
        <v>1315</v>
      </c>
      <c r="L113" s="2">
        <v>52924055</v>
      </c>
      <c r="M113" s="2"/>
      <c r="N113" s="2"/>
      <c r="O113" s="2"/>
      <c r="P113" s="2">
        <v>86256</v>
      </c>
      <c r="Q113" s="2"/>
      <c r="R113" s="2"/>
      <c r="S113" s="2" t="s">
        <v>1316</v>
      </c>
      <c r="T113" s="2" t="s">
        <v>1317</v>
      </c>
      <c r="U113" s="2" t="s">
        <v>1318</v>
      </c>
      <c r="V113" s="2" t="s">
        <v>95</v>
      </c>
      <c r="W113" s="2" t="s">
        <v>202</v>
      </c>
      <c r="X113" s="2" t="s">
        <v>203</v>
      </c>
      <c r="Y113" s="2" t="s">
        <v>98</v>
      </c>
      <c r="Z113" s="2" t="s">
        <v>204</v>
      </c>
      <c r="AA113" s="2" t="s">
        <v>205</v>
      </c>
      <c r="AB113" s="2" t="s">
        <v>101</v>
      </c>
      <c r="AC113" s="2">
        <v>72.83</v>
      </c>
      <c r="AD113" s="2">
        <v>98.92</v>
      </c>
      <c r="AE113" s="2">
        <v>94.99</v>
      </c>
      <c r="AF113" s="2" t="s">
        <v>1319</v>
      </c>
      <c r="AG113" s="2" t="s">
        <v>103</v>
      </c>
      <c r="AH113" s="2" t="s">
        <v>1320</v>
      </c>
      <c r="AI113" s="2">
        <v>1.65</v>
      </c>
      <c r="AJ113" s="2">
        <v>27.3024178175618</v>
      </c>
      <c r="AK113" s="2">
        <v>27.369117214253802</v>
      </c>
      <c r="AL113" s="2">
        <v>27.422500520400401</v>
      </c>
      <c r="AM113" s="2">
        <v>27.526099418581701</v>
      </c>
      <c r="AN113" s="2">
        <v>27.4759406146031</v>
      </c>
      <c r="AO113" s="2">
        <v>27.762454288545602</v>
      </c>
      <c r="AP113" s="2">
        <v>27.569426268079901</v>
      </c>
      <c r="AQ113" s="2">
        <v>27.632366166765401</v>
      </c>
      <c r="AR113" s="2">
        <v>28.177088841671999</v>
      </c>
      <c r="AS113" s="2">
        <v>25.2771296706734</v>
      </c>
      <c r="AT113" s="2">
        <v>27.453761240079</v>
      </c>
      <c r="AU113" s="2">
        <v>27.132626949053101</v>
      </c>
      <c r="AV113" s="2">
        <v>27.2479750279374</v>
      </c>
      <c r="AW113" s="2">
        <v>27.656317199740801</v>
      </c>
      <c r="AX113" s="2">
        <v>27.5777216439649</v>
      </c>
      <c r="AY113" s="2">
        <v>26.874899456297801</v>
      </c>
      <c r="AZ113" s="2">
        <v>27.3260424216476</v>
      </c>
      <c r="BA113" s="2">
        <v>26.400645593545999</v>
      </c>
      <c r="BB113" s="2">
        <v>27.078042789753201</v>
      </c>
      <c r="BC113" s="2">
        <v>26.9413186135057</v>
      </c>
      <c r="BD113" s="2">
        <v>27.304005090939899</v>
      </c>
      <c r="BE113" s="2">
        <v>26.513586260867601</v>
      </c>
      <c r="BF113" s="2">
        <v>26.831238184246899</v>
      </c>
      <c r="BG113" s="2">
        <v>28.054204534154401</v>
      </c>
      <c r="BH113" s="2">
        <v>27.0353199742014</v>
      </c>
      <c r="BI113" s="2">
        <v>28.729388017549901</v>
      </c>
      <c r="BJ113" s="2">
        <v>27.177162535782799</v>
      </c>
      <c r="BK113" s="2">
        <v>27.286422581593101</v>
      </c>
      <c r="BL113" s="2">
        <v>27.954118506777402</v>
      </c>
      <c r="BM113" s="2">
        <v>26.5696853666004</v>
      </c>
      <c r="BN113" s="2">
        <v>27.745777266031102</v>
      </c>
      <c r="BO113" s="2">
        <v>27.472020490903098</v>
      </c>
      <c r="BP113" s="2">
        <v>27.388092303233201</v>
      </c>
      <c r="BQ113" s="2">
        <v>27.3141557629814</v>
      </c>
      <c r="BR113" s="2">
        <v>27.5562171540214</v>
      </c>
      <c r="BS113" s="2">
        <v>27.894610516034401</v>
      </c>
      <c r="BT113" s="2">
        <v>26.540673138990599</v>
      </c>
      <c r="BU113" s="2">
        <v>26.330454395842899</v>
      </c>
      <c r="BV113" s="2">
        <v>27.179039831692801</v>
      </c>
      <c r="BW113" s="2">
        <v>26.151419427920501</v>
      </c>
      <c r="BX113" s="2">
        <v>27.683560028741599</v>
      </c>
      <c r="BY113" s="2">
        <v>27.570287696917202</v>
      </c>
      <c r="BZ113" s="2">
        <v>26.9706772563733</v>
      </c>
      <c r="CA113" s="2">
        <v>27.6092669210684</v>
      </c>
      <c r="CB113" s="2">
        <v>27.8599966705303</v>
      </c>
      <c r="CC113" s="2">
        <v>27.813856125520999</v>
      </c>
      <c r="CD113" s="2">
        <v>27.972657440619699</v>
      </c>
      <c r="CE113" s="2">
        <v>27.2557788797175</v>
      </c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</row>
    <row r="114" spans="1:97">
      <c r="A114" s="2" t="s">
        <v>1321</v>
      </c>
      <c r="B114" s="2">
        <v>195.10221000000001</v>
      </c>
      <c r="C114" s="2">
        <v>7.4059999999999997</v>
      </c>
      <c r="D114" s="2" t="s">
        <v>146</v>
      </c>
      <c r="E114" s="2" t="s">
        <v>1322</v>
      </c>
      <c r="F114" s="2" t="s">
        <v>1323</v>
      </c>
      <c r="G114" s="2">
        <v>2249</v>
      </c>
      <c r="H114" s="3" t="str">
        <f>HYPERLINK("https://cloud.oebiotech.com/#/lm/network/2249", "https://cloud.oebiotech.com/#/lm/network/2249")</f>
        <v>https://cloud.oebiotech.com/#/lm/network/2249</v>
      </c>
      <c r="I114" s="2"/>
      <c r="J114" s="2"/>
      <c r="K114" s="2" t="s">
        <v>1324</v>
      </c>
      <c r="L114" s="2">
        <v>137323805</v>
      </c>
      <c r="M114" s="2"/>
      <c r="N114" s="2"/>
      <c r="O114" s="2"/>
      <c r="P114" s="2"/>
      <c r="Q114" s="2"/>
      <c r="R114" s="2"/>
      <c r="S114" s="2"/>
      <c r="T114" s="2" t="s">
        <v>1325</v>
      </c>
      <c r="U114" s="2" t="s">
        <v>1326</v>
      </c>
      <c r="V114" s="2" t="s">
        <v>95</v>
      </c>
      <c r="W114" s="2" t="s">
        <v>96</v>
      </c>
      <c r="X114" s="2" t="s">
        <v>141</v>
      </c>
      <c r="Y114" s="2" t="s">
        <v>98</v>
      </c>
      <c r="Z114" s="2" t="s">
        <v>99</v>
      </c>
      <c r="AA114" s="2" t="s">
        <v>142</v>
      </c>
      <c r="AB114" s="2" t="s">
        <v>101</v>
      </c>
      <c r="AC114" s="2">
        <v>72.790000000000006</v>
      </c>
      <c r="AD114" s="2">
        <v>98.73</v>
      </c>
      <c r="AE114" s="2">
        <v>88.86</v>
      </c>
      <c r="AF114" s="2" t="s">
        <v>1327</v>
      </c>
      <c r="AG114" s="2" t="s">
        <v>194</v>
      </c>
      <c r="AH114" s="2" t="s">
        <v>1328</v>
      </c>
      <c r="AI114" s="2">
        <v>2.56</v>
      </c>
      <c r="AJ114" s="2">
        <v>23.147211026667499</v>
      </c>
      <c r="AK114" s="2">
        <v>23.005742575911899</v>
      </c>
      <c r="AL114" s="2">
        <v>22.878075511805999</v>
      </c>
      <c r="AM114" s="2">
        <v>23.212169002689102</v>
      </c>
      <c r="AN114" s="2">
        <v>23.025337383718998</v>
      </c>
      <c r="AO114" s="2">
        <v>23.2494851363458</v>
      </c>
      <c r="AP114" s="2">
        <v>23.1493913081536</v>
      </c>
      <c r="AQ114" s="2">
        <v>23.0935318292101</v>
      </c>
      <c r="AR114" s="2">
        <v>23.021103375202401</v>
      </c>
      <c r="AS114" s="2">
        <v>21.907692943484399</v>
      </c>
      <c r="AT114" s="2">
        <v>23.3383996857958</v>
      </c>
      <c r="AU114" s="2">
        <v>23.140596963585701</v>
      </c>
      <c r="AV114" s="2">
        <v>22.138387565738899</v>
      </c>
      <c r="AW114" s="2">
        <v>23.830608788978299</v>
      </c>
      <c r="AX114" s="2">
        <v>21.567868899375799</v>
      </c>
      <c r="AY114" s="2">
        <v>22.2443323527133</v>
      </c>
      <c r="AZ114" s="2">
        <v>21.428896128155198</v>
      </c>
      <c r="BA114" s="2">
        <v>23.707307463025</v>
      </c>
      <c r="BB114" s="2">
        <v>23.140488421271801</v>
      </c>
      <c r="BC114" s="2">
        <v>23.522292577377598</v>
      </c>
      <c r="BD114" s="2">
        <v>23.601266834738801</v>
      </c>
      <c r="BE114" s="2">
        <v>22.1984797744689</v>
      </c>
      <c r="BF114" s="2">
        <v>22.487770809557301</v>
      </c>
      <c r="BG114" s="2">
        <v>22.587899879716101</v>
      </c>
      <c r="BH114" s="2">
        <v>22.7453817133818</v>
      </c>
      <c r="BI114" s="2">
        <v>22.1522462120559</v>
      </c>
      <c r="BJ114" s="2">
        <v>25.2863029637181</v>
      </c>
      <c r="BK114" s="2">
        <v>23.727495915559199</v>
      </c>
      <c r="BL114" s="2">
        <v>22.888997419709899</v>
      </c>
      <c r="BM114" s="2">
        <v>22.797640922787998</v>
      </c>
      <c r="BN114" s="2">
        <v>23.884088468041899</v>
      </c>
      <c r="BO114" s="2">
        <v>23.648100204394101</v>
      </c>
      <c r="BP114" s="2">
        <v>19.947370459895701</v>
      </c>
      <c r="BQ114" s="2">
        <v>23.171598377248301</v>
      </c>
      <c r="BR114" s="2">
        <v>22.193044591203002</v>
      </c>
      <c r="BS114" s="2">
        <v>22.4483469926328</v>
      </c>
      <c r="BT114" s="2">
        <v>25.257590239440301</v>
      </c>
      <c r="BU114" s="2">
        <v>23.537612249430701</v>
      </c>
      <c r="BV114" s="2">
        <v>22.894105428768398</v>
      </c>
      <c r="BW114" s="2">
        <v>21.415378326910702</v>
      </c>
      <c r="BX114" s="2">
        <v>23.157054174056501</v>
      </c>
      <c r="BY114" s="2">
        <v>22.490506464858701</v>
      </c>
      <c r="BZ114" s="2">
        <v>21.1168397960958</v>
      </c>
      <c r="CA114" s="2">
        <v>22.508950916149399</v>
      </c>
      <c r="CB114" s="2">
        <v>21.122649529610801</v>
      </c>
      <c r="CC114" s="2">
        <v>23.173530963503001</v>
      </c>
      <c r="CD114" s="2">
        <v>23.4598152427861</v>
      </c>
      <c r="CE114" s="2">
        <v>23.596392270974999</v>
      </c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</row>
    <row r="115" spans="1:97">
      <c r="A115" s="2" t="s">
        <v>1329</v>
      </c>
      <c r="B115" s="2">
        <v>117.05540999999999</v>
      </c>
      <c r="C115" s="2">
        <v>3.5329999999999999</v>
      </c>
      <c r="D115" s="2" t="s">
        <v>146</v>
      </c>
      <c r="E115" s="2" t="s">
        <v>1330</v>
      </c>
      <c r="F115" s="2" t="s">
        <v>1331</v>
      </c>
      <c r="G115" s="2">
        <v>1944</v>
      </c>
      <c r="H115" s="3" t="str">
        <f>HYPERLINK("https://cloud.oebiotech.com/#/lm/network/1944", "https://cloud.oebiotech.com/#/lm/network/1944")</f>
        <v>https://cloud.oebiotech.com/#/lm/network/1944</v>
      </c>
      <c r="I115" s="2" t="s">
        <v>1332</v>
      </c>
      <c r="J115" s="2">
        <v>5396</v>
      </c>
      <c r="K115" s="2" t="s">
        <v>1333</v>
      </c>
      <c r="L115" s="2">
        <v>99823</v>
      </c>
      <c r="M115" s="2"/>
      <c r="N115" s="2"/>
      <c r="O115" s="2"/>
      <c r="P115" s="2">
        <v>60645</v>
      </c>
      <c r="Q115" s="2"/>
      <c r="R115" s="2"/>
      <c r="S115" s="2" t="s">
        <v>1334</v>
      </c>
      <c r="T115" s="2" t="s">
        <v>1335</v>
      </c>
      <c r="U115" s="2" t="s">
        <v>1336</v>
      </c>
      <c r="V115" s="2" t="s">
        <v>95</v>
      </c>
      <c r="W115" s="2" t="s">
        <v>96</v>
      </c>
      <c r="X115" s="2" t="s">
        <v>141</v>
      </c>
      <c r="Y115" s="2" t="s">
        <v>98</v>
      </c>
      <c r="Z115" s="2" t="s">
        <v>99</v>
      </c>
      <c r="AA115" s="2" t="s">
        <v>142</v>
      </c>
      <c r="AB115" s="2" t="s">
        <v>101</v>
      </c>
      <c r="AC115" s="2">
        <v>72.77</v>
      </c>
      <c r="AD115" s="2">
        <v>99.61</v>
      </c>
      <c r="AE115" s="2">
        <v>92.43</v>
      </c>
      <c r="AF115" s="2" t="s">
        <v>1337</v>
      </c>
      <c r="AG115" s="2" t="s">
        <v>194</v>
      </c>
      <c r="AH115" s="2" t="s">
        <v>1338</v>
      </c>
      <c r="AI115" s="2">
        <v>2.65</v>
      </c>
      <c r="AJ115" s="2">
        <v>26.3233447037167</v>
      </c>
      <c r="AK115" s="2">
        <v>26.262476933003899</v>
      </c>
      <c r="AL115" s="2">
        <v>26.247347143371101</v>
      </c>
      <c r="AM115" s="2">
        <v>26.269410880621201</v>
      </c>
      <c r="AN115" s="2">
        <v>26.157197256067199</v>
      </c>
      <c r="AO115" s="2">
        <v>26.189073042501601</v>
      </c>
      <c r="AP115" s="2">
        <v>26.2893337667</v>
      </c>
      <c r="AQ115" s="2">
        <v>26.153287184920099</v>
      </c>
      <c r="AR115" s="2">
        <v>26.278960024623899</v>
      </c>
      <c r="AS115" s="2">
        <v>25.3012069070137</v>
      </c>
      <c r="AT115" s="2">
        <v>25.828757011191101</v>
      </c>
      <c r="AU115" s="2">
        <v>25.327644134901099</v>
      </c>
      <c r="AV115" s="2">
        <v>26.118274007918899</v>
      </c>
      <c r="AW115" s="2">
        <v>26.091006741810201</v>
      </c>
      <c r="AX115" s="2">
        <v>26.206113531853202</v>
      </c>
      <c r="AY115" s="2">
        <v>25.560986956122498</v>
      </c>
      <c r="AZ115" s="2">
        <v>25.760077957447201</v>
      </c>
      <c r="BA115" s="2">
        <v>25.090752072589201</v>
      </c>
      <c r="BB115" s="2">
        <v>25.7088559840332</v>
      </c>
      <c r="BC115" s="2">
        <v>25.849744888536801</v>
      </c>
      <c r="BD115" s="2">
        <v>26.2769116142961</v>
      </c>
      <c r="BE115" s="2">
        <v>25.7481908924096</v>
      </c>
      <c r="BF115" s="2">
        <v>25.660755351288</v>
      </c>
      <c r="BG115" s="2">
        <v>28.332917282618801</v>
      </c>
      <c r="BH115" s="2">
        <v>25.5411587298059</v>
      </c>
      <c r="BI115" s="2">
        <v>27.0188486038031</v>
      </c>
      <c r="BJ115" s="2">
        <v>26.375532153496501</v>
      </c>
      <c r="BK115" s="2">
        <v>25.8920287085217</v>
      </c>
      <c r="BL115" s="2">
        <v>26.1003351562963</v>
      </c>
      <c r="BM115" s="2">
        <v>25.585539961352701</v>
      </c>
      <c r="BN115" s="2">
        <v>25.940314094556499</v>
      </c>
      <c r="BO115" s="2">
        <v>25.499885704413099</v>
      </c>
      <c r="BP115" s="2">
        <v>25.989146374011799</v>
      </c>
      <c r="BQ115" s="2">
        <v>26.0203321313594</v>
      </c>
      <c r="BR115" s="2">
        <v>26.374794678197301</v>
      </c>
      <c r="BS115" s="2">
        <v>25.5734619894553</v>
      </c>
      <c r="BT115" s="2">
        <v>25.210441397945701</v>
      </c>
      <c r="BU115" s="2">
        <v>25.568242211087501</v>
      </c>
      <c r="BV115" s="2">
        <v>26.183294065437099</v>
      </c>
      <c r="BW115" s="2">
        <v>25.1046186134156</v>
      </c>
      <c r="BX115" s="2">
        <v>26.161735744710601</v>
      </c>
      <c r="BY115" s="2">
        <v>26.367937657207399</v>
      </c>
      <c r="BZ115" s="2">
        <v>25.450623202138299</v>
      </c>
      <c r="CA115" s="2">
        <v>27.3071999086084</v>
      </c>
      <c r="CB115" s="2">
        <v>25.729661653079699</v>
      </c>
      <c r="CC115" s="2">
        <v>26.610507800736901</v>
      </c>
      <c r="CD115" s="2">
        <v>26.5807138004409</v>
      </c>
      <c r="CE115" s="2">
        <v>26.276953899482798</v>
      </c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</row>
    <row r="116" spans="1:97">
      <c r="A116" s="2" t="s">
        <v>1339</v>
      </c>
      <c r="B116" s="2">
        <v>496.33882999999997</v>
      </c>
      <c r="C116" s="2">
        <v>10.506</v>
      </c>
      <c r="D116" s="2" t="s">
        <v>84</v>
      </c>
      <c r="E116" s="2" t="s">
        <v>1340</v>
      </c>
      <c r="F116" s="2" t="s">
        <v>1341</v>
      </c>
      <c r="G116" s="2">
        <v>19859</v>
      </c>
      <c r="H116" s="3" t="str">
        <f>HYPERLINK("https://cloud.oebiotech.com/#/lm/network/19859", "https://cloud.oebiotech.com/#/lm/network/19859")</f>
        <v>https://cloud.oebiotech.com/#/lm/network/19859</v>
      </c>
      <c r="I116" s="2" t="s">
        <v>1342</v>
      </c>
      <c r="J116" s="2">
        <v>40340</v>
      </c>
      <c r="K116" s="2" t="s">
        <v>1343</v>
      </c>
      <c r="L116" s="2">
        <v>15061532</v>
      </c>
      <c r="M116" s="2"/>
      <c r="N116" s="2"/>
      <c r="O116" s="2"/>
      <c r="P116" s="2">
        <v>76078</v>
      </c>
      <c r="Q116" s="2"/>
      <c r="R116" s="2"/>
      <c r="S116" s="2" t="s">
        <v>1344</v>
      </c>
      <c r="T116" s="2" t="s">
        <v>1345</v>
      </c>
      <c r="U116" s="2" t="s">
        <v>1346</v>
      </c>
      <c r="V116" s="2" t="s">
        <v>95</v>
      </c>
      <c r="W116" s="2" t="s">
        <v>202</v>
      </c>
      <c r="X116" s="2" t="s">
        <v>203</v>
      </c>
      <c r="Y116" s="2" t="s">
        <v>98</v>
      </c>
      <c r="Z116" s="2" t="s">
        <v>204</v>
      </c>
      <c r="AA116" s="2" t="s">
        <v>205</v>
      </c>
      <c r="AB116" s="2" t="s">
        <v>101</v>
      </c>
      <c r="AC116" s="2">
        <v>72.760000000000005</v>
      </c>
      <c r="AD116" s="2">
        <v>99.25</v>
      </c>
      <c r="AE116" s="2">
        <v>98.2</v>
      </c>
      <c r="AF116" s="2" t="s">
        <v>1347</v>
      </c>
      <c r="AG116" s="2" t="s">
        <v>103</v>
      </c>
      <c r="AH116" s="2" t="s">
        <v>1348</v>
      </c>
      <c r="AI116" s="2">
        <v>2.0099999999999998</v>
      </c>
      <c r="AJ116" s="2">
        <v>29.642874781700002</v>
      </c>
      <c r="AK116" s="2">
        <v>29.682281448682598</v>
      </c>
      <c r="AL116" s="2">
        <v>29.580755775314898</v>
      </c>
      <c r="AM116" s="2">
        <v>29.562122930549499</v>
      </c>
      <c r="AN116" s="2">
        <v>29.456321109305499</v>
      </c>
      <c r="AO116" s="2">
        <v>29.580351283402798</v>
      </c>
      <c r="AP116" s="2">
        <v>29.545745517522199</v>
      </c>
      <c r="AQ116" s="2">
        <v>29.714586811277101</v>
      </c>
      <c r="AR116" s="2">
        <v>29.863146796830101</v>
      </c>
      <c r="AS116" s="2">
        <v>28.863036522959799</v>
      </c>
      <c r="AT116" s="2">
        <v>29.3023575178687</v>
      </c>
      <c r="AU116" s="2">
        <v>29.510328480488202</v>
      </c>
      <c r="AV116" s="2">
        <v>29.2379445980337</v>
      </c>
      <c r="AW116" s="2">
        <v>29.369815913987299</v>
      </c>
      <c r="AX116" s="2">
        <v>29.412328231665199</v>
      </c>
      <c r="AY116" s="2">
        <v>29.221776283141701</v>
      </c>
      <c r="AZ116" s="2">
        <v>29.6885833134629</v>
      </c>
      <c r="BA116" s="2">
        <v>28.4739406097477</v>
      </c>
      <c r="BB116" s="2">
        <v>29.4743543298184</v>
      </c>
      <c r="BC116" s="2">
        <v>30.009329405927701</v>
      </c>
      <c r="BD116" s="2">
        <v>29.241015622743301</v>
      </c>
      <c r="BE116" s="2">
        <v>30.0512678473977</v>
      </c>
      <c r="BF116" s="2">
        <v>29.621052608015599</v>
      </c>
      <c r="BG116" s="2">
        <v>29.821822889085102</v>
      </c>
      <c r="BH116" s="2">
        <v>29.408593462087602</v>
      </c>
      <c r="BI116" s="2">
        <v>29.7384117145915</v>
      </c>
      <c r="BJ116" s="2">
        <v>29.594743185811598</v>
      </c>
      <c r="BK116" s="2">
        <v>29.3062961483812</v>
      </c>
      <c r="BL116" s="2">
        <v>29.534937702249401</v>
      </c>
      <c r="BM116" s="2">
        <v>29.333200489882799</v>
      </c>
      <c r="BN116" s="2">
        <v>29.423262257299498</v>
      </c>
      <c r="BO116" s="2">
        <v>29.697079283558999</v>
      </c>
      <c r="BP116" s="2">
        <v>29.641015185603599</v>
      </c>
      <c r="BQ116" s="2">
        <v>29.482879002354</v>
      </c>
      <c r="BR116" s="2">
        <v>29.039849830757898</v>
      </c>
      <c r="BS116" s="2">
        <v>29.8423253706423</v>
      </c>
      <c r="BT116" s="2">
        <v>29.4862894108166</v>
      </c>
      <c r="BU116" s="2">
        <v>29.333137646878502</v>
      </c>
      <c r="BV116" s="2">
        <v>29.660236717547299</v>
      </c>
      <c r="BW116" s="2">
        <v>29.0968779724559</v>
      </c>
      <c r="BX116" s="2">
        <v>29.056622138523299</v>
      </c>
      <c r="BY116" s="2">
        <v>30.2680868939688</v>
      </c>
      <c r="BZ116" s="2">
        <v>29.282944369318098</v>
      </c>
      <c r="CA116" s="2">
        <v>29.791779994694402</v>
      </c>
      <c r="CB116" s="2">
        <v>29.361067803916999</v>
      </c>
      <c r="CC116" s="2">
        <v>29.4671956299306</v>
      </c>
      <c r="CD116" s="2">
        <v>29.9205081879877</v>
      </c>
      <c r="CE116" s="2">
        <v>28.9034410571726</v>
      </c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</row>
    <row r="117" spans="1:97">
      <c r="A117" s="2" t="s">
        <v>1349</v>
      </c>
      <c r="B117" s="2">
        <v>614.34559999999999</v>
      </c>
      <c r="C117" s="2">
        <v>10.558999999999999</v>
      </c>
      <c r="D117" s="2" t="s">
        <v>146</v>
      </c>
      <c r="E117" s="2" t="s">
        <v>1350</v>
      </c>
      <c r="F117" s="2" t="s">
        <v>1351</v>
      </c>
      <c r="G117" s="2">
        <v>19892</v>
      </c>
      <c r="H117" s="3" t="str">
        <f>HYPERLINK("https://cloud.oebiotech.com/#/lm/network/19892", "https://cloud.oebiotech.com/#/lm/network/19892")</f>
        <v>https://cloud.oebiotech.com/#/lm/network/19892</v>
      </c>
      <c r="I117" s="2" t="s">
        <v>1352</v>
      </c>
      <c r="J117" s="2">
        <v>61712</v>
      </c>
      <c r="K117" s="2" t="s">
        <v>1353</v>
      </c>
      <c r="L117" s="2">
        <v>53480475</v>
      </c>
      <c r="M117" s="2" t="s">
        <v>264</v>
      </c>
      <c r="N117" s="2" t="s">
        <v>265</v>
      </c>
      <c r="O117" s="2" t="s">
        <v>266</v>
      </c>
      <c r="P117" s="2">
        <v>133734</v>
      </c>
      <c r="Q117" s="2"/>
      <c r="R117" s="2"/>
      <c r="S117" s="2"/>
      <c r="T117" s="2" t="s">
        <v>1354</v>
      </c>
      <c r="U117" s="2" t="s">
        <v>1355</v>
      </c>
      <c r="V117" s="2" t="s">
        <v>95</v>
      </c>
      <c r="W117" s="2" t="s">
        <v>202</v>
      </c>
      <c r="X117" s="2" t="s">
        <v>203</v>
      </c>
      <c r="Y117" s="2" t="s">
        <v>98</v>
      </c>
      <c r="Z117" s="2" t="s">
        <v>204</v>
      </c>
      <c r="AA117" s="2" t="s">
        <v>205</v>
      </c>
      <c r="AB117" s="2" t="s">
        <v>101</v>
      </c>
      <c r="AC117" s="2">
        <v>72.72</v>
      </c>
      <c r="AD117" s="2">
        <v>97.72</v>
      </c>
      <c r="AE117" s="2">
        <v>87.25</v>
      </c>
      <c r="AF117" s="2" t="s">
        <v>1356</v>
      </c>
      <c r="AG117" s="2" t="s">
        <v>157</v>
      </c>
      <c r="AH117" s="2" t="s">
        <v>1357</v>
      </c>
      <c r="AI117" s="2">
        <v>1.1399999999999999</v>
      </c>
      <c r="AJ117" s="2">
        <v>21.853407880584498</v>
      </c>
      <c r="AK117" s="2">
        <v>21.862410783693299</v>
      </c>
      <c r="AL117" s="2">
        <v>21.766839601532201</v>
      </c>
      <c r="AM117" s="2">
        <v>21.978757091784299</v>
      </c>
      <c r="AN117" s="2">
        <v>21.960977970408099</v>
      </c>
      <c r="AO117" s="2">
        <v>21.9964295803269</v>
      </c>
      <c r="AP117" s="2">
        <v>21.997027711425101</v>
      </c>
      <c r="AQ117" s="2">
        <v>22.085109099553001</v>
      </c>
      <c r="AR117" s="2">
        <v>22.948594568776301</v>
      </c>
      <c r="AS117" s="2">
        <v>20.593854383603599</v>
      </c>
      <c r="AT117" s="2">
        <v>21.350776093712199</v>
      </c>
      <c r="AU117" s="2">
        <v>21.372829412623201</v>
      </c>
      <c r="AV117" s="2">
        <v>21.063855290904399</v>
      </c>
      <c r="AW117" s="2">
        <v>22.1355077580893</v>
      </c>
      <c r="AX117" s="2">
        <v>22.215114424685002</v>
      </c>
      <c r="AY117" s="2">
        <v>21.415002023981302</v>
      </c>
      <c r="AZ117" s="2">
        <v>21.639998466772902</v>
      </c>
      <c r="BA117" s="2">
        <v>21.046853189637801</v>
      </c>
      <c r="BB117" s="2">
        <v>21.098733236210101</v>
      </c>
      <c r="BC117" s="2">
        <v>21.5404576026543</v>
      </c>
      <c r="BD117" s="2">
        <v>21.600896568050299</v>
      </c>
      <c r="BE117" s="2">
        <v>21.5860808761851</v>
      </c>
      <c r="BF117" s="2">
        <v>21.960226762759699</v>
      </c>
      <c r="BG117" s="2">
        <v>22.256794160003299</v>
      </c>
      <c r="BH117" s="2">
        <v>21.858750869629599</v>
      </c>
      <c r="BI117" s="2">
        <v>22.153443284565</v>
      </c>
      <c r="BJ117" s="2">
        <v>22.4507767762315</v>
      </c>
      <c r="BK117" s="2">
        <v>21.781955591510702</v>
      </c>
      <c r="BL117" s="2">
        <v>21.873245266978401</v>
      </c>
      <c r="BM117" s="2">
        <v>21.2090587473932</v>
      </c>
      <c r="BN117" s="2">
        <v>21.833604504900901</v>
      </c>
      <c r="BO117" s="2">
        <v>21.697408074039402</v>
      </c>
      <c r="BP117" s="2">
        <v>21.630573788682899</v>
      </c>
      <c r="BQ117" s="2">
        <v>21.6055190846734</v>
      </c>
      <c r="BR117" s="2">
        <v>21.944866554431702</v>
      </c>
      <c r="BS117" s="2">
        <v>22.701427191314298</v>
      </c>
      <c r="BT117" s="2">
        <v>22.6709719553733</v>
      </c>
      <c r="BU117" s="2">
        <v>21.229799385030599</v>
      </c>
      <c r="BV117" s="2">
        <v>21.5331174527584</v>
      </c>
      <c r="BW117" s="2">
        <v>20.799986617546899</v>
      </c>
      <c r="BX117" s="2">
        <v>21.709180991828202</v>
      </c>
      <c r="BY117" s="2">
        <v>22.3091526771614</v>
      </c>
      <c r="BZ117" s="2">
        <v>21.730728534821299</v>
      </c>
      <c r="CA117" s="2">
        <v>22.208843097906801</v>
      </c>
      <c r="CB117" s="2">
        <v>22.348039323165199</v>
      </c>
      <c r="CC117" s="2">
        <v>21.425860924520101</v>
      </c>
      <c r="CD117" s="2">
        <v>22.332857103423802</v>
      </c>
      <c r="CE117" s="2">
        <v>21.456409174950998</v>
      </c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</row>
    <row r="118" spans="1:97">
      <c r="A118" s="2" t="s">
        <v>1358</v>
      </c>
      <c r="B118" s="2">
        <v>482.32337000000001</v>
      </c>
      <c r="C118" s="2">
        <v>11.523</v>
      </c>
      <c r="D118" s="2" t="s">
        <v>84</v>
      </c>
      <c r="E118" s="2" t="s">
        <v>1359</v>
      </c>
      <c r="F118" s="2" t="s">
        <v>1360</v>
      </c>
      <c r="G118" s="2">
        <v>21163</v>
      </c>
      <c r="H118" s="3" t="str">
        <f>HYPERLINK("https://cloud.oebiotech.com/#/lm/network/21163", "https://cloud.oebiotech.com/#/lm/network/21163")</f>
        <v>https://cloud.oebiotech.com/#/lm/network/21163</v>
      </c>
      <c r="I118" s="2" t="s">
        <v>1361</v>
      </c>
      <c r="J118" s="2">
        <v>40775</v>
      </c>
      <c r="K118" s="2" t="s">
        <v>1362</v>
      </c>
      <c r="L118" s="2">
        <v>9547068</v>
      </c>
      <c r="M118" s="2"/>
      <c r="N118" s="2"/>
      <c r="O118" s="2"/>
      <c r="P118" s="2">
        <v>75036</v>
      </c>
      <c r="Q118" s="2"/>
      <c r="R118" s="2"/>
      <c r="S118" s="2" t="s">
        <v>1363</v>
      </c>
      <c r="T118" s="2" t="s">
        <v>1364</v>
      </c>
      <c r="U118" s="2" t="s">
        <v>1365</v>
      </c>
      <c r="V118" s="2" t="s">
        <v>95</v>
      </c>
      <c r="W118" s="2" t="s">
        <v>202</v>
      </c>
      <c r="X118" s="2" t="s">
        <v>327</v>
      </c>
      <c r="Y118" s="2" t="s">
        <v>98</v>
      </c>
      <c r="Z118" s="2" t="s">
        <v>204</v>
      </c>
      <c r="AA118" s="2" t="s">
        <v>328</v>
      </c>
      <c r="AB118" s="2" t="s">
        <v>101</v>
      </c>
      <c r="AC118" s="2">
        <v>72.680000000000007</v>
      </c>
      <c r="AD118" s="2">
        <v>98.3</v>
      </c>
      <c r="AE118" s="2">
        <v>95.36</v>
      </c>
      <c r="AF118" s="2" t="s">
        <v>1366</v>
      </c>
      <c r="AG118" s="2" t="s">
        <v>103</v>
      </c>
      <c r="AH118" s="2" t="s">
        <v>1367</v>
      </c>
      <c r="AI118" s="2">
        <v>1.45</v>
      </c>
      <c r="AJ118" s="2">
        <v>26.186433579917299</v>
      </c>
      <c r="AK118" s="2">
        <v>26.0540197801873</v>
      </c>
      <c r="AL118" s="2">
        <v>26.046171426068799</v>
      </c>
      <c r="AM118" s="2">
        <v>26.008009071836401</v>
      </c>
      <c r="AN118" s="2">
        <v>26.049064173252201</v>
      </c>
      <c r="AO118" s="2">
        <v>26.0197188935472</v>
      </c>
      <c r="AP118" s="2">
        <v>26.166957947125901</v>
      </c>
      <c r="AQ118" s="2">
        <v>26.1342555472303</v>
      </c>
      <c r="AR118" s="2">
        <v>26.504252219519699</v>
      </c>
      <c r="AS118" s="2">
        <v>24.666742345692501</v>
      </c>
      <c r="AT118" s="2">
        <v>24.9372832386731</v>
      </c>
      <c r="AU118" s="2">
        <v>26.091142726323099</v>
      </c>
      <c r="AV118" s="2">
        <v>25.087235629421599</v>
      </c>
      <c r="AW118" s="2">
        <v>25.755905013280799</v>
      </c>
      <c r="AX118" s="2">
        <v>25.911452331082501</v>
      </c>
      <c r="AY118" s="2">
        <v>25.313386551649799</v>
      </c>
      <c r="AZ118" s="2">
        <v>26.0193381252734</v>
      </c>
      <c r="BA118" s="2">
        <v>25.136089880950099</v>
      </c>
      <c r="BB118" s="2">
        <v>25.356856968588598</v>
      </c>
      <c r="BC118" s="2">
        <v>25.972224970963001</v>
      </c>
      <c r="BD118" s="2">
        <v>25.9345145376756</v>
      </c>
      <c r="BE118" s="2">
        <v>26.007857352073302</v>
      </c>
      <c r="BF118" s="2">
        <v>25.930655397513402</v>
      </c>
      <c r="BG118" s="2">
        <v>26.089707613693701</v>
      </c>
      <c r="BH118" s="2">
        <v>25.769476066741699</v>
      </c>
      <c r="BI118" s="2">
        <v>25.9191323126668</v>
      </c>
      <c r="BJ118" s="2">
        <v>25.710539066287101</v>
      </c>
      <c r="BK118" s="2">
        <v>25.6355633619422</v>
      </c>
      <c r="BL118" s="2">
        <v>25.810956560015001</v>
      </c>
      <c r="BM118" s="2">
        <v>25.892468338671499</v>
      </c>
      <c r="BN118" s="2">
        <v>25.8024440129136</v>
      </c>
      <c r="BO118" s="2">
        <v>25.9082430320227</v>
      </c>
      <c r="BP118" s="2">
        <v>25.794105475116101</v>
      </c>
      <c r="BQ118" s="2">
        <v>25.899798126614201</v>
      </c>
      <c r="BR118" s="2">
        <v>26.351009691677799</v>
      </c>
      <c r="BS118" s="2">
        <v>26.3245304605962</v>
      </c>
      <c r="BT118" s="2">
        <v>26.085117006829901</v>
      </c>
      <c r="BU118" s="2">
        <v>25.824944790957801</v>
      </c>
      <c r="BV118" s="2">
        <v>25.807185023660399</v>
      </c>
      <c r="BW118" s="2">
        <v>25.472071181116501</v>
      </c>
      <c r="BX118" s="2">
        <v>26.0509023204995</v>
      </c>
      <c r="BY118" s="2">
        <v>26.2078682432082</v>
      </c>
      <c r="BZ118" s="2">
        <v>26.069787399213901</v>
      </c>
      <c r="CA118" s="2">
        <v>26.403202715821699</v>
      </c>
      <c r="CB118" s="2">
        <v>25.519500793060701</v>
      </c>
      <c r="CC118" s="2">
        <v>25.3786228864465</v>
      </c>
      <c r="CD118" s="2">
        <v>26.039412391693698</v>
      </c>
      <c r="CE118" s="2">
        <v>25.249662941864099</v>
      </c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</row>
    <row r="119" spans="1:97">
      <c r="A119" s="2" t="s">
        <v>1368</v>
      </c>
      <c r="B119" s="2">
        <v>426.35734000000002</v>
      </c>
      <c r="C119" s="2">
        <v>10.157999999999999</v>
      </c>
      <c r="D119" s="2" t="s">
        <v>84</v>
      </c>
      <c r="E119" s="2" t="s">
        <v>1369</v>
      </c>
      <c r="F119" s="2" t="s">
        <v>1370</v>
      </c>
      <c r="G119" s="2">
        <v>541739</v>
      </c>
      <c r="H119" s="3" t="str">
        <f>HYPERLINK("https://cloud.oebiotech.com/#/lm/network/541739", "https://cloud.oebiotech.com/#/lm/network/541739")</f>
        <v>https://cloud.oebiotech.com/#/lm/network/541739</v>
      </c>
      <c r="I119" s="2"/>
      <c r="J119" s="2"/>
      <c r="K119" s="2"/>
      <c r="L119" s="2">
        <v>46907933</v>
      </c>
      <c r="M119" s="2"/>
      <c r="N119" s="2"/>
      <c r="O119" s="2"/>
      <c r="P119" s="2"/>
      <c r="Q119" s="2"/>
      <c r="R119" s="2"/>
      <c r="S119" s="2" t="s">
        <v>1371</v>
      </c>
      <c r="T119" s="2" t="s">
        <v>1372</v>
      </c>
      <c r="U119" s="2" t="s">
        <v>1373</v>
      </c>
      <c r="V119" s="2" t="s">
        <v>95</v>
      </c>
      <c r="W119" s="2" t="s">
        <v>96</v>
      </c>
      <c r="X119" s="2" t="s">
        <v>97</v>
      </c>
      <c r="Y119" s="2" t="s">
        <v>98</v>
      </c>
      <c r="Z119" s="2" t="s">
        <v>99</v>
      </c>
      <c r="AA119" s="2" t="s">
        <v>100</v>
      </c>
      <c r="AB119" s="2" t="s">
        <v>101</v>
      </c>
      <c r="AC119" s="2">
        <v>72.650000000000006</v>
      </c>
      <c r="AD119" s="2">
        <v>99.4</v>
      </c>
      <c r="AE119" s="2">
        <v>94.54</v>
      </c>
      <c r="AF119" s="2" t="s">
        <v>1374</v>
      </c>
      <c r="AG119" s="2" t="s">
        <v>103</v>
      </c>
      <c r="AH119" s="2" t="s">
        <v>1375</v>
      </c>
      <c r="AI119" s="2">
        <v>1.17</v>
      </c>
      <c r="AJ119" s="2">
        <v>25.040734753017201</v>
      </c>
      <c r="AK119" s="2">
        <v>25.093593313711601</v>
      </c>
      <c r="AL119" s="2">
        <v>25.1579982593206</v>
      </c>
      <c r="AM119" s="2">
        <v>25.0155580417062</v>
      </c>
      <c r="AN119" s="2">
        <v>25.073285844287</v>
      </c>
      <c r="AO119" s="2">
        <v>25.0281300710067</v>
      </c>
      <c r="AP119" s="2">
        <v>25.010840063857401</v>
      </c>
      <c r="AQ119" s="2">
        <v>25.0856045212245</v>
      </c>
      <c r="AR119" s="2">
        <v>24.541370915829098</v>
      </c>
      <c r="AS119" s="2">
        <v>24.024829477762601</v>
      </c>
      <c r="AT119" s="2">
        <v>25.682540350774701</v>
      </c>
      <c r="AU119" s="2">
        <v>24.1208108409696</v>
      </c>
      <c r="AV119" s="2">
        <v>24.6519373878937</v>
      </c>
      <c r="AW119" s="2">
        <v>24.743958247538998</v>
      </c>
      <c r="AX119" s="2">
        <v>25.116405009510501</v>
      </c>
      <c r="AY119" s="2">
        <v>24.492211211176699</v>
      </c>
      <c r="AZ119" s="2">
        <v>23.990192716702801</v>
      </c>
      <c r="BA119" s="2">
        <v>24.3441229843964</v>
      </c>
      <c r="BB119" s="2">
        <v>24.749077652957599</v>
      </c>
      <c r="BC119" s="2">
        <v>26.919269642062002</v>
      </c>
      <c r="BD119" s="2">
        <v>24.182652797030599</v>
      </c>
      <c r="BE119" s="2">
        <v>24.778405957863001</v>
      </c>
      <c r="BF119" s="2">
        <v>24.6198282655625</v>
      </c>
      <c r="BG119" s="2">
        <v>25.0214498097438</v>
      </c>
      <c r="BH119" s="2">
        <v>24.7103724742217</v>
      </c>
      <c r="BI119" s="2">
        <v>25.472246759635901</v>
      </c>
      <c r="BJ119" s="2">
        <v>25.034700923429799</v>
      </c>
      <c r="BK119" s="2">
        <v>24.019554909500801</v>
      </c>
      <c r="BL119" s="2">
        <v>25.080896775850299</v>
      </c>
      <c r="BM119" s="2">
        <v>23.816869513173099</v>
      </c>
      <c r="BN119" s="2">
        <v>24.6375837655733</v>
      </c>
      <c r="BO119" s="2">
        <v>24.6448475324325</v>
      </c>
      <c r="BP119" s="2">
        <v>25.360399761469999</v>
      </c>
      <c r="BQ119" s="2">
        <v>25.196591958316102</v>
      </c>
      <c r="BR119" s="2">
        <v>25.0434430424807</v>
      </c>
      <c r="BS119" s="2">
        <v>24.343884646807499</v>
      </c>
      <c r="BT119" s="2">
        <v>24.685952560007699</v>
      </c>
      <c r="BU119" s="2">
        <v>25.8214614580254</v>
      </c>
      <c r="BV119" s="2">
        <v>24.7044986156744</v>
      </c>
      <c r="BW119" s="2">
        <v>25.211630379883101</v>
      </c>
      <c r="BX119" s="2">
        <v>24.775861417913099</v>
      </c>
      <c r="BY119" s="2">
        <v>24.535761198851301</v>
      </c>
      <c r="BZ119" s="2">
        <v>24.570683900227898</v>
      </c>
      <c r="CA119" s="2">
        <v>24.6631495232816</v>
      </c>
      <c r="CB119" s="2">
        <v>24.4469030280728</v>
      </c>
      <c r="CC119" s="2">
        <v>24.691166249782501</v>
      </c>
      <c r="CD119" s="2">
        <v>24.924777885843</v>
      </c>
      <c r="CE119" s="2">
        <v>24.216252466130999</v>
      </c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</row>
    <row r="120" spans="1:97">
      <c r="A120" s="2" t="s">
        <v>1376</v>
      </c>
      <c r="B120" s="2">
        <v>221.15419</v>
      </c>
      <c r="C120" s="2">
        <v>10.827999999999999</v>
      </c>
      <c r="D120" s="2" t="s">
        <v>146</v>
      </c>
      <c r="E120" s="2" t="s">
        <v>1377</v>
      </c>
      <c r="F120" s="2" t="s">
        <v>1378</v>
      </c>
      <c r="G120" s="2">
        <v>61310</v>
      </c>
      <c r="H120" s="3" t="str">
        <f>HYPERLINK("https://cloud.oebiotech.com/#/lm/network/61310", "https://cloud.oebiotech.com/#/lm/network/61310")</f>
        <v>https://cloud.oebiotech.com/#/lm/network/61310</v>
      </c>
      <c r="I120" s="2" t="s">
        <v>1379</v>
      </c>
      <c r="J120" s="2">
        <v>92631</v>
      </c>
      <c r="K120" s="2"/>
      <c r="L120" s="2">
        <v>62876</v>
      </c>
      <c r="M120" s="2"/>
      <c r="N120" s="2"/>
      <c r="O120" s="2"/>
      <c r="P120" s="2"/>
      <c r="Q120" s="2"/>
      <c r="R120" s="2"/>
      <c r="S120" s="2" t="s">
        <v>1380</v>
      </c>
      <c r="T120" s="2" t="s">
        <v>1381</v>
      </c>
      <c r="U120" s="2" t="s">
        <v>1382</v>
      </c>
      <c r="V120" s="2" t="s">
        <v>385</v>
      </c>
      <c r="W120" s="2" t="s">
        <v>386</v>
      </c>
      <c r="X120" s="2" t="s">
        <v>375</v>
      </c>
      <c r="Y120" s="2" t="s">
        <v>388</v>
      </c>
      <c r="Z120" s="2" t="s">
        <v>389</v>
      </c>
      <c r="AA120" s="2"/>
      <c r="AB120" s="2" t="s">
        <v>101</v>
      </c>
      <c r="AC120" s="2">
        <v>72.62</v>
      </c>
      <c r="AD120" s="2">
        <v>98.25</v>
      </c>
      <c r="AE120" s="2">
        <v>83.85</v>
      </c>
      <c r="AF120" s="2" t="s">
        <v>1383</v>
      </c>
      <c r="AG120" s="2" t="s">
        <v>194</v>
      </c>
      <c r="AH120" s="2" t="s">
        <v>1384</v>
      </c>
      <c r="AI120" s="2">
        <v>2.2599999999999998</v>
      </c>
      <c r="AJ120" s="2">
        <v>22.1059729487753</v>
      </c>
      <c r="AK120" s="2">
        <v>21.982716870629101</v>
      </c>
      <c r="AL120" s="2">
        <v>21.8485393677812</v>
      </c>
      <c r="AM120" s="2">
        <v>22.0577737525321</v>
      </c>
      <c r="AN120" s="2">
        <v>22.143559235629802</v>
      </c>
      <c r="AO120" s="2">
        <v>22.1657031608447</v>
      </c>
      <c r="AP120" s="2">
        <v>22.183440744578299</v>
      </c>
      <c r="AQ120" s="2">
        <v>22.370740071318998</v>
      </c>
      <c r="AR120" s="2">
        <v>21.9232177270245</v>
      </c>
      <c r="AS120" s="2">
        <v>21.760276036725099</v>
      </c>
      <c r="AT120" s="2">
        <v>21.913645378094198</v>
      </c>
      <c r="AU120" s="2">
        <v>21.929455382163699</v>
      </c>
      <c r="AV120" s="2">
        <v>21.933981391215401</v>
      </c>
      <c r="AW120" s="2">
        <v>21.949807856690899</v>
      </c>
      <c r="AX120" s="2">
        <v>21.927688363670399</v>
      </c>
      <c r="AY120" s="2">
        <v>21.848475015529701</v>
      </c>
      <c r="AZ120" s="2">
        <v>21.8654193603208</v>
      </c>
      <c r="BA120" s="2">
        <v>21.9890400875273</v>
      </c>
      <c r="BB120" s="2">
        <v>21.870965965575099</v>
      </c>
      <c r="BC120" s="2">
        <v>21.9384454368005</v>
      </c>
      <c r="BD120" s="2">
        <v>21.8912689468469</v>
      </c>
      <c r="BE120" s="2">
        <v>21.973529677898799</v>
      </c>
      <c r="BF120" s="2">
        <v>21.909068047890099</v>
      </c>
      <c r="BG120" s="2">
        <v>21.894718527697599</v>
      </c>
      <c r="BH120" s="2">
        <v>21.9897840865838</v>
      </c>
      <c r="BI120" s="2">
        <v>21.887885299848101</v>
      </c>
      <c r="BJ120" s="2">
        <v>21.786129686022601</v>
      </c>
      <c r="BK120" s="2">
        <v>21.865890077828801</v>
      </c>
      <c r="BL120" s="2">
        <v>22.070922362523</v>
      </c>
      <c r="BM120" s="2">
        <v>22.0131731858359</v>
      </c>
      <c r="BN120" s="2">
        <v>21.997737459806299</v>
      </c>
      <c r="BO120" s="2">
        <v>22.052955345149702</v>
      </c>
      <c r="BP120" s="2">
        <v>21.987381572575899</v>
      </c>
      <c r="BQ120" s="2">
        <v>22.085833724393101</v>
      </c>
      <c r="BR120" s="2">
        <v>22.027008368260901</v>
      </c>
      <c r="BS120" s="2">
        <v>22.159491251913</v>
      </c>
      <c r="BT120" s="2">
        <v>22.187759528093999</v>
      </c>
      <c r="BU120" s="2">
        <v>22.176561458726201</v>
      </c>
      <c r="BV120" s="2">
        <v>22.047638368540401</v>
      </c>
      <c r="BW120" s="2">
        <v>22.034317774025901</v>
      </c>
      <c r="BX120" s="2">
        <v>22.179037001879099</v>
      </c>
      <c r="BY120" s="2">
        <v>22.258568843025099</v>
      </c>
      <c r="BZ120" s="2">
        <v>22.166055070456601</v>
      </c>
      <c r="CA120" s="2">
        <v>22.1039520777503</v>
      </c>
      <c r="CB120" s="2">
        <v>22.173277043765101</v>
      </c>
      <c r="CC120" s="2">
        <v>22.1896369651597</v>
      </c>
      <c r="CD120" s="2">
        <v>22.065619195290999</v>
      </c>
      <c r="CE120" s="2">
        <v>22.195424299043498</v>
      </c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</row>
    <row r="121" spans="1:97">
      <c r="A121" s="2" t="s">
        <v>1385</v>
      </c>
      <c r="B121" s="2">
        <v>153.01901000000001</v>
      </c>
      <c r="C121" s="2">
        <v>4.077</v>
      </c>
      <c r="D121" s="2" t="s">
        <v>146</v>
      </c>
      <c r="E121" s="2" t="s">
        <v>1386</v>
      </c>
      <c r="F121" s="2" t="s">
        <v>1387</v>
      </c>
      <c r="G121" s="2">
        <v>46898</v>
      </c>
      <c r="H121" s="3" t="str">
        <f>HYPERLINK("https://cloud.oebiotech.com/#/lm/network/46898", "https://cloud.oebiotech.com/#/lm/network/46898")</f>
        <v>https://cloud.oebiotech.com/#/lm/network/46898</v>
      </c>
      <c r="I121" s="2" t="s">
        <v>1388</v>
      </c>
      <c r="J121" s="2">
        <v>618</v>
      </c>
      <c r="K121" s="2"/>
      <c r="L121" s="2">
        <v>3469</v>
      </c>
      <c r="M121" s="2" t="s">
        <v>1389</v>
      </c>
      <c r="N121" s="2" t="s">
        <v>1390</v>
      </c>
      <c r="O121" s="2" t="s">
        <v>1391</v>
      </c>
      <c r="P121" s="2">
        <v>17189</v>
      </c>
      <c r="Q121" s="2" t="s">
        <v>1392</v>
      </c>
      <c r="R121" s="2" t="s">
        <v>1393</v>
      </c>
      <c r="S121" s="2" t="s">
        <v>1394</v>
      </c>
      <c r="T121" s="2" t="s">
        <v>1395</v>
      </c>
      <c r="U121" s="2" t="s">
        <v>1396</v>
      </c>
      <c r="V121" s="2" t="s">
        <v>385</v>
      </c>
      <c r="W121" s="2" t="s">
        <v>386</v>
      </c>
      <c r="X121" s="2" t="s">
        <v>1059</v>
      </c>
      <c r="Y121" s="2" t="s">
        <v>388</v>
      </c>
      <c r="Z121" s="2" t="s">
        <v>389</v>
      </c>
      <c r="AA121" s="2" t="s">
        <v>1060</v>
      </c>
      <c r="AB121" s="2" t="s">
        <v>101</v>
      </c>
      <c r="AC121" s="2">
        <v>72.569999999999993</v>
      </c>
      <c r="AD121" s="2">
        <v>95.23</v>
      </c>
      <c r="AE121" s="2">
        <v>84.76</v>
      </c>
      <c r="AF121" s="2" t="s">
        <v>1397</v>
      </c>
      <c r="AG121" s="2" t="s">
        <v>194</v>
      </c>
      <c r="AH121" s="2" t="s">
        <v>1062</v>
      </c>
      <c r="AI121" s="2">
        <v>1.96</v>
      </c>
      <c r="AJ121" s="2">
        <v>19.600678573214299</v>
      </c>
      <c r="AK121" s="2">
        <v>19.191158495708201</v>
      </c>
      <c r="AL121" s="2">
        <v>19.614672842520999</v>
      </c>
      <c r="AM121" s="2">
        <v>19.5971418205962</v>
      </c>
      <c r="AN121" s="2">
        <v>19.629558687974701</v>
      </c>
      <c r="AO121" s="2">
        <v>18.954177989125199</v>
      </c>
      <c r="AP121" s="2">
        <v>19.279435678678301</v>
      </c>
      <c r="AQ121" s="2">
        <v>19.5340498695459</v>
      </c>
      <c r="AR121" s="2">
        <v>18.1883021151869</v>
      </c>
      <c r="AS121" s="2">
        <v>18.978348851975699</v>
      </c>
      <c r="AT121" s="2">
        <v>18.429955437005599</v>
      </c>
      <c r="AU121" s="2">
        <v>19.0506910805729</v>
      </c>
      <c r="AV121" s="2">
        <v>19.9574489618137</v>
      </c>
      <c r="AW121" s="2">
        <v>18.4517637304664</v>
      </c>
      <c r="AX121" s="2">
        <v>19.127733673171299</v>
      </c>
      <c r="AY121" s="2">
        <v>19.391822216453502</v>
      </c>
      <c r="AZ121" s="2">
        <v>18.679806923079099</v>
      </c>
      <c r="BA121" s="2">
        <v>19.8415067321409</v>
      </c>
      <c r="BB121" s="2">
        <v>18.8761404262134</v>
      </c>
      <c r="BC121" s="2">
        <v>19.114122641136198</v>
      </c>
      <c r="BD121" s="2">
        <v>18.3630018884169</v>
      </c>
      <c r="BE121" s="2">
        <v>18.810176277815302</v>
      </c>
      <c r="BF121" s="2">
        <v>20.150337290516902</v>
      </c>
      <c r="BG121" s="2">
        <v>19.670610247959601</v>
      </c>
      <c r="BH121" s="2">
        <v>17.477766486544699</v>
      </c>
      <c r="BI121" s="2">
        <v>20.6083706236297</v>
      </c>
      <c r="BJ121" s="2">
        <v>18.674035678896001</v>
      </c>
      <c r="BK121" s="2">
        <v>18.6693333336537</v>
      </c>
      <c r="BL121" s="2">
        <v>18.785124963735601</v>
      </c>
      <c r="BM121" s="2">
        <v>19.858008565224999</v>
      </c>
      <c r="BN121" s="2">
        <v>19.055078265596499</v>
      </c>
      <c r="BO121" s="2">
        <v>20.146169609295701</v>
      </c>
      <c r="BP121" s="2">
        <v>18.936430042065599</v>
      </c>
      <c r="BQ121" s="2">
        <v>19.693763245447499</v>
      </c>
      <c r="BR121" s="2">
        <v>20.072635892261701</v>
      </c>
      <c r="BS121" s="2">
        <v>20.597645530411501</v>
      </c>
      <c r="BT121" s="2">
        <v>19.767139742268199</v>
      </c>
      <c r="BU121" s="2">
        <v>19.445067440471298</v>
      </c>
      <c r="BV121" s="2">
        <v>20.233859529491301</v>
      </c>
      <c r="BW121" s="2">
        <v>17.9158456586188</v>
      </c>
      <c r="BX121" s="2">
        <v>19.0412837039399</v>
      </c>
      <c r="BY121" s="2">
        <v>20.3276022227145</v>
      </c>
      <c r="BZ121" s="2">
        <v>18.805349488742799</v>
      </c>
      <c r="CA121" s="2">
        <v>18.493159047329101</v>
      </c>
      <c r="CB121" s="2">
        <v>19.935278935723101</v>
      </c>
      <c r="CC121" s="2">
        <v>19.5202395657567</v>
      </c>
      <c r="CD121" s="2">
        <v>19.102181258188502</v>
      </c>
      <c r="CE121" s="2">
        <v>20.019193906592299</v>
      </c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</row>
    <row r="122" spans="1:97">
      <c r="A122" s="2" t="s">
        <v>1398</v>
      </c>
      <c r="B122" s="2">
        <v>217.01732000000001</v>
      </c>
      <c r="C122" s="2">
        <v>4.8440000000000003</v>
      </c>
      <c r="D122" s="2" t="s">
        <v>146</v>
      </c>
      <c r="E122" s="2" t="s">
        <v>1399</v>
      </c>
      <c r="F122" s="2" t="s">
        <v>1400</v>
      </c>
      <c r="G122" s="2">
        <v>257665</v>
      </c>
      <c r="H122" s="3" t="str">
        <f>HYPERLINK("https://cloud.oebiotech.com/#/lm/network/257665", "https://cloud.oebiotech.com/#/lm/network/257665")</f>
        <v>https://cloud.oebiotech.com/#/lm/network/257665</v>
      </c>
      <c r="I122" s="2" t="s">
        <v>1401</v>
      </c>
      <c r="J122" s="2"/>
      <c r="K122" s="2"/>
      <c r="L122" s="2">
        <v>68503634</v>
      </c>
      <c r="M122" s="2"/>
      <c r="N122" s="2"/>
      <c r="O122" s="2"/>
      <c r="P122" s="2"/>
      <c r="Q122" s="2"/>
      <c r="R122" s="2"/>
      <c r="S122" s="2"/>
      <c r="T122" s="2" t="s">
        <v>1402</v>
      </c>
      <c r="U122" s="2" t="s">
        <v>1403</v>
      </c>
      <c r="V122" s="2" t="s">
        <v>115</v>
      </c>
      <c r="W122" s="2" t="s">
        <v>613</v>
      </c>
      <c r="X122" s="2" t="s">
        <v>614</v>
      </c>
      <c r="Y122" s="2" t="s">
        <v>118</v>
      </c>
      <c r="Z122" s="2" t="s">
        <v>615</v>
      </c>
      <c r="AA122" s="2" t="s">
        <v>616</v>
      </c>
      <c r="AB122" s="2" t="s">
        <v>101</v>
      </c>
      <c r="AC122" s="2">
        <v>72.510000000000005</v>
      </c>
      <c r="AD122" s="2">
        <v>91.9</v>
      </c>
      <c r="AE122" s="2">
        <v>83.54</v>
      </c>
      <c r="AF122" s="2" t="s">
        <v>1404</v>
      </c>
      <c r="AG122" s="2" t="s">
        <v>194</v>
      </c>
      <c r="AH122" s="2" t="s">
        <v>1405</v>
      </c>
      <c r="AI122" s="2">
        <v>1.38</v>
      </c>
      <c r="AJ122" s="2">
        <v>17.296227056513001</v>
      </c>
      <c r="AK122" s="2">
        <v>17.180599082779</v>
      </c>
      <c r="AL122" s="2">
        <v>17.543728614113899</v>
      </c>
      <c r="AM122" s="2">
        <v>17.0794978048575</v>
      </c>
      <c r="AN122" s="2">
        <v>17.4068573664381</v>
      </c>
      <c r="AO122" s="2">
        <v>17.327579746986199</v>
      </c>
      <c r="AP122" s="2">
        <v>16.781509431475101</v>
      </c>
      <c r="AQ122" s="2">
        <v>17.497995563024201</v>
      </c>
      <c r="AR122" s="2">
        <v>15.162003772720899</v>
      </c>
      <c r="AS122" s="2">
        <v>14.8441359089384</v>
      </c>
      <c r="AT122" s="2">
        <v>9.6233145402724691</v>
      </c>
      <c r="AU122" s="2">
        <v>13.0387887020132</v>
      </c>
      <c r="AV122" s="2">
        <v>18.648535063874299</v>
      </c>
      <c r="AW122" s="2">
        <v>13.651530491368799</v>
      </c>
      <c r="AX122" s="2">
        <v>17.316811041546501</v>
      </c>
      <c r="AY122" s="2">
        <v>16.261308227057299</v>
      </c>
      <c r="AZ122" s="2">
        <v>15.673693330779701</v>
      </c>
      <c r="BA122" s="2">
        <v>11.8571334738243</v>
      </c>
      <c r="BB122" s="2">
        <v>15.962579070924701</v>
      </c>
      <c r="BC122" s="2">
        <v>9.6233145402724691</v>
      </c>
      <c r="BD122" s="2">
        <v>16.274116579174901</v>
      </c>
      <c r="BE122" s="2">
        <v>17.646739682556301</v>
      </c>
      <c r="BF122" s="2">
        <v>17.520188950747901</v>
      </c>
      <c r="BG122" s="2">
        <v>15.132333038918301</v>
      </c>
      <c r="BH122" s="2">
        <v>17.119518700000199</v>
      </c>
      <c r="BI122" s="2">
        <v>16.899811942134999</v>
      </c>
      <c r="BJ122" s="2">
        <v>17.536169113132299</v>
      </c>
      <c r="BK122" s="2">
        <v>14.331899435451801</v>
      </c>
      <c r="BL122" s="2">
        <v>16.716037441361401</v>
      </c>
      <c r="BM122" s="2">
        <v>14.453747766105</v>
      </c>
      <c r="BN122" s="2">
        <v>13.577624730455</v>
      </c>
      <c r="BO122" s="2">
        <v>9.6233145402724691</v>
      </c>
      <c r="BP122" s="2">
        <v>15.8352594380284</v>
      </c>
      <c r="BQ122" s="2">
        <v>14.0836156123615</v>
      </c>
      <c r="BR122" s="2">
        <v>16.2014485506743</v>
      </c>
      <c r="BS122" s="2">
        <v>17.968769376396001</v>
      </c>
      <c r="BT122" s="2">
        <v>19.005057239366401</v>
      </c>
      <c r="BU122" s="2">
        <v>14.2558569666224</v>
      </c>
      <c r="BV122" s="2">
        <v>9.6233145402724691</v>
      </c>
      <c r="BW122" s="2">
        <v>9.6233145402724691</v>
      </c>
      <c r="BX122" s="2">
        <v>17.745393209501401</v>
      </c>
      <c r="BY122" s="2">
        <v>18.154699510927699</v>
      </c>
      <c r="BZ122" s="2">
        <v>9.6233145402724691</v>
      </c>
      <c r="CA122" s="2">
        <v>14.483871186973399</v>
      </c>
      <c r="CB122" s="2">
        <v>15.7227459058603</v>
      </c>
      <c r="CC122" s="2">
        <v>9.6233145402724691</v>
      </c>
      <c r="CD122" s="2">
        <v>19.1929753465758</v>
      </c>
      <c r="CE122" s="2">
        <v>9.6233145402724691</v>
      </c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</row>
    <row r="123" spans="1:97">
      <c r="A123" s="2" t="s">
        <v>1406</v>
      </c>
      <c r="B123" s="2">
        <v>482.32351</v>
      </c>
      <c r="C123" s="2">
        <v>10.246</v>
      </c>
      <c r="D123" s="2" t="s">
        <v>84</v>
      </c>
      <c r="E123" s="2" t="s">
        <v>1407</v>
      </c>
      <c r="F123" s="2" t="s">
        <v>1408</v>
      </c>
      <c r="G123" s="2">
        <v>19829</v>
      </c>
      <c r="H123" s="3" t="str">
        <f>HYPERLINK("https://cloud.oebiotech.com/#/lm/network/19829", "https://cloud.oebiotech.com/#/lm/network/19829")</f>
        <v>https://cloud.oebiotech.com/#/lm/network/19829</v>
      </c>
      <c r="I123" s="2" t="s">
        <v>1409</v>
      </c>
      <c r="J123" s="2">
        <v>40282</v>
      </c>
      <c r="K123" s="2" t="s">
        <v>1410</v>
      </c>
      <c r="L123" s="2">
        <v>24779458</v>
      </c>
      <c r="M123" s="2" t="s">
        <v>264</v>
      </c>
      <c r="N123" s="2" t="s">
        <v>265</v>
      </c>
      <c r="O123" s="2" t="s">
        <v>266</v>
      </c>
      <c r="P123" s="2">
        <v>131924</v>
      </c>
      <c r="Q123" s="2"/>
      <c r="R123" s="2"/>
      <c r="S123" s="2"/>
      <c r="T123" s="2" t="s">
        <v>1411</v>
      </c>
      <c r="U123" s="2" t="s">
        <v>1412</v>
      </c>
      <c r="V123" s="2" t="s">
        <v>95</v>
      </c>
      <c r="W123" s="2" t="s">
        <v>202</v>
      </c>
      <c r="X123" s="2" t="s">
        <v>203</v>
      </c>
      <c r="Y123" s="2" t="s">
        <v>98</v>
      </c>
      <c r="Z123" s="2" t="s">
        <v>204</v>
      </c>
      <c r="AA123" s="2" t="s">
        <v>205</v>
      </c>
      <c r="AB123" s="2" t="s">
        <v>101</v>
      </c>
      <c r="AC123" s="2">
        <v>72.489999999999995</v>
      </c>
      <c r="AD123" s="2">
        <v>98.47</v>
      </c>
      <c r="AE123" s="2">
        <v>94.43</v>
      </c>
      <c r="AF123" s="2" t="s">
        <v>1413</v>
      </c>
      <c r="AG123" s="2" t="s">
        <v>103</v>
      </c>
      <c r="AH123" s="2" t="s">
        <v>1367</v>
      </c>
      <c r="AI123" s="2">
        <v>1.24</v>
      </c>
      <c r="AJ123" s="2">
        <v>25.008031778313601</v>
      </c>
      <c r="AK123" s="2">
        <v>24.921271713223899</v>
      </c>
      <c r="AL123" s="2">
        <v>24.951047656008001</v>
      </c>
      <c r="AM123" s="2">
        <v>24.936334058892001</v>
      </c>
      <c r="AN123" s="2">
        <v>24.8565794881548</v>
      </c>
      <c r="AO123" s="2">
        <v>24.849170765102599</v>
      </c>
      <c r="AP123" s="2">
        <v>24.985058025273101</v>
      </c>
      <c r="AQ123" s="2">
        <v>24.934388903938402</v>
      </c>
      <c r="AR123" s="2">
        <v>25.248755309373902</v>
      </c>
      <c r="AS123" s="2">
        <v>24.113260424930701</v>
      </c>
      <c r="AT123" s="2">
        <v>24.385713682493499</v>
      </c>
      <c r="AU123" s="2">
        <v>24.707973548003199</v>
      </c>
      <c r="AV123" s="2">
        <v>24.752284762319</v>
      </c>
      <c r="AW123" s="2">
        <v>24.522909822758798</v>
      </c>
      <c r="AX123" s="2">
        <v>24.601930988262499</v>
      </c>
      <c r="AY123" s="2">
        <v>24.624289537080099</v>
      </c>
      <c r="AZ123" s="2">
        <v>25.3184820269468</v>
      </c>
      <c r="BA123" s="2">
        <v>24.203055213532899</v>
      </c>
      <c r="BB123" s="2">
        <v>24.9496681204749</v>
      </c>
      <c r="BC123" s="2">
        <v>25.2225514917277</v>
      </c>
      <c r="BD123" s="2">
        <v>24.4839711984723</v>
      </c>
      <c r="BE123" s="2">
        <v>25.4339764611147</v>
      </c>
      <c r="BF123" s="2">
        <v>24.164795697576299</v>
      </c>
      <c r="BG123" s="2">
        <v>25.676697050794299</v>
      </c>
      <c r="BH123" s="2">
        <v>24.4723627250502</v>
      </c>
      <c r="BI123" s="2">
        <v>24.493390410304499</v>
      </c>
      <c r="BJ123" s="2">
        <v>24.4525967582838</v>
      </c>
      <c r="BK123" s="2">
        <v>24.155419092889002</v>
      </c>
      <c r="BL123" s="2">
        <v>24.6225370857962</v>
      </c>
      <c r="BM123" s="2">
        <v>24.608726847663799</v>
      </c>
      <c r="BN123" s="2">
        <v>24.248386580489701</v>
      </c>
      <c r="BO123" s="2">
        <v>24.936785500151601</v>
      </c>
      <c r="BP123" s="2">
        <v>25.337520558833699</v>
      </c>
      <c r="BQ123" s="2">
        <v>24.600135535794202</v>
      </c>
      <c r="BR123" s="2">
        <v>25.152209816312599</v>
      </c>
      <c r="BS123" s="2">
        <v>25.507337033908701</v>
      </c>
      <c r="BT123" s="2">
        <v>25.2167920641931</v>
      </c>
      <c r="BU123" s="2">
        <v>25.0487589141255</v>
      </c>
      <c r="BV123" s="2">
        <v>24.5713333192957</v>
      </c>
      <c r="BW123" s="2">
        <v>23.760181259178701</v>
      </c>
      <c r="BX123" s="2">
        <v>24.2018701302813</v>
      </c>
      <c r="BY123" s="2">
        <v>25.982951867550899</v>
      </c>
      <c r="BZ123" s="2">
        <v>24.690113000290399</v>
      </c>
      <c r="CA123" s="2">
        <v>25.337660949893699</v>
      </c>
      <c r="CB123" s="2">
        <v>24.400649656652899</v>
      </c>
      <c r="CC123" s="2">
        <v>23.645248849821101</v>
      </c>
      <c r="CD123" s="2">
        <v>24.657035437758001</v>
      </c>
      <c r="CE123" s="2">
        <v>24.2033064021253</v>
      </c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</row>
    <row r="124" spans="1:97">
      <c r="A124" s="2" t="s">
        <v>1414</v>
      </c>
      <c r="B124" s="2">
        <v>449.36324000000002</v>
      </c>
      <c r="C124" s="2">
        <v>13.723000000000001</v>
      </c>
      <c r="D124" s="2" t="s">
        <v>146</v>
      </c>
      <c r="E124" s="2" t="s">
        <v>1415</v>
      </c>
      <c r="F124" s="2" t="s">
        <v>1416</v>
      </c>
      <c r="G124" s="2">
        <v>46425</v>
      </c>
      <c r="H124" s="3" t="str">
        <f>HYPERLINK("https://cloud.oebiotech.com/#/lm/network/46425", "https://cloud.oebiotech.com/#/lm/network/46425")</f>
        <v>https://cloud.oebiotech.com/#/lm/network/46425</v>
      </c>
      <c r="I124" s="2"/>
      <c r="J124" s="2">
        <v>84843</v>
      </c>
      <c r="K124" s="2" t="s">
        <v>1417</v>
      </c>
      <c r="L124" s="2">
        <v>5284269</v>
      </c>
      <c r="M124" s="2"/>
      <c r="N124" s="2"/>
      <c r="O124" s="2"/>
      <c r="P124" s="2"/>
      <c r="Q124" s="2"/>
      <c r="R124" s="2"/>
      <c r="S124" s="2"/>
      <c r="T124" s="2" t="s">
        <v>1418</v>
      </c>
      <c r="U124" s="2" t="s">
        <v>1419</v>
      </c>
      <c r="V124" s="2" t="s">
        <v>95</v>
      </c>
      <c r="W124" s="2" t="s">
        <v>152</v>
      </c>
      <c r="X124" s="2" t="s">
        <v>1420</v>
      </c>
      <c r="Y124" s="2" t="s">
        <v>98</v>
      </c>
      <c r="Z124" s="2" t="s">
        <v>154</v>
      </c>
      <c r="AA124" s="2" t="s">
        <v>1421</v>
      </c>
      <c r="AB124" s="2" t="s">
        <v>101</v>
      </c>
      <c r="AC124" s="2">
        <v>72.489999999999995</v>
      </c>
      <c r="AD124" s="2">
        <v>97.05</v>
      </c>
      <c r="AE124" s="2">
        <v>78.7</v>
      </c>
      <c r="AF124" s="2" t="s">
        <v>1422</v>
      </c>
      <c r="AG124" s="2" t="s">
        <v>157</v>
      </c>
      <c r="AH124" s="2" t="s">
        <v>1423</v>
      </c>
      <c r="AI124" s="2">
        <v>0.89</v>
      </c>
      <c r="AJ124" s="2">
        <v>21.842713878913099</v>
      </c>
      <c r="AK124" s="2">
        <v>21.355817183574299</v>
      </c>
      <c r="AL124" s="2">
        <v>21.461627407267901</v>
      </c>
      <c r="AM124" s="2">
        <v>22.17083388723</v>
      </c>
      <c r="AN124" s="2">
        <v>21.361177281873001</v>
      </c>
      <c r="AO124" s="2">
        <v>20.992581792458001</v>
      </c>
      <c r="AP124" s="2">
        <v>21.448400711161</v>
      </c>
      <c r="AQ124" s="2">
        <v>21.2975615611224</v>
      </c>
      <c r="AR124" s="2">
        <v>21.076412078599901</v>
      </c>
      <c r="AS124" s="2">
        <v>20.644311767845</v>
      </c>
      <c r="AT124" s="2">
        <v>22.354844172875701</v>
      </c>
      <c r="AU124" s="2">
        <v>20.096309468139101</v>
      </c>
      <c r="AV124" s="2">
        <v>20.3373797913498</v>
      </c>
      <c r="AW124" s="2">
        <v>20.748247197003298</v>
      </c>
      <c r="AX124" s="2">
        <v>21.0755182751349</v>
      </c>
      <c r="AY124" s="2">
        <v>21.4699997013734</v>
      </c>
      <c r="AZ124" s="2">
        <v>19.807909091124799</v>
      </c>
      <c r="BA124" s="2">
        <v>21.2320489367495</v>
      </c>
      <c r="BB124" s="2">
        <v>20.7439418118073</v>
      </c>
      <c r="BC124" s="2">
        <v>22.454188263330199</v>
      </c>
      <c r="BD124" s="2">
        <v>21.845685979417802</v>
      </c>
      <c r="BE124" s="2">
        <v>20.098916026887</v>
      </c>
      <c r="BF124" s="2">
        <v>21.6739609437894</v>
      </c>
      <c r="BG124" s="2">
        <v>22.083701932971099</v>
      </c>
      <c r="BH124" s="2">
        <v>19.772346021691199</v>
      </c>
      <c r="BI124" s="2">
        <v>21.485719236834498</v>
      </c>
      <c r="BJ124" s="2">
        <v>21.410582280481201</v>
      </c>
      <c r="BK124" s="2">
        <v>20.444997704707301</v>
      </c>
      <c r="BL124" s="2">
        <v>20.425015951174299</v>
      </c>
      <c r="BM124" s="2">
        <v>21.712501916582902</v>
      </c>
      <c r="BN124" s="2">
        <v>20.368475075711501</v>
      </c>
      <c r="BO124" s="2">
        <v>21.4431554856194</v>
      </c>
      <c r="BP124" s="2">
        <v>19.785440047594001</v>
      </c>
      <c r="BQ124" s="2">
        <v>21.029311629404901</v>
      </c>
      <c r="BR124" s="2">
        <v>21.9263445482616</v>
      </c>
      <c r="BS124" s="2">
        <v>21.4700356194964</v>
      </c>
      <c r="BT124" s="2">
        <v>21.1473568873364</v>
      </c>
      <c r="BU124" s="2">
        <v>22.2905353538616</v>
      </c>
      <c r="BV124" s="2">
        <v>21.130833928037902</v>
      </c>
      <c r="BW124" s="2">
        <v>19.555585684581398</v>
      </c>
      <c r="BX124" s="2">
        <v>20.6268641984752</v>
      </c>
      <c r="BY124" s="2">
        <v>22.645349434690999</v>
      </c>
      <c r="BZ124" s="2">
        <v>21.415181603224099</v>
      </c>
      <c r="CA124" s="2">
        <v>21.123548360084399</v>
      </c>
      <c r="CB124" s="2">
        <v>20.1415313830468</v>
      </c>
      <c r="CC124" s="2">
        <v>21.301057784141801</v>
      </c>
      <c r="CD124" s="2">
        <v>22.0569702886533</v>
      </c>
      <c r="CE124" s="2">
        <v>20.5275309358288</v>
      </c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</row>
    <row r="125" spans="1:97">
      <c r="A125" s="2" t="s">
        <v>1424</v>
      </c>
      <c r="B125" s="2">
        <v>313.23791999999997</v>
      </c>
      <c r="C125" s="2">
        <v>11.018000000000001</v>
      </c>
      <c r="D125" s="2" t="s">
        <v>146</v>
      </c>
      <c r="E125" s="2" t="s">
        <v>1425</v>
      </c>
      <c r="F125" s="2" t="s">
        <v>1426</v>
      </c>
      <c r="G125" s="2">
        <v>2196</v>
      </c>
      <c r="H125" s="3" t="str">
        <f>HYPERLINK("https://cloud.oebiotech.com/#/lm/network/2196", "https://cloud.oebiotech.com/#/lm/network/2196")</f>
        <v>https://cloud.oebiotech.com/#/lm/network/2196</v>
      </c>
      <c r="I125" s="2"/>
      <c r="J125" s="2"/>
      <c r="K125" s="2" t="s">
        <v>1427</v>
      </c>
      <c r="L125" s="2">
        <v>54097868</v>
      </c>
      <c r="M125" s="2"/>
      <c r="N125" s="2"/>
      <c r="O125" s="2"/>
      <c r="P125" s="2"/>
      <c r="Q125" s="2"/>
      <c r="R125" s="2"/>
      <c r="S125" s="2"/>
      <c r="T125" s="2" t="s">
        <v>1428</v>
      </c>
      <c r="U125" s="2" t="s">
        <v>1429</v>
      </c>
      <c r="V125" s="2" t="s">
        <v>95</v>
      </c>
      <c r="W125" s="2" t="s">
        <v>96</v>
      </c>
      <c r="X125" s="2" t="s">
        <v>141</v>
      </c>
      <c r="Y125" s="2" t="s">
        <v>98</v>
      </c>
      <c r="Z125" s="2" t="s">
        <v>99</v>
      </c>
      <c r="AA125" s="2" t="s">
        <v>142</v>
      </c>
      <c r="AB125" s="2" t="s">
        <v>101</v>
      </c>
      <c r="AC125" s="2">
        <v>72.47</v>
      </c>
      <c r="AD125" s="2">
        <v>96.67</v>
      </c>
      <c r="AE125" s="2">
        <v>82.78</v>
      </c>
      <c r="AF125" s="2" t="s">
        <v>1430</v>
      </c>
      <c r="AG125" s="2" t="s">
        <v>194</v>
      </c>
      <c r="AH125" s="2" t="s">
        <v>1431</v>
      </c>
      <c r="AI125" s="2">
        <v>1.6</v>
      </c>
      <c r="AJ125" s="2">
        <v>20.866148634898799</v>
      </c>
      <c r="AK125" s="2">
        <v>20.662817399884201</v>
      </c>
      <c r="AL125" s="2">
        <v>20.5044083657036</v>
      </c>
      <c r="AM125" s="2">
        <v>20.648135488264</v>
      </c>
      <c r="AN125" s="2">
        <v>20.667159032569899</v>
      </c>
      <c r="AO125" s="2">
        <v>20.713685537794699</v>
      </c>
      <c r="AP125" s="2">
        <v>20.643340420407799</v>
      </c>
      <c r="AQ125" s="2">
        <v>20.655472270406001</v>
      </c>
      <c r="AR125" s="2">
        <v>20.802641439380398</v>
      </c>
      <c r="AS125" s="2">
        <v>20.154743152117401</v>
      </c>
      <c r="AT125" s="2">
        <v>20.734560001449299</v>
      </c>
      <c r="AU125" s="2">
        <v>20.7860272173744</v>
      </c>
      <c r="AV125" s="2">
        <v>20.8846533269841</v>
      </c>
      <c r="AW125" s="2">
        <v>20.905602941507102</v>
      </c>
      <c r="AX125" s="2">
        <v>20.665331735645498</v>
      </c>
      <c r="AY125" s="2">
        <v>20.653193913465898</v>
      </c>
      <c r="AZ125" s="2">
        <v>19.4595568115719</v>
      </c>
      <c r="BA125" s="2">
        <v>20.059170234864499</v>
      </c>
      <c r="BB125" s="2">
        <v>20.4437693884677</v>
      </c>
      <c r="BC125" s="2">
        <v>21.100374817616199</v>
      </c>
      <c r="BD125" s="2">
        <v>20.4070649872011</v>
      </c>
      <c r="BE125" s="2">
        <v>21.476369508733601</v>
      </c>
      <c r="BF125" s="2">
        <v>19.596051427893201</v>
      </c>
      <c r="BG125" s="2">
        <v>19.1968097160646</v>
      </c>
      <c r="BH125" s="2">
        <v>21.111039401920401</v>
      </c>
      <c r="BI125" s="2">
        <v>20.0917086396217</v>
      </c>
      <c r="BJ125" s="2">
        <v>21.174131706594</v>
      </c>
      <c r="BK125" s="2">
        <v>20.056183388317201</v>
      </c>
      <c r="BL125" s="2">
        <v>20.248731371705102</v>
      </c>
      <c r="BM125" s="2">
        <v>20.431168790278502</v>
      </c>
      <c r="BN125" s="2">
        <v>20.8611690884307</v>
      </c>
      <c r="BO125" s="2">
        <v>20.0300334582112</v>
      </c>
      <c r="BP125" s="2">
        <v>20.223304144412001</v>
      </c>
      <c r="BQ125" s="2">
        <v>20.7347646019509</v>
      </c>
      <c r="BR125" s="2">
        <v>20.6485618159235</v>
      </c>
      <c r="BS125" s="2">
        <v>21.593731215968301</v>
      </c>
      <c r="BT125" s="2">
        <v>19.465533623521999</v>
      </c>
      <c r="BU125" s="2">
        <v>21.131491728934801</v>
      </c>
      <c r="BV125" s="2">
        <v>20.3586142668983</v>
      </c>
      <c r="BW125" s="2">
        <v>20.978719786460701</v>
      </c>
      <c r="BX125" s="2">
        <v>19.8286738980959</v>
      </c>
      <c r="BY125" s="2">
        <v>20.995238813137099</v>
      </c>
      <c r="BZ125" s="2">
        <v>20.366619799175201</v>
      </c>
      <c r="CA125" s="2">
        <v>20.451257241912799</v>
      </c>
      <c r="CB125" s="2">
        <v>20.002547605368701</v>
      </c>
      <c r="CC125" s="2">
        <v>19.758543447643</v>
      </c>
      <c r="CD125" s="2">
        <v>20.675240736683701</v>
      </c>
      <c r="CE125" s="2">
        <v>20.294107582341201</v>
      </c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</row>
    <row r="126" spans="1:97">
      <c r="A126" s="2" t="s">
        <v>1432</v>
      </c>
      <c r="B126" s="2">
        <v>391.28480000000002</v>
      </c>
      <c r="C126" s="2">
        <v>9.0470000000000006</v>
      </c>
      <c r="D126" s="2" t="s">
        <v>146</v>
      </c>
      <c r="E126" s="2" t="s">
        <v>1433</v>
      </c>
      <c r="F126" s="2" t="s">
        <v>1434</v>
      </c>
      <c r="G126" s="2">
        <v>45887</v>
      </c>
      <c r="H126" s="3" t="str">
        <f>HYPERLINK("https://cloud.oebiotech.com/#/lm/network/45887", "https://cloud.oebiotech.com/#/lm/network/45887")</f>
        <v>https://cloud.oebiotech.com/#/lm/network/45887</v>
      </c>
      <c r="I126" s="2" t="s">
        <v>1435</v>
      </c>
      <c r="J126" s="2"/>
      <c r="K126" s="2" t="s">
        <v>1436</v>
      </c>
      <c r="L126" s="2">
        <v>5283820</v>
      </c>
      <c r="M126" s="2"/>
      <c r="N126" s="2"/>
      <c r="O126" s="2"/>
      <c r="P126" s="2">
        <v>52023</v>
      </c>
      <c r="Q126" s="2"/>
      <c r="R126" s="2"/>
      <c r="S126" s="2" t="s">
        <v>1437</v>
      </c>
      <c r="T126" s="2" t="s">
        <v>1438</v>
      </c>
      <c r="U126" s="2" t="s">
        <v>1439</v>
      </c>
      <c r="V126" s="2" t="s">
        <v>95</v>
      </c>
      <c r="W126" s="2" t="s">
        <v>152</v>
      </c>
      <c r="X126" s="2" t="s">
        <v>278</v>
      </c>
      <c r="Y126" s="2" t="s">
        <v>98</v>
      </c>
      <c r="Z126" s="2" t="s">
        <v>154</v>
      </c>
      <c r="AA126" s="2" t="s">
        <v>279</v>
      </c>
      <c r="AB126" s="2" t="s">
        <v>101</v>
      </c>
      <c r="AC126" s="2">
        <v>72.430000000000007</v>
      </c>
      <c r="AD126" s="2">
        <v>84.32</v>
      </c>
      <c r="AE126" s="2">
        <v>99.83</v>
      </c>
      <c r="AF126" s="2" t="s">
        <v>1440</v>
      </c>
      <c r="AG126" s="2" t="s">
        <v>194</v>
      </c>
      <c r="AH126" s="2" t="s">
        <v>712</v>
      </c>
      <c r="AI126" s="2">
        <v>1.53</v>
      </c>
      <c r="AJ126" s="2">
        <v>18.599273656485298</v>
      </c>
      <c r="AK126" s="2">
        <v>18.9233852324598</v>
      </c>
      <c r="AL126" s="2">
        <v>18.828352558563701</v>
      </c>
      <c r="AM126" s="2">
        <v>18.895287619929899</v>
      </c>
      <c r="AN126" s="2">
        <v>18.8104092433368</v>
      </c>
      <c r="AO126" s="2">
        <v>18.802123307690799</v>
      </c>
      <c r="AP126" s="2">
        <v>18.846844238881001</v>
      </c>
      <c r="AQ126" s="2">
        <v>18.745144152229301</v>
      </c>
      <c r="AR126" s="2">
        <v>13.412956136750299</v>
      </c>
      <c r="AS126" s="2">
        <v>9.6233145402724691</v>
      </c>
      <c r="AT126" s="2">
        <v>9.6233145402724691</v>
      </c>
      <c r="AU126" s="2">
        <v>17.6452624136559</v>
      </c>
      <c r="AV126" s="2">
        <v>15.285643876051299</v>
      </c>
      <c r="AW126" s="2">
        <v>19.8748881093696</v>
      </c>
      <c r="AX126" s="2">
        <v>16.4945020221482</v>
      </c>
      <c r="AY126" s="2">
        <v>16.179370893928301</v>
      </c>
      <c r="AZ126" s="2">
        <v>16.196431345765198</v>
      </c>
      <c r="BA126" s="2">
        <v>17.972430259546101</v>
      </c>
      <c r="BB126" s="2">
        <v>18.4819674630638</v>
      </c>
      <c r="BC126" s="2">
        <v>19.818677691205501</v>
      </c>
      <c r="BD126" s="2">
        <v>9.6233145402724691</v>
      </c>
      <c r="BE126" s="2">
        <v>18.809254906172701</v>
      </c>
      <c r="BF126" s="2">
        <v>16.699200453738499</v>
      </c>
      <c r="BG126" s="2">
        <v>20.145550403976699</v>
      </c>
      <c r="BH126" s="2">
        <v>12.4710680371428</v>
      </c>
      <c r="BI126" s="2">
        <v>18.152795217902501</v>
      </c>
      <c r="BJ126" s="2">
        <v>19.1195308834183</v>
      </c>
      <c r="BK126" s="2">
        <v>17.299270276204901</v>
      </c>
      <c r="BL126" s="2">
        <v>17.774955665246001</v>
      </c>
      <c r="BM126" s="2">
        <v>16.657222555189499</v>
      </c>
      <c r="BN126" s="2">
        <v>14.481058977705199</v>
      </c>
      <c r="BO126" s="2">
        <v>16.9741014087104</v>
      </c>
      <c r="BP126" s="2">
        <v>17.943139088961299</v>
      </c>
      <c r="BQ126" s="2">
        <v>19.068321722777299</v>
      </c>
      <c r="BR126" s="2">
        <v>17.923361263365798</v>
      </c>
      <c r="BS126" s="2">
        <v>16.7382398052311</v>
      </c>
      <c r="BT126" s="2">
        <v>11.9061277192229</v>
      </c>
      <c r="BU126" s="2">
        <v>14.081385235619701</v>
      </c>
      <c r="BV126" s="2">
        <v>19.0409141500324</v>
      </c>
      <c r="BW126" s="2">
        <v>18.168821983064799</v>
      </c>
      <c r="BX126" s="2">
        <v>9.6233145402724691</v>
      </c>
      <c r="BY126" s="2">
        <v>16.384820673495899</v>
      </c>
      <c r="BZ126" s="2">
        <v>17.535494856885698</v>
      </c>
      <c r="CA126" s="2">
        <v>20.025743375699399</v>
      </c>
      <c r="CB126" s="2">
        <v>18.184049918415202</v>
      </c>
      <c r="CC126" s="2">
        <v>19.043525127256899</v>
      </c>
      <c r="CD126" s="2">
        <v>18.354750680275199</v>
      </c>
      <c r="CE126" s="2">
        <v>15.7448503893036</v>
      </c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</row>
    <row r="127" spans="1:97">
      <c r="A127" s="2" t="s">
        <v>1441</v>
      </c>
      <c r="B127" s="2">
        <v>218.99642</v>
      </c>
      <c r="C127" s="2">
        <v>4.1260000000000003</v>
      </c>
      <c r="D127" s="2" t="s">
        <v>146</v>
      </c>
      <c r="E127" s="2" t="s">
        <v>1442</v>
      </c>
      <c r="F127" s="2" t="s">
        <v>1443</v>
      </c>
      <c r="G127" s="2">
        <v>257687</v>
      </c>
      <c r="H127" s="3" t="str">
        <f>HYPERLINK("https://cloud.oebiotech.com/#/lm/network/257687", "https://cloud.oebiotech.com/#/lm/network/257687")</f>
        <v>https://cloud.oebiotech.com/#/lm/network/257687</v>
      </c>
      <c r="I127" s="2" t="s">
        <v>1444</v>
      </c>
      <c r="J127" s="2"/>
      <c r="K127" s="2"/>
      <c r="L127" s="2">
        <v>11867</v>
      </c>
      <c r="M127" s="2"/>
      <c r="N127" s="2"/>
      <c r="O127" s="2"/>
      <c r="P127" s="2">
        <v>71049</v>
      </c>
      <c r="Q127" s="2"/>
      <c r="R127" s="2"/>
      <c r="S127" s="2"/>
      <c r="T127" s="2" t="s">
        <v>1445</v>
      </c>
      <c r="U127" s="2" t="s">
        <v>1446</v>
      </c>
      <c r="V127" s="2" t="s">
        <v>385</v>
      </c>
      <c r="W127" s="2" t="s">
        <v>386</v>
      </c>
      <c r="X127" s="2" t="s">
        <v>1447</v>
      </c>
      <c r="Y127" s="2" t="s">
        <v>388</v>
      </c>
      <c r="Z127" s="2" t="s">
        <v>389</v>
      </c>
      <c r="AA127" s="2" t="s">
        <v>1448</v>
      </c>
      <c r="AB127" s="2" t="s">
        <v>101</v>
      </c>
      <c r="AC127" s="2">
        <v>72.400000000000006</v>
      </c>
      <c r="AD127" s="2">
        <v>94.71</v>
      </c>
      <c r="AE127" s="2">
        <v>95.54</v>
      </c>
      <c r="AF127" s="2" t="s">
        <v>1449</v>
      </c>
      <c r="AG127" s="2" t="s">
        <v>157</v>
      </c>
      <c r="AH127" s="2" t="s">
        <v>869</v>
      </c>
      <c r="AI127" s="2">
        <v>2.2799999999999998</v>
      </c>
      <c r="AJ127" s="2">
        <v>21.2094282340036</v>
      </c>
      <c r="AK127" s="2">
        <v>21.075912677860799</v>
      </c>
      <c r="AL127" s="2">
        <v>21.458353941922098</v>
      </c>
      <c r="AM127" s="2">
        <v>21.254755800874701</v>
      </c>
      <c r="AN127" s="2">
        <v>21.241321987139699</v>
      </c>
      <c r="AO127" s="2">
        <v>21.1339672638127</v>
      </c>
      <c r="AP127" s="2">
        <v>21.232225069932198</v>
      </c>
      <c r="AQ127" s="2">
        <v>21.1167785231486</v>
      </c>
      <c r="AR127" s="2">
        <v>16.3172986620785</v>
      </c>
      <c r="AS127" s="2">
        <v>13.753026578406001</v>
      </c>
      <c r="AT127" s="2">
        <v>16.1880177431626</v>
      </c>
      <c r="AU127" s="2">
        <v>18.501570619259201</v>
      </c>
      <c r="AV127" s="2">
        <v>18.0212694425386</v>
      </c>
      <c r="AW127" s="2">
        <v>17.236838350945199</v>
      </c>
      <c r="AX127" s="2">
        <v>12.1639798103835</v>
      </c>
      <c r="AY127" s="2">
        <v>15.620232428411001</v>
      </c>
      <c r="AZ127" s="2">
        <v>12.3904618731078</v>
      </c>
      <c r="BA127" s="2">
        <v>16.463136539380901</v>
      </c>
      <c r="BB127" s="2">
        <v>24.7041764878742</v>
      </c>
      <c r="BC127" s="2">
        <v>19.2456775273258</v>
      </c>
      <c r="BD127" s="2">
        <v>14.940124988233199</v>
      </c>
      <c r="BE127" s="2">
        <v>15.3455105895504</v>
      </c>
      <c r="BF127" s="2">
        <v>18.696488392893901</v>
      </c>
      <c r="BG127" s="2">
        <v>18.4075710465805</v>
      </c>
      <c r="BH127" s="2">
        <v>13.386810946472201</v>
      </c>
      <c r="BI127" s="2">
        <v>24.859837142509701</v>
      </c>
      <c r="BJ127" s="2">
        <v>17.332633729454901</v>
      </c>
      <c r="BK127" s="2">
        <v>20.948093393397901</v>
      </c>
      <c r="BL127" s="2">
        <v>16.144985584039802</v>
      </c>
      <c r="BM127" s="2">
        <v>16.941793389983701</v>
      </c>
      <c r="BN127" s="2">
        <v>20.154797791349399</v>
      </c>
      <c r="BO127" s="2">
        <v>22.2375971412052</v>
      </c>
      <c r="BP127" s="2">
        <v>19.207091413278199</v>
      </c>
      <c r="BQ127" s="2">
        <v>21.531442778892899</v>
      </c>
      <c r="BR127" s="2">
        <v>23.013072181519501</v>
      </c>
      <c r="BS127" s="2">
        <v>20.6401691141395</v>
      </c>
      <c r="BT127" s="2">
        <v>11.689526311203201</v>
      </c>
      <c r="BU127" s="2">
        <v>20.750506940566801</v>
      </c>
      <c r="BV127" s="2">
        <v>23.318959204111401</v>
      </c>
      <c r="BW127" s="2">
        <v>17.282489397375201</v>
      </c>
      <c r="BX127" s="2">
        <v>18.789694073468699</v>
      </c>
      <c r="BY127" s="2">
        <v>21.021300840808198</v>
      </c>
      <c r="BZ127" s="2">
        <v>22.142298281641601</v>
      </c>
      <c r="CA127" s="2">
        <v>21.448822383803101</v>
      </c>
      <c r="CB127" s="2">
        <v>20.6011347474841</v>
      </c>
      <c r="CC127" s="2">
        <v>17.225376069188901</v>
      </c>
      <c r="CD127" s="2">
        <v>18.148502500406799</v>
      </c>
      <c r="CE127" s="2">
        <v>21.304613369946999</v>
      </c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</row>
    <row r="128" spans="1:97">
      <c r="A128" s="2" t="s">
        <v>1450</v>
      </c>
      <c r="B128" s="2">
        <v>464.31385999999998</v>
      </c>
      <c r="C128" s="2">
        <v>11.848000000000001</v>
      </c>
      <c r="D128" s="2" t="s">
        <v>146</v>
      </c>
      <c r="E128" s="2" t="s">
        <v>1451</v>
      </c>
      <c r="F128" s="2" t="s">
        <v>1452</v>
      </c>
      <c r="G128" s="2">
        <v>21239</v>
      </c>
      <c r="H128" s="3" t="str">
        <f>HYPERLINK("https://cloud.oebiotech.com/#/lm/network/21239", "https://cloud.oebiotech.com/#/lm/network/21239")</f>
        <v>https://cloud.oebiotech.com/#/lm/network/21239</v>
      </c>
      <c r="I128" s="2"/>
      <c r="J128" s="2">
        <v>46718</v>
      </c>
      <c r="K128" s="2" t="s">
        <v>1453</v>
      </c>
      <c r="L128" s="2">
        <v>42607468</v>
      </c>
      <c r="M128" s="2"/>
      <c r="N128" s="2"/>
      <c r="O128" s="2"/>
      <c r="P128" s="2">
        <v>137157</v>
      </c>
      <c r="Q128" s="2"/>
      <c r="R128" s="2"/>
      <c r="S128" s="2"/>
      <c r="T128" s="2" t="s">
        <v>1454</v>
      </c>
      <c r="U128" s="2" t="s">
        <v>1455</v>
      </c>
      <c r="V128" s="2" t="s">
        <v>95</v>
      </c>
      <c r="W128" s="2" t="s">
        <v>202</v>
      </c>
      <c r="X128" s="2" t="s">
        <v>327</v>
      </c>
      <c r="Y128" s="2" t="s">
        <v>98</v>
      </c>
      <c r="Z128" s="2" t="s">
        <v>204</v>
      </c>
      <c r="AA128" s="2" t="s">
        <v>328</v>
      </c>
      <c r="AB128" s="2" t="s">
        <v>101</v>
      </c>
      <c r="AC128" s="2">
        <v>72.39</v>
      </c>
      <c r="AD128" s="2">
        <v>95.72</v>
      </c>
      <c r="AE128" s="2">
        <v>94.19</v>
      </c>
      <c r="AF128" s="2" t="s">
        <v>1456</v>
      </c>
      <c r="AG128" s="2" t="s">
        <v>194</v>
      </c>
      <c r="AH128" s="2" t="s">
        <v>1457</v>
      </c>
      <c r="AI128" s="2">
        <v>1.51</v>
      </c>
      <c r="AJ128" s="2">
        <v>22.109596078689599</v>
      </c>
      <c r="AK128" s="2">
        <v>22.004207975641499</v>
      </c>
      <c r="AL128" s="2">
        <v>21.929190217142601</v>
      </c>
      <c r="AM128" s="2">
        <v>21.533058497049399</v>
      </c>
      <c r="AN128" s="2">
        <v>22.107540880904299</v>
      </c>
      <c r="AO128" s="2">
        <v>22.2085778708446</v>
      </c>
      <c r="AP128" s="2">
        <v>22.1383394799199</v>
      </c>
      <c r="AQ128" s="2">
        <v>22.2385728681502</v>
      </c>
      <c r="AR128" s="2">
        <v>22.0373868908741</v>
      </c>
      <c r="AS128" s="2">
        <v>19.438946049910001</v>
      </c>
      <c r="AT128" s="2">
        <v>21.084244711978201</v>
      </c>
      <c r="AU128" s="2">
        <v>20.953311738643698</v>
      </c>
      <c r="AV128" s="2">
        <v>21.509718628624199</v>
      </c>
      <c r="AW128" s="2">
        <v>20.753920300223101</v>
      </c>
      <c r="AX128" s="2">
        <v>21.879331883637899</v>
      </c>
      <c r="AY128" s="2">
        <v>21.625072217941899</v>
      </c>
      <c r="AZ128" s="2">
        <v>21.9916315492389</v>
      </c>
      <c r="BA128" s="2">
        <v>20.949414322386598</v>
      </c>
      <c r="BB128" s="2">
        <v>21.9091868663442</v>
      </c>
      <c r="BC128" s="2">
        <v>22.243931578723899</v>
      </c>
      <c r="BD128" s="2">
        <v>21.7886322521388</v>
      </c>
      <c r="BE128" s="2">
        <v>22.322847207543798</v>
      </c>
      <c r="BF128" s="2">
        <v>21.3374075324197</v>
      </c>
      <c r="BG128" s="2">
        <v>21.7120021846554</v>
      </c>
      <c r="BH128" s="2">
        <v>22.816010872072599</v>
      </c>
      <c r="BI128" s="2">
        <v>21.5054389902797</v>
      </c>
      <c r="BJ128" s="2">
        <v>21.386539410627002</v>
      </c>
      <c r="BK128" s="2">
        <v>21.2577791456978</v>
      </c>
      <c r="BL128" s="2">
        <v>21.6224101235277</v>
      </c>
      <c r="BM128" s="2">
        <v>21.656917429559101</v>
      </c>
      <c r="BN128" s="2">
        <v>21.809950973507899</v>
      </c>
      <c r="BO128" s="2">
        <v>20.989773940210601</v>
      </c>
      <c r="BP128" s="2">
        <v>21.555333146932501</v>
      </c>
      <c r="BQ128" s="2">
        <v>21.538730496679101</v>
      </c>
      <c r="BR128" s="2">
        <v>21.5368485311188</v>
      </c>
      <c r="BS128" s="2">
        <v>21.708413188001799</v>
      </c>
      <c r="BT128" s="2">
        <v>21.582955709969202</v>
      </c>
      <c r="BU128" s="2">
        <v>21.474111642706902</v>
      </c>
      <c r="BV128" s="2">
        <v>21.931385212773701</v>
      </c>
      <c r="BW128" s="2">
        <v>21.4165279751812</v>
      </c>
      <c r="BX128" s="2">
        <v>21.961396284492299</v>
      </c>
      <c r="BY128" s="2">
        <v>22.7019824357136</v>
      </c>
      <c r="BZ128" s="2">
        <v>20.929399456105301</v>
      </c>
      <c r="CA128" s="2">
        <v>21.483161167725001</v>
      </c>
      <c r="CB128" s="2">
        <v>21.700253456844599</v>
      </c>
      <c r="CC128" s="2">
        <v>20.7381995055297</v>
      </c>
      <c r="CD128" s="2">
        <v>21.496779197346399</v>
      </c>
      <c r="CE128" s="2">
        <v>20.859694690921501</v>
      </c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</row>
    <row r="129" spans="1:97">
      <c r="A129" s="2" t="s">
        <v>1458</v>
      </c>
      <c r="B129" s="2">
        <v>283.19094999999999</v>
      </c>
      <c r="C129" s="2">
        <v>9.8230000000000004</v>
      </c>
      <c r="D129" s="2" t="s">
        <v>146</v>
      </c>
      <c r="E129" s="2" t="s">
        <v>1459</v>
      </c>
      <c r="F129" s="2" t="s">
        <v>1460</v>
      </c>
      <c r="G129" s="2">
        <v>61625</v>
      </c>
      <c r="H129" s="3" t="str">
        <f>HYPERLINK("https://cloud.oebiotech.com/#/lm/network/61625", "https://cloud.oebiotech.com/#/lm/network/61625")</f>
        <v>https://cloud.oebiotech.com/#/lm/network/61625</v>
      </c>
      <c r="I129" s="2" t="s">
        <v>1461</v>
      </c>
      <c r="J129" s="2">
        <v>71333</v>
      </c>
      <c r="K129" s="2"/>
      <c r="L129" s="2">
        <v>117301</v>
      </c>
      <c r="M129" s="2" t="s">
        <v>1462</v>
      </c>
      <c r="N129" s="2"/>
      <c r="O129" s="2"/>
      <c r="P129" s="2">
        <v>80720</v>
      </c>
      <c r="Q129" s="2"/>
      <c r="R129" s="2"/>
      <c r="S129" s="2" t="s">
        <v>1463</v>
      </c>
      <c r="T129" s="2" t="s">
        <v>1464</v>
      </c>
      <c r="U129" s="2" t="s">
        <v>1465</v>
      </c>
      <c r="V129" s="2" t="s">
        <v>553</v>
      </c>
      <c r="W129" s="2" t="s">
        <v>1466</v>
      </c>
      <c r="X129" s="2" t="s">
        <v>375</v>
      </c>
      <c r="Y129" s="2" t="s">
        <v>556</v>
      </c>
      <c r="Z129" s="2" t="s">
        <v>1467</v>
      </c>
      <c r="AA129" s="2"/>
      <c r="AB129" s="2" t="s">
        <v>101</v>
      </c>
      <c r="AC129" s="2">
        <v>72.38</v>
      </c>
      <c r="AD129" s="2">
        <v>96.08</v>
      </c>
      <c r="AE129" s="2">
        <v>85.49</v>
      </c>
      <c r="AF129" s="2" t="s">
        <v>1468</v>
      </c>
      <c r="AG129" s="2" t="s">
        <v>157</v>
      </c>
      <c r="AH129" s="2" t="s">
        <v>1469</v>
      </c>
      <c r="AI129" s="2">
        <v>2.12</v>
      </c>
      <c r="AJ129" s="2">
        <v>20.7900051612678</v>
      </c>
      <c r="AK129" s="2">
        <v>21.022158531476801</v>
      </c>
      <c r="AL129" s="2">
        <v>20.8485843179065</v>
      </c>
      <c r="AM129" s="2">
        <v>21.0114778084946</v>
      </c>
      <c r="AN129" s="2">
        <v>20.998135900785499</v>
      </c>
      <c r="AO129" s="2">
        <v>20.8446895150629</v>
      </c>
      <c r="AP129" s="2">
        <v>20.820460352892201</v>
      </c>
      <c r="AQ129" s="2">
        <v>20.879580617304502</v>
      </c>
      <c r="AR129" s="2">
        <v>21.6151362464045</v>
      </c>
      <c r="AS129" s="2">
        <v>19.701519479325299</v>
      </c>
      <c r="AT129" s="2">
        <v>20.276875461917399</v>
      </c>
      <c r="AU129" s="2">
        <v>20.364745037784299</v>
      </c>
      <c r="AV129" s="2">
        <v>20.8107549111004</v>
      </c>
      <c r="AW129" s="2">
        <v>21.4657232514665</v>
      </c>
      <c r="AX129" s="2">
        <v>20.621457776580598</v>
      </c>
      <c r="AY129" s="2">
        <v>21.228028972211799</v>
      </c>
      <c r="AZ129" s="2">
        <v>19.048621582886</v>
      </c>
      <c r="BA129" s="2">
        <v>19.331693850976901</v>
      </c>
      <c r="BB129" s="2">
        <v>20.462049951613999</v>
      </c>
      <c r="BC129" s="2">
        <v>20.738013572906699</v>
      </c>
      <c r="BD129" s="2">
        <v>19.602516342112299</v>
      </c>
      <c r="BE129" s="2">
        <v>21.214449732943599</v>
      </c>
      <c r="BF129" s="2">
        <v>20.255033354475099</v>
      </c>
      <c r="BG129" s="2">
        <v>19.162453534591101</v>
      </c>
      <c r="BH129" s="2">
        <v>22.213618283877299</v>
      </c>
      <c r="BI129" s="2">
        <v>20.550367586655302</v>
      </c>
      <c r="BJ129" s="2">
        <v>21.262770101617999</v>
      </c>
      <c r="BK129" s="2">
        <v>21.196677677111101</v>
      </c>
      <c r="BL129" s="2">
        <v>20.383564462608199</v>
      </c>
      <c r="BM129" s="2">
        <v>20.080441490572699</v>
      </c>
      <c r="BN129" s="2">
        <v>21.622348887728801</v>
      </c>
      <c r="BO129" s="2">
        <v>19.664403654557901</v>
      </c>
      <c r="BP129" s="2">
        <v>19.470606151724699</v>
      </c>
      <c r="BQ129" s="2">
        <v>20.787723553350499</v>
      </c>
      <c r="BR129" s="2">
        <v>21.233330546164499</v>
      </c>
      <c r="BS129" s="2">
        <v>21.985317387460299</v>
      </c>
      <c r="BT129" s="2">
        <v>19.797847565416401</v>
      </c>
      <c r="BU129" s="2">
        <v>20.252265058127399</v>
      </c>
      <c r="BV129" s="2">
        <v>19.278696683327802</v>
      </c>
      <c r="BW129" s="2">
        <v>21.1240277810073</v>
      </c>
      <c r="BX129" s="2">
        <v>20.272955476689098</v>
      </c>
      <c r="BY129" s="2">
        <v>22.935064132571299</v>
      </c>
      <c r="BZ129" s="2">
        <v>20.743818099832801</v>
      </c>
      <c r="CA129" s="2">
        <v>21.196723212047502</v>
      </c>
      <c r="CB129" s="2">
        <v>20.743495559175301</v>
      </c>
      <c r="CC129" s="2">
        <v>20.1012921051767</v>
      </c>
      <c r="CD129" s="2">
        <v>20.618244347257601</v>
      </c>
      <c r="CE129" s="2">
        <v>20.734778872053099</v>
      </c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</row>
    <row r="130" spans="1:97">
      <c r="A130" s="2" t="s">
        <v>1470</v>
      </c>
      <c r="B130" s="2">
        <v>335.04741000000001</v>
      </c>
      <c r="C130" s="2">
        <v>0.76300000000000001</v>
      </c>
      <c r="D130" s="2" t="s">
        <v>146</v>
      </c>
      <c r="E130" s="2" t="s">
        <v>1471</v>
      </c>
      <c r="F130" s="2" t="s">
        <v>1472</v>
      </c>
      <c r="G130" s="2">
        <v>198627</v>
      </c>
      <c r="H130" s="3" t="str">
        <f>HYPERLINK("https://cloud.oebiotech.com/#/lm/network/198627", "https://cloud.oebiotech.com/#/lm/network/198627")</f>
        <v>https://cloud.oebiotech.com/#/lm/network/198627</v>
      </c>
      <c r="I130" s="2" t="s">
        <v>1473</v>
      </c>
      <c r="J130" s="2"/>
      <c r="K130" s="2"/>
      <c r="L130" s="2"/>
      <c r="M130" s="2"/>
      <c r="N130" s="2"/>
      <c r="O130" s="2"/>
      <c r="P130" s="2">
        <v>133040</v>
      </c>
      <c r="Q130" s="2"/>
      <c r="R130" s="2"/>
      <c r="S130" s="2"/>
      <c r="T130" s="2" t="s">
        <v>1474</v>
      </c>
      <c r="U130" s="2" t="s">
        <v>1475</v>
      </c>
      <c r="V130" s="2" t="s">
        <v>115</v>
      </c>
      <c r="W130" s="2" t="s">
        <v>116</v>
      </c>
      <c r="X130" s="2" t="s">
        <v>117</v>
      </c>
      <c r="Y130" s="2" t="s">
        <v>118</v>
      </c>
      <c r="Z130" s="2" t="s">
        <v>119</v>
      </c>
      <c r="AA130" s="2" t="s">
        <v>120</v>
      </c>
      <c r="AB130" s="2" t="s">
        <v>101</v>
      </c>
      <c r="AC130" s="2">
        <v>72.31</v>
      </c>
      <c r="AD130" s="2">
        <v>91.54</v>
      </c>
      <c r="AE130" s="2">
        <v>93.94</v>
      </c>
      <c r="AF130" s="2" t="s">
        <v>1476</v>
      </c>
      <c r="AG130" s="2" t="s">
        <v>993</v>
      </c>
      <c r="AH130" s="2" t="s">
        <v>1477</v>
      </c>
      <c r="AI130" s="2">
        <v>2.98</v>
      </c>
      <c r="AJ130" s="2">
        <v>27.762545513379902</v>
      </c>
      <c r="AK130" s="2">
        <v>27.821417199577301</v>
      </c>
      <c r="AL130" s="2">
        <v>27.982201999459399</v>
      </c>
      <c r="AM130" s="2">
        <v>27.816430950986799</v>
      </c>
      <c r="AN130" s="2">
        <v>27.678204718781799</v>
      </c>
      <c r="AO130" s="2">
        <v>27.918546531400001</v>
      </c>
      <c r="AP130" s="2">
        <v>27.702317243510201</v>
      </c>
      <c r="AQ130" s="2">
        <v>27.7348423828502</v>
      </c>
      <c r="AR130" s="2">
        <v>27.0833144859381</v>
      </c>
      <c r="AS130" s="2">
        <v>27.538177688548501</v>
      </c>
      <c r="AT130" s="2">
        <v>27.915178470467598</v>
      </c>
      <c r="AU130" s="2">
        <v>27.578078538710901</v>
      </c>
      <c r="AV130" s="2">
        <v>27.824195036303301</v>
      </c>
      <c r="AW130" s="2">
        <v>27.984447753617602</v>
      </c>
      <c r="AX130" s="2">
        <v>27.8447361557362</v>
      </c>
      <c r="AY130" s="2">
        <v>27.866480102786898</v>
      </c>
      <c r="AZ130" s="2">
        <v>27.693838254310901</v>
      </c>
      <c r="BA130" s="2">
        <v>27.9890782770991</v>
      </c>
      <c r="BB130" s="2">
        <v>27.689338788994</v>
      </c>
      <c r="BC130" s="2">
        <v>26.365040015746398</v>
      </c>
      <c r="BD130" s="2">
        <v>27.901512670638901</v>
      </c>
      <c r="BE130" s="2">
        <v>28.240505153576201</v>
      </c>
      <c r="BF130" s="2">
        <v>27.436525887165299</v>
      </c>
      <c r="BG130" s="2">
        <v>27.939966287527501</v>
      </c>
      <c r="BH130" s="2">
        <v>28.084290636684202</v>
      </c>
      <c r="BI130" s="2">
        <v>27.851670591786899</v>
      </c>
      <c r="BJ130" s="2">
        <v>27.9462652489456</v>
      </c>
      <c r="BK130" s="2">
        <v>28.231859342952099</v>
      </c>
      <c r="BL130" s="2">
        <v>27.808372320323802</v>
      </c>
      <c r="BM130" s="2">
        <v>27.965774143263602</v>
      </c>
      <c r="BN130" s="2">
        <v>28.097709495670699</v>
      </c>
      <c r="BO130" s="2">
        <v>27.7943303612935</v>
      </c>
      <c r="BP130" s="2">
        <v>27.495955569262598</v>
      </c>
      <c r="BQ130" s="2">
        <v>28.110309168022301</v>
      </c>
      <c r="BR130" s="2">
        <v>27.863430060582701</v>
      </c>
      <c r="BS130" s="2">
        <v>27.9733093679632</v>
      </c>
      <c r="BT130" s="2">
        <v>27.422888489001</v>
      </c>
      <c r="BU130" s="2">
        <v>27.715337370536499</v>
      </c>
      <c r="BV130" s="2">
        <v>27.855348325289</v>
      </c>
      <c r="BW130" s="2">
        <v>26.583112607058801</v>
      </c>
      <c r="BX130" s="2">
        <v>27.795517000852101</v>
      </c>
      <c r="BY130" s="2">
        <v>28.086979955826401</v>
      </c>
      <c r="BZ130" s="2">
        <v>27.891633078294099</v>
      </c>
      <c r="CA130" s="2">
        <v>27.8889492775875</v>
      </c>
      <c r="CB130" s="2">
        <v>27.693971615116102</v>
      </c>
      <c r="CC130" s="2">
        <v>28.046301484618699</v>
      </c>
      <c r="CD130" s="2">
        <v>27.573009628196999</v>
      </c>
      <c r="CE130" s="2">
        <v>27.533217455360099</v>
      </c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</row>
    <row r="131" spans="1:97">
      <c r="A131" s="2" t="s">
        <v>1478</v>
      </c>
      <c r="B131" s="2">
        <v>463.30610000000001</v>
      </c>
      <c r="C131" s="2">
        <v>10.053000000000001</v>
      </c>
      <c r="D131" s="2" t="s">
        <v>146</v>
      </c>
      <c r="E131" s="2" t="s">
        <v>1479</v>
      </c>
      <c r="F131" s="2" t="s">
        <v>1480</v>
      </c>
      <c r="G131" s="2">
        <v>45235</v>
      </c>
      <c r="H131" s="3" t="str">
        <f>HYPERLINK("https://cloud.oebiotech.com/#/lm/network/45235", "https://cloud.oebiotech.com/#/lm/network/45235")</f>
        <v>https://cloud.oebiotech.com/#/lm/network/45235</v>
      </c>
      <c r="I131" s="2"/>
      <c r="J131" s="2"/>
      <c r="K131" s="2" t="s">
        <v>1481</v>
      </c>
      <c r="L131" s="2">
        <v>6438738</v>
      </c>
      <c r="M131" s="2"/>
      <c r="N131" s="2"/>
      <c r="O131" s="2"/>
      <c r="P131" s="2"/>
      <c r="Q131" s="2"/>
      <c r="R131" s="2"/>
      <c r="S131" s="2"/>
      <c r="T131" s="2" t="s">
        <v>1482</v>
      </c>
      <c r="U131" s="2" t="s">
        <v>1483</v>
      </c>
      <c r="V131" s="2" t="s">
        <v>95</v>
      </c>
      <c r="W131" s="2" t="s">
        <v>152</v>
      </c>
      <c r="X131" s="2" t="s">
        <v>1484</v>
      </c>
      <c r="Y131" s="2" t="s">
        <v>98</v>
      </c>
      <c r="Z131" s="2" t="s">
        <v>154</v>
      </c>
      <c r="AA131" s="2" t="s">
        <v>1485</v>
      </c>
      <c r="AB131" s="2" t="s">
        <v>101</v>
      </c>
      <c r="AC131" s="2">
        <v>72.27</v>
      </c>
      <c r="AD131" s="2">
        <v>94.03</v>
      </c>
      <c r="AE131" s="2">
        <v>84.56</v>
      </c>
      <c r="AF131" s="2" t="s">
        <v>1486</v>
      </c>
      <c r="AG131" s="2" t="s">
        <v>157</v>
      </c>
      <c r="AH131" s="2" t="s">
        <v>1487</v>
      </c>
      <c r="AI131" s="2">
        <v>0.86</v>
      </c>
      <c r="AJ131" s="2">
        <v>20.468050055468101</v>
      </c>
      <c r="AK131" s="2">
        <v>20.451702426034998</v>
      </c>
      <c r="AL131" s="2">
        <v>20.323283517785299</v>
      </c>
      <c r="AM131" s="2">
        <v>20.375836947800199</v>
      </c>
      <c r="AN131" s="2">
        <v>20.397624240259098</v>
      </c>
      <c r="AO131" s="2">
        <v>20.2978441912873</v>
      </c>
      <c r="AP131" s="2">
        <v>20.256130547034601</v>
      </c>
      <c r="AQ131" s="2">
        <v>20.350141119461501</v>
      </c>
      <c r="AR131" s="2">
        <v>21.0079757459369</v>
      </c>
      <c r="AS131" s="2">
        <v>18.938736652084501</v>
      </c>
      <c r="AT131" s="2">
        <v>21.508242853362599</v>
      </c>
      <c r="AU131" s="2">
        <v>19.503697225167599</v>
      </c>
      <c r="AV131" s="2">
        <v>19.888098318385001</v>
      </c>
      <c r="AW131" s="2">
        <v>21.133398717754599</v>
      </c>
      <c r="AX131" s="2">
        <v>20.190004180136899</v>
      </c>
      <c r="AY131" s="2">
        <v>19.404368802491899</v>
      </c>
      <c r="AZ131" s="2">
        <v>19.747238245719501</v>
      </c>
      <c r="BA131" s="2">
        <v>19.793654186877099</v>
      </c>
      <c r="BB131" s="2">
        <v>20.7540151585359</v>
      </c>
      <c r="BC131" s="2">
        <v>20.662286588417199</v>
      </c>
      <c r="BD131" s="2">
        <v>20.195984727687598</v>
      </c>
      <c r="BE131" s="2">
        <v>18.879984291469</v>
      </c>
      <c r="BF131" s="2">
        <v>19.3231975771604</v>
      </c>
      <c r="BG131" s="2">
        <v>18.6877087186826</v>
      </c>
      <c r="BH131" s="2">
        <v>20.1548167248868</v>
      </c>
      <c r="BI131" s="2">
        <v>20.504616716970499</v>
      </c>
      <c r="BJ131" s="2">
        <v>20.123200952811001</v>
      </c>
      <c r="BK131" s="2">
        <v>18.989864835867898</v>
      </c>
      <c r="BL131" s="2">
        <v>21.2179006908456</v>
      </c>
      <c r="BM131" s="2">
        <v>21.129903112459498</v>
      </c>
      <c r="BN131" s="2">
        <v>20.9657239198553</v>
      </c>
      <c r="BO131" s="2">
        <v>18.930404739589498</v>
      </c>
      <c r="BP131" s="2">
        <v>19.074971105246501</v>
      </c>
      <c r="BQ131" s="2">
        <v>21.8173713651009</v>
      </c>
      <c r="BR131" s="2">
        <v>18.935516349445098</v>
      </c>
      <c r="BS131" s="2">
        <v>18.535194449087498</v>
      </c>
      <c r="BT131" s="2">
        <v>18.888573697538401</v>
      </c>
      <c r="BU131" s="2">
        <v>20.072998312671398</v>
      </c>
      <c r="BV131" s="2">
        <v>21.765337341287999</v>
      </c>
      <c r="BW131" s="2">
        <v>19.815124576259901</v>
      </c>
      <c r="BX131" s="2">
        <v>20.5467419893398</v>
      </c>
      <c r="BY131" s="2">
        <v>19.833573808627001</v>
      </c>
      <c r="BZ131" s="2">
        <v>19.415269375170901</v>
      </c>
      <c r="CA131" s="2">
        <v>18.713660847410399</v>
      </c>
      <c r="CB131" s="2">
        <v>19.5019913180621</v>
      </c>
      <c r="CC131" s="2">
        <v>20.639657235109699</v>
      </c>
      <c r="CD131" s="2">
        <v>20.8218682650011</v>
      </c>
      <c r="CE131" s="2">
        <v>19.332819888209901</v>
      </c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</row>
    <row r="132" spans="1:97">
      <c r="A132" s="2" t="s">
        <v>1488</v>
      </c>
      <c r="B132" s="2">
        <v>454.29199999999997</v>
      </c>
      <c r="C132" s="2">
        <v>10.468999999999999</v>
      </c>
      <c r="D132" s="2" t="s">
        <v>84</v>
      </c>
      <c r="E132" s="2" t="s">
        <v>1489</v>
      </c>
      <c r="F132" s="2" t="s">
        <v>1490</v>
      </c>
      <c r="G132" s="2">
        <v>209928</v>
      </c>
      <c r="H132" s="3" t="str">
        <f>HYPERLINK("https://cloud.oebiotech.com/#/lm/network/209928", "https://cloud.oebiotech.com/#/lm/network/209928")</f>
        <v>https://cloud.oebiotech.com/#/lm/network/209928</v>
      </c>
      <c r="I132" s="2" t="s">
        <v>1491</v>
      </c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 t="s">
        <v>1492</v>
      </c>
      <c r="U132" s="2" t="s">
        <v>1493</v>
      </c>
      <c r="V132" s="2" t="s">
        <v>95</v>
      </c>
      <c r="W132" s="2" t="s">
        <v>202</v>
      </c>
      <c r="X132" s="2" t="s">
        <v>327</v>
      </c>
      <c r="Y132" s="2" t="s">
        <v>98</v>
      </c>
      <c r="Z132" s="2" t="s">
        <v>204</v>
      </c>
      <c r="AA132" s="2" t="s">
        <v>328</v>
      </c>
      <c r="AB132" s="2" t="s">
        <v>101</v>
      </c>
      <c r="AC132" s="2">
        <v>72.17</v>
      </c>
      <c r="AD132" s="2">
        <v>96.64</v>
      </c>
      <c r="AE132" s="2">
        <v>88.78</v>
      </c>
      <c r="AF132" s="2" t="s">
        <v>1494</v>
      </c>
      <c r="AG132" s="2" t="s">
        <v>103</v>
      </c>
      <c r="AH132" s="2" t="s">
        <v>569</v>
      </c>
      <c r="AI132" s="2">
        <v>1.76</v>
      </c>
      <c r="AJ132" s="2">
        <v>23.4064871513268</v>
      </c>
      <c r="AK132" s="2">
        <v>23.439356846431</v>
      </c>
      <c r="AL132" s="2">
        <v>23.323680845519199</v>
      </c>
      <c r="AM132" s="2">
        <v>23.443815095828999</v>
      </c>
      <c r="AN132" s="2">
        <v>23.363752614916201</v>
      </c>
      <c r="AO132" s="2">
        <v>23.504364578337199</v>
      </c>
      <c r="AP132" s="2">
        <v>23.407265109620401</v>
      </c>
      <c r="AQ132" s="2">
        <v>23.5038904291603</v>
      </c>
      <c r="AR132" s="2">
        <v>23.433779952806201</v>
      </c>
      <c r="AS132" s="2">
        <v>21.9739452619778</v>
      </c>
      <c r="AT132" s="2">
        <v>22.324893765105301</v>
      </c>
      <c r="AU132" s="2">
        <v>23.5521011533448</v>
      </c>
      <c r="AV132" s="2">
        <v>22.677465042049299</v>
      </c>
      <c r="AW132" s="2">
        <v>23.177204208148702</v>
      </c>
      <c r="AX132" s="2">
        <v>23.206535736485801</v>
      </c>
      <c r="AY132" s="2">
        <v>22.996473337018099</v>
      </c>
      <c r="AZ132" s="2">
        <v>23.548401468074001</v>
      </c>
      <c r="BA132" s="2">
        <v>22.3477632066983</v>
      </c>
      <c r="BB132" s="2">
        <v>22.831321168235601</v>
      </c>
      <c r="BC132" s="2">
        <v>23.2481758943883</v>
      </c>
      <c r="BD132" s="2">
        <v>23.195332202413201</v>
      </c>
      <c r="BE132" s="2">
        <v>23.310485198713799</v>
      </c>
      <c r="BF132" s="2">
        <v>23.721509211672199</v>
      </c>
      <c r="BG132" s="2">
        <v>23.8890070854603</v>
      </c>
      <c r="BH132" s="2">
        <v>23.294317975777801</v>
      </c>
      <c r="BI132" s="2">
        <v>23.2170646268981</v>
      </c>
      <c r="BJ132" s="2">
        <v>23.193970530367601</v>
      </c>
      <c r="BK132" s="2">
        <v>23.139062354426201</v>
      </c>
      <c r="BL132" s="2">
        <v>23.170593270593301</v>
      </c>
      <c r="BM132" s="2">
        <v>23.5683281409347</v>
      </c>
      <c r="BN132" s="2">
        <v>23.0735248422545</v>
      </c>
      <c r="BO132" s="2">
        <v>23.727164799866301</v>
      </c>
      <c r="BP132" s="2">
        <v>23.183168878935199</v>
      </c>
      <c r="BQ132" s="2">
        <v>23.4137241086034</v>
      </c>
      <c r="BR132" s="2">
        <v>23.908560775173001</v>
      </c>
      <c r="BS132" s="2">
        <v>23.728036941173201</v>
      </c>
      <c r="BT132" s="2">
        <v>23.614179844781699</v>
      </c>
      <c r="BU132" s="2">
        <v>23.518523111552</v>
      </c>
      <c r="BV132" s="2">
        <v>23.333830016918601</v>
      </c>
      <c r="BW132" s="2">
        <v>22.847605753520199</v>
      </c>
      <c r="BX132" s="2">
        <v>23.448454706223401</v>
      </c>
      <c r="BY132" s="2">
        <v>23.477526716009599</v>
      </c>
      <c r="BZ132" s="2">
        <v>23.470813325265802</v>
      </c>
      <c r="CA132" s="2">
        <v>24.188719028607601</v>
      </c>
      <c r="CB132" s="2">
        <v>22.736732559492498</v>
      </c>
      <c r="CC132" s="2">
        <v>22.289292510425099</v>
      </c>
      <c r="CD132" s="2">
        <v>23.6517485065058</v>
      </c>
      <c r="CE132" s="2">
        <v>22.691798619114401</v>
      </c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</row>
    <row r="133" spans="1:97">
      <c r="A133" s="2" t="s">
        <v>1495</v>
      </c>
      <c r="B133" s="2">
        <v>285.20657999999997</v>
      </c>
      <c r="C133" s="2">
        <v>10.243</v>
      </c>
      <c r="D133" s="2" t="s">
        <v>146</v>
      </c>
      <c r="E133" s="2" t="s">
        <v>1496</v>
      </c>
      <c r="F133" s="2" t="s">
        <v>1497</v>
      </c>
      <c r="G133" s="2">
        <v>2837</v>
      </c>
      <c r="H133" s="3" t="str">
        <f>HYPERLINK("https://cloud.oebiotech.com/#/lm/network/2837", "https://cloud.oebiotech.com/#/lm/network/2837")</f>
        <v>https://cloud.oebiotech.com/#/lm/network/2837</v>
      </c>
      <c r="I133" s="2" t="s">
        <v>1498</v>
      </c>
      <c r="J133" s="2">
        <v>5642</v>
      </c>
      <c r="K133" s="2" t="s">
        <v>1499</v>
      </c>
      <c r="L133" s="2">
        <v>10459</v>
      </c>
      <c r="M133" s="2" t="s">
        <v>1500</v>
      </c>
      <c r="N133" s="2"/>
      <c r="O133" s="2"/>
      <c r="P133" s="2">
        <v>73722</v>
      </c>
      <c r="Q133" s="2"/>
      <c r="R133" s="2"/>
      <c r="S133" s="2" t="s">
        <v>1501</v>
      </c>
      <c r="T133" s="2" t="s">
        <v>1502</v>
      </c>
      <c r="U133" s="2" t="s">
        <v>1503</v>
      </c>
      <c r="V133" s="2" t="s">
        <v>95</v>
      </c>
      <c r="W133" s="2" t="s">
        <v>96</v>
      </c>
      <c r="X133" s="2" t="s">
        <v>141</v>
      </c>
      <c r="Y133" s="2" t="s">
        <v>98</v>
      </c>
      <c r="Z133" s="2" t="s">
        <v>99</v>
      </c>
      <c r="AA133" s="2" t="s">
        <v>142</v>
      </c>
      <c r="AB133" s="2" t="s">
        <v>101</v>
      </c>
      <c r="AC133" s="2">
        <v>72.13</v>
      </c>
      <c r="AD133" s="2">
        <v>96.19</v>
      </c>
      <c r="AE133" s="2">
        <v>87.44</v>
      </c>
      <c r="AF133" s="2" t="s">
        <v>1504</v>
      </c>
      <c r="AG133" s="2" t="s">
        <v>194</v>
      </c>
      <c r="AH133" s="2" t="s">
        <v>1505</v>
      </c>
      <c r="AI133" s="2">
        <v>1.75</v>
      </c>
      <c r="AJ133" s="2">
        <v>20.943763731327198</v>
      </c>
      <c r="AK133" s="2">
        <v>21.274584636073399</v>
      </c>
      <c r="AL133" s="2">
        <v>20.977571412397101</v>
      </c>
      <c r="AM133" s="2">
        <v>20.756959410019899</v>
      </c>
      <c r="AN133" s="2">
        <v>20.926259606653598</v>
      </c>
      <c r="AO133" s="2">
        <v>21.448350471415502</v>
      </c>
      <c r="AP133" s="2">
        <v>20.8767395177439</v>
      </c>
      <c r="AQ133" s="2">
        <v>20.869962063360202</v>
      </c>
      <c r="AR133" s="2">
        <v>21.4467541249367</v>
      </c>
      <c r="AS133" s="2">
        <v>18.738181640013298</v>
      </c>
      <c r="AT133" s="2">
        <v>21.082547859658899</v>
      </c>
      <c r="AU133" s="2">
        <v>21.422878828078499</v>
      </c>
      <c r="AV133" s="2">
        <v>20.4241817720802</v>
      </c>
      <c r="AW133" s="2">
        <v>21.3568520329016</v>
      </c>
      <c r="AX133" s="2">
        <v>19.9474186624537</v>
      </c>
      <c r="AY133" s="2">
        <v>21.357785374756499</v>
      </c>
      <c r="AZ133" s="2">
        <v>20.118747452501701</v>
      </c>
      <c r="BA133" s="2">
        <v>19.494842071659299</v>
      </c>
      <c r="BB133" s="2">
        <v>21.226399227018799</v>
      </c>
      <c r="BC133" s="2">
        <v>20.281915915435</v>
      </c>
      <c r="BD133" s="2">
        <v>19.407658546351499</v>
      </c>
      <c r="BE133" s="2">
        <v>20.7750040046644</v>
      </c>
      <c r="BF133" s="2">
        <v>20.040776111353502</v>
      </c>
      <c r="BG133" s="2">
        <v>19.602421990897898</v>
      </c>
      <c r="BH133" s="2">
        <v>22.503176853900101</v>
      </c>
      <c r="BI133" s="2">
        <v>21.151848604853299</v>
      </c>
      <c r="BJ133" s="2">
        <v>21.493021662243901</v>
      </c>
      <c r="BK133" s="2">
        <v>20.776826477731301</v>
      </c>
      <c r="BL133" s="2">
        <v>21.129978044651601</v>
      </c>
      <c r="BM133" s="2">
        <v>21.142276106989002</v>
      </c>
      <c r="BN133" s="2">
        <v>20.7579387666248</v>
      </c>
      <c r="BO133" s="2">
        <v>20.356523583919699</v>
      </c>
      <c r="BP133" s="2">
        <v>20.324494203037101</v>
      </c>
      <c r="BQ133" s="2">
        <v>21.185297534160799</v>
      </c>
      <c r="BR133" s="2">
        <v>20.784259078818099</v>
      </c>
      <c r="BS133" s="2">
        <v>20.765341449194601</v>
      </c>
      <c r="BT133" s="2">
        <v>19.5885485243356</v>
      </c>
      <c r="BU133" s="2">
        <v>20.756382457653199</v>
      </c>
      <c r="BV133" s="2">
        <v>20.5792663680282</v>
      </c>
      <c r="BW133" s="2">
        <v>21.208924783413501</v>
      </c>
      <c r="BX133" s="2">
        <v>19.974271621825299</v>
      </c>
      <c r="BY133" s="2">
        <v>21.5023616017262</v>
      </c>
      <c r="BZ133" s="2">
        <v>21.663491054822</v>
      </c>
      <c r="CA133" s="2">
        <v>20.748365918708402</v>
      </c>
      <c r="CB133" s="2">
        <v>20.450037398201999</v>
      </c>
      <c r="CC133" s="2">
        <v>20.005528678997599</v>
      </c>
      <c r="CD133" s="2">
        <v>20.229593766471901</v>
      </c>
      <c r="CE133" s="2">
        <v>20.592334995926201</v>
      </c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</row>
    <row r="134" spans="1:97">
      <c r="A134" s="2" t="s">
        <v>1506</v>
      </c>
      <c r="B134" s="2">
        <v>372.31002999999998</v>
      </c>
      <c r="C134" s="2">
        <v>9.5280000000000005</v>
      </c>
      <c r="D134" s="2" t="s">
        <v>84</v>
      </c>
      <c r="E134" s="2" t="s">
        <v>1507</v>
      </c>
      <c r="F134" s="2" t="s">
        <v>1508</v>
      </c>
      <c r="G134" s="2">
        <v>8389</v>
      </c>
      <c r="H134" s="3" t="str">
        <f>HYPERLINK("https://cloud.oebiotech.com/#/lm/network/8389", "https://cloud.oebiotech.com/#/lm/network/8389")</f>
        <v>https://cloud.oebiotech.com/#/lm/network/8389</v>
      </c>
      <c r="I134" s="2" t="s">
        <v>1509</v>
      </c>
      <c r="J134" s="2">
        <v>58293</v>
      </c>
      <c r="K134" s="2" t="s">
        <v>1510</v>
      </c>
      <c r="L134" s="2">
        <v>53477791</v>
      </c>
      <c r="M134" s="2"/>
      <c r="N134" s="2"/>
      <c r="O134" s="2"/>
      <c r="P134" s="2">
        <v>84634</v>
      </c>
      <c r="Q134" s="2"/>
      <c r="R134" s="2"/>
      <c r="S134" s="2" t="s">
        <v>1511</v>
      </c>
      <c r="T134" s="2" t="s">
        <v>1512</v>
      </c>
      <c r="U134" s="2" t="s">
        <v>1513</v>
      </c>
      <c r="V134" s="2" t="s">
        <v>95</v>
      </c>
      <c r="W134" s="2" t="s">
        <v>96</v>
      </c>
      <c r="X134" s="2" t="s">
        <v>97</v>
      </c>
      <c r="Y134" s="2" t="s">
        <v>98</v>
      </c>
      <c r="Z134" s="2" t="s">
        <v>99</v>
      </c>
      <c r="AA134" s="2" t="s">
        <v>100</v>
      </c>
      <c r="AB134" s="2" t="s">
        <v>101</v>
      </c>
      <c r="AC134" s="2">
        <v>72.12</v>
      </c>
      <c r="AD134" s="2">
        <v>97.2</v>
      </c>
      <c r="AE134" s="2">
        <v>92.99</v>
      </c>
      <c r="AF134" s="2" t="s">
        <v>1514</v>
      </c>
      <c r="AG134" s="2" t="s">
        <v>103</v>
      </c>
      <c r="AH134" s="2" t="s">
        <v>1515</v>
      </c>
      <c r="AI134" s="2">
        <v>2.15</v>
      </c>
      <c r="AJ134" s="2">
        <v>21.679251073592201</v>
      </c>
      <c r="AK134" s="2">
        <v>21.6443580738711</v>
      </c>
      <c r="AL134" s="2">
        <v>21.6767142158625</v>
      </c>
      <c r="AM134" s="2">
        <v>21.764848408775102</v>
      </c>
      <c r="AN134" s="2">
        <v>21.8234618816143</v>
      </c>
      <c r="AO134" s="2">
        <v>21.7184807088707</v>
      </c>
      <c r="AP134" s="2">
        <v>21.7696342555173</v>
      </c>
      <c r="AQ134" s="2">
        <v>21.733782672615899</v>
      </c>
      <c r="AR134" s="2">
        <v>20.933484443582302</v>
      </c>
      <c r="AS134" s="2">
        <v>20.844602595941598</v>
      </c>
      <c r="AT134" s="2">
        <v>22.0470627516283</v>
      </c>
      <c r="AU134" s="2">
        <v>21.229504641130202</v>
      </c>
      <c r="AV134" s="2">
        <v>21.453891880448801</v>
      </c>
      <c r="AW134" s="2">
        <v>21.368493123959901</v>
      </c>
      <c r="AX134" s="2">
        <v>21.258858948072799</v>
      </c>
      <c r="AY134" s="2">
        <v>21.573109072694098</v>
      </c>
      <c r="AZ134" s="2">
        <v>20.601730361816301</v>
      </c>
      <c r="BA134" s="2">
        <v>21.8063426604085</v>
      </c>
      <c r="BB134" s="2">
        <v>22.1739384510755</v>
      </c>
      <c r="BC134" s="2">
        <v>22.649340453562498</v>
      </c>
      <c r="BD134" s="2">
        <v>21.287116615111199</v>
      </c>
      <c r="BE134" s="2">
        <v>21.529694628601501</v>
      </c>
      <c r="BF134" s="2">
        <v>21.158729456691599</v>
      </c>
      <c r="BG134" s="2">
        <v>21.948102239776301</v>
      </c>
      <c r="BH134" s="2">
        <v>20.8977011417726</v>
      </c>
      <c r="BI134" s="2">
        <v>22.4277825663291</v>
      </c>
      <c r="BJ134" s="2">
        <v>21.694530403292301</v>
      </c>
      <c r="BK134" s="2">
        <v>21.058186673198399</v>
      </c>
      <c r="BL134" s="2">
        <v>22.031118244643402</v>
      </c>
      <c r="BM134" s="2">
        <v>20.859090920317801</v>
      </c>
      <c r="BN134" s="2">
        <v>21.462445172310598</v>
      </c>
      <c r="BO134" s="2">
        <v>22.026751121747299</v>
      </c>
      <c r="BP134" s="2">
        <v>21.604996746045099</v>
      </c>
      <c r="BQ134" s="2">
        <v>22.041502542040298</v>
      </c>
      <c r="BR134" s="2">
        <v>22.0209923089425</v>
      </c>
      <c r="BS134" s="2">
        <v>21.619746555129101</v>
      </c>
      <c r="BT134" s="2">
        <v>21.512151765671501</v>
      </c>
      <c r="BU134" s="2">
        <v>22.2607975804241</v>
      </c>
      <c r="BV134" s="2">
        <v>21.865652227666502</v>
      </c>
      <c r="BW134" s="2">
        <v>21.5870232423974</v>
      </c>
      <c r="BX134" s="2">
        <v>21.4062281785883</v>
      </c>
      <c r="BY134" s="2">
        <v>21.504638890648</v>
      </c>
      <c r="BZ134" s="2">
        <v>21.7797525572506</v>
      </c>
      <c r="CA134" s="2">
        <v>21.674693446424499</v>
      </c>
      <c r="CB134" s="2">
        <v>21.3665828498584</v>
      </c>
      <c r="CC134" s="2">
        <v>22.137689124868398</v>
      </c>
      <c r="CD134" s="2">
        <v>21.2396212471448</v>
      </c>
      <c r="CE134" s="2">
        <v>21.984674896320701</v>
      </c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</row>
    <row r="135" spans="1:97">
      <c r="A135" s="2" t="s">
        <v>1516</v>
      </c>
      <c r="B135" s="2">
        <v>357.27818000000002</v>
      </c>
      <c r="C135" s="2">
        <v>10.273999999999999</v>
      </c>
      <c r="D135" s="2" t="s">
        <v>84</v>
      </c>
      <c r="E135" s="2" t="s">
        <v>1517</v>
      </c>
      <c r="F135" s="2" t="s">
        <v>1518</v>
      </c>
      <c r="G135" s="2">
        <v>46071</v>
      </c>
      <c r="H135" s="3" t="str">
        <f>HYPERLINK("https://cloud.oebiotech.com/#/lm/network/46071", "https://cloud.oebiotech.com/#/lm/network/46071")</f>
        <v>https://cloud.oebiotech.com/#/lm/network/46071</v>
      </c>
      <c r="I135" s="2"/>
      <c r="J135" s="2">
        <v>84524</v>
      </c>
      <c r="K135" s="2" t="s">
        <v>1519</v>
      </c>
      <c r="L135" s="2">
        <v>5283972</v>
      </c>
      <c r="M135" s="2"/>
      <c r="N135" s="2"/>
      <c r="O135" s="2"/>
      <c r="P135" s="2"/>
      <c r="Q135" s="2"/>
      <c r="R135" s="2"/>
      <c r="S135" s="2"/>
      <c r="T135" s="2" t="s">
        <v>1520</v>
      </c>
      <c r="U135" s="2" t="s">
        <v>1521</v>
      </c>
      <c r="V135" s="2" t="s">
        <v>95</v>
      </c>
      <c r="W135" s="2" t="s">
        <v>152</v>
      </c>
      <c r="X135" s="2" t="s">
        <v>278</v>
      </c>
      <c r="Y135" s="2" t="s">
        <v>98</v>
      </c>
      <c r="Z135" s="2" t="s">
        <v>154</v>
      </c>
      <c r="AA135" s="2" t="s">
        <v>279</v>
      </c>
      <c r="AB135" s="2" t="s">
        <v>101</v>
      </c>
      <c r="AC135" s="2">
        <v>72.11</v>
      </c>
      <c r="AD135" s="2">
        <v>98.95</v>
      </c>
      <c r="AE135" s="2">
        <v>84.99</v>
      </c>
      <c r="AF135" s="2" t="s">
        <v>1522</v>
      </c>
      <c r="AG135" s="2" t="s">
        <v>1088</v>
      </c>
      <c r="AH135" s="2" t="s">
        <v>1523</v>
      </c>
      <c r="AI135" s="2">
        <v>3.36</v>
      </c>
      <c r="AJ135" s="2">
        <v>23.618511915189</v>
      </c>
      <c r="AK135" s="2">
        <v>23.531305681148101</v>
      </c>
      <c r="AL135" s="2">
        <v>23.6464878754071</v>
      </c>
      <c r="AM135" s="2">
        <v>23.7245894192931</v>
      </c>
      <c r="AN135" s="2">
        <v>23.3069146162198</v>
      </c>
      <c r="AO135" s="2">
        <v>23.456796470553201</v>
      </c>
      <c r="AP135" s="2">
        <v>23.5574826528979</v>
      </c>
      <c r="AQ135" s="2">
        <v>23.524778961326302</v>
      </c>
      <c r="AR135" s="2">
        <v>22.592244039941601</v>
      </c>
      <c r="AS135" s="2">
        <v>21.103402781399701</v>
      </c>
      <c r="AT135" s="2">
        <v>19.2213829723453</v>
      </c>
      <c r="AU135" s="2">
        <v>24.357432280262099</v>
      </c>
      <c r="AV135" s="2">
        <v>23.965289187311001</v>
      </c>
      <c r="AW135" s="2">
        <v>24.815883016357201</v>
      </c>
      <c r="AX135" s="2">
        <v>21.045020542196401</v>
      </c>
      <c r="AY135" s="2">
        <v>24.252207047909</v>
      </c>
      <c r="AZ135" s="2">
        <v>23.1607257940782</v>
      </c>
      <c r="BA135" s="2">
        <v>22.001185003367699</v>
      </c>
      <c r="BB135" s="2">
        <v>20.565873251314802</v>
      </c>
      <c r="BC135" s="2">
        <v>22.022257885573602</v>
      </c>
      <c r="BD135" s="2">
        <v>23.294875892672</v>
      </c>
      <c r="BE135" s="2">
        <v>25.793687515294799</v>
      </c>
      <c r="BF135" s="2">
        <v>21.377500889730399</v>
      </c>
      <c r="BG135" s="2">
        <v>19.479911516913301</v>
      </c>
      <c r="BH135" s="2">
        <v>20.541919111130198</v>
      </c>
      <c r="BI135" s="2">
        <v>22.801851968924801</v>
      </c>
      <c r="BJ135" s="2">
        <v>24.134437023891799</v>
      </c>
      <c r="BK135" s="2">
        <v>21.010792170240698</v>
      </c>
      <c r="BL135" s="2">
        <v>24.123066029612399</v>
      </c>
      <c r="BM135" s="2">
        <v>23.670958492846701</v>
      </c>
      <c r="BN135" s="2">
        <v>23.027590483528002</v>
      </c>
      <c r="BO135" s="2">
        <v>22.861374611130699</v>
      </c>
      <c r="BP135" s="2">
        <v>24.5526179865345</v>
      </c>
      <c r="BQ135" s="2">
        <v>25.322649254911401</v>
      </c>
      <c r="BR135" s="2">
        <v>22.598585247727598</v>
      </c>
      <c r="BS135" s="2">
        <v>25.172557716754</v>
      </c>
      <c r="BT135" s="2">
        <v>21.357469074717201</v>
      </c>
      <c r="BU135" s="2">
        <v>21.825985736382801</v>
      </c>
      <c r="BV135" s="2">
        <v>21.910439251621401</v>
      </c>
      <c r="BW135" s="2">
        <v>20.9807548069852</v>
      </c>
      <c r="BX135" s="2">
        <v>21.2886647116358</v>
      </c>
      <c r="BY135" s="2">
        <v>25.078646173228201</v>
      </c>
      <c r="BZ135" s="2">
        <v>22.1515445684987</v>
      </c>
      <c r="CA135" s="2">
        <v>22.1062968033511</v>
      </c>
      <c r="CB135" s="2">
        <v>24.612395518242501</v>
      </c>
      <c r="CC135" s="2">
        <v>23.365728010702501</v>
      </c>
      <c r="CD135" s="2">
        <v>24.366035818572101</v>
      </c>
      <c r="CE135" s="2">
        <v>20.587640191871099</v>
      </c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</row>
    <row r="136" spans="1:97">
      <c r="A136" s="2" t="s">
        <v>1524</v>
      </c>
      <c r="B136" s="2">
        <v>131.07102</v>
      </c>
      <c r="C136" s="2">
        <v>4.5679999999999996</v>
      </c>
      <c r="D136" s="2" t="s">
        <v>146</v>
      </c>
      <c r="E136" s="2" t="s">
        <v>1525</v>
      </c>
      <c r="F136" s="2" t="s">
        <v>1526</v>
      </c>
      <c r="G136" s="2">
        <v>1886</v>
      </c>
      <c r="H136" s="3" t="str">
        <f>HYPERLINK("https://cloud.oebiotech.com/#/lm/network/1886", "https://cloud.oebiotech.com/#/lm/network/1886")</f>
        <v>https://cloud.oebiotech.com/#/lm/network/1886</v>
      </c>
      <c r="I136" s="2" t="s">
        <v>1527</v>
      </c>
      <c r="J136" s="2">
        <v>5597</v>
      </c>
      <c r="K136" s="2" t="s">
        <v>1528</v>
      </c>
      <c r="L136" s="2">
        <v>439960</v>
      </c>
      <c r="M136" s="2" t="s">
        <v>1529</v>
      </c>
      <c r="N136" s="2"/>
      <c r="O136" s="2"/>
      <c r="P136" s="2">
        <v>55534</v>
      </c>
      <c r="Q136" s="2"/>
      <c r="R136" s="2"/>
      <c r="S136" s="2" t="s">
        <v>1530</v>
      </c>
      <c r="T136" s="2" t="s">
        <v>1531</v>
      </c>
      <c r="U136" s="2" t="s">
        <v>1532</v>
      </c>
      <c r="V136" s="2" t="s">
        <v>95</v>
      </c>
      <c r="W136" s="2" t="s">
        <v>96</v>
      </c>
      <c r="X136" s="2" t="s">
        <v>141</v>
      </c>
      <c r="Y136" s="2" t="s">
        <v>98</v>
      </c>
      <c r="Z136" s="2" t="s">
        <v>99</v>
      </c>
      <c r="AA136" s="2" t="s">
        <v>142</v>
      </c>
      <c r="AB136" s="2" t="s">
        <v>101</v>
      </c>
      <c r="AC136" s="2">
        <v>72.099999999999994</v>
      </c>
      <c r="AD136" s="2">
        <v>99.36</v>
      </c>
      <c r="AE136" s="2">
        <v>86.95</v>
      </c>
      <c r="AF136" s="2" t="s">
        <v>1533</v>
      </c>
      <c r="AG136" s="2" t="s">
        <v>194</v>
      </c>
      <c r="AH136" s="2" t="s">
        <v>1534</v>
      </c>
      <c r="AI136" s="2">
        <v>3.05</v>
      </c>
      <c r="AJ136" s="2">
        <v>23.657190231271201</v>
      </c>
      <c r="AK136" s="2">
        <v>23.708415986654099</v>
      </c>
      <c r="AL136" s="2">
        <v>23.2571646042609</v>
      </c>
      <c r="AM136" s="2">
        <v>23.0245868437943</v>
      </c>
      <c r="AN136" s="2">
        <v>23.177706908190402</v>
      </c>
      <c r="AO136" s="2">
        <v>23.1428052464533</v>
      </c>
      <c r="AP136" s="2">
        <v>22.887644495344301</v>
      </c>
      <c r="AQ136" s="2">
        <v>23.015724304543401</v>
      </c>
      <c r="AR136" s="2">
        <v>22.0541022493748</v>
      </c>
      <c r="AS136" s="2">
        <v>22.4056224885625</v>
      </c>
      <c r="AT136" s="2">
        <v>22.9035965630713</v>
      </c>
      <c r="AU136" s="2">
        <v>22.164583363007601</v>
      </c>
      <c r="AV136" s="2">
        <v>22.7350758582194</v>
      </c>
      <c r="AW136" s="2">
        <v>22.813364121469899</v>
      </c>
      <c r="AX136" s="2">
        <v>23.272744478436099</v>
      </c>
      <c r="AY136" s="2">
        <v>23.271286128862201</v>
      </c>
      <c r="AZ136" s="2">
        <v>23.270458284118</v>
      </c>
      <c r="BA136" s="2">
        <v>22.579839175540499</v>
      </c>
      <c r="BB136" s="2">
        <v>23.488389893325301</v>
      </c>
      <c r="BC136" s="2">
        <v>23.038611096666099</v>
      </c>
      <c r="BD136" s="2">
        <v>22.772678936130301</v>
      </c>
      <c r="BE136" s="2">
        <v>23.020207299676201</v>
      </c>
      <c r="BF136" s="2">
        <v>23.0929039806758</v>
      </c>
      <c r="BG136" s="2">
        <v>23.794665553387201</v>
      </c>
      <c r="BH136" s="2">
        <v>23.079742368435902</v>
      </c>
      <c r="BI136" s="2">
        <v>23.954193691809898</v>
      </c>
      <c r="BJ136" s="2">
        <v>23.460095749052599</v>
      </c>
      <c r="BK136" s="2">
        <v>22.955876199412199</v>
      </c>
      <c r="BL136" s="2">
        <v>22.9787096858967</v>
      </c>
      <c r="BM136" s="2">
        <v>22.748015288829901</v>
      </c>
      <c r="BN136" s="2">
        <v>23.426174038441001</v>
      </c>
      <c r="BO136" s="2">
        <v>22.556312820973002</v>
      </c>
      <c r="BP136" s="2">
        <v>23.525391760162201</v>
      </c>
      <c r="BQ136" s="2">
        <v>23.2401324799796</v>
      </c>
      <c r="BR136" s="2">
        <v>21.999788205018199</v>
      </c>
      <c r="BS136" s="2">
        <v>22.228373423923198</v>
      </c>
      <c r="BT136" s="2">
        <v>22.2383410466615</v>
      </c>
      <c r="BU136" s="2">
        <v>23.823045056468398</v>
      </c>
      <c r="BV136" s="2">
        <v>23.0132665999277</v>
      </c>
      <c r="BW136" s="2">
        <v>22.305383380394101</v>
      </c>
      <c r="BX136" s="2">
        <v>22.564449986034699</v>
      </c>
      <c r="BY136" s="2">
        <v>23.884810250957699</v>
      </c>
      <c r="BZ136" s="2">
        <v>23.346547050348502</v>
      </c>
      <c r="CA136" s="2">
        <v>23.0843761556822</v>
      </c>
      <c r="CB136" s="2">
        <v>23.0709542638096</v>
      </c>
      <c r="CC136" s="2">
        <v>23.866952376567099</v>
      </c>
      <c r="CD136" s="2">
        <v>23.989730486495201</v>
      </c>
      <c r="CE136" s="2">
        <v>23.445113532444999</v>
      </c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</row>
    <row r="137" spans="1:97">
      <c r="A137" s="2" t="s">
        <v>1535</v>
      </c>
      <c r="B137" s="2">
        <v>165.01893000000001</v>
      </c>
      <c r="C137" s="2">
        <v>4.351</v>
      </c>
      <c r="D137" s="2" t="s">
        <v>146</v>
      </c>
      <c r="E137" s="2" t="s">
        <v>1536</v>
      </c>
      <c r="F137" s="2" t="s">
        <v>1537</v>
      </c>
      <c r="G137" s="2">
        <v>47810</v>
      </c>
      <c r="H137" s="3" t="str">
        <f>HYPERLINK("https://cloud.oebiotech.com/#/lm/network/47810", "https://cloud.oebiotech.com/#/lm/network/47810")</f>
        <v>https://cloud.oebiotech.com/#/lm/network/47810</v>
      </c>
      <c r="I137" s="2" t="s">
        <v>1538</v>
      </c>
      <c r="J137" s="2">
        <v>268522</v>
      </c>
      <c r="K137" s="2"/>
      <c r="L137" s="2">
        <v>1017</v>
      </c>
      <c r="M137" s="2" t="s">
        <v>1539</v>
      </c>
      <c r="N137" s="2" t="s">
        <v>1540</v>
      </c>
      <c r="O137" s="2" t="s">
        <v>1541</v>
      </c>
      <c r="P137" s="2">
        <v>29069</v>
      </c>
      <c r="Q137" s="2"/>
      <c r="R137" s="2"/>
      <c r="S137" s="2" t="s">
        <v>1542</v>
      </c>
      <c r="T137" s="2" t="s">
        <v>1543</v>
      </c>
      <c r="U137" s="2" t="s">
        <v>1544</v>
      </c>
      <c r="V137" s="2" t="s">
        <v>385</v>
      </c>
      <c r="W137" s="2" t="s">
        <v>386</v>
      </c>
      <c r="X137" s="2" t="s">
        <v>1059</v>
      </c>
      <c r="Y137" s="2" t="s">
        <v>388</v>
      </c>
      <c r="Z137" s="2" t="s">
        <v>389</v>
      </c>
      <c r="AA137" s="2" t="s">
        <v>1060</v>
      </c>
      <c r="AB137" s="2" t="s">
        <v>101</v>
      </c>
      <c r="AC137" s="2">
        <v>72.06</v>
      </c>
      <c r="AD137" s="2">
        <v>94.78</v>
      </c>
      <c r="AE137" s="2">
        <v>86.02</v>
      </c>
      <c r="AF137" s="2" t="s">
        <v>1545</v>
      </c>
      <c r="AG137" s="2" t="s">
        <v>194</v>
      </c>
      <c r="AH137" s="2" t="s">
        <v>1546</v>
      </c>
      <c r="AI137" s="2">
        <v>2.42</v>
      </c>
      <c r="AJ137" s="2">
        <v>22.6460096339354</v>
      </c>
      <c r="AK137" s="2">
        <v>22.7518669768371</v>
      </c>
      <c r="AL137" s="2">
        <v>22.585296317113301</v>
      </c>
      <c r="AM137" s="2">
        <v>22.421708902596901</v>
      </c>
      <c r="AN137" s="2">
        <v>22.600959483172002</v>
      </c>
      <c r="AO137" s="2">
        <v>22.531089704414001</v>
      </c>
      <c r="AP137" s="2">
        <v>22.711293611464999</v>
      </c>
      <c r="AQ137" s="2">
        <v>22.563034136932401</v>
      </c>
      <c r="AR137" s="2">
        <v>21.9766128111741</v>
      </c>
      <c r="AS137" s="2">
        <v>23.165252191812801</v>
      </c>
      <c r="AT137" s="2">
        <v>22.178128725943601</v>
      </c>
      <c r="AU137" s="2">
        <v>25.002051297103002</v>
      </c>
      <c r="AV137" s="2">
        <v>22.938001657990799</v>
      </c>
      <c r="AW137" s="2">
        <v>22.709659958794301</v>
      </c>
      <c r="AX137" s="2">
        <v>22.7655533669056</v>
      </c>
      <c r="AY137" s="2">
        <v>21.901116534994902</v>
      </c>
      <c r="AZ137" s="2">
        <v>23.0775120785963</v>
      </c>
      <c r="BA137" s="2">
        <v>22.200260418172299</v>
      </c>
      <c r="BB137" s="2">
        <v>22.980050827556902</v>
      </c>
      <c r="BC137" s="2">
        <v>22.160537790846199</v>
      </c>
      <c r="BD137" s="2">
        <v>22.7355769958541</v>
      </c>
      <c r="BE137" s="2">
        <v>24.691541891871399</v>
      </c>
      <c r="BF137" s="2">
        <v>22.3667594163636</v>
      </c>
      <c r="BG137" s="2">
        <v>22.229726464431799</v>
      </c>
      <c r="BH137" s="2">
        <v>22.0642999020492</v>
      </c>
      <c r="BI137" s="2">
        <v>22.371142492190401</v>
      </c>
      <c r="BJ137" s="2">
        <v>22.2616312912184</v>
      </c>
      <c r="BK137" s="2">
        <v>21.839187730445602</v>
      </c>
      <c r="BL137" s="2">
        <v>22.705807379702701</v>
      </c>
      <c r="BM137" s="2">
        <v>22.752526744289401</v>
      </c>
      <c r="BN137" s="2">
        <v>22.955042105208499</v>
      </c>
      <c r="BO137" s="2">
        <v>22.503462914996501</v>
      </c>
      <c r="BP137" s="2">
        <v>22.363869821305201</v>
      </c>
      <c r="BQ137" s="2">
        <v>22.0627868954953</v>
      </c>
      <c r="BR137" s="2">
        <v>21.9505677326034</v>
      </c>
      <c r="BS137" s="2">
        <v>23.031953689156602</v>
      </c>
      <c r="BT137" s="2">
        <v>22.295577753183501</v>
      </c>
      <c r="BU137" s="2">
        <v>22.128719621511699</v>
      </c>
      <c r="BV137" s="2">
        <v>24.216977083502002</v>
      </c>
      <c r="BW137" s="2">
        <v>22.063453581618099</v>
      </c>
      <c r="BX137" s="2">
        <v>23.599462100926001</v>
      </c>
      <c r="BY137" s="2">
        <v>22.2163509709309</v>
      </c>
      <c r="BZ137" s="2">
        <v>22.413018890314699</v>
      </c>
      <c r="CA137" s="2">
        <v>24.221092646876102</v>
      </c>
      <c r="CB137" s="2">
        <v>22.174631761753101</v>
      </c>
      <c r="CC137" s="2">
        <v>22.439554921126199</v>
      </c>
      <c r="CD137" s="2">
        <v>21.960053749275399</v>
      </c>
      <c r="CE137" s="2">
        <v>22.091522428320001</v>
      </c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</row>
    <row r="138" spans="1:97">
      <c r="A138" s="2" t="s">
        <v>1547</v>
      </c>
      <c r="B138" s="2">
        <v>429.30011999999999</v>
      </c>
      <c r="C138" s="2">
        <v>10.816000000000001</v>
      </c>
      <c r="D138" s="2" t="s">
        <v>146</v>
      </c>
      <c r="E138" s="2" t="s">
        <v>1548</v>
      </c>
      <c r="F138" s="2" t="s">
        <v>1549</v>
      </c>
      <c r="G138" s="2">
        <v>46455</v>
      </c>
      <c r="H138" s="3" t="str">
        <f>HYPERLINK("https://cloud.oebiotech.com/#/lm/network/46455", "https://cloud.oebiotech.com/#/lm/network/46455")</f>
        <v>https://cloud.oebiotech.com/#/lm/network/46455</v>
      </c>
      <c r="I138" s="2" t="s">
        <v>1550</v>
      </c>
      <c r="J138" s="2"/>
      <c r="K138" s="2" t="s">
        <v>1551</v>
      </c>
      <c r="L138" s="2">
        <v>3081085</v>
      </c>
      <c r="M138" s="2" t="s">
        <v>1552</v>
      </c>
      <c r="N138" s="2" t="s">
        <v>576</v>
      </c>
      <c r="O138" s="2" t="s">
        <v>577</v>
      </c>
      <c r="P138" s="2">
        <v>83036</v>
      </c>
      <c r="Q138" s="2"/>
      <c r="R138" s="2"/>
      <c r="S138" s="2" t="s">
        <v>1553</v>
      </c>
      <c r="T138" s="2" t="s">
        <v>1554</v>
      </c>
      <c r="U138" s="2" t="s">
        <v>1555</v>
      </c>
      <c r="V138" s="2" t="s">
        <v>95</v>
      </c>
      <c r="W138" s="2" t="s">
        <v>152</v>
      </c>
      <c r="X138" s="2" t="s">
        <v>278</v>
      </c>
      <c r="Y138" s="2" t="s">
        <v>98</v>
      </c>
      <c r="Z138" s="2" t="s">
        <v>154</v>
      </c>
      <c r="AA138" s="2" t="s">
        <v>279</v>
      </c>
      <c r="AB138" s="2" t="s">
        <v>101</v>
      </c>
      <c r="AC138" s="2">
        <v>72.040000000000006</v>
      </c>
      <c r="AD138" s="2">
        <v>93.97</v>
      </c>
      <c r="AE138" s="2">
        <v>87.91</v>
      </c>
      <c r="AF138" s="2" t="s">
        <v>1556</v>
      </c>
      <c r="AG138" s="2" t="s">
        <v>194</v>
      </c>
      <c r="AH138" s="2" t="s">
        <v>1557</v>
      </c>
      <c r="AI138" s="2">
        <v>2.1</v>
      </c>
      <c r="AJ138" s="2">
        <v>20.410564140459599</v>
      </c>
      <c r="AK138" s="2">
        <v>20.412928214398899</v>
      </c>
      <c r="AL138" s="2">
        <v>20.2453818082788</v>
      </c>
      <c r="AM138" s="2">
        <v>20.306218382859399</v>
      </c>
      <c r="AN138" s="2">
        <v>20.355664748263699</v>
      </c>
      <c r="AO138" s="2">
        <v>20.281575035582101</v>
      </c>
      <c r="AP138" s="2">
        <v>20.208241873150801</v>
      </c>
      <c r="AQ138" s="2">
        <v>20.096966634067201</v>
      </c>
      <c r="AR138" s="2">
        <v>19.194585350125902</v>
      </c>
      <c r="AS138" s="2">
        <v>19.553762433203001</v>
      </c>
      <c r="AT138" s="2">
        <v>20.468407693232599</v>
      </c>
      <c r="AU138" s="2">
        <v>19.9924046874157</v>
      </c>
      <c r="AV138" s="2">
        <v>19.8379983214706</v>
      </c>
      <c r="AW138" s="2">
        <v>20.154006117455701</v>
      </c>
      <c r="AX138" s="2">
        <v>20.714404544829002</v>
      </c>
      <c r="AY138" s="2">
        <v>19.417679442728399</v>
      </c>
      <c r="AZ138" s="2">
        <v>19.372325716678201</v>
      </c>
      <c r="BA138" s="2">
        <v>19.639656175368</v>
      </c>
      <c r="BB138" s="2">
        <v>20.781427370288299</v>
      </c>
      <c r="BC138" s="2">
        <v>21.249376850217701</v>
      </c>
      <c r="BD138" s="2">
        <v>19.249899156331701</v>
      </c>
      <c r="BE138" s="2">
        <v>20.0655558853081</v>
      </c>
      <c r="BF138" s="2">
        <v>19.7426780176351</v>
      </c>
      <c r="BG138" s="2">
        <v>20.929574917160402</v>
      </c>
      <c r="BH138" s="2">
        <v>20.2683768769766</v>
      </c>
      <c r="BI138" s="2">
        <v>20.373563020909401</v>
      </c>
      <c r="BJ138" s="2">
        <v>20.901282191482299</v>
      </c>
      <c r="BK138" s="2">
        <v>19.461455386180901</v>
      </c>
      <c r="BL138" s="2">
        <v>19.869093516832201</v>
      </c>
      <c r="BM138" s="2">
        <v>20.092157867521699</v>
      </c>
      <c r="BN138" s="2">
        <v>20.694144209402801</v>
      </c>
      <c r="BO138" s="2">
        <v>20.552669500855899</v>
      </c>
      <c r="BP138" s="2">
        <v>20.068130007340901</v>
      </c>
      <c r="BQ138" s="2">
        <v>20.645799005939299</v>
      </c>
      <c r="BR138" s="2">
        <v>21.176845547786399</v>
      </c>
      <c r="BS138" s="2">
        <v>19.415979732122</v>
      </c>
      <c r="BT138" s="2">
        <v>20.327692933388398</v>
      </c>
      <c r="BU138" s="2">
        <v>20.713104912469099</v>
      </c>
      <c r="BV138" s="2">
        <v>20.7091155499166</v>
      </c>
      <c r="BW138" s="2">
        <v>19.237754034398101</v>
      </c>
      <c r="BX138" s="2">
        <v>19.722610591055499</v>
      </c>
      <c r="BY138" s="2">
        <v>20.484753667637701</v>
      </c>
      <c r="BZ138" s="2">
        <v>19.6700160252527</v>
      </c>
      <c r="CA138" s="2">
        <v>19.6942802903489</v>
      </c>
      <c r="CB138" s="2">
        <v>20.071566218028799</v>
      </c>
      <c r="CC138" s="2">
        <v>20.7528675964518</v>
      </c>
      <c r="CD138" s="2">
        <v>20.359014223967701</v>
      </c>
      <c r="CE138" s="2">
        <v>20.095296156717701</v>
      </c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</row>
    <row r="139" spans="1:97">
      <c r="A139" s="2" t="s">
        <v>1558</v>
      </c>
      <c r="B139" s="2">
        <v>369.17345999999998</v>
      </c>
      <c r="C139" s="2">
        <v>7.835</v>
      </c>
      <c r="D139" s="2" t="s">
        <v>146</v>
      </c>
      <c r="E139" s="2" t="s">
        <v>1559</v>
      </c>
      <c r="F139" s="2" t="s">
        <v>1560</v>
      </c>
      <c r="G139" s="2">
        <v>46669</v>
      </c>
      <c r="H139" s="3" t="str">
        <f>HYPERLINK("https://cloud.oebiotech.com/#/lm/network/46669", "https://cloud.oebiotech.com/#/lm/network/46669")</f>
        <v>https://cloud.oebiotech.com/#/lm/network/46669</v>
      </c>
      <c r="I139" s="2" t="s">
        <v>1561</v>
      </c>
      <c r="J139" s="2">
        <v>3559</v>
      </c>
      <c r="K139" s="2" t="s">
        <v>1562</v>
      </c>
      <c r="L139" s="2">
        <v>159663</v>
      </c>
      <c r="M139" s="2" t="s">
        <v>1563</v>
      </c>
      <c r="N139" s="2" t="s">
        <v>1564</v>
      </c>
      <c r="O139" s="2" t="s">
        <v>1565</v>
      </c>
      <c r="P139" s="2">
        <v>83037</v>
      </c>
      <c r="Q139" s="2"/>
      <c r="R139" s="2"/>
      <c r="S139" s="2" t="s">
        <v>1566</v>
      </c>
      <c r="T139" s="2" t="s">
        <v>1567</v>
      </c>
      <c r="U139" s="2" t="s">
        <v>1568</v>
      </c>
      <c r="V139" s="2" t="s">
        <v>95</v>
      </c>
      <c r="W139" s="2" t="s">
        <v>152</v>
      </c>
      <c r="X139" s="2" t="s">
        <v>1131</v>
      </c>
      <c r="Y139" s="2" t="s">
        <v>98</v>
      </c>
      <c r="Z139" s="2" t="s">
        <v>154</v>
      </c>
      <c r="AA139" s="2" t="s">
        <v>1132</v>
      </c>
      <c r="AB139" s="2" t="s">
        <v>101</v>
      </c>
      <c r="AC139" s="2">
        <v>72.010000000000005</v>
      </c>
      <c r="AD139" s="2">
        <v>93.58</v>
      </c>
      <c r="AE139" s="2">
        <v>86</v>
      </c>
      <c r="AF139" s="2" t="s">
        <v>1569</v>
      </c>
      <c r="AG139" s="2" t="s">
        <v>194</v>
      </c>
      <c r="AH139" s="2" t="s">
        <v>1570</v>
      </c>
      <c r="AI139" s="2">
        <v>1.63</v>
      </c>
      <c r="AJ139" s="2">
        <v>23.213721939053499</v>
      </c>
      <c r="AK139" s="2">
        <v>23.3569070057187</v>
      </c>
      <c r="AL139" s="2">
        <v>23.329716640322701</v>
      </c>
      <c r="AM139" s="2">
        <v>23.3146541139383</v>
      </c>
      <c r="AN139" s="2">
        <v>23.368379163627399</v>
      </c>
      <c r="AO139" s="2">
        <v>23.354698102651199</v>
      </c>
      <c r="AP139" s="2">
        <v>23.304351999920801</v>
      </c>
      <c r="AQ139" s="2">
        <v>23.2759813668481</v>
      </c>
      <c r="AR139" s="2">
        <v>22.465309731825499</v>
      </c>
      <c r="AS139" s="2">
        <v>18.942427134835899</v>
      </c>
      <c r="AT139" s="2">
        <v>21.553535027921601</v>
      </c>
      <c r="AU139" s="2">
        <v>22.139080777185999</v>
      </c>
      <c r="AV139" s="2">
        <v>25.009485020148599</v>
      </c>
      <c r="AW139" s="2">
        <v>24.586705129487001</v>
      </c>
      <c r="AX139" s="2">
        <v>24.811778501272901</v>
      </c>
      <c r="AY139" s="2">
        <v>24.3303364637969</v>
      </c>
      <c r="AZ139" s="2">
        <v>22.9349693830818</v>
      </c>
      <c r="BA139" s="2">
        <v>21.046468972972999</v>
      </c>
      <c r="BB139" s="2">
        <v>21.703194240766599</v>
      </c>
      <c r="BC139" s="2">
        <v>21.967011061063101</v>
      </c>
      <c r="BD139" s="2">
        <v>23.890085968772301</v>
      </c>
      <c r="BE139" s="2">
        <v>23.6442614615579</v>
      </c>
      <c r="BF139" s="2">
        <v>23.137313406291899</v>
      </c>
      <c r="BG139" s="2">
        <v>24.6704057505398</v>
      </c>
      <c r="BH139" s="2">
        <v>22.0670854102097</v>
      </c>
      <c r="BI139" s="2">
        <v>22.641152602617801</v>
      </c>
      <c r="BJ139" s="2">
        <v>23.0938001717698</v>
      </c>
      <c r="BK139" s="2">
        <v>22.863528926182799</v>
      </c>
      <c r="BL139" s="2">
        <v>22.257415772584601</v>
      </c>
      <c r="BM139" s="2">
        <v>20.097251999418699</v>
      </c>
      <c r="BN139" s="2">
        <v>21.685383171009601</v>
      </c>
      <c r="BO139" s="2">
        <v>20.556269902626699</v>
      </c>
      <c r="BP139" s="2">
        <v>24.2044424862551</v>
      </c>
      <c r="BQ139" s="2">
        <v>24.164551627319401</v>
      </c>
      <c r="BR139" s="2">
        <v>24.8008921625004</v>
      </c>
      <c r="BS139" s="2">
        <v>23.522858945843101</v>
      </c>
      <c r="BT139" s="2">
        <v>21.8831071856014</v>
      </c>
      <c r="BU139" s="2">
        <v>19.905923690645501</v>
      </c>
      <c r="BV139" s="2">
        <v>18.263866195136501</v>
      </c>
      <c r="BW139" s="2">
        <v>20.837394216922601</v>
      </c>
      <c r="BX139" s="2">
        <v>23.623541032556101</v>
      </c>
      <c r="BY139" s="2">
        <v>24.1632214104783</v>
      </c>
      <c r="BZ139" s="2">
        <v>22.1366685440473</v>
      </c>
      <c r="CA139" s="2">
        <v>22.484428318972999</v>
      </c>
      <c r="CB139" s="2">
        <v>21.677141006722501</v>
      </c>
      <c r="CC139" s="2">
        <v>23.034719742694701</v>
      </c>
      <c r="CD139" s="2">
        <v>23.076595373963102</v>
      </c>
      <c r="CE139" s="2">
        <v>21.4340585156225</v>
      </c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</row>
    <row r="140" spans="1:97">
      <c r="A140" s="2" t="s">
        <v>1571</v>
      </c>
      <c r="B140" s="2">
        <v>478.2921</v>
      </c>
      <c r="C140" s="2">
        <v>10.339</v>
      </c>
      <c r="D140" s="2" t="s">
        <v>84</v>
      </c>
      <c r="E140" s="2" t="s">
        <v>1572</v>
      </c>
      <c r="F140" s="2" t="s">
        <v>1573</v>
      </c>
      <c r="G140" s="2">
        <v>21246</v>
      </c>
      <c r="H140" s="3" t="str">
        <f>HYPERLINK("https://cloud.oebiotech.com/#/lm/network/21246", "https://cloud.oebiotech.com/#/lm/network/21246")</f>
        <v>https://cloud.oebiotech.com/#/lm/network/21246</v>
      </c>
      <c r="I140" s="2"/>
      <c r="J140" s="2"/>
      <c r="K140" s="2" t="s">
        <v>1574</v>
      </c>
      <c r="L140" s="2">
        <v>137323916</v>
      </c>
      <c r="M140" s="2"/>
      <c r="N140" s="2"/>
      <c r="O140" s="2"/>
      <c r="P140" s="2"/>
      <c r="Q140" s="2"/>
      <c r="R140" s="2"/>
      <c r="S140" s="2"/>
      <c r="T140" s="2" t="s">
        <v>1575</v>
      </c>
      <c r="U140" s="2" t="s">
        <v>1576</v>
      </c>
      <c r="V140" s="2" t="s">
        <v>95</v>
      </c>
      <c r="W140" s="2" t="s">
        <v>202</v>
      </c>
      <c r="X140" s="2" t="s">
        <v>327</v>
      </c>
      <c r="Y140" s="2" t="s">
        <v>98</v>
      </c>
      <c r="Z140" s="2" t="s">
        <v>204</v>
      </c>
      <c r="AA140" s="2" t="s">
        <v>328</v>
      </c>
      <c r="AB140" s="2" t="s">
        <v>101</v>
      </c>
      <c r="AC140" s="2">
        <v>72</v>
      </c>
      <c r="AD140" s="2">
        <v>91.67</v>
      </c>
      <c r="AE140" s="2">
        <v>94.04</v>
      </c>
      <c r="AF140" s="2" t="s">
        <v>1577</v>
      </c>
      <c r="AG140" s="2" t="s">
        <v>1578</v>
      </c>
      <c r="AH140" s="2" t="s">
        <v>1579</v>
      </c>
      <c r="AI140" s="2">
        <v>-3.55</v>
      </c>
      <c r="AJ140" s="2">
        <v>27.0507342770861</v>
      </c>
      <c r="AK140" s="2">
        <v>27.110732085988701</v>
      </c>
      <c r="AL140" s="2">
        <v>27.1271175967697</v>
      </c>
      <c r="AM140" s="2">
        <v>27.0835177003895</v>
      </c>
      <c r="AN140" s="2">
        <v>27.0884499832218</v>
      </c>
      <c r="AO140" s="2">
        <v>27.152397330461199</v>
      </c>
      <c r="AP140" s="2">
        <v>27.118807519217398</v>
      </c>
      <c r="AQ140" s="2">
        <v>26.935666471877099</v>
      </c>
      <c r="AR140" s="2">
        <v>27.525323129512</v>
      </c>
      <c r="AS140" s="2">
        <v>25.454873283722499</v>
      </c>
      <c r="AT140" s="2">
        <v>26.137265260223199</v>
      </c>
      <c r="AU140" s="2">
        <v>27.746309702965199</v>
      </c>
      <c r="AV140" s="2">
        <v>27.1600824317457</v>
      </c>
      <c r="AW140" s="2">
        <v>27.305482888027001</v>
      </c>
      <c r="AX140" s="2">
        <v>26.825842767387002</v>
      </c>
      <c r="AY140" s="2">
        <v>27.043004216307999</v>
      </c>
      <c r="AZ140" s="2">
        <v>27.0545135047957</v>
      </c>
      <c r="BA140" s="2">
        <v>26.135589821477001</v>
      </c>
      <c r="BB140" s="2">
        <v>26.414991879030801</v>
      </c>
      <c r="BC140" s="2">
        <v>26.793577745536201</v>
      </c>
      <c r="BD140" s="2">
        <v>26.6643607299564</v>
      </c>
      <c r="BE140" s="2">
        <v>26.748099818534399</v>
      </c>
      <c r="BF140" s="2">
        <v>26.8472904420681</v>
      </c>
      <c r="BG140" s="2">
        <v>27.2494107508188</v>
      </c>
      <c r="BH140" s="2">
        <v>26.912322275900198</v>
      </c>
      <c r="BI140" s="2">
        <v>27.247033256317</v>
      </c>
      <c r="BJ140" s="2">
        <v>26.806875562282901</v>
      </c>
      <c r="BK140" s="2">
        <v>26.578738006748999</v>
      </c>
      <c r="BL140" s="2">
        <v>27.1973200404457</v>
      </c>
      <c r="BM140" s="2">
        <v>27.857768572613399</v>
      </c>
      <c r="BN140" s="2">
        <v>27.722310531788899</v>
      </c>
      <c r="BO140" s="2">
        <v>26.976878325355202</v>
      </c>
      <c r="BP140" s="2">
        <v>26.812795747773901</v>
      </c>
      <c r="BQ140" s="2">
        <v>27.032024425971599</v>
      </c>
      <c r="BR140" s="2">
        <v>27.690417605685401</v>
      </c>
      <c r="BS140" s="2">
        <v>27.706759443419799</v>
      </c>
      <c r="BT140" s="2">
        <v>26.476639558299201</v>
      </c>
      <c r="BU140" s="2">
        <v>26.3350244515524</v>
      </c>
      <c r="BV140" s="2">
        <v>26.9982671537804</v>
      </c>
      <c r="BW140" s="2">
        <v>26.263247939992201</v>
      </c>
      <c r="BX140" s="2">
        <v>27.438354688408801</v>
      </c>
      <c r="BY140" s="2">
        <v>27.893763255246899</v>
      </c>
      <c r="BZ140" s="2">
        <v>27.212420206229499</v>
      </c>
      <c r="CA140" s="2">
        <v>27.034143769371799</v>
      </c>
      <c r="CB140" s="2">
        <v>26.581320290390501</v>
      </c>
      <c r="CC140" s="2">
        <v>26.839429851177101</v>
      </c>
      <c r="CD140" s="2">
        <v>26.7889961065273</v>
      </c>
      <c r="CE140" s="2">
        <v>25.911433748727099</v>
      </c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</row>
    <row r="141" spans="1:97">
      <c r="A141" s="2" t="s">
        <v>1580</v>
      </c>
      <c r="B141" s="2">
        <v>166.05305999999999</v>
      </c>
      <c r="C141" s="2">
        <v>0.99299999999999999</v>
      </c>
      <c r="D141" s="2" t="s">
        <v>84</v>
      </c>
      <c r="E141" s="2" t="s">
        <v>1581</v>
      </c>
      <c r="F141" s="2" t="s">
        <v>1582</v>
      </c>
      <c r="G141" s="2">
        <v>47759</v>
      </c>
      <c r="H141" s="3" t="str">
        <f>HYPERLINK("https://cloud.oebiotech.com/#/lm/network/47759", "https://cloud.oebiotech.com/#/lm/network/47759")</f>
        <v>https://cloud.oebiotech.com/#/lm/network/47759</v>
      </c>
      <c r="I141" s="2" t="s">
        <v>1583</v>
      </c>
      <c r="J141" s="2">
        <v>63430</v>
      </c>
      <c r="K141" s="2"/>
      <c r="L141" s="2">
        <v>158980</v>
      </c>
      <c r="M141" s="2" t="s">
        <v>1584</v>
      </c>
      <c r="N141" s="2" t="s">
        <v>1585</v>
      </c>
      <c r="O141" s="2" t="s">
        <v>1586</v>
      </c>
      <c r="P141" s="2">
        <v>17016</v>
      </c>
      <c r="Q141" s="2"/>
      <c r="R141" s="2"/>
      <c r="S141" s="2" t="s">
        <v>1587</v>
      </c>
      <c r="T141" s="2" t="s">
        <v>1588</v>
      </c>
      <c r="U141" s="2" t="s">
        <v>1589</v>
      </c>
      <c r="V141" s="2" t="s">
        <v>115</v>
      </c>
      <c r="W141" s="2" t="s">
        <v>116</v>
      </c>
      <c r="X141" s="2" t="s">
        <v>117</v>
      </c>
      <c r="Y141" s="2" t="s">
        <v>118</v>
      </c>
      <c r="Z141" s="2" t="s">
        <v>119</v>
      </c>
      <c r="AA141" s="2" t="s">
        <v>120</v>
      </c>
      <c r="AB141" s="2" t="s">
        <v>101</v>
      </c>
      <c r="AC141" s="2">
        <v>71.989999999999995</v>
      </c>
      <c r="AD141" s="2">
        <v>98.83</v>
      </c>
      <c r="AE141" s="2">
        <v>89.72</v>
      </c>
      <c r="AF141" s="2" t="s">
        <v>1590</v>
      </c>
      <c r="AG141" s="2" t="s">
        <v>103</v>
      </c>
      <c r="AH141" s="2" t="s">
        <v>1591</v>
      </c>
      <c r="AI141" s="2">
        <v>0.6</v>
      </c>
      <c r="AJ141" s="2">
        <v>26.149532659318599</v>
      </c>
      <c r="AK141" s="2">
        <v>25.935951701561599</v>
      </c>
      <c r="AL141" s="2">
        <v>25.7034607078097</v>
      </c>
      <c r="AM141" s="2">
        <v>25.769132505583801</v>
      </c>
      <c r="AN141" s="2">
        <v>25.565410571906899</v>
      </c>
      <c r="AO141" s="2">
        <v>26.2213668562203</v>
      </c>
      <c r="AP141" s="2">
        <v>26.2261623880859</v>
      </c>
      <c r="AQ141" s="2">
        <v>25.740699967000101</v>
      </c>
      <c r="AR141" s="2">
        <v>25.217277652666301</v>
      </c>
      <c r="AS141" s="2">
        <v>25.131362890341901</v>
      </c>
      <c r="AT141" s="2">
        <v>25.149637960748102</v>
      </c>
      <c r="AU141" s="2">
        <v>25.036780635347402</v>
      </c>
      <c r="AV141" s="2">
        <v>26.1135448312086</v>
      </c>
      <c r="AW141" s="2">
        <v>25.890075725147401</v>
      </c>
      <c r="AX141" s="2">
        <v>25.8433531620068</v>
      </c>
      <c r="AY141" s="2">
        <v>25.643234375931002</v>
      </c>
      <c r="AZ141" s="2">
        <v>25.6807844465316</v>
      </c>
      <c r="BA141" s="2">
        <v>25.263943313989</v>
      </c>
      <c r="BB141" s="2">
        <v>25.758915881536399</v>
      </c>
      <c r="BC141" s="2">
        <v>25.7949054723458</v>
      </c>
      <c r="BD141" s="2">
        <v>25.003424308584201</v>
      </c>
      <c r="BE141" s="2">
        <v>26.546499892524398</v>
      </c>
      <c r="BF141" s="2">
        <v>26.137385740727801</v>
      </c>
      <c r="BG141" s="2">
        <v>25.924103060405301</v>
      </c>
      <c r="BH141" s="2">
        <v>26.619936855799899</v>
      </c>
      <c r="BI141" s="2">
        <v>25.809363025904499</v>
      </c>
      <c r="BJ141" s="2">
        <v>26.642932408197002</v>
      </c>
      <c r="BK141" s="2">
        <v>25.096477259404399</v>
      </c>
      <c r="BL141" s="2">
        <v>25.395127126461102</v>
      </c>
      <c r="BM141" s="2">
        <v>26.391855867744201</v>
      </c>
      <c r="BN141" s="2">
        <v>25.841777470478998</v>
      </c>
      <c r="BO141" s="2">
        <v>25.233750770538499</v>
      </c>
      <c r="BP141" s="2">
        <v>25.4641207398485</v>
      </c>
      <c r="BQ141" s="2">
        <v>25.895268972674</v>
      </c>
      <c r="BR141" s="2">
        <v>26.004403636556098</v>
      </c>
      <c r="BS141" s="2">
        <v>25.5828613185802</v>
      </c>
      <c r="BT141" s="2">
        <v>24.9606357520899</v>
      </c>
      <c r="BU141" s="2">
        <v>25.349756744265498</v>
      </c>
      <c r="BV141" s="2">
        <v>25.747853864631399</v>
      </c>
      <c r="BW141" s="2">
        <v>25.301677134110601</v>
      </c>
      <c r="BX141" s="2">
        <v>26.006121431966399</v>
      </c>
      <c r="BY141" s="2">
        <v>26.151044421000801</v>
      </c>
      <c r="BZ141" s="2">
        <v>25.840625688959101</v>
      </c>
      <c r="CA141" s="2">
        <v>26.388997871899601</v>
      </c>
      <c r="CB141" s="2">
        <v>25.352986613848199</v>
      </c>
      <c r="CC141" s="2">
        <v>25.540919374628</v>
      </c>
      <c r="CD141" s="2">
        <v>26.756162586968799</v>
      </c>
      <c r="CE141" s="2">
        <v>25.642466909204501</v>
      </c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</row>
    <row r="142" spans="1:97">
      <c r="A142" s="2" t="s">
        <v>1592</v>
      </c>
      <c r="B142" s="2">
        <v>146.05983000000001</v>
      </c>
      <c r="C142" s="2">
        <v>3.6819999999999999</v>
      </c>
      <c r="D142" s="2" t="s">
        <v>84</v>
      </c>
      <c r="E142" s="2" t="s">
        <v>1593</v>
      </c>
      <c r="F142" s="2" t="s">
        <v>1594</v>
      </c>
      <c r="G142" s="2">
        <v>275310</v>
      </c>
      <c r="H142" s="3" t="str">
        <f>HYPERLINK("https://cloud.oebiotech.com/#/lm/network/275310", "https://cloud.oebiotech.com/#/lm/network/275310")</f>
        <v>https://cloud.oebiotech.com/#/lm/network/275310</v>
      </c>
      <c r="I142" s="2"/>
      <c r="J142" s="2">
        <v>66376</v>
      </c>
      <c r="K142" s="2"/>
      <c r="L142" s="2">
        <v>6038</v>
      </c>
      <c r="M142" s="2" t="s">
        <v>1595</v>
      </c>
      <c r="N142" s="2"/>
      <c r="O142" s="2"/>
      <c r="P142" s="2"/>
      <c r="Q142" s="2"/>
      <c r="R142" s="2"/>
      <c r="S142" s="2" t="s">
        <v>1596</v>
      </c>
      <c r="T142" s="2" t="s">
        <v>1597</v>
      </c>
      <c r="U142" s="2" t="s">
        <v>1598</v>
      </c>
      <c r="V142" s="2" t="s">
        <v>553</v>
      </c>
      <c r="W142" s="2" t="s">
        <v>1599</v>
      </c>
      <c r="X142" s="2" t="s">
        <v>1600</v>
      </c>
      <c r="Y142" s="2" t="s">
        <v>556</v>
      </c>
      <c r="Z142" s="2" t="s">
        <v>1601</v>
      </c>
      <c r="AA142" s="2" t="s">
        <v>1602</v>
      </c>
      <c r="AB142" s="2" t="s">
        <v>101</v>
      </c>
      <c r="AC142" s="2">
        <v>71.98</v>
      </c>
      <c r="AD142" s="2">
        <v>97.44</v>
      </c>
      <c r="AE142" s="2">
        <v>83.89</v>
      </c>
      <c r="AF142" s="2" t="s">
        <v>1603</v>
      </c>
      <c r="AG142" s="2" t="s">
        <v>103</v>
      </c>
      <c r="AH142" s="2" t="s">
        <v>1604</v>
      </c>
      <c r="AI142" s="2">
        <v>1.37</v>
      </c>
      <c r="AJ142" s="2">
        <v>25.244440079545399</v>
      </c>
      <c r="AK142" s="2">
        <v>25.318199386972399</v>
      </c>
      <c r="AL142" s="2">
        <v>25.191110227220801</v>
      </c>
      <c r="AM142" s="2">
        <v>25.454242921553</v>
      </c>
      <c r="AN142" s="2">
        <v>25.2766653996831</v>
      </c>
      <c r="AO142" s="2">
        <v>25.415017931927501</v>
      </c>
      <c r="AP142" s="2">
        <v>25.243251407054</v>
      </c>
      <c r="AQ142" s="2">
        <v>25.570949356374399</v>
      </c>
      <c r="AR142" s="2">
        <v>24.371177638209101</v>
      </c>
      <c r="AS142" s="2">
        <v>24.176098388604299</v>
      </c>
      <c r="AT142" s="2">
        <v>24.204032194781099</v>
      </c>
      <c r="AU142" s="2">
        <v>24.668967478951298</v>
      </c>
      <c r="AV142" s="2">
        <v>25.051737840258198</v>
      </c>
      <c r="AW142" s="2">
        <v>25.346768199817799</v>
      </c>
      <c r="AX142" s="2">
        <v>24.9236539565801</v>
      </c>
      <c r="AY142" s="2">
        <v>25.140802349025801</v>
      </c>
      <c r="AZ142" s="2">
        <v>25.218216922221099</v>
      </c>
      <c r="BA142" s="2">
        <v>24.774245231930401</v>
      </c>
      <c r="BB142" s="2">
        <v>25.758952039526601</v>
      </c>
      <c r="BC142" s="2">
        <v>25.633285084777</v>
      </c>
      <c r="BD142" s="2">
        <v>24.855074299624601</v>
      </c>
      <c r="BE142" s="2">
        <v>25.827241328006199</v>
      </c>
      <c r="BF142" s="2">
        <v>25.494722576994199</v>
      </c>
      <c r="BG142" s="2">
        <v>25.555671006102401</v>
      </c>
      <c r="BH142" s="2">
        <v>25.453600275146499</v>
      </c>
      <c r="BI142" s="2">
        <v>24.921707881926402</v>
      </c>
      <c r="BJ142" s="2">
        <v>25.608843729013898</v>
      </c>
      <c r="BK142" s="2">
        <v>25.1821100801466</v>
      </c>
      <c r="BL142" s="2">
        <v>24.8505053077733</v>
      </c>
      <c r="BM142" s="2">
        <v>25.586778489878</v>
      </c>
      <c r="BN142" s="2">
        <v>25.507234210220702</v>
      </c>
      <c r="BO142" s="2">
        <v>25.246363915118799</v>
      </c>
      <c r="BP142" s="2">
        <v>25.181926041286399</v>
      </c>
      <c r="BQ142" s="2">
        <v>25.5996133110744</v>
      </c>
      <c r="BR142" s="2">
        <v>25.5191103449847</v>
      </c>
      <c r="BS142" s="2">
        <v>25.337455997020999</v>
      </c>
      <c r="BT142" s="2">
        <v>24.916424185358601</v>
      </c>
      <c r="BU142" s="2">
        <v>24.542971575605002</v>
      </c>
      <c r="BV142" s="2">
        <v>25.446947729766102</v>
      </c>
      <c r="BW142" s="2">
        <v>24.6392101045803</v>
      </c>
      <c r="BX142" s="2">
        <v>25.197452489043801</v>
      </c>
      <c r="BY142" s="2">
        <v>25.686148873513801</v>
      </c>
      <c r="BZ142" s="2">
        <v>25.617285061685099</v>
      </c>
      <c r="CA142" s="2">
        <v>25.753946093529201</v>
      </c>
      <c r="CB142" s="2">
        <v>25.242528059596101</v>
      </c>
      <c r="CC142" s="2">
        <v>24.903024168386299</v>
      </c>
      <c r="CD142" s="2">
        <v>25.849312513867599</v>
      </c>
      <c r="CE142" s="2">
        <v>25.366389186279498</v>
      </c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</row>
    <row r="143" spans="1:97">
      <c r="A143" s="2" t="s">
        <v>1605</v>
      </c>
      <c r="B143" s="2">
        <v>299.25853000000001</v>
      </c>
      <c r="C143" s="2">
        <v>13.467000000000001</v>
      </c>
      <c r="D143" s="2" t="s">
        <v>146</v>
      </c>
      <c r="E143" s="2" t="s">
        <v>1606</v>
      </c>
      <c r="F143" s="2" t="s">
        <v>1607</v>
      </c>
      <c r="G143" s="2">
        <v>6273</v>
      </c>
      <c r="H143" s="3" t="str">
        <f>HYPERLINK("https://cloud.oebiotech.com/#/lm/network/6273", "https://cloud.oebiotech.com/#/lm/network/6273")</f>
        <v>https://cloud.oebiotech.com/#/lm/network/6273</v>
      </c>
      <c r="I143" s="2"/>
      <c r="J143" s="2">
        <v>97006</v>
      </c>
      <c r="K143" s="2" t="s">
        <v>1608</v>
      </c>
      <c r="L143" s="2">
        <v>56935894</v>
      </c>
      <c r="M143" s="2"/>
      <c r="N143" s="2"/>
      <c r="O143" s="2"/>
      <c r="P143" s="2"/>
      <c r="Q143" s="2"/>
      <c r="R143" s="2"/>
      <c r="S143" s="2"/>
      <c r="T143" s="2" t="s">
        <v>1609</v>
      </c>
      <c r="U143" s="2" t="s">
        <v>1610</v>
      </c>
      <c r="V143" s="2" t="s">
        <v>95</v>
      </c>
      <c r="W143" s="2" t="s">
        <v>96</v>
      </c>
      <c r="X143" s="2" t="s">
        <v>353</v>
      </c>
      <c r="Y143" s="2" t="s">
        <v>98</v>
      </c>
      <c r="Z143" s="2" t="s">
        <v>99</v>
      </c>
      <c r="AA143" s="2" t="s">
        <v>354</v>
      </c>
      <c r="AB143" s="2" t="s">
        <v>101</v>
      </c>
      <c r="AC143" s="2">
        <v>71.95</v>
      </c>
      <c r="AD143" s="2">
        <v>97.96</v>
      </c>
      <c r="AE143" s="2">
        <v>82.64</v>
      </c>
      <c r="AF143" s="2" t="s">
        <v>1611</v>
      </c>
      <c r="AG143" s="2" t="s">
        <v>157</v>
      </c>
      <c r="AH143" s="2" t="s">
        <v>1612</v>
      </c>
      <c r="AI143" s="2">
        <v>2.34</v>
      </c>
      <c r="AJ143" s="2">
        <v>22.183021224188401</v>
      </c>
      <c r="AK143" s="2">
        <v>22.0216454142844</v>
      </c>
      <c r="AL143" s="2">
        <v>22.084849988787902</v>
      </c>
      <c r="AM143" s="2">
        <v>22.1247370265509</v>
      </c>
      <c r="AN143" s="2">
        <v>21.953984085496199</v>
      </c>
      <c r="AO143" s="2">
        <v>21.870940485143699</v>
      </c>
      <c r="AP143" s="2">
        <v>21.583217133125</v>
      </c>
      <c r="AQ143" s="2">
        <v>21.801207076910099</v>
      </c>
      <c r="AR143" s="2">
        <v>20.536028371747399</v>
      </c>
      <c r="AS143" s="2">
        <v>20.523930496216099</v>
      </c>
      <c r="AT143" s="2">
        <v>22.501943041487898</v>
      </c>
      <c r="AU143" s="2">
        <v>21.373909209767799</v>
      </c>
      <c r="AV143" s="2">
        <v>19.9228426528332</v>
      </c>
      <c r="AW143" s="2">
        <v>20.767195555212599</v>
      </c>
      <c r="AX143" s="2">
        <v>21.9334923570472</v>
      </c>
      <c r="AY143" s="2">
        <v>21.6992803412389</v>
      </c>
      <c r="AZ143" s="2">
        <v>20.560303471322499</v>
      </c>
      <c r="BA143" s="2">
        <v>21.625491047372101</v>
      </c>
      <c r="BB143" s="2">
        <v>21.753037423940601</v>
      </c>
      <c r="BC143" s="2">
        <v>22.9261037792851</v>
      </c>
      <c r="BD143" s="2">
        <v>20.813856032211898</v>
      </c>
      <c r="BE143" s="2">
        <v>21.7329724875644</v>
      </c>
      <c r="BF143" s="2">
        <v>21.3456161574858</v>
      </c>
      <c r="BG143" s="2">
        <v>21.991534820739901</v>
      </c>
      <c r="BH143" s="2">
        <v>20.651702118523598</v>
      </c>
      <c r="BI143" s="2">
        <v>22.1002497137105</v>
      </c>
      <c r="BJ143" s="2">
        <v>21.859719476092899</v>
      </c>
      <c r="BK143" s="2">
        <v>21.2553093619339</v>
      </c>
      <c r="BL143" s="2">
        <v>22.158710025958001</v>
      </c>
      <c r="BM143" s="2">
        <v>21.0237565593279</v>
      </c>
      <c r="BN143" s="2">
        <v>21.559414151393302</v>
      </c>
      <c r="BO143" s="2">
        <v>21.658575278880502</v>
      </c>
      <c r="BP143" s="2">
        <v>21.672278360134399</v>
      </c>
      <c r="BQ143" s="2">
        <v>21.682547571514</v>
      </c>
      <c r="BR143" s="2">
        <v>21.454273314929701</v>
      </c>
      <c r="BS143" s="2">
        <v>20.454813539241101</v>
      </c>
      <c r="BT143" s="2">
        <v>20.796535429437</v>
      </c>
      <c r="BU143" s="2">
        <v>21.766242420987101</v>
      </c>
      <c r="BV143" s="2">
        <v>22.006769897082201</v>
      </c>
      <c r="BW143" s="2">
        <v>21.097375890992399</v>
      </c>
      <c r="BX143" s="2">
        <v>21.113157635054801</v>
      </c>
      <c r="BY143" s="2">
        <v>20.586296120954401</v>
      </c>
      <c r="BZ143" s="2">
        <v>21.741366246184</v>
      </c>
      <c r="CA143" s="2">
        <v>20.6286316287039</v>
      </c>
      <c r="CB143" s="2">
        <v>21.445059511987999</v>
      </c>
      <c r="CC143" s="2">
        <v>21.9673012260122</v>
      </c>
      <c r="CD143" s="2">
        <v>21.5800538694049</v>
      </c>
      <c r="CE143" s="2">
        <v>22.180105658154101</v>
      </c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</row>
    <row r="144" spans="1:97">
      <c r="A144" s="2" t="s">
        <v>1613</v>
      </c>
      <c r="B144" s="2">
        <v>179.07094000000001</v>
      </c>
      <c r="C144" s="2">
        <v>8.7929999999999993</v>
      </c>
      <c r="D144" s="2" t="s">
        <v>146</v>
      </c>
      <c r="E144" s="2" t="s">
        <v>1614</v>
      </c>
      <c r="F144" s="2" t="s">
        <v>1615</v>
      </c>
      <c r="G144" s="2">
        <v>54549</v>
      </c>
      <c r="H144" s="3" t="str">
        <f>HYPERLINK("https://cloud.oebiotech.com/#/lm/network/54549", "https://cloud.oebiotech.com/#/lm/network/54549")</f>
        <v>https://cloud.oebiotech.com/#/lm/network/54549</v>
      </c>
      <c r="I144" s="2" t="s">
        <v>1616</v>
      </c>
      <c r="J144" s="2">
        <v>86393</v>
      </c>
      <c r="K144" s="2"/>
      <c r="L144" s="2">
        <v>61006</v>
      </c>
      <c r="M144" s="2"/>
      <c r="N144" s="2"/>
      <c r="O144" s="2"/>
      <c r="P144" s="2"/>
      <c r="Q144" s="2"/>
      <c r="R144" s="2"/>
      <c r="S144" s="2" t="s">
        <v>1617</v>
      </c>
      <c r="T144" s="2" t="s">
        <v>1618</v>
      </c>
      <c r="U144" s="2" t="s">
        <v>1619</v>
      </c>
      <c r="V144" s="2" t="s">
        <v>385</v>
      </c>
      <c r="W144" s="2" t="s">
        <v>386</v>
      </c>
      <c r="X144" s="2" t="s">
        <v>1620</v>
      </c>
      <c r="Y144" s="2" t="s">
        <v>388</v>
      </c>
      <c r="Z144" s="2" t="s">
        <v>389</v>
      </c>
      <c r="AA144" s="2" t="s">
        <v>1621</v>
      </c>
      <c r="AB144" s="2" t="s">
        <v>101</v>
      </c>
      <c r="AC144" s="2">
        <v>71.94</v>
      </c>
      <c r="AD144" s="2">
        <v>93.7</v>
      </c>
      <c r="AE144" s="2">
        <v>85.12</v>
      </c>
      <c r="AF144" s="2" t="s">
        <v>1622</v>
      </c>
      <c r="AG144" s="2" t="s">
        <v>157</v>
      </c>
      <c r="AH144" s="2" t="s">
        <v>1623</v>
      </c>
      <c r="AI144" s="2">
        <v>2.79</v>
      </c>
      <c r="AJ144" s="2">
        <v>18.9390096094481</v>
      </c>
      <c r="AK144" s="2">
        <v>19.3408298865589</v>
      </c>
      <c r="AL144" s="2">
        <v>19.271337271737099</v>
      </c>
      <c r="AM144" s="2">
        <v>19.479226115805702</v>
      </c>
      <c r="AN144" s="2">
        <v>19.1771805192651</v>
      </c>
      <c r="AO144" s="2">
        <v>19.1218003960931</v>
      </c>
      <c r="AP144" s="2">
        <v>19.238032667227198</v>
      </c>
      <c r="AQ144" s="2">
        <v>19.288532205988101</v>
      </c>
      <c r="AR144" s="2">
        <v>17.752431283737401</v>
      </c>
      <c r="AS144" s="2">
        <v>17.0023411360316</v>
      </c>
      <c r="AT144" s="2">
        <v>18.166270688270501</v>
      </c>
      <c r="AU144" s="2">
        <v>18.123212271438</v>
      </c>
      <c r="AV144" s="2">
        <v>18.1226387499749</v>
      </c>
      <c r="AW144" s="2">
        <v>17.567894372866</v>
      </c>
      <c r="AX144" s="2">
        <v>17.384562021202999</v>
      </c>
      <c r="AY144" s="2">
        <v>17.023976184387202</v>
      </c>
      <c r="AZ144" s="2">
        <v>22.0488424065557</v>
      </c>
      <c r="BA144" s="2">
        <v>17.169755338607199</v>
      </c>
      <c r="BB144" s="2">
        <v>17.441128297516101</v>
      </c>
      <c r="BC144" s="2">
        <v>17.626056777094899</v>
      </c>
      <c r="BD144" s="2">
        <v>17.702951841996899</v>
      </c>
      <c r="BE144" s="2">
        <v>18.2337072026464</v>
      </c>
      <c r="BF144" s="2">
        <v>17.763373836069</v>
      </c>
      <c r="BG144" s="2">
        <v>17.316518425452099</v>
      </c>
      <c r="BH144" s="2">
        <v>18.128619582965602</v>
      </c>
      <c r="BI144" s="2">
        <v>17.243199278028101</v>
      </c>
      <c r="BJ144" s="2">
        <v>17.5458247446633</v>
      </c>
      <c r="BK144" s="2">
        <v>21.327831493511901</v>
      </c>
      <c r="BL144" s="2">
        <v>18.122824305175101</v>
      </c>
      <c r="BM144" s="2">
        <v>18.608021764525201</v>
      </c>
      <c r="BN144" s="2">
        <v>17.425297872279899</v>
      </c>
      <c r="BO144" s="2">
        <v>18.964414906231401</v>
      </c>
      <c r="BP144" s="2">
        <v>17.113204351044701</v>
      </c>
      <c r="BQ144" s="2">
        <v>17.554171447515799</v>
      </c>
      <c r="BR144" s="2">
        <v>17.1966100983594</v>
      </c>
      <c r="BS144" s="2">
        <v>18.342159415507499</v>
      </c>
      <c r="BT144" s="2">
        <v>23.1768897275951</v>
      </c>
      <c r="BU144" s="2">
        <v>17.794525653417999</v>
      </c>
      <c r="BV144" s="2">
        <v>21.386934342528601</v>
      </c>
      <c r="BW144" s="2">
        <v>17.173453063991801</v>
      </c>
      <c r="BX144" s="2">
        <v>21.3781201852678</v>
      </c>
      <c r="BY144" s="2">
        <v>20.694103118138099</v>
      </c>
      <c r="BZ144" s="2">
        <v>17.685542853645199</v>
      </c>
      <c r="CA144" s="2">
        <v>18.489440444061501</v>
      </c>
      <c r="CB144" s="2">
        <v>18.472151813976001</v>
      </c>
      <c r="CC144" s="2">
        <v>17.900384937073099</v>
      </c>
      <c r="CD144" s="2">
        <v>17.29718147338</v>
      </c>
      <c r="CE144" s="2">
        <v>21.394772944977099</v>
      </c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</row>
    <row r="145" spans="1:97">
      <c r="A145" s="2" t="s">
        <v>1624</v>
      </c>
      <c r="B145" s="2">
        <v>482.35989000000001</v>
      </c>
      <c r="C145" s="2">
        <v>10.907</v>
      </c>
      <c r="D145" s="2" t="s">
        <v>84</v>
      </c>
      <c r="E145" s="2" t="s">
        <v>1625</v>
      </c>
      <c r="F145" s="2" t="s">
        <v>1626</v>
      </c>
      <c r="G145" s="2">
        <v>199425</v>
      </c>
      <c r="H145" s="3" t="str">
        <f>HYPERLINK("https://cloud.oebiotech.com/#/lm/network/199425", "https://cloud.oebiotech.com/#/lm/network/199425")</f>
        <v>https://cloud.oebiotech.com/#/lm/network/199425</v>
      </c>
      <c r="I145" s="2" t="s">
        <v>1627</v>
      </c>
      <c r="J145" s="2">
        <v>24070</v>
      </c>
      <c r="K145" s="2"/>
      <c r="L145" s="2">
        <v>3983</v>
      </c>
      <c r="M145" s="2" t="s">
        <v>1628</v>
      </c>
      <c r="N145" s="2"/>
      <c r="O145" s="2"/>
      <c r="P145" s="2"/>
      <c r="Q145" s="2"/>
      <c r="R145" s="2"/>
      <c r="S145" s="2" t="s">
        <v>1629</v>
      </c>
      <c r="T145" s="2" t="s">
        <v>1630</v>
      </c>
      <c r="U145" s="2" t="s">
        <v>1631</v>
      </c>
      <c r="V145" s="2" t="s">
        <v>95</v>
      </c>
      <c r="W145" s="2" t="s">
        <v>202</v>
      </c>
      <c r="X145" s="2" t="s">
        <v>203</v>
      </c>
      <c r="Y145" s="2" t="s">
        <v>98</v>
      </c>
      <c r="Z145" s="2" t="s">
        <v>204</v>
      </c>
      <c r="AA145" s="2" t="s">
        <v>205</v>
      </c>
      <c r="AB145" s="2" t="s">
        <v>101</v>
      </c>
      <c r="AC145" s="2">
        <v>71.94</v>
      </c>
      <c r="AD145" s="2">
        <v>99.11</v>
      </c>
      <c r="AE145" s="2">
        <v>93.89</v>
      </c>
      <c r="AF145" s="2" t="s">
        <v>1632</v>
      </c>
      <c r="AG145" s="2" t="s">
        <v>103</v>
      </c>
      <c r="AH145" s="2" t="s">
        <v>1633</v>
      </c>
      <c r="AI145" s="2">
        <v>1.24</v>
      </c>
      <c r="AJ145" s="2">
        <v>26.097671683026501</v>
      </c>
      <c r="AK145" s="2">
        <v>26.147587134850902</v>
      </c>
      <c r="AL145" s="2">
        <v>26.188317466306199</v>
      </c>
      <c r="AM145" s="2">
        <v>26.181603461381901</v>
      </c>
      <c r="AN145" s="2">
        <v>26.222881284746801</v>
      </c>
      <c r="AO145" s="2">
        <v>26.261674799501399</v>
      </c>
      <c r="AP145" s="2">
        <v>26.220579310387102</v>
      </c>
      <c r="AQ145" s="2">
        <v>26.292356975895601</v>
      </c>
      <c r="AR145" s="2">
        <v>26.3843841705188</v>
      </c>
      <c r="AS145" s="2">
        <v>25.261369107339501</v>
      </c>
      <c r="AT145" s="2">
        <v>25.816383238961301</v>
      </c>
      <c r="AU145" s="2">
        <v>25.651824308374099</v>
      </c>
      <c r="AV145" s="2">
        <v>26.204916019023401</v>
      </c>
      <c r="AW145" s="2">
        <v>25.693217413739202</v>
      </c>
      <c r="AX145" s="2">
        <v>25.5745219682215</v>
      </c>
      <c r="AY145" s="2">
        <v>25.814535237326002</v>
      </c>
      <c r="AZ145" s="2">
        <v>26.2420321846908</v>
      </c>
      <c r="BA145" s="2">
        <v>24.510822771361301</v>
      </c>
      <c r="BB145" s="2">
        <v>25.9163799707758</v>
      </c>
      <c r="BC145" s="2">
        <v>26.3439102655596</v>
      </c>
      <c r="BD145" s="2">
        <v>25.652872352414398</v>
      </c>
      <c r="BE145" s="2">
        <v>26.8101409181726</v>
      </c>
      <c r="BF145" s="2">
        <v>25.601699885863699</v>
      </c>
      <c r="BG145" s="2">
        <v>26.2422377201354</v>
      </c>
      <c r="BH145" s="2">
        <v>26.9426642029051</v>
      </c>
      <c r="BI145" s="2">
        <v>25.724849363428699</v>
      </c>
      <c r="BJ145" s="2">
        <v>25.792484566458501</v>
      </c>
      <c r="BK145" s="2">
        <v>25.686196550322698</v>
      </c>
      <c r="BL145" s="2">
        <v>26.396592360000401</v>
      </c>
      <c r="BM145" s="2">
        <v>26.130981786001598</v>
      </c>
      <c r="BN145" s="2">
        <v>26.317570649207401</v>
      </c>
      <c r="BO145" s="2">
        <v>26.244685233525502</v>
      </c>
      <c r="BP145" s="2">
        <v>26.2469449639309</v>
      </c>
      <c r="BQ145" s="2">
        <v>26.1551586200994</v>
      </c>
      <c r="BR145" s="2">
        <v>26.214752256006498</v>
      </c>
      <c r="BS145" s="2">
        <v>26.064591545388001</v>
      </c>
      <c r="BT145" s="2">
        <v>26.4662303684891</v>
      </c>
      <c r="BU145" s="2">
        <v>25.878942282393101</v>
      </c>
      <c r="BV145" s="2">
        <v>26.463791510538201</v>
      </c>
      <c r="BW145" s="2">
        <v>25.819912946418899</v>
      </c>
      <c r="BX145" s="2">
        <v>25.892101176036402</v>
      </c>
      <c r="BY145" s="2">
        <v>27.023726858546102</v>
      </c>
      <c r="BZ145" s="2">
        <v>25.468001754272802</v>
      </c>
      <c r="CA145" s="2">
        <v>26.4548034393761</v>
      </c>
      <c r="CB145" s="2">
        <v>25.7971738508414</v>
      </c>
      <c r="CC145" s="2">
        <v>24.333644134495099</v>
      </c>
      <c r="CD145" s="2">
        <v>26.151154397228598</v>
      </c>
      <c r="CE145" s="2">
        <v>25.874155317392201</v>
      </c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</row>
    <row r="146" spans="1:97">
      <c r="A146" s="2" t="s">
        <v>1634</v>
      </c>
      <c r="B146" s="2">
        <v>173.00874999999999</v>
      </c>
      <c r="C146" s="2">
        <v>1.077</v>
      </c>
      <c r="D146" s="2" t="s">
        <v>146</v>
      </c>
      <c r="E146" s="2" t="s">
        <v>1635</v>
      </c>
      <c r="F146" s="2" t="s">
        <v>1636</v>
      </c>
      <c r="G146" s="2">
        <v>47319</v>
      </c>
      <c r="H146" s="3" t="str">
        <f>HYPERLINK("https://cloud.oebiotech.com/#/lm/network/47319", "https://cloud.oebiotech.com/#/lm/network/47319")</f>
        <v>https://cloud.oebiotech.com/#/lm/network/47319</v>
      </c>
      <c r="I146" s="2" t="s">
        <v>1637</v>
      </c>
      <c r="J146" s="2">
        <v>3771</v>
      </c>
      <c r="K146" s="2"/>
      <c r="L146" s="2">
        <v>444212</v>
      </c>
      <c r="M146" s="2" t="s">
        <v>1638</v>
      </c>
      <c r="N146" s="2"/>
      <c r="O146" s="2"/>
      <c r="P146" s="2">
        <v>32806</v>
      </c>
      <c r="Q146" s="2"/>
      <c r="R146" s="2"/>
      <c r="S146" s="2" t="s">
        <v>1639</v>
      </c>
      <c r="T146" s="2" t="s">
        <v>1640</v>
      </c>
      <c r="U146" s="2" t="s">
        <v>1641</v>
      </c>
      <c r="V146" s="2" t="s">
        <v>115</v>
      </c>
      <c r="W146" s="2" t="s">
        <v>116</v>
      </c>
      <c r="X146" s="2" t="s">
        <v>1642</v>
      </c>
      <c r="Y146" s="2" t="s">
        <v>118</v>
      </c>
      <c r="Z146" s="2" t="s">
        <v>119</v>
      </c>
      <c r="AA146" s="2" t="s">
        <v>1643</v>
      </c>
      <c r="AB146" s="2" t="s">
        <v>101</v>
      </c>
      <c r="AC146" s="2">
        <v>71.930000000000007</v>
      </c>
      <c r="AD146" s="2">
        <v>98.87</v>
      </c>
      <c r="AE146" s="2">
        <v>81.3</v>
      </c>
      <c r="AF146" s="2" t="s">
        <v>1644</v>
      </c>
      <c r="AG146" s="2" t="s">
        <v>194</v>
      </c>
      <c r="AH146" s="2" t="s">
        <v>1645</v>
      </c>
      <c r="AI146" s="2">
        <v>2.89</v>
      </c>
      <c r="AJ146" s="2">
        <v>23.164637385340399</v>
      </c>
      <c r="AK146" s="2">
        <v>22.9788793370167</v>
      </c>
      <c r="AL146" s="2">
        <v>22.978524964182601</v>
      </c>
      <c r="AM146" s="2">
        <v>23.176761028966101</v>
      </c>
      <c r="AN146" s="2">
        <v>22.968254189823799</v>
      </c>
      <c r="AO146" s="2">
        <v>22.8607615577302</v>
      </c>
      <c r="AP146" s="2">
        <v>22.759398202791001</v>
      </c>
      <c r="AQ146" s="2">
        <v>22.8468619709687</v>
      </c>
      <c r="AR146" s="2">
        <v>22.438879803510101</v>
      </c>
      <c r="AS146" s="2">
        <v>21.1020837303215</v>
      </c>
      <c r="AT146" s="2">
        <v>21.9311352088219</v>
      </c>
      <c r="AU146" s="2">
        <v>22.616406108907999</v>
      </c>
      <c r="AV146" s="2">
        <v>22.814748938654699</v>
      </c>
      <c r="AW146" s="2">
        <v>22.895251870764501</v>
      </c>
      <c r="AX146" s="2">
        <v>21.909395755755799</v>
      </c>
      <c r="AY146" s="2">
        <v>22.299070841561001</v>
      </c>
      <c r="AZ146" s="2">
        <v>22.062907835316501</v>
      </c>
      <c r="BA146" s="2">
        <v>21.823524175664001</v>
      </c>
      <c r="BB146" s="2">
        <v>22.997133694996499</v>
      </c>
      <c r="BC146" s="2">
        <v>23.338684680034401</v>
      </c>
      <c r="BD146" s="2">
        <v>22.3371083853127</v>
      </c>
      <c r="BE146" s="2">
        <v>22.906496506145501</v>
      </c>
      <c r="BF146" s="2">
        <v>22.8564659156274</v>
      </c>
      <c r="BG146" s="2">
        <v>21.8567302564364</v>
      </c>
      <c r="BH146" s="2">
        <v>21.9864568092943</v>
      </c>
      <c r="BI146" s="2">
        <v>22.574922013476101</v>
      </c>
      <c r="BJ146" s="2">
        <v>23.4280639499299</v>
      </c>
      <c r="BK146" s="2">
        <v>22.2596498331806</v>
      </c>
      <c r="BL146" s="2">
        <v>22.0754629322394</v>
      </c>
      <c r="BM146" s="2">
        <v>23.319978992774701</v>
      </c>
      <c r="BN146" s="2">
        <v>22.821456057266801</v>
      </c>
      <c r="BO146" s="2">
        <v>21.532989906483099</v>
      </c>
      <c r="BP146" s="2">
        <v>22.041900071708099</v>
      </c>
      <c r="BQ146" s="2">
        <v>23.350308349207602</v>
      </c>
      <c r="BR146" s="2">
        <v>22.168758928226602</v>
      </c>
      <c r="BS146" s="2">
        <v>22.032671853838</v>
      </c>
      <c r="BT146" s="2">
        <v>21.970129436165301</v>
      </c>
      <c r="BU146" s="2">
        <v>23.024303093681699</v>
      </c>
      <c r="BV146" s="2">
        <v>22.886502993306401</v>
      </c>
      <c r="BW146" s="2">
        <v>21.685934901562501</v>
      </c>
      <c r="BX146" s="2">
        <v>22.136804104048899</v>
      </c>
      <c r="BY146" s="2">
        <v>23.1646138835419</v>
      </c>
      <c r="BZ146" s="2">
        <v>22.7605170826345</v>
      </c>
      <c r="CA146" s="2">
        <v>22.2830019885807</v>
      </c>
      <c r="CB146" s="2">
        <v>21.2794274261176</v>
      </c>
      <c r="CC146" s="2">
        <v>22.561104221703999</v>
      </c>
      <c r="CD146" s="2">
        <v>22.4407125046171</v>
      </c>
      <c r="CE146" s="2">
        <v>22.154445068619701</v>
      </c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</row>
    <row r="147" spans="1:97">
      <c r="A147" s="2" t="s">
        <v>1646</v>
      </c>
      <c r="B147" s="2">
        <v>247.14381</v>
      </c>
      <c r="C147" s="2">
        <v>4.0119999999999996</v>
      </c>
      <c r="D147" s="2" t="s">
        <v>84</v>
      </c>
      <c r="E147" s="2" t="s">
        <v>1647</v>
      </c>
      <c r="F147" s="2" t="s">
        <v>1648</v>
      </c>
      <c r="G147" s="2">
        <v>82938</v>
      </c>
      <c r="H147" s="3" t="str">
        <f>HYPERLINK("https://cloud.oebiotech.com/#/lm/network/82938", "https://cloud.oebiotech.com/#/lm/network/82938")</f>
        <v>https://cloud.oebiotech.com/#/lm/network/82938</v>
      </c>
      <c r="I147" s="2" t="s">
        <v>1649</v>
      </c>
      <c r="J147" s="2"/>
      <c r="K147" s="2"/>
      <c r="L147" s="2">
        <v>442106</v>
      </c>
      <c r="M147" s="2" t="s">
        <v>1650</v>
      </c>
      <c r="N147" s="2"/>
      <c r="O147" s="2"/>
      <c r="P147" s="2">
        <v>5832</v>
      </c>
      <c r="Q147" s="2"/>
      <c r="R147" s="2"/>
      <c r="S147" s="2" t="s">
        <v>1651</v>
      </c>
      <c r="T147" s="2" t="s">
        <v>1652</v>
      </c>
      <c r="U147" s="2" t="s">
        <v>1653</v>
      </c>
      <c r="V147" s="2" t="s">
        <v>115</v>
      </c>
      <c r="W147" s="2" t="s">
        <v>116</v>
      </c>
      <c r="X147" s="2" t="s">
        <v>117</v>
      </c>
      <c r="Y147" s="2" t="s">
        <v>118</v>
      </c>
      <c r="Z147" s="2" t="s">
        <v>119</v>
      </c>
      <c r="AA147" s="2" t="s">
        <v>120</v>
      </c>
      <c r="AB147" s="2" t="s">
        <v>101</v>
      </c>
      <c r="AC147" s="2">
        <v>71.930000000000007</v>
      </c>
      <c r="AD147" s="2">
        <v>98.46</v>
      </c>
      <c r="AE147" s="2">
        <v>88.14</v>
      </c>
      <c r="AF147" s="2" t="s">
        <v>1654</v>
      </c>
      <c r="AG147" s="2" t="s">
        <v>103</v>
      </c>
      <c r="AH147" s="2" t="s">
        <v>1655</v>
      </c>
      <c r="AI147" s="2">
        <v>1.21</v>
      </c>
      <c r="AJ147" s="2">
        <v>23.686025372352301</v>
      </c>
      <c r="AK147" s="2">
        <v>23.607188950138099</v>
      </c>
      <c r="AL147" s="2">
        <v>23.8547296079972</v>
      </c>
      <c r="AM147" s="2">
        <v>23.8330068697726</v>
      </c>
      <c r="AN147" s="2">
        <v>23.830300675028401</v>
      </c>
      <c r="AO147" s="2">
        <v>23.731247410394701</v>
      </c>
      <c r="AP147" s="2">
        <v>23.633555683284602</v>
      </c>
      <c r="AQ147" s="2">
        <v>23.695502247546401</v>
      </c>
      <c r="AR147" s="2">
        <v>23.2548601383623</v>
      </c>
      <c r="AS147" s="2">
        <v>24.8460662111594</v>
      </c>
      <c r="AT147" s="2">
        <v>23.7059670307566</v>
      </c>
      <c r="AU147" s="2">
        <v>23.678032749506102</v>
      </c>
      <c r="AV147" s="2">
        <v>22.116367410679899</v>
      </c>
      <c r="AW147" s="2">
        <v>24.242403347720799</v>
      </c>
      <c r="AX147" s="2">
        <v>22.297363272809001</v>
      </c>
      <c r="AY147" s="2">
        <v>24.091155638523301</v>
      </c>
      <c r="AZ147" s="2">
        <v>22.0230554104125</v>
      </c>
      <c r="BA147" s="2">
        <v>24.672983109706198</v>
      </c>
      <c r="BB147" s="2">
        <v>24.937819657291101</v>
      </c>
      <c r="BC147" s="2">
        <v>23.499159175925701</v>
      </c>
      <c r="BD147" s="2">
        <v>21.4614400330275</v>
      </c>
      <c r="BE147" s="2">
        <v>24.799585233956599</v>
      </c>
      <c r="BF147" s="2">
        <v>22.630555768046499</v>
      </c>
      <c r="BG147" s="2">
        <v>20.735209562636999</v>
      </c>
      <c r="BH147" s="2">
        <v>21.613437983404399</v>
      </c>
      <c r="BI147" s="2">
        <v>24.747201914877301</v>
      </c>
      <c r="BJ147" s="2">
        <v>25.275217682087799</v>
      </c>
      <c r="BK147" s="2">
        <v>24.248316605933098</v>
      </c>
      <c r="BL147" s="2">
        <v>24.1006268735288</v>
      </c>
      <c r="BM147" s="2">
        <v>23.055825361954501</v>
      </c>
      <c r="BN147" s="2">
        <v>24.421136256761802</v>
      </c>
      <c r="BO147" s="2">
        <v>22.408967505001499</v>
      </c>
      <c r="BP147" s="2">
        <v>22.318075977242401</v>
      </c>
      <c r="BQ147" s="2">
        <v>23.785144322165301</v>
      </c>
      <c r="BR147" s="2">
        <v>20.886671143615398</v>
      </c>
      <c r="BS147" s="2">
        <v>23.997185762820799</v>
      </c>
      <c r="BT147" s="2">
        <v>22.706778285350602</v>
      </c>
      <c r="BU147" s="2">
        <v>22.977359286232801</v>
      </c>
      <c r="BV147" s="2">
        <v>24.3041236514524</v>
      </c>
      <c r="BW147" s="2">
        <v>22.047844855087401</v>
      </c>
      <c r="BX147" s="2">
        <v>22.706937014572699</v>
      </c>
      <c r="BY147" s="2">
        <v>24.721755174325001</v>
      </c>
      <c r="BZ147" s="2">
        <v>23.2817472044614</v>
      </c>
      <c r="CA147" s="2">
        <v>22.9080022684727</v>
      </c>
      <c r="CB147" s="2">
        <v>21.698596152506202</v>
      </c>
      <c r="CC147" s="2">
        <v>21.7896075059009</v>
      </c>
      <c r="CD147" s="2">
        <v>24.268049592871499</v>
      </c>
      <c r="CE147" s="2">
        <v>25.1920636749783</v>
      </c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</row>
    <row r="148" spans="1:97">
      <c r="A148" s="2" t="s">
        <v>1656</v>
      </c>
      <c r="B148" s="2">
        <v>344.22750000000002</v>
      </c>
      <c r="C148" s="2">
        <v>4.1379999999999999</v>
      </c>
      <c r="D148" s="2" t="s">
        <v>84</v>
      </c>
      <c r="E148" s="2" t="s">
        <v>1657</v>
      </c>
      <c r="F148" s="2" t="s">
        <v>1658</v>
      </c>
      <c r="G148" s="2">
        <v>83356</v>
      </c>
      <c r="H148" s="3" t="str">
        <f>HYPERLINK("https://cloud.oebiotech.com/#/lm/network/83356", "https://cloud.oebiotech.com/#/lm/network/83356")</f>
        <v>https://cloud.oebiotech.com/#/lm/network/83356</v>
      </c>
      <c r="I148" s="2" t="s">
        <v>1659</v>
      </c>
      <c r="J148" s="2"/>
      <c r="K148" s="2"/>
      <c r="L148" s="2">
        <v>79718</v>
      </c>
      <c r="M148" s="2"/>
      <c r="N148" s="2"/>
      <c r="O148" s="2"/>
      <c r="P148" s="2">
        <v>44748</v>
      </c>
      <c r="Q148" s="2"/>
      <c r="R148" s="2"/>
      <c r="S148" s="2" t="s">
        <v>1660</v>
      </c>
      <c r="T148" s="2" t="s">
        <v>1661</v>
      </c>
      <c r="U148" s="2" t="s">
        <v>1662</v>
      </c>
      <c r="V148" s="2" t="s">
        <v>338</v>
      </c>
      <c r="W148" s="2" t="s">
        <v>339</v>
      </c>
      <c r="X148" s="2" t="s">
        <v>1663</v>
      </c>
      <c r="Y148" s="2" t="s">
        <v>341</v>
      </c>
      <c r="Z148" s="2" t="s">
        <v>341</v>
      </c>
      <c r="AA148" s="2" t="s">
        <v>1664</v>
      </c>
      <c r="AB148" s="2" t="s">
        <v>101</v>
      </c>
      <c r="AC148" s="2">
        <v>71.900000000000006</v>
      </c>
      <c r="AD148" s="2">
        <v>97.68</v>
      </c>
      <c r="AE148" s="2">
        <v>75.36</v>
      </c>
      <c r="AF148" s="2" t="s">
        <v>1665</v>
      </c>
      <c r="AG148" s="2" t="s">
        <v>132</v>
      </c>
      <c r="AH148" s="2" t="s">
        <v>1666</v>
      </c>
      <c r="AI148" s="2">
        <v>1.1599999999999999</v>
      </c>
      <c r="AJ148" s="2">
        <v>22.025046315487401</v>
      </c>
      <c r="AK148" s="2">
        <v>21.915972331417201</v>
      </c>
      <c r="AL148" s="2">
        <v>21.850297136058298</v>
      </c>
      <c r="AM148" s="2">
        <v>22.167829820567299</v>
      </c>
      <c r="AN148" s="2">
        <v>22.0901598749371</v>
      </c>
      <c r="AO148" s="2">
        <v>21.969847391007999</v>
      </c>
      <c r="AP148" s="2">
        <v>21.933209631764999</v>
      </c>
      <c r="AQ148" s="2">
        <v>21.965408254399499</v>
      </c>
      <c r="AR148" s="2">
        <v>20.615284334283299</v>
      </c>
      <c r="AS148" s="2">
        <v>20.874920752457299</v>
      </c>
      <c r="AT148" s="2">
        <v>21.908504527981801</v>
      </c>
      <c r="AU148" s="2">
        <v>22.399566233989798</v>
      </c>
      <c r="AV148" s="2">
        <v>21.908269822182799</v>
      </c>
      <c r="AW148" s="2">
        <v>22.426203096884301</v>
      </c>
      <c r="AX148" s="2">
        <v>22.330210462134701</v>
      </c>
      <c r="AY148" s="2">
        <v>22.372390961471002</v>
      </c>
      <c r="AZ148" s="2">
        <v>21.5992548024001</v>
      </c>
      <c r="BA148" s="2">
        <v>21.673777631710799</v>
      </c>
      <c r="BB148" s="2">
        <v>20.3387229790949</v>
      </c>
      <c r="BC148" s="2">
        <v>20.140994946165598</v>
      </c>
      <c r="BD148" s="2">
        <v>22.538206881683301</v>
      </c>
      <c r="BE148" s="2">
        <v>22.683003374169399</v>
      </c>
      <c r="BF148" s="2">
        <v>22.305618839161198</v>
      </c>
      <c r="BG148" s="2">
        <v>20.412913808651702</v>
      </c>
      <c r="BH148" s="2">
        <v>22.3706945363278</v>
      </c>
      <c r="BI148" s="2">
        <v>21.942888855671001</v>
      </c>
      <c r="BJ148" s="2">
        <v>20.1159256657679</v>
      </c>
      <c r="BK148" s="2">
        <v>22.139766365722899</v>
      </c>
      <c r="BL148" s="2">
        <v>22.1899517235614</v>
      </c>
      <c r="BM148" s="2">
        <v>23.156938204571802</v>
      </c>
      <c r="BN148" s="2">
        <v>22.370432458066599</v>
      </c>
      <c r="BO148" s="2">
        <v>21.8664512029052</v>
      </c>
      <c r="BP148" s="2">
        <v>22.212596339317798</v>
      </c>
      <c r="BQ148" s="2">
        <v>22.372631515851999</v>
      </c>
      <c r="BR148" s="2">
        <v>20.2260410375671</v>
      </c>
      <c r="BS148" s="2">
        <v>22.9654522258257</v>
      </c>
      <c r="BT148" s="2">
        <v>20.846675115218599</v>
      </c>
      <c r="BU148" s="2">
        <v>22.357322500768799</v>
      </c>
      <c r="BV148" s="2">
        <v>20.316082307618998</v>
      </c>
      <c r="BW148" s="2">
        <v>20.163455957106599</v>
      </c>
      <c r="BX148" s="2">
        <v>22.408746560298201</v>
      </c>
      <c r="BY148" s="2">
        <v>23.062891900924001</v>
      </c>
      <c r="BZ148" s="2">
        <v>20.297248051108198</v>
      </c>
      <c r="CA148" s="2">
        <v>22.0314235788553</v>
      </c>
      <c r="CB148" s="2">
        <v>20.570236039694699</v>
      </c>
      <c r="CC148" s="2">
        <v>21.542464260680301</v>
      </c>
      <c r="CD148" s="2">
        <v>22.6714569567763</v>
      </c>
      <c r="CE148" s="2">
        <v>22.618758729253798</v>
      </c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</row>
    <row r="149" spans="1:97">
      <c r="A149" s="2" t="s">
        <v>1667</v>
      </c>
      <c r="B149" s="2">
        <v>132.10174000000001</v>
      </c>
      <c r="C149" s="2">
        <v>0.92100000000000004</v>
      </c>
      <c r="D149" s="2" t="s">
        <v>84</v>
      </c>
      <c r="E149" s="2" t="s">
        <v>1668</v>
      </c>
      <c r="F149" s="2" t="s">
        <v>1669</v>
      </c>
      <c r="G149" s="2">
        <v>278879</v>
      </c>
      <c r="H149" s="3" t="str">
        <f>HYPERLINK("https://cloud.oebiotech.com/#/lm/network/278879", "https://cloud.oebiotech.com/#/lm/network/278879")</f>
        <v>https://cloud.oebiotech.com/#/lm/network/278879</v>
      </c>
      <c r="I149" s="2"/>
      <c r="J149" s="2">
        <v>71280</v>
      </c>
      <c r="K149" s="2"/>
      <c r="L149" s="2">
        <v>74151</v>
      </c>
      <c r="M149" s="2" t="s">
        <v>1670</v>
      </c>
      <c r="N149" s="2"/>
      <c r="O149" s="2"/>
      <c r="P149" s="2"/>
      <c r="Q149" s="2"/>
      <c r="R149" s="2"/>
      <c r="S149" s="2"/>
      <c r="T149" s="2" t="s">
        <v>1671</v>
      </c>
      <c r="U149" s="2" t="s">
        <v>1672</v>
      </c>
      <c r="V149" s="2" t="s">
        <v>115</v>
      </c>
      <c r="W149" s="2" t="s">
        <v>116</v>
      </c>
      <c r="X149" s="2" t="s">
        <v>117</v>
      </c>
      <c r="Y149" s="2" t="s">
        <v>118</v>
      </c>
      <c r="Z149" s="2" t="s">
        <v>119</v>
      </c>
      <c r="AA149" s="2" t="s">
        <v>120</v>
      </c>
      <c r="AB149" s="2" t="s">
        <v>101</v>
      </c>
      <c r="AC149" s="2">
        <v>71.89</v>
      </c>
      <c r="AD149" s="2">
        <v>98.47</v>
      </c>
      <c r="AE149" s="2">
        <v>79.52</v>
      </c>
      <c r="AF149" s="2" t="s">
        <v>1673</v>
      </c>
      <c r="AG149" s="2" t="s">
        <v>103</v>
      </c>
      <c r="AH149" s="2" t="s">
        <v>1674</v>
      </c>
      <c r="AI149" s="2">
        <v>1.51</v>
      </c>
      <c r="AJ149" s="2">
        <v>30.8380089473212</v>
      </c>
      <c r="AK149" s="2">
        <v>29.794732941017902</v>
      </c>
      <c r="AL149" s="2">
        <v>30.9121277280782</v>
      </c>
      <c r="AM149" s="2">
        <v>29.883172878777099</v>
      </c>
      <c r="AN149" s="2">
        <v>30.994969793561399</v>
      </c>
      <c r="AO149" s="2">
        <v>30.969162025127901</v>
      </c>
      <c r="AP149" s="2">
        <v>30.958822161638601</v>
      </c>
      <c r="AQ149" s="2">
        <v>30.9979579897485</v>
      </c>
      <c r="AR149" s="2">
        <v>29.270998073152999</v>
      </c>
      <c r="AS149" s="2">
        <v>29.817788142005099</v>
      </c>
      <c r="AT149" s="2">
        <v>29.1099156577841</v>
      </c>
      <c r="AU149" s="2">
        <v>29.4191528178692</v>
      </c>
      <c r="AV149" s="2">
        <v>30.046483048995299</v>
      </c>
      <c r="AW149" s="2">
        <v>30.078504952736601</v>
      </c>
      <c r="AX149" s="2">
        <v>29.401219436831902</v>
      </c>
      <c r="AY149" s="2">
        <v>30.887209706525798</v>
      </c>
      <c r="AZ149" s="2">
        <v>29.7075504906731</v>
      </c>
      <c r="BA149" s="2">
        <v>30.2575518536621</v>
      </c>
      <c r="BB149" s="2">
        <v>31.2415187535623</v>
      </c>
      <c r="BC149" s="2">
        <v>29.935252198615899</v>
      </c>
      <c r="BD149" s="2">
        <v>29.999448299863499</v>
      </c>
      <c r="BE149" s="2">
        <v>30.1704961869549</v>
      </c>
      <c r="BF149" s="2">
        <v>30.414246620525699</v>
      </c>
      <c r="BG149" s="2">
        <v>31.030565840217001</v>
      </c>
      <c r="BH149" s="2">
        <v>31.040830952481102</v>
      </c>
      <c r="BI149" s="2">
        <v>29.532412381167099</v>
      </c>
      <c r="BJ149" s="2">
        <v>30.3645926181904</v>
      </c>
      <c r="BK149" s="2">
        <v>30.679136854981099</v>
      </c>
      <c r="BL149" s="2">
        <v>30.244144718403199</v>
      </c>
      <c r="BM149" s="2">
        <v>30.755198408603299</v>
      </c>
      <c r="BN149" s="2">
        <v>29.899961810274601</v>
      </c>
      <c r="BO149" s="2">
        <v>30.3806901902297</v>
      </c>
      <c r="BP149" s="2">
        <v>30.395881994572701</v>
      </c>
      <c r="BQ149" s="2">
        <v>31.3870677918739</v>
      </c>
      <c r="BR149" s="2">
        <v>30.969385639857599</v>
      </c>
      <c r="BS149" s="2">
        <v>30.855496324141001</v>
      </c>
      <c r="BT149" s="2">
        <v>30.227546620903901</v>
      </c>
      <c r="BU149" s="2">
        <v>30.504725260762001</v>
      </c>
      <c r="BV149" s="2">
        <v>30.915297281800001</v>
      </c>
      <c r="BW149" s="2">
        <v>30.256908492662902</v>
      </c>
      <c r="BX149" s="2">
        <v>30.326696778798102</v>
      </c>
      <c r="BY149" s="2">
        <v>31.327021530075001</v>
      </c>
      <c r="BZ149" s="2">
        <v>31.559938484636</v>
      </c>
      <c r="CA149" s="2">
        <v>31.1952892837481</v>
      </c>
      <c r="CB149" s="2">
        <v>29.230192958270599</v>
      </c>
      <c r="CC149" s="2">
        <v>30.663576150364801</v>
      </c>
      <c r="CD149" s="2">
        <v>31.306168562786699</v>
      </c>
      <c r="CE149" s="2">
        <v>30.815137369593302</v>
      </c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</row>
    <row r="150" spans="1:97">
      <c r="A150" s="2" t="s">
        <v>1675</v>
      </c>
      <c r="B150" s="2">
        <v>464.31292999999999</v>
      </c>
      <c r="C150" s="2">
        <v>11.095000000000001</v>
      </c>
      <c r="D150" s="2" t="s">
        <v>84</v>
      </c>
      <c r="E150" s="2" t="s">
        <v>1676</v>
      </c>
      <c r="F150" s="2" t="s">
        <v>1677</v>
      </c>
      <c r="G150" s="2">
        <v>197243</v>
      </c>
      <c r="H150" s="3" t="str">
        <f>HYPERLINK("https://cloud.oebiotech.com/#/lm/network/197243", "https://cloud.oebiotech.com/#/lm/network/197243")</f>
        <v>https://cloud.oebiotech.com/#/lm/network/197243</v>
      </c>
      <c r="I150" s="2" t="s">
        <v>1678</v>
      </c>
      <c r="J150" s="2"/>
      <c r="K150" s="2"/>
      <c r="L150" s="2"/>
      <c r="M150" s="2"/>
      <c r="N150" s="2"/>
      <c r="O150" s="2"/>
      <c r="P150" s="2"/>
      <c r="Q150" s="2"/>
      <c r="R150" s="2"/>
      <c r="S150" s="2" t="s">
        <v>1679</v>
      </c>
      <c r="T150" s="2" t="s">
        <v>1680</v>
      </c>
      <c r="U150" s="2" t="s">
        <v>1681</v>
      </c>
      <c r="V150" s="2" t="s">
        <v>95</v>
      </c>
      <c r="W150" s="2" t="s">
        <v>202</v>
      </c>
      <c r="X150" s="2" t="s">
        <v>327</v>
      </c>
      <c r="Y150" s="2" t="s">
        <v>98</v>
      </c>
      <c r="Z150" s="2" t="s">
        <v>204</v>
      </c>
      <c r="AA150" s="2" t="s">
        <v>328</v>
      </c>
      <c r="AB150" s="2" t="s">
        <v>101</v>
      </c>
      <c r="AC150" s="2">
        <v>71.86</v>
      </c>
      <c r="AD150" s="2">
        <v>96.77</v>
      </c>
      <c r="AE150" s="2">
        <v>90.58</v>
      </c>
      <c r="AF150" s="2" t="s">
        <v>1682</v>
      </c>
      <c r="AG150" s="2" t="s">
        <v>103</v>
      </c>
      <c r="AH150" s="2" t="s">
        <v>1683</v>
      </c>
      <c r="AI150" s="2">
        <v>1.29</v>
      </c>
      <c r="AJ150" s="2">
        <v>23.6851164737921</v>
      </c>
      <c r="AK150" s="2">
        <v>23.689571581996798</v>
      </c>
      <c r="AL150" s="2">
        <v>23.716737085849001</v>
      </c>
      <c r="AM150" s="2">
        <v>23.8093917295895</v>
      </c>
      <c r="AN150" s="2">
        <v>23.8385177429329</v>
      </c>
      <c r="AO150" s="2">
        <v>23.734741171930999</v>
      </c>
      <c r="AP150" s="2">
        <v>23.877592899149501</v>
      </c>
      <c r="AQ150" s="2">
        <v>23.955826813866299</v>
      </c>
      <c r="AR150" s="2">
        <v>23.469836517686598</v>
      </c>
      <c r="AS150" s="2">
        <v>22.5655882304046</v>
      </c>
      <c r="AT150" s="2">
        <v>23.1388227402912</v>
      </c>
      <c r="AU150" s="2">
        <v>23.2745352873462</v>
      </c>
      <c r="AV150" s="2">
        <v>23.785837654129701</v>
      </c>
      <c r="AW150" s="2">
        <v>23.356049725929399</v>
      </c>
      <c r="AX150" s="2">
        <v>23.3943486201259</v>
      </c>
      <c r="AY150" s="2">
        <v>23.893591383631701</v>
      </c>
      <c r="AZ150" s="2">
        <v>23.882211795607098</v>
      </c>
      <c r="BA150" s="2">
        <v>22.464077462910499</v>
      </c>
      <c r="BB150" s="2">
        <v>23.686040359403201</v>
      </c>
      <c r="BC150" s="2">
        <v>23.755076232497</v>
      </c>
      <c r="BD150" s="2">
        <v>23.167933813157902</v>
      </c>
      <c r="BE150" s="2">
        <v>23.952393225784402</v>
      </c>
      <c r="BF150" s="2">
        <v>23.187652234403998</v>
      </c>
      <c r="BG150" s="2">
        <v>23.7500846166222</v>
      </c>
      <c r="BH150" s="2">
        <v>25.454460203646899</v>
      </c>
      <c r="BI150" s="2">
        <v>23.595005412328799</v>
      </c>
      <c r="BJ150" s="2">
        <v>22.941728125308</v>
      </c>
      <c r="BK150" s="2">
        <v>23.681171432562099</v>
      </c>
      <c r="BL150" s="2">
        <v>23.5272899794256</v>
      </c>
      <c r="BM150" s="2">
        <v>23.417037927032599</v>
      </c>
      <c r="BN150" s="2">
        <v>23.767318878277798</v>
      </c>
      <c r="BO150" s="2">
        <v>23.071194846604701</v>
      </c>
      <c r="BP150" s="2">
        <v>23.205882241223001</v>
      </c>
      <c r="BQ150" s="2">
        <v>23.678028028446501</v>
      </c>
      <c r="BR150" s="2">
        <v>23.3527492853542</v>
      </c>
      <c r="BS150" s="2">
        <v>23.5364100082591</v>
      </c>
      <c r="BT150" s="2">
        <v>23.357483603231199</v>
      </c>
      <c r="BU150" s="2">
        <v>23.245934089719299</v>
      </c>
      <c r="BV150" s="2">
        <v>23.555306610359299</v>
      </c>
      <c r="BW150" s="2">
        <v>23.317202489016601</v>
      </c>
      <c r="BX150" s="2">
        <v>23.618376622780101</v>
      </c>
      <c r="BY150" s="2">
        <v>24.313247719026599</v>
      </c>
      <c r="BZ150" s="2">
        <v>22.8447880598425</v>
      </c>
      <c r="CA150" s="2">
        <v>23.520309371934498</v>
      </c>
      <c r="CB150" s="2">
        <v>23.920291891633799</v>
      </c>
      <c r="CC150" s="2">
        <v>22.905026224080501</v>
      </c>
      <c r="CD150" s="2">
        <v>23.079050517225902</v>
      </c>
      <c r="CE150" s="2">
        <v>23.4011105064478</v>
      </c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</row>
    <row r="151" spans="1:97">
      <c r="A151" s="2" t="s">
        <v>1684</v>
      </c>
      <c r="B151" s="2">
        <v>768.58813999999995</v>
      </c>
      <c r="C151" s="2">
        <v>12.869</v>
      </c>
      <c r="D151" s="2" t="s">
        <v>84</v>
      </c>
      <c r="E151" s="2" t="s">
        <v>1685</v>
      </c>
      <c r="F151" s="2" t="s">
        <v>1686</v>
      </c>
      <c r="G151" s="2">
        <v>19670</v>
      </c>
      <c r="H151" s="3" t="str">
        <f>HYPERLINK("https://cloud.oebiotech.com/#/lm/network/19670", "https://cloud.oebiotech.com/#/lm/network/19670")</f>
        <v>https://cloud.oebiotech.com/#/lm/network/19670</v>
      </c>
      <c r="I151" s="2" t="s">
        <v>1687</v>
      </c>
      <c r="J151" s="2">
        <v>102746</v>
      </c>
      <c r="K151" s="2" t="s">
        <v>1688</v>
      </c>
      <c r="L151" s="2">
        <v>53481719</v>
      </c>
      <c r="M151" s="2"/>
      <c r="N151" s="2"/>
      <c r="O151" s="2"/>
      <c r="P151" s="2">
        <v>89880</v>
      </c>
      <c r="Q151" s="2"/>
      <c r="R151" s="2"/>
      <c r="S151" s="2"/>
      <c r="T151" s="2" t="s">
        <v>1689</v>
      </c>
      <c r="U151" s="2" t="s">
        <v>1690</v>
      </c>
      <c r="V151" s="2" t="s">
        <v>95</v>
      </c>
      <c r="W151" s="2" t="s">
        <v>202</v>
      </c>
      <c r="X151" s="2" t="s">
        <v>203</v>
      </c>
      <c r="Y151" s="2" t="s">
        <v>98</v>
      </c>
      <c r="Z151" s="2" t="s">
        <v>204</v>
      </c>
      <c r="AA151" s="2" t="s">
        <v>205</v>
      </c>
      <c r="AB151" s="2" t="s">
        <v>101</v>
      </c>
      <c r="AC151" s="2">
        <v>71.8</v>
      </c>
      <c r="AD151" s="2">
        <v>90.64</v>
      </c>
      <c r="AE151" s="2">
        <v>86.25</v>
      </c>
      <c r="AF151" s="2" t="s">
        <v>1691</v>
      </c>
      <c r="AG151" s="2" t="s">
        <v>1578</v>
      </c>
      <c r="AH151" s="2" t="s">
        <v>1692</v>
      </c>
      <c r="AI151" s="2">
        <v>-0.39</v>
      </c>
      <c r="AJ151" s="2">
        <v>24.245250306058399</v>
      </c>
      <c r="AK151" s="2">
        <v>24.198175413222</v>
      </c>
      <c r="AL151" s="2">
        <v>24.3653636821055</v>
      </c>
      <c r="AM151" s="2">
        <v>23.989693344330998</v>
      </c>
      <c r="AN151" s="2">
        <v>23.930119925563801</v>
      </c>
      <c r="AO151" s="2">
        <v>23.975674809076001</v>
      </c>
      <c r="AP151" s="2">
        <v>24.787934158779699</v>
      </c>
      <c r="AQ151" s="2">
        <v>24.148917156670802</v>
      </c>
      <c r="AR151" s="2">
        <v>22.466788707166401</v>
      </c>
      <c r="AS151" s="2">
        <v>9.6233145402724691</v>
      </c>
      <c r="AT151" s="2">
        <v>24.1787887450865</v>
      </c>
      <c r="AU151" s="2">
        <v>23.563681577392799</v>
      </c>
      <c r="AV151" s="2">
        <v>24.5017172846797</v>
      </c>
      <c r="AW151" s="2">
        <v>23.211406770987001</v>
      </c>
      <c r="AX151" s="2">
        <v>23.7925161527758</v>
      </c>
      <c r="AY151" s="2">
        <v>23.7466549226253</v>
      </c>
      <c r="AZ151" s="2">
        <v>23.878866035368201</v>
      </c>
      <c r="BA151" s="2">
        <v>23.938675091023899</v>
      </c>
      <c r="BB151" s="2">
        <v>23.2590817031843</v>
      </c>
      <c r="BC151" s="2">
        <v>23.195967311705601</v>
      </c>
      <c r="BD151" s="2">
        <v>23.209657505189899</v>
      </c>
      <c r="BE151" s="2">
        <v>23.318940690869798</v>
      </c>
      <c r="BF151" s="2">
        <v>22.9533483105721</v>
      </c>
      <c r="BG151" s="2">
        <v>24.832942343251901</v>
      </c>
      <c r="BH151" s="2">
        <v>23.548427956744401</v>
      </c>
      <c r="BI151" s="2">
        <v>24.559751829290899</v>
      </c>
      <c r="BJ151" s="2">
        <v>24.1313213063471</v>
      </c>
      <c r="BK151" s="2">
        <v>23.455900120824101</v>
      </c>
      <c r="BL151" s="2">
        <v>23.937317002193701</v>
      </c>
      <c r="BM151" s="2">
        <v>24.6776038730086</v>
      </c>
      <c r="BN151" s="2">
        <v>24.161467421629201</v>
      </c>
      <c r="BO151" s="2">
        <v>23.304611807591101</v>
      </c>
      <c r="BP151" s="2">
        <v>23.824864927226301</v>
      </c>
      <c r="BQ151" s="2">
        <v>24.645978979533499</v>
      </c>
      <c r="BR151" s="2">
        <v>23.715022892530399</v>
      </c>
      <c r="BS151" s="2">
        <v>23.194559328464301</v>
      </c>
      <c r="BT151" s="2">
        <v>24.060245199647401</v>
      </c>
      <c r="BU151" s="2">
        <v>22.9783701527065</v>
      </c>
      <c r="BV151" s="2">
        <v>24.340604791067701</v>
      </c>
      <c r="BW151" s="2">
        <v>23.4348312860064</v>
      </c>
      <c r="BX151" s="2">
        <v>23.9057873991501</v>
      </c>
      <c r="BY151" s="2">
        <v>24.1296485503219</v>
      </c>
      <c r="BZ151" s="2">
        <v>23.712588081480799</v>
      </c>
      <c r="CA151" s="2">
        <v>22.554073548232498</v>
      </c>
      <c r="CB151" s="2">
        <v>24.788726255638199</v>
      </c>
      <c r="CC151" s="2">
        <v>24.532830678885698</v>
      </c>
      <c r="CD151" s="2">
        <v>24.384614534721202</v>
      </c>
      <c r="CE151" s="2">
        <v>24.528971334995799</v>
      </c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</row>
    <row r="152" spans="1:97">
      <c r="A152" s="2" t="s">
        <v>1693</v>
      </c>
      <c r="B152" s="2">
        <v>117.05544</v>
      </c>
      <c r="C152" s="2">
        <v>2.1850000000000001</v>
      </c>
      <c r="D152" s="2" t="s">
        <v>146</v>
      </c>
      <c r="E152" s="2" t="s">
        <v>1694</v>
      </c>
      <c r="F152" s="2" t="s">
        <v>1695</v>
      </c>
      <c r="G152" s="2">
        <v>1881</v>
      </c>
      <c r="H152" s="3" t="str">
        <f>HYPERLINK("https://cloud.oebiotech.com/#/lm/network/1881", "https://cloud.oebiotech.com/#/lm/network/1881")</f>
        <v>https://cloud.oebiotech.com/#/lm/network/1881</v>
      </c>
      <c r="I152" s="2" t="s">
        <v>1696</v>
      </c>
      <c r="J152" s="2">
        <v>3792</v>
      </c>
      <c r="K152" s="2" t="s">
        <v>1697</v>
      </c>
      <c r="L152" s="2">
        <v>69362</v>
      </c>
      <c r="M152" s="2"/>
      <c r="N152" s="2"/>
      <c r="O152" s="2"/>
      <c r="P152" s="2">
        <v>37084</v>
      </c>
      <c r="Q152" s="2"/>
      <c r="R152" s="2"/>
      <c r="S152" s="2" t="s">
        <v>1698</v>
      </c>
      <c r="T152" s="2" t="s">
        <v>1699</v>
      </c>
      <c r="U152" s="2" t="s">
        <v>1700</v>
      </c>
      <c r="V152" s="2" t="s">
        <v>95</v>
      </c>
      <c r="W152" s="2" t="s">
        <v>96</v>
      </c>
      <c r="X152" s="2" t="s">
        <v>141</v>
      </c>
      <c r="Y152" s="2" t="s">
        <v>98</v>
      </c>
      <c r="Z152" s="2" t="s">
        <v>99</v>
      </c>
      <c r="AA152" s="2" t="s">
        <v>142</v>
      </c>
      <c r="AB152" s="2" t="s">
        <v>101</v>
      </c>
      <c r="AC152" s="2">
        <v>71.790000000000006</v>
      </c>
      <c r="AD152" s="2">
        <v>96.72</v>
      </c>
      <c r="AE152" s="2">
        <v>81.239999999999995</v>
      </c>
      <c r="AF152" s="2" t="s">
        <v>1701</v>
      </c>
      <c r="AG152" s="2" t="s">
        <v>194</v>
      </c>
      <c r="AH152" s="2" t="s">
        <v>1338</v>
      </c>
      <c r="AI152" s="2">
        <v>2.39</v>
      </c>
      <c r="AJ152" s="2">
        <v>23.671225467705199</v>
      </c>
      <c r="AK152" s="2">
        <v>23.6180532161294</v>
      </c>
      <c r="AL152" s="2">
        <v>23.686624671008101</v>
      </c>
      <c r="AM152" s="2">
        <v>23.620349412876099</v>
      </c>
      <c r="AN152" s="2">
        <v>23.641664890661598</v>
      </c>
      <c r="AO152" s="2">
        <v>23.420999222907199</v>
      </c>
      <c r="AP152" s="2">
        <v>23.603420402417601</v>
      </c>
      <c r="AQ152" s="2">
        <v>23.455017953140601</v>
      </c>
      <c r="AR152" s="2">
        <v>23.446264837201099</v>
      </c>
      <c r="AS152" s="2">
        <v>23.381125182045501</v>
      </c>
      <c r="AT152" s="2">
        <v>23.028834336873601</v>
      </c>
      <c r="AU152" s="2">
        <v>22.973614389814301</v>
      </c>
      <c r="AV152" s="2">
        <v>23.445697042225099</v>
      </c>
      <c r="AW152" s="2">
        <v>24.581258118359301</v>
      </c>
      <c r="AX152" s="2">
        <v>21.610956360418101</v>
      </c>
      <c r="AY152" s="2">
        <v>23.284693795353999</v>
      </c>
      <c r="AZ152" s="2">
        <v>23.782785154777802</v>
      </c>
      <c r="BA152" s="2">
        <v>22.883894322006501</v>
      </c>
      <c r="BB152" s="2">
        <v>23.3141148754456</v>
      </c>
      <c r="BC152" s="2">
        <v>23.217809516633402</v>
      </c>
      <c r="BD152" s="2">
        <v>23.464184115678901</v>
      </c>
      <c r="BE152" s="2">
        <v>23.456496829240301</v>
      </c>
      <c r="BF152" s="2">
        <v>23.297804934190602</v>
      </c>
      <c r="BG152" s="2">
        <v>23.452605259987401</v>
      </c>
      <c r="BH152" s="2">
        <v>23.643897699460499</v>
      </c>
      <c r="BI152" s="2">
        <v>24.7355413085611</v>
      </c>
      <c r="BJ152" s="2">
        <v>23.621091120042198</v>
      </c>
      <c r="BK152" s="2">
        <v>23.646697087930001</v>
      </c>
      <c r="BL152" s="2">
        <v>23.156174138303701</v>
      </c>
      <c r="BM152" s="2">
        <v>23.835916281540399</v>
      </c>
      <c r="BN152" s="2">
        <v>23.1338176024814</v>
      </c>
      <c r="BO152" s="2">
        <v>22.840949733192399</v>
      </c>
      <c r="BP152" s="2">
        <v>23.229989392460201</v>
      </c>
      <c r="BQ152" s="2">
        <v>24.070968152863198</v>
      </c>
      <c r="BR152" s="2">
        <v>22.5209450002498</v>
      </c>
      <c r="BS152" s="2">
        <v>23.281498198035301</v>
      </c>
      <c r="BT152" s="2">
        <v>23.7107067556461</v>
      </c>
      <c r="BU152" s="2">
        <v>22.715944622037799</v>
      </c>
      <c r="BV152" s="2">
        <v>25.668795501968901</v>
      </c>
      <c r="BW152" s="2">
        <v>23.1955395722605</v>
      </c>
      <c r="BX152" s="2">
        <v>23.107092951654501</v>
      </c>
      <c r="BY152" s="2">
        <v>23.442121582273501</v>
      </c>
      <c r="BZ152" s="2">
        <v>23.224197069701098</v>
      </c>
      <c r="CA152" s="2">
        <v>23.142241276669001</v>
      </c>
      <c r="CB152" s="2">
        <v>23.165490199983498</v>
      </c>
      <c r="CC152" s="2">
        <v>23.792638825592</v>
      </c>
      <c r="CD152" s="2">
        <v>23.436397348106802</v>
      </c>
      <c r="CE152" s="2">
        <v>23.804473333743399</v>
      </c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</row>
    <row r="153" spans="1:97">
      <c r="A153" s="2" t="s">
        <v>1702</v>
      </c>
      <c r="B153" s="2">
        <v>431.31605999999999</v>
      </c>
      <c r="C153" s="2">
        <v>10.617000000000001</v>
      </c>
      <c r="D153" s="2" t="s">
        <v>146</v>
      </c>
      <c r="E153" s="2" t="s">
        <v>1703</v>
      </c>
      <c r="F153" s="2" t="s">
        <v>1704</v>
      </c>
      <c r="G153" s="2">
        <v>45459</v>
      </c>
      <c r="H153" s="3" t="str">
        <f>HYPERLINK("https://cloud.oebiotech.com/#/lm/network/45459", "https://cloud.oebiotech.com/#/lm/network/45459")</f>
        <v>https://cloud.oebiotech.com/#/lm/network/45459</v>
      </c>
      <c r="I153" s="2"/>
      <c r="J153" s="2"/>
      <c r="K153" s="2" t="s">
        <v>1705</v>
      </c>
      <c r="L153" s="2">
        <v>5283753</v>
      </c>
      <c r="M153" s="2"/>
      <c r="N153" s="2"/>
      <c r="O153" s="2"/>
      <c r="P153" s="2"/>
      <c r="Q153" s="2"/>
      <c r="R153" s="2"/>
      <c r="S153" s="2"/>
      <c r="T153" s="2" t="s">
        <v>1706</v>
      </c>
      <c r="U153" s="2" t="s">
        <v>1707</v>
      </c>
      <c r="V153" s="2" t="s">
        <v>95</v>
      </c>
      <c r="W153" s="2" t="s">
        <v>152</v>
      </c>
      <c r="X153" s="2" t="s">
        <v>1484</v>
      </c>
      <c r="Y153" s="2" t="s">
        <v>98</v>
      </c>
      <c r="Z153" s="2" t="s">
        <v>154</v>
      </c>
      <c r="AA153" s="2" t="s">
        <v>1485</v>
      </c>
      <c r="AB153" s="2" t="s">
        <v>101</v>
      </c>
      <c r="AC153" s="2">
        <v>71.790000000000006</v>
      </c>
      <c r="AD153" s="2">
        <v>93.51</v>
      </c>
      <c r="AE153" s="2">
        <v>79.33</v>
      </c>
      <c r="AF153" s="2" t="s">
        <v>1708</v>
      </c>
      <c r="AG153" s="2" t="s">
        <v>194</v>
      </c>
      <c r="AH153" s="2" t="s">
        <v>1709</v>
      </c>
      <c r="AI153" s="2">
        <v>1.39</v>
      </c>
      <c r="AJ153" s="2">
        <v>20.368107635266199</v>
      </c>
      <c r="AK153" s="2">
        <v>20.339250516517499</v>
      </c>
      <c r="AL153" s="2">
        <v>20.252834638479101</v>
      </c>
      <c r="AM153" s="2">
        <v>20.143021655328699</v>
      </c>
      <c r="AN153" s="2">
        <v>19.647412716121799</v>
      </c>
      <c r="AO153" s="2">
        <v>19.9462764081769</v>
      </c>
      <c r="AP153" s="2">
        <v>20.205669940121901</v>
      </c>
      <c r="AQ153" s="2">
        <v>20.093454123925799</v>
      </c>
      <c r="AR153" s="2">
        <v>19.1687774315747</v>
      </c>
      <c r="AS153" s="2">
        <v>18.803580159835001</v>
      </c>
      <c r="AT153" s="2">
        <v>20.102503616599002</v>
      </c>
      <c r="AU153" s="2">
        <v>18.9768273890008</v>
      </c>
      <c r="AV153" s="2">
        <v>20.408569168615301</v>
      </c>
      <c r="AW153" s="2">
        <v>20.175461884211501</v>
      </c>
      <c r="AX153" s="2">
        <v>20.0092572853282</v>
      </c>
      <c r="AY153" s="2">
        <v>20.1366598616912</v>
      </c>
      <c r="AZ153" s="2">
        <v>20.307042598710499</v>
      </c>
      <c r="BA153" s="2">
        <v>20.066495041172001</v>
      </c>
      <c r="BB153" s="2">
        <v>19.769324131623002</v>
      </c>
      <c r="BC153" s="2">
        <v>20.2498515897306</v>
      </c>
      <c r="BD153" s="2">
        <v>19.213388555495801</v>
      </c>
      <c r="BE153" s="2">
        <v>21.2757515828682</v>
      </c>
      <c r="BF153" s="2">
        <v>19.623138358991302</v>
      </c>
      <c r="BG153" s="2">
        <v>20.3827858225726</v>
      </c>
      <c r="BH153" s="2">
        <v>20.4822247330696</v>
      </c>
      <c r="BI153" s="2">
        <v>19.221207782461502</v>
      </c>
      <c r="BJ153" s="2">
        <v>20.574919251770002</v>
      </c>
      <c r="BK153" s="2">
        <v>19.784684954238799</v>
      </c>
      <c r="BL153" s="2">
        <v>19.684220492643998</v>
      </c>
      <c r="BM153" s="2">
        <v>19.578784534713801</v>
      </c>
      <c r="BN153" s="2">
        <v>20.3174578386059</v>
      </c>
      <c r="BO153" s="2">
        <v>19.6674897590818</v>
      </c>
      <c r="BP153" s="2">
        <v>20.224101282006401</v>
      </c>
      <c r="BQ153" s="2">
        <v>19.3453374975097</v>
      </c>
      <c r="BR153" s="2">
        <v>20.329624207908001</v>
      </c>
      <c r="BS153" s="2">
        <v>19.836735180380501</v>
      </c>
      <c r="BT153" s="2">
        <v>20.361314007420098</v>
      </c>
      <c r="BU153" s="2">
        <v>19.592625947206699</v>
      </c>
      <c r="BV153" s="2">
        <v>19.815727203385599</v>
      </c>
      <c r="BW153" s="2">
        <v>20.076065498617002</v>
      </c>
      <c r="BX153" s="2">
        <v>19.683454727899399</v>
      </c>
      <c r="BY153" s="2">
        <v>20.859600368419201</v>
      </c>
      <c r="BZ153" s="2">
        <v>19.430916468832699</v>
      </c>
      <c r="CA153" s="2">
        <v>19.770296907919999</v>
      </c>
      <c r="CB153" s="2">
        <v>19.8259911109947</v>
      </c>
      <c r="CC153" s="2">
        <v>19.978957264603999</v>
      </c>
      <c r="CD153" s="2">
        <v>19.6064419028048</v>
      </c>
      <c r="CE153" s="2">
        <v>20.338418168645799</v>
      </c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</row>
    <row r="154" spans="1:97">
      <c r="A154" s="2" t="s">
        <v>1710</v>
      </c>
      <c r="B154" s="2">
        <v>76.076149999999998</v>
      </c>
      <c r="C154" s="2">
        <v>0.72</v>
      </c>
      <c r="D154" s="2" t="s">
        <v>84</v>
      </c>
      <c r="E154" s="2" t="s">
        <v>1711</v>
      </c>
      <c r="F154" s="2" t="s">
        <v>1712</v>
      </c>
      <c r="G154" s="2">
        <v>47300</v>
      </c>
      <c r="H154" s="3" t="str">
        <f>HYPERLINK("https://cloud.oebiotech.com/#/lm/network/47300", "https://cloud.oebiotech.com/#/lm/network/47300")</f>
        <v>https://cloud.oebiotech.com/#/lm/network/47300</v>
      </c>
      <c r="I154" s="2" t="s">
        <v>1713</v>
      </c>
      <c r="J154" s="2">
        <v>3773</v>
      </c>
      <c r="K154" s="2"/>
      <c r="L154" s="2">
        <v>1145</v>
      </c>
      <c r="M154" s="2" t="s">
        <v>1714</v>
      </c>
      <c r="N154" s="2"/>
      <c r="O154" s="2"/>
      <c r="P154" s="2">
        <v>15724</v>
      </c>
      <c r="Q154" s="2" t="s">
        <v>1715</v>
      </c>
      <c r="R154" s="2" t="s">
        <v>1716</v>
      </c>
      <c r="S154" s="2" t="s">
        <v>1717</v>
      </c>
      <c r="T154" s="2" t="s">
        <v>1718</v>
      </c>
      <c r="U154" s="2" t="s">
        <v>1719</v>
      </c>
      <c r="V154" s="2" t="s">
        <v>166</v>
      </c>
      <c r="W154" s="2" t="s">
        <v>167</v>
      </c>
      <c r="X154" s="2" t="s">
        <v>1720</v>
      </c>
      <c r="Y154" s="2" t="s">
        <v>169</v>
      </c>
      <c r="Z154" s="2" t="s">
        <v>169</v>
      </c>
      <c r="AA154" s="2" t="s">
        <v>1721</v>
      </c>
      <c r="AB154" s="2" t="s">
        <v>101</v>
      </c>
      <c r="AC154" s="2">
        <v>71.77</v>
      </c>
      <c r="AD154" s="2">
        <v>99.46</v>
      </c>
      <c r="AE154" s="2">
        <v>96.46</v>
      </c>
      <c r="AF154" s="2" t="s">
        <v>1722</v>
      </c>
      <c r="AG154" s="2" t="s">
        <v>103</v>
      </c>
      <c r="AH154" s="2" t="s">
        <v>1723</v>
      </c>
      <c r="AI154" s="2">
        <v>-6.05</v>
      </c>
      <c r="AJ154" s="2">
        <v>24.558043221582199</v>
      </c>
      <c r="AK154" s="2">
        <v>24.718520001151699</v>
      </c>
      <c r="AL154" s="2">
        <v>24.426045599843501</v>
      </c>
      <c r="AM154" s="2">
        <v>24.816565478529899</v>
      </c>
      <c r="AN154" s="2">
        <v>24.600256449977</v>
      </c>
      <c r="AO154" s="2">
        <v>24.663244138905799</v>
      </c>
      <c r="AP154" s="2">
        <v>24.581318943379099</v>
      </c>
      <c r="AQ154" s="2">
        <v>24.589453146625701</v>
      </c>
      <c r="AR154" s="2">
        <v>25.7648566205294</v>
      </c>
      <c r="AS154" s="2">
        <v>23.806401622799601</v>
      </c>
      <c r="AT154" s="2">
        <v>20.529526780047501</v>
      </c>
      <c r="AU154" s="2">
        <v>23.6467013304222</v>
      </c>
      <c r="AV154" s="2">
        <v>23.576250497971699</v>
      </c>
      <c r="AW154" s="2">
        <v>23.350468136534801</v>
      </c>
      <c r="AX154" s="2">
        <v>23.0928607422703</v>
      </c>
      <c r="AY154" s="2">
        <v>23.380240605265101</v>
      </c>
      <c r="AZ154" s="2">
        <v>23.459532171825501</v>
      </c>
      <c r="BA154" s="2">
        <v>23.9379541891767</v>
      </c>
      <c r="BB154" s="2">
        <v>24.463172810295401</v>
      </c>
      <c r="BC154" s="2">
        <v>26.308066565317201</v>
      </c>
      <c r="BD154" s="2">
        <v>23.480715609273702</v>
      </c>
      <c r="BE154" s="2">
        <v>24.3768245265545</v>
      </c>
      <c r="BF154" s="2">
        <v>22.428174961351001</v>
      </c>
      <c r="BG154" s="2">
        <v>23.627620948430099</v>
      </c>
      <c r="BH154" s="2">
        <v>26.111015705276898</v>
      </c>
      <c r="BI154" s="2">
        <v>24.4503178803777</v>
      </c>
      <c r="BJ154" s="2">
        <v>23.767991018726999</v>
      </c>
      <c r="BK154" s="2">
        <v>23.833974179257101</v>
      </c>
      <c r="BL154" s="2">
        <v>25.653481016229701</v>
      </c>
      <c r="BM154" s="2">
        <v>22.8930984249827</v>
      </c>
      <c r="BN154" s="2">
        <v>26.4914763678402</v>
      </c>
      <c r="BO154" s="2">
        <v>24.078058695557399</v>
      </c>
      <c r="BP154" s="2">
        <v>23.339046719342999</v>
      </c>
      <c r="BQ154" s="2">
        <v>24.9262063712547</v>
      </c>
      <c r="BR154" s="2">
        <v>24.1405320334222</v>
      </c>
      <c r="BS154" s="2">
        <v>24.316297348430499</v>
      </c>
      <c r="BT154" s="2">
        <v>24.013150714154499</v>
      </c>
      <c r="BU154" s="2">
        <v>23.126972441105401</v>
      </c>
      <c r="BV154" s="2">
        <v>25.808765679189499</v>
      </c>
      <c r="BW154" s="2">
        <v>23.470033714845101</v>
      </c>
      <c r="BX154" s="2">
        <v>24.318987261670301</v>
      </c>
      <c r="BY154" s="2">
        <v>24.769941050016499</v>
      </c>
      <c r="BZ154" s="2">
        <v>24.3943484526379</v>
      </c>
      <c r="CA154" s="2">
        <v>22.474167500657</v>
      </c>
      <c r="CB154" s="2">
        <v>24.9803426289117</v>
      </c>
      <c r="CC154" s="2">
        <v>23.0179086198346</v>
      </c>
      <c r="CD154" s="2">
        <v>24.182678412312601</v>
      </c>
      <c r="CE154" s="2">
        <v>24.4042351939915</v>
      </c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</row>
    <row r="155" spans="1:97">
      <c r="A155" s="2" t="s">
        <v>1724</v>
      </c>
      <c r="B155" s="2">
        <v>253.10767000000001</v>
      </c>
      <c r="C155" s="2">
        <v>6.6360000000000001</v>
      </c>
      <c r="D155" s="2" t="s">
        <v>146</v>
      </c>
      <c r="E155" s="2" t="s">
        <v>1725</v>
      </c>
      <c r="F155" s="2" t="s">
        <v>1726</v>
      </c>
      <c r="G155" s="2">
        <v>2664</v>
      </c>
      <c r="H155" s="3" t="str">
        <f>HYPERLINK("https://cloud.oebiotech.com/#/lm/network/2664", "https://cloud.oebiotech.com/#/lm/network/2664")</f>
        <v>https://cloud.oebiotech.com/#/lm/network/2664</v>
      </c>
      <c r="I155" s="2"/>
      <c r="J155" s="2"/>
      <c r="K155" s="2" t="s">
        <v>1727</v>
      </c>
      <c r="L155" s="2">
        <v>134812137</v>
      </c>
      <c r="M155" s="2"/>
      <c r="N155" s="2"/>
      <c r="O155" s="2"/>
      <c r="P155" s="2"/>
      <c r="Q155" s="2"/>
      <c r="R155" s="2"/>
      <c r="S155" s="2"/>
      <c r="T155" s="2" t="s">
        <v>1728</v>
      </c>
      <c r="U155" s="2" t="s">
        <v>1729</v>
      </c>
      <c r="V155" s="2" t="s">
        <v>95</v>
      </c>
      <c r="W155" s="2" t="s">
        <v>96</v>
      </c>
      <c r="X155" s="2" t="s">
        <v>141</v>
      </c>
      <c r="Y155" s="2" t="s">
        <v>98</v>
      </c>
      <c r="Z155" s="2" t="s">
        <v>99</v>
      </c>
      <c r="AA155" s="2" t="s">
        <v>142</v>
      </c>
      <c r="AB155" s="2" t="s">
        <v>101</v>
      </c>
      <c r="AC155" s="2">
        <v>71.77</v>
      </c>
      <c r="AD155" s="2">
        <v>97.62</v>
      </c>
      <c r="AE155" s="2">
        <v>82.24</v>
      </c>
      <c r="AF155" s="2" t="s">
        <v>1730</v>
      </c>
      <c r="AG155" s="2" t="s">
        <v>194</v>
      </c>
      <c r="AH155" s="2" t="s">
        <v>1731</v>
      </c>
      <c r="AI155" s="2">
        <v>1.98</v>
      </c>
      <c r="AJ155" s="2">
        <v>21.506406974316999</v>
      </c>
      <c r="AK155" s="2">
        <v>21.321623969990402</v>
      </c>
      <c r="AL155" s="2">
        <v>21.442944204338001</v>
      </c>
      <c r="AM155" s="2">
        <v>21.490594964282401</v>
      </c>
      <c r="AN155" s="2">
        <v>21.523320928111101</v>
      </c>
      <c r="AO155" s="2">
        <v>21.350605105175301</v>
      </c>
      <c r="AP155" s="2">
        <v>21.328810928413901</v>
      </c>
      <c r="AQ155" s="2">
        <v>21.390500441038402</v>
      </c>
      <c r="AR155" s="2">
        <v>21.521035338678701</v>
      </c>
      <c r="AS155" s="2">
        <v>20.5994224280082</v>
      </c>
      <c r="AT155" s="2">
        <v>21.388933860803199</v>
      </c>
      <c r="AU155" s="2">
        <v>20.695534779969499</v>
      </c>
      <c r="AV155" s="2">
        <v>19.894230960118001</v>
      </c>
      <c r="AW155" s="2">
        <v>20.834824469384099</v>
      </c>
      <c r="AX155" s="2">
        <v>21.3161414489369</v>
      </c>
      <c r="AY155" s="2">
        <v>21.8546906112778</v>
      </c>
      <c r="AZ155" s="2">
        <v>21.530295832327798</v>
      </c>
      <c r="BA155" s="2">
        <v>20.1937388185871</v>
      </c>
      <c r="BB155" s="2">
        <v>23.162988828791001</v>
      </c>
      <c r="BC155" s="2">
        <v>23.330861573245201</v>
      </c>
      <c r="BD155" s="2">
        <v>21.282971798958499</v>
      </c>
      <c r="BE155" s="2">
        <v>20.973470995664801</v>
      </c>
      <c r="BF155" s="2">
        <v>20.830511245699999</v>
      </c>
      <c r="BG155" s="2">
        <v>22.1899496098202</v>
      </c>
      <c r="BH155" s="2">
        <v>22.0277008236793</v>
      </c>
      <c r="BI155" s="2">
        <v>19.8299275038564</v>
      </c>
      <c r="BJ155" s="2">
        <v>20.813818369565301</v>
      </c>
      <c r="BK155" s="2">
        <v>21.003040782933599</v>
      </c>
      <c r="BL155" s="2">
        <v>19.471739823077499</v>
      </c>
      <c r="BM155" s="2">
        <v>20.539332401801101</v>
      </c>
      <c r="BN155" s="2">
        <v>19.873239269379301</v>
      </c>
      <c r="BO155" s="2">
        <v>22.5150790196044</v>
      </c>
      <c r="BP155" s="2">
        <v>19.5329087745666</v>
      </c>
      <c r="BQ155" s="2">
        <v>20.659323887373201</v>
      </c>
      <c r="BR155" s="2">
        <v>21.156127867171001</v>
      </c>
      <c r="BS155" s="2">
        <v>21.225759684725801</v>
      </c>
      <c r="BT155" s="2">
        <v>22.100334836241998</v>
      </c>
      <c r="BU155" s="2">
        <v>20.698919263699999</v>
      </c>
      <c r="BV155" s="2">
        <v>20.9561857293691</v>
      </c>
      <c r="BW155" s="2">
        <v>21.389347003816599</v>
      </c>
      <c r="BX155" s="2">
        <v>21.154049878546701</v>
      </c>
      <c r="BY155" s="2">
        <v>21.7829956382284</v>
      </c>
      <c r="BZ155" s="2">
        <v>20.8155337302845</v>
      </c>
      <c r="CA155" s="2">
        <v>20.531724158885499</v>
      </c>
      <c r="CB155" s="2">
        <v>20.242993793433001</v>
      </c>
      <c r="CC155" s="2">
        <v>19.471021821505801</v>
      </c>
      <c r="CD155" s="2">
        <v>21.490168357308601</v>
      </c>
      <c r="CE155" s="2">
        <v>20.6905918395715</v>
      </c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</row>
    <row r="156" spans="1:97">
      <c r="A156" s="2" t="s">
        <v>1732</v>
      </c>
      <c r="B156" s="2">
        <v>209.04509999999999</v>
      </c>
      <c r="C156" s="2">
        <v>4.6920000000000002</v>
      </c>
      <c r="D156" s="2" t="s">
        <v>146</v>
      </c>
      <c r="E156" s="2" t="s">
        <v>1733</v>
      </c>
      <c r="F156" s="2" t="s">
        <v>1734</v>
      </c>
      <c r="G156" s="2">
        <v>46927</v>
      </c>
      <c r="H156" s="3" t="str">
        <f>HYPERLINK("https://cloud.oebiotech.com/#/lm/network/46927", "https://cloud.oebiotech.com/#/lm/network/46927")</f>
        <v>https://cloud.oebiotech.com/#/lm/network/46927</v>
      </c>
      <c r="I156" s="2" t="s">
        <v>1735</v>
      </c>
      <c r="J156" s="2">
        <v>328</v>
      </c>
      <c r="K156" s="2"/>
      <c r="L156" s="2">
        <v>997</v>
      </c>
      <c r="M156" s="2" t="s">
        <v>1736</v>
      </c>
      <c r="N156" s="2" t="s">
        <v>1737</v>
      </c>
      <c r="O156" s="2" t="s">
        <v>1738</v>
      </c>
      <c r="P156" s="2">
        <v>30851</v>
      </c>
      <c r="Q156" s="2"/>
      <c r="R156" s="2"/>
      <c r="S156" s="2" t="s">
        <v>1739</v>
      </c>
      <c r="T156" s="2" t="s">
        <v>1740</v>
      </c>
      <c r="U156" s="2" t="s">
        <v>1741</v>
      </c>
      <c r="V156" s="2" t="s">
        <v>385</v>
      </c>
      <c r="W156" s="2" t="s">
        <v>386</v>
      </c>
      <c r="X156" s="2" t="s">
        <v>1742</v>
      </c>
      <c r="Y156" s="2" t="s">
        <v>388</v>
      </c>
      <c r="Z156" s="2" t="s">
        <v>389</v>
      </c>
      <c r="AA156" s="2" t="s">
        <v>1743</v>
      </c>
      <c r="AB156" s="2" t="s">
        <v>101</v>
      </c>
      <c r="AC156" s="2">
        <v>71.760000000000005</v>
      </c>
      <c r="AD156" s="2">
        <v>98.52</v>
      </c>
      <c r="AE156" s="2">
        <v>81.010000000000005</v>
      </c>
      <c r="AF156" s="2" t="s">
        <v>1744</v>
      </c>
      <c r="AG156" s="2" t="s">
        <v>157</v>
      </c>
      <c r="AH156" s="2" t="s">
        <v>1745</v>
      </c>
      <c r="AI156" s="2">
        <v>1.91</v>
      </c>
      <c r="AJ156" s="2">
        <v>23.879387364156599</v>
      </c>
      <c r="AK156" s="2">
        <v>23.889567331068299</v>
      </c>
      <c r="AL156" s="2">
        <v>23.7887832978851</v>
      </c>
      <c r="AM156" s="2">
        <v>23.879429628253799</v>
      </c>
      <c r="AN156" s="2">
        <v>23.771204792670598</v>
      </c>
      <c r="AO156" s="2">
        <v>23.957284785991799</v>
      </c>
      <c r="AP156" s="2">
        <v>23.790871657112699</v>
      </c>
      <c r="AQ156" s="2">
        <v>23.8725932210446</v>
      </c>
      <c r="AR156" s="2">
        <v>23.802976165361802</v>
      </c>
      <c r="AS156" s="2">
        <v>23.8143456901756</v>
      </c>
      <c r="AT156" s="2">
        <v>23.885915750731002</v>
      </c>
      <c r="AU156" s="2">
        <v>23.8029928016898</v>
      </c>
      <c r="AV156" s="2">
        <v>23.8968361510716</v>
      </c>
      <c r="AW156" s="2">
        <v>23.696375210656502</v>
      </c>
      <c r="AX156" s="2">
        <v>23.771862005368401</v>
      </c>
      <c r="AY156" s="2">
        <v>23.817246894771198</v>
      </c>
      <c r="AZ156" s="2">
        <v>23.838333165025499</v>
      </c>
      <c r="BA156" s="2">
        <v>23.929283250803699</v>
      </c>
      <c r="BB156" s="2">
        <v>23.8828887050215</v>
      </c>
      <c r="BC156" s="2">
        <v>23.998282505239899</v>
      </c>
      <c r="BD156" s="2">
        <v>23.907637656222299</v>
      </c>
      <c r="BE156" s="2">
        <v>23.690435130817999</v>
      </c>
      <c r="BF156" s="2">
        <v>23.867011637403898</v>
      </c>
      <c r="BG156" s="2">
        <v>23.937062189068701</v>
      </c>
      <c r="BH156" s="2">
        <v>23.9187646467417</v>
      </c>
      <c r="BI156" s="2">
        <v>23.774866454785698</v>
      </c>
      <c r="BJ156" s="2">
        <v>23.8955986082469</v>
      </c>
      <c r="BK156" s="2">
        <v>23.795725340656102</v>
      </c>
      <c r="BL156" s="2">
        <v>23.852418508063199</v>
      </c>
      <c r="BM156" s="2">
        <v>23.638492088084199</v>
      </c>
      <c r="BN156" s="2">
        <v>23.869771663144199</v>
      </c>
      <c r="BO156" s="2">
        <v>23.872910951048201</v>
      </c>
      <c r="BP156" s="2">
        <v>23.8948057675982</v>
      </c>
      <c r="BQ156" s="2">
        <v>23.7180327011095</v>
      </c>
      <c r="BR156" s="2">
        <v>23.883970127153301</v>
      </c>
      <c r="BS156" s="2">
        <v>23.822981495404601</v>
      </c>
      <c r="BT156" s="2">
        <v>23.975867399462999</v>
      </c>
      <c r="BU156" s="2">
        <v>23.851254893258599</v>
      </c>
      <c r="BV156" s="2">
        <v>23.790655718224301</v>
      </c>
      <c r="BW156" s="2">
        <v>23.875464249612701</v>
      </c>
      <c r="BX156" s="2">
        <v>23.873712225758801</v>
      </c>
      <c r="BY156" s="2">
        <v>23.680938824887601</v>
      </c>
      <c r="BZ156" s="2">
        <v>23.817557461547601</v>
      </c>
      <c r="CA156" s="2">
        <v>23.871565701531999</v>
      </c>
      <c r="CB156" s="2">
        <v>23.863534014335599</v>
      </c>
      <c r="CC156" s="2">
        <v>23.578735598654902</v>
      </c>
      <c r="CD156" s="2">
        <v>23.750567711365498</v>
      </c>
      <c r="CE156" s="2">
        <v>23.508876578148001</v>
      </c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</row>
    <row r="157" spans="1:97">
      <c r="A157" s="2" t="s">
        <v>1746</v>
      </c>
      <c r="B157" s="2">
        <v>164.03496000000001</v>
      </c>
      <c r="C157" s="2">
        <v>4.9809999999999999</v>
      </c>
      <c r="D157" s="2" t="s">
        <v>146</v>
      </c>
      <c r="E157" s="2" t="s">
        <v>1747</v>
      </c>
      <c r="F157" s="2" t="s">
        <v>1748</v>
      </c>
      <c r="G157" s="2">
        <v>83508</v>
      </c>
      <c r="H157" s="3" t="str">
        <f>HYPERLINK("https://cloud.oebiotech.com/#/lm/network/83508", "https://cloud.oebiotech.com/#/lm/network/83508")</f>
        <v>https://cloud.oebiotech.com/#/lm/network/83508</v>
      </c>
      <c r="I157" s="2" t="s">
        <v>1749</v>
      </c>
      <c r="J157" s="2">
        <v>325077</v>
      </c>
      <c r="K157" s="2"/>
      <c r="L157" s="2">
        <v>7672</v>
      </c>
      <c r="M157" s="2"/>
      <c r="N157" s="2"/>
      <c r="O157" s="2"/>
      <c r="P157" s="2">
        <v>53806</v>
      </c>
      <c r="Q157" s="2"/>
      <c r="R157" s="2"/>
      <c r="S157" s="2" t="s">
        <v>1750</v>
      </c>
      <c r="T157" s="2" t="s">
        <v>1751</v>
      </c>
      <c r="U157" s="2" t="s">
        <v>1752</v>
      </c>
      <c r="V157" s="2" t="s">
        <v>385</v>
      </c>
      <c r="W157" s="2" t="s">
        <v>386</v>
      </c>
      <c r="X157" s="2" t="s">
        <v>375</v>
      </c>
      <c r="Y157" s="2" t="s">
        <v>388</v>
      </c>
      <c r="Z157" s="2" t="s">
        <v>389</v>
      </c>
      <c r="AA157" s="2"/>
      <c r="AB157" s="2" t="s">
        <v>101</v>
      </c>
      <c r="AC157" s="2">
        <v>71.7</v>
      </c>
      <c r="AD157" s="2">
        <v>94.58</v>
      </c>
      <c r="AE157" s="2">
        <v>84.09</v>
      </c>
      <c r="AF157" s="2" t="s">
        <v>1753</v>
      </c>
      <c r="AG157" s="2" t="s">
        <v>157</v>
      </c>
      <c r="AH157" s="2" t="s">
        <v>1754</v>
      </c>
      <c r="AI157" s="2">
        <v>1.83</v>
      </c>
      <c r="AJ157" s="2">
        <v>19.789738801790701</v>
      </c>
      <c r="AK157" s="2">
        <v>20.1485857384647</v>
      </c>
      <c r="AL157" s="2">
        <v>19.656551587247801</v>
      </c>
      <c r="AM157" s="2">
        <v>20.189397030163299</v>
      </c>
      <c r="AN157" s="2">
        <v>20.200399856050701</v>
      </c>
      <c r="AO157" s="2">
        <v>19.3700733484179</v>
      </c>
      <c r="AP157" s="2">
        <v>20.121395038094001</v>
      </c>
      <c r="AQ157" s="2">
        <v>19.7890594345129</v>
      </c>
      <c r="AR157" s="2">
        <v>18.9440924774688</v>
      </c>
      <c r="AS157" s="2">
        <v>18.5272221630213</v>
      </c>
      <c r="AT157" s="2">
        <v>19.005908901509098</v>
      </c>
      <c r="AU157" s="2">
        <v>19.515816355038801</v>
      </c>
      <c r="AV157" s="2">
        <v>19.767745614340701</v>
      </c>
      <c r="AW157" s="2">
        <v>20.172069933090601</v>
      </c>
      <c r="AX157" s="2">
        <v>19.647441052482801</v>
      </c>
      <c r="AY157" s="2">
        <v>19.963172136697999</v>
      </c>
      <c r="AZ157" s="2">
        <v>20.0648008289842</v>
      </c>
      <c r="BA157" s="2">
        <v>19.573659723159501</v>
      </c>
      <c r="BB157" s="2">
        <v>20.0744345535979</v>
      </c>
      <c r="BC157" s="2">
        <v>19.7626036630577</v>
      </c>
      <c r="BD157" s="2">
        <v>19.7452678818759</v>
      </c>
      <c r="BE157" s="2">
        <v>20.250170502418101</v>
      </c>
      <c r="BF157" s="2">
        <v>19.826066407784701</v>
      </c>
      <c r="BG157" s="2">
        <v>19.809403217478799</v>
      </c>
      <c r="BH157" s="2">
        <v>19.667145316719999</v>
      </c>
      <c r="BI157" s="2">
        <v>19.749342988799899</v>
      </c>
      <c r="BJ157" s="2">
        <v>19.5889367460939</v>
      </c>
      <c r="BK157" s="2">
        <v>21.799458776354601</v>
      </c>
      <c r="BL157" s="2">
        <v>19.761311231854599</v>
      </c>
      <c r="BM157" s="2">
        <v>19.8583090086934</v>
      </c>
      <c r="BN157" s="2">
        <v>19.923709269455099</v>
      </c>
      <c r="BO157" s="2">
        <v>19.555888428082898</v>
      </c>
      <c r="BP157" s="2">
        <v>19.9861027094185</v>
      </c>
      <c r="BQ157" s="2">
        <v>19.926398059087902</v>
      </c>
      <c r="BR157" s="2">
        <v>19.6291123398412</v>
      </c>
      <c r="BS157" s="2">
        <v>19.851894420332201</v>
      </c>
      <c r="BT157" s="2">
        <v>19.693313576339399</v>
      </c>
      <c r="BU157" s="2">
        <v>18.475905533826499</v>
      </c>
      <c r="BV157" s="2">
        <v>19.122448797807099</v>
      </c>
      <c r="BW157" s="2">
        <v>19.079296981452099</v>
      </c>
      <c r="BX157" s="2">
        <v>19.1896139590934</v>
      </c>
      <c r="BY157" s="2">
        <v>20.022692943616999</v>
      </c>
      <c r="BZ157" s="2">
        <v>19.4780488462352</v>
      </c>
      <c r="CA157" s="2">
        <v>19.4930145257606</v>
      </c>
      <c r="CB157" s="2">
        <v>19.342323252363499</v>
      </c>
      <c r="CC157" s="2">
        <v>19.1508883336191</v>
      </c>
      <c r="CD157" s="2">
        <v>19.6497288738062</v>
      </c>
      <c r="CE157" s="2">
        <v>22.573349204552301</v>
      </c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</row>
    <row r="158" spans="1:97">
      <c r="A158" s="2" t="s">
        <v>1755</v>
      </c>
      <c r="B158" s="2">
        <v>311.22224999999997</v>
      </c>
      <c r="C158" s="2">
        <v>9.3610000000000007</v>
      </c>
      <c r="D158" s="2" t="s">
        <v>146</v>
      </c>
      <c r="E158" s="2" t="s">
        <v>1756</v>
      </c>
      <c r="F158" s="2" t="s">
        <v>1757</v>
      </c>
      <c r="G158" s="2">
        <v>3002</v>
      </c>
      <c r="H158" s="3" t="str">
        <f>HYPERLINK("https://cloud.oebiotech.com/#/lm/network/3002", "https://cloud.oebiotech.com/#/lm/network/3002")</f>
        <v>https://cloud.oebiotech.com/#/lm/network/3002</v>
      </c>
      <c r="I158" s="2" t="s">
        <v>1758</v>
      </c>
      <c r="J158" s="2"/>
      <c r="K158" s="2" t="s">
        <v>1759</v>
      </c>
      <c r="L158" s="2">
        <v>16061068</v>
      </c>
      <c r="M158" s="2"/>
      <c r="N158" s="2"/>
      <c r="O158" s="2"/>
      <c r="P158" s="2">
        <v>88465</v>
      </c>
      <c r="Q158" s="2"/>
      <c r="R158" s="2"/>
      <c r="S158" s="2"/>
      <c r="T158" s="2" t="s">
        <v>1760</v>
      </c>
      <c r="U158" s="2" t="s">
        <v>1761</v>
      </c>
      <c r="V158" s="2" t="s">
        <v>95</v>
      </c>
      <c r="W158" s="2" t="s">
        <v>96</v>
      </c>
      <c r="X158" s="2" t="s">
        <v>919</v>
      </c>
      <c r="Y158" s="2" t="s">
        <v>98</v>
      </c>
      <c r="Z158" s="2" t="s">
        <v>99</v>
      </c>
      <c r="AA158" s="2" t="s">
        <v>920</v>
      </c>
      <c r="AB158" s="2" t="s">
        <v>101</v>
      </c>
      <c r="AC158" s="2">
        <v>71.67</v>
      </c>
      <c r="AD158" s="2">
        <v>93.98</v>
      </c>
      <c r="AE158" s="2">
        <v>86.11</v>
      </c>
      <c r="AF158" s="2" t="s">
        <v>1762</v>
      </c>
      <c r="AG158" s="2" t="s">
        <v>194</v>
      </c>
      <c r="AH158" s="2" t="s">
        <v>733</v>
      </c>
      <c r="AI158" s="2">
        <v>1.93</v>
      </c>
      <c r="AJ158" s="2">
        <v>19.303100490225901</v>
      </c>
      <c r="AK158" s="2">
        <v>19.5689239810606</v>
      </c>
      <c r="AL158" s="2">
        <v>19.889036052605899</v>
      </c>
      <c r="AM158" s="2">
        <v>19.379848319745498</v>
      </c>
      <c r="AN158" s="2">
        <v>19.180541417928101</v>
      </c>
      <c r="AO158" s="2">
        <v>19.370775086821499</v>
      </c>
      <c r="AP158" s="2">
        <v>19.678287692804201</v>
      </c>
      <c r="AQ158" s="2">
        <v>19.569089010030499</v>
      </c>
      <c r="AR158" s="2">
        <v>17.692289523665899</v>
      </c>
      <c r="AS158" s="2">
        <v>17.6910494395825</v>
      </c>
      <c r="AT158" s="2">
        <v>17.4604118993275</v>
      </c>
      <c r="AU158" s="2">
        <v>19.4637246959797</v>
      </c>
      <c r="AV158" s="2">
        <v>21.330610446581101</v>
      </c>
      <c r="AW158" s="2">
        <v>22.346903181789099</v>
      </c>
      <c r="AX158" s="2">
        <v>17.3276606141165</v>
      </c>
      <c r="AY158" s="2">
        <v>20.256524494633499</v>
      </c>
      <c r="AZ158" s="2">
        <v>19.097962511313099</v>
      </c>
      <c r="BA158" s="2">
        <v>17.450870202650599</v>
      </c>
      <c r="BB158" s="2">
        <v>18.245058143415601</v>
      </c>
      <c r="BC158" s="2">
        <v>17.6456102376419</v>
      </c>
      <c r="BD158" s="2">
        <v>17.607328724241</v>
      </c>
      <c r="BE158" s="2">
        <v>20.553147503360002</v>
      </c>
      <c r="BF158" s="2">
        <v>18.3254207965056</v>
      </c>
      <c r="BG158" s="2">
        <v>18.2727968821292</v>
      </c>
      <c r="BH158" s="2">
        <v>19.074593541054998</v>
      </c>
      <c r="BI158" s="2">
        <v>18.603764691277199</v>
      </c>
      <c r="BJ158" s="2">
        <v>17.711151652514499</v>
      </c>
      <c r="BK158" s="2">
        <v>20.861489373463801</v>
      </c>
      <c r="BL158" s="2">
        <v>18.894092273143499</v>
      </c>
      <c r="BM158" s="2">
        <v>17.983804706665499</v>
      </c>
      <c r="BN158" s="2">
        <v>18.393769894327701</v>
      </c>
      <c r="BO158" s="2">
        <v>18.0196634237453</v>
      </c>
      <c r="BP158" s="2">
        <v>17.0006726943096</v>
      </c>
      <c r="BQ158" s="2">
        <v>16.897280611243101</v>
      </c>
      <c r="BR158" s="2">
        <v>19.283575567482</v>
      </c>
      <c r="BS158" s="2">
        <v>20.9983960171148</v>
      </c>
      <c r="BT158" s="2">
        <v>17.697333042337998</v>
      </c>
      <c r="BU158" s="2">
        <v>17.4889423079727</v>
      </c>
      <c r="BV158" s="2">
        <v>18.182153829217199</v>
      </c>
      <c r="BW158" s="2">
        <v>18.538431803980401</v>
      </c>
      <c r="BX158" s="2">
        <v>17.471069228247899</v>
      </c>
      <c r="BY158" s="2">
        <v>21.616080812689699</v>
      </c>
      <c r="BZ158" s="2">
        <v>18.927978084645598</v>
      </c>
      <c r="CA158" s="2">
        <v>18.2473685332419</v>
      </c>
      <c r="CB158" s="2">
        <v>20.4664191141608</v>
      </c>
      <c r="CC158" s="2">
        <v>18.129835695936599</v>
      </c>
      <c r="CD158" s="2">
        <v>18.6335640674186</v>
      </c>
      <c r="CE158" s="2">
        <v>18.593197751054401</v>
      </c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</row>
    <row r="159" spans="1:97">
      <c r="A159" s="2" t="s">
        <v>1763</v>
      </c>
      <c r="B159" s="2">
        <v>211.14382000000001</v>
      </c>
      <c r="C159" s="2">
        <v>4.6740000000000004</v>
      </c>
      <c r="D159" s="2" t="s">
        <v>84</v>
      </c>
      <c r="E159" s="2" t="s">
        <v>1764</v>
      </c>
      <c r="F159" s="2" t="s">
        <v>1765</v>
      </c>
      <c r="G159" s="2">
        <v>280649</v>
      </c>
      <c r="H159" s="3" t="str">
        <f>HYPERLINK("https://cloud.oebiotech.com/#/lm/network/280649", "https://cloud.oebiotech.com/#/lm/network/280649")</f>
        <v>https://cloud.oebiotech.com/#/lm/network/280649</v>
      </c>
      <c r="I159" s="2" t="s">
        <v>1766</v>
      </c>
      <c r="J159" s="2">
        <v>89817</v>
      </c>
      <c r="K159" s="2"/>
      <c r="L159" s="2">
        <v>102892</v>
      </c>
      <c r="M159" s="2"/>
      <c r="N159" s="2"/>
      <c r="O159" s="2"/>
      <c r="P159" s="2"/>
      <c r="Q159" s="2"/>
      <c r="R159" s="2"/>
      <c r="S159" s="2" t="s">
        <v>1767</v>
      </c>
      <c r="T159" s="2" t="s">
        <v>1768</v>
      </c>
      <c r="U159" s="2" t="s">
        <v>1769</v>
      </c>
      <c r="V159" s="2" t="s">
        <v>115</v>
      </c>
      <c r="W159" s="2" t="s">
        <v>116</v>
      </c>
      <c r="X159" s="2" t="s">
        <v>117</v>
      </c>
      <c r="Y159" s="2" t="s">
        <v>118</v>
      </c>
      <c r="Z159" s="2" t="s">
        <v>119</v>
      </c>
      <c r="AA159" s="2" t="s">
        <v>120</v>
      </c>
      <c r="AB159" s="2" t="s">
        <v>101</v>
      </c>
      <c r="AC159" s="2">
        <v>71.66</v>
      </c>
      <c r="AD159" s="2">
        <v>92.7</v>
      </c>
      <c r="AE159" s="2">
        <v>87.94</v>
      </c>
      <c r="AF159" s="2" t="s">
        <v>1770</v>
      </c>
      <c r="AG159" s="2" t="s">
        <v>103</v>
      </c>
      <c r="AH159" s="2" t="s">
        <v>1771</v>
      </c>
      <c r="AI159" s="2">
        <v>1.42</v>
      </c>
      <c r="AJ159" s="2">
        <v>20.261208262400899</v>
      </c>
      <c r="AK159" s="2">
        <v>20.243422109010801</v>
      </c>
      <c r="AL159" s="2">
        <v>20.447684146602299</v>
      </c>
      <c r="AM159" s="2">
        <v>20.277909444592499</v>
      </c>
      <c r="AN159" s="2">
        <v>20.413056826337801</v>
      </c>
      <c r="AO159" s="2">
        <v>20.344648800499801</v>
      </c>
      <c r="AP159" s="2">
        <v>20.225741547934899</v>
      </c>
      <c r="AQ159" s="2">
        <v>20.383868234405298</v>
      </c>
      <c r="AR159" s="2">
        <v>19.4123096298352</v>
      </c>
      <c r="AS159" s="2">
        <v>19.354297298201502</v>
      </c>
      <c r="AT159" s="2">
        <v>19.3997221259702</v>
      </c>
      <c r="AU159" s="2">
        <v>19.301895159273698</v>
      </c>
      <c r="AV159" s="2">
        <v>19.562290094330798</v>
      </c>
      <c r="AW159" s="2">
        <v>20.035582244024798</v>
      </c>
      <c r="AX159" s="2">
        <v>19.5070616612803</v>
      </c>
      <c r="AY159" s="2">
        <v>20.009139057045601</v>
      </c>
      <c r="AZ159" s="2">
        <v>19.235928441483001</v>
      </c>
      <c r="BA159" s="2">
        <v>19.565525499141899</v>
      </c>
      <c r="BB159" s="2">
        <v>19.2281891116853</v>
      </c>
      <c r="BC159" s="2">
        <v>20.494873266192101</v>
      </c>
      <c r="BD159" s="2">
        <v>19.288487709926802</v>
      </c>
      <c r="BE159" s="2">
        <v>21.886970684657602</v>
      </c>
      <c r="BF159" s="2">
        <v>19.313236395133099</v>
      </c>
      <c r="BG159" s="2">
        <v>21.046881705255601</v>
      </c>
      <c r="BH159" s="2">
        <v>19.4289991196428</v>
      </c>
      <c r="BI159" s="2">
        <v>20.1689509910344</v>
      </c>
      <c r="BJ159" s="2">
        <v>20.577277217741202</v>
      </c>
      <c r="BK159" s="2">
        <v>20.5693122337494</v>
      </c>
      <c r="BL159" s="2">
        <v>20.228702488283499</v>
      </c>
      <c r="BM159" s="2">
        <v>20.085308882158699</v>
      </c>
      <c r="BN159" s="2">
        <v>20.470409969983098</v>
      </c>
      <c r="BO159" s="2">
        <v>20.015320701859199</v>
      </c>
      <c r="BP159" s="2">
        <v>19.9536063767295</v>
      </c>
      <c r="BQ159" s="2">
        <v>20.306461084423901</v>
      </c>
      <c r="BR159" s="2">
        <v>19.7643221355452</v>
      </c>
      <c r="BS159" s="2">
        <v>20.179782054288101</v>
      </c>
      <c r="BT159" s="2">
        <v>19.6035218521478</v>
      </c>
      <c r="BU159" s="2">
        <v>20.4438311421845</v>
      </c>
      <c r="BV159" s="2">
        <v>19.950731629941899</v>
      </c>
      <c r="BW159" s="2">
        <v>20.7058680141579</v>
      </c>
      <c r="BX159" s="2">
        <v>19.906889744408801</v>
      </c>
      <c r="BY159" s="2">
        <v>23.0971135090867</v>
      </c>
      <c r="BZ159" s="2">
        <v>21.696143617083699</v>
      </c>
      <c r="CA159" s="2">
        <v>21.588451937534</v>
      </c>
      <c r="CB159" s="2">
        <v>19.5671388781488</v>
      </c>
      <c r="CC159" s="2">
        <v>20.259892268812099</v>
      </c>
      <c r="CD159" s="2">
        <v>21.063488959802001</v>
      </c>
      <c r="CE159" s="2">
        <v>20.532729796563899</v>
      </c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</row>
    <row r="160" spans="1:97">
      <c r="A160" s="2" t="s">
        <v>1772</v>
      </c>
      <c r="B160" s="2">
        <v>201.11284000000001</v>
      </c>
      <c r="C160" s="2">
        <v>5.9720000000000004</v>
      </c>
      <c r="D160" s="2" t="s">
        <v>146</v>
      </c>
      <c r="E160" s="2" t="s">
        <v>1773</v>
      </c>
      <c r="F160" s="2" t="s">
        <v>1774</v>
      </c>
      <c r="G160" s="2">
        <v>60674</v>
      </c>
      <c r="H160" s="3" t="str">
        <f>HYPERLINK("https://cloud.oebiotech.com/#/lm/network/60674", "https://cloud.oebiotech.com/#/lm/network/60674")</f>
        <v>https://cloud.oebiotech.com/#/lm/network/60674</v>
      </c>
      <c r="I160" s="2" t="s">
        <v>1775</v>
      </c>
      <c r="J160" s="2">
        <v>92006</v>
      </c>
      <c r="K160" s="2"/>
      <c r="L160" s="2">
        <v>101115</v>
      </c>
      <c r="M160" s="2"/>
      <c r="N160" s="2"/>
      <c r="O160" s="2"/>
      <c r="P160" s="2">
        <v>171777</v>
      </c>
      <c r="Q160" s="2"/>
      <c r="R160" s="2"/>
      <c r="S160" s="2" t="s">
        <v>1776</v>
      </c>
      <c r="T160" s="2" t="s">
        <v>1777</v>
      </c>
      <c r="U160" s="2" t="s">
        <v>1778</v>
      </c>
      <c r="V160" s="2" t="s">
        <v>338</v>
      </c>
      <c r="W160" s="2" t="s">
        <v>339</v>
      </c>
      <c r="X160" s="2" t="s">
        <v>340</v>
      </c>
      <c r="Y160" s="2" t="s">
        <v>341</v>
      </c>
      <c r="Z160" s="2" t="s">
        <v>341</v>
      </c>
      <c r="AA160" s="2" t="s">
        <v>342</v>
      </c>
      <c r="AB160" s="2" t="s">
        <v>101</v>
      </c>
      <c r="AC160" s="2">
        <v>71.650000000000006</v>
      </c>
      <c r="AD160" s="2">
        <v>93.84</v>
      </c>
      <c r="AE160" s="2">
        <v>79.61</v>
      </c>
      <c r="AF160" s="2" t="s">
        <v>1779</v>
      </c>
      <c r="AG160" s="2" t="s">
        <v>157</v>
      </c>
      <c r="AH160" s="2" t="s">
        <v>1780</v>
      </c>
      <c r="AI160" s="2">
        <v>1.99</v>
      </c>
      <c r="AJ160" s="2">
        <v>20.486896844135099</v>
      </c>
      <c r="AK160" s="2">
        <v>20.344911241300899</v>
      </c>
      <c r="AL160" s="2">
        <v>20.1781077914378</v>
      </c>
      <c r="AM160" s="2">
        <v>20.330807226184302</v>
      </c>
      <c r="AN160" s="2">
        <v>20.523526752723001</v>
      </c>
      <c r="AO160" s="2">
        <v>20.599993778001899</v>
      </c>
      <c r="AP160" s="2">
        <v>20.181711793602901</v>
      </c>
      <c r="AQ160" s="2">
        <v>20.707689330472501</v>
      </c>
      <c r="AR160" s="2">
        <v>21.041413171171701</v>
      </c>
      <c r="AS160" s="2">
        <v>20.3246363281269</v>
      </c>
      <c r="AT160" s="2">
        <v>20.0525657955301</v>
      </c>
      <c r="AU160" s="2">
        <v>20.378103400401798</v>
      </c>
      <c r="AV160" s="2">
        <v>20.1717532487448</v>
      </c>
      <c r="AW160" s="2">
        <v>21.685069178187899</v>
      </c>
      <c r="AX160" s="2">
        <v>20.269685328502</v>
      </c>
      <c r="AY160" s="2">
        <v>20.884582740792201</v>
      </c>
      <c r="AZ160" s="2">
        <v>21.023982219578301</v>
      </c>
      <c r="BA160" s="2">
        <v>19.3692787525816</v>
      </c>
      <c r="BB160" s="2">
        <v>21.066069929915098</v>
      </c>
      <c r="BC160" s="2">
        <v>20.3616660923674</v>
      </c>
      <c r="BD160" s="2">
        <v>20.305044587896699</v>
      </c>
      <c r="BE160" s="2">
        <v>20.9562026707044</v>
      </c>
      <c r="BF160" s="2">
        <v>20.705581320816901</v>
      </c>
      <c r="BG160" s="2">
        <v>20.189715366402499</v>
      </c>
      <c r="BH160" s="2">
        <v>20.671564095829599</v>
      </c>
      <c r="BI160" s="2">
        <v>20.4644354385428</v>
      </c>
      <c r="BJ160" s="2">
        <v>20.6157603903664</v>
      </c>
      <c r="BK160" s="2">
        <v>20.734436234861199</v>
      </c>
      <c r="BL160" s="2">
        <v>20.2367395603181</v>
      </c>
      <c r="BM160" s="2">
        <v>20.969903246016901</v>
      </c>
      <c r="BN160" s="2">
        <v>20.5452028856716</v>
      </c>
      <c r="BO160" s="2">
        <v>20.175461591818799</v>
      </c>
      <c r="BP160" s="2">
        <v>20.0100484736449</v>
      </c>
      <c r="BQ160" s="2">
        <v>20.992369410412898</v>
      </c>
      <c r="BR160" s="2">
        <v>20.7057477254635</v>
      </c>
      <c r="BS160" s="2">
        <v>21.109124121479098</v>
      </c>
      <c r="BT160" s="2">
        <v>20.516003043222799</v>
      </c>
      <c r="BU160" s="2">
        <v>21.217028589530099</v>
      </c>
      <c r="BV160" s="2">
        <v>20.186299293074899</v>
      </c>
      <c r="BW160" s="2">
        <v>19.9097794167951</v>
      </c>
      <c r="BX160" s="2">
        <v>20.581280965041099</v>
      </c>
      <c r="BY160" s="2">
        <v>21.217532729045001</v>
      </c>
      <c r="BZ160" s="2">
        <v>21.678141788570201</v>
      </c>
      <c r="CA160" s="2">
        <v>20.443216562323499</v>
      </c>
      <c r="CB160" s="2">
        <v>20.401474264032199</v>
      </c>
      <c r="CC160" s="2">
        <v>20.0712861237147</v>
      </c>
      <c r="CD160" s="2">
        <v>20.2653487191943</v>
      </c>
      <c r="CE160" s="2">
        <v>20.460813292068899</v>
      </c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</row>
    <row r="161" spans="1:97">
      <c r="A161" s="2" t="s">
        <v>1781</v>
      </c>
      <c r="B161" s="2">
        <v>471.34615000000002</v>
      </c>
      <c r="C161" s="2">
        <v>11.433</v>
      </c>
      <c r="D161" s="2" t="s">
        <v>84</v>
      </c>
      <c r="E161" s="2" t="s">
        <v>1782</v>
      </c>
      <c r="F161" s="2" t="s">
        <v>1783</v>
      </c>
      <c r="G161" s="2">
        <v>36289</v>
      </c>
      <c r="H161" s="3" t="str">
        <f>HYPERLINK("https://cloud.oebiotech.com/#/lm/network/36289", "https://cloud.oebiotech.com/#/lm/network/36289")</f>
        <v>https://cloud.oebiotech.com/#/lm/network/36289</v>
      </c>
      <c r="I161" s="2" t="s">
        <v>1784</v>
      </c>
      <c r="J161" s="2">
        <v>43857</v>
      </c>
      <c r="K161" s="2" t="s">
        <v>1785</v>
      </c>
      <c r="L161" s="2">
        <v>10114</v>
      </c>
      <c r="M161" s="2" t="s">
        <v>1786</v>
      </c>
      <c r="N161" s="2"/>
      <c r="O161" s="2"/>
      <c r="P161" s="2">
        <v>30853</v>
      </c>
      <c r="Q161" s="2"/>
      <c r="R161" s="2"/>
      <c r="S161" s="2" t="s">
        <v>1787</v>
      </c>
      <c r="T161" s="2" t="s">
        <v>1788</v>
      </c>
      <c r="U161" s="2" t="s">
        <v>1789</v>
      </c>
      <c r="V161" s="2" t="s">
        <v>95</v>
      </c>
      <c r="W161" s="2" t="s">
        <v>180</v>
      </c>
      <c r="X161" s="2" t="s">
        <v>1790</v>
      </c>
      <c r="Y161" s="2" t="s">
        <v>98</v>
      </c>
      <c r="Z161" s="2" t="s">
        <v>182</v>
      </c>
      <c r="AA161" s="2" t="s">
        <v>1791</v>
      </c>
      <c r="AB161" s="2" t="s">
        <v>101</v>
      </c>
      <c r="AC161" s="2">
        <v>71.650000000000006</v>
      </c>
      <c r="AD161" s="2">
        <v>95.05</v>
      </c>
      <c r="AE161" s="2">
        <v>77.150000000000006</v>
      </c>
      <c r="AF161" s="2" t="s">
        <v>1792</v>
      </c>
      <c r="AG161" s="2" t="s">
        <v>103</v>
      </c>
      <c r="AH161" s="2" t="s">
        <v>1793</v>
      </c>
      <c r="AI161" s="2">
        <v>1.49</v>
      </c>
      <c r="AJ161" s="2">
        <v>20.447042372093701</v>
      </c>
      <c r="AK161" s="2">
        <v>20.339617692608201</v>
      </c>
      <c r="AL161" s="2">
        <v>20.051025880887899</v>
      </c>
      <c r="AM161" s="2">
        <v>20.241916298969102</v>
      </c>
      <c r="AN161" s="2">
        <v>20.2794991470006</v>
      </c>
      <c r="AO161" s="2">
        <v>20.153360094347502</v>
      </c>
      <c r="AP161" s="2">
        <v>20.2366983887487</v>
      </c>
      <c r="AQ161" s="2">
        <v>20.230475816275099</v>
      </c>
      <c r="AR161" s="2">
        <v>9.6233145402724691</v>
      </c>
      <c r="AS161" s="2">
        <v>9.6233145402724691</v>
      </c>
      <c r="AT161" s="2">
        <v>9.6233145402724691</v>
      </c>
      <c r="AU161" s="2">
        <v>9.6233145402724691</v>
      </c>
      <c r="AV161" s="2">
        <v>20.290330173982699</v>
      </c>
      <c r="AW161" s="2">
        <v>9.6233145402724691</v>
      </c>
      <c r="AX161" s="2">
        <v>9.6233145402724691</v>
      </c>
      <c r="AY161" s="2">
        <v>20.886343911548099</v>
      </c>
      <c r="AZ161" s="2">
        <v>9.6233145402724691</v>
      </c>
      <c r="BA161" s="2">
        <v>9.6233145402724691</v>
      </c>
      <c r="BB161" s="2">
        <v>9.6233145402724691</v>
      </c>
      <c r="BC161" s="2">
        <v>20.779844594337298</v>
      </c>
      <c r="BD161" s="2">
        <v>9.6233145402724691</v>
      </c>
      <c r="BE161" s="2">
        <v>9.6233145402724691</v>
      </c>
      <c r="BF161" s="2">
        <v>19.2480991875352</v>
      </c>
      <c r="BG161" s="2">
        <v>9.6233145402724691</v>
      </c>
      <c r="BH161" s="2">
        <v>9.6233145402724691</v>
      </c>
      <c r="BI161" s="2">
        <v>9.6233145402724691</v>
      </c>
      <c r="BJ161" s="2">
        <v>9.6233145402724691</v>
      </c>
      <c r="BK161" s="2">
        <v>9.6233145402724691</v>
      </c>
      <c r="BL161" s="2">
        <v>20.9285676310671</v>
      </c>
      <c r="BM161" s="2">
        <v>19.787356083863799</v>
      </c>
      <c r="BN161" s="2">
        <v>19.987020733878499</v>
      </c>
      <c r="BO161" s="2">
        <v>22.198092052379099</v>
      </c>
      <c r="BP161" s="2">
        <v>15.257975217639199</v>
      </c>
      <c r="BQ161" s="2">
        <v>9.6233145402724691</v>
      </c>
      <c r="BR161" s="2">
        <v>16.246788650421198</v>
      </c>
      <c r="BS161" s="2">
        <v>15.3145924487185</v>
      </c>
      <c r="BT161" s="2">
        <v>9.6233145402724691</v>
      </c>
      <c r="BU161" s="2">
        <v>22.7543741493852</v>
      </c>
      <c r="BV161" s="2">
        <v>23.286943648030999</v>
      </c>
      <c r="BW161" s="2">
        <v>22.3728593438234</v>
      </c>
      <c r="BX161" s="2">
        <v>21.842012855247301</v>
      </c>
      <c r="BY161" s="2">
        <v>15.071476189435201</v>
      </c>
      <c r="BZ161" s="2">
        <v>9.6233145402724691</v>
      </c>
      <c r="CA161" s="2">
        <v>21.8194149131591</v>
      </c>
      <c r="CB161" s="2">
        <v>24.7907614792815</v>
      </c>
      <c r="CC161" s="2">
        <v>9.6233145402724691</v>
      </c>
      <c r="CD161" s="2">
        <v>9.6233145402724691</v>
      </c>
      <c r="CE161" s="2">
        <v>9.6233145402724691</v>
      </c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</row>
    <row r="162" spans="1:97">
      <c r="A162" s="2" t="s">
        <v>1794</v>
      </c>
      <c r="B162" s="2">
        <v>104.07080000000001</v>
      </c>
      <c r="C162" s="2">
        <v>0.74</v>
      </c>
      <c r="D162" s="2" t="s">
        <v>84</v>
      </c>
      <c r="E162" s="2" t="s">
        <v>1795</v>
      </c>
      <c r="F162" s="2" t="s">
        <v>1796</v>
      </c>
      <c r="G162" s="2">
        <v>2486</v>
      </c>
      <c r="H162" s="3" t="str">
        <f>HYPERLINK("https://cloud.oebiotech.com/#/lm/network/2486", "https://cloud.oebiotech.com/#/lm/network/2486")</f>
        <v>https://cloud.oebiotech.com/#/lm/network/2486</v>
      </c>
      <c r="I162" s="2" t="s">
        <v>1797</v>
      </c>
      <c r="J162" s="2">
        <v>12</v>
      </c>
      <c r="K162" s="2" t="s">
        <v>1798</v>
      </c>
      <c r="L162" s="2">
        <v>439691</v>
      </c>
      <c r="M162" s="2" t="s">
        <v>1799</v>
      </c>
      <c r="N162" s="2"/>
      <c r="O162" s="2"/>
      <c r="P162" s="2">
        <v>28797</v>
      </c>
      <c r="Q162" s="2"/>
      <c r="R162" s="2"/>
      <c r="S162" s="2" t="s">
        <v>1800</v>
      </c>
      <c r="T162" s="2" t="s">
        <v>1801</v>
      </c>
      <c r="U162" s="2" t="s">
        <v>1802</v>
      </c>
      <c r="V162" s="2" t="s">
        <v>115</v>
      </c>
      <c r="W162" s="2" t="s">
        <v>116</v>
      </c>
      <c r="X162" s="2" t="s">
        <v>117</v>
      </c>
      <c r="Y162" s="2" t="s">
        <v>118</v>
      </c>
      <c r="Z162" s="2" t="s">
        <v>119</v>
      </c>
      <c r="AA162" s="2" t="s">
        <v>120</v>
      </c>
      <c r="AB162" s="2" t="s">
        <v>101</v>
      </c>
      <c r="AC162" s="2">
        <v>71.64</v>
      </c>
      <c r="AD162" s="2">
        <v>97.03</v>
      </c>
      <c r="AE162" s="2">
        <v>76.7</v>
      </c>
      <c r="AF162" s="2" t="s">
        <v>1803</v>
      </c>
      <c r="AG162" s="2" t="s">
        <v>103</v>
      </c>
      <c r="AH162" s="2" t="s">
        <v>1804</v>
      </c>
      <c r="AI162" s="2">
        <v>-1.92</v>
      </c>
      <c r="AJ162" s="2">
        <v>24.574740064397201</v>
      </c>
      <c r="AK162" s="2">
        <v>24.3847690757026</v>
      </c>
      <c r="AL162" s="2">
        <v>24.482441778805299</v>
      </c>
      <c r="AM162" s="2">
        <v>24.7039364543711</v>
      </c>
      <c r="AN162" s="2">
        <v>24.366898176517399</v>
      </c>
      <c r="AO162" s="2">
        <v>24.4966580910217</v>
      </c>
      <c r="AP162" s="2">
        <v>24.492049921556401</v>
      </c>
      <c r="AQ162" s="2">
        <v>24.375891233772201</v>
      </c>
      <c r="AR162" s="2">
        <v>24.368857561541301</v>
      </c>
      <c r="AS162" s="2">
        <v>24.161497213166399</v>
      </c>
      <c r="AT162" s="2">
        <v>24.163442910548302</v>
      </c>
      <c r="AU162" s="2">
        <v>23.759507234118701</v>
      </c>
      <c r="AV162" s="2">
        <v>23.884374368608899</v>
      </c>
      <c r="AW162" s="2">
        <v>24.357108145266899</v>
      </c>
      <c r="AX162" s="2">
        <v>24.479446936289801</v>
      </c>
      <c r="AY162" s="2">
        <v>24.4373540114576</v>
      </c>
      <c r="AZ162" s="2">
        <v>24.5035257311593</v>
      </c>
      <c r="BA162" s="2">
        <v>24.117095085249598</v>
      </c>
      <c r="BB162" s="2">
        <v>24.4413123354229</v>
      </c>
      <c r="BC162" s="2">
        <v>24.262574583524799</v>
      </c>
      <c r="BD162" s="2">
        <v>24.011527526252799</v>
      </c>
      <c r="BE162" s="2">
        <v>24.251417480248399</v>
      </c>
      <c r="BF162" s="2">
        <v>25.024575073062699</v>
      </c>
      <c r="BG162" s="2">
        <v>24.2002954218583</v>
      </c>
      <c r="BH162" s="2">
        <v>24.427453515078401</v>
      </c>
      <c r="BI162" s="2">
        <v>24.3776448217085</v>
      </c>
      <c r="BJ162" s="2">
        <v>23.8546070013453</v>
      </c>
      <c r="BK162" s="2">
        <v>23.8570560962659</v>
      </c>
      <c r="BL162" s="2">
        <v>24.292853283111501</v>
      </c>
      <c r="BM162" s="2">
        <v>23.6073303419724</v>
      </c>
      <c r="BN162" s="2">
        <v>24.510805386659701</v>
      </c>
      <c r="BO162" s="2">
        <v>23.686366746663399</v>
      </c>
      <c r="BP162" s="2">
        <v>23.7867339284915</v>
      </c>
      <c r="BQ162" s="2">
        <v>24.4161931857684</v>
      </c>
      <c r="BR162" s="2">
        <v>24.330608035489899</v>
      </c>
      <c r="BS162" s="2">
        <v>24.3370303899232</v>
      </c>
      <c r="BT162" s="2">
        <v>24.2689630878711</v>
      </c>
      <c r="BU162" s="2">
        <v>24.261903221697899</v>
      </c>
      <c r="BV162" s="2">
        <v>24.1113032207945</v>
      </c>
      <c r="BW162" s="2">
        <v>24.368692194561099</v>
      </c>
      <c r="BX162" s="2">
        <v>23.950859207253799</v>
      </c>
      <c r="BY162" s="2">
        <v>24.693312182496999</v>
      </c>
      <c r="BZ162" s="2">
        <v>24.5442776115162</v>
      </c>
      <c r="CA162" s="2">
        <v>24.8869382935546</v>
      </c>
      <c r="CB162" s="2">
        <v>23.854110229219099</v>
      </c>
      <c r="CC162" s="2">
        <v>23.9506368013691</v>
      </c>
      <c r="CD162" s="2">
        <v>24.402528436699299</v>
      </c>
      <c r="CE162" s="2">
        <v>24.086183684091701</v>
      </c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</row>
    <row r="163" spans="1:97">
      <c r="A163" s="2" t="s">
        <v>1805</v>
      </c>
      <c r="B163" s="2">
        <v>130.05063999999999</v>
      </c>
      <c r="C163" s="2">
        <v>1.34</v>
      </c>
      <c r="D163" s="2" t="s">
        <v>146</v>
      </c>
      <c r="E163" s="2" t="s">
        <v>1806</v>
      </c>
      <c r="F163" s="2" t="s">
        <v>1807</v>
      </c>
      <c r="G163" s="2">
        <v>47210</v>
      </c>
      <c r="H163" s="3" t="str">
        <f>HYPERLINK("https://cloud.oebiotech.com/#/lm/network/47210", "https://cloud.oebiotech.com/#/lm/network/47210")</f>
        <v>https://cloud.oebiotech.com/#/lm/network/47210</v>
      </c>
      <c r="I163" s="2" t="s">
        <v>1808</v>
      </c>
      <c r="J163" s="2">
        <v>5733</v>
      </c>
      <c r="K163" s="2"/>
      <c r="L163" s="2">
        <v>88064</v>
      </c>
      <c r="M163" s="2"/>
      <c r="N163" s="2"/>
      <c r="O163" s="2"/>
      <c r="P163" s="2">
        <v>40992</v>
      </c>
      <c r="Q163" s="2"/>
      <c r="R163" s="2"/>
      <c r="S163" s="2" t="s">
        <v>1809</v>
      </c>
      <c r="T163" s="2" t="s">
        <v>1810</v>
      </c>
      <c r="U163" s="2" t="s">
        <v>1811</v>
      </c>
      <c r="V163" s="2" t="s">
        <v>115</v>
      </c>
      <c r="W163" s="2" t="s">
        <v>116</v>
      </c>
      <c r="X163" s="2" t="s">
        <v>117</v>
      </c>
      <c r="Y163" s="2" t="s">
        <v>118</v>
      </c>
      <c r="Z163" s="2" t="s">
        <v>119</v>
      </c>
      <c r="AA163" s="2" t="s">
        <v>120</v>
      </c>
      <c r="AB163" s="2" t="s">
        <v>101</v>
      </c>
      <c r="AC163" s="2">
        <v>71.59</v>
      </c>
      <c r="AD163" s="2">
        <v>96.56</v>
      </c>
      <c r="AE163" s="2">
        <v>80.040000000000006</v>
      </c>
      <c r="AF163" s="2" t="s">
        <v>1812</v>
      </c>
      <c r="AG163" s="2" t="s">
        <v>194</v>
      </c>
      <c r="AH163" s="2" t="s">
        <v>1813</v>
      </c>
      <c r="AI163" s="2">
        <v>2.46</v>
      </c>
      <c r="AJ163" s="2">
        <v>22.122512421298701</v>
      </c>
      <c r="AK163" s="2">
        <v>22.223915159660201</v>
      </c>
      <c r="AL163" s="2">
        <v>22.314521049123702</v>
      </c>
      <c r="AM163" s="2">
        <v>22.446243708236</v>
      </c>
      <c r="AN163" s="2">
        <v>22.3476408689618</v>
      </c>
      <c r="AO163" s="2">
        <v>22.396293489744899</v>
      </c>
      <c r="AP163" s="2">
        <v>22.253335405174699</v>
      </c>
      <c r="AQ163" s="2">
        <v>22.4180516447421</v>
      </c>
      <c r="AR163" s="2">
        <v>21.366650547755199</v>
      </c>
      <c r="AS163" s="2">
        <v>21.819133700789202</v>
      </c>
      <c r="AT163" s="2">
        <v>21.925455662645</v>
      </c>
      <c r="AU163" s="2">
        <v>21.438888735330199</v>
      </c>
      <c r="AV163" s="2">
        <v>22.347149586323301</v>
      </c>
      <c r="AW163" s="2">
        <v>22.3742234840382</v>
      </c>
      <c r="AX163" s="2">
        <v>21.8090679368301</v>
      </c>
      <c r="AY163" s="2">
        <v>22.154845133995799</v>
      </c>
      <c r="AZ163" s="2">
        <v>22.041265630280598</v>
      </c>
      <c r="BA163" s="2">
        <v>21.954236133474101</v>
      </c>
      <c r="BB163" s="2">
        <v>21.797054652960998</v>
      </c>
      <c r="BC163" s="2">
        <v>22.233383877481401</v>
      </c>
      <c r="BD163" s="2">
        <v>21.942784873644001</v>
      </c>
      <c r="BE163" s="2">
        <v>22.4353326670761</v>
      </c>
      <c r="BF163" s="2">
        <v>22.3430871228855</v>
      </c>
      <c r="BG163" s="2">
        <v>22.025356350871199</v>
      </c>
      <c r="BH163" s="2">
        <v>22.418820080876699</v>
      </c>
      <c r="BI163" s="2">
        <v>22.5370049737542</v>
      </c>
      <c r="BJ163" s="2">
        <v>22.2229953863866</v>
      </c>
      <c r="BK163" s="2">
        <v>21.927213007736501</v>
      </c>
      <c r="BL163" s="2">
        <v>22.190815055975399</v>
      </c>
      <c r="BM163" s="2">
        <v>22.060226937231</v>
      </c>
      <c r="BN163" s="2">
        <v>22.312223349224698</v>
      </c>
      <c r="BO163" s="2">
        <v>22.272467031146999</v>
      </c>
      <c r="BP163" s="2">
        <v>22.1798715112451</v>
      </c>
      <c r="BQ163" s="2">
        <v>22.6279129058377</v>
      </c>
      <c r="BR163" s="2">
        <v>22.425023378272801</v>
      </c>
      <c r="BS163" s="2">
        <v>22.176619054624801</v>
      </c>
      <c r="BT163" s="2">
        <v>22.105894330189301</v>
      </c>
      <c r="BU163" s="2">
        <v>21.931860090502798</v>
      </c>
      <c r="BV163" s="2">
        <v>21.962177349555699</v>
      </c>
      <c r="BW163" s="2">
        <v>21.784541440214699</v>
      </c>
      <c r="BX163" s="2">
        <v>22.280683301283499</v>
      </c>
      <c r="BY163" s="2">
        <v>22.6194876320662</v>
      </c>
      <c r="BZ163" s="2">
        <v>22.1829136608436</v>
      </c>
      <c r="CA163" s="2">
        <v>22.4499999262068</v>
      </c>
      <c r="CB163" s="2">
        <v>21.468024442576699</v>
      </c>
      <c r="CC163" s="2">
        <v>22.060949956580401</v>
      </c>
      <c r="CD163" s="2">
        <v>22.651132088517802</v>
      </c>
      <c r="CE163" s="2">
        <v>22.285776068816698</v>
      </c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</row>
    <row r="164" spans="1:97">
      <c r="A164" s="2" t="s">
        <v>1814</v>
      </c>
      <c r="B164" s="2">
        <v>498.26204000000001</v>
      </c>
      <c r="C164" s="2">
        <v>9.9440000000000008</v>
      </c>
      <c r="D164" s="2" t="s">
        <v>146</v>
      </c>
      <c r="E164" s="2" t="s">
        <v>1815</v>
      </c>
      <c r="F164" s="2" t="s">
        <v>1816</v>
      </c>
      <c r="G164" s="2">
        <v>21214</v>
      </c>
      <c r="H164" s="3" t="str">
        <f>HYPERLINK("https://cloud.oebiotech.com/#/lm/network/21214", "https://cloud.oebiotech.com/#/lm/network/21214")</f>
        <v>https://cloud.oebiotech.com/#/lm/network/21214</v>
      </c>
      <c r="I164" s="2" t="s">
        <v>1817</v>
      </c>
      <c r="J164" s="2">
        <v>62277</v>
      </c>
      <c r="K164" s="2" t="s">
        <v>1818</v>
      </c>
      <c r="L164" s="2">
        <v>53480938</v>
      </c>
      <c r="M164" s="2"/>
      <c r="N164" s="2"/>
      <c r="O164" s="2"/>
      <c r="P164" s="2"/>
      <c r="Q164" s="2"/>
      <c r="R164" s="2"/>
      <c r="S164" s="2"/>
      <c r="T164" s="2" t="s">
        <v>1819</v>
      </c>
      <c r="U164" s="2" t="s">
        <v>1820</v>
      </c>
      <c r="V164" s="2" t="s">
        <v>95</v>
      </c>
      <c r="W164" s="2" t="s">
        <v>202</v>
      </c>
      <c r="X164" s="2" t="s">
        <v>327</v>
      </c>
      <c r="Y164" s="2" t="s">
        <v>98</v>
      </c>
      <c r="Z164" s="2" t="s">
        <v>204</v>
      </c>
      <c r="AA164" s="2" t="s">
        <v>328</v>
      </c>
      <c r="AB164" s="2" t="s">
        <v>101</v>
      </c>
      <c r="AC164" s="2">
        <v>71.56</v>
      </c>
      <c r="AD164" s="2">
        <v>93.15</v>
      </c>
      <c r="AE164" s="2">
        <v>88</v>
      </c>
      <c r="AF164" s="2" t="s">
        <v>1821</v>
      </c>
      <c r="AG164" s="2" t="s">
        <v>194</v>
      </c>
      <c r="AH164" s="2" t="s">
        <v>1822</v>
      </c>
      <c r="AI164" s="2">
        <v>1.2</v>
      </c>
      <c r="AJ164" s="2">
        <v>20.515892083959098</v>
      </c>
      <c r="AK164" s="2">
        <v>20.490793560838</v>
      </c>
      <c r="AL164" s="2">
        <v>20.397353959191602</v>
      </c>
      <c r="AM164" s="2">
        <v>20.479535030651501</v>
      </c>
      <c r="AN164" s="2">
        <v>20.742474174563998</v>
      </c>
      <c r="AO164" s="2">
        <v>20.2780982840052</v>
      </c>
      <c r="AP164" s="2">
        <v>20.3729247185452</v>
      </c>
      <c r="AQ164" s="2">
        <v>20.362690127452598</v>
      </c>
      <c r="AR164" s="2">
        <v>22.725095334765602</v>
      </c>
      <c r="AS164" s="2">
        <v>18.4020446278017</v>
      </c>
      <c r="AT164" s="2">
        <v>19.3657320709091</v>
      </c>
      <c r="AU164" s="2">
        <v>20.334809357468298</v>
      </c>
      <c r="AV164" s="2">
        <v>20.099063745688198</v>
      </c>
      <c r="AW164" s="2">
        <v>20.3588118237994</v>
      </c>
      <c r="AX164" s="2">
        <v>19.898056580852099</v>
      </c>
      <c r="AY164" s="2">
        <v>19.2010479603322</v>
      </c>
      <c r="AZ164" s="2">
        <v>21.9487049030466</v>
      </c>
      <c r="BA164" s="2">
        <v>20.683337936353201</v>
      </c>
      <c r="BB164" s="2">
        <v>18.607354806411202</v>
      </c>
      <c r="BC164" s="2">
        <v>20.475240455757898</v>
      </c>
      <c r="BD164" s="2">
        <v>20.659447264611199</v>
      </c>
      <c r="BE164" s="2">
        <v>19.870928026876999</v>
      </c>
      <c r="BF164" s="2">
        <v>19.470912291680701</v>
      </c>
      <c r="BG164" s="2">
        <v>20.527603532613199</v>
      </c>
      <c r="BH164" s="2">
        <v>21.241238530444001</v>
      </c>
      <c r="BI164" s="2">
        <v>20.664106065614298</v>
      </c>
      <c r="BJ164" s="2">
        <v>21.675404978911502</v>
      </c>
      <c r="BK164" s="2">
        <v>19.799054047804201</v>
      </c>
      <c r="BL164" s="2">
        <v>20.567848558315301</v>
      </c>
      <c r="BM164" s="2">
        <v>20.663254841357499</v>
      </c>
      <c r="BN164" s="2">
        <v>20.397114783607801</v>
      </c>
      <c r="BO164" s="2">
        <v>19.7298205785278</v>
      </c>
      <c r="BP164" s="2">
        <v>18.590434751065199</v>
      </c>
      <c r="BQ164" s="2">
        <v>20.396737490078401</v>
      </c>
      <c r="BR164" s="2">
        <v>20.972303967304899</v>
      </c>
      <c r="BS164" s="2">
        <v>21.098476480747401</v>
      </c>
      <c r="BT164" s="2">
        <v>23.286236607393999</v>
      </c>
      <c r="BU164" s="2">
        <v>20.975993612738002</v>
      </c>
      <c r="BV164" s="2">
        <v>19.318604128411099</v>
      </c>
      <c r="BW164" s="2">
        <v>19.122081663008402</v>
      </c>
      <c r="BX164" s="2">
        <v>20.191350109065901</v>
      </c>
      <c r="BY164" s="2">
        <v>20.2682908810878</v>
      </c>
      <c r="BZ164" s="2">
        <v>19.550195431526099</v>
      </c>
      <c r="CA164" s="2">
        <v>20.118751925534799</v>
      </c>
      <c r="CB164" s="2">
        <v>20.616718366279901</v>
      </c>
      <c r="CC164" s="2">
        <v>20.108155956481699</v>
      </c>
      <c r="CD164" s="2">
        <v>19.972993510332898</v>
      </c>
      <c r="CE164" s="2">
        <v>19.207662570084999</v>
      </c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</row>
    <row r="165" spans="1:97">
      <c r="A165" s="2" t="s">
        <v>1823</v>
      </c>
      <c r="B165" s="2">
        <v>165.05531999999999</v>
      </c>
      <c r="C165" s="2">
        <v>4.907</v>
      </c>
      <c r="D165" s="2" t="s">
        <v>146</v>
      </c>
      <c r="E165" s="2" t="s">
        <v>1824</v>
      </c>
      <c r="F165" s="2" t="s">
        <v>1825</v>
      </c>
      <c r="G165" s="2">
        <v>258366</v>
      </c>
      <c r="H165" s="3" t="str">
        <f>HYPERLINK("https://cloud.oebiotech.com/#/lm/network/258366", "https://cloud.oebiotech.com/#/lm/network/258366")</f>
        <v>https://cloud.oebiotech.com/#/lm/network/258366</v>
      </c>
      <c r="I165" s="2"/>
      <c r="J165" s="2">
        <v>5462</v>
      </c>
      <c r="K165" s="2"/>
      <c r="L165" s="2">
        <v>1303</v>
      </c>
      <c r="M165" s="2"/>
      <c r="N165" s="2"/>
      <c r="O165" s="2"/>
      <c r="P165" s="2"/>
      <c r="Q165" s="2"/>
      <c r="R165" s="2"/>
      <c r="S165" s="2"/>
      <c r="T165" s="2" t="s">
        <v>1826</v>
      </c>
      <c r="U165" s="2" t="s">
        <v>1827</v>
      </c>
      <c r="V165" s="2" t="s">
        <v>385</v>
      </c>
      <c r="W165" s="2" t="s">
        <v>386</v>
      </c>
      <c r="X165" s="2" t="s">
        <v>375</v>
      </c>
      <c r="Y165" s="2" t="s">
        <v>388</v>
      </c>
      <c r="Z165" s="2" t="s">
        <v>389</v>
      </c>
      <c r="AA165" s="2"/>
      <c r="AB165" s="2" t="s">
        <v>101</v>
      </c>
      <c r="AC165" s="2">
        <v>71.540000000000006</v>
      </c>
      <c r="AD165" s="2">
        <v>98.8</v>
      </c>
      <c r="AE165" s="2">
        <v>77.459999999999994</v>
      </c>
      <c r="AF165" s="2" t="s">
        <v>1828</v>
      </c>
      <c r="AG165" s="2" t="s">
        <v>194</v>
      </c>
      <c r="AH165" s="2" t="s">
        <v>1829</v>
      </c>
      <c r="AI165" s="2">
        <v>2.42</v>
      </c>
      <c r="AJ165" s="2">
        <v>22.5790476933036</v>
      </c>
      <c r="AK165" s="2">
        <v>22.480648532004299</v>
      </c>
      <c r="AL165" s="2">
        <v>22.348172519397199</v>
      </c>
      <c r="AM165" s="2">
        <v>22.5304089424327</v>
      </c>
      <c r="AN165" s="2">
        <v>22.486071480475101</v>
      </c>
      <c r="AO165" s="2">
        <v>22.345776781992399</v>
      </c>
      <c r="AP165" s="2">
        <v>22.328487597418999</v>
      </c>
      <c r="AQ165" s="2">
        <v>22.326273821416901</v>
      </c>
      <c r="AR165" s="2">
        <v>22.204261025571199</v>
      </c>
      <c r="AS165" s="2">
        <v>21.673694344248599</v>
      </c>
      <c r="AT165" s="2">
        <v>20.982489289233101</v>
      </c>
      <c r="AU165" s="2">
        <v>21.5899581193631</v>
      </c>
      <c r="AV165" s="2">
        <v>22.7168363251205</v>
      </c>
      <c r="AW165" s="2">
        <v>21.947861581835099</v>
      </c>
      <c r="AX165" s="2">
        <v>21.6421029910097</v>
      </c>
      <c r="AY165" s="2">
        <v>22.1652807749883</v>
      </c>
      <c r="AZ165" s="2">
        <v>21.7552859332359</v>
      </c>
      <c r="BA165" s="2">
        <v>21.514484714625102</v>
      </c>
      <c r="BB165" s="2">
        <v>22.495815962571498</v>
      </c>
      <c r="BC165" s="2">
        <v>21.680029463123098</v>
      </c>
      <c r="BD165" s="2">
        <v>21.849270116876799</v>
      </c>
      <c r="BE165" s="2">
        <v>22.090214863712699</v>
      </c>
      <c r="BF165" s="2">
        <v>22.509388993462501</v>
      </c>
      <c r="BG165" s="2">
        <v>23.0355514872771</v>
      </c>
      <c r="BH165" s="2">
        <v>21.492323595930799</v>
      </c>
      <c r="BI165" s="2">
        <v>22.837597470591</v>
      </c>
      <c r="BJ165" s="2">
        <v>22.274640342415601</v>
      </c>
      <c r="BK165" s="2">
        <v>22.178004573741699</v>
      </c>
      <c r="BL165" s="2">
        <v>22.5818094614635</v>
      </c>
      <c r="BM165" s="2">
        <v>22.770264792290899</v>
      </c>
      <c r="BN165" s="2">
        <v>21.841435035755001</v>
      </c>
      <c r="BO165" s="2">
        <v>21.802267635798898</v>
      </c>
      <c r="BP165" s="2">
        <v>23.4957810038077</v>
      </c>
      <c r="BQ165" s="2">
        <v>21.866698466137102</v>
      </c>
      <c r="BR165" s="2">
        <v>21.750446990158402</v>
      </c>
      <c r="BS165" s="2">
        <v>22.546824039973799</v>
      </c>
      <c r="BT165" s="2">
        <v>22.647962189433901</v>
      </c>
      <c r="BU165" s="2">
        <v>22.789837847803899</v>
      </c>
      <c r="BV165" s="2">
        <v>21.953773480900399</v>
      </c>
      <c r="BW165" s="2">
        <v>20.5248773686357</v>
      </c>
      <c r="BX165" s="2">
        <v>21.708153928636499</v>
      </c>
      <c r="BY165" s="2">
        <v>22.876507397236999</v>
      </c>
      <c r="BZ165" s="2">
        <v>22.202472491918499</v>
      </c>
      <c r="CA165" s="2">
        <v>22.841922144000002</v>
      </c>
      <c r="CB165" s="2">
        <v>21.799098894099899</v>
      </c>
      <c r="CC165" s="2">
        <v>21.788254720937999</v>
      </c>
      <c r="CD165" s="2">
        <v>23.116603459334002</v>
      </c>
      <c r="CE165" s="2">
        <v>22.230835172214999</v>
      </c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</row>
    <row r="166" spans="1:97">
      <c r="A166" s="2" t="s">
        <v>1830</v>
      </c>
      <c r="B166" s="2">
        <v>373.27323999999999</v>
      </c>
      <c r="C166" s="2">
        <v>8.8219999999999992</v>
      </c>
      <c r="D166" s="2" t="s">
        <v>84</v>
      </c>
      <c r="E166" s="2" t="s">
        <v>1831</v>
      </c>
      <c r="F166" s="2" t="s">
        <v>1832</v>
      </c>
      <c r="G166" s="2">
        <v>46079</v>
      </c>
      <c r="H166" s="3" t="str">
        <f>HYPERLINK("https://cloud.oebiotech.com/#/lm/network/46079", "https://cloud.oebiotech.com/#/lm/network/46079")</f>
        <v>https://cloud.oebiotech.com/#/lm/network/46079</v>
      </c>
      <c r="I166" s="2"/>
      <c r="J166" s="2">
        <v>84532</v>
      </c>
      <c r="K166" s="2" t="s">
        <v>1833</v>
      </c>
      <c r="L166" s="2">
        <v>5283979</v>
      </c>
      <c r="M166" s="2"/>
      <c r="N166" s="2"/>
      <c r="O166" s="2"/>
      <c r="P166" s="2"/>
      <c r="Q166" s="2"/>
      <c r="R166" s="2"/>
      <c r="S166" s="2"/>
      <c r="T166" s="2" t="s">
        <v>1834</v>
      </c>
      <c r="U166" s="2" t="s">
        <v>1835</v>
      </c>
      <c r="V166" s="2" t="s">
        <v>95</v>
      </c>
      <c r="W166" s="2" t="s">
        <v>152</v>
      </c>
      <c r="X166" s="2" t="s">
        <v>278</v>
      </c>
      <c r="Y166" s="2" t="s">
        <v>98</v>
      </c>
      <c r="Z166" s="2" t="s">
        <v>154</v>
      </c>
      <c r="AA166" s="2" t="s">
        <v>279</v>
      </c>
      <c r="AB166" s="2" t="s">
        <v>101</v>
      </c>
      <c r="AC166" s="2">
        <v>71.53</v>
      </c>
      <c r="AD166" s="2">
        <v>97.73</v>
      </c>
      <c r="AE166" s="2">
        <v>82.04</v>
      </c>
      <c r="AF166" s="2" t="s">
        <v>1836</v>
      </c>
      <c r="AG166" s="2" t="s">
        <v>1088</v>
      </c>
      <c r="AH166" s="2" t="s">
        <v>1837</v>
      </c>
      <c r="AI166" s="2">
        <v>2.95</v>
      </c>
      <c r="AJ166" s="2">
        <v>23.106700065097201</v>
      </c>
      <c r="AK166" s="2">
        <v>23.2046581251583</v>
      </c>
      <c r="AL166" s="2">
        <v>23.197703390795098</v>
      </c>
      <c r="AM166" s="2">
        <v>23.2027896957261</v>
      </c>
      <c r="AN166" s="2">
        <v>23.295734017376901</v>
      </c>
      <c r="AO166" s="2">
        <v>23.129499421323001</v>
      </c>
      <c r="AP166" s="2">
        <v>23.260364020688598</v>
      </c>
      <c r="AQ166" s="2">
        <v>23.1235984868975</v>
      </c>
      <c r="AR166" s="2">
        <v>22.453360698646001</v>
      </c>
      <c r="AS166" s="2">
        <v>22.0677992353699</v>
      </c>
      <c r="AT166" s="2">
        <v>22.0235896021576</v>
      </c>
      <c r="AU166" s="2">
        <v>22.333399680522501</v>
      </c>
      <c r="AV166" s="2">
        <v>22.573373189881199</v>
      </c>
      <c r="AW166" s="2">
        <v>22.741345380862501</v>
      </c>
      <c r="AX166" s="2">
        <v>22.190302694316099</v>
      </c>
      <c r="AY166" s="2">
        <v>22.238781361961699</v>
      </c>
      <c r="AZ166" s="2">
        <v>22.278165969461799</v>
      </c>
      <c r="BA166" s="2">
        <v>22.792078230209398</v>
      </c>
      <c r="BB166" s="2">
        <v>22.334271056303699</v>
      </c>
      <c r="BC166" s="2">
        <v>22.593660483610201</v>
      </c>
      <c r="BD166" s="2">
        <v>22.3910916047152</v>
      </c>
      <c r="BE166" s="2">
        <v>22.311403762894599</v>
      </c>
      <c r="BF166" s="2">
        <v>21.973056774850399</v>
      </c>
      <c r="BG166" s="2">
        <v>22.2480663586751</v>
      </c>
      <c r="BH166" s="2">
        <v>22.0429446513077</v>
      </c>
      <c r="BI166" s="2">
        <v>22.0186207407544</v>
      </c>
      <c r="BJ166" s="2">
        <v>22.2626945653554</v>
      </c>
      <c r="BK166" s="2">
        <v>22.398240497694601</v>
      </c>
      <c r="BL166" s="2">
        <v>23.312809005089299</v>
      </c>
      <c r="BM166" s="2">
        <v>22.520282665300901</v>
      </c>
      <c r="BN166" s="2">
        <v>22.404089332635699</v>
      </c>
      <c r="BO166" s="2">
        <v>21.918995957884999</v>
      </c>
      <c r="BP166" s="2">
        <v>22.6937365041112</v>
      </c>
      <c r="BQ166" s="2">
        <v>23.074805384408599</v>
      </c>
      <c r="BR166" s="2">
        <v>22.377797030375898</v>
      </c>
      <c r="BS166" s="2">
        <v>22.3645842993839</v>
      </c>
      <c r="BT166" s="2">
        <v>22.0784157959027</v>
      </c>
      <c r="BU166" s="2">
        <v>22.045547377117199</v>
      </c>
      <c r="BV166" s="2">
        <v>22.549761243569201</v>
      </c>
      <c r="BW166" s="2">
        <v>23.365315469120301</v>
      </c>
      <c r="BX166" s="2">
        <v>21.987089671492701</v>
      </c>
      <c r="BY166" s="2">
        <v>22.13759054122</v>
      </c>
      <c r="BZ166" s="2">
        <v>23.169344096801598</v>
      </c>
      <c r="CA166" s="2">
        <v>22.261558699477</v>
      </c>
      <c r="CB166" s="2">
        <v>24.874331804811</v>
      </c>
      <c r="CC166" s="2">
        <v>23.9236893229935</v>
      </c>
      <c r="CD166" s="2">
        <v>22.038052672005801</v>
      </c>
      <c r="CE166" s="2">
        <v>22.354474952237201</v>
      </c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</row>
    <row r="167" spans="1:97">
      <c r="A167" s="2" t="s">
        <v>1838</v>
      </c>
      <c r="B167" s="2">
        <v>526.29206999999997</v>
      </c>
      <c r="C167" s="2">
        <v>10.33</v>
      </c>
      <c r="D167" s="2" t="s">
        <v>84</v>
      </c>
      <c r="E167" s="2" t="s">
        <v>1839</v>
      </c>
      <c r="F167" s="2" t="s">
        <v>1840</v>
      </c>
      <c r="G167" s="2">
        <v>21221</v>
      </c>
      <c r="H167" s="3" t="str">
        <f>HYPERLINK("https://cloud.oebiotech.com/#/lm/network/21221", "https://cloud.oebiotech.com/#/lm/network/21221")</f>
        <v>https://cloud.oebiotech.com/#/lm/network/21221</v>
      </c>
      <c r="I167" s="2" t="s">
        <v>1841</v>
      </c>
      <c r="J167" s="2">
        <v>62284</v>
      </c>
      <c r="K167" s="2" t="s">
        <v>1842</v>
      </c>
      <c r="L167" s="2">
        <v>53480945</v>
      </c>
      <c r="M167" s="2"/>
      <c r="N167" s="2"/>
      <c r="O167" s="2"/>
      <c r="P167" s="2">
        <v>72749</v>
      </c>
      <c r="Q167" s="2"/>
      <c r="R167" s="2"/>
      <c r="S167" s="2"/>
      <c r="T167" s="2" t="s">
        <v>1843</v>
      </c>
      <c r="U167" s="2" t="s">
        <v>1844</v>
      </c>
      <c r="V167" s="2" t="s">
        <v>95</v>
      </c>
      <c r="W167" s="2" t="s">
        <v>202</v>
      </c>
      <c r="X167" s="2" t="s">
        <v>327</v>
      </c>
      <c r="Y167" s="2" t="s">
        <v>98</v>
      </c>
      <c r="Z167" s="2" t="s">
        <v>204</v>
      </c>
      <c r="AA167" s="2" t="s">
        <v>328</v>
      </c>
      <c r="AB167" s="2" t="s">
        <v>101</v>
      </c>
      <c r="AC167" s="2">
        <v>71.53</v>
      </c>
      <c r="AD167" s="2">
        <v>98.24</v>
      </c>
      <c r="AE167" s="2">
        <v>80.819999999999993</v>
      </c>
      <c r="AF167" s="2" t="s">
        <v>1845</v>
      </c>
      <c r="AG167" s="2" t="s">
        <v>103</v>
      </c>
      <c r="AH167" s="2" t="s">
        <v>1846</v>
      </c>
      <c r="AI167" s="2">
        <v>1.33</v>
      </c>
      <c r="AJ167" s="2">
        <v>25.979423919207701</v>
      </c>
      <c r="AK167" s="2">
        <v>26.008573870650999</v>
      </c>
      <c r="AL167" s="2">
        <v>26.032677634822502</v>
      </c>
      <c r="AM167" s="2">
        <v>25.978667321926402</v>
      </c>
      <c r="AN167" s="2">
        <v>26.034071631399001</v>
      </c>
      <c r="AO167" s="2">
        <v>26.1148787898912</v>
      </c>
      <c r="AP167" s="2">
        <v>26.060524974462599</v>
      </c>
      <c r="AQ167" s="2">
        <v>25.879274463733601</v>
      </c>
      <c r="AR167" s="2">
        <v>26.335510493129501</v>
      </c>
      <c r="AS167" s="2">
        <v>24.8611850107362</v>
      </c>
      <c r="AT167" s="2">
        <v>25.684026273438601</v>
      </c>
      <c r="AU167" s="2">
        <v>26.189965302050702</v>
      </c>
      <c r="AV167" s="2">
        <v>25.398685910969999</v>
      </c>
      <c r="AW167" s="2">
        <v>25.909724484753902</v>
      </c>
      <c r="AX167" s="2">
        <v>26.449887769418201</v>
      </c>
      <c r="AY167" s="2">
        <v>26.016938486091401</v>
      </c>
      <c r="AZ167" s="2">
        <v>25.800056898335601</v>
      </c>
      <c r="BA167" s="2">
        <v>25.6058050865967</v>
      </c>
      <c r="BB167" s="2">
        <v>25.612704002247899</v>
      </c>
      <c r="BC167" s="2">
        <v>26.532491048635102</v>
      </c>
      <c r="BD167" s="2">
        <v>26.011870001824899</v>
      </c>
      <c r="BE167" s="2">
        <v>25.587728085893001</v>
      </c>
      <c r="BF167" s="2">
        <v>26.088359723666301</v>
      </c>
      <c r="BG167" s="2">
        <v>26.550638220786102</v>
      </c>
      <c r="BH167" s="2">
        <v>25.7406241039305</v>
      </c>
      <c r="BI167" s="2">
        <v>26.168919370019101</v>
      </c>
      <c r="BJ167" s="2">
        <v>26.321321448183099</v>
      </c>
      <c r="BK167" s="2">
        <v>25.321494956576899</v>
      </c>
      <c r="BL167" s="2">
        <v>25.887009269334499</v>
      </c>
      <c r="BM167" s="2">
        <v>25.729240751759502</v>
      </c>
      <c r="BN167" s="2">
        <v>25.712384665283299</v>
      </c>
      <c r="BO167" s="2">
        <v>26.208597339618802</v>
      </c>
      <c r="BP167" s="2">
        <v>25.648040261485001</v>
      </c>
      <c r="BQ167" s="2">
        <v>26.0185933295488</v>
      </c>
      <c r="BR167" s="2">
        <v>26.249412464898299</v>
      </c>
      <c r="BS167" s="2">
        <v>26.4346049850977</v>
      </c>
      <c r="BT167" s="2">
        <v>26.273437017582999</v>
      </c>
      <c r="BU167" s="2">
        <v>25.940689730997502</v>
      </c>
      <c r="BV167" s="2">
        <v>25.962850572195901</v>
      </c>
      <c r="BW167" s="2">
        <v>25.8669683539886</v>
      </c>
      <c r="BX167" s="2">
        <v>25.905501919485399</v>
      </c>
      <c r="BY167" s="2">
        <v>25.811391558881901</v>
      </c>
      <c r="BZ167" s="2">
        <v>25.928692338458401</v>
      </c>
      <c r="CA167" s="2">
        <v>26.281466171749699</v>
      </c>
      <c r="CB167" s="2">
        <v>25.2961055094848</v>
      </c>
      <c r="CC167" s="2">
        <v>25.982465105664001</v>
      </c>
      <c r="CD167" s="2">
        <v>26.178894377774601</v>
      </c>
      <c r="CE167" s="2">
        <v>25.524620574816399</v>
      </c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</row>
    <row r="168" spans="1:97">
      <c r="A168" s="2" t="s">
        <v>1847</v>
      </c>
      <c r="B168" s="2">
        <v>401.08713999999998</v>
      </c>
      <c r="C168" s="2">
        <v>7.2489999999999997</v>
      </c>
      <c r="D168" s="2" t="s">
        <v>146</v>
      </c>
      <c r="E168" s="2" t="s">
        <v>1848</v>
      </c>
      <c r="F168" s="2" t="s">
        <v>1849</v>
      </c>
      <c r="G168" s="2">
        <v>33172</v>
      </c>
      <c r="H168" s="3" t="str">
        <f>HYPERLINK("https://cloud.oebiotech.com/#/lm/network/33172", "https://cloud.oebiotech.com/#/lm/network/33172")</f>
        <v>https://cloud.oebiotech.com/#/lm/network/33172</v>
      </c>
      <c r="I168" s="2"/>
      <c r="J168" s="2">
        <v>51499</v>
      </c>
      <c r="K168" s="2" t="s">
        <v>1850</v>
      </c>
      <c r="L168" s="2">
        <v>44259911</v>
      </c>
      <c r="M168" s="2"/>
      <c r="N168" s="2"/>
      <c r="O168" s="2"/>
      <c r="P168" s="2"/>
      <c r="Q168" s="2"/>
      <c r="R168" s="2"/>
      <c r="S168" s="2"/>
      <c r="T168" s="2" t="s">
        <v>1851</v>
      </c>
      <c r="U168" s="2" t="s">
        <v>1852</v>
      </c>
      <c r="V168" s="2" t="s">
        <v>845</v>
      </c>
      <c r="W168" s="2" t="s">
        <v>1853</v>
      </c>
      <c r="X168" s="2" t="s">
        <v>1854</v>
      </c>
      <c r="Y168" s="2" t="s">
        <v>847</v>
      </c>
      <c r="Z168" s="2" t="s">
        <v>1855</v>
      </c>
      <c r="AA168" s="2" t="s">
        <v>1856</v>
      </c>
      <c r="AB168" s="2" t="s">
        <v>101</v>
      </c>
      <c r="AC168" s="2">
        <v>71.48</v>
      </c>
      <c r="AD168" s="2">
        <v>95.19</v>
      </c>
      <c r="AE168" s="2">
        <v>76.739999999999995</v>
      </c>
      <c r="AF168" s="2" t="s">
        <v>1857</v>
      </c>
      <c r="AG168" s="2" t="s">
        <v>194</v>
      </c>
      <c r="AH168" s="2" t="s">
        <v>1858</v>
      </c>
      <c r="AI168" s="2">
        <v>1.75</v>
      </c>
      <c r="AJ168" s="2">
        <v>20.492623245815</v>
      </c>
      <c r="AK168" s="2">
        <v>20.269762682216701</v>
      </c>
      <c r="AL168" s="2">
        <v>20.5888792183618</v>
      </c>
      <c r="AM168" s="2">
        <v>20.317391955168802</v>
      </c>
      <c r="AN168" s="2">
        <v>20.7722379332229</v>
      </c>
      <c r="AO168" s="2">
        <v>20.578483029590402</v>
      </c>
      <c r="AP168" s="2">
        <v>20.613861956681699</v>
      </c>
      <c r="AQ168" s="2">
        <v>20.6136695471879</v>
      </c>
      <c r="AR168" s="2">
        <v>20.401204005320199</v>
      </c>
      <c r="AS168" s="2">
        <v>20.457315413680401</v>
      </c>
      <c r="AT168" s="2">
        <v>20.6013873837903</v>
      </c>
      <c r="AU168" s="2">
        <v>20.7496695928719</v>
      </c>
      <c r="AV168" s="2">
        <v>20.459397126635299</v>
      </c>
      <c r="AW168" s="2">
        <v>20.788010213712599</v>
      </c>
      <c r="AX168" s="2">
        <v>20.1012045026661</v>
      </c>
      <c r="AY168" s="2">
        <v>20.441403237692999</v>
      </c>
      <c r="AZ168" s="2">
        <v>20.126646994862501</v>
      </c>
      <c r="BA168" s="2">
        <v>20.516063868986201</v>
      </c>
      <c r="BB168" s="2">
        <v>20.440859893286699</v>
      </c>
      <c r="BC168" s="2">
        <v>20.3724173997321</v>
      </c>
      <c r="BD168" s="2">
        <v>20.297502532000099</v>
      </c>
      <c r="BE168" s="2">
        <v>20.7312744848074</v>
      </c>
      <c r="BF168" s="2">
        <v>20.2930412077034</v>
      </c>
      <c r="BG168" s="2">
        <v>20.618132625235301</v>
      </c>
      <c r="BH168" s="2">
        <v>20.401621440656999</v>
      </c>
      <c r="BI168" s="2">
        <v>20.697637336489599</v>
      </c>
      <c r="BJ168" s="2">
        <v>20.429613584055701</v>
      </c>
      <c r="BK168" s="2">
        <v>20.582042961344001</v>
      </c>
      <c r="BL168" s="2">
        <v>20.4636521348407</v>
      </c>
      <c r="BM168" s="2">
        <v>20.559221937120199</v>
      </c>
      <c r="BN168" s="2">
        <v>20.196003824971001</v>
      </c>
      <c r="BO168" s="2">
        <v>20.4212451022061</v>
      </c>
      <c r="BP168" s="2">
        <v>20.616698554388101</v>
      </c>
      <c r="BQ168" s="2">
        <v>20.200334558997302</v>
      </c>
      <c r="BR168" s="2">
        <v>20.6544081684651</v>
      </c>
      <c r="BS168" s="2">
        <v>20.166588149206898</v>
      </c>
      <c r="BT168" s="2">
        <v>20.375310955044899</v>
      </c>
      <c r="BU168" s="2">
        <v>20.744545973229901</v>
      </c>
      <c r="BV168" s="2">
        <v>20.878444342867802</v>
      </c>
      <c r="BW168" s="2">
        <v>20.779025742865699</v>
      </c>
      <c r="BX168" s="2">
        <v>20.657351817450401</v>
      </c>
      <c r="BY168" s="2">
        <v>19.956876376032</v>
      </c>
      <c r="BZ168" s="2">
        <v>20.809354556720301</v>
      </c>
      <c r="CA168" s="2">
        <v>20.4167707720006</v>
      </c>
      <c r="CB168" s="2">
        <v>20.448601526628799</v>
      </c>
      <c r="CC168" s="2">
        <v>20.278065458450399</v>
      </c>
      <c r="CD168" s="2">
        <v>20.561715115323199</v>
      </c>
      <c r="CE168" s="2">
        <v>20.551980841840098</v>
      </c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</row>
    <row r="169" spans="1:97">
      <c r="A169" s="2" t="s">
        <v>1859</v>
      </c>
      <c r="B169" s="2">
        <v>343.26254999999998</v>
      </c>
      <c r="C169" s="2">
        <v>14.035</v>
      </c>
      <c r="D169" s="2" t="s">
        <v>84</v>
      </c>
      <c r="E169" s="2" t="s">
        <v>1860</v>
      </c>
      <c r="F169" s="2" t="s">
        <v>1861</v>
      </c>
      <c r="G169" s="2">
        <v>267183</v>
      </c>
      <c r="H169" s="3" t="str">
        <f>HYPERLINK("https://cloud.oebiotech.com/#/lm/network/267183", "https://cloud.oebiotech.com/#/lm/network/267183")</f>
        <v>https://cloud.oebiotech.com/#/lm/network/267183</v>
      </c>
      <c r="I169" s="2"/>
      <c r="J169" s="2">
        <v>44958</v>
      </c>
      <c r="K169" s="2"/>
      <c r="L169" s="2">
        <v>6421262</v>
      </c>
      <c r="M169" s="2"/>
      <c r="N169" s="2"/>
      <c r="O169" s="2"/>
      <c r="P169" s="2"/>
      <c r="Q169" s="2"/>
      <c r="R169" s="2"/>
      <c r="S169" s="2" t="s">
        <v>1862</v>
      </c>
      <c r="T169" s="2" t="s">
        <v>1863</v>
      </c>
      <c r="U169" s="2" t="s">
        <v>1864</v>
      </c>
      <c r="V169" s="2" t="s">
        <v>95</v>
      </c>
      <c r="W169" s="2" t="s">
        <v>96</v>
      </c>
      <c r="X169" s="2" t="s">
        <v>97</v>
      </c>
      <c r="Y169" s="2" t="s">
        <v>98</v>
      </c>
      <c r="Z169" s="2" t="s">
        <v>99</v>
      </c>
      <c r="AA169" s="2" t="s">
        <v>100</v>
      </c>
      <c r="AB169" s="2" t="s">
        <v>101</v>
      </c>
      <c r="AC169" s="2">
        <v>71.48</v>
      </c>
      <c r="AD169" s="2">
        <v>86.1</v>
      </c>
      <c r="AE169" s="2">
        <v>88.09</v>
      </c>
      <c r="AF169" s="2" t="s">
        <v>1865</v>
      </c>
      <c r="AG169" s="2" t="s">
        <v>103</v>
      </c>
      <c r="AH169" s="2" t="s">
        <v>1866</v>
      </c>
      <c r="AI169" s="2">
        <v>2.04</v>
      </c>
      <c r="AJ169" s="2">
        <v>19.800622092843302</v>
      </c>
      <c r="AK169" s="2">
        <v>19.312636889474099</v>
      </c>
      <c r="AL169" s="2">
        <v>19.4468134949845</v>
      </c>
      <c r="AM169" s="2">
        <v>19.716912848005599</v>
      </c>
      <c r="AN169" s="2">
        <v>19.713386397460301</v>
      </c>
      <c r="AO169" s="2">
        <v>19.9162100635576</v>
      </c>
      <c r="AP169" s="2">
        <v>19.682257646258801</v>
      </c>
      <c r="AQ169" s="2">
        <v>20.2248371253778</v>
      </c>
      <c r="AR169" s="2">
        <v>19.096922521850299</v>
      </c>
      <c r="AS169" s="2">
        <v>16.900364120963001</v>
      </c>
      <c r="AT169" s="2">
        <v>18.142247140738199</v>
      </c>
      <c r="AU169" s="2">
        <v>18.7182634827379</v>
      </c>
      <c r="AV169" s="2">
        <v>18.232038756879199</v>
      </c>
      <c r="AW169" s="2">
        <v>19.196449500585601</v>
      </c>
      <c r="AX169" s="2">
        <v>19.653088890214601</v>
      </c>
      <c r="AY169" s="2">
        <v>19.5657269471962</v>
      </c>
      <c r="AZ169" s="2">
        <v>19.5695848366096</v>
      </c>
      <c r="BA169" s="2">
        <v>17.990331749744001</v>
      </c>
      <c r="BB169" s="2">
        <v>19.350610030921299</v>
      </c>
      <c r="BC169" s="2">
        <v>18.6584903725572</v>
      </c>
      <c r="BD169" s="2">
        <v>19.489397380999701</v>
      </c>
      <c r="BE169" s="2">
        <v>19.411849948753702</v>
      </c>
      <c r="BF169" s="2">
        <v>19.3230203572577</v>
      </c>
      <c r="BG169" s="2">
        <v>20.231863356625102</v>
      </c>
      <c r="BH169" s="2">
        <v>20.558241022926001</v>
      </c>
      <c r="BI169" s="2">
        <v>18.109588841834601</v>
      </c>
      <c r="BJ169" s="2">
        <v>19.800494457728</v>
      </c>
      <c r="BK169" s="2">
        <v>18.725934292442101</v>
      </c>
      <c r="BL169" s="2">
        <v>18.193561213753298</v>
      </c>
      <c r="BM169" s="2">
        <v>18.713018497257501</v>
      </c>
      <c r="BN169" s="2">
        <v>18.7414135269021</v>
      </c>
      <c r="BO169" s="2">
        <v>19.331846178263302</v>
      </c>
      <c r="BP169" s="2">
        <v>19.180344150289802</v>
      </c>
      <c r="BQ169" s="2">
        <v>19.257048082592899</v>
      </c>
      <c r="BR169" s="2">
        <v>18.632617375695201</v>
      </c>
      <c r="BS169" s="2">
        <v>20.236028736254099</v>
      </c>
      <c r="BT169" s="2">
        <v>19.648566572961698</v>
      </c>
      <c r="BU169" s="2">
        <v>19.356364490083099</v>
      </c>
      <c r="BV169" s="2">
        <v>19.719926101522699</v>
      </c>
      <c r="BW169" s="2">
        <v>18.293716088780101</v>
      </c>
      <c r="BX169" s="2">
        <v>19.565042057813901</v>
      </c>
      <c r="BY169" s="2">
        <v>20.6933566300393</v>
      </c>
      <c r="BZ169" s="2">
        <v>19.188683927009901</v>
      </c>
      <c r="CA169" s="2">
        <v>19.487278275081799</v>
      </c>
      <c r="CB169" s="2">
        <v>19.252576208204601</v>
      </c>
      <c r="CC169" s="2">
        <v>18.8038953372848</v>
      </c>
      <c r="CD169" s="2">
        <v>20.708085054443401</v>
      </c>
      <c r="CE169" s="2">
        <v>18.324090779807701</v>
      </c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</row>
    <row r="170" spans="1:97">
      <c r="A170" s="2" t="s">
        <v>1867</v>
      </c>
      <c r="B170" s="2">
        <v>482.32260000000002</v>
      </c>
      <c r="C170" s="2">
        <v>10.081</v>
      </c>
      <c r="D170" s="2" t="s">
        <v>84</v>
      </c>
      <c r="E170" s="2" t="s">
        <v>1868</v>
      </c>
      <c r="F170" s="2" t="s">
        <v>1869</v>
      </c>
      <c r="G170" s="2">
        <v>209975</v>
      </c>
      <c r="H170" s="3" t="str">
        <f>HYPERLINK("https://cloud.oebiotech.com/#/lm/network/209975", "https://cloud.oebiotech.com/#/lm/network/209975")</f>
        <v>https://cloud.oebiotech.com/#/lm/network/209975</v>
      </c>
      <c r="I170" s="2" t="s">
        <v>1870</v>
      </c>
      <c r="J170" s="2"/>
      <c r="K170" s="2"/>
      <c r="L170" s="2">
        <v>317641</v>
      </c>
      <c r="M170" s="2"/>
      <c r="N170" s="2"/>
      <c r="O170" s="2"/>
      <c r="P170" s="2"/>
      <c r="Q170" s="2"/>
      <c r="R170" s="2"/>
      <c r="S170" s="2"/>
      <c r="T170" s="2" t="s">
        <v>1871</v>
      </c>
      <c r="U170" s="2" t="s">
        <v>1872</v>
      </c>
      <c r="V170" s="2" t="s">
        <v>818</v>
      </c>
      <c r="W170" s="2" t="s">
        <v>1873</v>
      </c>
      <c r="X170" s="2" t="s">
        <v>375</v>
      </c>
      <c r="Y170" s="2" t="s">
        <v>820</v>
      </c>
      <c r="Z170" s="2" t="s">
        <v>1874</v>
      </c>
      <c r="AA170" s="2"/>
      <c r="AB170" s="2" t="s">
        <v>101</v>
      </c>
      <c r="AC170" s="2">
        <v>71.47</v>
      </c>
      <c r="AD170" s="2">
        <v>93.42</v>
      </c>
      <c r="AE170" s="2">
        <v>76.06</v>
      </c>
      <c r="AF170" s="2" t="s">
        <v>1875</v>
      </c>
      <c r="AG170" s="2" t="s">
        <v>103</v>
      </c>
      <c r="AH170" s="2" t="s">
        <v>1876</v>
      </c>
      <c r="AI170" s="2">
        <v>-0.41</v>
      </c>
      <c r="AJ170" s="2">
        <v>22.293314572410601</v>
      </c>
      <c r="AK170" s="2">
        <v>21.9922432678426</v>
      </c>
      <c r="AL170" s="2">
        <v>22.258037825023099</v>
      </c>
      <c r="AM170" s="2">
        <v>22.178291379075901</v>
      </c>
      <c r="AN170" s="2">
        <v>22.080596753366901</v>
      </c>
      <c r="AO170" s="2">
        <v>22.431173558193201</v>
      </c>
      <c r="AP170" s="2">
        <v>22.3072338985817</v>
      </c>
      <c r="AQ170" s="2">
        <v>22.320938412236199</v>
      </c>
      <c r="AR170" s="2">
        <v>22.725388978329502</v>
      </c>
      <c r="AS170" s="2">
        <v>21.0235861641432</v>
      </c>
      <c r="AT170" s="2">
        <v>21.8105237311776</v>
      </c>
      <c r="AU170" s="2">
        <v>22.204969564007001</v>
      </c>
      <c r="AV170" s="2">
        <v>22.330510561391399</v>
      </c>
      <c r="AW170" s="2">
        <v>21.6995425216498</v>
      </c>
      <c r="AX170" s="2">
        <v>21.794078583760999</v>
      </c>
      <c r="AY170" s="2">
        <v>21.868738301932101</v>
      </c>
      <c r="AZ170" s="2">
        <v>22.3688652741243</v>
      </c>
      <c r="BA170" s="2">
        <v>21.5286486368604</v>
      </c>
      <c r="BB170" s="2">
        <v>22.332174948791899</v>
      </c>
      <c r="BC170" s="2">
        <v>22.626630788674401</v>
      </c>
      <c r="BD170" s="2">
        <v>21.800997013943501</v>
      </c>
      <c r="BE170" s="2">
        <v>22.8535618602765</v>
      </c>
      <c r="BF170" s="2">
        <v>21.338515470390099</v>
      </c>
      <c r="BG170" s="2">
        <v>22.9791025294886</v>
      </c>
      <c r="BH170" s="2">
        <v>22.072352518250501</v>
      </c>
      <c r="BI170" s="2">
        <v>21.759872497747502</v>
      </c>
      <c r="BJ170" s="2">
        <v>21.560670982213001</v>
      </c>
      <c r="BK170" s="2">
        <v>21.544655544337701</v>
      </c>
      <c r="BL170" s="2">
        <v>21.899931318873399</v>
      </c>
      <c r="BM170" s="2">
        <v>22.1384192408145</v>
      </c>
      <c r="BN170" s="2">
        <v>21.711567663716899</v>
      </c>
      <c r="BO170" s="2">
        <v>22.464504687274101</v>
      </c>
      <c r="BP170" s="2">
        <v>22.557150558343402</v>
      </c>
      <c r="BQ170" s="2">
        <v>21.7782170040248</v>
      </c>
      <c r="BR170" s="2">
        <v>22.4845573599913</v>
      </c>
      <c r="BS170" s="2">
        <v>22.784939763578301</v>
      </c>
      <c r="BT170" s="2">
        <v>21.9111952978913</v>
      </c>
      <c r="BU170" s="2">
        <v>22.472533434458001</v>
      </c>
      <c r="BV170" s="2">
        <v>22.085272394457402</v>
      </c>
      <c r="BW170" s="2">
        <v>20.912971097291301</v>
      </c>
      <c r="BX170" s="2">
        <v>21.5863988312415</v>
      </c>
      <c r="BY170" s="2">
        <v>23.393803950840802</v>
      </c>
      <c r="BZ170" s="2">
        <v>22.215491319227699</v>
      </c>
      <c r="CA170" s="2">
        <v>22.529318816335401</v>
      </c>
      <c r="CB170" s="2">
        <v>21.837629615360001</v>
      </c>
      <c r="CC170" s="2">
        <v>21.096363817630898</v>
      </c>
      <c r="CD170" s="2">
        <v>21.965608963315699</v>
      </c>
      <c r="CE170" s="2">
        <v>21.715797434021699</v>
      </c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</row>
    <row r="171" spans="1:97">
      <c r="A171" s="2" t="s">
        <v>1877</v>
      </c>
      <c r="B171" s="2">
        <v>548.37040000000002</v>
      </c>
      <c r="C171" s="2">
        <v>11.114000000000001</v>
      </c>
      <c r="D171" s="2" t="s">
        <v>84</v>
      </c>
      <c r="E171" s="2" t="s">
        <v>1878</v>
      </c>
      <c r="F171" s="2" t="s">
        <v>1879</v>
      </c>
      <c r="G171" s="2">
        <v>19882</v>
      </c>
      <c r="H171" s="3" t="str">
        <f>HYPERLINK("https://cloud.oebiotech.com/#/lm/network/19882", "https://cloud.oebiotech.com/#/lm/network/19882")</f>
        <v>https://cloud.oebiotech.com/#/lm/network/19882</v>
      </c>
      <c r="I171" s="2" t="s">
        <v>1880</v>
      </c>
      <c r="J171" s="2">
        <v>61702</v>
      </c>
      <c r="K171" s="2" t="s">
        <v>1881</v>
      </c>
      <c r="L171" s="2">
        <v>52924053</v>
      </c>
      <c r="M171" s="2" t="s">
        <v>264</v>
      </c>
      <c r="N171" s="2" t="s">
        <v>265</v>
      </c>
      <c r="O171" s="2" t="s">
        <v>266</v>
      </c>
      <c r="P171" s="2">
        <v>83055</v>
      </c>
      <c r="Q171" s="2"/>
      <c r="R171" s="2"/>
      <c r="S171" s="2"/>
      <c r="T171" s="2" t="s">
        <v>1882</v>
      </c>
      <c r="U171" s="2" t="s">
        <v>1883</v>
      </c>
      <c r="V171" s="2" t="s">
        <v>95</v>
      </c>
      <c r="W171" s="2" t="s">
        <v>202</v>
      </c>
      <c r="X171" s="2" t="s">
        <v>203</v>
      </c>
      <c r="Y171" s="2" t="s">
        <v>98</v>
      </c>
      <c r="Z171" s="2" t="s">
        <v>204</v>
      </c>
      <c r="AA171" s="2" t="s">
        <v>205</v>
      </c>
      <c r="AB171" s="2" t="s">
        <v>101</v>
      </c>
      <c r="AC171" s="2">
        <v>71.459999999999994</v>
      </c>
      <c r="AD171" s="2">
        <v>98.54</v>
      </c>
      <c r="AE171" s="2">
        <v>82.67</v>
      </c>
      <c r="AF171" s="2" t="s">
        <v>1884</v>
      </c>
      <c r="AG171" s="2" t="s">
        <v>103</v>
      </c>
      <c r="AH171" s="2" t="s">
        <v>1885</v>
      </c>
      <c r="AI171" s="2">
        <v>1.28</v>
      </c>
      <c r="AJ171" s="2">
        <v>24.784788501541001</v>
      </c>
      <c r="AK171" s="2">
        <v>24.884898866923301</v>
      </c>
      <c r="AL171" s="2">
        <v>24.873708125099199</v>
      </c>
      <c r="AM171" s="2">
        <v>24.880576406841001</v>
      </c>
      <c r="AN171" s="2">
        <v>24.950073998015</v>
      </c>
      <c r="AO171" s="2">
        <v>24.877466100750102</v>
      </c>
      <c r="AP171" s="2">
        <v>24.936336451258398</v>
      </c>
      <c r="AQ171" s="2">
        <v>24.989893252575801</v>
      </c>
      <c r="AR171" s="2">
        <v>25.185688441936399</v>
      </c>
      <c r="AS171" s="2">
        <v>23.6686130316691</v>
      </c>
      <c r="AT171" s="2">
        <v>24.311436880116801</v>
      </c>
      <c r="AU171" s="2">
        <v>24.6443059547295</v>
      </c>
      <c r="AV171" s="2">
        <v>24.8703677220152</v>
      </c>
      <c r="AW171" s="2">
        <v>24.048980967330898</v>
      </c>
      <c r="AX171" s="2">
        <v>24.774790936132</v>
      </c>
      <c r="AY171" s="2">
        <v>24.198264760755201</v>
      </c>
      <c r="AZ171" s="2">
        <v>25.0444619277099</v>
      </c>
      <c r="BA171" s="2">
        <v>23.4750872919412</v>
      </c>
      <c r="BB171" s="2">
        <v>24.490589181836299</v>
      </c>
      <c r="BC171" s="2">
        <v>24.8337750851693</v>
      </c>
      <c r="BD171" s="2">
        <v>24.536530039382601</v>
      </c>
      <c r="BE171" s="2">
        <v>25.1295111434269</v>
      </c>
      <c r="BF171" s="2">
        <v>24.1590477656244</v>
      </c>
      <c r="BG171" s="2">
        <v>25.350479212735799</v>
      </c>
      <c r="BH171" s="2">
        <v>24.879255823627801</v>
      </c>
      <c r="BI171" s="2">
        <v>25.251306291441999</v>
      </c>
      <c r="BJ171" s="2">
        <v>24.558274089960499</v>
      </c>
      <c r="BK171" s="2">
        <v>24.1387884489891</v>
      </c>
      <c r="BL171" s="2">
        <v>25.2003665384428</v>
      </c>
      <c r="BM171" s="2">
        <v>24.8587769048201</v>
      </c>
      <c r="BN171" s="2">
        <v>24.609158712510499</v>
      </c>
      <c r="BO171" s="2">
        <v>24.695792622376199</v>
      </c>
      <c r="BP171" s="2">
        <v>25.045132643939102</v>
      </c>
      <c r="BQ171" s="2">
        <v>24.638109341698701</v>
      </c>
      <c r="BR171" s="2">
        <v>24.621857626415899</v>
      </c>
      <c r="BS171" s="2">
        <v>24.940685669192298</v>
      </c>
      <c r="BT171" s="2">
        <v>24.638954531693798</v>
      </c>
      <c r="BU171" s="2">
        <v>24.275659140045398</v>
      </c>
      <c r="BV171" s="2">
        <v>24.9517937460563</v>
      </c>
      <c r="BW171" s="2">
        <v>23.811825285992501</v>
      </c>
      <c r="BX171" s="2">
        <v>25.143504424046299</v>
      </c>
      <c r="BY171" s="2">
        <v>25.813537171074302</v>
      </c>
      <c r="BZ171" s="2">
        <v>24.173885036608301</v>
      </c>
      <c r="CA171" s="2">
        <v>25.085148530324599</v>
      </c>
      <c r="CB171" s="2">
        <v>24.795072721013799</v>
      </c>
      <c r="CC171" s="2">
        <v>24.5105091090253</v>
      </c>
      <c r="CD171" s="2">
        <v>25.107347586451699</v>
      </c>
      <c r="CE171" s="2">
        <v>24.031327183948001</v>
      </c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</row>
    <row r="172" spans="1:97">
      <c r="A172" s="2" t="s">
        <v>1886</v>
      </c>
      <c r="B172" s="2">
        <v>438.29721999999998</v>
      </c>
      <c r="C172" s="2">
        <v>10.882</v>
      </c>
      <c r="D172" s="2" t="s">
        <v>84</v>
      </c>
      <c r="E172" s="2" t="s">
        <v>1887</v>
      </c>
      <c r="F172" s="2" t="s">
        <v>1888</v>
      </c>
      <c r="G172" s="2">
        <v>21270</v>
      </c>
      <c r="H172" s="3" t="str">
        <f>HYPERLINK("https://cloud.oebiotech.com/#/lm/network/21270", "https://cloud.oebiotech.com/#/lm/network/21270")</f>
        <v>https://cloud.oebiotech.com/#/lm/network/21270</v>
      </c>
      <c r="I172" s="2" t="s">
        <v>1889</v>
      </c>
      <c r="J172" s="2">
        <v>46719</v>
      </c>
      <c r="K172" s="2" t="s">
        <v>1890</v>
      </c>
      <c r="L172" s="2">
        <v>42607469</v>
      </c>
      <c r="M172" s="2"/>
      <c r="N172" s="2"/>
      <c r="O172" s="2"/>
      <c r="P172" s="2"/>
      <c r="Q172" s="2"/>
      <c r="R172" s="2"/>
      <c r="S172" s="2" t="s">
        <v>1891</v>
      </c>
      <c r="T172" s="2" t="s">
        <v>1892</v>
      </c>
      <c r="U172" s="2" t="s">
        <v>1893</v>
      </c>
      <c r="V172" s="2" t="s">
        <v>95</v>
      </c>
      <c r="W172" s="2" t="s">
        <v>202</v>
      </c>
      <c r="X172" s="2" t="s">
        <v>327</v>
      </c>
      <c r="Y172" s="2" t="s">
        <v>98</v>
      </c>
      <c r="Z172" s="2" t="s">
        <v>204</v>
      </c>
      <c r="AA172" s="2" t="s">
        <v>328</v>
      </c>
      <c r="AB172" s="2" t="s">
        <v>101</v>
      </c>
      <c r="AC172" s="2">
        <v>71.459999999999994</v>
      </c>
      <c r="AD172" s="2">
        <v>97.47</v>
      </c>
      <c r="AE172" s="2">
        <v>90.35</v>
      </c>
      <c r="AF172" s="2" t="s">
        <v>1894</v>
      </c>
      <c r="AG172" s="2" t="s">
        <v>103</v>
      </c>
      <c r="AH172" s="2" t="s">
        <v>1895</v>
      </c>
      <c r="AI172" s="2">
        <v>1.6</v>
      </c>
      <c r="AJ172" s="2">
        <v>24.484213479459498</v>
      </c>
      <c r="AK172" s="2">
        <v>24.5623511612045</v>
      </c>
      <c r="AL172" s="2">
        <v>24.562950430833101</v>
      </c>
      <c r="AM172" s="2">
        <v>24.575355024460201</v>
      </c>
      <c r="AN172" s="2">
        <v>24.7099137914933</v>
      </c>
      <c r="AO172" s="2">
        <v>24.788653212246501</v>
      </c>
      <c r="AP172" s="2">
        <v>24.6947851585638</v>
      </c>
      <c r="AQ172" s="2">
        <v>24.740243476795701</v>
      </c>
      <c r="AR172" s="2">
        <v>24.496110367178701</v>
      </c>
      <c r="AS172" s="2">
        <v>23.3384621821214</v>
      </c>
      <c r="AT172" s="2">
        <v>24.0802812454586</v>
      </c>
      <c r="AU172" s="2">
        <v>24.0387468346151</v>
      </c>
      <c r="AV172" s="2">
        <v>24.4430119615058</v>
      </c>
      <c r="AW172" s="2">
        <v>23.955678035233198</v>
      </c>
      <c r="AX172" s="2">
        <v>24.131358937882499</v>
      </c>
      <c r="AY172" s="2">
        <v>24.794012100940801</v>
      </c>
      <c r="AZ172" s="2">
        <v>24.537973554003901</v>
      </c>
      <c r="BA172" s="2">
        <v>23.596321399364399</v>
      </c>
      <c r="BB172" s="2">
        <v>24.536491574922699</v>
      </c>
      <c r="BC172" s="2">
        <v>24.377633924651501</v>
      </c>
      <c r="BD172" s="2">
        <v>24.218648389589799</v>
      </c>
      <c r="BE172" s="2">
        <v>24.838528603540201</v>
      </c>
      <c r="BF172" s="2">
        <v>23.990796577487</v>
      </c>
      <c r="BG172" s="2">
        <v>24.528760839648999</v>
      </c>
      <c r="BH172" s="2">
        <v>25.520492385168399</v>
      </c>
      <c r="BI172" s="2">
        <v>24.409791992812799</v>
      </c>
      <c r="BJ172" s="2">
        <v>24.191707436261598</v>
      </c>
      <c r="BK172" s="2">
        <v>24.5547807703792</v>
      </c>
      <c r="BL172" s="2">
        <v>24.3955073179519</v>
      </c>
      <c r="BM172" s="2">
        <v>24.3160443359628</v>
      </c>
      <c r="BN172" s="2">
        <v>24.663601803757501</v>
      </c>
      <c r="BO172" s="2">
        <v>24.1526897500361</v>
      </c>
      <c r="BP172" s="2">
        <v>24.3620059850739</v>
      </c>
      <c r="BQ172" s="2">
        <v>24.4439416556468</v>
      </c>
      <c r="BR172" s="2">
        <v>24.299168701940602</v>
      </c>
      <c r="BS172" s="2">
        <v>24.5270556891046</v>
      </c>
      <c r="BT172" s="2">
        <v>24.423942281383901</v>
      </c>
      <c r="BU172" s="2">
        <v>24.2856579299911</v>
      </c>
      <c r="BV172" s="2">
        <v>24.439070511863601</v>
      </c>
      <c r="BW172" s="2">
        <v>24.038444443163201</v>
      </c>
      <c r="BX172" s="2">
        <v>24.3334190430955</v>
      </c>
      <c r="BY172" s="2">
        <v>25.164771504129</v>
      </c>
      <c r="BZ172" s="2">
        <v>23.687941061641599</v>
      </c>
      <c r="CA172" s="2">
        <v>24.361995160608799</v>
      </c>
      <c r="CB172" s="2">
        <v>24.465281608070899</v>
      </c>
      <c r="CC172" s="2">
        <v>23.877187492487</v>
      </c>
      <c r="CD172" s="2">
        <v>24.287160246517502</v>
      </c>
      <c r="CE172" s="2">
        <v>24.426047718990102</v>
      </c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</row>
    <row r="173" spans="1:97">
      <c r="A173" s="2" t="s">
        <v>1896</v>
      </c>
      <c r="B173" s="2">
        <v>111.00843999999999</v>
      </c>
      <c r="C173" s="2">
        <v>0.80600000000000005</v>
      </c>
      <c r="D173" s="2" t="s">
        <v>146</v>
      </c>
      <c r="E173" s="2" t="s">
        <v>1897</v>
      </c>
      <c r="F173" s="2" t="s">
        <v>1898</v>
      </c>
      <c r="G173" s="2">
        <v>82274</v>
      </c>
      <c r="H173" s="3" t="str">
        <f>HYPERLINK("https://cloud.oebiotech.com/#/lm/network/82274", "https://cloud.oebiotech.com/#/lm/network/82274")</f>
        <v>https://cloud.oebiotech.com/#/lm/network/82274</v>
      </c>
      <c r="I173" s="2" t="s">
        <v>1899</v>
      </c>
      <c r="J173" s="2"/>
      <c r="K173" s="2"/>
      <c r="L173" s="2">
        <v>523</v>
      </c>
      <c r="M173" s="2" t="s">
        <v>1900</v>
      </c>
      <c r="N173" s="2" t="s">
        <v>1901</v>
      </c>
      <c r="O173" s="2" t="s">
        <v>1902</v>
      </c>
      <c r="P173" s="2">
        <v>17415</v>
      </c>
      <c r="Q173" s="2"/>
      <c r="R173" s="2"/>
      <c r="S173" s="2"/>
      <c r="T173" s="2" t="s">
        <v>1903</v>
      </c>
      <c r="U173" s="2" t="s">
        <v>1904</v>
      </c>
      <c r="V173" s="2" t="s">
        <v>115</v>
      </c>
      <c r="W173" s="2" t="s">
        <v>403</v>
      </c>
      <c r="X173" s="2" t="s">
        <v>1905</v>
      </c>
      <c r="Y173" s="2" t="s">
        <v>118</v>
      </c>
      <c r="Z173" s="2" t="s">
        <v>405</v>
      </c>
      <c r="AA173" s="2" t="s">
        <v>1906</v>
      </c>
      <c r="AB173" s="2" t="s">
        <v>101</v>
      </c>
      <c r="AC173" s="2">
        <v>71.41</v>
      </c>
      <c r="AD173" s="2">
        <v>99.33</v>
      </c>
      <c r="AE173" s="2">
        <v>75.92</v>
      </c>
      <c r="AF173" s="2" t="s">
        <v>1907</v>
      </c>
      <c r="AG173" s="2" t="s">
        <v>993</v>
      </c>
      <c r="AH173" s="2" t="s">
        <v>1908</v>
      </c>
      <c r="AI173" s="2">
        <v>-1.98</v>
      </c>
      <c r="AJ173" s="2">
        <v>25.878859480542399</v>
      </c>
      <c r="AK173" s="2">
        <v>25.938461621257201</v>
      </c>
      <c r="AL173" s="2">
        <v>25.9673285335165</v>
      </c>
      <c r="AM173" s="2">
        <v>26.142119999009001</v>
      </c>
      <c r="AN173" s="2">
        <v>25.902812621805801</v>
      </c>
      <c r="AO173" s="2">
        <v>25.817071234460599</v>
      </c>
      <c r="AP173" s="2">
        <v>25.929927524718899</v>
      </c>
      <c r="AQ173" s="2">
        <v>26.043115970942502</v>
      </c>
      <c r="AR173" s="2">
        <v>25.682663542287099</v>
      </c>
      <c r="AS173" s="2">
        <v>25.553669932274602</v>
      </c>
      <c r="AT173" s="2">
        <v>25.652310751999899</v>
      </c>
      <c r="AU173" s="2">
        <v>25.478901265125501</v>
      </c>
      <c r="AV173" s="2">
        <v>25.8293714595724</v>
      </c>
      <c r="AW173" s="2">
        <v>26.018720209544899</v>
      </c>
      <c r="AX173" s="2">
        <v>25.798857202613299</v>
      </c>
      <c r="AY173" s="2">
        <v>26.045963497702498</v>
      </c>
      <c r="AZ173" s="2">
        <v>25.746699799523501</v>
      </c>
      <c r="BA173" s="2">
        <v>25.785989729075698</v>
      </c>
      <c r="BB173" s="2">
        <v>25.823980892319401</v>
      </c>
      <c r="BC173" s="2">
        <v>25.8912927446206</v>
      </c>
      <c r="BD173" s="2">
        <v>26.139635152792799</v>
      </c>
      <c r="BE173" s="2">
        <v>25.737564237262202</v>
      </c>
      <c r="BF173" s="2">
        <v>25.920870123971</v>
      </c>
      <c r="BG173" s="2">
        <v>25.251924928786199</v>
      </c>
      <c r="BH173" s="2">
        <v>25.7474833028528</v>
      </c>
      <c r="BI173" s="2">
        <v>26.028926817018402</v>
      </c>
      <c r="BJ173" s="2">
        <v>26.110327678837599</v>
      </c>
      <c r="BK173" s="2">
        <v>25.955889763295399</v>
      </c>
      <c r="BL173" s="2">
        <v>25.755994925306499</v>
      </c>
      <c r="BM173" s="2">
        <v>26.424706132937899</v>
      </c>
      <c r="BN173" s="2">
        <v>25.957204733738099</v>
      </c>
      <c r="BO173" s="2">
        <v>25.3123320286577</v>
      </c>
      <c r="BP173" s="2">
        <v>25.5232637937719</v>
      </c>
      <c r="BQ173" s="2">
        <v>26.0765756430051</v>
      </c>
      <c r="BR173" s="2">
        <v>25.486673792532201</v>
      </c>
      <c r="BS173" s="2">
        <v>25.718410679133601</v>
      </c>
      <c r="BT173" s="2">
        <v>25.571991291894498</v>
      </c>
      <c r="BU173" s="2">
        <v>25.5781215733431</v>
      </c>
      <c r="BV173" s="2">
        <v>25.718864260745701</v>
      </c>
      <c r="BW173" s="2">
        <v>25.794236231156599</v>
      </c>
      <c r="BX173" s="2">
        <v>26.036568004473601</v>
      </c>
      <c r="BY173" s="2">
        <v>25.4250953821896</v>
      </c>
      <c r="BZ173" s="2">
        <v>25.849425370663798</v>
      </c>
      <c r="CA173" s="2">
        <v>25.354665208887699</v>
      </c>
      <c r="CB173" s="2">
        <v>25.482532476052398</v>
      </c>
      <c r="CC173" s="2">
        <v>25.884244996673399</v>
      </c>
      <c r="CD173" s="2">
        <v>25.3501726219747</v>
      </c>
      <c r="CE173" s="2">
        <v>25.760686828464699</v>
      </c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</row>
    <row r="174" spans="1:97">
      <c r="A174" s="2" t="s">
        <v>1909</v>
      </c>
      <c r="B174" s="2">
        <v>504.30687999999998</v>
      </c>
      <c r="C174" s="2">
        <v>10.645</v>
      </c>
      <c r="D174" s="2" t="s">
        <v>84</v>
      </c>
      <c r="E174" s="2" t="s">
        <v>1910</v>
      </c>
      <c r="F174" s="2" t="s">
        <v>1911</v>
      </c>
      <c r="G174" s="2">
        <v>21211</v>
      </c>
      <c r="H174" s="3" t="str">
        <f>HYPERLINK("https://cloud.oebiotech.com/#/lm/network/21211", "https://cloud.oebiotech.com/#/lm/network/21211")</f>
        <v>https://cloud.oebiotech.com/#/lm/network/21211</v>
      </c>
      <c r="I174" s="2" t="s">
        <v>1912</v>
      </c>
      <c r="J174" s="2">
        <v>62274</v>
      </c>
      <c r="K174" s="2" t="s">
        <v>1913</v>
      </c>
      <c r="L174" s="2">
        <v>53480935</v>
      </c>
      <c r="M174" s="2"/>
      <c r="N174" s="2"/>
      <c r="O174" s="2"/>
      <c r="P174" s="2"/>
      <c r="Q174" s="2"/>
      <c r="R174" s="2"/>
      <c r="S174" s="2"/>
      <c r="T174" s="2" t="s">
        <v>1914</v>
      </c>
      <c r="U174" s="2" t="s">
        <v>1915</v>
      </c>
      <c r="V174" s="2" t="s">
        <v>95</v>
      </c>
      <c r="W174" s="2" t="s">
        <v>202</v>
      </c>
      <c r="X174" s="2" t="s">
        <v>327</v>
      </c>
      <c r="Y174" s="2" t="s">
        <v>98</v>
      </c>
      <c r="Z174" s="2" t="s">
        <v>204</v>
      </c>
      <c r="AA174" s="2" t="s">
        <v>328</v>
      </c>
      <c r="AB174" s="2" t="s">
        <v>101</v>
      </c>
      <c r="AC174" s="2">
        <v>71.38</v>
      </c>
      <c r="AD174" s="2">
        <v>93.37</v>
      </c>
      <c r="AE174" s="2">
        <v>89.83</v>
      </c>
      <c r="AF174" s="2" t="s">
        <v>1916</v>
      </c>
      <c r="AG174" s="2" t="s">
        <v>103</v>
      </c>
      <c r="AH174" s="2" t="s">
        <v>1917</v>
      </c>
      <c r="AI174" s="2">
        <v>3.17</v>
      </c>
      <c r="AJ174" s="2">
        <v>22.830338341228899</v>
      </c>
      <c r="AK174" s="2">
        <v>22.906707677024102</v>
      </c>
      <c r="AL174" s="2">
        <v>22.8846097140379</v>
      </c>
      <c r="AM174" s="2">
        <v>22.8979356219971</v>
      </c>
      <c r="AN174" s="2">
        <v>22.846585216931501</v>
      </c>
      <c r="AO174" s="2">
        <v>22.952274655554</v>
      </c>
      <c r="AP174" s="2">
        <v>22.8741095130394</v>
      </c>
      <c r="AQ174" s="2">
        <v>22.873241134008101</v>
      </c>
      <c r="AR174" s="2">
        <v>23.732101379189999</v>
      </c>
      <c r="AS174" s="2">
        <v>20.921432034684202</v>
      </c>
      <c r="AT174" s="2">
        <v>22.744648193463799</v>
      </c>
      <c r="AU174" s="2">
        <v>23.357343357964801</v>
      </c>
      <c r="AV174" s="2">
        <v>22.8417481240899</v>
      </c>
      <c r="AW174" s="2">
        <v>23.211400596145499</v>
      </c>
      <c r="AX174" s="2">
        <v>21.829368113869101</v>
      </c>
      <c r="AY174" s="2">
        <v>22.169289638666601</v>
      </c>
      <c r="AZ174" s="2">
        <v>22.7414901356589</v>
      </c>
      <c r="BA174" s="2">
        <v>22.1355601999139</v>
      </c>
      <c r="BB174" s="2">
        <v>22.050671115216101</v>
      </c>
      <c r="BC174" s="2">
        <v>21.146933807736001</v>
      </c>
      <c r="BD174" s="2">
        <v>22.763540601786701</v>
      </c>
      <c r="BE174" s="2">
        <v>20.8326643359662</v>
      </c>
      <c r="BF174" s="2">
        <v>22.288544295725099</v>
      </c>
      <c r="BG174" s="2">
        <v>22.830273015250999</v>
      </c>
      <c r="BH174" s="2">
        <v>22.5556410333363</v>
      </c>
      <c r="BI174" s="2">
        <v>24.005618253410599</v>
      </c>
      <c r="BJ174" s="2">
        <v>21.903403798218999</v>
      </c>
      <c r="BK174" s="2">
        <v>22.753997185946599</v>
      </c>
      <c r="BL174" s="2">
        <v>22.602286717264199</v>
      </c>
      <c r="BM174" s="2">
        <v>21.7257016792508</v>
      </c>
      <c r="BN174" s="2">
        <v>23.358312684821499</v>
      </c>
      <c r="BO174" s="2">
        <v>23.159036577581698</v>
      </c>
      <c r="BP174" s="2">
        <v>22.676848645905999</v>
      </c>
      <c r="BQ174" s="2">
        <v>22.946524364464601</v>
      </c>
      <c r="BR174" s="2">
        <v>23.307807561292499</v>
      </c>
      <c r="BS174" s="2">
        <v>22.492280332749299</v>
      </c>
      <c r="BT174" s="2">
        <v>21.615523199154801</v>
      </c>
      <c r="BU174" s="2">
        <v>21.786569689876899</v>
      </c>
      <c r="BV174" s="2">
        <v>22.701846396333</v>
      </c>
      <c r="BW174" s="2">
        <v>21.747776522268101</v>
      </c>
      <c r="BX174" s="2">
        <v>23.229748998053001</v>
      </c>
      <c r="BY174" s="2">
        <v>22.324620441926399</v>
      </c>
      <c r="BZ174" s="2">
        <v>22.575573009748901</v>
      </c>
      <c r="CA174" s="2">
        <v>22.7845055504919</v>
      </c>
      <c r="CB174" s="2">
        <v>22.7428935021154</v>
      </c>
      <c r="CC174" s="2">
        <v>22.638030885359299</v>
      </c>
      <c r="CD174" s="2">
        <v>22.630298711190399</v>
      </c>
      <c r="CE174" s="2">
        <v>22.2443677580324</v>
      </c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</row>
    <row r="175" spans="1:97">
      <c r="A175" s="2" t="s">
        <v>1918</v>
      </c>
      <c r="B175" s="2">
        <v>295.22714000000002</v>
      </c>
      <c r="C175" s="2">
        <v>10.766</v>
      </c>
      <c r="D175" s="2" t="s">
        <v>146</v>
      </c>
      <c r="E175" s="2" t="s">
        <v>1919</v>
      </c>
      <c r="F175" s="2" t="s">
        <v>1920</v>
      </c>
      <c r="G175" s="2">
        <v>2963</v>
      </c>
      <c r="H175" s="3" t="str">
        <f>HYPERLINK("https://cloud.oebiotech.com/#/lm/network/2963", "https://cloud.oebiotech.com/#/lm/network/2963")</f>
        <v>https://cloud.oebiotech.com/#/lm/network/2963</v>
      </c>
      <c r="I175" s="2" t="s">
        <v>1921</v>
      </c>
      <c r="J175" s="2">
        <v>36010</v>
      </c>
      <c r="K175" s="2" t="s">
        <v>1922</v>
      </c>
      <c r="L175" s="2">
        <v>16061045</v>
      </c>
      <c r="M175" s="2" t="s">
        <v>1923</v>
      </c>
      <c r="N175" s="2"/>
      <c r="O175" s="2"/>
      <c r="P175" s="2">
        <v>138258</v>
      </c>
      <c r="Q175" s="2"/>
      <c r="R175" s="2"/>
      <c r="S175" s="2" t="s">
        <v>1924</v>
      </c>
      <c r="T175" s="2" t="s">
        <v>1925</v>
      </c>
      <c r="U175" s="2" t="s">
        <v>1926</v>
      </c>
      <c r="V175" s="2" t="s">
        <v>95</v>
      </c>
      <c r="W175" s="2" t="s">
        <v>96</v>
      </c>
      <c r="X175" s="2" t="s">
        <v>141</v>
      </c>
      <c r="Y175" s="2" t="s">
        <v>98</v>
      </c>
      <c r="Z175" s="2" t="s">
        <v>99</v>
      </c>
      <c r="AA175" s="2" t="s">
        <v>142</v>
      </c>
      <c r="AB175" s="2" t="s">
        <v>101</v>
      </c>
      <c r="AC175" s="2">
        <v>71.37</v>
      </c>
      <c r="AD175" s="2">
        <v>88.55</v>
      </c>
      <c r="AE175" s="2">
        <v>79.02</v>
      </c>
      <c r="AF175" s="2" t="s">
        <v>1927</v>
      </c>
      <c r="AG175" s="2" t="s">
        <v>993</v>
      </c>
      <c r="AH175" s="2" t="s">
        <v>1431</v>
      </c>
      <c r="AI175" s="2">
        <v>0.68</v>
      </c>
      <c r="AJ175" s="2">
        <v>20.586812031439401</v>
      </c>
      <c r="AK175" s="2">
        <v>20.281759898681798</v>
      </c>
      <c r="AL175" s="2">
        <v>20.332677933409101</v>
      </c>
      <c r="AM175" s="2">
        <v>20.402880286064502</v>
      </c>
      <c r="AN175" s="2">
        <v>19.431990149336901</v>
      </c>
      <c r="AO175" s="2">
        <v>19.462504728902299</v>
      </c>
      <c r="AP175" s="2">
        <v>20.303963824327099</v>
      </c>
      <c r="AQ175" s="2">
        <v>20.422292808335399</v>
      </c>
      <c r="AR175" s="2">
        <v>19.457989736260799</v>
      </c>
      <c r="AS175" s="2">
        <v>18.913605116161001</v>
      </c>
      <c r="AT175" s="2">
        <v>18.991847789643199</v>
      </c>
      <c r="AU175" s="2">
        <v>20.700796813645301</v>
      </c>
      <c r="AV175" s="2">
        <v>20.0895083999342</v>
      </c>
      <c r="AW175" s="2">
        <v>21.260381715921501</v>
      </c>
      <c r="AX175" s="2">
        <v>20.5199767916077</v>
      </c>
      <c r="AY175" s="2">
        <v>20.391419379480201</v>
      </c>
      <c r="AZ175" s="2">
        <v>18.967642529703401</v>
      </c>
      <c r="BA175" s="2">
        <v>19.7180377342677</v>
      </c>
      <c r="BB175" s="2">
        <v>19.928865125267599</v>
      </c>
      <c r="BC175" s="2">
        <v>20.5568391148167</v>
      </c>
      <c r="BD175" s="2">
        <v>18.900148865953</v>
      </c>
      <c r="BE175" s="2">
        <v>19.948025851061701</v>
      </c>
      <c r="BF175" s="2">
        <v>19.323962713959201</v>
      </c>
      <c r="BG175" s="2">
        <v>20.125689645438001</v>
      </c>
      <c r="BH175" s="2">
        <v>19.170364598553999</v>
      </c>
      <c r="BI175" s="2">
        <v>20.495497073801001</v>
      </c>
      <c r="BJ175" s="2">
        <v>19.491383020674999</v>
      </c>
      <c r="BK175" s="2">
        <v>20.449687044143399</v>
      </c>
      <c r="BL175" s="2">
        <v>22.006707097535301</v>
      </c>
      <c r="BM175" s="2">
        <v>20.1351862895072</v>
      </c>
      <c r="BN175" s="2">
        <v>19.9300125774134</v>
      </c>
      <c r="BO175" s="2">
        <v>19.4911458991388</v>
      </c>
      <c r="BP175" s="2">
        <v>20.0779599639522</v>
      </c>
      <c r="BQ175" s="2">
        <v>19.0344103596954</v>
      </c>
      <c r="BR175" s="2">
        <v>21.340646176463299</v>
      </c>
      <c r="BS175" s="2">
        <v>20.444153088609099</v>
      </c>
      <c r="BT175" s="2">
        <v>19.763701971507999</v>
      </c>
      <c r="BU175" s="2">
        <v>20.1241511682016</v>
      </c>
      <c r="BV175" s="2">
        <v>19.234145875398699</v>
      </c>
      <c r="BW175" s="2">
        <v>19.507537089860499</v>
      </c>
      <c r="BX175" s="2">
        <v>20.141077707685501</v>
      </c>
      <c r="BY175" s="2">
        <v>21.861225624955701</v>
      </c>
      <c r="BZ175" s="2">
        <v>20.5170712966517</v>
      </c>
      <c r="CA175" s="2">
        <v>19.844142760678601</v>
      </c>
      <c r="CB175" s="2">
        <v>20.591104278145401</v>
      </c>
      <c r="CC175" s="2">
        <v>20.496294035585599</v>
      </c>
      <c r="CD175" s="2">
        <v>20.399560612093701</v>
      </c>
      <c r="CE175" s="2">
        <v>20.459033294361401</v>
      </c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</row>
    <row r="176" spans="1:97">
      <c r="A176" s="2" t="s">
        <v>1928</v>
      </c>
      <c r="B176" s="2">
        <v>528.30712000000005</v>
      </c>
      <c r="C176" s="2">
        <v>10.741</v>
      </c>
      <c r="D176" s="2" t="s">
        <v>84</v>
      </c>
      <c r="E176" s="2" t="s">
        <v>1929</v>
      </c>
      <c r="F176" s="2" t="s">
        <v>1930</v>
      </c>
      <c r="G176" s="2">
        <v>21231</v>
      </c>
      <c r="H176" s="3" t="str">
        <f>HYPERLINK("https://cloud.oebiotech.com/#/lm/network/21231", "https://cloud.oebiotech.com/#/lm/network/21231")</f>
        <v>https://cloud.oebiotech.com/#/lm/network/21231</v>
      </c>
      <c r="I176" s="2" t="s">
        <v>1931</v>
      </c>
      <c r="J176" s="2">
        <v>62309</v>
      </c>
      <c r="K176" s="2" t="s">
        <v>1932</v>
      </c>
      <c r="L176" s="2">
        <v>53480955</v>
      </c>
      <c r="M176" s="2"/>
      <c r="N176" s="2"/>
      <c r="O176" s="2"/>
      <c r="P176" s="2"/>
      <c r="Q176" s="2"/>
      <c r="R176" s="2"/>
      <c r="S176" s="2"/>
      <c r="T176" s="2" t="s">
        <v>1933</v>
      </c>
      <c r="U176" s="2" t="s">
        <v>1934</v>
      </c>
      <c r="V176" s="2" t="s">
        <v>95</v>
      </c>
      <c r="W176" s="2" t="s">
        <v>202</v>
      </c>
      <c r="X176" s="2" t="s">
        <v>327</v>
      </c>
      <c r="Y176" s="2" t="s">
        <v>98</v>
      </c>
      <c r="Z176" s="2" t="s">
        <v>204</v>
      </c>
      <c r="AA176" s="2" t="s">
        <v>328</v>
      </c>
      <c r="AB176" s="2" t="s">
        <v>101</v>
      </c>
      <c r="AC176" s="2">
        <v>71.36</v>
      </c>
      <c r="AD176" s="2">
        <v>95.08</v>
      </c>
      <c r="AE176" s="2">
        <v>89.16</v>
      </c>
      <c r="AF176" s="2" t="s">
        <v>1935</v>
      </c>
      <c r="AG176" s="2" t="s">
        <v>103</v>
      </c>
      <c r="AH176" s="2" t="s">
        <v>1936</v>
      </c>
      <c r="AI176" s="2">
        <v>2.65</v>
      </c>
      <c r="AJ176" s="2">
        <v>23.054289038741899</v>
      </c>
      <c r="AK176" s="2">
        <v>22.957513381030701</v>
      </c>
      <c r="AL176" s="2">
        <v>22.899656323510499</v>
      </c>
      <c r="AM176" s="2">
        <v>22.926248402603498</v>
      </c>
      <c r="AN176" s="2">
        <v>23.135456416610801</v>
      </c>
      <c r="AO176" s="2">
        <v>22.859898119167799</v>
      </c>
      <c r="AP176" s="2">
        <v>22.846079451883501</v>
      </c>
      <c r="AQ176" s="2">
        <v>22.9276442947316</v>
      </c>
      <c r="AR176" s="2">
        <v>23.505359332742</v>
      </c>
      <c r="AS176" s="2">
        <v>21.252387844468899</v>
      </c>
      <c r="AT176" s="2">
        <v>22.933584585153</v>
      </c>
      <c r="AU176" s="2">
        <v>22.846425976101401</v>
      </c>
      <c r="AV176" s="2">
        <v>22.030505132674101</v>
      </c>
      <c r="AW176" s="2">
        <v>22.451977566368601</v>
      </c>
      <c r="AX176" s="2">
        <v>23.063248076067701</v>
      </c>
      <c r="AY176" s="2">
        <v>23.084584966726901</v>
      </c>
      <c r="AZ176" s="2">
        <v>22.769394591012201</v>
      </c>
      <c r="BA176" s="2">
        <v>21.230171832706802</v>
      </c>
      <c r="BB176" s="2">
        <v>22.161620036405701</v>
      </c>
      <c r="BC176" s="2">
        <v>23.0228835646395</v>
      </c>
      <c r="BD176" s="2">
        <v>21.829785711505501</v>
      </c>
      <c r="BE176" s="2">
        <v>21.508214698713299</v>
      </c>
      <c r="BF176" s="2">
        <v>23.039524957438701</v>
      </c>
      <c r="BG176" s="2">
        <v>23.199564166267201</v>
      </c>
      <c r="BH176" s="2">
        <v>22.8243408205044</v>
      </c>
      <c r="BI176" s="2">
        <v>23.883562497607802</v>
      </c>
      <c r="BJ176" s="2">
        <v>22.237256271021199</v>
      </c>
      <c r="BK176" s="2">
        <v>22.551918243420602</v>
      </c>
      <c r="BL176" s="2">
        <v>23.355092361913499</v>
      </c>
      <c r="BM176" s="2">
        <v>22.698582704748102</v>
      </c>
      <c r="BN176" s="2">
        <v>22.314855436478702</v>
      </c>
      <c r="BO176" s="2">
        <v>22.303867621966202</v>
      </c>
      <c r="BP176" s="2">
        <v>22.897455339401699</v>
      </c>
      <c r="BQ176" s="2">
        <v>22.6685210262495</v>
      </c>
      <c r="BR176" s="2">
        <v>23.209145798862</v>
      </c>
      <c r="BS176" s="2">
        <v>23.6217543099898</v>
      </c>
      <c r="BT176" s="2">
        <v>20.875949197856599</v>
      </c>
      <c r="BU176" s="2">
        <v>21.1973789514152</v>
      </c>
      <c r="BV176" s="2">
        <v>22.1645468559731</v>
      </c>
      <c r="BW176" s="2">
        <v>21.9717263497046</v>
      </c>
      <c r="BX176" s="2">
        <v>22.163710752884501</v>
      </c>
      <c r="BY176" s="2">
        <v>21.491340847486299</v>
      </c>
      <c r="BZ176" s="2">
        <v>23.055146911979499</v>
      </c>
      <c r="CA176" s="2">
        <v>22.451095402768299</v>
      </c>
      <c r="CB176" s="2">
        <v>23.256957432130601</v>
      </c>
      <c r="CC176" s="2">
        <v>23.0709431203794</v>
      </c>
      <c r="CD176" s="2">
        <v>22.225003787939698</v>
      </c>
      <c r="CE176" s="2">
        <v>22.4471639041396</v>
      </c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</row>
    <row r="177" spans="1:97">
      <c r="A177" s="2" t="s">
        <v>1937</v>
      </c>
      <c r="B177" s="2">
        <v>177.08674999999999</v>
      </c>
      <c r="C177" s="2">
        <v>0.93899999999999995</v>
      </c>
      <c r="D177" s="2" t="s">
        <v>84</v>
      </c>
      <c r="E177" s="2" t="s">
        <v>1938</v>
      </c>
      <c r="F177" s="2" t="s">
        <v>1939</v>
      </c>
      <c r="G177" s="2">
        <v>54072</v>
      </c>
      <c r="H177" s="3" t="str">
        <f>HYPERLINK("https://cloud.oebiotech.com/#/lm/network/54072", "https://cloud.oebiotech.com/#/lm/network/54072")</f>
        <v>https://cloud.oebiotech.com/#/lm/network/54072</v>
      </c>
      <c r="I177" s="2" t="s">
        <v>1940</v>
      </c>
      <c r="J177" s="2">
        <v>23781</v>
      </c>
      <c r="K177" s="2"/>
      <c r="L177" s="2">
        <v>7010575</v>
      </c>
      <c r="M177" s="2"/>
      <c r="N177" s="2"/>
      <c r="O177" s="2"/>
      <c r="P177" s="2">
        <v>74859</v>
      </c>
      <c r="Q177" s="2"/>
      <c r="R177" s="2"/>
      <c r="S177" s="2" t="s">
        <v>1941</v>
      </c>
      <c r="T177" s="2" t="s">
        <v>1942</v>
      </c>
      <c r="U177" s="2" t="s">
        <v>1943</v>
      </c>
      <c r="V177" s="2" t="s">
        <v>115</v>
      </c>
      <c r="W177" s="2" t="s">
        <v>116</v>
      </c>
      <c r="X177" s="2" t="s">
        <v>117</v>
      </c>
      <c r="Y177" s="2" t="s">
        <v>118</v>
      </c>
      <c r="Z177" s="2" t="s">
        <v>119</v>
      </c>
      <c r="AA177" s="2" t="s">
        <v>120</v>
      </c>
      <c r="AB177" s="2" t="s">
        <v>101</v>
      </c>
      <c r="AC177" s="2">
        <v>71.33</v>
      </c>
      <c r="AD177" s="2">
        <v>98.16</v>
      </c>
      <c r="AE177" s="2">
        <v>82.83</v>
      </c>
      <c r="AF177" s="2" t="s">
        <v>1944</v>
      </c>
      <c r="AG177" s="2" t="s">
        <v>103</v>
      </c>
      <c r="AH177" s="2" t="s">
        <v>1945</v>
      </c>
      <c r="AI177" s="2">
        <v>1.69</v>
      </c>
      <c r="AJ177" s="2">
        <v>24.947992882374901</v>
      </c>
      <c r="AK177" s="2">
        <v>24.297246714489201</v>
      </c>
      <c r="AL177" s="2">
        <v>25.294826964705901</v>
      </c>
      <c r="AM177" s="2">
        <v>24.479922577017899</v>
      </c>
      <c r="AN177" s="2">
        <v>25.508181326023902</v>
      </c>
      <c r="AO177" s="2">
        <v>25.358643891897302</v>
      </c>
      <c r="AP177" s="2">
        <v>25.312935710203501</v>
      </c>
      <c r="AQ177" s="2">
        <v>24.773122728242502</v>
      </c>
      <c r="AR177" s="2">
        <v>24.990937691018001</v>
      </c>
      <c r="AS177" s="2">
        <v>24.819617611428299</v>
      </c>
      <c r="AT177" s="2">
        <v>24.988755555967298</v>
      </c>
      <c r="AU177" s="2">
        <v>24.894690708145902</v>
      </c>
      <c r="AV177" s="2">
        <v>25.144450389001602</v>
      </c>
      <c r="AW177" s="2">
        <v>25.246347709017801</v>
      </c>
      <c r="AX177" s="2">
        <v>24.818235272237501</v>
      </c>
      <c r="AY177" s="2">
        <v>25.182580847696102</v>
      </c>
      <c r="AZ177" s="2">
        <v>24.868895638671098</v>
      </c>
      <c r="BA177" s="2">
        <v>24.6917942080023</v>
      </c>
      <c r="BB177" s="2">
        <v>25.279647239993501</v>
      </c>
      <c r="BC177" s="2">
        <v>25.477036928316501</v>
      </c>
      <c r="BD177" s="2">
        <v>24.7551907885675</v>
      </c>
      <c r="BE177" s="2">
        <v>25.106644408496201</v>
      </c>
      <c r="BF177" s="2">
        <v>24.813716940859301</v>
      </c>
      <c r="BG177" s="2">
        <v>25.154588488220099</v>
      </c>
      <c r="BH177" s="2">
        <v>25.1337598240757</v>
      </c>
      <c r="BI177" s="2">
        <v>25.176197286814801</v>
      </c>
      <c r="BJ177" s="2">
        <v>23.960475025205199</v>
      </c>
      <c r="BK177" s="2">
        <v>25.3052805156806</v>
      </c>
      <c r="BL177" s="2">
        <v>25.214991860302799</v>
      </c>
      <c r="BM177" s="2">
        <v>25.222917708002701</v>
      </c>
      <c r="BN177" s="2">
        <v>25.188087546556801</v>
      </c>
      <c r="BO177" s="2">
        <v>24.816297607948499</v>
      </c>
      <c r="BP177" s="2">
        <v>23.9870977457553</v>
      </c>
      <c r="BQ177" s="2">
        <v>25.220182180999</v>
      </c>
      <c r="BR177" s="2">
        <v>25.344000435469901</v>
      </c>
      <c r="BS177" s="2">
        <v>25.1342982668078</v>
      </c>
      <c r="BT177" s="2">
        <v>24.8330382152872</v>
      </c>
      <c r="BU177" s="2">
        <v>25.440422769021801</v>
      </c>
      <c r="BV177" s="2">
        <v>25.431285204590498</v>
      </c>
      <c r="BW177" s="2">
        <v>25.411453645987901</v>
      </c>
      <c r="BX177" s="2">
        <v>24.1969434481076</v>
      </c>
      <c r="BY177" s="2">
        <v>23.908210326001601</v>
      </c>
      <c r="BZ177" s="2">
        <v>25.459862998883501</v>
      </c>
      <c r="CA177" s="2">
        <v>25.141946196571599</v>
      </c>
      <c r="CB177" s="2">
        <v>24.861728365146099</v>
      </c>
      <c r="CC177" s="2">
        <v>25.319004753767601</v>
      </c>
      <c r="CD177" s="2">
        <v>24.830294838139899</v>
      </c>
      <c r="CE177" s="2">
        <v>25.159175227094899</v>
      </c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</row>
    <row r="178" spans="1:97">
      <c r="A178" s="2" t="s">
        <v>1946</v>
      </c>
      <c r="B178" s="2">
        <v>218.13851</v>
      </c>
      <c r="C178" s="2">
        <v>1.47</v>
      </c>
      <c r="D178" s="2" t="s">
        <v>84</v>
      </c>
      <c r="E178" s="2" t="s">
        <v>1947</v>
      </c>
      <c r="F178" s="2" t="s">
        <v>1948</v>
      </c>
      <c r="G178" s="2">
        <v>8287</v>
      </c>
      <c r="H178" s="3" t="str">
        <f>HYPERLINK("https://cloud.oebiotech.com/#/lm/network/8287", "https://cloud.oebiotech.com/#/lm/network/8287")</f>
        <v>https://cloud.oebiotech.com/#/lm/network/8287</v>
      </c>
      <c r="I178" s="2" t="s">
        <v>1949</v>
      </c>
      <c r="J178" s="2">
        <v>36668</v>
      </c>
      <c r="K178" s="2" t="s">
        <v>1950</v>
      </c>
      <c r="L178" s="2">
        <v>188824</v>
      </c>
      <c r="M178" s="2" t="s">
        <v>1951</v>
      </c>
      <c r="N178" s="2"/>
      <c r="O178" s="2"/>
      <c r="P178" s="2">
        <v>53210</v>
      </c>
      <c r="Q178" s="2"/>
      <c r="R178" s="2"/>
      <c r="S178" s="2"/>
      <c r="T178" s="2" t="s">
        <v>1952</v>
      </c>
      <c r="U178" s="2" t="s">
        <v>1953</v>
      </c>
      <c r="V178" s="2" t="s">
        <v>95</v>
      </c>
      <c r="W178" s="2" t="s">
        <v>96</v>
      </c>
      <c r="X178" s="2" t="s">
        <v>97</v>
      </c>
      <c r="Y178" s="2" t="s">
        <v>98</v>
      </c>
      <c r="Z178" s="2" t="s">
        <v>99</v>
      </c>
      <c r="AA178" s="2" t="s">
        <v>100</v>
      </c>
      <c r="AB178" s="2" t="s">
        <v>101</v>
      </c>
      <c r="AC178" s="2">
        <v>71.319999999999993</v>
      </c>
      <c r="AD178" s="2">
        <v>97.42</v>
      </c>
      <c r="AE178" s="2">
        <v>88.1</v>
      </c>
      <c r="AF178" s="2" t="s">
        <v>1954</v>
      </c>
      <c r="AG178" s="2" t="s">
        <v>103</v>
      </c>
      <c r="AH178" s="2" t="s">
        <v>1955</v>
      </c>
      <c r="AI178" s="2">
        <v>0.92</v>
      </c>
      <c r="AJ178" s="2">
        <v>25.344605458885301</v>
      </c>
      <c r="AK178" s="2">
        <v>25.3460217285566</v>
      </c>
      <c r="AL178" s="2">
        <v>25.448509310189799</v>
      </c>
      <c r="AM178" s="2">
        <v>24.935996210092298</v>
      </c>
      <c r="AN178" s="2">
        <v>25.496008241667798</v>
      </c>
      <c r="AO178" s="2">
        <v>25.1564628398175</v>
      </c>
      <c r="AP178" s="2">
        <v>25.404047910094398</v>
      </c>
      <c r="AQ178" s="2">
        <v>25.236898603805798</v>
      </c>
      <c r="AR178" s="2">
        <v>25.1171355249489</v>
      </c>
      <c r="AS178" s="2">
        <v>23.4823351038747</v>
      </c>
      <c r="AT178" s="2">
        <v>23.757351426364199</v>
      </c>
      <c r="AU178" s="2">
        <v>25.412887046481298</v>
      </c>
      <c r="AV178" s="2">
        <v>25.572781862487702</v>
      </c>
      <c r="AW178" s="2">
        <v>24.664094476770298</v>
      </c>
      <c r="AX178" s="2">
        <v>25.1478963844045</v>
      </c>
      <c r="AY178" s="2">
        <v>25.459958749837</v>
      </c>
      <c r="AZ178" s="2">
        <v>25.0714565010691</v>
      </c>
      <c r="BA178" s="2">
        <v>24.289090505049199</v>
      </c>
      <c r="BB178" s="2">
        <v>25.044990576551101</v>
      </c>
      <c r="BC178" s="2">
        <v>24.9130044057035</v>
      </c>
      <c r="BD178" s="2">
        <v>24.880268113778101</v>
      </c>
      <c r="BE178" s="2">
        <v>24.8320852367982</v>
      </c>
      <c r="BF178" s="2">
        <v>25.0992240667868</v>
      </c>
      <c r="BG178" s="2">
        <v>25.223303553288002</v>
      </c>
      <c r="BH178" s="2">
        <v>25.198435579430601</v>
      </c>
      <c r="BI178" s="2">
        <v>25.973486272325299</v>
      </c>
      <c r="BJ178" s="2">
        <v>24.7490310857943</v>
      </c>
      <c r="BK178" s="2">
        <v>25.014991317435001</v>
      </c>
      <c r="BL178" s="2">
        <v>23.7000676881079</v>
      </c>
      <c r="BM178" s="2">
        <v>25.3507384086518</v>
      </c>
      <c r="BN178" s="2">
        <v>25.4157397154957</v>
      </c>
      <c r="BO178" s="2">
        <v>25.479316514254599</v>
      </c>
      <c r="BP178" s="2">
        <v>25.230693557535599</v>
      </c>
      <c r="BQ178" s="2">
        <v>24.982926964507101</v>
      </c>
      <c r="BR178" s="2">
        <v>24.846468400562401</v>
      </c>
      <c r="BS178" s="2">
        <v>25.428428215404001</v>
      </c>
      <c r="BT178" s="2">
        <v>23.8499501245457</v>
      </c>
      <c r="BU178" s="2">
        <v>23.976340928599399</v>
      </c>
      <c r="BV178" s="2">
        <v>24.348298383953399</v>
      </c>
      <c r="BW178" s="2">
        <v>23.4979464681313</v>
      </c>
      <c r="BX178" s="2">
        <v>25.268458877372801</v>
      </c>
      <c r="BY178" s="2">
        <v>25.509286877177399</v>
      </c>
      <c r="BZ178" s="2">
        <v>24.968761212960999</v>
      </c>
      <c r="CA178" s="2">
        <v>25.576043194146202</v>
      </c>
      <c r="CB178" s="2">
        <v>23.782132050321302</v>
      </c>
      <c r="CC178" s="2">
        <v>24.4611353999031</v>
      </c>
      <c r="CD178" s="2">
        <v>24.188962495839601</v>
      </c>
      <c r="CE178" s="2">
        <v>24.853334463363499</v>
      </c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</row>
    <row r="179" spans="1:97">
      <c r="A179" s="2" t="s">
        <v>1956</v>
      </c>
      <c r="B179" s="2">
        <v>265.14316000000002</v>
      </c>
      <c r="C179" s="2">
        <v>7.1639999999999997</v>
      </c>
      <c r="D179" s="2" t="s">
        <v>84</v>
      </c>
      <c r="E179" s="2" t="s">
        <v>1957</v>
      </c>
      <c r="F179" s="2" t="s">
        <v>1958</v>
      </c>
      <c r="G179" s="2">
        <v>57478</v>
      </c>
      <c r="H179" s="3" t="str">
        <f>HYPERLINK("https://cloud.oebiotech.com/#/lm/network/57478", "https://cloud.oebiotech.com/#/lm/network/57478")</f>
        <v>https://cloud.oebiotech.com/#/lm/network/57478</v>
      </c>
      <c r="I179" s="2" t="s">
        <v>1959</v>
      </c>
      <c r="J179" s="2"/>
      <c r="K179" s="2"/>
      <c r="L179" s="2">
        <v>45359845</v>
      </c>
      <c r="M179" s="2"/>
      <c r="N179" s="2"/>
      <c r="O179" s="2"/>
      <c r="P179" s="2"/>
      <c r="Q179" s="2"/>
      <c r="R179" s="2"/>
      <c r="S179" s="2" t="s">
        <v>1960</v>
      </c>
      <c r="T179" s="2" t="s">
        <v>1961</v>
      </c>
      <c r="U179" s="2" t="s">
        <v>1962</v>
      </c>
      <c r="V179" s="2" t="s">
        <v>95</v>
      </c>
      <c r="W179" s="2" t="s">
        <v>180</v>
      </c>
      <c r="X179" s="2" t="s">
        <v>181</v>
      </c>
      <c r="Y179" s="2" t="s">
        <v>98</v>
      </c>
      <c r="Z179" s="2" t="s">
        <v>182</v>
      </c>
      <c r="AA179" s="2" t="s">
        <v>183</v>
      </c>
      <c r="AB179" s="2" t="s">
        <v>101</v>
      </c>
      <c r="AC179" s="2">
        <v>71.319999999999993</v>
      </c>
      <c r="AD179" s="2">
        <v>95.72</v>
      </c>
      <c r="AE179" s="2">
        <v>71.28</v>
      </c>
      <c r="AF179" s="2" t="s">
        <v>1963</v>
      </c>
      <c r="AG179" s="2" t="s">
        <v>103</v>
      </c>
      <c r="AH179" s="2" t="s">
        <v>1964</v>
      </c>
      <c r="AI179" s="2">
        <v>0.75</v>
      </c>
      <c r="AJ179" s="2">
        <v>19.897703763379798</v>
      </c>
      <c r="AK179" s="2">
        <v>20.106297701239299</v>
      </c>
      <c r="AL179" s="2">
        <v>19.9423897337177</v>
      </c>
      <c r="AM179" s="2">
        <v>19.920115608698499</v>
      </c>
      <c r="AN179" s="2">
        <v>19.907209540012701</v>
      </c>
      <c r="AO179" s="2">
        <v>20.3753022360203</v>
      </c>
      <c r="AP179" s="2">
        <v>19.810831595522899</v>
      </c>
      <c r="AQ179" s="2">
        <v>20.252932321588599</v>
      </c>
      <c r="AR179" s="2">
        <v>20.083504453255301</v>
      </c>
      <c r="AS179" s="2">
        <v>18.429360765665798</v>
      </c>
      <c r="AT179" s="2">
        <v>18.552022855702301</v>
      </c>
      <c r="AU179" s="2">
        <v>20.3563833621687</v>
      </c>
      <c r="AV179" s="2">
        <v>19.699203436623598</v>
      </c>
      <c r="AW179" s="2">
        <v>20.077829831085801</v>
      </c>
      <c r="AX179" s="2">
        <v>19.577560268514102</v>
      </c>
      <c r="AY179" s="2">
        <v>20.483385522051499</v>
      </c>
      <c r="AZ179" s="2">
        <v>20.9164080866517</v>
      </c>
      <c r="BA179" s="2">
        <v>18.0443104378868</v>
      </c>
      <c r="BB179" s="2">
        <v>19.538293339022701</v>
      </c>
      <c r="BC179" s="2">
        <v>18.863833246123601</v>
      </c>
      <c r="BD179" s="2">
        <v>19.648966266119299</v>
      </c>
      <c r="BE179" s="2">
        <v>20.2580358863807</v>
      </c>
      <c r="BF179" s="2">
        <v>19.602914883439201</v>
      </c>
      <c r="BG179" s="2">
        <v>19.508198456698601</v>
      </c>
      <c r="BH179" s="2">
        <v>18.8613770761803</v>
      </c>
      <c r="BI179" s="2">
        <v>19.544690457522599</v>
      </c>
      <c r="BJ179" s="2">
        <v>20.301297843824798</v>
      </c>
      <c r="BK179" s="2">
        <v>19.031009160367901</v>
      </c>
      <c r="BL179" s="2">
        <v>19.933049975662801</v>
      </c>
      <c r="BM179" s="2">
        <v>20.531175996638702</v>
      </c>
      <c r="BN179" s="2">
        <v>20.1680235072334</v>
      </c>
      <c r="BO179" s="2">
        <v>19.593031443762701</v>
      </c>
      <c r="BP179" s="2">
        <v>19.443612316775301</v>
      </c>
      <c r="BQ179" s="2">
        <v>20.5997791646951</v>
      </c>
      <c r="BR179" s="2">
        <v>19.610284818467399</v>
      </c>
      <c r="BS179" s="2">
        <v>20.448303633187901</v>
      </c>
      <c r="BT179" s="2">
        <v>21.181876411480701</v>
      </c>
      <c r="BU179" s="2">
        <v>19.042906341707699</v>
      </c>
      <c r="BV179" s="2">
        <v>20.805931650504299</v>
      </c>
      <c r="BW179" s="2">
        <v>16.664661161789301</v>
      </c>
      <c r="BX179" s="2">
        <v>19.237962809900999</v>
      </c>
      <c r="BY179" s="2">
        <v>20.5657098712188</v>
      </c>
      <c r="BZ179" s="2">
        <v>19.774916989328698</v>
      </c>
      <c r="CA179" s="2">
        <v>20.692794925051601</v>
      </c>
      <c r="CB179" s="2">
        <v>20.494341226517601</v>
      </c>
      <c r="CC179" s="2">
        <v>19.670081189710501</v>
      </c>
      <c r="CD179" s="2">
        <v>19.9709811966522</v>
      </c>
      <c r="CE179" s="2">
        <v>18.506987403767901</v>
      </c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</row>
    <row r="180" spans="1:97">
      <c r="A180" s="2" t="s">
        <v>1965</v>
      </c>
      <c r="B180" s="2">
        <v>187.09718000000001</v>
      </c>
      <c r="C180" s="2">
        <v>5.3140000000000001</v>
      </c>
      <c r="D180" s="2" t="s">
        <v>146</v>
      </c>
      <c r="E180" s="2" t="s">
        <v>1966</v>
      </c>
      <c r="F180" s="2" t="s">
        <v>1967</v>
      </c>
      <c r="G180" s="2">
        <v>2867</v>
      </c>
      <c r="H180" s="3" t="str">
        <f>HYPERLINK("https://cloud.oebiotech.com/#/lm/network/2867", "https://cloud.oebiotech.com/#/lm/network/2867")</f>
        <v>https://cloud.oebiotech.com/#/lm/network/2867</v>
      </c>
      <c r="I180" s="2" t="s">
        <v>1968</v>
      </c>
      <c r="J180" s="2">
        <v>5750</v>
      </c>
      <c r="K180" s="2" t="s">
        <v>1969</v>
      </c>
      <c r="L180" s="2">
        <v>2266</v>
      </c>
      <c r="M180" s="2" t="s">
        <v>1970</v>
      </c>
      <c r="N180" s="2"/>
      <c r="O180" s="2"/>
      <c r="P180" s="2">
        <v>48131</v>
      </c>
      <c r="Q180" s="2"/>
      <c r="R180" s="2"/>
      <c r="S180" s="2" t="s">
        <v>1971</v>
      </c>
      <c r="T180" s="2" t="s">
        <v>1972</v>
      </c>
      <c r="U180" s="2" t="s">
        <v>1973</v>
      </c>
      <c r="V180" s="2" t="s">
        <v>95</v>
      </c>
      <c r="W180" s="2" t="s">
        <v>96</v>
      </c>
      <c r="X180" s="2" t="s">
        <v>141</v>
      </c>
      <c r="Y180" s="2" t="s">
        <v>98</v>
      </c>
      <c r="Z180" s="2" t="s">
        <v>99</v>
      </c>
      <c r="AA180" s="2" t="s">
        <v>142</v>
      </c>
      <c r="AB180" s="2" t="s">
        <v>101</v>
      </c>
      <c r="AC180" s="2">
        <v>71.3</v>
      </c>
      <c r="AD180" s="2">
        <v>94.22</v>
      </c>
      <c r="AE180" s="2">
        <v>88.06</v>
      </c>
      <c r="AF180" s="2" t="s">
        <v>1974</v>
      </c>
      <c r="AG180" s="2" t="s">
        <v>194</v>
      </c>
      <c r="AH180" s="2" t="s">
        <v>1975</v>
      </c>
      <c r="AI180" s="2">
        <v>2.14</v>
      </c>
      <c r="AJ180" s="2">
        <v>23.198637899993599</v>
      </c>
      <c r="AK180" s="2">
        <v>23.070318200665401</v>
      </c>
      <c r="AL180" s="2">
        <v>22.981897883582501</v>
      </c>
      <c r="AM180" s="2">
        <v>23.051738681494101</v>
      </c>
      <c r="AN180" s="2">
        <v>22.929644215472798</v>
      </c>
      <c r="AO180" s="2">
        <v>22.841007572651201</v>
      </c>
      <c r="AP180" s="2">
        <v>23.2119544323719</v>
      </c>
      <c r="AQ180" s="2">
        <v>23.259615507727698</v>
      </c>
      <c r="AR180" s="2">
        <v>22.791466726220499</v>
      </c>
      <c r="AS180" s="2">
        <v>22.348386832752102</v>
      </c>
      <c r="AT180" s="2">
        <v>22.660557872841899</v>
      </c>
      <c r="AU180" s="2">
        <v>22.878280945634501</v>
      </c>
      <c r="AV180" s="2">
        <v>22.908866528689401</v>
      </c>
      <c r="AW180" s="2">
        <v>23.9317719948194</v>
      </c>
      <c r="AX180" s="2">
        <v>22.983659959720701</v>
      </c>
      <c r="AY180" s="2">
        <v>23.027345097907901</v>
      </c>
      <c r="AZ180" s="2">
        <v>23.0535673822544</v>
      </c>
      <c r="BA180" s="2">
        <v>22.8546906226902</v>
      </c>
      <c r="BB180" s="2">
        <v>22.758093090645701</v>
      </c>
      <c r="BC180" s="2">
        <v>23.090011933158401</v>
      </c>
      <c r="BD180" s="2">
        <v>23.001705245452399</v>
      </c>
      <c r="BE180" s="2">
        <v>22.9477174755954</v>
      </c>
      <c r="BF180" s="2">
        <v>22.834366431310801</v>
      </c>
      <c r="BG180" s="2">
        <v>22.669321074601001</v>
      </c>
      <c r="BH180" s="2">
        <v>22.9544393983678</v>
      </c>
      <c r="BI180" s="2">
        <v>22.1805346618847</v>
      </c>
      <c r="BJ180" s="2">
        <v>23.235820542342601</v>
      </c>
      <c r="BK180" s="2">
        <v>22.723828454989</v>
      </c>
      <c r="BL180" s="2">
        <v>22.848234658711</v>
      </c>
      <c r="BM180" s="2">
        <v>23.242823012081899</v>
      </c>
      <c r="BN180" s="2">
        <v>23.386170544846699</v>
      </c>
      <c r="BO180" s="2">
        <v>22.721843919794999</v>
      </c>
      <c r="BP180" s="2">
        <v>22.891913080971801</v>
      </c>
      <c r="BQ180" s="2">
        <v>22.943849472446502</v>
      </c>
      <c r="BR180" s="2">
        <v>23.1753679834931</v>
      </c>
      <c r="BS180" s="2">
        <v>23.9401920598327</v>
      </c>
      <c r="BT180" s="2">
        <v>22.538316284804999</v>
      </c>
      <c r="BU180" s="2">
        <v>22.7081709698178</v>
      </c>
      <c r="BV180" s="2">
        <v>22.541322630993701</v>
      </c>
      <c r="BW180" s="2">
        <v>22.304825422476199</v>
      </c>
      <c r="BX180" s="2">
        <v>23.034280732720202</v>
      </c>
      <c r="BY180" s="2">
        <v>23.0416992955236</v>
      </c>
      <c r="BZ180" s="2">
        <v>22.587436250087801</v>
      </c>
      <c r="CA180" s="2">
        <v>23.0443555547042</v>
      </c>
      <c r="CB180" s="2">
        <v>22.505407688982999</v>
      </c>
      <c r="CC180" s="2">
        <v>22.864208844177899</v>
      </c>
      <c r="CD180" s="2">
        <v>22.699810920511101</v>
      </c>
      <c r="CE180" s="2">
        <v>22.4962386425149</v>
      </c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</row>
    <row r="181" spans="1:97">
      <c r="A181" s="2" t="s">
        <v>1976</v>
      </c>
      <c r="B181" s="2">
        <v>239.12843000000001</v>
      </c>
      <c r="C181" s="2">
        <v>9.6219999999999999</v>
      </c>
      <c r="D181" s="2" t="s">
        <v>146</v>
      </c>
      <c r="E181" s="2" t="s">
        <v>1977</v>
      </c>
      <c r="F181" s="2" t="s">
        <v>1978</v>
      </c>
      <c r="G181" s="2">
        <v>7777</v>
      </c>
      <c r="H181" s="3" t="str">
        <f>HYPERLINK("https://cloud.oebiotech.com/#/lm/network/7777", "https://cloud.oebiotech.com/#/lm/network/7777")</f>
        <v>https://cloud.oebiotech.com/#/lm/network/7777</v>
      </c>
      <c r="I181" s="2"/>
      <c r="J181" s="2">
        <v>97393</v>
      </c>
      <c r="K181" s="2" t="s">
        <v>1979</v>
      </c>
      <c r="L181" s="2">
        <v>56936046</v>
      </c>
      <c r="M181" s="2"/>
      <c r="N181" s="2"/>
      <c r="O181" s="2"/>
      <c r="P181" s="2"/>
      <c r="Q181" s="2"/>
      <c r="R181" s="2"/>
      <c r="S181" s="2"/>
      <c r="T181" s="2" t="s">
        <v>1980</v>
      </c>
      <c r="U181" s="2" t="s">
        <v>1981</v>
      </c>
      <c r="V181" s="2" t="s">
        <v>845</v>
      </c>
      <c r="W181" s="2" t="s">
        <v>1982</v>
      </c>
      <c r="X181" s="2" t="s">
        <v>375</v>
      </c>
      <c r="Y181" s="2" t="s">
        <v>847</v>
      </c>
      <c r="Z181" s="2" t="s">
        <v>1983</v>
      </c>
      <c r="AA181" s="2"/>
      <c r="AB181" s="2" t="s">
        <v>101</v>
      </c>
      <c r="AC181" s="2">
        <v>71.3</v>
      </c>
      <c r="AD181" s="2">
        <v>96.46</v>
      </c>
      <c r="AE181" s="2">
        <v>84.58</v>
      </c>
      <c r="AF181" s="2" t="s">
        <v>1984</v>
      </c>
      <c r="AG181" s="2" t="s">
        <v>157</v>
      </c>
      <c r="AH181" s="2" t="s">
        <v>1985</v>
      </c>
      <c r="AI181" s="2">
        <v>2.09</v>
      </c>
      <c r="AJ181" s="2">
        <v>21.088019947748101</v>
      </c>
      <c r="AK181" s="2">
        <v>21.068688718068099</v>
      </c>
      <c r="AL181" s="2">
        <v>20.6324231824074</v>
      </c>
      <c r="AM181" s="2">
        <v>20.5842527578545</v>
      </c>
      <c r="AN181" s="2">
        <v>20.0639765689589</v>
      </c>
      <c r="AO181" s="2">
        <v>21.0555028345272</v>
      </c>
      <c r="AP181" s="2">
        <v>20.636277500029301</v>
      </c>
      <c r="AQ181" s="2">
        <v>20.379016327855101</v>
      </c>
      <c r="AR181" s="2">
        <v>21.568384087404802</v>
      </c>
      <c r="AS181" s="2">
        <v>22.811324491909499</v>
      </c>
      <c r="AT181" s="2">
        <v>22.7282295281437</v>
      </c>
      <c r="AU181" s="2">
        <v>22.243678012416598</v>
      </c>
      <c r="AV181" s="2">
        <v>21.3206969664589</v>
      </c>
      <c r="AW181" s="2">
        <v>23.0010882722937</v>
      </c>
      <c r="AX181" s="2">
        <v>21.043848961866001</v>
      </c>
      <c r="AY181" s="2">
        <v>22.1803079883083</v>
      </c>
      <c r="AZ181" s="2">
        <v>22.605165024154399</v>
      </c>
      <c r="BA181" s="2">
        <v>21.4350383229554</v>
      </c>
      <c r="BB181" s="2">
        <v>22.596271583648999</v>
      </c>
      <c r="BC181" s="2">
        <v>23.1296557438422</v>
      </c>
      <c r="BD181" s="2">
        <v>22.216753346560601</v>
      </c>
      <c r="BE181" s="2">
        <v>22.3944436573085</v>
      </c>
      <c r="BF181" s="2">
        <v>21.9540711317667</v>
      </c>
      <c r="BG181" s="2">
        <v>23.091652592503099</v>
      </c>
      <c r="BH181" s="2">
        <v>22.1848996743594</v>
      </c>
      <c r="BI181" s="2">
        <v>22.874833067969998</v>
      </c>
      <c r="BJ181" s="2">
        <v>20.1844930664864</v>
      </c>
      <c r="BK181" s="2">
        <v>21.603755823207099</v>
      </c>
      <c r="BL181" s="2">
        <v>21.671240324173102</v>
      </c>
      <c r="BM181" s="2">
        <v>20.486348045516401</v>
      </c>
      <c r="BN181" s="2">
        <v>20.9361624133264</v>
      </c>
      <c r="BO181" s="2">
        <v>21.419872767962701</v>
      </c>
      <c r="BP181" s="2">
        <v>21.154791488354199</v>
      </c>
      <c r="BQ181" s="2">
        <v>21.905471370188401</v>
      </c>
      <c r="BR181" s="2">
        <v>22.690848904252199</v>
      </c>
      <c r="BS181" s="2">
        <v>21.459591509864602</v>
      </c>
      <c r="BT181" s="2">
        <v>21.0715356461215</v>
      </c>
      <c r="BU181" s="2">
        <v>22.4297736529006</v>
      </c>
      <c r="BV181" s="2">
        <v>21.232351716975302</v>
      </c>
      <c r="BW181" s="2">
        <v>21.459266931159299</v>
      </c>
      <c r="BX181" s="2">
        <v>20.388880913213502</v>
      </c>
      <c r="BY181" s="2">
        <v>21.927169012909602</v>
      </c>
      <c r="BZ181" s="2">
        <v>22.5765549552392</v>
      </c>
      <c r="CA181" s="2">
        <v>20.451812438169</v>
      </c>
      <c r="CB181" s="2">
        <v>22.524202546399501</v>
      </c>
      <c r="CC181" s="2">
        <v>20.529054892376401</v>
      </c>
      <c r="CD181" s="2">
        <v>22.4544972214184</v>
      </c>
      <c r="CE181" s="2">
        <v>21.7426285376213</v>
      </c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</row>
    <row r="182" spans="1:97">
      <c r="A182" s="2" t="s">
        <v>1986</v>
      </c>
      <c r="B182" s="2">
        <v>211.13262</v>
      </c>
      <c r="C182" s="2">
        <v>9.7059999999999995</v>
      </c>
      <c r="D182" s="2" t="s">
        <v>84</v>
      </c>
      <c r="E182" s="2" t="s">
        <v>1987</v>
      </c>
      <c r="F182" s="2" t="s">
        <v>1988</v>
      </c>
      <c r="G182" s="2">
        <v>57364</v>
      </c>
      <c r="H182" s="3" t="str">
        <f>HYPERLINK("https://cloud.oebiotech.com/#/lm/network/57364", "https://cloud.oebiotech.com/#/lm/network/57364")</f>
        <v>https://cloud.oebiotech.com/#/lm/network/57364</v>
      </c>
      <c r="I182" s="2" t="s">
        <v>1989</v>
      </c>
      <c r="J182" s="2">
        <v>88993</v>
      </c>
      <c r="K182" s="2"/>
      <c r="L182" s="2">
        <v>5362689</v>
      </c>
      <c r="M182" s="2"/>
      <c r="N182" s="2"/>
      <c r="O182" s="2"/>
      <c r="P182" s="2"/>
      <c r="Q182" s="2"/>
      <c r="R182" s="2"/>
      <c r="S182" s="2" t="s">
        <v>1990</v>
      </c>
      <c r="T182" s="2" t="s">
        <v>1991</v>
      </c>
      <c r="U182" s="2" t="s">
        <v>1992</v>
      </c>
      <c r="V182" s="2" t="s">
        <v>115</v>
      </c>
      <c r="W182" s="2" t="s">
        <v>116</v>
      </c>
      <c r="X182" s="2" t="s">
        <v>1238</v>
      </c>
      <c r="Y182" s="2" t="s">
        <v>118</v>
      </c>
      <c r="Z182" s="2" t="s">
        <v>119</v>
      </c>
      <c r="AA182" s="2" t="s">
        <v>1239</v>
      </c>
      <c r="AB182" s="2" t="s">
        <v>101</v>
      </c>
      <c r="AC182" s="2">
        <v>71.290000000000006</v>
      </c>
      <c r="AD182" s="2">
        <v>92.56</v>
      </c>
      <c r="AE182" s="2">
        <v>78.650000000000006</v>
      </c>
      <c r="AF182" s="2" t="s">
        <v>1993</v>
      </c>
      <c r="AG182" s="2" t="s">
        <v>103</v>
      </c>
      <c r="AH182" s="2" t="s">
        <v>1994</v>
      </c>
      <c r="AI182" s="2">
        <v>1.42</v>
      </c>
      <c r="AJ182" s="2">
        <v>21.590644760838401</v>
      </c>
      <c r="AK182" s="2">
        <v>21.5913576176006</v>
      </c>
      <c r="AL182" s="2">
        <v>21.678979060506599</v>
      </c>
      <c r="AM182" s="2">
        <v>21.273791786806701</v>
      </c>
      <c r="AN182" s="2">
        <v>21.574448488361099</v>
      </c>
      <c r="AO182" s="2">
        <v>21.564805554976001</v>
      </c>
      <c r="AP182" s="2">
        <v>21.546826217912201</v>
      </c>
      <c r="AQ182" s="2">
        <v>21.441549785856001</v>
      </c>
      <c r="AR182" s="2">
        <v>22.0027220483788</v>
      </c>
      <c r="AS182" s="2">
        <v>20.947753510192001</v>
      </c>
      <c r="AT182" s="2">
        <v>20.989541236473301</v>
      </c>
      <c r="AU182" s="2">
        <v>21.140925307021899</v>
      </c>
      <c r="AV182" s="2">
        <v>21.7663724470986</v>
      </c>
      <c r="AW182" s="2">
        <v>21.256428494218301</v>
      </c>
      <c r="AX182" s="2">
        <v>21.169341548901699</v>
      </c>
      <c r="AY182" s="2">
        <v>21.357509828822</v>
      </c>
      <c r="AZ182" s="2">
        <v>23.002971839598001</v>
      </c>
      <c r="BA182" s="2">
        <v>21.799220884942802</v>
      </c>
      <c r="BB182" s="2">
        <v>20.042328121836299</v>
      </c>
      <c r="BC182" s="2">
        <v>22.645005863483401</v>
      </c>
      <c r="BD182" s="2">
        <v>21.325117006204099</v>
      </c>
      <c r="BE182" s="2">
        <v>21.3548552030914</v>
      </c>
      <c r="BF182" s="2">
        <v>21.347793424629799</v>
      </c>
      <c r="BG182" s="2">
        <v>21.3244899399471</v>
      </c>
      <c r="BH182" s="2">
        <v>21.9787600588548</v>
      </c>
      <c r="BI182" s="2">
        <v>20.765375914677001</v>
      </c>
      <c r="BJ182" s="2">
        <v>22.6448162170032</v>
      </c>
      <c r="BK182" s="2">
        <v>21.516547911007098</v>
      </c>
      <c r="BL182" s="2">
        <v>20.939912329072399</v>
      </c>
      <c r="BM182" s="2">
        <v>23.176614813758199</v>
      </c>
      <c r="BN182" s="2">
        <v>21.4293026449885</v>
      </c>
      <c r="BO182" s="2">
        <v>21.697644878124201</v>
      </c>
      <c r="BP182" s="2">
        <v>20.9177891618601</v>
      </c>
      <c r="BQ182" s="2">
        <v>21.432439508150502</v>
      </c>
      <c r="BR182" s="2">
        <v>21.168990856214801</v>
      </c>
      <c r="BS182" s="2">
        <v>21.113552749283201</v>
      </c>
      <c r="BT182" s="2">
        <v>23.420224995053999</v>
      </c>
      <c r="BU182" s="2">
        <v>21.713439949086201</v>
      </c>
      <c r="BV182" s="2">
        <v>21.223211777350102</v>
      </c>
      <c r="BW182" s="2">
        <v>21.110204749973398</v>
      </c>
      <c r="BX182" s="2">
        <v>21.336355666445598</v>
      </c>
      <c r="BY182" s="2">
        <v>21.043843329536301</v>
      </c>
      <c r="BZ182" s="2">
        <v>20.861543932445599</v>
      </c>
      <c r="CA182" s="2">
        <v>21.339995955011702</v>
      </c>
      <c r="CB182" s="2">
        <v>21.073975046953599</v>
      </c>
      <c r="CC182" s="2">
        <v>21.009708727607901</v>
      </c>
      <c r="CD182" s="2">
        <v>21.510942772955399</v>
      </c>
      <c r="CE182" s="2">
        <v>21.761817170906799</v>
      </c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</row>
    <row r="183" spans="1:97">
      <c r="A183" s="2" t="s">
        <v>1995</v>
      </c>
      <c r="B183" s="2">
        <v>310.30972000000003</v>
      </c>
      <c r="C183" s="2">
        <v>13.938000000000001</v>
      </c>
      <c r="D183" s="2" t="s">
        <v>84</v>
      </c>
      <c r="E183" s="2" t="s">
        <v>1996</v>
      </c>
      <c r="F183" s="2" t="s">
        <v>1997</v>
      </c>
      <c r="G183" s="2">
        <v>10096</v>
      </c>
      <c r="H183" s="3" t="str">
        <f>HYPERLINK("https://cloud.oebiotech.com/#/lm/network/10096", "https://cloud.oebiotech.com/#/lm/network/10096")</f>
        <v>https://cloud.oebiotech.com/#/lm/network/10096</v>
      </c>
      <c r="I183" s="2"/>
      <c r="J183" s="2">
        <v>98301</v>
      </c>
      <c r="K183" s="2" t="s">
        <v>1998</v>
      </c>
      <c r="L183" s="2">
        <v>56936261</v>
      </c>
      <c r="M183" s="2"/>
      <c r="N183" s="2"/>
      <c r="O183" s="2"/>
      <c r="P183" s="2"/>
      <c r="Q183" s="2"/>
      <c r="R183" s="2"/>
      <c r="S183" s="2"/>
      <c r="T183" s="2" t="s">
        <v>1999</v>
      </c>
      <c r="U183" s="2" t="s">
        <v>2000</v>
      </c>
      <c r="V183" s="2" t="s">
        <v>553</v>
      </c>
      <c r="W183" s="2" t="s">
        <v>2001</v>
      </c>
      <c r="X183" s="2" t="s">
        <v>375</v>
      </c>
      <c r="Y183" s="2" t="s">
        <v>556</v>
      </c>
      <c r="Z183" s="2" t="s">
        <v>2002</v>
      </c>
      <c r="AA183" s="2"/>
      <c r="AB183" s="2" t="s">
        <v>101</v>
      </c>
      <c r="AC183" s="2">
        <v>71.290000000000006</v>
      </c>
      <c r="AD183" s="2">
        <v>87.67</v>
      </c>
      <c r="AE183" s="2">
        <v>89.1</v>
      </c>
      <c r="AF183" s="2" t="s">
        <v>2003</v>
      </c>
      <c r="AG183" s="2" t="s">
        <v>132</v>
      </c>
      <c r="AH183" s="2" t="s">
        <v>2004</v>
      </c>
      <c r="AI183" s="2">
        <v>2.2599999999999998</v>
      </c>
      <c r="AJ183" s="2">
        <v>20.942287355368201</v>
      </c>
      <c r="AK183" s="2">
        <v>20.283701651624899</v>
      </c>
      <c r="AL183" s="2">
        <v>20.128183242309799</v>
      </c>
      <c r="AM183" s="2">
        <v>20.496031994622498</v>
      </c>
      <c r="AN183" s="2">
        <v>20.017224636513198</v>
      </c>
      <c r="AO183" s="2">
        <v>20.276333734027201</v>
      </c>
      <c r="AP183" s="2">
        <v>20.246140753958901</v>
      </c>
      <c r="AQ183" s="2">
        <v>20.6877964582477</v>
      </c>
      <c r="AR183" s="2">
        <v>20.9767078781401</v>
      </c>
      <c r="AS183" s="2">
        <v>20.895640806842401</v>
      </c>
      <c r="AT183" s="2">
        <v>20.724758446586002</v>
      </c>
      <c r="AU183" s="2">
        <v>20.0518500322489</v>
      </c>
      <c r="AV183" s="2">
        <v>19.9296522060088</v>
      </c>
      <c r="AW183" s="2">
        <v>20.4275705840817</v>
      </c>
      <c r="AX183" s="2">
        <v>19.9669559843611</v>
      </c>
      <c r="AY183" s="2">
        <v>20.594299697667399</v>
      </c>
      <c r="AZ183" s="2">
        <v>21.596181774278602</v>
      </c>
      <c r="BA183" s="2">
        <v>19.904526728296599</v>
      </c>
      <c r="BB183" s="2">
        <v>21.4907013698847</v>
      </c>
      <c r="BC183" s="2">
        <v>20.7807855679849</v>
      </c>
      <c r="BD183" s="2">
        <v>20.7972336134678</v>
      </c>
      <c r="BE183" s="2">
        <v>21.648927803123001</v>
      </c>
      <c r="BF183" s="2">
        <v>20.125943400308401</v>
      </c>
      <c r="BG183" s="2">
        <v>20.4627812561544</v>
      </c>
      <c r="BH183" s="2">
        <v>19.0012508308868</v>
      </c>
      <c r="BI183" s="2">
        <v>21.1197557389293</v>
      </c>
      <c r="BJ183" s="2">
        <v>19.583266020720199</v>
      </c>
      <c r="BK183" s="2">
        <v>19.408053764279</v>
      </c>
      <c r="BL183" s="2">
        <v>20.4989651157574</v>
      </c>
      <c r="BM183" s="2">
        <v>19.723421906256501</v>
      </c>
      <c r="BN183" s="2">
        <v>20.234377676037202</v>
      </c>
      <c r="BO183" s="2">
        <v>21.286323867129699</v>
      </c>
      <c r="BP183" s="2">
        <v>19.092280906698601</v>
      </c>
      <c r="BQ183" s="2">
        <v>19.934862835095799</v>
      </c>
      <c r="BR183" s="2">
        <v>20.747834785338998</v>
      </c>
      <c r="BS183" s="2">
        <v>19.8663566984923</v>
      </c>
      <c r="BT183" s="2">
        <v>19.837377731009902</v>
      </c>
      <c r="BU183" s="2">
        <v>20.860078172732699</v>
      </c>
      <c r="BV183" s="2">
        <v>19.150601199716998</v>
      </c>
      <c r="BW183" s="2">
        <v>19.049879252115701</v>
      </c>
      <c r="BX183" s="2">
        <v>19.942362441171799</v>
      </c>
      <c r="BY183" s="2">
        <v>20.090766134907</v>
      </c>
      <c r="BZ183" s="2">
        <v>21.642191062348299</v>
      </c>
      <c r="CA183" s="2">
        <v>19.733863348421899</v>
      </c>
      <c r="CB183" s="2">
        <v>20.877807422122402</v>
      </c>
      <c r="CC183" s="2">
        <v>19.328608951584101</v>
      </c>
      <c r="CD183" s="2">
        <v>19.957550432866299</v>
      </c>
      <c r="CE183" s="2">
        <v>19.226987038473801</v>
      </c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</row>
    <row r="184" spans="1:97">
      <c r="A184" s="2" t="s">
        <v>2005</v>
      </c>
      <c r="B184" s="2">
        <v>339.23219999999998</v>
      </c>
      <c r="C184" s="2">
        <v>12.686</v>
      </c>
      <c r="D184" s="2" t="s">
        <v>146</v>
      </c>
      <c r="E184" s="2" t="s">
        <v>2006</v>
      </c>
      <c r="F184" s="2" t="s">
        <v>2007</v>
      </c>
      <c r="G184" s="2">
        <v>199939</v>
      </c>
      <c r="H184" s="3" t="str">
        <f>HYPERLINK("https://cloud.oebiotech.com/#/lm/network/199939", "https://cloud.oebiotech.com/#/lm/network/199939")</f>
        <v>https://cloud.oebiotech.com/#/lm/network/199939</v>
      </c>
      <c r="I184" s="2" t="s">
        <v>2008</v>
      </c>
      <c r="J184" s="2"/>
      <c r="K184" s="2"/>
      <c r="L184" s="2">
        <v>8398</v>
      </c>
      <c r="M184" s="2"/>
      <c r="N184" s="2"/>
      <c r="O184" s="2"/>
      <c r="P184" s="2"/>
      <c r="Q184" s="2"/>
      <c r="R184" s="2"/>
      <c r="S184" s="2"/>
      <c r="T184" s="2" t="s">
        <v>2009</v>
      </c>
      <c r="U184" s="2" t="s">
        <v>2010</v>
      </c>
      <c r="V184" s="2" t="s">
        <v>385</v>
      </c>
      <c r="W184" s="2" t="s">
        <v>386</v>
      </c>
      <c r="X184" s="2" t="s">
        <v>2011</v>
      </c>
      <c r="Y184" s="2" t="s">
        <v>388</v>
      </c>
      <c r="Z184" s="2" t="s">
        <v>389</v>
      </c>
      <c r="AA184" s="2" t="s">
        <v>2012</v>
      </c>
      <c r="AB184" s="2" t="s">
        <v>101</v>
      </c>
      <c r="AC184" s="2">
        <v>71.28</v>
      </c>
      <c r="AD184" s="2">
        <v>85.14</v>
      </c>
      <c r="AE184" s="2">
        <v>90.54</v>
      </c>
      <c r="AF184" s="2" t="s">
        <v>2013</v>
      </c>
      <c r="AG184" s="2" t="s">
        <v>194</v>
      </c>
      <c r="AH184" s="2" t="s">
        <v>2014</v>
      </c>
      <c r="AI184" s="2">
        <v>2.06</v>
      </c>
      <c r="AJ184" s="2">
        <v>23.128628541947599</v>
      </c>
      <c r="AK184" s="2">
        <v>23.276824476668001</v>
      </c>
      <c r="AL184" s="2">
        <v>23.2316307488211</v>
      </c>
      <c r="AM184" s="2">
        <v>22.983048388833598</v>
      </c>
      <c r="AN184" s="2">
        <v>23.2524071407842</v>
      </c>
      <c r="AO184" s="2">
        <v>23.2582518434617</v>
      </c>
      <c r="AP184" s="2">
        <v>23.250609369330601</v>
      </c>
      <c r="AQ184" s="2">
        <v>22.776727614508001</v>
      </c>
      <c r="AR184" s="2">
        <v>17.829823675618801</v>
      </c>
      <c r="AS184" s="2">
        <v>18.406444443555699</v>
      </c>
      <c r="AT184" s="2">
        <v>18.2046232480584</v>
      </c>
      <c r="AU184" s="2">
        <v>17.2860029457708</v>
      </c>
      <c r="AV184" s="2">
        <v>19.051625145049201</v>
      </c>
      <c r="AW184" s="2">
        <v>17.213490821047799</v>
      </c>
      <c r="AX184" s="2">
        <v>17.881716830161501</v>
      </c>
      <c r="AY184" s="2">
        <v>17.264801579898698</v>
      </c>
      <c r="AZ184" s="2">
        <v>18.092435178068399</v>
      </c>
      <c r="BA184" s="2">
        <v>17.1127198813919</v>
      </c>
      <c r="BB184" s="2">
        <v>18.5234107996157</v>
      </c>
      <c r="BC184" s="2">
        <v>20.447472130144401</v>
      </c>
      <c r="BD184" s="2">
        <v>17.213221483224402</v>
      </c>
      <c r="BE184" s="2">
        <v>26.4035320455366</v>
      </c>
      <c r="BF184" s="2">
        <v>17.737050366739702</v>
      </c>
      <c r="BG184" s="2">
        <v>17.918254553423701</v>
      </c>
      <c r="BH184" s="2">
        <v>19.140093195533002</v>
      </c>
      <c r="BI184" s="2">
        <v>19.167675323482701</v>
      </c>
      <c r="BJ184" s="2">
        <v>17.271757905468199</v>
      </c>
      <c r="BK184" s="2">
        <v>17.381302386199401</v>
      </c>
      <c r="BL184" s="2">
        <v>17.050674608841401</v>
      </c>
      <c r="BM184" s="2">
        <v>17.304106805064499</v>
      </c>
      <c r="BN184" s="2">
        <v>17.288088693534899</v>
      </c>
      <c r="BO184" s="2">
        <v>18.925595177353301</v>
      </c>
      <c r="BP184" s="2">
        <v>17.725974686662099</v>
      </c>
      <c r="BQ184" s="2">
        <v>17.339623433410299</v>
      </c>
      <c r="BR184" s="2">
        <v>16.915343145675099</v>
      </c>
      <c r="BS184" s="2">
        <v>16.835005863015699</v>
      </c>
      <c r="BT184" s="2">
        <v>16.913855353710101</v>
      </c>
      <c r="BU184" s="2">
        <v>17.457778597894599</v>
      </c>
      <c r="BV184" s="2">
        <v>17.285674667277402</v>
      </c>
      <c r="BW184" s="2">
        <v>17.187718867510501</v>
      </c>
      <c r="BX184" s="2">
        <v>16.5293262282954</v>
      </c>
      <c r="BY184" s="2">
        <v>17.300376603853501</v>
      </c>
      <c r="BZ184" s="2">
        <v>17.515431278864</v>
      </c>
      <c r="CA184" s="2">
        <v>17.482610168053</v>
      </c>
      <c r="CB184" s="2">
        <v>18.177835864556101</v>
      </c>
      <c r="CC184" s="2">
        <v>16.839906212311</v>
      </c>
      <c r="CD184" s="2">
        <v>18.576622183664799</v>
      </c>
      <c r="CE184" s="2">
        <v>18.7839010500286</v>
      </c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</row>
    <row r="185" spans="1:97">
      <c r="A185" s="2" t="s">
        <v>2015</v>
      </c>
      <c r="B185" s="2">
        <v>450.26164</v>
      </c>
      <c r="C185" s="2">
        <v>10.051</v>
      </c>
      <c r="D185" s="2" t="s">
        <v>146</v>
      </c>
      <c r="E185" s="2" t="s">
        <v>2016</v>
      </c>
      <c r="F185" s="2" t="s">
        <v>2017</v>
      </c>
      <c r="G185" s="2">
        <v>21198</v>
      </c>
      <c r="H185" s="3" t="str">
        <f>HYPERLINK("https://cloud.oebiotech.com/#/lm/network/21198", "https://cloud.oebiotech.com/#/lm/network/21198")</f>
        <v>https://cloud.oebiotech.com/#/lm/network/21198</v>
      </c>
      <c r="I185" s="2" t="s">
        <v>2018</v>
      </c>
      <c r="J185" s="2">
        <v>62262</v>
      </c>
      <c r="K185" s="2" t="s">
        <v>2019</v>
      </c>
      <c r="L185" s="2">
        <v>53480923</v>
      </c>
      <c r="M185" s="2"/>
      <c r="N185" s="2"/>
      <c r="O185" s="2"/>
      <c r="P185" s="2"/>
      <c r="Q185" s="2"/>
      <c r="R185" s="2"/>
      <c r="S185" s="2"/>
      <c r="T185" s="2" t="s">
        <v>2020</v>
      </c>
      <c r="U185" s="2" t="s">
        <v>2021</v>
      </c>
      <c r="V185" s="2" t="s">
        <v>95</v>
      </c>
      <c r="W185" s="2" t="s">
        <v>202</v>
      </c>
      <c r="X185" s="2" t="s">
        <v>327</v>
      </c>
      <c r="Y185" s="2" t="s">
        <v>98</v>
      </c>
      <c r="Z185" s="2" t="s">
        <v>204</v>
      </c>
      <c r="AA185" s="2" t="s">
        <v>328</v>
      </c>
      <c r="AB185" s="2" t="s">
        <v>101</v>
      </c>
      <c r="AC185" s="2">
        <v>71.25</v>
      </c>
      <c r="AD185" s="2">
        <v>95.78</v>
      </c>
      <c r="AE185" s="2">
        <v>78.17</v>
      </c>
      <c r="AF185" s="2" t="s">
        <v>2022</v>
      </c>
      <c r="AG185" s="2" t="s">
        <v>194</v>
      </c>
      <c r="AH185" s="2" t="s">
        <v>2023</v>
      </c>
      <c r="AI185" s="2">
        <v>2.2200000000000002</v>
      </c>
      <c r="AJ185" s="2">
        <v>20.364765360553299</v>
      </c>
      <c r="AK185" s="2">
        <v>20.392449604226599</v>
      </c>
      <c r="AL185" s="2">
        <v>20.3337520467344</v>
      </c>
      <c r="AM185" s="2">
        <v>19.79194942174</v>
      </c>
      <c r="AN185" s="2">
        <v>20.295357991247201</v>
      </c>
      <c r="AO185" s="2">
        <v>20.249020836306201</v>
      </c>
      <c r="AP185" s="2">
        <v>20.1756824898454</v>
      </c>
      <c r="AQ185" s="2">
        <v>20.311387469754301</v>
      </c>
      <c r="AR185" s="2">
        <v>20.5280187129718</v>
      </c>
      <c r="AS185" s="2">
        <v>17.254359899279599</v>
      </c>
      <c r="AT185" s="2">
        <v>19.369612872648499</v>
      </c>
      <c r="AU185" s="2">
        <v>20.343251461770599</v>
      </c>
      <c r="AV185" s="2">
        <v>19.4928507093245</v>
      </c>
      <c r="AW185" s="2">
        <v>19.856874674686001</v>
      </c>
      <c r="AX185" s="2">
        <v>19.727536715820101</v>
      </c>
      <c r="AY185" s="2">
        <v>18.393366155336299</v>
      </c>
      <c r="AZ185" s="2">
        <v>20.2916760879232</v>
      </c>
      <c r="BA185" s="2">
        <v>19.524728654757801</v>
      </c>
      <c r="BB185" s="2">
        <v>19.2824458457739</v>
      </c>
      <c r="BC185" s="2">
        <v>19.329821143961802</v>
      </c>
      <c r="BD185" s="2">
        <v>19.389439617764999</v>
      </c>
      <c r="BE185" s="2">
        <v>19.357441781173002</v>
      </c>
      <c r="BF185" s="2">
        <v>20.394480478232602</v>
      </c>
      <c r="BG185" s="2">
        <v>21.506375141918401</v>
      </c>
      <c r="BH185" s="2">
        <v>19.448992914204101</v>
      </c>
      <c r="BI185" s="2">
        <v>22.697952287064101</v>
      </c>
      <c r="BJ185" s="2">
        <v>19.119548132530898</v>
      </c>
      <c r="BK185" s="2">
        <v>20.404270613177399</v>
      </c>
      <c r="BL185" s="2">
        <v>20.952732816617399</v>
      </c>
      <c r="BM185" s="2">
        <v>19.709543923420799</v>
      </c>
      <c r="BN185" s="2">
        <v>19.5714060650714</v>
      </c>
      <c r="BO185" s="2">
        <v>20.644286600615999</v>
      </c>
      <c r="BP185" s="2">
        <v>20.116674008005099</v>
      </c>
      <c r="BQ185" s="2">
        <v>20.531579908822099</v>
      </c>
      <c r="BR185" s="2">
        <v>21.244394643193701</v>
      </c>
      <c r="BS185" s="2">
        <v>20.729405802529101</v>
      </c>
      <c r="BT185" s="2">
        <v>19.581055290563</v>
      </c>
      <c r="BU185" s="2">
        <v>20.016879613968101</v>
      </c>
      <c r="BV185" s="2">
        <v>20.088143139696601</v>
      </c>
      <c r="BW185" s="2">
        <v>18.671263548167701</v>
      </c>
      <c r="BX185" s="2">
        <v>20.2514428481199</v>
      </c>
      <c r="BY185" s="2">
        <v>19.870612697605601</v>
      </c>
      <c r="BZ185" s="2">
        <v>20.2517884487884</v>
      </c>
      <c r="CA185" s="2">
        <v>20.491054812418501</v>
      </c>
      <c r="CB185" s="2">
        <v>20.19201422634</v>
      </c>
      <c r="CC185" s="2">
        <v>20.834129513877102</v>
      </c>
      <c r="CD185" s="2">
        <v>19.601427792788499</v>
      </c>
      <c r="CE185" s="2">
        <v>20.411543665012399</v>
      </c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</row>
    <row r="186" spans="1:97">
      <c r="A186" s="2" t="s">
        <v>2024</v>
      </c>
      <c r="B186" s="2">
        <v>185.11789999999999</v>
      </c>
      <c r="C186" s="2">
        <v>7.915</v>
      </c>
      <c r="D186" s="2" t="s">
        <v>146</v>
      </c>
      <c r="E186" s="2" t="s">
        <v>2025</v>
      </c>
      <c r="F186" s="2" t="s">
        <v>2026</v>
      </c>
      <c r="G186" s="2">
        <v>2063</v>
      </c>
      <c r="H186" s="3" t="str">
        <f>HYPERLINK("https://cloud.oebiotech.com/#/lm/network/2063", "https://cloud.oebiotech.com/#/lm/network/2063")</f>
        <v>https://cloud.oebiotech.com/#/lm/network/2063</v>
      </c>
      <c r="I186" s="2" t="s">
        <v>2027</v>
      </c>
      <c r="J186" s="2">
        <v>35722</v>
      </c>
      <c r="K186" s="2" t="s">
        <v>2028</v>
      </c>
      <c r="L186" s="2">
        <v>5282982</v>
      </c>
      <c r="M186" s="2"/>
      <c r="N186" s="2"/>
      <c r="O186" s="2"/>
      <c r="P186" s="2">
        <v>37157</v>
      </c>
      <c r="Q186" s="2"/>
      <c r="R186" s="2"/>
      <c r="S186" s="2"/>
      <c r="T186" s="2" t="s">
        <v>2029</v>
      </c>
      <c r="U186" s="2" t="s">
        <v>2030</v>
      </c>
      <c r="V186" s="2" t="s">
        <v>115</v>
      </c>
      <c r="W186" s="2" t="s">
        <v>403</v>
      </c>
      <c r="X186" s="2" t="s">
        <v>2031</v>
      </c>
      <c r="Y186" s="2" t="s">
        <v>118</v>
      </c>
      <c r="Z186" s="2" t="s">
        <v>405</v>
      </c>
      <c r="AA186" s="2" t="s">
        <v>2032</v>
      </c>
      <c r="AB186" s="2" t="s">
        <v>101</v>
      </c>
      <c r="AC186" s="2">
        <v>71.17</v>
      </c>
      <c r="AD186" s="2">
        <v>98.2</v>
      </c>
      <c r="AE186" s="2">
        <v>76.7</v>
      </c>
      <c r="AF186" s="2" t="s">
        <v>2033</v>
      </c>
      <c r="AG186" s="2" t="s">
        <v>194</v>
      </c>
      <c r="AH186" s="2" t="s">
        <v>2034</v>
      </c>
      <c r="AI186" s="2">
        <v>2.16</v>
      </c>
      <c r="AJ186" s="2">
        <v>22.482751014524499</v>
      </c>
      <c r="AK186" s="2">
        <v>22.408913528494502</v>
      </c>
      <c r="AL186" s="2">
        <v>22.3985378526578</v>
      </c>
      <c r="AM186" s="2">
        <v>22.426708855295399</v>
      </c>
      <c r="AN186" s="2">
        <v>22.366901417915798</v>
      </c>
      <c r="AO186" s="2">
        <v>22.418630452297101</v>
      </c>
      <c r="AP186" s="2">
        <v>22.475043312039801</v>
      </c>
      <c r="AQ186" s="2">
        <v>22.314856163738099</v>
      </c>
      <c r="AR186" s="2">
        <v>22.552627379187101</v>
      </c>
      <c r="AS186" s="2">
        <v>20.660652057488502</v>
      </c>
      <c r="AT186" s="2">
        <v>20.901129254674998</v>
      </c>
      <c r="AU186" s="2">
        <v>21.913900198201201</v>
      </c>
      <c r="AV186" s="2">
        <v>22.934220863602398</v>
      </c>
      <c r="AW186" s="2">
        <v>24.336765888445701</v>
      </c>
      <c r="AX186" s="2">
        <v>21.5687711821279</v>
      </c>
      <c r="AY186" s="2">
        <v>22.736502616199001</v>
      </c>
      <c r="AZ186" s="2">
        <v>22.166496678705901</v>
      </c>
      <c r="BA186" s="2">
        <v>20.883696333802099</v>
      </c>
      <c r="BB186" s="2">
        <v>22.205419253732099</v>
      </c>
      <c r="BC186" s="2">
        <v>21.562960491048798</v>
      </c>
      <c r="BD186" s="2">
        <v>20.993560847439799</v>
      </c>
      <c r="BE186" s="2">
        <v>22.715222743087502</v>
      </c>
      <c r="BF186" s="2">
        <v>21.984809526979099</v>
      </c>
      <c r="BG186" s="2">
        <v>21.040659227566</v>
      </c>
      <c r="BH186" s="2">
        <v>22.235314499553802</v>
      </c>
      <c r="BI186" s="2">
        <v>22.573003180597699</v>
      </c>
      <c r="BJ186" s="2">
        <v>22.314199180192901</v>
      </c>
      <c r="BK186" s="2">
        <v>23.0805639927793</v>
      </c>
      <c r="BL186" s="2">
        <v>22.1034277580282</v>
      </c>
      <c r="BM186" s="2">
        <v>21.182702837665499</v>
      </c>
      <c r="BN186" s="2">
        <v>22.8813357472768</v>
      </c>
      <c r="BO186" s="2">
        <v>21.058962784249399</v>
      </c>
      <c r="BP186" s="2">
        <v>20.740472600266301</v>
      </c>
      <c r="BQ186" s="2">
        <v>21.905106428072799</v>
      </c>
      <c r="BR186" s="2">
        <v>23.895623463672202</v>
      </c>
      <c r="BS186" s="2">
        <v>24.236719935807301</v>
      </c>
      <c r="BT186" s="2">
        <v>20.940169977254701</v>
      </c>
      <c r="BU186" s="2">
        <v>21.1388346118196</v>
      </c>
      <c r="BV186" s="2">
        <v>21.2673323277095</v>
      </c>
      <c r="BW186" s="2">
        <v>21.9722335515998</v>
      </c>
      <c r="BX186" s="2">
        <v>22.388746302633201</v>
      </c>
      <c r="BY186" s="2">
        <v>23.9803653733935</v>
      </c>
      <c r="BZ186" s="2">
        <v>22.123953078873601</v>
      </c>
      <c r="CA186" s="2">
        <v>19.104807575437299</v>
      </c>
      <c r="CB186" s="2">
        <v>21.3865104618197</v>
      </c>
      <c r="CC186" s="2">
        <v>21.322012234601701</v>
      </c>
      <c r="CD186" s="2">
        <v>22.050234880250901</v>
      </c>
      <c r="CE186" s="2">
        <v>21.920583397822998</v>
      </c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</row>
    <row r="187" spans="1:97">
      <c r="A187" s="2" t="s">
        <v>2035</v>
      </c>
      <c r="B187" s="2">
        <v>159.10230000000001</v>
      </c>
      <c r="C187" s="2">
        <v>6.556</v>
      </c>
      <c r="D187" s="2" t="s">
        <v>146</v>
      </c>
      <c r="E187" s="2" t="s">
        <v>2036</v>
      </c>
      <c r="F187" s="2" t="s">
        <v>2037</v>
      </c>
      <c r="G187" s="2">
        <v>1666</v>
      </c>
      <c r="H187" s="3" t="str">
        <f>HYPERLINK("https://cloud.oebiotech.com/#/lm/network/1666", "https://cloud.oebiotech.com/#/lm/network/1666")</f>
        <v>https://cloud.oebiotech.com/#/lm/network/1666</v>
      </c>
      <c r="I187" s="2" t="s">
        <v>2038</v>
      </c>
      <c r="J187" s="2">
        <v>35402</v>
      </c>
      <c r="K187" s="2" t="s">
        <v>2039</v>
      </c>
      <c r="L187" s="2">
        <v>94180</v>
      </c>
      <c r="M187" s="2"/>
      <c r="N187" s="2"/>
      <c r="O187" s="2"/>
      <c r="P187" s="2">
        <v>86543</v>
      </c>
      <c r="Q187" s="2"/>
      <c r="R187" s="2"/>
      <c r="S187" s="2" t="s">
        <v>2040</v>
      </c>
      <c r="T187" s="2" t="s">
        <v>2041</v>
      </c>
      <c r="U187" s="2" t="s">
        <v>2042</v>
      </c>
      <c r="V187" s="2" t="s">
        <v>95</v>
      </c>
      <c r="W187" s="2" t="s">
        <v>96</v>
      </c>
      <c r="X187" s="2" t="s">
        <v>141</v>
      </c>
      <c r="Y187" s="2" t="s">
        <v>98</v>
      </c>
      <c r="Z187" s="2" t="s">
        <v>99</v>
      </c>
      <c r="AA187" s="2" t="s">
        <v>142</v>
      </c>
      <c r="AB187" s="2" t="s">
        <v>101</v>
      </c>
      <c r="AC187" s="2">
        <v>71.16</v>
      </c>
      <c r="AD187" s="2">
        <v>94.68</v>
      </c>
      <c r="AE187" s="2">
        <v>79.92</v>
      </c>
      <c r="AF187" s="2" t="s">
        <v>2043</v>
      </c>
      <c r="AG187" s="2" t="s">
        <v>194</v>
      </c>
      <c r="AH187" s="2" t="s">
        <v>2044</v>
      </c>
      <c r="AI187" s="2">
        <v>2.5099999999999998</v>
      </c>
      <c r="AJ187" s="2">
        <v>21.391763297688001</v>
      </c>
      <c r="AK187" s="2">
        <v>21.238852543804601</v>
      </c>
      <c r="AL187" s="2">
        <v>21.208432392094501</v>
      </c>
      <c r="AM187" s="2">
        <v>21.237634360467698</v>
      </c>
      <c r="AN187" s="2">
        <v>21.331118849289101</v>
      </c>
      <c r="AO187" s="2">
        <v>21.322926283511201</v>
      </c>
      <c r="AP187" s="2">
        <v>21.269851255000901</v>
      </c>
      <c r="AQ187" s="2">
        <v>21.2740703960499</v>
      </c>
      <c r="AR187" s="2">
        <v>21.3742061203621</v>
      </c>
      <c r="AS187" s="2">
        <v>19.5712198915299</v>
      </c>
      <c r="AT187" s="2">
        <v>20.4240428371834</v>
      </c>
      <c r="AU187" s="2">
        <v>20.5278239921718</v>
      </c>
      <c r="AV187" s="2">
        <v>20.808307513244898</v>
      </c>
      <c r="AW187" s="2">
        <v>21.9128986313128</v>
      </c>
      <c r="AX187" s="2">
        <v>20.48912270368</v>
      </c>
      <c r="AY187" s="2">
        <v>21.010952988859501</v>
      </c>
      <c r="AZ187" s="2">
        <v>20.654215811141398</v>
      </c>
      <c r="BA187" s="2">
        <v>20.1371763318711</v>
      </c>
      <c r="BB187" s="2">
        <v>20.9400710052923</v>
      </c>
      <c r="BC187" s="2">
        <v>20.896894302330999</v>
      </c>
      <c r="BD187" s="2">
        <v>20.3025472375794</v>
      </c>
      <c r="BE187" s="2">
        <v>21.308514846328499</v>
      </c>
      <c r="BF187" s="2">
        <v>20.4807961264721</v>
      </c>
      <c r="BG187" s="2">
        <v>19.9171784071407</v>
      </c>
      <c r="BH187" s="2">
        <v>21.1800828031934</v>
      </c>
      <c r="BI187" s="2">
        <v>21.198792711604</v>
      </c>
      <c r="BJ187" s="2">
        <v>21.3716621588392</v>
      </c>
      <c r="BK187" s="2">
        <v>21.169710638571399</v>
      </c>
      <c r="BL187" s="2">
        <v>21.1263077323561</v>
      </c>
      <c r="BM187" s="2">
        <v>20.848107727918698</v>
      </c>
      <c r="BN187" s="2">
        <v>21.643796562019901</v>
      </c>
      <c r="BO187" s="2">
        <v>19.893150723729399</v>
      </c>
      <c r="BP187" s="2">
        <v>19.961260450921699</v>
      </c>
      <c r="BQ187" s="2">
        <v>21.602531565318301</v>
      </c>
      <c r="BR187" s="2">
        <v>22.0697533826296</v>
      </c>
      <c r="BS187" s="2">
        <v>21.843172459513799</v>
      </c>
      <c r="BT187" s="2">
        <v>20.908548615586799</v>
      </c>
      <c r="BU187" s="2">
        <v>20.454795399838002</v>
      </c>
      <c r="BV187" s="2">
        <v>20.313177738129099</v>
      </c>
      <c r="BW187" s="2">
        <v>18.8055947905792</v>
      </c>
      <c r="BX187" s="2">
        <v>19.976521653566799</v>
      </c>
      <c r="BY187" s="2">
        <v>21.863914867818899</v>
      </c>
      <c r="BZ187" s="2">
        <v>20.419287274706601</v>
      </c>
      <c r="CA187" s="2">
        <v>20.496686398362101</v>
      </c>
      <c r="CB187" s="2">
        <v>22.671481153435501</v>
      </c>
      <c r="CC187" s="2">
        <v>21.418943578863001</v>
      </c>
      <c r="CD187" s="2">
        <v>21.086253046026901</v>
      </c>
      <c r="CE187" s="2">
        <v>21.138559392177701</v>
      </c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</row>
    <row r="188" spans="1:97">
      <c r="A188" s="2" t="s">
        <v>2045</v>
      </c>
      <c r="B188" s="2">
        <v>147.02952999999999</v>
      </c>
      <c r="C188" s="2">
        <v>0.79600000000000004</v>
      </c>
      <c r="D188" s="2" t="s">
        <v>146</v>
      </c>
      <c r="E188" s="2" t="s">
        <v>2046</v>
      </c>
      <c r="F188" s="2" t="s">
        <v>2047</v>
      </c>
      <c r="G188" s="2">
        <v>47705</v>
      </c>
      <c r="H188" s="3" t="str">
        <f>HYPERLINK("https://cloud.oebiotech.com/#/lm/network/47705", "https://cloud.oebiotech.com/#/lm/network/47705")</f>
        <v>https://cloud.oebiotech.com/#/lm/network/47705</v>
      </c>
      <c r="I188" s="2" t="s">
        <v>2048</v>
      </c>
      <c r="J188" s="2">
        <v>6380</v>
      </c>
      <c r="K188" s="2"/>
      <c r="L188" s="2">
        <v>111064</v>
      </c>
      <c r="M188" s="2" t="s">
        <v>2049</v>
      </c>
      <c r="N188" s="2"/>
      <c r="O188" s="2"/>
      <c r="P188" s="2">
        <v>74168</v>
      </c>
      <c r="Q188" s="2"/>
      <c r="R188" s="2"/>
      <c r="S188" s="2" t="s">
        <v>2050</v>
      </c>
      <c r="T188" s="2" t="s">
        <v>2051</v>
      </c>
      <c r="U188" s="2" t="s">
        <v>2052</v>
      </c>
      <c r="V188" s="2" t="s">
        <v>338</v>
      </c>
      <c r="W188" s="2" t="s">
        <v>339</v>
      </c>
      <c r="X188" s="2" t="s">
        <v>663</v>
      </c>
      <c r="Y188" s="2" t="s">
        <v>341</v>
      </c>
      <c r="Z188" s="2" t="s">
        <v>341</v>
      </c>
      <c r="AA188" s="2" t="s">
        <v>664</v>
      </c>
      <c r="AB188" s="2" t="s">
        <v>101</v>
      </c>
      <c r="AC188" s="2">
        <v>71.14</v>
      </c>
      <c r="AD188" s="2">
        <v>96.44</v>
      </c>
      <c r="AE188" s="2">
        <v>79.11</v>
      </c>
      <c r="AF188" s="2" t="s">
        <v>2053</v>
      </c>
      <c r="AG188" s="2" t="s">
        <v>194</v>
      </c>
      <c r="AH188" s="2" t="s">
        <v>2054</v>
      </c>
      <c r="AI188" s="2">
        <v>2.72</v>
      </c>
      <c r="AJ188" s="2">
        <v>22.765191855168499</v>
      </c>
      <c r="AK188" s="2">
        <v>23.220229687724299</v>
      </c>
      <c r="AL188" s="2">
        <v>23.269553659015799</v>
      </c>
      <c r="AM188" s="2">
        <v>23.464460789912099</v>
      </c>
      <c r="AN188" s="2">
        <v>23.226274177799102</v>
      </c>
      <c r="AO188" s="2">
        <v>22.893352929689101</v>
      </c>
      <c r="AP188" s="2">
        <v>23.160446059024501</v>
      </c>
      <c r="AQ188" s="2">
        <v>23.260876157074399</v>
      </c>
      <c r="AR188" s="2">
        <v>22.899828773234798</v>
      </c>
      <c r="AS188" s="2">
        <v>22.7074737993015</v>
      </c>
      <c r="AT188" s="2">
        <v>22.638211807912601</v>
      </c>
      <c r="AU188" s="2">
        <v>23.2731979709787</v>
      </c>
      <c r="AV188" s="2">
        <v>22.8778931347839</v>
      </c>
      <c r="AW188" s="2">
        <v>23.301701989254902</v>
      </c>
      <c r="AX188" s="2">
        <v>22.871541323963001</v>
      </c>
      <c r="AY188" s="2">
        <v>23.225802749131301</v>
      </c>
      <c r="AZ188" s="2">
        <v>23.2844374854031</v>
      </c>
      <c r="BA188" s="2">
        <v>23.097633621919002</v>
      </c>
      <c r="BB188" s="2">
        <v>23.240155713664201</v>
      </c>
      <c r="BC188" s="2">
        <v>23.169175463835899</v>
      </c>
      <c r="BD188" s="2">
        <v>23.234218336106501</v>
      </c>
      <c r="BE188" s="2">
        <v>23.428795570863301</v>
      </c>
      <c r="BF188" s="2">
        <v>22.9577091167479</v>
      </c>
      <c r="BG188" s="2">
        <v>23.278762455244099</v>
      </c>
      <c r="BH188" s="2">
        <v>22.808969328637701</v>
      </c>
      <c r="BI188" s="2">
        <v>23.361252896236699</v>
      </c>
      <c r="BJ188" s="2">
        <v>23.2231937911911</v>
      </c>
      <c r="BK188" s="2">
        <v>23.0528065891442</v>
      </c>
      <c r="BL188" s="2">
        <v>23.209924871321299</v>
      </c>
      <c r="BM188" s="2">
        <v>23.453182483246302</v>
      </c>
      <c r="BN188" s="2">
        <v>23.371384464654501</v>
      </c>
      <c r="BO188" s="2">
        <v>23.291562867260801</v>
      </c>
      <c r="BP188" s="2">
        <v>23.213782322042601</v>
      </c>
      <c r="BQ188" s="2">
        <v>22.5913344271091</v>
      </c>
      <c r="BR188" s="2">
        <v>22.866026156042899</v>
      </c>
      <c r="BS188" s="2">
        <v>22.8332400718865</v>
      </c>
      <c r="BT188" s="2">
        <v>23.163786254015701</v>
      </c>
      <c r="BU188" s="2">
        <v>22.431509114501601</v>
      </c>
      <c r="BV188" s="2">
        <v>23.502408035904001</v>
      </c>
      <c r="BW188" s="2">
        <v>23.181538952819501</v>
      </c>
      <c r="BX188" s="2">
        <v>22.887125760158899</v>
      </c>
      <c r="BY188" s="2">
        <v>22.393266266232001</v>
      </c>
      <c r="BZ188" s="2">
        <v>23.5070515261297</v>
      </c>
      <c r="CA188" s="2">
        <v>22.785700761224099</v>
      </c>
      <c r="CB188" s="2">
        <v>23.330234481018099</v>
      </c>
      <c r="CC188" s="2">
        <v>22.612901827398598</v>
      </c>
      <c r="CD188" s="2">
        <v>23.1233729822542</v>
      </c>
      <c r="CE188" s="2">
        <v>22.686094826721899</v>
      </c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</row>
    <row r="189" spans="1:97">
      <c r="A189" s="2" t="s">
        <v>2055</v>
      </c>
      <c r="B189" s="2">
        <v>298.09631000000002</v>
      </c>
      <c r="C189" s="2">
        <v>3.6869999999999998</v>
      </c>
      <c r="D189" s="2" t="s">
        <v>84</v>
      </c>
      <c r="E189" s="2" t="s">
        <v>2056</v>
      </c>
      <c r="F189" s="2" t="s">
        <v>2057</v>
      </c>
      <c r="G189" s="2">
        <v>47430</v>
      </c>
      <c r="H189" s="3" t="str">
        <f>HYPERLINK("https://cloud.oebiotech.com/#/lm/network/47430", "https://cloud.oebiotech.com/#/lm/network/47430")</f>
        <v>https://cloud.oebiotech.com/#/lm/network/47430</v>
      </c>
      <c r="I189" s="2" t="s">
        <v>2058</v>
      </c>
      <c r="J189" s="2">
        <v>3425</v>
      </c>
      <c r="K189" s="2"/>
      <c r="L189" s="2">
        <v>439176</v>
      </c>
      <c r="M189" s="2" t="s">
        <v>2059</v>
      </c>
      <c r="N189" s="2" t="s">
        <v>1585</v>
      </c>
      <c r="O189" s="2" t="s">
        <v>1586</v>
      </c>
      <c r="P189" s="2">
        <v>17509</v>
      </c>
      <c r="Q189" s="2" t="s">
        <v>2060</v>
      </c>
      <c r="R189" s="2" t="s">
        <v>2061</v>
      </c>
      <c r="S189" s="2" t="s">
        <v>2062</v>
      </c>
      <c r="T189" s="2" t="s">
        <v>2063</v>
      </c>
      <c r="U189" s="2" t="s">
        <v>2064</v>
      </c>
      <c r="V189" s="2" t="s">
        <v>818</v>
      </c>
      <c r="W189" s="2" t="s">
        <v>2065</v>
      </c>
      <c r="X189" s="2" t="s">
        <v>2066</v>
      </c>
      <c r="Y189" s="2" t="s">
        <v>820</v>
      </c>
      <c r="Z189" s="2" t="s">
        <v>2067</v>
      </c>
      <c r="AA189" s="2" t="s">
        <v>2068</v>
      </c>
      <c r="AB189" s="2" t="s">
        <v>101</v>
      </c>
      <c r="AC189" s="2">
        <v>71.13</v>
      </c>
      <c r="AD189" s="2">
        <v>89.09</v>
      </c>
      <c r="AE189" s="2">
        <v>86.38</v>
      </c>
      <c r="AF189" s="2" t="s">
        <v>2069</v>
      </c>
      <c r="AG189" s="2" t="s">
        <v>103</v>
      </c>
      <c r="AH189" s="2" t="s">
        <v>2070</v>
      </c>
      <c r="AI189" s="2">
        <v>1.68</v>
      </c>
      <c r="AJ189" s="2">
        <v>19.130847260276202</v>
      </c>
      <c r="AK189" s="2">
        <v>19.156916064065399</v>
      </c>
      <c r="AL189" s="2">
        <v>19.700260582591302</v>
      </c>
      <c r="AM189" s="2">
        <v>18.756311172537998</v>
      </c>
      <c r="AN189" s="2">
        <v>19.940978149515299</v>
      </c>
      <c r="AO189" s="2">
        <v>19.8779560009752</v>
      </c>
      <c r="AP189" s="2">
        <v>19.687939074904499</v>
      </c>
      <c r="AQ189" s="2">
        <v>19.9938649694171</v>
      </c>
      <c r="AR189" s="2">
        <v>18.1278455434372</v>
      </c>
      <c r="AS189" s="2">
        <v>15.615334504845199</v>
      </c>
      <c r="AT189" s="2">
        <v>18.725358635100601</v>
      </c>
      <c r="AU189" s="2">
        <v>18.939871147567999</v>
      </c>
      <c r="AV189" s="2">
        <v>18.700308916495299</v>
      </c>
      <c r="AW189" s="2">
        <v>19.030288816680201</v>
      </c>
      <c r="AX189" s="2">
        <v>18.687490166567201</v>
      </c>
      <c r="AY189" s="2">
        <v>18.477111260836001</v>
      </c>
      <c r="AZ189" s="2">
        <v>18.491172210921999</v>
      </c>
      <c r="BA189" s="2">
        <v>19.125431961151101</v>
      </c>
      <c r="BB189" s="2">
        <v>19.645968845517501</v>
      </c>
      <c r="BC189" s="2">
        <v>18.450825751303601</v>
      </c>
      <c r="BD189" s="2">
        <v>18.797660069480699</v>
      </c>
      <c r="BE189" s="2">
        <v>19.153755618709599</v>
      </c>
      <c r="BF189" s="2">
        <v>19.044560533931701</v>
      </c>
      <c r="BG189" s="2">
        <v>18.934844640907802</v>
      </c>
      <c r="BH189" s="2">
        <v>19.132814807811499</v>
      </c>
      <c r="BI189" s="2">
        <v>19.6126922593355</v>
      </c>
      <c r="BJ189" s="2">
        <v>18.725402374084702</v>
      </c>
      <c r="BK189" s="2">
        <v>18.8747567192868</v>
      </c>
      <c r="BL189" s="2">
        <v>18.6950619352728</v>
      </c>
      <c r="BM189" s="2">
        <v>19.8543933627701</v>
      </c>
      <c r="BN189" s="2">
        <v>19.952977936984901</v>
      </c>
      <c r="BO189" s="2">
        <v>19.432427819262902</v>
      </c>
      <c r="BP189" s="2">
        <v>19.3370503532723</v>
      </c>
      <c r="BQ189" s="2">
        <v>19.653727713038901</v>
      </c>
      <c r="BR189" s="2">
        <v>18.782375927850499</v>
      </c>
      <c r="BS189" s="2">
        <v>19.576162473188301</v>
      </c>
      <c r="BT189" s="2">
        <v>19.693017100564798</v>
      </c>
      <c r="BU189" s="2">
        <v>18.8008195661454</v>
      </c>
      <c r="BV189" s="2">
        <v>19.409124695054601</v>
      </c>
      <c r="BW189" s="2">
        <v>18.4323144632368</v>
      </c>
      <c r="BX189" s="2">
        <v>18.827366710078898</v>
      </c>
      <c r="BY189" s="2">
        <v>20.409217975160502</v>
      </c>
      <c r="BZ189" s="2">
        <v>19.501330753596299</v>
      </c>
      <c r="CA189" s="2">
        <v>19.6868068409802</v>
      </c>
      <c r="CB189" s="2">
        <v>18.6082136289691</v>
      </c>
      <c r="CC189" s="2">
        <v>19.4850678596367</v>
      </c>
      <c r="CD189" s="2">
        <v>19.623724218796699</v>
      </c>
      <c r="CE189" s="2">
        <v>19.833972191785598</v>
      </c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</row>
    <row r="190" spans="1:97">
      <c r="A190" s="2" t="s">
        <v>2071</v>
      </c>
      <c r="B190" s="2">
        <v>480.30770999999999</v>
      </c>
      <c r="C190" s="2">
        <v>10.712</v>
      </c>
      <c r="D190" s="2" t="s">
        <v>84</v>
      </c>
      <c r="E190" s="2" t="s">
        <v>2072</v>
      </c>
      <c r="F190" s="2" t="s">
        <v>2073</v>
      </c>
      <c r="G190" s="2">
        <v>21201</v>
      </c>
      <c r="H190" s="3" t="str">
        <f>HYPERLINK("https://cloud.oebiotech.com/#/lm/network/21201", "https://cloud.oebiotech.com/#/lm/network/21201")</f>
        <v>https://cloud.oebiotech.com/#/lm/network/21201</v>
      </c>
      <c r="I190" s="2" t="s">
        <v>2074</v>
      </c>
      <c r="J190" s="2">
        <v>62264</v>
      </c>
      <c r="K190" s="2" t="s">
        <v>2075</v>
      </c>
      <c r="L190" s="2">
        <v>53480925</v>
      </c>
      <c r="M190" s="2"/>
      <c r="N190" s="2"/>
      <c r="O190" s="2"/>
      <c r="P190" s="2">
        <v>76088</v>
      </c>
      <c r="Q190" s="2"/>
      <c r="R190" s="2"/>
      <c r="S190" s="2"/>
      <c r="T190" s="2" t="s">
        <v>2076</v>
      </c>
      <c r="U190" s="2" t="s">
        <v>2077</v>
      </c>
      <c r="V190" s="2" t="s">
        <v>95</v>
      </c>
      <c r="W190" s="2" t="s">
        <v>202</v>
      </c>
      <c r="X190" s="2" t="s">
        <v>327</v>
      </c>
      <c r="Y190" s="2" t="s">
        <v>98</v>
      </c>
      <c r="Z190" s="2" t="s">
        <v>204</v>
      </c>
      <c r="AA190" s="2" t="s">
        <v>328</v>
      </c>
      <c r="AB190" s="2" t="s">
        <v>101</v>
      </c>
      <c r="AC190" s="2">
        <v>71.13</v>
      </c>
      <c r="AD190" s="2">
        <v>95.03</v>
      </c>
      <c r="AE190" s="2">
        <v>74.69</v>
      </c>
      <c r="AF190" s="2" t="s">
        <v>2078</v>
      </c>
      <c r="AG190" s="2" t="s">
        <v>103</v>
      </c>
      <c r="AH190" s="2" t="s">
        <v>330</v>
      </c>
      <c r="AI190" s="2">
        <v>1.67</v>
      </c>
      <c r="AJ190" s="2">
        <v>22.924839222469799</v>
      </c>
      <c r="AK190" s="2">
        <v>22.884905047215199</v>
      </c>
      <c r="AL190" s="2">
        <v>22.991354749651901</v>
      </c>
      <c r="AM190" s="2">
        <v>22.8207592828076</v>
      </c>
      <c r="AN190" s="2">
        <v>22.833747852330902</v>
      </c>
      <c r="AO190" s="2">
        <v>22.841639521328801</v>
      </c>
      <c r="AP190" s="2">
        <v>22.898485996913699</v>
      </c>
      <c r="AQ190" s="2">
        <v>22.994257206672099</v>
      </c>
      <c r="AR190" s="2">
        <v>23.655834875938901</v>
      </c>
      <c r="AS190" s="2">
        <v>21.312997909705899</v>
      </c>
      <c r="AT190" s="2">
        <v>21.8098822750223</v>
      </c>
      <c r="AU190" s="2">
        <v>23.148033749818001</v>
      </c>
      <c r="AV190" s="2">
        <v>23.011557016570599</v>
      </c>
      <c r="AW190" s="2">
        <v>23.1568707824093</v>
      </c>
      <c r="AX190" s="2">
        <v>22.950074946069599</v>
      </c>
      <c r="AY190" s="2">
        <v>22.505018532302099</v>
      </c>
      <c r="AZ190" s="2">
        <v>22.924695142740699</v>
      </c>
      <c r="BA190" s="2">
        <v>22.1299110308493</v>
      </c>
      <c r="BB190" s="2">
        <v>21.423142440595701</v>
      </c>
      <c r="BC190" s="2">
        <v>22.209875296174101</v>
      </c>
      <c r="BD190" s="2">
        <v>22.299866620947</v>
      </c>
      <c r="BE190" s="2">
        <v>22.409241597289199</v>
      </c>
      <c r="BF190" s="2">
        <v>22.6049607699962</v>
      </c>
      <c r="BG190" s="2">
        <v>22.6678067673502</v>
      </c>
      <c r="BH190" s="2">
        <v>23.3201528369474</v>
      </c>
      <c r="BI190" s="2">
        <v>23.262849926881401</v>
      </c>
      <c r="BJ190" s="2">
        <v>22.395454926827501</v>
      </c>
      <c r="BK190" s="2">
        <v>22.461791972878</v>
      </c>
      <c r="BL190" s="2">
        <v>23.095992904077299</v>
      </c>
      <c r="BM190" s="2">
        <v>23.762548491299601</v>
      </c>
      <c r="BN190" s="2">
        <v>24.228835359233301</v>
      </c>
      <c r="BO190" s="2">
        <v>22.184029766030999</v>
      </c>
      <c r="BP190" s="2">
        <v>22.382313683006998</v>
      </c>
      <c r="BQ190" s="2">
        <v>23.184394819345499</v>
      </c>
      <c r="BR190" s="2">
        <v>23.282192452601102</v>
      </c>
      <c r="BS190" s="2">
        <v>23.524465889995302</v>
      </c>
      <c r="BT190" s="2">
        <v>22.646673824306799</v>
      </c>
      <c r="BU190" s="2">
        <v>22.273141020555801</v>
      </c>
      <c r="BV190" s="2">
        <v>21.912132550668201</v>
      </c>
      <c r="BW190" s="2">
        <v>22.0243496387018</v>
      </c>
      <c r="BX190" s="2">
        <v>23.728482423340399</v>
      </c>
      <c r="BY190" s="2">
        <v>23.390461880979998</v>
      </c>
      <c r="BZ190" s="2">
        <v>22.686242391459899</v>
      </c>
      <c r="CA190" s="2">
        <v>23.208444192640499</v>
      </c>
      <c r="CB190" s="2">
        <v>22.965435616473599</v>
      </c>
      <c r="CC190" s="2">
        <v>22.781972254965201</v>
      </c>
      <c r="CD190" s="2">
        <v>22.6615840134134</v>
      </c>
      <c r="CE190" s="2">
        <v>21.904633339195598</v>
      </c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</row>
    <row r="191" spans="1:97">
      <c r="A191" s="2" t="s">
        <v>2079</v>
      </c>
      <c r="B191" s="2">
        <v>307.26366000000002</v>
      </c>
      <c r="C191" s="2">
        <v>13.904</v>
      </c>
      <c r="D191" s="2" t="s">
        <v>146</v>
      </c>
      <c r="E191" s="2" t="s">
        <v>2080</v>
      </c>
      <c r="F191" s="2" t="s">
        <v>2081</v>
      </c>
      <c r="G191" s="2">
        <v>637</v>
      </c>
      <c r="H191" s="3" t="str">
        <f>HYPERLINK("https://cloud.oebiotech.com/#/lm/network/637", "https://cloud.oebiotech.com/#/lm/network/637")</f>
        <v>https://cloud.oebiotech.com/#/lm/network/637</v>
      </c>
      <c r="I191" s="2"/>
      <c r="J191" s="2">
        <v>24088</v>
      </c>
      <c r="K191" s="2" t="s">
        <v>2082</v>
      </c>
      <c r="L191" s="2">
        <v>5282805</v>
      </c>
      <c r="M191" s="2"/>
      <c r="N191" s="2"/>
      <c r="O191" s="2"/>
      <c r="P191" s="2"/>
      <c r="Q191" s="2"/>
      <c r="R191" s="2"/>
      <c r="S191" s="2" t="s">
        <v>2083</v>
      </c>
      <c r="T191" s="2" t="s">
        <v>2084</v>
      </c>
      <c r="U191" s="2" t="s">
        <v>2085</v>
      </c>
      <c r="V191" s="2" t="s">
        <v>95</v>
      </c>
      <c r="W191" s="2" t="s">
        <v>96</v>
      </c>
      <c r="X191" s="2" t="s">
        <v>141</v>
      </c>
      <c r="Y191" s="2" t="s">
        <v>98</v>
      </c>
      <c r="Z191" s="2" t="s">
        <v>99</v>
      </c>
      <c r="AA191" s="2" t="s">
        <v>142</v>
      </c>
      <c r="AB191" s="2" t="s">
        <v>101</v>
      </c>
      <c r="AC191" s="2">
        <v>71.11</v>
      </c>
      <c r="AD191" s="2">
        <v>97.24</v>
      </c>
      <c r="AE191" s="2">
        <v>78.209999999999994</v>
      </c>
      <c r="AF191" s="2" t="s">
        <v>2086</v>
      </c>
      <c r="AG191" s="2" t="s">
        <v>194</v>
      </c>
      <c r="AH191" s="2" t="s">
        <v>2087</v>
      </c>
      <c r="AI191" s="2">
        <v>1.95</v>
      </c>
      <c r="AJ191" s="2">
        <v>20.123340623002999</v>
      </c>
      <c r="AK191" s="2">
        <v>20.215575324827601</v>
      </c>
      <c r="AL191" s="2">
        <v>19.773422130761201</v>
      </c>
      <c r="AM191" s="2">
        <v>19.159381100534901</v>
      </c>
      <c r="AN191" s="2">
        <v>19.695226507024199</v>
      </c>
      <c r="AO191" s="2">
        <v>20.3565439583559</v>
      </c>
      <c r="AP191" s="2">
        <v>20.040953361789398</v>
      </c>
      <c r="AQ191" s="2">
        <v>20.110270540857101</v>
      </c>
      <c r="AR191" s="2">
        <v>17.5167683450127</v>
      </c>
      <c r="AS191" s="2">
        <v>18.798639686385901</v>
      </c>
      <c r="AT191" s="2">
        <v>20.501803400490999</v>
      </c>
      <c r="AU191" s="2">
        <v>18.348973175148299</v>
      </c>
      <c r="AV191" s="2">
        <v>19.086412842248802</v>
      </c>
      <c r="AW191" s="2">
        <v>19.355548261885101</v>
      </c>
      <c r="AX191" s="2">
        <v>20.596466163573801</v>
      </c>
      <c r="AY191" s="2">
        <v>18.368066081415499</v>
      </c>
      <c r="AZ191" s="2">
        <v>18.072246514280899</v>
      </c>
      <c r="BA191" s="2">
        <v>19.910767145841898</v>
      </c>
      <c r="BB191" s="2">
        <v>20.451409519074002</v>
      </c>
      <c r="BC191" s="2">
        <v>21.371490511930201</v>
      </c>
      <c r="BD191" s="2">
        <v>16.788308336801499</v>
      </c>
      <c r="BE191" s="2">
        <v>18.1818828458916</v>
      </c>
      <c r="BF191" s="2">
        <v>19.2866296590404</v>
      </c>
      <c r="BG191" s="2">
        <v>20.645010896215101</v>
      </c>
      <c r="BH191" s="2">
        <v>18.941215257842</v>
      </c>
      <c r="BI191" s="2">
        <v>19.266677599822501</v>
      </c>
      <c r="BJ191" s="2">
        <v>19.706906044748202</v>
      </c>
      <c r="BK191" s="2">
        <v>17.948764344718999</v>
      </c>
      <c r="BL191" s="2">
        <v>20.791849801387901</v>
      </c>
      <c r="BM191" s="2">
        <v>18.944498346926999</v>
      </c>
      <c r="BN191" s="2">
        <v>18.5463010252987</v>
      </c>
      <c r="BO191" s="2">
        <v>19.166877180795399</v>
      </c>
      <c r="BP191" s="2">
        <v>20.147470314494999</v>
      </c>
      <c r="BQ191" s="2">
        <v>19.9427480973693</v>
      </c>
      <c r="BR191" s="2">
        <v>20.064441316728399</v>
      </c>
      <c r="BS191" s="2">
        <v>18.168294130854701</v>
      </c>
      <c r="BT191" s="2">
        <v>19.222686644803201</v>
      </c>
      <c r="BU191" s="2">
        <v>19.8138393142507</v>
      </c>
      <c r="BV191" s="2">
        <v>21.245712519617499</v>
      </c>
      <c r="BW191" s="2">
        <v>20.3175477320172</v>
      </c>
      <c r="BX191" s="2">
        <v>19.2880958375024</v>
      </c>
      <c r="BY191" s="2">
        <v>19.352610941563299</v>
      </c>
      <c r="BZ191" s="2">
        <v>19.872689517539801</v>
      </c>
      <c r="CA191" s="2">
        <v>18.504242520524301</v>
      </c>
      <c r="CB191" s="2">
        <v>20.924160792044901</v>
      </c>
      <c r="CC191" s="2">
        <v>20.229406555819001</v>
      </c>
      <c r="CD191" s="2">
        <v>19.877931205205499</v>
      </c>
      <c r="CE191" s="2">
        <v>20.963399910229299</v>
      </c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</row>
    <row r="192" spans="1:97">
      <c r="A192" s="2" t="s">
        <v>2088</v>
      </c>
      <c r="B192" s="2">
        <v>232.1541</v>
      </c>
      <c r="C192" s="2">
        <v>3.3050000000000002</v>
      </c>
      <c r="D192" s="2" t="s">
        <v>84</v>
      </c>
      <c r="E192" s="2" t="s">
        <v>2089</v>
      </c>
      <c r="F192" s="2" t="s">
        <v>2090</v>
      </c>
      <c r="G192" s="2">
        <v>8285</v>
      </c>
      <c r="H192" s="3" t="str">
        <f>HYPERLINK("https://cloud.oebiotech.com/#/lm/network/8285", "https://cloud.oebiotech.com/#/lm/network/8285")</f>
        <v>https://cloud.oebiotech.com/#/lm/network/8285</v>
      </c>
      <c r="I192" s="2" t="s">
        <v>2091</v>
      </c>
      <c r="J192" s="2">
        <v>964</v>
      </c>
      <c r="K192" s="2" t="s">
        <v>2092</v>
      </c>
      <c r="L192" s="2">
        <v>213144</v>
      </c>
      <c r="M192" s="2" t="s">
        <v>2093</v>
      </c>
      <c r="N192" s="2"/>
      <c r="O192" s="2"/>
      <c r="P192" s="2">
        <v>21949</v>
      </c>
      <c r="Q192" s="2"/>
      <c r="R192" s="2"/>
      <c r="S192" s="2" t="s">
        <v>2094</v>
      </c>
      <c r="T192" s="2" t="s">
        <v>2095</v>
      </c>
      <c r="U192" s="2" t="s">
        <v>2096</v>
      </c>
      <c r="V192" s="2" t="s">
        <v>95</v>
      </c>
      <c r="W192" s="2" t="s">
        <v>96</v>
      </c>
      <c r="X192" s="2" t="s">
        <v>97</v>
      </c>
      <c r="Y192" s="2" t="s">
        <v>98</v>
      </c>
      <c r="Z192" s="2" t="s">
        <v>99</v>
      </c>
      <c r="AA192" s="2" t="s">
        <v>100</v>
      </c>
      <c r="AB192" s="2" t="s">
        <v>101</v>
      </c>
      <c r="AC192" s="2">
        <v>71.099999999999994</v>
      </c>
      <c r="AD192" s="2">
        <v>93.24</v>
      </c>
      <c r="AE192" s="2">
        <v>94.1</v>
      </c>
      <c r="AF192" s="2" t="s">
        <v>2097</v>
      </c>
      <c r="AG192" s="2" t="s">
        <v>103</v>
      </c>
      <c r="AH192" s="2" t="s">
        <v>2098</v>
      </c>
      <c r="AI192" s="2">
        <v>0.86</v>
      </c>
      <c r="AJ192" s="2">
        <v>22.709079038419102</v>
      </c>
      <c r="AK192" s="2">
        <v>21.874994412385799</v>
      </c>
      <c r="AL192" s="2">
        <v>21.728953776731899</v>
      </c>
      <c r="AM192" s="2">
        <v>22.203059051687401</v>
      </c>
      <c r="AN192" s="2">
        <v>22.43954472275</v>
      </c>
      <c r="AO192" s="2">
        <v>22.435990608666501</v>
      </c>
      <c r="AP192" s="2">
        <v>22.203916501460601</v>
      </c>
      <c r="AQ192" s="2">
        <v>22.979974382012699</v>
      </c>
      <c r="AR192" s="2">
        <v>22.5320919617253</v>
      </c>
      <c r="AS192" s="2">
        <v>22.034945544656001</v>
      </c>
      <c r="AT192" s="2">
        <v>21.5722160606568</v>
      </c>
      <c r="AU192" s="2">
        <v>22.684451626913599</v>
      </c>
      <c r="AV192" s="2">
        <v>21.081216304443501</v>
      </c>
      <c r="AW192" s="2">
        <v>23.114959673784401</v>
      </c>
      <c r="AX192" s="2">
        <v>22.4968816793169</v>
      </c>
      <c r="AY192" s="2">
        <v>21.5085060662236</v>
      </c>
      <c r="AZ192" s="2">
        <v>22.216768240300599</v>
      </c>
      <c r="BA192" s="2">
        <v>21.096856621165799</v>
      </c>
      <c r="BB192" s="2">
        <v>22.9307103848667</v>
      </c>
      <c r="BC192" s="2">
        <v>22.338198010381699</v>
      </c>
      <c r="BD192" s="2">
        <v>21.829606927314899</v>
      </c>
      <c r="BE192" s="2">
        <v>21.2617431155223</v>
      </c>
      <c r="BF192" s="2">
        <v>22.328288331372999</v>
      </c>
      <c r="BG192" s="2">
        <v>22.546129456025199</v>
      </c>
      <c r="BH192" s="2">
        <v>21.852426049265802</v>
      </c>
      <c r="BI192" s="2">
        <v>23.652481502420699</v>
      </c>
      <c r="BJ192" s="2">
        <v>22.1991051134593</v>
      </c>
      <c r="BK192" s="2">
        <v>22.323048980724899</v>
      </c>
      <c r="BL192" s="2">
        <v>21.973891521122901</v>
      </c>
      <c r="BM192" s="2">
        <v>22.4917639548914</v>
      </c>
      <c r="BN192" s="2">
        <v>22.370801067918698</v>
      </c>
      <c r="BO192" s="2">
        <v>22.303646611148199</v>
      </c>
      <c r="BP192" s="2">
        <v>22.2687507275832</v>
      </c>
      <c r="BQ192" s="2">
        <v>22.119595170775199</v>
      </c>
      <c r="BR192" s="2">
        <v>22.5184779999916</v>
      </c>
      <c r="BS192" s="2">
        <v>22.1228354498584</v>
      </c>
      <c r="BT192" s="2">
        <v>20.547888866813999</v>
      </c>
      <c r="BU192" s="2">
        <v>21.100079338049898</v>
      </c>
      <c r="BV192" s="2">
        <v>22.196135916601399</v>
      </c>
      <c r="BW192" s="2">
        <v>21.086589491046599</v>
      </c>
      <c r="BX192" s="2">
        <v>21.990552450544101</v>
      </c>
      <c r="BY192" s="2">
        <v>21.987133927545202</v>
      </c>
      <c r="BZ192" s="2">
        <v>23.035168303574999</v>
      </c>
      <c r="CA192" s="2">
        <v>21.888258351548298</v>
      </c>
      <c r="CB192" s="2">
        <v>22.441038709993801</v>
      </c>
      <c r="CC192" s="2">
        <v>22.869248945987401</v>
      </c>
      <c r="CD192" s="2">
        <v>22.351894606993099</v>
      </c>
      <c r="CE192" s="2">
        <v>22.3264343616917</v>
      </c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</row>
    <row r="193" spans="1:97">
      <c r="A193" s="2" t="s">
        <v>2099</v>
      </c>
      <c r="B193" s="2">
        <v>223.13246000000001</v>
      </c>
      <c r="C193" s="2">
        <v>10.407</v>
      </c>
      <c r="D193" s="2" t="s">
        <v>84</v>
      </c>
      <c r="E193" s="2" t="s">
        <v>2100</v>
      </c>
      <c r="F193" s="2" t="s">
        <v>2101</v>
      </c>
      <c r="G193" s="2">
        <v>62230</v>
      </c>
      <c r="H193" s="3" t="str">
        <f>HYPERLINK("https://cloud.oebiotech.com/#/lm/network/62230", "https://cloud.oebiotech.com/#/lm/network/62230")</f>
        <v>https://cloud.oebiotech.com/#/lm/network/62230</v>
      </c>
      <c r="I193" s="2" t="s">
        <v>2102</v>
      </c>
      <c r="J193" s="2">
        <v>93513</v>
      </c>
      <c r="K193" s="2"/>
      <c r="L193" s="2">
        <v>119709</v>
      </c>
      <c r="M193" s="2"/>
      <c r="N193" s="2"/>
      <c r="O193" s="2"/>
      <c r="P193" s="2"/>
      <c r="Q193" s="2"/>
      <c r="R193" s="2"/>
      <c r="S193" s="2" t="s">
        <v>2103</v>
      </c>
      <c r="T193" s="2" t="s">
        <v>2104</v>
      </c>
      <c r="U193" s="2" t="s">
        <v>2105</v>
      </c>
      <c r="V193" s="2" t="s">
        <v>385</v>
      </c>
      <c r="W193" s="2" t="s">
        <v>386</v>
      </c>
      <c r="X193" s="2" t="s">
        <v>1059</v>
      </c>
      <c r="Y193" s="2" t="s">
        <v>388</v>
      </c>
      <c r="Z193" s="2" t="s">
        <v>389</v>
      </c>
      <c r="AA193" s="2" t="s">
        <v>1060</v>
      </c>
      <c r="AB193" s="2" t="s">
        <v>101</v>
      </c>
      <c r="AC193" s="2">
        <v>71.040000000000006</v>
      </c>
      <c r="AD193" s="2">
        <v>92.17</v>
      </c>
      <c r="AE193" s="2">
        <v>78.58</v>
      </c>
      <c r="AF193" s="2" t="s">
        <v>2106</v>
      </c>
      <c r="AG193" s="2" t="s">
        <v>103</v>
      </c>
      <c r="AH193" s="2" t="s">
        <v>2107</v>
      </c>
      <c r="AI193" s="2">
        <v>1.79</v>
      </c>
      <c r="AJ193" s="2">
        <v>21.2314297551663</v>
      </c>
      <c r="AK193" s="2">
        <v>21.066306243135799</v>
      </c>
      <c r="AL193" s="2">
        <v>21.199369655067901</v>
      </c>
      <c r="AM193" s="2">
        <v>21.132115985777698</v>
      </c>
      <c r="AN193" s="2">
        <v>21.3431362952768</v>
      </c>
      <c r="AO193" s="2">
        <v>20.911166402806298</v>
      </c>
      <c r="AP193" s="2">
        <v>21.019469665307</v>
      </c>
      <c r="AQ193" s="2">
        <v>21.325396958132298</v>
      </c>
      <c r="AR193" s="2">
        <v>20.889545219220199</v>
      </c>
      <c r="AS193" s="2">
        <v>20.293101755898601</v>
      </c>
      <c r="AT193" s="2">
        <v>21.002385874478001</v>
      </c>
      <c r="AU193" s="2">
        <v>20.362479359888098</v>
      </c>
      <c r="AV193" s="2">
        <v>21.681940905536901</v>
      </c>
      <c r="AW193" s="2">
        <v>20.780006216004502</v>
      </c>
      <c r="AX193" s="2">
        <v>19.9731521359966</v>
      </c>
      <c r="AY193" s="2">
        <v>21.332954810980599</v>
      </c>
      <c r="AZ193" s="2">
        <v>20.469397100132699</v>
      </c>
      <c r="BA193" s="2">
        <v>21.505037410814602</v>
      </c>
      <c r="BB193" s="2">
        <v>20.300294829651701</v>
      </c>
      <c r="BC193" s="2">
        <v>21.479647045532001</v>
      </c>
      <c r="BD193" s="2">
        <v>20.536831911248001</v>
      </c>
      <c r="BE193" s="2">
        <v>20.536364968739999</v>
      </c>
      <c r="BF193" s="2">
        <v>21.026992984389199</v>
      </c>
      <c r="BG193" s="2">
        <v>19.9905386430185</v>
      </c>
      <c r="BH193" s="2">
        <v>21.990347487999301</v>
      </c>
      <c r="BI193" s="2">
        <v>20.567209128285</v>
      </c>
      <c r="BJ193" s="2">
        <v>20.594390617552399</v>
      </c>
      <c r="BK193" s="2">
        <v>21.109455734612499</v>
      </c>
      <c r="BL193" s="2">
        <v>20.505436165000901</v>
      </c>
      <c r="BM193" s="2">
        <v>21.677019912240102</v>
      </c>
      <c r="BN193" s="2">
        <v>21.9579462873611</v>
      </c>
      <c r="BO193" s="2">
        <v>21.447025517415302</v>
      </c>
      <c r="BP193" s="2">
        <v>19.705140477187602</v>
      </c>
      <c r="BQ193" s="2">
        <v>20.978442697832499</v>
      </c>
      <c r="BR193" s="2">
        <v>20.819818881147999</v>
      </c>
      <c r="BS193" s="2">
        <v>21.919559454243402</v>
      </c>
      <c r="BT193" s="2">
        <v>21.240555715271</v>
      </c>
      <c r="BU193" s="2">
        <v>20.7819786242347</v>
      </c>
      <c r="BV193" s="2">
        <v>21.1659592340601</v>
      </c>
      <c r="BW193" s="2">
        <v>19.537104016792</v>
      </c>
      <c r="BX193" s="2">
        <v>20.658897391093301</v>
      </c>
      <c r="BY193" s="2">
        <v>22.115829094400802</v>
      </c>
      <c r="BZ193" s="2">
        <v>20.0824540892147</v>
      </c>
      <c r="CA193" s="2">
        <v>20.431465743384202</v>
      </c>
      <c r="CB193" s="2">
        <v>20.493485057263499</v>
      </c>
      <c r="CC193" s="2">
        <v>19.855970602357001</v>
      </c>
      <c r="CD193" s="2">
        <v>21.3429452852865</v>
      </c>
      <c r="CE193" s="2">
        <v>21.895458521655002</v>
      </c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</row>
    <row r="194" spans="1:97">
      <c r="A194" s="2" t="s">
        <v>2108</v>
      </c>
      <c r="B194" s="2">
        <v>228.23184000000001</v>
      </c>
      <c r="C194" s="2">
        <v>11.438000000000001</v>
      </c>
      <c r="D194" s="2" t="s">
        <v>84</v>
      </c>
      <c r="E194" s="2" t="s">
        <v>2109</v>
      </c>
      <c r="F194" s="2" t="s">
        <v>2110</v>
      </c>
      <c r="G194" s="2">
        <v>2502</v>
      </c>
      <c r="H194" s="3" t="str">
        <f>HYPERLINK("https://cloud.oebiotech.com/#/lm/network/2502", "https://cloud.oebiotech.com/#/lm/network/2502")</f>
        <v>https://cloud.oebiotech.com/#/lm/network/2502</v>
      </c>
      <c r="I194" s="2"/>
      <c r="J194" s="2">
        <v>340611</v>
      </c>
      <c r="K194" s="2" t="s">
        <v>2111</v>
      </c>
      <c r="L194" s="2">
        <v>69492</v>
      </c>
      <c r="M194" s="2"/>
      <c r="N194" s="2"/>
      <c r="O194" s="2"/>
      <c r="P194" s="2">
        <v>137125</v>
      </c>
      <c r="Q194" s="2"/>
      <c r="R194" s="2"/>
      <c r="S194" s="2"/>
      <c r="T194" s="2" t="s">
        <v>2112</v>
      </c>
      <c r="U194" s="2" t="s">
        <v>2113</v>
      </c>
      <c r="V194" s="2" t="s">
        <v>95</v>
      </c>
      <c r="W194" s="2" t="s">
        <v>96</v>
      </c>
      <c r="X194" s="2" t="s">
        <v>315</v>
      </c>
      <c r="Y194" s="2" t="s">
        <v>98</v>
      </c>
      <c r="Z194" s="2" t="s">
        <v>99</v>
      </c>
      <c r="AA194" s="2" t="s">
        <v>316</v>
      </c>
      <c r="AB194" s="2" t="s">
        <v>101</v>
      </c>
      <c r="AC194" s="2">
        <v>70.989999999999995</v>
      </c>
      <c r="AD194" s="2">
        <v>97.31</v>
      </c>
      <c r="AE194" s="2">
        <v>79.25</v>
      </c>
      <c r="AF194" s="2" t="s">
        <v>2114</v>
      </c>
      <c r="AG194" s="2" t="s">
        <v>103</v>
      </c>
      <c r="AH194" s="2" t="s">
        <v>2115</v>
      </c>
      <c r="AI194" s="2">
        <v>1.75</v>
      </c>
      <c r="AJ194" s="2">
        <v>24.7538495272048</v>
      </c>
      <c r="AK194" s="2">
        <v>24.843820879127101</v>
      </c>
      <c r="AL194" s="2">
        <v>24.9008370688084</v>
      </c>
      <c r="AM194" s="2">
        <v>24.621761670460501</v>
      </c>
      <c r="AN194" s="2">
        <v>24.627599628754801</v>
      </c>
      <c r="AO194" s="2">
        <v>24.544685406057202</v>
      </c>
      <c r="AP194" s="2">
        <v>24.840411357446701</v>
      </c>
      <c r="AQ194" s="2">
        <v>24.556330040115199</v>
      </c>
      <c r="AR194" s="2">
        <v>24.825187234200001</v>
      </c>
      <c r="AS194" s="2">
        <v>24.771532350395699</v>
      </c>
      <c r="AT194" s="2">
        <v>24.848088316737499</v>
      </c>
      <c r="AU194" s="2">
        <v>24.685954684715199</v>
      </c>
      <c r="AV194" s="2">
        <v>24.741517757100901</v>
      </c>
      <c r="AW194" s="2">
        <v>24.866234645344701</v>
      </c>
      <c r="AX194" s="2">
        <v>24.247848875039299</v>
      </c>
      <c r="AY194" s="2">
        <v>24.5498759792134</v>
      </c>
      <c r="AZ194" s="2">
        <v>24.7828336069256</v>
      </c>
      <c r="BA194" s="2">
        <v>24.1054273061952</v>
      </c>
      <c r="BB194" s="2">
        <v>24.558343466192099</v>
      </c>
      <c r="BC194" s="2">
        <v>24.565583549650899</v>
      </c>
      <c r="BD194" s="2">
        <v>24.454698541654199</v>
      </c>
      <c r="BE194" s="2">
        <v>24.305527844507701</v>
      </c>
      <c r="BF194" s="2">
        <v>24.7457902228563</v>
      </c>
      <c r="BG194" s="2">
        <v>24.662483396850899</v>
      </c>
      <c r="BH194" s="2">
        <v>24.2533244834325</v>
      </c>
      <c r="BI194" s="2">
        <v>24.379359564007999</v>
      </c>
      <c r="BJ194" s="2">
        <v>24.350885110241201</v>
      </c>
      <c r="BK194" s="2">
        <v>24.237827022191301</v>
      </c>
      <c r="BL194" s="2">
        <v>24.644235306943301</v>
      </c>
      <c r="BM194" s="2">
        <v>24.5744071577599</v>
      </c>
      <c r="BN194" s="2">
        <v>24.526014273027201</v>
      </c>
      <c r="BO194" s="2">
        <v>24.628570928401299</v>
      </c>
      <c r="BP194" s="2">
        <v>24.139574300410299</v>
      </c>
      <c r="BQ194" s="2">
        <v>24.637407105462099</v>
      </c>
      <c r="BR194" s="2">
        <v>24.4231035926394</v>
      </c>
      <c r="BS194" s="2">
        <v>24.4443926338928</v>
      </c>
      <c r="BT194" s="2">
        <v>23.824566212758398</v>
      </c>
      <c r="BU194" s="2">
        <v>24.969946945442899</v>
      </c>
      <c r="BV194" s="2">
        <v>24.4940082680695</v>
      </c>
      <c r="BW194" s="2">
        <v>24.3179082934045</v>
      </c>
      <c r="BX194" s="2">
        <v>24.412122674584001</v>
      </c>
      <c r="BY194" s="2">
        <v>24.4415725729631</v>
      </c>
      <c r="BZ194" s="2">
        <v>24.5673159403588</v>
      </c>
      <c r="CA194" s="2">
        <v>24.714273052972299</v>
      </c>
      <c r="CB194" s="2">
        <v>24.747515507849499</v>
      </c>
      <c r="CC194" s="2">
        <v>24.546591385427899</v>
      </c>
      <c r="CD194" s="2">
        <v>24.625476730610199</v>
      </c>
      <c r="CE194" s="2">
        <v>24.460737301517099</v>
      </c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</row>
    <row r="195" spans="1:97">
      <c r="A195" s="2" t="s">
        <v>2116</v>
      </c>
      <c r="B195" s="2">
        <v>279.23228999999998</v>
      </c>
      <c r="C195" s="2">
        <v>12.904999999999999</v>
      </c>
      <c r="D195" s="2" t="s">
        <v>146</v>
      </c>
      <c r="E195" s="2" t="s">
        <v>2117</v>
      </c>
      <c r="F195" s="2" t="s">
        <v>2118</v>
      </c>
      <c r="G195" s="2">
        <v>1049</v>
      </c>
      <c r="H195" s="3" t="str">
        <f>HYPERLINK("https://cloud.oebiotech.com/#/lm/network/1049", "https://cloud.oebiotech.com/#/lm/network/1049")</f>
        <v>https://cloud.oebiotech.com/#/lm/network/1049</v>
      </c>
      <c r="I195" s="2"/>
      <c r="J195" s="2">
        <v>74221</v>
      </c>
      <c r="K195" s="2" t="s">
        <v>2119</v>
      </c>
      <c r="L195" s="2">
        <v>5312692</v>
      </c>
      <c r="M195" s="2"/>
      <c r="N195" s="2"/>
      <c r="O195" s="2"/>
      <c r="P195" s="2"/>
      <c r="Q195" s="2"/>
      <c r="R195" s="2"/>
      <c r="S195" s="2"/>
      <c r="T195" s="2" t="s">
        <v>2120</v>
      </c>
      <c r="U195" s="2" t="s">
        <v>2121</v>
      </c>
      <c r="V195" s="2" t="s">
        <v>95</v>
      </c>
      <c r="W195" s="2" t="s">
        <v>96</v>
      </c>
      <c r="X195" s="2" t="s">
        <v>141</v>
      </c>
      <c r="Y195" s="2" t="s">
        <v>98</v>
      </c>
      <c r="Z195" s="2" t="s">
        <v>99</v>
      </c>
      <c r="AA195" s="2" t="s">
        <v>142</v>
      </c>
      <c r="AB195" s="2" t="s">
        <v>101</v>
      </c>
      <c r="AC195" s="2">
        <v>70.98</v>
      </c>
      <c r="AD195" s="2">
        <v>99.71</v>
      </c>
      <c r="AE195" s="2">
        <v>85.83</v>
      </c>
      <c r="AF195" s="2" t="s">
        <v>2122</v>
      </c>
      <c r="AG195" s="2" t="s">
        <v>194</v>
      </c>
      <c r="AH195" s="2" t="s">
        <v>2123</v>
      </c>
      <c r="AI195" s="2">
        <v>2.15</v>
      </c>
      <c r="AJ195" s="2">
        <v>24.774084383072601</v>
      </c>
      <c r="AK195" s="2">
        <v>24.971035088576599</v>
      </c>
      <c r="AL195" s="2">
        <v>23.8996690311814</v>
      </c>
      <c r="AM195" s="2">
        <v>24.5582433559746</v>
      </c>
      <c r="AN195" s="2">
        <v>24.762687312815899</v>
      </c>
      <c r="AO195" s="2">
        <v>24.466010886389999</v>
      </c>
      <c r="AP195" s="2">
        <v>24.1666376990527</v>
      </c>
      <c r="AQ195" s="2">
        <v>24.8164497591656</v>
      </c>
      <c r="AR195" s="2">
        <v>22.453671466515701</v>
      </c>
      <c r="AS195" s="2">
        <v>23.9587677193859</v>
      </c>
      <c r="AT195" s="2">
        <v>25.661406942829</v>
      </c>
      <c r="AU195" s="2">
        <v>23.669728613882199</v>
      </c>
      <c r="AV195" s="2">
        <v>22.804969310514</v>
      </c>
      <c r="AW195" s="2">
        <v>24.065883210563602</v>
      </c>
      <c r="AX195" s="2">
        <v>25.633968161655801</v>
      </c>
      <c r="AY195" s="2">
        <v>24.0884636766535</v>
      </c>
      <c r="AZ195" s="2">
        <v>22.748175242554201</v>
      </c>
      <c r="BA195" s="2">
        <v>24.4324937712835</v>
      </c>
      <c r="BB195" s="2">
        <v>23.316422837059299</v>
      </c>
      <c r="BC195" s="2">
        <v>26.530802425517599</v>
      </c>
      <c r="BD195" s="2">
        <v>21.690220271076001</v>
      </c>
      <c r="BE195" s="2">
        <v>23.1405100804607</v>
      </c>
      <c r="BF195" s="2">
        <v>24.628510970892499</v>
      </c>
      <c r="BG195" s="2">
        <v>24.528017860183301</v>
      </c>
      <c r="BH195" s="2">
        <v>22.7591102243981</v>
      </c>
      <c r="BI195" s="2">
        <v>23.0674860472818</v>
      </c>
      <c r="BJ195" s="2">
        <v>24.078342082374402</v>
      </c>
      <c r="BK195" s="2">
        <v>23.216734986677199</v>
      </c>
      <c r="BL195" s="2">
        <v>25.582751763986099</v>
      </c>
      <c r="BM195" s="2">
        <v>23.524839756498999</v>
      </c>
      <c r="BN195" s="2">
        <v>23.416756863218499</v>
      </c>
      <c r="BO195" s="2">
        <v>25.096363657564801</v>
      </c>
      <c r="BP195" s="2">
        <v>24.832055480053501</v>
      </c>
      <c r="BQ195" s="2">
        <v>24.7531502456259</v>
      </c>
      <c r="BR195" s="2">
        <v>24.758609581073099</v>
      </c>
      <c r="BS195" s="2">
        <v>23.916702255277698</v>
      </c>
      <c r="BT195" s="2">
        <v>24.990189497733802</v>
      </c>
      <c r="BU195" s="2">
        <v>25.41184681519</v>
      </c>
      <c r="BV195" s="2">
        <v>25.575820185989301</v>
      </c>
      <c r="BW195" s="2">
        <v>24.5216263085278</v>
      </c>
      <c r="BX195" s="2">
        <v>24.039626482623099</v>
      </c>
      <c r="BY195" s="2">
        <v>23.5871472965582</v>
      </c>
      <c r="BZ195" s="2">
        <v>23.456534877327599</v>
      </c>
      <c r="CA195" s="2">
        <v>23.552372770408098</v>
      </c>
      <c r="CB195" s="2">
        <v>25.462044863594599</v>
      </c>
      <c r="CC195" s="2">
        <v>25.602632624813999</v>
      </c>
      <c r="CD195" s="2">
        <v>23.53435384902</v>
      </c>
      <c r="CE195" s="2">
        <v>25.559227383808398</v>
      </c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</row>
    <row r="196" spans="1:97">
      <c r="A196" s="2" t="s">
        <v>2124</v>
      </c>
      <c r="B196" s="2">
        <v>478.29226</v>
      </c>
      <c r="C196" s="2">
        <v>10.204000000000001</v>
      </c>
      <c r="D196" s="2" t="s">
        <v>84</v>
      </c>
      <c r="E196" s="2" t="s">
        <v>2125</v>
      </c>
      <c r="F196" s="2" t="s">
        <v>2126</v>
      </c>
      <c r="G196" s="2">
        <v>21202</v>
      </c>
      <c r="H196" s="3" t="str">
        <f>HYPERLINK("https://cloud.oebiotech.com/#/lm/network/21202", "https://cloud.oebiotech.com/#/lm/network/21202")</f>
        <v>https://cloud.oebiotech.com/#/lm/network/21202</v>
      </c>
      <c r="I196" s="2" t="s">
        <v>2127</v>
      </c>
      <c r="J196" s="2">
        <v>62265</v>
      </c>
      <c r="K196" s="2" t="s">
        <v>2128</v>
      </c>
      <c r="L196" s="2">
        <v>53480926</v>
      </c>
      <c r="M196" s="2"/>
      <c r="N196" s="2"/>
      <c r="O196" s="2"/>
      <c r="P196" s="2">
        <v>76090</v>
      </c>
      <c r="Q196" s="2"/>
      <c r="R196" s="2"/>
      <c r="S196" s="2"/>
      <c r="T196" s="2" t="s">
        <v>2129</v>
      </c>
      <c r="U196" s="2" t="s">
        <v>2130</v>
      </c>
      <c r="V196" s="2" t="s">
        <v>95</v>
      </c>
      <c r="W196" s="2" t="s">
        <v>202</v>
      </c>
      <c r="X196" s="2" t="s">
        <v>327</v>
      </c>
      <c r="Y196" s="2" t="s">
        <v>98</v>
      </c>
      <c r="Z196" s="2" t="s">
        <v>204</v>
      </c>
      <c r="AA196" s="2" t="s">
        <v>328</v>
      </c>
      <c r="AB196" s="2" t="s">
        <v>101</v>
      </c>
      <c r="AC196" s="2">
        <v>70.94</v>
      </c>
      <c r="AD196" s="2">
        <v>98.32</v>
      </c>
      <c r="AE196" s="2">
        <v>84.36</v>
      </c>
      <c r="AF196" s="2" t="s">
        <v>2131</v>
      </c>
      <c r="AG196" s="2" t="s">
        <v>103</v>
      </c>
      <c r="AH196" s="2" t="s">
        <v>2132</v>
      </c>
      <c r="AI196" s="2">
        <v>1.05</v>
      </c>
      <c r="AJ196" s="2">
        <v>24.5276533089556</v>
      </c>
      <c r="AK196" s="2">
        <v>24.433210090338399</v>
      </c>
      <c r="AL196" s="2">
        <v>24.463104666607599</v>
      </c>
      <c r="AM196" s="2">
        <v>24.409838978402799</v>
      </c>
      <c r="AN196" s="2">
        <v>24.445939548883199</v>
      </c>
      <c r="AO196" s="2">
        <v>24.304596944934701</v>
      </c>
      <c r="AP196" s="2">
        <v>24.350518102696199</v>
      </c>
      <c r="AQ196" s="2">
        <v>24.3608752682381</v>
      </c>
      <c r="AR196" s="2">
        <v>24.555627504668799</v>
      </c>
      <c r="AS196" s="2">
        <v>22.924404774356699</v>
      </c>
      <c r="AT196" s="2">
        <v>23.3621462755865</v>
      </c>
      <c r="AU196" s="2">
        <v>24.921024979199899</v>
      </c>
      <c r="AV196" s="2">
        <v>24.424146235311401</v>
      </c>
      <c r="AW196" s="2">
        <v>24.469063320113499</v>
      </c>
      <c r="AX196" s="2">
        <v>23.861633733513202</v>
      </c>
      <c r="AY196" s="2">
        <v>24.215057182226602</v>
      </c>
      <c r="AZ196" s="2">
        <v>24.431730124354999</v>
      </c>
      <c r="BA196" s="2">
        <v>23.387267498357001</v>
      </c>
      <c r="BB196" s="2">
        <v>23.821187721305201</v>
      </c>
      <c r="BC196" s="2">
        <v>23.841182380772899</v>
      </c>
      <c r="BD196" s="2">
        <v>24.1293623752229</v>
      </c>
      <c r="BE196" s="2">
        <v>24.304500190151298</v>
      </c>
      <c r="BF196" s="2">
        <v>24.116619869445199</v>
      </c>
      <c r="BG196" s="2">
        <v>24.541665864462701</v>
      </c>
      <c r="BH196" s="2">
        <v>24.393347422400499</v>
      </c>
      <c r="BI196" s="2">
        <v>24.6398732775525</v>
      </c>
      <c r="BJ196" s="2">
        <v>24.187128193441801</v>
      </c>
      <c r="BK196" s="2">
        <v>23.960853306405699</v>
      </c>
      <c r="BL196" s="2">
        <v>24.249286878311199</v>
      </c>
      <c r="BM196" s="2">
        <v>24.880392572987599</v>
      </c>
      <c r="BN196" s="2">
        <v>24.934651664394501</v>
      </c>
      <c r="BO196" s="2">
        <v>24.123528378649901</v>
      </c>
      <c r="BP196" s="2">
        <v>24.1690727928348</v>
      </c>
      <c r="BQ196" s="2">
        <v>24.302457138825101</v>
      </c>
      <c r="BR196" s="2">
        <v>25.034071370417799</v>
      </c>
      <c r="BS196" s="2">
        <v>24.906549843063001</v>
      </c>
      <c r="BT196" s="2">
        <v>23.7609938251573</v>
      </c>
      <c r="BU196" s="2">
        <v>23.739544287560001</v>
      </c>
      <c r="BV196" s="2">
        <v>24.210916872574</v>
      </c>
      <c r="BW196" s="2">
        <v>23.328611935731502</v>
      </c>
      <c r="BX196" s="2">
        <v>24.585872181522902</v>
      </c>
      <c r="BY196" s="2">
        <v>25.3905247849065</v>
      </c>
      <c r="BZ196" s="2">
        <v>24.3590286162461</v>
      </c>
      <c r="CA196" s="2">
        <v>24.407241671034001</v>
      </c>
      <c r="CB196" s="2">
        <v>24.000311897236202</v>
      </c>
      <c r="CC196" s="2">
        <v>23.948531055602</v>
      </c>
      <c r="CD196" s="2">
        <v>23.998537206632498</v>
      </c>
      <c r="CE196" s="2">
        <v>23.133065626723099</v>
      </c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</row>
    <row r="197" spans="1:97">
      <c r="A197" s="2" t="s">
        <v>2133</v>
      </c>
      <c r="B197" s="2">
        <v>552.40142000000003</v>
      </c>
      <c r="C197" s="2">
        <v>12.782</v>
      </c>
      <c r="D197" s="2" t="s">
        <v>84</v>
      </c>
      <c r="E197" s="2" t="s">
        <v>2134</v>
      </c>
      <c r="F197" s="2" t="s">
        <v>2135</v>
      </c>
      <c r="G197" s="2">
        <v>19844</v>
      </c>
      <c r="H197" s="3" t="str">
        <f>HYPERLINK("https://cloud.oebiotech.com/#/lm/network/19844", "https://cloud.oebiotech.com/#/lm/network/19844")</f>
        <v>https://cloud.oebiotech.com/#/lm/network/19844</v>
      </c>
      <c r="I197" s="2" t="s">
        <v>2136</v>
      </c>
      <c r="J197" s="2">
        <v>40311</v>
      </c>
      <c r="K197" s="2" t="s">
        <v>2137</v>
      </c>
      <c r="L197" s="2">
        <v>24779473</v>
      </c>
      <c r="M197" s="2" t="s">
        <v>264</v>
      </c>
      <c r="N197" s="2" t="s">
        <v>265</v>
      </c>
      <c r="O197" s="2" t="s">
        <v>266</v>
      </c>
      <c r="P197" s="2">
        <v>74968</v>
      </c>
      <c r="Q197" s="2"/>
      <c r="R197" s="2"/>
      <c r="S197" s="2" t="s">
        <v>2138</v>
      </c>
      <c r="T197" s="2" t="s">
        <v>2139</v>
      </c>
      <c r="U197" s="2" t="s">
        <v>2140</v>
      </c>
      <c r="V197" s="2" t="s">
        <v>95</v>
      </c>
      <c r="W197" s="2" t="s">
        <v>202</v>
      </c>
      <c r="X197" s="2" t="s">
        <v>203</v>
      </c>
      <c r="Y197" s="2" t="s">
        <v>98</v>
      </c>
      <c r="Z197" s="2" t="s">
        <v>204</v>
      </c>
      <c r="AA197" s="2" t="s">
        <v>205</v>
      </c>
      <c r="AB197" s="2" t="s">
        <v>101</v>
      </c>
      <c r="AC197" s="2">
        <v>70.92</v>
      </c>
      <c r="AD197" s="2">
        <v>93.78</v>
      </c>
      <c r="AE197" s="2">
        <v>79.13</v>
      </c>
      <c r="AF197" s="2" t="s">
        <v>2141</v>
      </c>
      <c r="AG197" s="2" t="s">
        <v>103</v>
      </c>
      <c r="AH197" s="2" t="s">
        <v>2142</v>
      </c>
      <c r="AI197" s="2">
        <v>1.63</v>
      </c>
      <c r="AJ197" s="2">
        <v>22.457010764627199</v>
      </c>
      <c r="AK197" s="2">
        <v>22.393709994697801</v>
      </c>
      <c r="AL197" s="2">
        <v>21.696099410839299</v>
      </c>
      <c r="AM197" s="2">
        <v>22.003830309677099</v>
      </c>
      <c r="AN197" s="2">
        <v>22.267832302120301</v>
      </c>
      <c r="AO197" s="2">
        <v>22.2863894304482</v>
      </c>
      <c r="AP197" s="2">
        <v>22.249028821811301</v>
      </c>
      <c r="AQ197" s="2">
        <v>22.0725282866937</v>
      </c>
      <c r="AR197" s="2">
        <v>22.266447843246699</v>
      </c>
      <c r="AS197" s="2">
        <v>21.055566779162302</v>
      </c>
      <c r="AT197" s="2">
        <v>21.807365166290701</v>
      </c>
      <c r="AU197" s="2">
        <v>21.0548385628137</v>
      </c>
      <c r="AV197" s="2">
        <v>21.4935268697567</v>
      </c>
      <c r="AW197" s="2">
        <v>21.747264212300099</v>
      </c>
      <c r="AX197" s="2">
        <v>22.009155473282799</v>
      </c>
      <c r="AY197" s="2">
        <v>21.465870144305399</v>
      </c>
      <c r="AZ197" s="2">
        <v>22.639559744448</v>
      </c>
      <c r="BA197" s="2">
        <v>20.319505448751599</v>
      </c>
      <c r="BB197" s="2">
        <v>21.446197594289998</v>
      </c>
      <c r="BC197" s="2">
        <v>22.373108932252201</v>
      </c>
      <c r="BD197" s="2">
        <v>21.7514779447298</v>
      </c>
      <c r="BE197" s="2">
        <v>22.188078491512702</v>
      </c>
      <c r="BF197" s="2">
        <v>21.151883044560201</v>
      </c>
      <c r="BG197" s="2">
        <v>21.623204818055299</v>
      </c>
      <c r="BH197" s="2">
        <v>20.540819757681099</v>
      </c>
      <c r="BI197" s="2">
        <v>21.511201067581101</v>
      </c>
      <c r="BJ197" s="2">
        <v>22.050370352770202</v>
      </c>
      <c r="BK197" s="2">
        <v>20.2913650849388</v>
      </c>
      <c r="BL197" s="2">
        <v>22.479843802906501</v>
      </c>
      <c r="BM197" s="2">
        <v>22.665288444719302</v>
      </c>
      <c r="BN197" s="2">
        <v>21.692415664989198</v>
      </c>
      <c r="BO197" s="2">
        <v>20.5455437026481</v>
      </c>
      <c r="BP197" s="2">
        <v>21.835322863373701</v>
      </c>
      <c r="BQ197" s="2">
        <v>22.405286796111799</v>
      </c>
      <c r="BR197" s="2">
        <v>22.1381777257997</v>
      </c>
      <c r="BS197" s="2">
        <v>20.736703141280302</v>
      </c>
      <c r="BT197" s="2">
        <v>22.356462281566699</v>
      </c>
      <c r="BU197" s="2">
        <v>20.807097267074798</v>
      </c>
      <c r="BV197" s="2">
        <v>22.380706280061698</v>
      </c>
      <c r="BW197" s="2">
        <v>20.7577556537418</v>
      </c>
      <c r="BX197" s="2">
        <v>21.999466297603199</v>
      </c>
      <c r="BY197" s="2">
        <v>23.294207886591</v>
      </c>
      <c r="BZ197" s="2">
        <v>21.111131638482998</v>
      </c>
      <c r="CA197" s="2">
        <v>21.121905539391101</v>
      </c>
      <c r="CB197" s="2">
        <v>20.9298548348218</v>
      </c>
      <c r="CC197" s="2">
        <v>21.6551111420208</v>
      </c>
      <c r="CD197" s="2">
        <v>22.841467461774702</v>
      </c>
      <c r="CE197" s="2">
        <v>20.757671562927399</v>
      </c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</row>
    <row r="198" spans="1:97">
      <c r="A198" s="2" t="s">
        <v>2143</v>
      </c>
      <c r="B198" s="2">
        <v>482.32341000000002</v>
      </c>
      <c r="C198" s="2">
        <v>11.335000000000001</v>
      </c>
      <c r="D198" s="2" t="s">
        <v>84</v>
      </c>
      <c r="E198" s="2" t="s">
        <v>2144</v>
      </c>
      <c r="F198" s="2" t="s">
        <v>2145</v>
      </c>
      <c r="G198" s="2">
        <v>21199</v>
      </c>
      <c r="H198" s="3" t="str">
        <f>HYPERLINK("https://cloud.oebiotech.com/#/lm/network/21199", "https://cloud.oebiotech.com/#/lm/network/21199")</f>
        <v>https://cloud.oebiotech.com/#/lm/network/21199</v>
      </c>
      <c r="I198" s="2" t="s">
        <v>2146</v>
      </c>
      <c r="J198" s="2">
        <v>61992</v>
      </c>
      <c r="K198" s="2" t="s">
        <v>2147</v>
      </c>
      <c r="L198" s="2">
        <v>53480667</v>
      </c>
      <c r="M198" s="2"/>
      <c r="N198" s="2"/>
      <c r="O198" s="2"/>
      <c r="P198" s="2"/>
      <c r="Q198" s="2"/>
      <c r="R198" s="2"/>
      <c r="S198" s="2" t="s">
        <v>2148</v>
      </c>
      <c r="T198" s="2" t="s">
        <v>2149</v>
      </c>
      <c r="U198" s="2" t="s">
        <v>2150</v>
      </c>
      <c r="V198" s="2" t="s">
        <v>95</v>
      </c>
      <c r="W198" s="2" t="s">
        <v>202</v>
      </c>
      <c r="X198" s="2" t="s">
        <v>327</v>
      </c>
      <c r="Y198" s="2" t="s">
        <v>98</v>
      </c>
      <c r="Z198" s="2" t="s">
        <v>204</v>
      </c>
      <c r="AA198" s="2" t="s">
        <v>328</v>
      </c>
      <c r="AB198" s="2" t="s">
        <v>101</v>
      </c>
      <c r="AC198" s="2">
        <v>70.89</v>
      </c>
      <c r="AD198" s="2">
        <v>96.83</v>
      </c>
      <c r="AE198" s="2">
        <v>86.7</v>
      </c>
      <c r="AF198" s="2" t="s">
        <v>2151</v>
      </c>
      <c r="AG198" s="2" t="s">
        <v>103</v>
      </c>
      <c r="AH198" s="2" t="s">
        <v>1367</v>
      </c>
      <c r="AI198" s="2">
        <v>1.45</v>
      </c>
      <c r="AJ198" s="2">
        <v>23.2198795203192</v>
      </c>
      <c r="AK198" s="2">
        <v>23.424116109345999</v>
      </c>
      <c r="AL198" s="2">
        <v>23.2661770262334</v>
      </c>
      <c r="AM198" s="2">
        <v>23.281122882505599</v>
      </c>
      <c r="AN198" s="2">
        <v>23.346707289946199</v>
      </c>
      <c r="AO198" s="2">
        <v>23.337268643404499</v>
      </c>
      <c r="AP198" s="2">
        <v>23.363597655370501</v>
      </c>
      <c r="AQ198" s="2">
        <v>23.470005249073299</v>
      </c>
      <c r="AR198" s="2">
        <v>23.6191763217854</v>
      </c>
      <c r="AS198" s="2">
        <v>21.8739726130107</v>
      </c>
      <c r="AT198" s="2">
        <v>22.092753296163799</v>
      </c>
      <c r="AU198" s="2">
        <v>23.410771070667</v>
      </c>
      <c r="AV198" s="2">
        <v>22.184393013764499</v>
      </c>
      <c r="AW198" s="2">
        <v>23.079182397559801</v>
      </c>
      <c r="AX198" s="2">
        <v>23.269375016019701</v>
      </c>
      <c r="AY198" s="2">
        <v>23.033443526299902</v>
      </c>
      <c r="AZ198" s="2">
        <v>23.2871687107715</v>
      </c>
      <c r="BA198" s="2">
        <v>22.343499322977301</v>
      </c>
      <c r="BB198" s="2">
        <v>22.609941927882002</v>
      </c>
      <c r="BC198" s="2">
        <v>23.207530159416901</v>
      </c>
      <c r="BD198" s="2">
        <v>23.1731270567204</v>
      </c>
      <c r="BE198" s="2">
        <v>23.2770160811313</v>
      </c>
      <c r="BF198" s="2">
        <v>23.2489492339596</v>
      </c>
      <c r="BG198" s="2">
        <v>23.4701718166489</v>
      </c>
      <c r="BH198" s="2">
        <v>23.0887234144631</v>
      </c>
      <c r="BI198" s="2">
        <v>23.063678546477099</v>
      </c>
      <c r="BJ198" s="2">
        <v>23.0601441971681</v>
      </c>
      <c r="BK198" s="2">
        <v>22.895795206499699</v>
      </c>
      <c r="BL198" s="2">
        <v>23.0619676965179</v>
      </c>
      <c r="BM198" s="2">
        <v>23.280289018304</v>
      </c>
      <c r="BN198" s="2">
        <v>23.158912760119101</v>
      </c>
      <c r="BO198" s="2">
        <v>23.1412891753053</v>
      </c>
      <c r="BP198" s="2">
        <v>23.072957826960501</v>
      </c>
      <c r="BQ198" s="2">
        <v>23.074251746346299</v>
      </c>
      <c r="BR198" s="2">
        <v>23.586062555779002</v>
      </c>
      <c r="BS198" s="2">
        <v>23.554522062901299</v>
      </c>
      <c r="BT198" s="2">
        <v>23.420355937097298</v>
      </c>
      <c r="BU198" s="2">
        <v>23.010555019854898</v>
      </c>
      <c r="BV198" s="2">
        <v>23.0377708244771</v>
      </c>
      <c r="BW198" s="2">
        <v>22.8351352608646</v>
      </c>
      <c r="BX198" s="2">
        <v>23.378354318022701</v>
      </c>
      <c r="BY198" s="2">
        <v>23.667428661606198</v>
      </c>
      <c r="BZ198" s="2">
        <v>23.223437565010201</v>
      </c>
      <c r="CA198" s="2">
        <v>23.415981896397899</v>
      </c>
      <c r="CB198" s="2">
        <v>22.7174702024863</v>
      </c>
      <c r="CC198" s="2">
        <v>22.522619741042799</v>
      </c>
      <c r="CD198" s="2">
        <v>23.422095037048098</v>
      </c>
      <c r="CE198" s="2">
        <v>22.4531620872357</v>
      </c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</row>
    <row r="199" spans="1:97">
      <c r="A199" s="2" t="s">
        <v>2152</v>
      </c>
      <c r="B199" s="2">
        <v>124.00705000000001</v>
      </c>
      <c r="C199" s="2">
        <v>0.70399999999999996</v>
      </c>
      <c r="D199" s="2" t="s">
        <v>146</v>
      </c>
      <c r="E199" s="2" t="s">
        <v>2153</v>
      </c>
      <c r="F199" s="2" t="s">
        <v>2154</v>
      </c>
      <c r="G199" s="2">
        <v>46959</v>
      </c>
      <c r="H199" s="3" t="str">
        <f>HYPERLINK("https://cloud.oebiotech.com/#/lm/network/46959", "https://cloud.oebiotech.com/#/lm/network/46959")</f>
        <v>https://cloud.oebiotech.com/#/lm/network/46959</v>
      </c>
      <c r="I199" s="2" t="s">
        <v>2155</v>
      </c>
      <c r="J199" s="2">
        <v>31</v>
      </c>
      <c r="K199" s="2"/>
      <c r="L199" s="2">
        <v>1123</v>
      </c>
      <c r="M199" s="2" t="s">
        <v>2156</v>
      </c>
      <c r="N199" s="2" t="s">
        <v>2157</v>
      </c>
      <c r="O199" s="2" t="s">
        <v>2158</v>
      </c>
      <c r="P199" s="2">
        <v>15891</v>
      </c>
      <c r="Q199" s="2"/>
      <c r="R199" s="2"/>
      <c r="S199" s="2" t="s">
        <v>2159</v>
      </c>
      <c r="T199" s="2" t="s">
        <v>2160</v>
      </c>
      <c r="U199" s="2" t="s">
        <v>2161</v>
      </c>
      <c r="V199" s="2" t="s">
        <v>115</v>
      </c>
      <c r="W199" s="2" t="s">
        <v>2162</v>
      </c>
      <c r="X199" s="2" t="s">
        <v>2163</v>
      </c>
      <c r="Y199" s="2" t="s">
        <v>118</v>
      </c>
      <c r="Z199" s="2" t="s">
        <v>2164</v>
      </c>
      <c r="AA199" s="2" t="s">
        <v>2164</v>
      </c>
      <c r="AB199" s="2" t="s">
        <v>101</v>
      </c>
      <c r="AC199" s="2">
        <v>70.84</v>
      </c>
      <c r="AD199" s="2">
        <v>95.56</v>
      </c>
      <c r="AE199" s="2">
        <v>77.180000000000007</v>
      </c>
      <c r="AF199" s="2" t="s">
        <v>2165</v>
      </c>
      <c r="AG199" s="2" t="s">
        <v>194</v>
      </c>
      <c r="AH199" s="2" t="s">
        <v>2166</v>
      </c>
      <c r="AI199" s="2">
        <v>2.66</v>
      </c>
      <c r="AJ199" s="2">
        <v>21.388595089814601</v>
      </c>
      <c r="AK199" s="2">
        <v>21.609138757633399</v>
      </c>
      <c r="AL199" s="2">
        <v>21.545101910100001</v>
      </c>
      <c r="AM199" s="2">
        <v>21.737121450184102</v>
      </c>
      <c r="AN199" s="2">
        <v>21.1624487708992</v>
      </c>
      <c r="AO199" s="2">
        <v>22.001325116078299</v>
      </c>
      <c r="AP199" s="2">
        <v>21.334521035172799</v>
      </c>
      <c r="AQ199" s="2">
        <v>21.731564893111599</v>
      </c>
      <c r="AR199" s="2">
        <v>20.784842081669201</v>
      </c>
      <c r="AS199" s="2">
        <v>21.7908691481265</v>
      </c>
      <c r="AT199" s="2">
        <v>21.059697344553701</v>
      </c>
      <c r="AU199" s="2">
        <v>21.3998360905277</v>
      </c>
      <c r="AV199" s="2">
        <v>20.974278687924802</v>
      </c>
      <c r="AW199" s="2">
        <v>21.572132524124498</v>
      </c>
      <c r="AX199" s="2">
        <v>21.3316481190421</v>
      </c>
      <c r="AY199" s="2">
        <v>21.230736013609999</v>
      </c>
      <c r="AZ199" s="2">
        <v>21.958112333699599</v>
      </c>
      <c r="BA199" s="2">
        <v>20.5721203962575</v>
      </c>
      <c r="BB199" s="2">
        <v>21.219018198409099</v>
      </c>
      <c r="BC199" s="2">
        <v>21.6300159132959</v>
      </c>
      <c r="BD199" s="2">
        <v>20.350098224531301</v>
      </c>
      <c r="BE199" s="2">
        <v>21.845361729789499</v>
      </c>
      <c r="BF199" s="2">
        <v>21.604089191650498</v>
      </c>
      <c r="BG199" s="2">
        <v>21.172706254754701</v>
      </c>
      <c r="BH199" s="2">
        <v>22.666474601615299</v>
      </c>
      <c r="BI199" s="2">
        <v>21.5281474484364</v>
      </c>
      <c r="BJ199" s="2">
        <v>22.137573518990799</v>
      </c>
      <c r="BK199" s="2">
        <v>21.222131013508498</v>
      </c>
      <c r="BL199" s="2">
        <v>21.319351674975898</v>
      </c>
      <c r="BM199" s="2">
        <v>22.424721577735799</v>
      </c>
      <c r="BN199" s="2">
        <v>21.326969183233299</v>
      </c>
      <c r="BO199" s="2">
        <v>21.497840666208901</v>
      </c>
      <c r="BP199" s="2">
        <v>20.886537503113701</v>
      </c>
      <c r="BQ199" s="2">
        <v>22.009250897721301</v>
      </c>
      <c r="BR199" s="2">
        <v>21.877015623288901</v>
      </c>
      <c r="BS199" s="2">
        <v>21.308051552930198</v>
      </c>
      <c r="BT199" s="2">
        <v>21.5532398912848</v>
      </c>
      <c r="BU199" s="2">
        <v>22.076390476064098</v>
      </c>
      <c r="BV199" s="2">
        <v>21.462354207590199</v>
      </c>
      <c r="BW199" s="2">
        <v>21.614619319716201</v>
      </c>
      <c r="BX199" s="2">
        <v>21.220093352306399</v>
      </c>
      <c r="BY199" s="2">
        <v>21.5293745171167</v>
      </c>
      <c r="BZ199" s="2">
        <v>20.962705066621101</v>
      </c>
      <c r="CA199" s="2">
        <v>21.288026182310301</v>
      </c>
      <c r="CB199" s="2">
        <v>21.1460385727861</v>
      </c>
      <c r="CC199" s="2">
        <v>22.5584180038779</v>
      </c>
      <c r="CD199" s="2">
        <v>20.771384702272002</v>
      </c>
      <c r="CE199" s="2">
        <v>21.153712281575</v>
      </c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</row>
    <row r="200" spans="1:97">
      <c r="A200" s="2" t="s">
        <v>2167</v>
      </c>
      <c r="B200" s="2">
        <v>405.17597000000001</v>
      </c>
      <c r="C200" s="2">
        <v>5.125</v>
      </c>
      <c r="D200" s="2" t="s">
        <v>146</v>
      </c>
      <c r="E200" s="2" t="s">
        <v>2168</v>
      </c>
      <c r="F200" s="2" t="s">
        <v>2169</v>
      </c>
      <c r="G200" s="2">
        <v>10214</v>
      </c>
      <c r="H200" s="3" t="str">
        <f>HYPERLINK("https://cloud.oebiotech.com/#/lm/network/10214", "https://cloud.oebiotech.com/#/lm/network/10214")</f>
        <v>https://cloud.oebiotech.com/#/lm/network/10214</v>
      </c>
      <c r="I200" s="2"/>
      <c r="J200" s="2"/>
      <c r="K200" s="2" t="s">
        <v>2170</v>
      </c>
      <c r="L200" s="2">
        <v>56936274</v>
      </c>
      <c r="M200" s="2"/>
      <c r="N200" s="2"/>
      <c r="O200" s="2"/>
      <c r="P200" s="2"/>
      <c r="Q200" s="2"/>
      <c r="R200" s="2"/>
      <c r="S200" s="2"/>
      <c r="T200" s="2" t="s">
        <v>2171</v>
      </c>
      <c r="U200" s="2" t="s">
        <v>2172</v>
      </c>
      <c r="V200" s="2" t="s">
        <v>95</v>
      </c>
      <c r="W200" s="2" t="s">
        <v>96</v>
      </c>
      <c r="X200" s="2" t="s">
        <v>2173</v>
      </c>
      <c r="Y200" s="2" t="s">
        <v>98</v>
      </c>
      <c r="Z200" s="2" t="s">
        <v>99</v>
      </c>
      <c r="AA200" s="2" t="s">
        <v>2174</v>
      </c>
      <c r="AB200" s="2" t="s">
        <v>101</v>
      </c>
      <c r="AC200" s="2">
        <v>70.83</v>
      </c>
      <c r="AD200" s="2">
        <v>87.91</v>
      </c>
      <c r="AE200" s="2">
        <v>84.08</v>
      </c>
      <c r="AF200" s="2" t="s">
        <v>2175</v>
      </c>
      <c r="AG200" s="2" t="s">
        <v>157</v>
      </c>
      <c r="AH200" s="2" t="s">
        <v>2176</v>
      </c>
      <c r="AI200" s="2">
        <v>1.48</v>
      </c>
      <c r="AJ200" s="2">
        <v>16.8472861756394</v>
      </c>
      <c r="AK200" s="2">
        <v>17.898076234254599</v>
      </c>
      <c r="AL200" s="2">
        <v>17.7545963038562</v>
      </c>
      <c r="AM200" s="2">
        <v>17.8014291759714</v>
      </c>
      <c r="AN200" s="2">
        <v>17.922568549983499</v>
      </c>
      <c r="AO200" s="2">
        <v>17.498066875148101</v>
      </c>
      <c r="AP200" s="2">
        <v>17.5501704939654</v>
      </c>
      <c r="AQ200" s="2">
        <v>17.784257752653499</v>
      </c>
      <c r="AR200" s="2">
        <v>18.148130464656798</v>
      </c>
      <c r="AS200" s="2">
        <v>9.6233145402724691</v>
      </c>
      <c r="AT200" s="2">
        <v>9.6233145402724691</v>
      </c>
      <c r="AU200" s="2">
        <v>18.5049114492092</v>
      </c>
      <c r="AV200" s="2">
        <v>16.956428909587501</v>
      </c>
      <c r="AW200" s="2">
        <v>19.7854562837089</v>
      </c>
      <c r="AX200" s="2">
        <v>9.6233145402724691</v>
      </c>
      <c r="AY200" s="2">
        <v>17.976753117958001</v>
      </c>
      <c r="AZ200" s="2">
        <v>18.908946860204399</v>
      </c>
      <c r="BA200" s="2">
        <v>9.6233145402724691</v>
      </c>
      <c r="BB200" s="2">
        <v>12.4212890565072</v>
      </c>
      <c r="BC200" s="2">
        <v>13.1724025050486</v>
      </c>
      <c r="BD200" s="2">
        <v>14.470809464652501</v>
      </c>
      <c r="BE200" s="2">
        <v>18.7102552168598</v>
      </c>
      <c r="BF200" s="2">
        <v>17.794749453546999</v>
      </c>
      <c r="BG200" s="2">
        <v>9.6233145402724691</v>
      </c>
      <c r="BH200" s="2">
        <v>16.483063600354701</v>
      </c>
      <c r="BI200" s="2">
        <v>13.829106287253399</v>
      </c>
      <c r="BJ200" s="2">
        <v>14.968523254456199</v>
      </c>
      <c r="BK200" s="2">
        <v>19.589230724646502</v>
      </c>
      <c r="BL200" s="2">
        <v>9.6233145402724691</v>
      </c>
      <c r="BM200" s="2">
        <v>16.258257219937999</v>
      </c>
      <c r="BN200" s="2">
        <v>17.562691631055799</v>
      </c>
      <c r="BO200" s="2">
        <v>12.5389212510362</v>
      </c>
      <c r="BP200" s="2">
        <v>9.6233145402724691</v>
      </c>
      <c r="BQ200" s="2">
        <v>13.045933675123999</v>
      </c>
      <c r="BR200" s="2">
        <v>18.564507677463698</v>
      </c>
      <c r="BS200" s="2">
        <v>19.4970411416354</v>
      </c>
      <c r="BT200" s="2">
        <v>11.6175133810193</v>
      </c>
      <c r="BU200" s="2">
        <v>9.6233145402724691</v>
      </c>
      <c r="BV200" s="2">
        <v>9.6233145402724691</v>
      </c>
      <c r="BW200" s="2">
        <v>17.6923438811578</v>
      </c>
      <c r="BX200" s="2">
        <v>15.482083465817601</v>
      </c>
      <c r="BY200" s="2">
        <v>20.911797631733201</v>
      </c>
      <c r="BZ200" s="2">
        <v>19.114041636803901</v>
      </c>
      <c r="CA200" s="2">
        <v>15.6470699303106</v>
      </c>
      <c r="CB200" s="2">
        <v>9.6233145402724691</v>
      </c>
      <c r="CC200" s="2">
        <v>9.6233145402724691</v>
      </c>
      <c r="CD200" s="2">
        <v>11.5160299254092</v>
      </c>
      <c r="CE200" s="2">
        <v>9.6233145402724691</v>
      </c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</row>
    <row r="201" spans="1:97">
      <c r="A201" s="2" t="s">
        <v>2177</v>
      </c>
      <c r="B201" s="2">
        <v>247.12842000000001</v>
      </c>
      <c r="C201" s="2">
        <v>1.9770000000000001</v>
      </c>
      <c r="D201" s="2" t="s">
        <v>84</v>
      </c>
      <c r="E201" s="2" t="s">
        <v>2178</v>
      </c>
      <c r="F201" s="2" t="s">
        <v>2179</v>
      </c>
      <c r="G201" s="2">
        <v>51190</v>
      </c>
      <c r="H201" s="3" t="str">
        <f>HYPERLINK("https://cloud.oebiotech.com/#/lm/network/51190", "https://cloud.oebiotech.com/#/lm/network/51190")</f>
        <v>https://cloud.oebiotech.com/#/lm/network/51190</v>
      </c>
      <c r="I201" s="2" t="s">
        <v>2180</v>
      </c>
      <c r="J201" s="2">
        <v>62020</v>
      </c>
      <c r="K201" s="2"/>
      <c r="L201" s="2">
        <v>7015683</v>
      </c>
      <c r="M201" s="2"/>
      <c r="N201" s="2"/>
      <c r="O201" s="2"/>
      <c r="P201" s="2">
        <v>68848</v>
      </c>
      <c r="Q201" s="2"/>
      <c r="R201" s="2"/>
      <c r="S201" s="2" t="s">
        <v>2181</v>
      </c>
      <c r="T201" s="2" t="s">
        <v>2182</v>
      </c>
      <c r="U201" s="2" t="s">
        <v>2183</v>
      </c>
      <c r="V201" s="2" t="s">
        <v>115</v>
      </c>
      <c r="W201" s="2" t="s">
        <v>116</v>
      </c>
      <c r="X201" s="2" t="s">
        <v>117</v>
      </c>
      <c r="Y201" s="2" t="s">
        <v>118</v>
      </c>
      <c r="Z201" s="2" t="s">
        <v>119</v>
      </c>
      <c r="AA201" s="2" t="s">
        <v>120</v>
      </c>
      <c r="AB201" s="2" t="s">
        <v>101</v>
      </c>
      <c r="AC201" s="2">
        <v>70.790000000000006</v>
      </c>
      <c r="AD201" s="2">
        <v>93.28</v>
      </c>
      <c r="AE201" s="2">
        <v>77.790000000000006</v>
      </c>
      <c r="AF201" s="2" t="s">
        <v>2184</v>
      </c>
      <c r="AG201" s="2" t="s">
        <v>103</v>
      </c>
      <c r="AH201" s="2" t="s">
        <v>2185</v>
      </c>
      <c r="AI201" s="2">
        <v>1.62</v>
      </c>
      <c r="AJ201" s="2">
        <v>20.0615864711528</v>
      </c>
      <c r="AK201" s="2">
        <v>21.028028836663001</v>
      </c>
      <c r="AL201" s="2">
        <v>20.862517113332601</v>
      </c>
      <c r="AM201" s="2">
        <v>20.559036201676701</v>
      </c>
      <c r="AN201" s="2">
        <v>20.988521241669702</v>
      </c>
      <c r="AO201" s="2">
        <v>20.290137978055501</v>
      </c>
      <c r="AP201" s="2">
        <v>20.867547835185199</v>
      </c>
      <c r="AQ201" s="2">
        <v>20.822925061736701</v>
      </c>
      <c r="AR201" s="2">
        <v>20.223029866366701</v>
      </c>
      <c r="AS201" s="2">
        <v>19.917628015789202</v>
      </c>
      <c r="AT201" s="2">
        <v>20.2537563028711</v>
      </c>
      <c r="AU201" s="2">
        <v>20.070032083888002</v>
      </c>
      <c r="AV201" s="2">
        <v>21.315862441786201</v>
      </c>
      <c r="AW201" s="2">
        <v>21.274957868151599</v>
      </c>
      <c r="AX201" s="2">
        <v>20.702139703960199</v>
      </c>
      <c r="AY201" s="2">
        <v>20.844198669355499</v>
      </c>
      <c r="AZ201" s="2">
        <v>20.439783291592601</v>
      </c>
      <c r="BA201" s="2">
        <v>20.058336315784199</v>
      </c>
      <c r="BB201" s="2">
        <v>21.093983527268499</v>
      </c>
      <c r="BC201" s="2">
        <v>20.671729676973701</v>
      </c>
      <c r="BD201" s="2">
        <v>19.5111873304913</v>
      </c>
      <c r="BE201" s="2">
        <v>20.373358105759699</v>
      </c>
      <c r="BF201" s="2">
        <v>20.039558188087099</v>
      </c>
      <c r="BG201" s="2">
        <v>21.024966490635101</v>
      </c>
      <c r="BH201" s="2">
        <v>20.822239406129999</v>
      </c>
      <c r="BI201" s="2">
        <v>20.964313627742001</v>
      </c>
      <c r="BJ201" s="2">
        <v>20.739722605517098</v>
      </c>
      <c r="BK201" s="2">
        <v>20.365271200537698</v>
      </c>
      <c r="BL201" s="2">
        <v>20.218839901527101</v>
      </c>
      <c r="BM201" s="2">
        <v>21.139265675814102</v>
      </c>
      <c r="BN201" s="2">
        <v>20.387308948573999</v>
      </c>
      <c r="BO201" s="2">
        <v>20.361084303241501</v>
      </c>
      <c r="BP201" s="2">
        <v>20.151823700259701</v>
      </c>
      <c r="BQ201" s="2">
        <v>21.335423046489598</v>
      </c>
      <c r="BR201" s="2">
        <v>20.5891283392512</v>
      </c>
      <c r="BS201" s="2">
        <v>20.678634264754699</v>
      </c>
      <c r="BT201" s="2">
        <v>19.773370164352102</v>
      </c>
      <c r="BU201" s="2">
        <v>20.261150034502901</v>
      </c>
      <c r="BV201" s="2">
        <v>20.8207297861684</v>
      </c>
      <c r="BW201" s="2">
        <v>19.060529995963201</v>
      </c>
      <c r="BX201" s="2">
        <v>20.678530277841201</v>
      </c>
      <c r="BY201" s="2">
        <v>21.2034060420097</v>
      </c>
      <c r="BZ201" s="2">
        <v>20.6133442988151</v>
      </c>
      <c r="CA201" s="2">
        <v>20.417723825089102</v>
      </c>
      <c r="CB201" s="2">
        <v>20.540938651186899</v>
      </c>
      <c r="CC201" s="2">
        <v>20.8378700865543</v>
      </c>
      <c r="CD201" s="2">
        <v>21.107706422571699</v>
      </c>
      <c r="CE201" s="2">
        <v>21.027890045347799</v>
      </c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</row>
    <row r="202" spans="1:97">
      <c r="A202" s="2" t="s">
        <v>2186</v>
      </c>
      <c r="B202" s="2">
        <v>253.14407</v>
      </c>
      <c r="C202" s="2">
        <v>7.7220000000000004</v>
      </c>
      <c r="D202" s="2" t="s">
        <v>146</v>
      </c>
      <c r="E202" s="2" t="s">
        <v>2187</v>
      </c>
      <c r="F202" s="2" t="s">
        <v>2188</v>
      </c>
      <c r="G202" s="2">
        <v>58663</v>
      </c>
      <c r="H202" s="3" t="str">
        <f>HYPERLINK("https://cloud.oebiotech.com/#/lm/network/58663", "https://cloud.oebiotech.com/#/lm/network/58663")</f>
        <v>https://cloud.oebiotech.com/#/lm/network/58663</v>
      </c>
      <c r="I202" s="2" t="s">
        <v>2189</v>
      </c>
      <c r="J202" s="2">
        <v>90126</v>
      </c>
      <c r="K202" s="2"/>
      <c r="L202" s="2">
        <v>101415508</v>
      </c>
      <c r="M202" s="2"/>
      <c r="N202" s="2"/>
      <c r="O202" s="2"/>
      <c r="P202" s="2">
        <v>167940</v>
      </c>
      <c r="Q202" s="2"/>
      <c r="R202" s="2"/>
      <c r="S202" s="2" t="s">
        <v>2190</v>
      </c>
      <c r="T202" s="2" t="s">
        <v>2191</v>
      </c>
      <c r="U202" s="2" t="s">
        <v>2192</v>
      </c>
      <c r="V202" s="2" t="s">
        <v>553</v>
      </c>
      <c r="W202" s="2" t="s">
        <v>2193</v>
      </c>
      <c r="X202" s="2" t="s">
        <v>375</v>
      </c>
      <c r="Y202" s="2" t="s">
        <v>556</v>
      </c>
      <c r="Z202" s="2" t="s">
        <v>2194</v>
      </c>
      <c r="AA202" s="2"/>
      <c r="AB202" s="2" t="s">
        <v>101</v>
      </c>
      <c r="AC202" s="2">
        <v>70.72</v>
      </c>
      <c r="AD202" s="2">
        <v>91.03</v>
      </c>
      <c r="AE202" s="2">
        <v>79.239999999999995</v>
      </c>
      <c r="AF202" s="2" t="s">
        <v>2195</v>
      </c>
      <c r="AG202" s="2" t="s">
        <v>157</v>
      </c>
      <c r="AH202" s="2" t="s">
        <v>2196</v>
      </c>
      <c r="AI202" s="2">
        <v>1.58</v>
      </c>
      <c r="AJ202" s="2">
        <v>18.709435468349799</v>
      </c>
      <c r="AK202" s="2">
        <v>18.717356460967501</v>
      </c>
      <c r="AL202" s="2">
        <v>18.630132043819899</v>
      </c>
      <c r="AM202" s="2">
        <v>18.673380613582999</v>
      </c>
      <c r="AN202" s="2">
        <v>18.538133674779701</v>
      </c>
      <c r="AO202" s="2">
        <v>18.655043917328701</v>
      </c>
      <c r="AP202" s="2">
        <v>18.650351811825701</v>
      </c>
      <c r="AQ202" s="2">
        <v>18.7159371293905</v>
      </c>
      <c r="AR202" s="2">
        <v>17.0608596059825</v>
      </c>
      <c r="AS202" s="2">
        <v>17.289376379799499</v>
      </c>
      <c r="AT202" s="2">
        <v>18.922126926271801</v>
      </c>
      <c r="AU202" s="2">
        <v>17.5992816121815</v>
      </c>
      <c r="AV202" s="2">
        <v>17.6486396468203</v>
      </c>
      <c r="AW202" s="2">
        <v>18.212610088701702</v>
      </c>
      <c r="AX202" s="2">
        <v>19.113460743693899</v>
      </c>
      <c r="AY202" s="2">
        <v>18.399530697814299</v>
      </c>
      <c r="AZ202" s="2">
        <v>16.9980949911828</v>
      </c>
      <c r="BA202" s="2">
        <v>17.680866872163801</v>
      </c>
      <c r="BB202" s="2">
        <v>18.2377698563783</v>
      </c>
      <c r="BC202" s="2">
        <v>19.475979489406299</v>
      </c>
      <c r="BD202" s="2">
        <v>19.0140961446352</v>
      </c>
      <c r="BE202" s="2">
        <v>19.0713869932638</v>
      </c>
      <c r="BF202" s="2">
        <v>18.8466776169887</v>
      </c>
      <c r="BG202" s="2">
        <v>18.972613430266598</v>
      </c>
      <c r="BH202" s="2">
        <v>17.477628082256199</v>
      </c>
      <c r="BI202" s="2">
        <v>19.824825131331799</v>
      </c>
      <c r="BJ202" s="2">
        <v>18.062514722414399</v>
      </c>
      <c r="BK202" s="2">
        <v>17.772315347235701</v>
      </c>
      <c r="BL202" s="2">
        <v>18.480751867957199</v>
      </c>
      <c r="BM202" s="2">
        <v>17.2787805641814</v>
      </c>
      <c r="BN202" s="2">
        <v>17.567274973654399</v>
      </c>
      <c r="BO202" s="2">
        <v>17.9617994277734</v>
      </c>
      <c r="BP202" s="2">
        <v>18.2743513973247</v>
      </c>
      <c r="BQ202" s="2">
        <v>19.412316205099099</v>
      </c>
      <c r="BR202" s="2">
        <v>19.720507336935199</v>
      </c>
      <c r="BS202" s="2">
        <v>18.251033116542001</v>
      </c>
      <c r="BT202" s="2">
        <v>17.905214050361</v>
      </c>
      <c r="BU202" s="2">
        <v>17.411159904068299</v>
      </c>
      <c r="BV202" s="2">
        <v>17.1799237617447</v>
      </c>
      <c r="BW202" s="2">
        <v>18.413097703643299</v>
      </c>
      <c r="BX202" s="2">
        <v>19.7144073119679</v>
      </c>
      <c r="BY202" s="2">
        <v>18.154228581650798</v>
      </c>
      <c r="BZ202" s="2">
        <v>18.952685402634302</v>
      </c>
      <c r="CA202" s="2">
        <v>17.736564315222701</v>
      </c>
      <c r="CB202" s="2">
        <v>17.939148738119201</v>
      </c>
      <c r="CC202" s="2">
        <v>19.483873941661901</v>
      </c>
      <c r="CD202" s="2">
        <v>17.533539851450399</v>
      </c>
      <c r="CE202" s="2">
        <v>19.104141671107001</v>
      </c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</row>
    <row r="203" spans="1:97">
      <c r="A203" s="2" t="s">
        <v>2197</v>
      </c>
      <c r="B203" s="2">
        <v>201.02232000000001</v>
      </c>
      <c r="C203" s="2">
        <v>5.6319999999999997</v>
      </c>
      <c r="D203" s="2" t="s">
        <v>146</v>
      </c>
      <c r="E203" s="2" t="s">
        <v>2198</v>
      </c>
      <c r="F203" s="2" t="s">
        <v>2199</v>
      </c>
      <c r="G203" s="2">
        <v>83746</v>
      </c>
      <c r="H203" s="3" t="str">
        <f>HYPERLINK("https://cloud.oebiotech.com/#/lm/network/83746", "https://cloud.oebiotech.com/#/lm/network/83746")</f>
        <v>https://cloud.oebiotech.com/#/lm/network/83746</v>
      </c>
      <c r="I203" s="2" t="s">
        <v>2200</v>
      </c>
      <c r="J203" s="2"/>
      <c r="K203" s="2"/>
      <c r="L203" s="2">
        <v>86290012</v>
      </c>
      <c r="M203" s="2"/>
      <c r="N203" s="2"/>
      <c r="O203" s="2"/>
      <c r="P203" s="2">
        <v>82935</v>
      </c>
      <c r="Q203" s="2"/>
      <c r="R203" s="2"/>
      <c r="S203" s="2"/>
      <c r="T203" s="2" t="s">
        <v>2201</v>
      </c>
      <c r="U203" s="2" t="s">
        <v>2202</v>
      </c>
      <c r="V203" s="2" t="s">
        <v>115</v>
      </c>
      <c r="W203" s="2" t="s">
        <v>613</v>
      </c>
      <c r="X203" s="2" t="s">
        <v>614</v>
      </c>
      <c r="Y203" s="2" t="s">
        <v>118</v>
      </c>
      <c r="Z203" s="2" t="s">
        <v>615</v>
      </c>
      <c r="AA203" s="2" t="s">
        <v>616</v>
      </c>
      <c r="AB203" s="2" t="s">
        <v>101</v>
      </c>
      <c r="AC203" s="2">
        <v>70.709999999999994</v>
      </c>
      <c r="AD203" s="2">
        <v>91.84</v>
      </c>
      <c r="AE203" s="2">
        <v>92.67</v>
      </c>
      <c r="AF203" s="2" t="s">
        <v>2203</v>
      </c>
      <c r="AG203" s="2" t="s">
        <v>194</v>
      </c>
      <c r="AH203" s="2" t="s">
        <v>2204</v>
      </c>
      <c r="AI203" s="2">
        <v>1.99</v>
      </c>
      <c r="AJ203" s="2">
        <v>22.303477792833998</v>
      </c>
      <c r="AK203" s="2">
        <v>22.3536790514651</v>
      </c>
      <c r="AL203" s="2">
        <v>22.302089801566801</v>
      </c>
      <c r="AM203" s="2">
        <v>22.3328326120048</v>
      </c>
      <c r="AN203" s="2">
        <v>22.333994685029701</v>
      </c>
      <c r="AO203" s="2">
        <v>22.353547366818098</v>
      </c>
      <c r="AP203" s="2">
        <v>22.4041184793135</v>
      </c>
      <c r="AQ203" s="2">
        <v>22.280972736311401</v>
      </c>
      <c r="AR203" s="2">
        <v>17.687432208482299</v>
      </c>
      <c r="AS203" s="2">
        <v>20.352653039928398</v>
      </c>
      <c r="AT203" s="2">
        <v>18.311108046195098</v>
      </c>
      <c r="AU203" s="2">
        <v>19.2314586316086</v>
      </c>
      <c r="AV203" s="2">
        <v>20.3226251358833</v>
      </c>
      <c r="AW203" s="2">
        <v>21.297396921721202</v>
      </c>
      <c r="AX203" s="2">
        <v>16.045993167654601</v>
      </c>
      <c r="AY203" s="2">
        <v>18.560752675898101</v>
      </c>
      <c r="AZ203" s="2">
        <v>16.729588217762601</v>
      </c>
      <c r="BA203" s="2">
        <v>18.481123680088398</v>
      </c>
      <c r="BB203" s="2">
        <v>19.258280732979401</v>
      </c>
      <c r="BC203" s="2">
        <v>14.479527037714</v>
      </c>
      <c r="BD203" s="2">
        <v>20.122407682445299</v>
      </c>
      <c r="BE203" s="2">
        <v>20.573986379377899</v>
      </c>
      <c r="BF203" s="2">
        <v>15.905201061763499</v>
      </c>
      <c r="BG203" s="2">
        <v>18.341149328557599</v>
      </c>
      <c r="BH203" s="2">
        <v>16.390229425570801</v>
      </c>
      <c r="BI203" s="2">
        <v>19.435011689790802</v>
      </c>
      <c r="BJ203" s="2">
        <v>17.819253167186901</v>
      </c>
      <c r="BK203" s="2">
        <v>16.385893568394099</v>
      </c>
      <c r="BL203" s="2">
        <v>19.3314812174332</v>
      </c>
      <c r="BM203" s="2">
        <v>18.223591862259099</v>
      </c>
      <c r="BN203" s="2">
        <v>19.796563018877301</v>
      </c>
      <c r="BO203" s="2">
        <v>18.469882837122</v>
      </c>
      <c r="BP203" s="2">
        <v>19.5428611957039</v>
      </c>
      <c r="BQ203" s="2">
        <v>20.606931084349501</v>
      </c>
      <c r="BR203" s="2">
        <v>20.382417185778099</v>
      </c>
      <c r="BS203" s="2">
        <v>21.204481987926901</v>
      </c>
      <c r="BT203" s="2">
        <v>16.739502036222099</v>
      </c>
      <c r="BU203" s="2">
        <v>20.403203011196499</v>
      </c>
      <c r="BV203" s="2">
        <v>18.027179456780001</v>
      </c>
      <c r="BW203" s="2">
        <v>15.635353943492399</v>
      </c>
      <c r="BX203" s="2">
        <v>24.2358502555001</v>
      </c>
      <c r="BY203" s="2">
        <v>25.8565266101267</v>
      </c>
      <c r="BZ203" s="2">
        <v>20.258443116648898</v>
      </c>
      <c r="CA203" s="2">
        <v>19.5880705047113</v>
      </c>
      <c r="CB203" s="2">
        <v>19.228395188894901</v>
      </c>
      <c r="CC203" s="2">
        <v>17.001936902415</v>
      </c>
      <c r="CD203" s="2">
        <v>20.0341513762685</v>
      </c>
      <c r="CE203" s="2">
        <v>18.495161542053001</v>
      </c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</row>
    <row r="204" spans="1:97">
      <c r="A204" s="2" t="s">
        <v>2205</v>
      </c>
      <c r="B204" s="2">
        <v>585.27018999999996</v>
      </c>
      <c r="C204" s="2">
        <v>9.9309999999999992</v>
      </c>
      <c r="D204" s="2" t="s">
        <v>84</v>
      </c>
      <c r="E204" s="2" t="s">
        <v>2206</v>
      </c>
      <c r="F204" s="2" t="s">
        <v>1048</v>
      </c>
      <c r="G204" s="2">
        <v>208381</v>
      </c>
      <c r="H204" s="3" t="str">
        <f>HYPERLINK("https://cloud.oebiotech.com/#/lm/network/208381", "https://cloud.oebiotech.com/#/lm/network/208381")</f>
        <v>https://cloud.oebiotech.com/#/lm/network/208381</v>
      </c>
      <c r="I204" s="2" t="s">
        <v>2207</v>
      </c>
      <c r="J204" s="2"/>
      <c r="K204" s="2"/>
      <c r="L204" s="2">
        <v>136614764</v>
      </c>
      <c r="M204" s="2"/>
      <c r="N204" s="2"/>
      <c r="O204" s="2"/>
      <c r="P204" s="2"/>
      <c r="Q204" s="2"/>
      <c r="R204" s="2"/>
      <c r="S204" s="2"/>
      <c r="T204" s="2" t="s">
        <v>2208</v>
      </c>
      <c r="U204" s="2" t="s">
        <v>2209</v>
      </c>
      <c r="V204" s="2" t="s">
        <v>553</v>
      </c>
      <c r="W204" s="2" t="s">
        <v>1045</v>
      </c>
      <c r="X204" s="2" t="s">
        <v>375</v>
      </c>
      <c r="Y204" s="2" t="s">
        <v>556</v>
      </c>
      <c r="Z204" s="2" t="s">
        <v>1047</v>
      </c>
      <c r="AA204" s="2"/>
      <c r="AB204" s="2" t="s">
        <v>101</v>
      </c>
      <c r="AC204" s="2">
        <v>70.67</v>
      </c>
      <c r="AD204" s="2">
        <v>93.9</v>
      </c>
      <c r="AE204" s="2">
        <v>72.37</v>
      </c>
      <c r="AF204" s="2" t="s">
        <v>2210</v>
      </c>
      <c r="AG204" s="2" t="s">
        <v>103</v>
      </c>
      <c r="AH204" s="2" t="s">
        <v>2211</v>
      </c>
      <c r="AI204" s="2">
        <v>1.03</v>
      </c>
      <c r="AJ204" s="2">
        <v>20.564928956844</v>
      </c>
      <c r="AK204" s="2">
        <v>20.638320131780699</v>
      </c>
      <c r="AL204" s="2">
        <v>20.415325180370999</v>
      </c>
      <c r="AM204" s="2">
        <v>20.355288491239001</v>
      </c>
      <c r="AN204" s="2">
        <v>20.368501303413499</v>
      </c>
      <c r="AO204" s="2">
        <v>20.340346667825699</v>
      </c>
      <c r="AP204" s="2">
        <v>19.930406587728299</v>
      </c>
      <c r="AQ204" s="2">
        <v>20.238012671671399</v>
      </c>
      <c r="AR204" s="2">
        <v>18.7102451255099</v>
      </c>
      <c r="AS204" s="2">
        <v>20.2010495282533</v>
      </c>
      <c r="AT204" s="2">
        <v>21.020399075180599</v>
      </c>
      <c r="AU204" s="2">
        <v>19.150967766220301</v>
      </c>
      <c r="AV204" s="2">
        <v>20.765691553645301</v>
      </c>
      <c r="AW204" s="2">
        <v>20.8905554215115</v>
      </c>
      <c r="AX204" s="2">
        <v>20.442469843514299</v>
      </c>
      <c r="AY204" s="2">
        <v>20.768736453951998</v>
      </c>
      <c r="AZ204" s="2">
        <v>19.235550307808399</v>
      </c>
      <c r="BA204" s="2">
        <v>19.809530961824599</v>
      </c>
      <c r="BB204" s="2">
        <v>20.388694125833901</v>
      </c>
      <c r="BC204" s="2">
        <v>20.8364469994284</v>
      </c>
      <c r="BD204" s="2">
        <v>19.7389743722776</v>
      </c>
      <c r="BE204" s="2">
        <v>22.000963008383199</v>
      </c>
      <c r="BF204" s="2">
        <v>19.390750260056301</v>
      </c>
      <c r="BG204" s="2">
        <v>20.257773737232601</v>
      </c>
      <c r="BH204" s="2">
        <v>20.044494765515001</v>
      </c>
      <c r="BI204" s="2">
        <v>20.556776261516902</v>
      </c>
      <c r="BJ204" s="2">
        <v>21.266859430193499</v>
      </c>
      <c r="BK204" s="2">
        <v>19.490656263641299</v>
      </c>
      <c r="BL204" s="2">
        <v>19.490612277208701</v>
      </c>
      <c r="BM204" s="2">
        <v>19.6170752746972</v>
      </c>
      <c r="BN204" s="2">
        <v>21.0177444143808</v>
      </c>
      <c r="BO204" s="2">
        <v>20.620550158850101</v>
      </c>
      <c r="BP204" s="2">
        <v>21.192086976595402</v>
      </c>
      <c r="BQ204" s="2">
        <v>20.2477113914608</v>
      </c>
      <c r="BR204" s="2">
        <v>20.985059024033902</v>
      </c>
      <c r="BS204" s="2">
        <v>20.0396197645854</v>
      </c>
      <c r="BT204" s="2">
        <v>19.488414813755298</v>
      </c>
      <c r="BU204" s="2">
        <v>20.2405575086851</v>
      </c>
      <c r="BV204" s="2">
        <v>20.933316755809901</v>
      </c>
      <c r="BW204" s="2">
        <v>20.713310681702101</v>
      </c>
      <c r="BX204" s="2">
        <v>19.422986324135699</v>
      </c>
      <c r="BY204" s="2">
        <v>21.079478527179798</v>
      </c>
      <c r="BZ204" s="2">
        <v>19.372055182635599</v>
      </c>
      <c r="CA204" s="2">
        <v>20.109235460615899</v>
      </c>
      <c r="CB204" s="2">
        <v>21.110823096440999</v>
      </c>
      <c r="CC204" s="2">
        <v>19.831986486618799</v>
      </c>
      <c r="CD204" s="2">
        <v>20.708797109426001</v>
      </c>
      <c r="CE204" s="2">
        <v>19.4635832218252</v>
      </c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</row>
    <row r="205" spans="1:97">
      <c r="A205" s="2" t="s">
        <v>2212</v>
      </c>
      <c r="B205" s="2">
        <v>159.06591</v>
      </c>
      <c r="C205" s="2">
        <v>4.2430000000000003</v>
      </c>
      <c r="D205" s="2" t="s">
        <v>146</v>
      </c>
      <c r="E205" s="2" t="s">
        <v>2213</v>
      </c>
      <c r="F205" s="2" t="s">
        <v>2214</v>
      </c>
      <c r="G205" s="2">
        <v>2906</v>
      </c>
      <c r="H205" s="3" t="str">
        <f>HYPERLINK("https://cloud.oebiotech.com/#/lm/network/2906", "https://cloud.oebiotech.com/#/lm/network/2906")</f>
        <v>https://cloud.oebiotech.com/#/lm/network/2906</v>
      </c>
      <c r="I205" s="2" t="s">
        <v>2215</v>
      </c>
      <c r="J205" s="2">
        <v>3797</v>
      </c>
      <c r="K205" s="2" t="s">
        <v>2216</v>
      </c>
      <c r="L205" s="2">
        <v>12292</v>
      </c>
      <c r="M205" s="2"/>
      <c r="N205" s="2"/>
      <c r="O205" s="2"/>
      <c r="P205" s="2">
        <v>68503</v>
      </c>
      <c r="Q205" s="2"/>
      <c r="R205" s="2"/>
      <c r="S205" s="2" t="s">
        <v>2217</v>
      </c>
      <c r="T205" s="2" t="s">
        <v>2218</v>
      </c>
      <c r="U205" s="2" t="s">
        <v>2219</v>
      </c>
      <c r="V205" s="2" t="s">
        <v>95</v>
      </c>
      <c r="W205" s="2" t="s">
        <v>96</v>
      </c>
      <c r="X205" s="2" t="s">
        <v>141</v>
      </c>
      <c r="Y205" s="2" t="s">
        <v>98</v>
      </c>
      <c r="Z205" s="2" t="s">
        <v>99</v>
      </c>
      <c r="AA205" s="2" t="s">
        <v>142</v>
      </c>
      <c r="AB205" s="2" t="s">
        <v>101</v>
      </c>
      <c r="AC205" s="2">
        <v>70.61</v>
      </c>
      <c r="AD205" s="2">
        <v>95.59</v>
      </c>
      <c r="AE205" s="2">
        <v>82.08</v>
      </c>
      <c r="AF205" s="2" t="s">
        <v>2220</v>
      </c>
      <c r="AG205" s="2" t="s">
        <v>194</v>
      </c>
      <c r="AH205" s="2" t="s">
        <v>2221</v>
      </c>
      <c r="AI205" s="2">
        <v>2.5099999999999998</v>
      </c>
      <c r="AJ205" s="2">
        <v>21.000284678870699</v>
      </c>
      <c r="AK205" s="2">
        <v>21.103204515472701</v>
      </c>
      <c r="AL205" s="2">
        <v>20.995650012980398</v>
      </c>
      <c r="AM205" s="2">
        <v>20.707223335430299</v>
      </c>
      <c r="AN205" s="2">
        <v>21.142073730003901</v>
      </c>
      <c r="AO205" s="2">
        <v>21.016836451449901</v>
      </c>
      <c r="AP205" s="2">
        <v>21.044255545969101</v>
      </c>
      <c r="AQ205" s="2">
        <v>21.171600591342301</v>
      </c>
      <c r="AR205" s="2">
        <v>21.7436855976201</v>
      </c>
      <c r="AS205" s="2">
        <v>20.638968070898901</v>
      </c>
      <c r="AT205" s="2">
        <v>20.581635586784699</v>
      </c>
      <c r="AU205" s="2">
        <v>20.805814039059399</v>
      </c>
      <c r="AV205" s="2">
        <v>21.1155927999482</v>
      </c>
      <c r="AW205" s="2">
        <v>21.463237619353102</v>
      </c>
      <c r="AX205" s="2">
        <v>21.223930627577602</v>
      </c>
      <c r="AY205" s="2">
        <v>21.156291689322501</v>
      </c>
      <c r="AZ205" s="2">
        <v>21.1140163188389</v>
      </c>
      <c r="BA205" s="2">
        <v>21.105480858494499</v>
      </c>
      <c r="BB205" s="2">
        <v>20.9833577567098</v>
      </c>
      <c r="BC205" s="2">
        <v>21.4496194051939</v>
      </c>
      <c r="BD205" s="2">
        <v>20.857256628287601</v>
      </c>
      <c r="BE205" s="2">
        <v>21.0389894919292</v>
      </c>
      <c r="BF205" s="2">
        <v>21.228082772976101</v>
      </c>
      <c r="BG205" s="2">
        <v>21.106680176377701</v>
      </c>
      <c r="BH205" s="2">
        <v>21.288952468360002</v>
      </c>
      <c r="BI205" s="2">
        <v>20.832675730799799</v>
      </c>
      <c r="BJ205" s="2">
        <v>20.928390370239299</v>
      </c>
      <c r="BK205" s="2">
        <v>21.055362100010299</v>
      </c>
      <c r="BL205" s="2">
        <v>20.940307818209199</v>
      </c>
      <c r="BM205" s="2">
        <v>21.029970224677498</v>
      </c>
      <c r="BN205" s="2">
        <v>21.337876643233699</v>
      </c>
      <c r="BO205" s="2">
        <v>21.028317118272302</v>
      </c>
      <c r="BP205" s="2">
        <v>21.199101281250702</v>
      </c>
      <c r="BQ205" s="2">
        <v>21.214512135379099</v>
      </c>
      <c r="BR205" s="2">
        <v>21.2787678111129</v>
      </c>
      <c r="BS205" s="2">
        <v>21.705171132602601</v>
      </c>
      <c r="BT205" s="2">
        <v>21.339782921806499</v>
      </c>
      <c r="BU205" s="2">
        <v>20.63630183367</v>
      </c>
      <c r="BV205" s="2">
        <v>20.5692248104287</v>
      </c>
      <c r="BW205" s="2">
        <v>20.845539521758099</v>
      </c>
      <c r="BX205" s="2">
        <v>20.9228514776064</v>
      </c>
      <c r="BY205" s="2">
        <v>21.302026465630501</v>
      </c>
      <c r="BZ205" s="2">
        <v>21.175530272032901</v>
      </c>
      <c r="CA205" s="2">
        <v>20.945815498978401</v>
      </c>
      <c r="CB205" s="2">
        <v>20.939062211250398</v>
      </c>
      <c r="CC205" s="2">
        <v>20.979111411101599</v>
      </c>
      <c r="CD205" s="2">
        <v>21.082994571057199</v>
      </c>
      <c r="CE205" s="2">
        <v>20.997479305887101</v>
      </c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</row>
    <row r="206" spans="1:97">
      <c r="A206" s="2" t="s">
        <v>2222</v>
      </c>
      <c r="B206" s="2">
        <v>583.25548000000003</v>
      </c>
      <c r="C206" s="2">
        <v>14.942</v>
      </c>
      <c r="D206" s="2" t="s">
        <v>146</v>
      </c>
      <c r="E206" s="2" t="s">
        <v>2223</v>
      </c>
      <c r="F206" s="2" t="s">
        <v>1048</v>
      </c>
      <c r="G206" s="2">
        <v>46846</v>
      </c>
      <c r="H206" s="3" t="str">
        <f>HYPERLINK("https://cloud.oebiotech.com/#/lm/network/46846", "https://cloud.oebiotech.com/#/lm/network/46846")</f>
        <v>https://cloud.oebiotech.com/#/lm/network/46846</v>
      </c>
      <c r="I206" s="2" t="s">
        <v>2224</v>
      </c>
      <c r="J206" s="2">
        <v>81</v>
      </c>
      <c r="K206" s="2"/>
      <c r="L206" s="2">
        <v>5280352</v>
      </c>
      <c r="M206" s="2" t="s">
        <v>2225</v>
      </c>
      <c r="N206" s="2" t="s">
        <v>2226</v>
      </c>
      <c r="O206" s="2" t="s">
        <v>2227</v>
      </c>
      <c r="P206" s="2">
        <v>16990</v>
      </c>
      <c r="Q206" s="2"/>
      <c r="R206" s="2"/>
      <c r="S206" s="2" t="s">
        <v>2228</v>
      </c>
      <c r="T206" s="2" t="s">
        <v>2229</v>
      </c>
      <c r="U206" s="2" t="s">
        <v>2230</v>
      </c>
      <c r="V206" s="2" t="s">
        <v>553</v>
      </c>
      <c r="W206" s="2" t="s">
        <v>1045</v>
      </c>
      <c r="X206" s="2" t="s">
        <v>1046</v>
      </c>
      <c r="Y206" s="2" t="s">
        <v>556</v>
      </c>
      <c r="Z206" s="2" t="s">
        <v>1047</v>
      </c>
      <c r="AA206" s="2" t="s">
        <v>1048</v>
      </c>
      <c r="AB206" s="2" t="s">
        <v>101</v>
      </c>
      <c r="AC206" s="2">
        <v>70.599999999999994</v>
      </c>
      <c r="AD206" s="2">
        <v>93.17</v>
      </c>
      <c r="AE206" s="2">
        <v>76.239999999999995</v>
      </c>
      <c r="AF206" s="2" t="s">
        <v>2231</v>
      </c>
      <c r="AG206" s="2" t="s">
        <v>194</v>
      </c>
      <c r="AH206" s="2" t="s">
        <v>2211</v>
      </c>
      <c r="AI206" s="2">
        <v>1.2</v>
      </c>
      <c r="AJ206" s="2">
        <v>19.568906544054599</v>
      </c>
      <c r="AK206" s="2">
        <v>19.136855422617199</v>
      </c>
      <c r="AL206" s="2">
        <v>18.800699420422301</v>
      </c>
      <c r="AM206" s="2">
        <v>19.546593006782199</v>
      </c>
      <c r="AN206" s="2">
        <v>19.347469486783702</v>
      </c>
      <c r="AO206" s="2">
        <v>18.708686510390599</v>
      </c>
      <c r="AP206" s="2">
        <v>19.147453880469499</v>
      </c>
      <c r="AQ206" s="2">
        <v>18.189268618928899</v>
      </c>
      <c r="AR206" s="2">
        <v>18.4352794645418</v>
      </c>
      <c r="AS206" s="2">
        <v>18.545712096907302</v>
      </c>
      <c r="AT206" s="2">
        <v>19.011080462122798</v>
      </c>
      <c r="AU206" s="2">
        <v>17.831318502440901</v>
      </c>
      <c r="AV206" s="2">
        <v>18.2705685438277</v>
      </c>
      <c r="AW206" s="2">
        <v>19.069668458619901</v>
      </c>
      <c r="AX206" s="2">
        <v>19.114621533647298</v>
      </c>
      <c r="AY206" s="2">
        <v>19.245301847767799</v>
      </c>
      <c r="AZ206" s="2">
        <v>17.345347894014299</v>
      </c>
      <c r="BA206" s="2">
        <v>18.064411225040399</v>
      </c>
      <c r="BB206" s="2">
        <v>19.2054764607533</v>
      </c>
      <c r="BC206" s="2">
        <v>19.0103419821559</v>
      </c>
      <c r="BD206" s="2">
        <v>19.104617308201799</v>
      </c>
      <c r="BE206" s="2">
        <v>20.4137823709823</v>
      </c>
      <c r="BF206" s="2">
        <v>18.816406928567599</v>
      </c>
      <c r="BG206" s="2">
        <v>18.770962767496599</v>
      </c>
      <c r="BH206" s="2">
        <v>18.515855307335698</v>
      </c>
      <c r="BI206" s="2">
        <v>18.646409499826699</v>
      </c>
      <c r="BJ206" s="2">
        <v>18.757370866026601</v>
      </c>
      <c r="BK206" s="2">
        <v>18.615744390277801</v>
      </c>
      <c r="BL206" s="2">
        <v>18.250026193470202</v>
      </c>
      <c r="BM206" s="2">
        <v>17.295621874179201</v>
      </c>
      <c r="BN206" s="2">
        <v>19.077419072339399</v>
      </c>
      <c r="BO206" s="2">
        <v>19.6400099445428</v>
      </c>
      <c r="BP206" s="2">
        <v>19.1536092022349</v>
      </c>
      <c r="BQ206" s="2">
        <v>18.516062637487199</v>
      </c>
      <c r="BR206" s="2">
        <v>18.945539540006799</v>
      </c>
      <c r="BS206" s="2">
        <v>17.585070144086099</v>
      </c>
      <c r="BT206" s="2">
        <v>18.0047089240418</v>
      </c>
      <c r="BU206" s="2">
        <v>18.137942231686701</v>
      </c>
      <c r="BV206" s="2">
        <v>19.343321608122999</v>
      </c>
      <c r="BW206" s="2">
        <v>19.5009735636513</v>
      </c>
      <c r="BX206" s="2">
        <v>18.743721640182802</v>
      </c>
      <c r="BY206" s="2">
        <v>19.8717206878915</v>
      </c>
      <c r="BZ206" s="2">
        <v>18.93287402148</v>
      </c>
      <c r="CA206" s="2">
        <v>18.8109346350229</v>
      </c>
      <c r="CB206" s="2">
        <v>18.386373003629298</v>
      </c>
      <c r="CC206" s="2">
        <v>18.502231112787399</v>
      </c>
      <c r="CD206" s="2">
        <v>19.518252466659099</v>
      </c>
      <c r="CE206" s="2">
        <v>18.883386490703401</v>
      </c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</row>
    <row r="207" spans="1:97">
      <c r="A207" s="2" t="s">
        <v>2232</v>
      </c>
      <c r="B207" s="2">
        <v>160.06116</v>
      </c>
      <c r="C207" s="2">
        <v>1.0860000000000001</v>
      </c>
      <c r="D207" s="2" t="s">
        <v>146</v>
      </c>
      <c r="E207" s="2" t="s">
        <v>2233</v>
      </c>
      <c r="F207" s="2" t="s">
        <v>2234</v>
      </c>
      <c r="G207" s="2">
        <v>202119</v>
      </c>
      <c r="H207" s="3" t="str">
        <f>HYPERLINK("https://cloud.oebiotech.com/#/lm/network/202119", "https://cloud.oebiotech.com/#/lm/network/202119")</f>
        <v>https://cloud.oebiotech.com/#/lm/network/202119</v>
      </c>
      <c r="I207" s="2" t="s">
        <v>2235</v>
      </c>
      <c r="J207" s="2"/>
      <c r="K207" s="2"/>
      <c r="L207" s="2">
        <v>6426685</v>
      </c>
      <c r="M207" s="2"/>
      <c r="N207" s="2"/>
      <c r="O207" s="2"/>
      <c r="P207" s="2"/>
      <c r="Q207" s="2"/>
      <c r="R207" s="2"/>
      <c r="S207" s="2"/>
      <c r="T207" s="2" t="s">
        <v>2236</v>
      </c>
      <c r="U207" s="2" t="s">
        <v>2237</v>
      </c>
      <c r="V207" s="2" t="s">
        <v>553</v>
      </c>
      <c r="W207" s="2" t="s">
        <v>2238</v>
      </c>
      <c r="X207" s="2" t="s">
        <v>2239</v>
      </c>
      <c r="Y207" s="2" t="s">
        <v>556</v>
      </c>
      <c r="Z207" s="2" t="s">
        <v>2240</v>
      </c>
      <c r="AA207" s="2" t="s">
        <v>2241</v>
      </c>
      <c r="AB207" s="2" t="s">
        <v>101</v>
      </c>
      <c r="AC207" s="2">
        <v>70.599999999999994</v>
      </c>
      <c r="AD207" s="2">
        <v>95.63</v>
      </c>
      <c r="AE207" s="2">
        <v>73.3</v>
      </c>
      <c r="AF207" s="2" t="s">
        <v>2242</v>
      </c>
      <c r="AG207" s="2" t="s">
        <v>157</v>
      </c>
      <c r="AH207" s="2" t="s">
        <v>122</v>
      </c>
      <c r="AI207" s="2">
        <v>1.87</v>
      </c>
      <c r="AJ207" s="2">
        <v>20.2202233896077</v>
      </c>
      <c r="AK207" s="2">
        <v>20.355904143244</v>
      </c>
      <c r="AL207" s="2">
        <v>20.2838227295025</v>
      </c>
      <c r="AM207" s="2">
        <v>20.303042233748101</v>
      </c>
      <c r="AN207" s="2">
        <v>20.254695703254399</v>
      </c>
      <c r="AO207" s="2">
        <v>20.338644775145099</v>
      </c>
      <c r="AP207" s="2">
        <v>20.023404445304401</v>
      </c>
      <c r="AQ207" s="2">
        <v>20.200130961223099</v>
      </c>
      <c r="AR207" s="2">
        <v>19.2715945631446</v>
      </c>
      <c r="AS207" s="2">
        <v>19.239798998395599</v>
      </c>
      <c r="AT207" s="2">
        <v>18.9524012272908</v>
      </c>
      <c r="AU207" s="2">
        <v>19.1646317512038</v>
      </c>
      <c r="AV207" s="2">
        <v>18.746849789555601</v>
      </c>
      <c r="AW207" s="2">
        <v>20.0170820009408</v>
      </c>
      <c r="AX207" s="2">
        <v>19.804767698436098</v>
      </c>
      <c r="AY207" s="2">
        <v>19.5588842805079</v>
      </c>
      <c r="AZ207" s="2">
        <v>19.4794514677283</v>
      </c>
      <c r="BA207" s="2">
        <v>19.521682785081701</v>
      </c>
      <c r="BB207" s="2">
        <v>19.641341028842799</v>
      </c>
      <c r="BC207" s="2">
        <v>20.223252557718599</v>
      </c>
      <c r="BD207" s="2">
        <v>19.496515625611501</v>
      </c>
      <c r="BE207" s="2">
        <v>19.843430572782701</v>
      </c>
      <c r="BF207" s="2">
        <v>19.296352768106502</v>
      </c>
      <c r="BG207" s="2">
        <v>19.673554232961902</v>
      </c>
      <c r="BH207" s="2">
        <v>20.431198269973901</v>
      </c>
      <c r="BI207" s="2">
        <v>19.7204481684625</v>
      </c>
      <c r="BJ207" s="2">
        <v>19.880629735018701</v>
      </c>
      <c r="BK207" s="2">
        <v>19.356830523973301</v>
      </c>
      <c r="BL207" s="2">
        <v>19.484480159997901</v>
      </c>
      <c r="BM207" s="2">
        <v>20.4391816277911</v>
      </c>
      <c r="BN207" s="2">
        <v>19.987108041112101</v>
      </c>
      <c r="BO207" s="2">
        <v>20.0618742544365</v>
      </c>
      <c r="BP207" s="2">
        <v>20.009056942294102</v>
      </c>
      <c r="BQ207" s="2">
        <v>20.398660951672898</v>
      </c>
      <c r="BR207" s="2">
        <v>19.735126288127599</v>
      </c>
      <c r="BS207" s="2">
        <v>20.0983103874146</v>
      </c>
      <c r="BT207" s="2">
        <v>20.062876414198701</v>
      </c>
      <c r="BU207" s="2">
        <v>19.902383064267799</v>
      </c>
      <c r="BV207" s="2">
        <v>20.196067480756799</v>
      </c>
      <c r="BW207" s="2">
        <v>19.498343634117902</v>
      </c>
      <c r="BX207" s="2">
        <v>19.908009723543401</v>
      </c>
      <c r="BY207" s="2">
        <v>20.586741016281799</v>
      </c>
      <c r="BZ207" s="2">
        <v>20.2111361167068</v>
      </c>
      <c r="CA207" s="2">
        <v>19.5388855681948</v>
      </c>
      <c r="CB207" s="2">
        <v>19.355184387029301</v>
      </c>
      <c r="CC207" s="2">
        <v>19.661720019361201</v>
      </c>
      <c r="CD207" s="2">
        <v>20.361693365003902</v>
      </c>
      <c r="CE207" s="2">
        <v>20.210785975847799</v>
      </c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</row>
    <row r="208" spans="1:97">
      <c r="A208" s="2" t="s">
        <v>2243</v>
      </c>
      <c r="B208" s="2">
        <v>138.05486999999999</v>
      </c>
      <c r="C208" s="2">
        <v>0.748</v>
      </c>
      <c r="D208" s="2" t="s">
        <v>84</v>
      </c>
      <c r="E208" s="2" t="s">
        <v>2244</v>
      </c>
      <c r="F208" s="2" t="s">
        <v>2245</v>
      </c>
      <c r="G208" s="2">
        <v>47275</v>
      </c>
      <c r="H208" s="3" t="str">
        <f>HYPERLINK("https://cloud.oebiotech.com/#/lm/network/47275", "https://cloud.oebiotech.com/#/lm/network/47275")</f>
        <v>https://cloud.oebiotech.com/#/lm/network/47275</v>
      </c>
      <c r="I208" s="2" t="s">
        <v>2246</v>
      </c>
      <c r="J208" s="2">
        <v>273</v>
      </c>
      <c r="K208" s="2"/>
      <c r="L208" s="2">
        <v>5570</v>
      </c>
      <c r="M208" s="2" t="s">
        <v>2247</v>
      </c>
      <c r="N208" s="2"/>
      <c r="O208" s="2"/>
      <c r="P208" s="2">
        <v>18123</v>
      </c>
      <c r="Q208" s="2"/>
      <c r="R208" s="2"/>
      <c r="S208" s="2" t="s">
        <v>2248</v>
      </c>
      <c r="T208" s="2" t="s">
        <v>2249</v>
      </c>
      <c r="U208" s="2" t="s">
        <v>2250</v>
      </c>
      <c r="V208" s="2" t="s">
        <v>374</v>
      </c>
      <c r="W208" s="2" t="s">
        <v>375</v>
      </c>
      <c r="X208" s="2" t="s">
        <v>375</v>
      </c>
      <c r="Y208" s="2" t="s">
        <v>376</v>
      </c>
      <c r="Z208" s="2"/>
      <c r="AA208" s="2"/>
      <c r="AB208" s="2" t="s">
        <v>101</v>
      </c>
      <c r="AC208" s="2">
        <v>70.599999999999994</v>
      </c>
      <c r="AD208" s="2">
        <v>95.89</v>
      </c>
      <c r="AE208" s="2">
        <v>71.02</v>
      </c>
      <c r="AF208" s="2" t="s">
        <v>2251</v>
      </c>
      <c r="AG208" s="2" t="s">
        <v>103</v>
      </c>
      <c r="AH208" s="2" t="s">
        <v>2252</v>
      </c>
      <c r="AI208" s="2">
        <v>0</v>
      </c>
      <c r="AJ208" s="2">
        <v>23.045795382827201</v>
      </c>
      <c r="AK208" s="2">
        <v>22.404398806337099</v>
      </c>
      <c r="AL208" s="2">
        <v>23.0586968851017</v>
      </c>
      <c r="AM208" s="2">
        <v>23.2415854565904</v>
      </c>
      <c r="AN208" s="2">
        <v>22.2471276846872</v>
      </c>
      <c r="AO208" s="2">
        <v>22.990723335433199</v>
      </c>
      <c r="AP208" s="2">
        <v>23.008892015065101</v>
      </c>
      <c r="AQ208" s="2">
        <v>22.922191896604499</v>
      </c>
      <c r="AR208" s="2">
        <v>22.202982561571901</v>
      </c>
      <c r="AS208" s="2">
        <v>20.784720661802002</v>
      </c>
      <c r="AT208" s="2">
        <v>20.405249109747899</v>
      </c>
      <c r="AU208" s="2">
        <v>20.7837409270373</v>
      </c>
      <c r="AV208" s="2">
        <v>22.094985271757</v>
      </c>
      <c r="AW208" s="2">
        <v>21.713611255626901</v>
      </c>
      <c r="AX208" s="2">
        <v>20.9845892043456</v>
      </c>
      <c r="AY208" s="2">
        <v>21.408192318996299</v>
      </c>
      <c r="AZ208" s="2">
        <v>22.1919396356042</v>
      </c>
      <c r="BA208" s="2">
        <v>21.7297944785951</v>
      </c>
      <c r="BB208" s="2">
        <v>21.052934897164899</v>
      </c>
      <c r="BC208" s="2">
        <v>20.977197575638201</v>
      </c>
      <c r="BD208" s="2">
        <v>20.854850437401598</v>
      </c>
      <c r="BE208" s="2">
        <v>23.568215932942199</v>
      </c>
      <c r="BF208" s="2">
        <v>21.387411817494399</v>
      </c>
      <c r="BG208" s="2">
        <v>20.679239143402299</v>
      </c>
      <c r="BH208" s="2">
        <v>21.360913450096401</v>
      </c>
      <c r="BI208" s="2">
        <v>21.5491238788664</v>
      </c>
      <c r="BJ208" s="2">
        <v>21.500697892228199</v>
      </c>
      <c r="BK208" s="2">
        <v>20.861387299843098</v>
      </c>
      <c r="BL208" s="2">
        <v>25.9724704843889</v>
      </c>
      <c r="BM208" s="2">
        <v>22.249883813931099</v>
      </c>
      <c r="BN208" s="2">
        <v>24.401992884846401</v>
      </c>
      <c r="BO208" s="2">
        <v>21.4165939983566</v>
      </c>
      <c r="BP208" s="2">
        <v>21.4030271164293</v>
      </c>
      <c r="BQ208" s="2">
        <v>21.187667067697799</v>
      </c>
      <c r="BR208" s="2">
        <v>21.955483066687801</v>
      </c>
      <c r="BS208" s="2">
        <v>22.2555936951501</v>
      </c>
      <c r="BT208" s="2">
        <v>23.139644409917299</v>
      </c>
      <c r="BU208" s="2">
        <v>22.350367511028001</v>
      </c>
      <c r="BV208" s="2">
        <v>22.3062948177283</v>
      </c>
      <c r="BW208" s="2">
        <v>21.682228377862799</v>
      </c>
      <c r="BX208" s="2">
        <v>23.0204442168681</v>
      </c>
      <c r="BY208" s="2">
        <v>25.6656952083503</v>
      </c>
      <c r="BZ208" s="2">
        <v>20.726254836369399</v>
      </c>
      <c r="CA208" s="2">
        <v>20.981870919037799</v>
      </c>
      <c r="CB208" s="2">
        <v>22.733264716506898</v>
      </c>
      <c r="CC208" s="2">
        <v>22.882909833564199</v>
      </c>
      <c r="CD208" s="2">
        <v>21.141031186887801</v>
      </c>
      <c r="CE208" s="2">
        <v>20.4809309936803</v>
      </c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</row>
    <row r="209" spans="1:97">
      <c r="A209" s="2" t="s">
        <v>2253</v>
      </c>
      <c r="B209" s="2">
        <v>254.98103</v>
      </c>
      <c r="C209" s="2">
        <v>0.78600000000000003</v>
      </c>
      <c r="D209" s="2" t="s">
        <v>146</v>
      </c>
      <c r="E209" s="2" t="s">
        <v>2254</v>
      </c>
      <c r="F209" s="2" t="s">
        <v>2255</v>
      </c>
      <c r="G209" s="2">
        <v>82525</v>
      </c>
      <c r="H209" s="3" t="str">
        <f>HYPERLINK("https://cloud.oebiotech.com/#/lm/network/82525", "https://cloud.oebiotech.com/#/lm/network/82525")</f>
        <v>https://cloud.oebiotech.com/#/lm/network/82525</v>
      </c>
      <c r="I209" s="2" t="s">
        <v>2256</v>
      </c>
      <c r="J209" s="2">
        <v>65843</v>
      </c>
      <c r="K209" s="2"/>
      <c r="L209" s="2">
        <v>54676864</v>
      </c>
      <c r="M209" s="2" t="s">
        <v>2257</v>
      </c>
      <c r="N209" s="2"/>
      <c r="O209" s="2"/>
      <c r="P209" s="2"/>
      <c r="Q209" s="2"/>
      <c r="R209" s="2"/>
      <c r="S209" s="2" t="s">
        <v>2258</v>
      </c>
      <c r="T209" s="2" t="s">
        <v>2259</v>
      </c>
      <c r="U209" s="2" t="s">
        <v>2260</v>
      </c>
      <c r="V209" s="2" t="s">
        <v>553</v>
      </c>
      <c r="W209" s="2" t="s">
        <v>2261</v>
      </c>
      <c r="X209" s="2" t="s">
        <v>2262</v>
      </c>
      <c r="Y209" s="2" t="s">
        <v>556</v>
      </c>
      <c r="Z209" s="2" t="s">
        <v>2263</v>
      </c>
      <c r="AA209" s="2" t="s">
        <v>2264</v>
      </c>
      <c r="AB209" s="2" t="s">
        <v>101</v>
      </c>
      <c r="AC209" s="2">
        <v>70.59</v>
      </c>
      <c r="AD209" s="2">
        <v>92.74</v>
      </c>
      <c r="AE209" s="2">
        <v>77.37</v>
      </c>
      <c r="AF209" s="2" t="s">
        <v>2265</v>
      </c>
      <c r="AG209" s="2" t="s">
        <v>194</v>
      </c>
      <c r="AH209" s="2" t="s">
        <v>2266</v>
      </c>
      <c r="AI209" s="2">
        <v>2.35</v>
      </c>
      <c r="AJ209" s="2">
        <v>20.908893808308601</v>
      </c>
      <c r="AK209" s="2">
        <v>21.395839852400101</v>
      </c>
      <c r="AL209" s="2">
        <v>20.609890462810501</v>
      </c>
      <c r="AM209" s="2">
        <v>21.300795943624902</v>
      </c>
      <c r="AN209" s="2">
        <v>20.759250169677902</v>
      </c>
      <c r="AO209" s="2">
        <v>20.3982520231908</v>
      </c>
      <c r="AP209" s="2">
        <v>21.486601079115101</v>
      </c>
      <c r="AQ209" s="2">
        <v>21.353140071897101</v>
      </c>
      <c r="AR209" s="2">
        <v>20.9361799150008</v>
      </c>
      <c r="AS209" s="2">
        <v>21.8322422890501</v>
      </c>
      <c r="AT209" s="2">
        <v>20.6640924422687</v>
      </c>
      <c r="AU209" s="2">
        <v>20.773104580013001</v>
      </c>
      <c r="AV209" s="2">
        <v>20.5327854989524</v>
      </c>
      <c r="AW209" s="2">
        <v>20.5767291227165</v>
      </c>
      <c r="AX209" s="2">
        <v>21.271230207347401</v>
      </c>
      <c r="AY209" s="2">
        <v>20.5549031929338</v>
      </c>
      <c r="AZ209" s="2">
        <v>21.082793584283799</v>
      </c>
      <c r="BA209" s="2">
        <v>21.476081167193001</v>
      </c>
      <c r="BB209" s="2">
        <v>20.488742250381598</v>
      </c>
      <c r="BC209" s="2">
        <v>19.603060471972601</v>
      </c>
      <c r="BD209" s="2">
        <v>20.575637311282001</v>
      </c>
      <c r="BE209" s="2">
        <v>19.688170999711701</v>
      </c>
      <c r="BF209" s="2">
        <v>20.541053705275498</v>
      </c>
      <c r="BG209" s="2">
        <v>20.027646153221401</v>
      </c>
      <c r="BH209" s="2">
        <v>20.551234917934799</v>
      </c>
      <c r="BI209" s="2">
        <v>20.819780898373999</v>
      </c>
      <c r="BJ209" s="2">
        <v>21.648737684253302</v>
      </c>
      <c r="BK209" s="2">
        <v>21.0723685153338</v>
      </c>
      <c r="BL209" s="2">
        <v>20.5774663639226</v>
      </c>
      <c r="BM209" s="2">
        <v>20.992749293034901</v>
      </c>
      <c r="BN209" s="2">
        <v>21.350353999332199</v>
      </c>
      <c r="BO209" s="2">
        <v>20.691878702464301</v>
      </c>
      <c r="BP209" s="2">
        <v>21.1326538700153</v>
      </c>
      <c r="BQ209" s="2">
        <v>20.6732043503388</v>
      </c>
      <c r="BR209" s="2">
        <v>21.419567843457799</v>
      </c>
      <c r="BS209" s="2">
        <v>20.740039870176201</v>
      </c>
      <c r="BT209" s="2">
        <v>20.729090074991699</v>
      </c>
      <c r="BU209" s="2">
        <v>20.667006132024898</v>
      </c>
      <c r="BV209" s="2">
        <v>20.515622193715402</v>
      </c>
      <c r="BW209" s="2">
        <v>21.083583340617</v>
      </c>
      <c r="BX209" s="2">
        <v>21.272989620009501</v>
      </c>
      <c r="BY209" s="2">
        <v>20.1771654058767</v>
      </c>
      <c r="BZ209" s="2">
        <v>20.214327754327201</v>
      </c>
      <c r="CA209" s="2">
        <v>19.7547444544259</v>
      </c>
      <c r="CB209" s="2">
        <v>20.887957932799999</v>
      </c>
      <c r="CC209" s="2">
        <v>20.7079579426888</v>
      </c>
      <c r="CD209" s="2">
        <v>21.1780180000607</v>
      </c>
      <c r="CE209" s="2">
        <v>19.3081981572963</v>
      </c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</row>
    <row r="210" spans="1:97">
      <c r="A210" s="2" t="s">
        <v>2267</v>
      </c>
      <c r="B210" s="2">
        <v>176.10282000000001</v>
      </c>
      <c r="C210" s="2">
        <v>0.73199999999999998</v>
      </c>
      <c r="D210" s="2" t="s">
        <v>84</v>
      </c>
      <c r="E210" s="2" t="s">
        <v>2268</v>
      </c>
      <c r="F210" s="2" t="s">
        <v>2269</v>
      </c>
      <c r="G210" s="2">
        <v>205475</v>
      </c>
      <c r="H210" s="3" t="str">
        <f>HYPERLINK("https://cloud.oebiotech.com/#/lm/network/205475", "https://cloud.oebiotech.com/#/lm/network/205475")</f>
        <v>https://cloud.oebiotech.com/#/lm/network/205475</v>
      </c>
      <c r="I210" s="2" t="s">
        <v>2270</v>
      </c>
      <c r="J210" s="2"/>
      <c r="K210" s="2"/>
      <c r="L210" s="2">
        <v>833</v>
      </c>
      <c r="M210" s="2"/>
      <c r="N210" s="2"/>
      <c r="O210" s="2"/>
      <c r="P210" s="2">
        <v>18211</v>
      </c>
      <c r="Q210" s="2"/>
      <c r="R210" s="2"/>
      <c r="S210" s="2" t="s">
        <v>2271</v>
      </c>
      <c r="T210" s="2" t="s">
        <v>2272</v>
      </c>
      <c r="U210" s="2" t="s">
        <v>2273</v>
      </c>
      <c r="V210" s="2" t="s">
        <v>115</v>
      </c>
      <c r="W210" s="2" t="s">
        <v>116</v>
      </c>
      <c r="X210" s="2" t="s">
        <v>117</v>
      </c>
      <c r="Y210" s="2" t="s">
        <v>118</v>
      </c>
      <c r="Z210" s="2" t="s">
        <v>119</v>
      </c>
      <c r="AA210" s="2" t="s">
        <v>120</v>
      </c>
      <c r="AB210" s="2" t="s">
        <v>101</v>
      </c>
      <c r="AC210" s="2">
        <v>70.569999999999993</v>
      </c>
      <c r="AD210" s="2">
        <v>95.53</v>
      </c>
      <c r="AE210" s="2">
        <v>69.83</v>
      </c>
      <c r="AF210" s="2" t="s">
        <v>2274</v>
      </c>
      <c r="AG210" s="2" t="s">
        <v>103</v>
      </c>
      <c r="AH210" s="2" t="s">
        <v>2275</v>
      </c>
      <c r="AI210" s="2">
        <v>1.1399999999999999</v>
      </c>
      <c r="AJ210" s="2">
        <v>23.385812708532399</v>
      </c>
      <c r="AK210" s="2">
        <v>23.366721807724499</v>
      </c>
      <c r="AL210" s="2">
        <v>23.206699562551801</v>
      </c>
      <c r="AM210" s="2">
        <v>23.4774178741201</v>
      </c>
      <c r="AN210" s="2">
        <v>23.317142684398199</v>
      </c>
      <c r="AO210" s="2">
        <v>23.293793442823802</v>
      </c>
      <c r="AP210" s="2">
        <v>23.206389978615999</v>
      </c>
      <c r="AQ210" s="2">
        <v>23.308896776480701</v>
      </c>
      <c r="AR210" s="2">
        <v>23.291801107888698</v>
      </c>
      <c r="AS210" s="2">
        <v>23.3927368972514</v>
      </c>
      <c r="AT210" s="2">
        <v>23.470278378621401</v>
      </c>
      <c r="AU210" s="2">
        <v>23.4219493349025</v>
      </c>
      <c r="AV210" s="2">
        <v>23.108393511919299</v>
      </c>
      <c r="AW210" s="2">
        <v>22.8668648005394</v>
      </c>
      <c r="AX210" s="2">
        <v>23.305558816814798</v>
      </c>
      <c r="AY210" s="2">
        <v>22.8710020620825</v>
      </c>
      <c r="AZ210" s="2">
        <v>24.033191811444699</v>
      </c>
      <c r="BA210" s="2">
        <v>23.0106954495621</v>
      </c>
      <c r="BB210" s="2">
        <v>22.798051757097401</v>
      </c>
      <c r="BC210" s="2">
        <v>22.695778381324399</v>
      </c>
      <c r="BD210" s="2">
        <v>23.354039530464799</v>
      </c>
      <c r="BE210" s="2">
        <v>22.939964057099498</v>
      </c>
      <c r="BF210" s="2">
        <v>23.367753576343599</v>
      </c>
      <c r="BG210" s="2">
        <v>22.989192732534999</v>
      </c>
      <c r="BH210" s="2">
        <v>23.184129898442102</v>
      </c>
      <c r="BI210" s="2">
        <v>22.9677914777876</v>
      </c>
      <c r="BJ210" s="2">
        <v>22.753052014464298</v>
      </c>
      <c r="BK210" s="2">
        <v>23.594458456302199</v>
      </c>
      <c r="BL210" s="2">
        <v>23.102265646806998</v>
      </c>
      <c r="BM210" s="2">
        <v>23.273605090272699</v>
      </c>
      <c r="BN210" s="2">
        <v>22.8260612604561</v>
      </c>
      <c r="BO210" s="2">
        <v>23.122265393773901</v>
      </c>
      <c r="BP210" s="2">
        <v>23.315083253985101</v>
      </c>
      <c r="BQ210" s="2">
        <v>23.2514630687037</v>
      </c>
      <c r="BR210" s="2">
        <v>23.672541756714701</v>
      </c>
      <c r="BS210" s="2">
        <v>23.307826387454501</v>
      </c>
      <c r="BT210" s="2">
        <v>23.493406435060798</v>
      </c>
      <c r="BU210" s="2">
        <v>22.958582427311001</v>
      </c>
      <c r="BV210" s="2">
        <v>22.847731715510299</v>
      </c>
      <c r="BW210" s="2">
        <v>22.958625393143699</v>
      </c>
      <c r="BX210" s="2">
        <v>23.004692232563801</v>
      </c>
      <c r="BY210" s="2">
        <v>22.6694684812907</v>
      </c>
      <c r="BZ210" s="2">
        <v>23.4037506715135</v>
      </c>
      <c r="CA210" s="2">
        <v>22.016688582158</v>
      </c>
      <c r="CB210" s="2">
        <v>23.043502384155602</v>
      </c>
      <c r="CC210" s="2">
        <v>23.257656076519002</v>
      </c>
      <c r="CD210" s="2">
        <v>23.565387815944401</v>
      </c>
      <c r="CE210" s="2">
        <v>23.223389981135401</v>
      </c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</row>
    <row r="211" spans="1:97">
      <c r="A211" s="2" t="s">
        <v>2276</v>
      </c>
      <c r="B211" s="2">
        <v>208.06107</v>
      </c>
      <c r="C211" s="2">
        <v>4.625</v>
      </c>
      <c r="D211" s="2" t="s">
        <v>146</v>
      </c>
      <c r="E211" s="2" t="s">
        <v>2277</v>
      </c>
      <c r="F211" s="2" t="s">
        <v>2278</v>
      </c>
      <c r="G211" s="2">
        <v>48255</v>
      </c>
      <c r="H211" s="3" t="str">
        <f>HYPERLINK("https://cloud.oebiotech.com/#/lm/network/48255", "https://cloud.oebiotech.com/#/lm/network/48255")</f>
        <v>https://cloud.oebiotech.com/#/lm/network/48255</v>
      </c>
      <c r="I211" s="2" t="s">
        <v>2279</v>
      </c>
      <c r="J211" s="2">
        <v>7024</v>
      </c>
      <c r="K211" s="2"/>
      <c r="L211" s="2">
        <v>151066</v>
      </c>
      <c r="M211" s="2" t="s">
        <v>2280</v>
      </c>
      <c r="N211" s="2" t="s">
        <v>2281</v>
      </c>
      <c r="O211" s="2" t="s">
        <v>2282</v>
      </c>
      <c r="P211" s="2">
        <v>28254</v>
      </c>
      <c r="Q211" s="2"/>
      <c r="R211" s="2"/>
      <c r="S211" s="2" t="s">
        <v>2283</v>
      </c>
      <c r="T211" s="2" t="s">
        <v>2284</v>
      </c>
      <c r="U211" s="2" t="s">
        <v>2285</v>
      </c>
      <c r="V211" s="2" t="s">
        <v>553</v>
      </c>
      <c r="W211" s="2" t="s">
        <v>933</v>
      </c>
      <c r="X211" s="2" t="s">
        <v>2286</v>
      </c>
      <c r="Y211" s="2" t="s">
        <v>556</v>
      </c>
      <c r="Z211" s="2" t="s">
        <v>935</v>
      </c>
      <c r="AA211" s="2" t="s">
        <v>2287</v>
      </c>
      <c r="AB211" s="2" t="s">
        <v>101</v>
      </c>
      <c r="AC211" s="2">
        <v>70.540000000000006</v>
      </c>
      <c r="AD211" s="2">
        <v>93.64</v>
      </c>
      <c r="AE211" s="2">
        <v>77.78</v>
      </c>
      <c r="AF211" s="2" t="s">
        <v>2288</v>
      </c>
      <c r="AG211" s="2" t="s">
        <v>157</v>
      </c>
      <c r="AH211" s="2" t="s">
        <v>2289</v>
      </c>
      <c r="AI211" s="2">
        <v>1.92</v>
      </c>
      <c r="AJ211" s="2">
        <v>18.109262399607498</v>
      </c>
      <c r="AK211" s="2">
        <v>17.697891796102098</v>
      </c>
      <c r="AL211" s="2">
        <v>18.022844857415599</v>
      </c>
      <c r="AM211" s="2">
        <v>18.187633822062001</v>
      </c>
      <c r="AN211" s="2">
        <v>18.081781749527501</v>
      </c>
      <c r="AO211" s="2">
        <v>17.857079028833201</v>
      </c>
      <c r="AP211" s="2">
        <v>17.946553025811301</v>
      </c>
      <c r="AQ211" s="2">
        <v>17.967420195772799</v>
      </c>
      <c r="AR211" s="2">
        <v>17.447562812231499</v>
      </c>
      <c r="AS211" s="2">
        <v>15.370738142688401</v>
      </c>
      <c r="AT211" s="2">
        <v>14.0726844818959</v>
      </c>
      <c r="AU211" s="2">
        <v>14.4335554498898</v>
      </c>
      <c r="AV211" s="2">
        <v>18.9482716012709</v>
      </c>
      <c r="AW211" s="2">
        <v>18.766529685020402</v>
      </c>
      <c r="AX211" s="2">
        <v>14.2171882976481</v>
      </c>
      <c r="AY211" s="2">
        <v>22.7192728864472</v>
      </c>
      <c r="AZ211" s="2">
        <v>14.4109388809627</v>
      </c>
      <c r="BA211" s="2">
        <v>14.741196245004501</v>
      </c>
      <c r="BB211" s="2">
        <v>15.576717868289601</v>
      </c>
      <c r="BC211" s="2">
        <v>16.266069845637901</v>
      </c>
      <c r="BD211" s="2">
        <v>14.999515175124801</v>
      </c>
      <c r="BE211" s="2">
        <v>14.659586788479</v>
      </c>
      <c r="BF211" s="2">
        <v>16.4089753390049</v>
      </c>
      <c r="BG211" s="2">
        <v>15.248416460893299</v>
      </c>
      <c r="BH211" s="2">
        <v>15.5236225979589</v>
      </c>
      <c r="BI211" s="2">
        <v>15.5828114725369</v>
      </c>
      <c r="BJ211" s="2">
        <v>17.052583015121598</v>
      </c>
      <c r="BK211" s="2">
        <v>15.8597136077549</v>
      </c>
      <c r="BL211" s="2">
        <v>14.3953640973518</v>
      </c>
      <c r="BM211" s="2">
        <v>18.0693729291993</v>
      </c>
      <c r="BN211" s="2">
        <v>13.9126489293844</v>
      </c>
      <c r="BO211" s="2">
        <v>13.978213508782501</v>
      </c>
      <c r="BP211" s="2">
        <v>15.8296320683661</v>
      </c>
      <c r="BQ211" s="2">
        <v>16.627478169332399</v>
      </c>
      <c r="BR211" s="2">
        <v>15.8250882213697</v>
      </c>
      <c r="BS211" s="2">
        <v>20.1764740972609</v>
      </c>
      <c r="BT211" s="2">
        <v>19.4964273642967</v>
      </c>
      <c r="BU211" s="2">
        <v>15.9349161208676</v>
      </c>
      <c r="BV211" s="2">
        <v>13.589864117895001</v>
      </c>
      <c r="BW211" s="2">
        <v>15.707823651255801</v>
      </c>
      <c r="BX211" s="2">
        <v>16.3157191954223</v>
      </c>
      <c r="BY211" s="2">
        <v>17.009169585697201</v>
      </c>
      <c r="BZ211" s="2">
        <v>15.136446475193001</v>
      </c>
      <c r="CA211" s="2">
        <v>18.903904993567899</v>
      </c>
      <c r="CB211" s="2">
        <v>16.312627030016301</v>
      </c>
      <c r="CC211" s="2">
        <v>18.5664369504407</v>
      </c>
      <c r="CD211" s="2">
        <v>17.024657379097</v>
      </c>
      <c r="CE211" s="2">
        <v>14.260432233152899</v>
      </c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</row>
    <row r="212" spans="1:97">
      <c r="A212" s="2" t="s">
        <v>2290</v>
      </c>
      <c r="B212" s="2">
        <v>173.08149</v>
      </c>
      <c r="C212" s="2">
        <v>4.7990000000000004</v>
      </c>
      <c r="D212" s="2" t="s">
        <v>146</v>
      </c>
      <c r="E212" s="2" t="s">
        <v>2291</v>
      </c>
      <c r="F212" s="2" t="s">
        <v>2292</v>
      </c>
      <c r="G212" s="2">
        <v>2816</v>
      </c>
      <c r="H212" s="3" t="str">
        <f>HYPERLINK("https://cloud.oebiotech.com/#/lm/network/2816", "https://cloud.oebiotech.com/#/lm/network/2816")</f>
        <v>https://cloud.oebiotech.com/#/lm/network/2816</v>
      </c>
      <c r="I212" s="2" t="s">
        <v>2293</v>
      </c>
      <c r="J212" s="2">
        <v>4243</v>
      </c>
      <c r="K212" s="2" t="s">
        <v>2294</v>
      </c>
      <c r="L212" s="2">
        <v>10457</v>
      </c>
      <c r="M212" s="2" t="s">
        <v>2295</v>
      </c>
      <c r="N212" s="2"/>
      <c r="O212" s="2"/>
      <c r="P212" s="2">
        <v>9300</v>
      </c>
      <c r="Q212" s="2"/>
      <c r="R212" s="2"/>
      <c r="S212" s="2" t="s">
        <v>2296</v>
      </c>
      <c r="T212" s="2" t="s">
        <v>2297</v>
      </c>
      <c r="U212" s="2" t="s">
        <v>2298</v>
      </c>
      <c r="V212" s="2" t="s">
        <v>95</v>
      </c>
      <c r="W212" s="2" t="s">
        <v>96</v>
      </c>
      <c r="X212" s="2" t="s">
        <v>141</v>
      </c>
      <c r="Y212" s="2" t="s">
        <v>98</v>
      </c>
      <c r="Z212" s="2" t="s">
        <v>99</v>
      </c>
      <c r="AA212" s="2" t="s">
        <v>142</v>
      </c>
      <c r="AB212" s="2" t="s">
        <v>101</v>
      </c>
      <c r="AC212" s="2">
        <v>70.5</v>
      </c>
      <c r="AD212" s="2">
        <v>94.79</v>
      </c>
      <c r="AE212" s="2">
        <v>84.19</v>
      </c>
      <c r="AF212" s="2" t="s">
        <v>2299</v>
      </c>
      <c r="AG212" s="2" t="s">
        <v>194</v>
      </c>
      <c r="AH212" s="2" t="s">
        <v>2300</v>
      </c>
      <c r="AI212" s="2">
        <v>2.31</v>
      </c>
      <c r="AJ212" s="2">
        <v>21.898997122655398</v>
      </c>
      <c r="AK212" s="2">
        <v>21.9059734412408</v>
      </c>
      <c r="AL212" s="2">
        <v>22.114814583864</v>
      </c>
      <c r="AM212" s="2">
        <v>21.979803014393699</v>
      </c>
      <c r="AN212" s="2">
        <v>21.8680952113586</v>
      </c>
      <c r="AO212" s="2">
        <v>22.234717063792001</v>
      </c>
      <c r="AP212" s="2">
        <v>22.0706231987878</v>
      </c>
      <c r="AQ212" s="2">
        <v>21.983775887144699</v>
      </c>
      <c r="AR212" s="2">
        <v>22.550486024746501</v>
      </c>
      <c r="AS212" s="2">
        <v>20.770969862838299</v>
      </c>
      <c r="AT212" s="2">
        <v>21.666895289360902</v>
      </c>
      <c r="AU212" s="2">
        <v>21.875513143797601</v>
      </c>
      <c r="AV212" s="2">
        <v>22.1027573565352</v>
      </c>
      <c r="AW212" s="2">
        <v>22.715482538956401</v>
      </c>
      <c r="AX212" s="2">
        <v>21.856632184028499</v>
      </c>
      <c r="AY212" s="2">
        <v>22.090181556623801</v>
      </c>
      <c r="AZ212" s="2">
        <v>22.017920304523599</v>
      </c>
      <c r="BA212" s="2">
        <v>21.831648992497399</v>
      </c>
      <c r="BB212" s="2">
        <v>21.955044677889401</v>
      </c>
      <c r="BC212" s="2">
        <v>21.8428329773751</v>
      </c>
      <c r="BD212" s="2">
        <v>21.9068147047773</v>
      </c>
      <c r="BE212" s="2">
        <v>21.848591706310799</v>
      </c>
      <c r="BF212" s="2">
        <v>22.0025221107792</v>
      </c>
      <c r="BG212" s="2">
        <v>21.879194072028</v>
      </c>
      <c r="BH212" s="2">
        <v>22.063926378797401</v>
      </c>
      <c r="BI212" s="2">
        <v>21.7642409458918</v>
      </c>
      <c r="BJ212" s="2">
        <v>21.964042627163</v>
      </c>
      <c r="BK212" s="2">
        <v>21.966392560916699</v>
      </c>
      <c r="BL212" s="2">
        <v>21.6556964603339</v>
      </c>
      <c r="BM212" s="2">
        <v>21.868059247460501</v>
      </c>
      <c r="BN212" s="2">
        <v>22.212708663672899</v>
      </c>
      <c r="BO212" s="2">
        <v>21.800091892375001</v>
      </c>
      <c r="BP212" s="2">
        <v>21.914121015628101</v>
      </c>
      <c r="BQ212" s="2">
        <v>21.941734104489498</v>
      </c>
      <c r="BR212" s="2">
        <v>22.0733731758123</v>
      </c>
      <c r="BS212" s="2">
        <v>22.820101249733099</v>
      </c>
      <c r="BT212" s="2">
        <v>22.0500468160133</v>
      </c>
      <c r="BU212" s="2">
        <v>21.774472724882401</v>
      </c>
      <c r="BV212" s="2">
        <v>21.892251895084399</v>
      </c>
      <c r="BW212" s="2">
        <v>21.893362951469602</v>
      </c>
      <c r="BX212" s="2">
        <v>21.765875729450599</v>
      </c>
      <c r="BY212" s="2">
        <v>21.984661800716498</v>
      </c>
      <c r="BZ212" s="2">
        <v>21.689980820824399</v>
      </c>
      <c r="CA212" s="2">
        <v>22.245145747181699</v>
      </c>
      <c r="CB212" s="2">
        <v>21.568195287066398</v>
      </c>
      <c r="CC212" s="2">
        <v>21.951378043256899</v>
      </c>
      <c r="CD212" s="2">
        <v>20.8823756802974</v>
      </c>
      <c r="CE212" s="2">
        <v>21.683372434194499</v>
      </c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</row>
    <row r="213" spans="1:97">
      <c r="A213" s="2" t="s">
        <v>2301</v>
      </c>
      <c r="B213" s="2">
        <v>146.04551000000001</v>
      </c>
      <c r="C213" s="2">
        <v>0.77900000000000003</v>
      </c>
      <c r="D213" s="2" t="s">
        <v>146</v>
      </c>
      <c r="E213" s="2" t="s">
        <v>2302</v>
      </c>
      <c r="F213" s="2" t="s">
        <v>2303</v>
      </c>
      <c r="G213" s="2">
        <v>48013</v>
      </c>
      <c r="H213" s="3" t="str">
        <f>HYPERLINK("https://cloud.oebiotech.com/#/lm/network/48013", "https://cloud.oebiotech.com/#/lm/network/48013")</f>
        <v>https://cloud.oebiotech.com/#/lm/network/48013</v>
      </c>
      <c r="I213" s="2" t="s">
        <v>2304</v>
      </c>
      <c r="J213" s="2">
        <v>3270</v>
      </c>
      <c r="K213" s="2"/>
      <c r="L213" s="2">
        <v>99478</v>
      </c>
      <c r="M213" s="2" t="s">
        <v>2305</v>
      </c>
      <c r="N213" s="2" t="s">
        <v>2306</v>
      </c>
      <c r="O213" s="2" t="s">
        <v>2307</v>
      </c>
      <c r="P213" s="2">
        <v>17981</v>
      </c>
      <c r="Q213" s="2"/>
      <c r="R213" s="2"/>
      <c r="S213" s="2" t="s">
        <v>2308</v>
      </c>
      <c r="T213" s="2" t="s">
        <v>2309</v>
      </c>
      <c r="U213" s="2" t="s">
        <v>2310</v>
      </c>
      <c r="V213" s="2" t="s">
        <v>115</v>
      </c>
      <c r="W213" s="2" t="s">
        <v>116</v>
      </c>
      <c r="X213" s="2" t="s">
        <v>117</v>
      </c>
      <c r="Y213" s="2" t="s">
        <v>118</v>
      </c>
      <c r="Z213" s="2" t="s">
        <v>119</v>
      </c>
      <c r="AA213" s="2" t="s">
        <v>120</v>
      </c>
      <c r="AB213" s="2" t="s">
        <v>101</v>
      </c>
      <c r="AC213" s="2">
        <v>70.48</v>
      </c>
      <c r="AD213" s="2">
        <v>96.28</v>
      </c>
      <c r="AE213" s="2">
        <v>80.73</v>
      </c>
      <c r="AF213" s="2" t="s">
        <v>2311</v>
      </c>
      <c r="AG213" s="2" t="s">
        <v>194</v>
      </c>
      <c r="AH213" s="2" t="s">
        <v>2312</v>
      </c>
      <c r="AI213" s="2">
        <v>2.74</v>
      </c>
      <c r="AJ213" s="2">
        <v>22.890298190368899</v>
      </c>
      <c r="AK213" s="2">
        <v>23.1880298885083</v>
      </c>
      <c r="AL213" s="2">
        <v>23.1666728370719</v>
      </c>
      <c r="AM213" s="2">
        <v>23.6060212571135</v>
      </c>
      <c r="AN213" s="2">
        <v>23.2366244001587</v>
      </c>
      <c r="AO213" s="2">
        <v>23.659691841664898</v>
      </c>
      <c r="AP213" s="2">
        <v>23.3669498826556</v>
      </c>
      <c r="AQ213" s="2">
        <v>23.838986531305601</v>
      </c>
      <c r="AR213" s="2">
        <v>22.890064865257202</v>
      </c>
      <c r="AS213" s="2">
        <v>22.747237356388599</v>
      </c>
      <c r="AT213" s="2">
        <v>22.930637010786398</v>
      </c>
      <c r="AU213" s="2">
        <v>23.045122824867502</v>
      </c>
      <c r="AV213" s="2">
        <v>23.079863006657899</v>
      </c>
      <c r="AW213" s="2">
        <v>23.6163243564339</v>
      </c>
      <c r="AX213" s="2">
        <v>23.494555053967201</v>
      </c>
      <c r="AY213" s="2">
        <v>23.040904547536499</v>
      </c>
      <c r="AZ213" s="2">
        <v>22.884480136128399</v>
      </c>
      <c r="BA213" s="2">
        <v>23.096081015079601</v>
      </c>
      <c r="BB213" s="2">
        <v>22.427777007291301</v>
      </c>
      <c r="BC213" s="2">
        <v>22.816075442346701</v>
      </c>
      <c r="BD213" s="2">
        <v>22.621103853991698</v>
      </c>
      <c r="BE213" s="2">
        <v>23.354604280462301</v>
      </c>
      <c r="BF213" s="2">
        <v>23.203219102155799</v>
      </c>
      <c r="BG213" s="2">
        <v>23.223305255208601</v>
      </c>
      <c r="BH213" s="2">
        <v>22.941211494209401</v>
      </c>
      <c r="BI213" s="2">
        <v>23.294669318603699</v>
      </c>
      <c r="BJ213" s="2">
        <v>23.421896329749501</v>
      </c>
      <c r="BK213" s="2">
        <v>23.2473045946833</v>
      </c>
      <c r="BL213" s="2">
        <v>22.656595557898999</v>
      </c>
      <c r="BM213" s="2">
        <v>23.3695010827837</v>
      </c>
      <c r="BN213" s="2">
        <v>23.428702361080699</v>
      </c>
      <c r="BO213" s="2">
        <v>23.079220634985401</v>
      </c>
      <c r="BP213" s="2">
        <v>24.137431019514601</v>
      </c>
      <c r="BQ213" s="2">
        <v>23.395407671788998</v>
      </c>
      <c r="BR213" s="2">
        <v>22.8620539004515</v>
      </c>
      <c r="BS213" s="2">
        <v>23.4024075540102</v>
      </c>
      <c r="BT213" s="2">
        <v>22.966902105698601</v>
      </c>
      <c r="BU213" s="2">
        <v>23.2150267739786</v>
      </c>
      <c r="BV213" s="2">
        <v>23.335342481085799</v>
      </c>
      <c r="BW213" s="2">
        <v>23.016870938052101</v>
      </c>
      <c r="BX213" s="2">
        <v>23.341823176132699</v>
      </c>
      <c r="BY213" s="2">
        <v>23.551713550784498</v>
      </c>
      <c r="BZ213" s="2">
        <v>23.1329199843161</v>
      </c>
      <c r="CA213" s="2">
        <v>22.9872505755799</v>
      </c>
      <c r="CB213" s="2">
        <v>23.156129385900201</v>
      </c>
      <c r="CC213" s="2">
        <v>22.864161993541099</v>
      </c>
      <c r="CD213" s="2">
        <v>23.929017442619799</v>
      </c>
      <c r="CE213" s="2">
        <v>23.445567022638301</v>
      </c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</row>
    <row r="214" spans="1:97">
      <c r="A214" s="2" t="s">
        <v>2313</v>
      </c>
      <c r="B214" s="2">
        <v>158.08188000000001</v>
      </c>
      <c r="C214" s="2">
        <v>3.86</v>
      </c>
      <c r="D214" s="2" t="s">
        <v>146</v>
      </c>
      <c r="E214" s="2" t="s">
        <v>2314</v>
      </c>
      <c r="F214" s="2" t="s">
        <v>2315</v>
      </c>
      <c r="G214" s="2">
        <v>51520</v>
      </c>
      <c r="H214" s="3" t="str">
        <f>HYPERLINK("https://cloud.oebiotech.com/#/lm/network/51520", "https://cloud.oebiotech.com/#/lm/network/51520")</f>
        <v>https://cloud.oebiotech.com/#/lm/network/51520</v>
      </c>
      <c r="I214" s="2" t="s">
        <v>2316</v>
      </c>
      <c r="J214" s="2"/>
      <c r="K214" s="2"/>
      <c r="L214" s="2">
        <v>66789</v>
      </c>
      <c r="M214" s="2"/>
      <c r="N214" s="2"/>
      <c r="O214" s="2"/>
      <c r="P214" s="2">
        <v>21565</v>
      </c>
      <c r="Q214" s="2"/>
      <c r="R214" s="2"/>
      <c r="S214" s="2" t="s">
        <v>2317</v>
      </c>
      <c r="T214" s="2" t="s">
        <v>2318</v>
      </c>
      <c r="U214" s="2" t="s">
        <v>2319</v>
      </c>
      <c r="V214" s="2" t="s">
        <v>115</v>
      </c>
      <c r="W214" s="2" t="s">
        <v>116</v>
      </c>
      <c r="X214" s="2" t="s">
        <v>117</v>
      </c>
      <c r="Y214" s="2" t="s">
        <v>118</v>
      </c>
      <c r="Z214" s="2" t="s">
        <v>119</v>
      </c>
      <c r="AA214" s="2" t="s">
        <v>120</v>
      </c>
      <c r="AB214" s="2" t="s">
        <v>101</v>
      </c>
      <c r="AC214" s="2">
        <v>70.47</v>
      </c>
      <c r="AD214" s="2">
        <v>95.47</v>
      </c>
      <c r="AE214" s="2">
        <v>83.68</v>
      </c>
      <c r="AF214" s="2" t="s">
        <v>2320</v>
      </c>
      <c r="AG214" s="2" t="s">
        <v>194</v>
      </c>
      <c r="AH214" s="2" t="s">
        <v>2321</v>
      </c>
      <c r="AI214" s="2">
        <v>2.5299999999999998</v>
      </c>
      <c r="AJ214" s="2">
        <v>21.464775784556299</v>
      </c>
      <c r="AK214" s="2">
        <v>21.395846958042501</v>
      </c>
      <c r="AL214" s="2">
        <v>21.509086323852198</v>
      </c>
      <c r="AM214" s="2">
        <v>20.164231683537601</v>
      </c>
      <c r="AN214" s="2">
        <v>21.506086681151601</v>
      </c>
      <c r="AO214" s="2">
        <v>21.309767304682801</v>
      </c>
      <c r="AP214" s="2">
        <v>21.543624887655699</v>
      </c>
      <c r="AQ214" s="2">
        <v>21.667272848298801</v>
      </c>
      <c r="AR214" s="2">
        <v>21.285240007701798</v>
      </c>
      <c r="AS214" s="2">
        <v>21.085985258092901</v>
      </c>
      <c r="AT214" s="2">
        <v>21.2742606146067</v>
      </c>
      <c r="AU214" s="2">
        <v>21.3642410922143</v>
      </c>
      <c r="AV214" s="2">
        <v>21.488885631890099</v>
      </c>
      <c r="AW214" s="2">
        <v>21.354189016175098</v>
      </c>
      <c r="AX214" s="2">
        <v>21.3568726498</v>
      </c>
      <c r="AY214" s="2">
        <v>21.293990024228499</v>
      </c>
      <c r="AZ214" s="2">
        <v>21.306940181372902</v>
      </c>
      <c r="BA214" s="2">
        <v>21.238210136054601</v>
      </c>
      <c r="BB214" s="2">
        <v>21.520261136075199</v>
      </c>
      <c r="BC214" s="2">
        <v>21.290847761622398</v>
      </c>
      <c r="BD214" s="2">
        <v>21.373409188581199</v>
      </c>
      <c r="BE214" s="2">
        <v>21.355033573719101</v>
      </c>
      <c r="BF214" s="2">
        <v>21.317787298976899</v>
      </c>
      <c r="BG214" s="2">
        <v>21.6126114479157</v>
      </c>
      <c r="BH214" s="2">
        <v>21.247369361975998</v>
      </c>
      <c r="BI214" s="2">
        <v>21.438312194738</v>
      </c>
      <c r="BJ214" s="2">
        <v>21.350446215219598</v>
      </c>
      <c r="BK214" s="2">
        <v>21.265113736221199</v>
      </c>
      <c r="BL214" s="2">
        <v>21.1936229442281</v>
      </c>
      <c r="BM214" s="2">
        <v>21.4309664161642</v>
      </c>
      <c r="BN214" s="2">
        <v>21.583249555148001</v>
      </c>
      <c r="BO214" s="2">
        <v>21.309970959781701</v>
      </c>
      <c r="BP214" s="2">
        <v>21.5726353359806</v>
      </c>
      <c r="BQ214" s="2">
        <v>21.577698560362201</v>
      </c>
      <c r="BR214" s="2">
        <v>21.2740223851957</v>
      </c>
      <c r="BS214" s="2">
        <v>21.400833933473599</v>
      </c>
      <c r="BT214" s="2">
        <v>21.307141227886099</v>
      </c>
      <c r="BU214" s="2">
        <v>20.7027852751423</v>
      </c>
      <c r="BV214" s="2">
        <v>21.321103134840399</v>
      </c>
      <c r="BW214" s="2">
        <v>20.850292660179001</v>
      </c>
      <c r="BX214" s="2">
        <v>21.71815658865</v>
      </c>
      <c r="BY214" s="2">
        <v>21.3993534784505</v>
      </c>
      <c r="BZ214" s="2">
        <v>21.635811337303799</v>
      </c>
      <c r="CA214" s="2">
        <v>21.3857313044394</v>
      </c>
      <c r="CB214" s="2">
        <v>21.376308887385601</v>
      </c>
      <c r="CC214" s="2">
        <v>21.455169801278199</v>
      </c>
      <c r="CD214" s="2">
        <v>21.711616149586799</v>
      </c>
      <c r="CE214" s="2">
        <v>21.589755268362101</v>
      </c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</row>
    <row r="215" spans="1:97">
      <c r="A215" s="2" t="s">
        <v>2322</v>
      </c>
      <c r="B215" s="2">
        <v>120.08083000000001</v>
      </c>
      <c r="C215" s="2">
        <v>1.8160000000000001</v>
      </c>
      <c r="D215" s="2" t="s">
        <v>84</v>
      </c>
      <c r="E215" s="2" t="s">
        <v>2323</v>
      </c>
      <c r="F215" s="2" t="s">
        <v>2324</v>
      </c>
      <c r="G215" s="2">
        <v>47375</v>
      </c>
      <c r="H215" s="3" t="str">
        <f>HYPERLINK("https://cloud.oebiotech.com/#/lm/network/47375", "https://cloud.oebiotech.com/#/lm/network/47375")</f>
        <v>https://cloud.oebiotech.com/#/lm/network/47375</v>
      </c>
      <c r="I215" s="2" t="s">
        <v>2325</v>
      </c>
      <c r="J215" s="2">
        <v>59</v>
      </c>
      <c r="K215" s="2"/>
      <c r="L215" s="2">
        <v>1000</v>
      </c>
      <c r="M215" s="2" t="s">
        <v>2326</v>
      </c>
      <c r="N215" s="2"/>
      <c r="O215" s="2"/>
      <c r="P215" s="2">
        <v>16343</v>
      </c>
      <c r="Q215" s="2"/>
      <c r="R215" s="2"/>
      <c r="S215" s="2" t="s">
        <v>2327</v>
      </c>
      <c r="T215" s="2" t="s">
        <v>2328</v>
      </c>
      <c r="U215" s="2" t="s">
        <v>2329</v>
      </c>
      <c r="V215" s="2" t="s">
        <v>166</v>
      </c>
      <c r="W215" s="2" t="s">
        <v>167</v>
      </c>
      <c r="X215" s="2" t="s">
        <v>482</v>
      </c>
      <c r="Y215" s="2" t="s">
        <v>169</v>
      </c>
      <c r="Z215" s="2" t="s">
        <v>169</v>
      </c>
      <c r="AA215" s="2" t="s">
        <v>483</v>
      </c>
      <c r="AB215" s="2" t="s">
        <v>101</v>
      </c>
      <c r="AC215" s="2">
        <v>70.45</v>
      </c>
      <c r="AD215" s="2">
        <v>98.72</v>
      </c>
      <c r="AE215" s="2">
        <v>91.94</v>
      </c>
      <c r="AF215" s="2" t="s">
        <v>2330</v>
      </c>
      <c r="AG215" s="2" t="s">
        <v>1088</v>
      </c>
      <c r="AH215" s="2" t="s">
        <v>2331</v>
      </c>
      <c r="AI215" s="2">
        <v>5</v>
      </c>
      <c r="AJ215" s="2">
        <v>25.544986235106901</v>
      </c>
      <c r="AK215" s="2">
        <v>25.636043735038999</v>
      </c>
      <c r="AL215" s="2">
        <v>25.472076141218199</v>
      </c>
      <c r="AM215" s="2">
        <v>25.535848697904399</v>
      </c>
      <c r="AN215" s="2">
        <v>25.3574510917366</v>
      </c>
      <c r="AO215" s="2">
        <v>25.653387812426001</v>
      </c>
      <c r="AP215" s="2">
        <v>25.416772910612099</v>
      </c>
      <c r="AQ215" s="2">
        <v>25.719638727503799</v>
      </c>
      <c r="AR215" s="2">
        <v>25.143563957789802</v>
      </c>
      <c r="AS215" s="2">
        <v>24.497867531502902</v>
      </c>
      <c r="AT215" s="2">
        <v>25.108136602413602</v>
      </c>
      <c r="AU215" s="2">
        <v>25.203460680748702</v>
      </c>
      <c r="AV215" s="2">
        <v>25.759345475267299</v>
      </c>
      <c r="AW215" s="2">
        <v>25.902523684204201</v>
      </c>
      <c r="AX215" s="2">
        <v>25.339126702582099</v>
      </c>
      <c r="AY215" s="2">
        <v>25.642669672760899</v>
      </c>
      <c r="AZ215" s="2">
        <v>25.473492486903901</v>
      </c>
      <c r="BA215" s="2">
        <v>24.775356093526199</v>
      </c>
      <c r="BB215" s="2">
        <v>26.074741350730299</v>
      </c>
      <c r="BC215" s="2">
        <v>26.1287637367721</v>
      </c>
      <c r="BD215" s="2">
        <v>24.605767269085401</v>
      </c>
      <c r="BE215" s="2">
        <v>26.322332605688899</v>
      </c>
      <c r="BF215" s="2">
        <v>23.175942485624599</v>
      </c>
      <c r="BG215" s="2">
        <v>26.101563818887101</v>
      </c>
      <c r="BH215" s="2">
        <v>25.777710538243699</v>
      </c>
      <c r="BI215" s="2">
        <v>25.728894338575799</v>
      </c>
      <c r="BJ215" s="2">
        <v>26.0979641453516</v>
      </c>
      <c r="BK215" s="2">
        <v>25.623070763733502</v>
      </c>
      <c r="BL215" s="2">
        <v>25.368295486136802</v>
      </c>
      <c r="BM215" s="2">
        <v>26.2465020791367</v>
      </c>
      <c r="BN215" s="2">
        <v>26.031735127851899</v>
      </c>
      <c r="BO215" s="2">
        <v>25.5252688015972</v>
      </c>
      <c r="BP215" s="2">
        <v>25.3541870703366</v>
      </c>
      <c r="BQ215" s="2">
        <v>25.754322392311799</v>
      </c>
      <c r="BR215" s="2">
        <v>25.695268331322701</v>
      </c>
      <c r="BS215" s="2">
        <v>25.924176569284501</v>
      </c>
      <c r="BT215" s="2">
        <v>25.313072585991801</v>
      </c>
      <c r="BU215" s="2">
        <v>25.422082703440601</v>
      </c>
      <c r="BV215" s="2">
        <v>25.194213995058998</v>
      </c>
      <c r="BW215" s="2">
        <v>24.6477492880908</v>
      </c>
      <c r="BX215" s="2">
        <v>25.7326694561749</v>
      </c>
      <c r="BY215" s="2">
        <v>26.641415394081498</v>
      </c>
      <c r="BZ215" s="2">
        <v>25.917834845300899</v>
      </c>
      <c r="CA215" s="2">
        <v>26.620444529114199</v>
      </c>
      <c r="CB215" s="2">
        <v>25.416064701039002</v>
      </c>
      <c r="CC215" s="2">
        <v>25.6049272423516</v>
      </c>
      <c r="CD215" s="2">
        <v>25.936311081367901</v>
      </c>
      <c r="CE215" s="2">
        <v>25.859784105604</v>
      </c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</row>
    <row r="216" spans="1:97">
      <c r="A216" s="2" t="s">
        <v>2332</v>
      </c>
      <c r="B216" s="2">
        <v>203.06668999999999</v>
      </c>
      <c r="C216" s="2">
        <v>0.81599999999999995</v>
      </c>
      <c r="D216" s="2" t="s">
        <v>146</v>
      </c>
      <c r="E216" s="2" t="s">
        <v>2333</v>
      </c>
      <c r="F216" s="2" t="s">
        <v>2334</v>
      </c>
      <c r="G216" s="2">
        <v>204125</v>
      </c>
      <c r="H216" s="3" t="str">
        <f>HYPERLINK("https://cloud.oebiotech.com/#/lm/network/204125", "https://cloud.oebiotech.com/#/lm/network/204125")</f>
        <v>https://cloud.oebiotech.com/#/lm/network/204125</v>
      </c>
      <c r="I216" s="2" t="s">
        <v>2335</v>
      </c>
      <c r="J216" s="2"/>
      <c r="K216" s="2"/>
      <c r="L216" s="2">
        <v>295936</v>
      </c>
      <c r="M216" s="2"/>
      <c r="N216" s="2"/>
      <c r="O216" s="2"/>
      <c r="P216" s="2"/>
      <c r="Q216" s="2"/>
      <c r="R216" s="2"/>
      <c r="S216" s="2"/>
      <c r="T216" s="2" t="s">
        <v>2336</v>
      </c>
      <c r="U216" s="2" t="s">
        <v>2337</v>
      </c>
      <c r="V216" s="2" t="s">
        <v>338</v>
      </c>
      <c r="W216" s="2" t="s">
        <v>339</v>
      </c>
      <c r="X216" s="2" t="s">
        <v>663</v>
      </c>
      <c r="Y216" s="2" t="s">
        <v>341</v>
      </c>
      <c r="Z216" s="2" t="s">
        <v>341</v>
      </c>
      <c r="AA216" s="2" t="s">
        <v>664</v>
      </c>
      <c r="AB216" s="2" t="s">
        <v>101</v>
      </c>
      <c r="AC216" s="2">
        <v>70.45</v>
      </c>
      <c r="AD216" s="2">
        <v>94.84</v>
      </c>
      <c r="AE216" s="2">
        <v>72.59</v>
      </c>
      <c r="AF216" s="2" t="s">
        <v>2338</v>
      </c>
      <c r="AG216" s="2" t="s">
        <v>993</v>
      </c>
      <c r="AH216" s="2" t="s">
        <v>2339</v>
      </c>
      <c r="AI216" s="2">
        <v>0.49</v>
      </c>
      <c r="AJ216" s="2">
        <v>21.908040701909901</v>
      </c>
      <c r="AK216" s="2">
        <v>21.716244249966799</v>
      </c>
      <c r="AL216" s="2">
        <v>21.863804577453301</v>
      </c>
      <c r="AM216" s="2">
        <v>21.849305433430299</v>
      </c>
      <c r="AN216" s="2">
        <v>21.383378889484501</v>
      </c>
      <c r="AO216" s="2">
        <v>21.302799748226999</v>
      </c>
      <c r="AP216" s="2">
        <v>20.3484897590691</v>
      </c>
      <c r="AQ216" s="2">
        <v>21.8989474444822</v>
      </c>
      <c r="AR216" s="2">
        <v>21.017908169702899</v>
      </c>
      <c r="AS216" s="2">
        <v>21.478441713582299</v>
      </c>
      <c r="AT216" s="2">
        <v>21.535191681483099</v>
      </c>
      <c r="AU216" s="2">
        <v>21.944250380006501</v>
      </c>
      <c r="AV216" s="2">
        <v>21.6097377674113</v>
      </c>
      <c r="AW216" s="2">
        <v>21.482239127920401</v>
      </c>
      <c r="AX216" s="2">
        <v>21.559136524197498</v>
      </c>
      <c r="AY216" s="2">
        <v>21.734570015105302</v>
      </c>
      <c r="AZ216" s="2">
        <v>21.6509887325868</v>
      </c>
      <c r="BA216" s="2">
        <v>20.846107338376999</v>
      </c>
      <c r="BB216" s="2">
        <v>21.9663695669114</v>
      </c>
      <c r="BC216" s="2">
        <v>22.435167245658299</v>
      </c>
      <c r="BD216" s="2">
        <v>20.387197998228199</v>
      </c>
      <c r="BE216" s="2">
        <v>21.9203931402959</v>
      </c>
      <c r="BF216" s="2">
        <v>21.817302800436799</v>
      </c>
      <c r="BG216" s="2">
        <v>21.830366082933701</v>
      </c>
      <c r="BH216" s="2">
        <v>21.835352890157399</v>
      </c>
      <c r="BI216" s="2">
        <v>21.547390129747601</v>
      </c>
      <c r="BJ216" s="2">
        <v>21.5031877140223</v>
      </c>
      <c r="BK216" s="2">
        <v>21.672824448378101</v>
      </c>
      <c r="BL216" s="2">
        <v>21.686774160293101</v>
      </c>
      <c r="BM216" s="2">
        <v>21.936895647920899</v>
      </c>
      <c r="BN216" s="2">
        <v>21.1081330305908</v>
      </c>
      <c r="BO216" s="2">
        <v>21.689266284544399</v>
      </c>
      <c r="BP216" s="2">
        <v>21.217799938237601</v>
      </c>
      <c r="BQ216" s="2">
        <v>21.622553025250198</v>
      </c>
      <c r="BR216" s="2">
        <v>21.7725034999408</v>
      </c>
      <c r="BS216" s="2">
        <v>21.452630164098199</v>
      </c>
      <c r="BT216" s="2">
        <v>21.415182263571399</v>
      </c>
      <c r="BU216" s="2">
        <v>21.537557307747999</v>
      </c>
      <c r="BV216" s="2">
        <v>21.995682287742198</v>
      </c>
      <c r="BW216" s="2">
        <v>22.039798937244999</v>
      </c>
      <c r="BX216" s="2">
        <v>21.899192638680599</v>
      </c>
      <c r="BY216" s="2">
        <v>21.7105565709046</v>
      </c>
      <c r="BZ216" s="2">
        <v>21.4986915482224</v>
      </c>
      <c r="CA216" s="2">
        <v>21.696536114728399</v>
      </c>
      <c r="CB216" s="2">
        <v>21.571179201643201</v>
      </c>
      <c r="CC216" s="2">
        <v>21.5211624649688</v>
      </c>
      <c r="CD216" s="2">
        <v>21.317236398917299</v>
      </c>
      <c r="CE216" s="2">
        <v>21.3299744024566</v>
      </c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</row>
    <row r="217" spans="1:97">
      <c r="A217" s="2" t="s">
        <v>2340</v>
      </c>
      <c r="B217" s="2">
        <v>244.15405000000001</v>
      </c>
      <c r="C217" s="2">
        <v>3.8849999999999998</v>
      </c>
      <c r="D217" s="2" t="s">
        <v>84</v>
      </c>
      <c r="E217" s="2" t="s">
        <v>2341</v>
      </c>
      <c r="F217" s="2" t="s">
        <v>2342</v>
      </c>
      <c r="G217" s="2">
        <v>198190</v>
      </c>
      <c r="H217" s="3" t="str">
        <f>HYPERLINK("https://cloud.oebiotech.com/#/lm/network/198190", "https://cloud.oebiotech.com/#/lm/network/198190")</f>
        <v>https://cloud.oebiotech.com/#/lm/network/198190</v>
      </c>
      <c r="I217" s="2" t="s">
        <v>2343</v>
      </c>
      <c r="J217" s="2"/>
      <c r="K217" s="2"/>
      <c r="L217" s="2">
        <v>87088065</v>
      </c>
      <c r="M217" s="2"/>
      <c r="N217" s="2"/>
      <c r="O217" s="2"/>
      <c r="P217" s="2"/>
      <c r="Q217" s="2"/>
      <c r="R217" s="2"/>
      <c r="S217" s="2"/>
      <c r="T217" s="2" t="s">
        <v>2344</v>
      </c>
      <c r="U217" s="2" t="s">
        <v>2345</v>
      </c>
      <c r="V217" s="2" t="s">
        <v>95</v>
      </c>
      <c r="W217" s="2" t="s">
        <v>96</v>
      </c>
      <c r="X217" s="2" t="s">
        <v>97</v>
      </c>
      <c r="Y217" s="2" t="s">
        <v>98</v>
      </c>
      <c r="Z217" s="2" t="s">
        <v>99</v>
      </c>
      <c r="AA217" s="2" t="s">
        <v>100</v>
      </c>
      <c r="AB217" s="2" t="s">
        <v>101</v>
      </c>
      <c r="AC217" s="2">
        <v>70.42</v>
      </c>
      <c r="AD217" s="2">
        <v>92.31</v>
      </c>
      <c r="AE217" s="2">
        <v>78.87</v>
      </c>
      <c r="AF217" s="2" t="s">
        <v>2346</v>
      </c>
      <c r="AG217" s="2" t="s">
        <v>103</v>
      </c>
      <c r="AH217" s="2" t="s">
        <v>2347</v>
      </c>
      <c r="AI217" s="2">
        <v>0.82</v>
      </c>
      <c r="AJ217" s="2">
        <v>20.377192808028699</v>
      </c>
      <c r="AK217" s="2">
        <v>20.644426691730398</v>
      </c>
      <c r="AL217" s="2">
        <v>20.480175584738198</v>
      </c>
      <c r="AM217" s="2">
        <v>20.679986993152699</v>
      </c>
      <c r="AN217" s="2">
        <v>20.1718309912359</v>
      </c>
      <c r="AO217" s="2">
        <v>20.509509118599301</v>
      </c>
      <c r="AP217" s="2">
        <v>20.596488884997601</v>
      </c>
      <c r="AQ217" s="2">
        <v>20.717317481656</v>
      </c>
      <c r="AR217" s="2">
        <v>20.6877859608724</v>
      </c>
      <c r="AS217" s="2">
        <v>19.741887993015599</v>
      </c>
      <c r="AT217" s="2">
        <v>18.600600488603099</v>
      </c>
      <c r="AU217" s="2">
        <v>19.6496900934922</v>
      </c>
      <c r="AV217" s="2">
        <v>20.279457828861801</v>
      </c>
      <c r="AW217" s="2">
        <v>19.667612223445602</v>
      </c>
      <c r="AX217" s="2">
        <v>19.785340982580401</v>
      </c>
      <c r="AY217" s="2">
        <v>19.785653864341501</v>
      </c>
      <c r="AZ217" s="2">
        <v>20.746448016879299</v>
      </c>
      <c r="BA217" s="2">
        <v>19.341772128283399</v>
      </c>
      <c r="BB217" s="2">
        <v>20.548796138293099</v>
      </c>
      <c r="BC217" s="2">
        <v>20.276555697255699</v>
      </c>
      <c r="BD217" s="2">
        <v>18.8481284023188</v>
      </c>
      <c r="BE217" s="2">
        <v>19.992886501101601</v>
      </c>
      <c r="BF217" s="2">
        <v>19.0383639812982</v>
      </c>
      <c r="BG217" s="2">
        <v>20.414188212276901</v>
      </c>
      <c r="BH217" s="2">
        <v>20.983222875663198</v>
      </c>
      <c r="BI217" s="2">
        <v>21.540987351949799</v>
      </c>
      <c r="BJ217" s="2">
        <v>19.311262429439701</v>
      </c>
      <c r="BK217" s="2">
        <v>20.514182510192999</v>
      </c>
      <c r="BL217" s="2">
        <v>20.753632693013</v>
      </c>
      <c r="BM217" s="2">
        <v>20.275732853412599</v>
      </c>
      <c r="BN217" s="2">
        <v>19.7089159152322</v>
      </c>
      <c r="BO217" s="2">
        <v>20.3459606031346</v>
      </c>
      <c r="BP217" s="2">
        <v>20.107908832940101</v>
      </c>
      <c r="BQ217" s="2">
        <v>20.2939669850374</v>
      </c>
      <c r="BR217" s="2">
        <v>19.873308054372501</v>
      </c>
      <c r="BS217" s="2">
        <v>19.9665793230212</v>
      </c>
      <c r="BT217" s="2">
        <v>20.8245712071346</v>
      </c>
      <c r="BU217" s="2">
        <v>19.275961511154499</v>
      </c>
      <c r="BV217" s="2">
        <v>20.325197330609701</v>
      </c>
      <c r="BW217" s="2">
        <v>19.6513545339476</v>
      </c>
      <c r="BX217" s="2">
        <v>19.433675553803099</v>
      </c>
      <c r="BY217" s="2">
        <v>20.7789286339444</v>
      </c>
      <c r="BZ217" s="2">
        <v>18.8372494101143</v>
      </c>
      <c r="CA217" s="2">
        <v>21.441229142695899</v>
      </c>
      <c r="CB217" s="2">
        <v>19.457393985823099</v>
      </c>
      <c r="CC217" s="2">
        <v>20.1331813293564</v>
      </c>
      <c r="CD217" s="2">
        <v>20.178651491486601</v>
      </c>
      <c r="CE217" s="2">
        <v>20.650889537986998</v>
      </c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</row>
    <row r="218" spans="1:97">
      <c r="A218" s="2" t="s">
        <v>2348</v>
      </c>
      <c r="B218" s="2">
        <v>357.27830999999998</v>
      </c>
      <c r="C218" s="2">
        <v>10.131</v>
      </c>
      <c r="D218" s="2" t="s">
        <v>84</v>
      </c>
      <c r="E218" s="2" t="s">
        <v>2349</v>
      </c>
      <c r="F218" s="2" t="s">
        <v>2350</v>
      </c>
      <c r="G218" s="2">
        <v>45195</v>
      </c>
      <c r="H218" s="3" t="str">
        <f>HYPERLINK("https://cloud.oebiotech.com/#/lm/network/45195", "https://cloud.oebiotech.com/#/lm/network/45195")</f>
        <v>https://cloud.oebiotech.com/#/lm/network/45195</v>
      </c>
      <c r="I218" s="2"/>
      <c r="J218" s="2"/>
      <c r="K218" s="2" t="s">
        <v>2351</v>
      </c>
      <c r="L218" s="2">
        <v>9547283</v>
      </c>
      <c r="M218" s="2"/>
      <c r="N218" s="2"/>
      <c r="O218" s="2"/>
      <c r="P218" s="2"/>
      <c r="Q218" s="2"/>
      <c r="R218" s="2"/>
      <c r="S218" s="2"/>
      <c r="T218" s="2" t="s">
        <v>2352</v>
      </c>
      <c r="U218" s="2" t="s">
        <v>2353</v>
      </c>
      <c r="V218" s="2" t="s">
        <v>95</v>
      </c>
      <c r="W218" s="2" t="s">
        <v>152</v>
      </c>
      <c r="X218" s="2" t="s">
        <v>1484</v>
      </c>
      <c r="Y218" s="2" t="s">
        <v>98</v>
      </c>
      <c r="Z218" s="2" t="s">
        <v>154</v>
      </c>
      <c r="AA218" s="2" t="s">
        <v>1485</v>
      </c>
      <c r="AB218" s="2" t="s">
        <v>101</v>
      </c>
      <c r="AC218" s="2">
        <v>70.400000000000006</v>
      </c>
      <c r="AD218" s="2">
        <v>92.83</v>
      </c>
      <c r="AE218" s="2">
        <v>81.59</v>
      </c>
      <c r="AF218" s="2" t="s">
        <v>2354</v>
      </c>
      <c r="AG218" s="2" t="s">
        <v>1088</v>
      </c>
      <c r="AH218" s="2" t="s">
        <v>1523</v>
      </c>
      <c r="AI218" s="2">
        <v>3.08</v>
      </c>
      <c r="AJ218" s="2">
        <v>23.948907525903302</v>
      </c>
      <c r="AK218" s="2">
        <v>24.023979486154101</v>
      </c>
      <c r="AL218" s="2">
        <v>23.910348320052702</v>
      </c>
      <c r="AM218" s="2">
        <v>23.8373535109682</v>
      </c>
      <c r="AN218" s="2">
        <v>23.9586073298094</v>
      </c>
      <c r="AO218" s="2">
        <v>24.069482324917601</v>
      </c>
      <c r="AP218" s="2">
        <v>23.879378081557899</v>
      </c>
      <c r="AQ218" s="2">
        <v>24.004565498227802</v>
      </c>
      <c r="AR218" s="2">
        <v>21.559359495734899</v>
      </c>
      <c r="AS218" s="2">
        <v>20.3543434155571</v>
      </c>
      <c r="AT218" s="2">
        <v>20.695288588340599</v>
      </c>
      <c r="AU218" s="2">
        <v>23.368810205031401</v>
      </c>
      <c r="AV218" s="2">
        <v>21.9466011093449</v>
      </c>
      <c r="AW218" s="2">
        <v>25.222327429471498</v>
      </c>
      <c r="AX218" s="2">
        <v>21.9294533919368</v>
      </c>
      <c r="AY218" s="2">
        <v>22.904821268069099</v>
      </c>
      <c r="AZ218" s="2">
        <v>22.420888142248899</v>
      </c>
      <c r="BA218" s="2">
        <v>22.775773530632801</v>
      </c>
      <c r="BB218" s="2">
        <v>21.8562784852347</v>
      </c>
      <c r="BC218" s="2">
        <v>24.586668775132399</v>
      </c>
      <c r="BD218" s="2">
        <v>21.530096230686301</v>
      </c>
      <c r="BE218" s="2">
        <v>21.993281328401</v>
      </c>
      <c r="BF218" s="2">
        <v>21.4405897308941</v>
      </c>
      <c r="BG218" s="2">
        <v>22.665529920361401</v>
      </c>
      <c r="BH218" s="2">
        <v>20.4729978654848</v>
      </c>
      <c r="BI218" s="2">
        <v>22.644718825743801</v>
      </c>
      <c r="BJ218" s="2">
        <v>21.973805774676698</v>
      </c>
      <c r="BK218" s="2">
        <v>23.9608008543266</v>
      </c>
      <c r="BL218" s="2">
        <v>24.122478867334301</v>
      </c>
      <c r="BM218" s="2">
        <v>23.542310166211902</v>
      </c>
      <c r="BN218" s="2">
        <v>24.350860756421699</v>
      </c>
      <c r="BO218" s="2">
        <v>19.929891197380101</v>
      </c>
      <c r="BP218" s="2">
        <v>22.305724174888802</v>
      </c>
      <c r="BQ218" s="2">
        <v>25.733861184013001</v>
      </c>
      <c r="BR218" s="2">
        <v>22.8950978087456</v>
      </c>
      <c r="BS218" s="2">
        <v>23.212473265809301</v>
      </c>
      <c r="BT218" s="2">
        <v>19.621694959898001</v>
      </c>
      <c r="BU218" s="2">
        <v>20.545772578309599</v>
      </c>
      <c r="BV218" s="2">
        <v>23.995986467343499</v>
      </c>
      <c r="BW218" s="2">
        <v>23.622770127899699</v>
      </c>
      <c r="BX218" s="2">
        <v>19.386632720661702</v>
      </c>
      <c r="BY218" s="2">
        <v>22.5479451821592</v>
      </c>
      <c r="BZ218" s="2">
        <v>22.458950372199102</v>
      </c>
      <c r="CA218" s="2">
        <v>25.0461726965484</v>
      </c>
      <c r="CB218" s="2">
        <v>24.946839099863499</v>
      </c>
      <c r="CC218" s="2">
        <v>24.139764964699399</v>
      </c>
      <c r="CD218" s="2">
        <v>23.169927552898201</v>
      </c>
      <c r="CE218" s="2">
        <v>23.060730868039201</v>
      </c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</row>
    <row r="219" spans="1:97">
      <c r="A219" s="2" t="s">
        <v>2355</v>
      </c>
      <c r="B219" s="2">
        <v>382.27116999999998</v>
      </c>
      <c r="C219" s="2">
        <v>9.9339999999999993</v>
      </c>
      <c r="D219" s="2" t="s">
        <v>84</v>
      </c>
      <c r="E219" s="2" t="s">
        <v>2356</v>
      </c>
      <c r="F219" s="2" t="s">
        <v>2357</v>
      </c>
      <c r="G219" s="2">
        <v>198906</v>
      </c>
      <c r="H219" s="3" t="str">
        <f>HYPERLINK("https://cloud.oebiotech.com/#/lm/network/198906", "https://cloud.oebiotech.com/#/lm/network/198906")</f>
        <v>https://cloud.oebiotech.com/#/lm/network/198906</v>
      </c>
      <c r="I219" s="2" t="s">
        <v>2358</v>
      </c>
      <c r="J219" s="2"/>
      <c r="K219" s="2"/>
      <c r="L219" s="2">
        <v>520</v>
      </c>
      <c r="M219" s="2"/>
      <c r="N219" s="2"/>
      <c r="O219" s="2"/>
      <c r="P219" s="2"/>
      <c r="Q219" s="2"/>
      <c r="R219" s="2"/>
      <c r="S219" s="2"/>
      <c r="T219" s="2" t="s">
        <v>2359</v>
      </c>
      <c r="U219" s="2" t="s">
        <v>2360</v>
      </c>
      <c r="V219" s="2" t="s">
        <v>95</v>
      </c>
      <c r="W219" s="2" t="s">
        <v>2361</v>
      </c>
      <c r="X219" s="2" t="s">
        <v>2362</v>
      </c>
      <c r="Y219" s="2" t="s">
        <v>98</v>
      </c>
      <c r="Z219" s="2" t="s">
        <v>2363</v>
      </c>
      <c r="AA219" s="2" t="s">
        <v>2364</v>
      </c>
      <c r="AB219" s="2" t="s">
        <v>101</v>
      </c>
      <c r="AC219" s="2">
        <v>70.37</v>
      </c>
      <c r="AD219" s="2">
        <v>96.98</v>
      </c>
      <c r="AE219" s="2">
        <v>72.319999999999993</v>
      </c>
      <c r="AF219" s="2" t="s">
        <v>2365</v>
      </c>
      <c r="AG219" s="2" t="s">
        <v>103</v>
      </c>
      <c r="AH219" s="2" t="s">
        <v>2366</v>
      </c>
      <c r="AI219" s="2">
        <v>1.31</v>
      </c>
      <c r="AJ219" s="2">
        <v>21.310980918785202</v>
      </c>
      <c r="AK219" s="2">
        <v>21.709681899468901</v>
      </c>
      <c r="AL219" s="2">
        <v>21.5319307770189</v>
      </c>
      <c r="AM219" s="2">
        <v>21.680214592857801</v>
      </c>
      <c r="AN219" s="2">
        <v>21.565154303689699</v>
      </c>
      <c r="AO219" s="2">
        <v>21.569695288130799</v>
      </c>
      <c r="AP219" s="2">
        <v>21.3328432929145</v>
      </c>
      <c r="AQ219" s="2">
        <v>21.587189813253101</v>
      </c>
      <c r="AR219" s="2">
        <v>21.667707083305402</v>
      </c>
      <c r="AS219" s="2">
        <v>20.671394832738098</v>
      </c>
      <c r="AT219" s="2">
        <v>21.801881502871201</v>
      </c>
      <c r="AU219" s="2">
        <v>21.537654656566701</v>
      </c>
      <c r="AV219" s="2">
        <v>21.826312736335002</v>
      </c>
      <c r="AW219" s="2">
        <v>21.662927487430299</v>
      </c>
      <c r="AX219" s="2">
        <v>20.6154806864897</v>
      </c>
      <c r="AY219" s="2">
        <v>20.594966258851102</v>
      </c>
      <c r="AZ219" s="2">
        <v>21.612855227110199</v>
      </c>
      <c r="BA219" s="2">
        <v>20.541076512639901</v>
      </c>
      <c r="BB219" s="2">
        <v>21.684192432855198</v>
      </c>
      <c r="BC219" s="2">
        <v>22.8885838491843</v>
      </c>
      <c r="BD219" s="2">
        <v>20.1395862742609</v>
      </c>
      <c r="BE219" s="2">
        <v>21.043427003455498</v>
      </c>
      <c r="BF219" s="2">
        <v>20.902137491479699</v>
      </c>
      <c r="BG219" s="2">
        <v>21.809225073266401</v>
      </c>
      <c r="BH219" s="2">
        <v>21.565814355002001</v>
      </c>
      <c r="BI219" s="2">
        <v>21.5682017688755</v>
      </c>
      <c r="BJ219" s="2">
        <v>21.8442276498137</v>
      </c>
      <c r="BK219" s="2">
        <v>21.228645575490098</v>
      </c>
      <c r="BL219" s="2">
        <v>20.572752455003901</v>
      </c>
      <c r="BM219" s="2">
        <v>21.050390441866799</v>
      </c>
      <c r="BN219" s="2">
        <v>21.198532845095102</v>
      </c>
      <c r="BO219" s="2">
        <v>20.563398008506098</v>
      </c>
      <c r="BP219" s="2">
        <v>21.126375339146499</v>
      </c>
      <c r="BQ219" s="2">
        <v>21.005625268710201</v>
      </c>
      <c r="BR219" s="2">
        <v>21.1427955307738</v>
      </c>
      <c r="BS219" s="2">
        <v>21.3743127299824</v>
      </c>
      <c r="BT219" s="2">
        <v>21.103644147475901</v>
      </c>
      <c r="BU219" s="2">
        <v>22.925707051013301</v>
      </c>
      <c r="BV219" s="2">
        <v>21.461052298003999</v>
      </c>
      <c r="BW219" s="2">
        <v>20.595731705814799</v>
      </c>
      <c r="BX219" s="2">
        <v>20.967690756165101</v>
      </c>
      <c r="BY219" s="2">
        <v>22.265595804417401</v>
      </c>
      <c r="BZ219" s="2">
        <v>21.357827945112302</v>
      </c>
      <c r="CA219" s="2">
        <v>20.974047687680201</v>
      </c>
      <c r="CB219" s="2">
        <v>20.973447571152398</v>
      </c>
      <c r="CC219" s="2">
        <v>21.028805268425799</v>
      </c>
      <c r="CD219" s="2">
        <v>21.3497040906066</v>
      </c>
      <c r="CE219" s="2">
        <v>21.1988377842566</v>
      </c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</row>
    <row r="220" spans="1:97">
      <c r="A220" s="2" t="s">
        <v>2367</v>
      </c>
      <c r="B220" s="2">
        <v>229.14403999999999</v>
      </c>
      <c r="C220" s="2">
        <v>7.6079999999999997</v>
      </c>
      <c r="D220" s="2" t="s">
        <v>146</v>
      </c>
      <c r="E220" s="2" t="s">
        <v>2368</v>
      </c>
      <c r="F220" s="2" t="s">
        <v>2369</v>
      </c>
      <c r="G220" s="2">
        <v>2824</v>
      </c>
      <c r="H220" s="3" t="str">
        <f>HYPERLINK("https://cloud.oebiotech.com/#/lm/network/2824", "https://cloud.oebiotech.com/#/lm/network/2824")</f>
        <v>https://cloud.oebiotech.com/#/lm/network/2824</v>
      </c>
      <c r="I220" s="2" t="s">
        <v>2370</v>
      </c>
      <c r="J220" s="2">
        <v>5596</v>
      </c>
      <c r="K220" s="2" t="s">
        <v>2371</v>
      </c>
      <c r="L220" s="2">
        <v>12736</v>
      </c>
      <c r="M220" s="2" t="s">
        <v>2372</v>
      </c>
      <c r="N220" s="2"/>
      <c r="O220" s="2"/>
      <c r="P220" s="2">
        <v>4676</v>
      </c>
      <c r="Q220" s="2"/>
      <c r="R220" s="2"/>
      <c r="S220" s="2" t="s">
        <v>2373</v>
      </c>
      <c r="T220" s="2" t="s">
        <v>2374</v>
      </c>
      <c r="U220" s="2" t="s">
        <v>2375</v>
      </c>
      <c r="V220" s="2" t="s">
        <v>95</v>
      </c>
      <c r="W220" s="2" t="s">
        <v>96</v>
      </c>
      <c r="X220" s="2" t="s">
        <v>141</v>
      </c>
      <c r="Y220" s="2" t="s">
        <v>98</v>
      </c>
      <c r="Z220" s="2" t="s">
        <v>99</v>
      </c>
      <c r="AA220" s="2" t="s">
        <v>142</v>
      </c>
      <c r="AB220" s="2" t="s">
        <v>101</v>
      </c>
      <c r="AC220" s="2">
        <v>70.36</v>
      </c>
      <c r="AD220" s="2">
        <v>96.75</v>
      </c>
      <c r="AE220" s="2">
        <v>79.63</v>
      </c>
      <c r="AF220" s="2" t="s">
        <v>2376</v>
      </c>
      <c r="AG220" s="2" t="s">
        <v>194</v>
      </c>
      <c r="AH220" s="2" t="s">
        <v>2377</v>
      </c>
      <c r="AI220" s="2">
        <v>2.1800000000000002</v>
      </c>
      <c r="AJ220" s="2">
        <v>20.080538221938799</v>
      </c>
      <c r="AK220" s="2">
        <v>19.673990078566799</v>
      </c>
      <c r="AL220" s="2">
        <v>20.1514751766091</v>
      </c>
      <c r="AM220" s="2">
        <v>19.9240984934643</v>
      </c>
      <c r="AN220" s="2">
        <v>20.1530169408292</v>
      </c>
      <c r="AO220" s="2">
        <v>20.114542222135899</v>
      </c>
      <c r="AP220" s="2">
        <v>20.230664037353002</v>
      </c>
      <c r="AQ220" s="2">
        <v>20.199554489929</v>
      </c>
      <c r="AR220" s="2">
        <v>20.9995653550124</v>
      </c>
      <c r="AS220" s="2">
        <v>18.237482746788501</v>
      </c>
      <c r="AT220" s="2">
        <v>19.914599310101099</v>
      </c>
      <c r="AU220" s="2">
        <v>21.382037495900398</v>
      </c>
      <c r="AV220" s="2">
        <v>19.9239344537711</v>
      </c>
      <c r="AW220" s="2">
        <v>20.613992330997</v>
      </c>
      <c r="AX220" s="2">
        <v>19.366511312224301</v>
      </c>
      <c r="AY220" s="2">
        <v>20.3820164331079</v>
      </c>
      <c r="AZ220" s="2">
        <v>19.039808025120301</v>
      </c>
      <c r="BA220" s="2">
        <v>18.8663760790993</v>
      </c>
      <c r="BB220" s="2">
        <v>20.393199622509801</v>
      </c>
      <c r="BC220" s="2">
        <v>18.865203204373</v>
      </c>
      <c r="BD220" s="2">
        <v>19.0037004718844</v>
      </c>
      <c r="BE220" s="2">
        <v>20.638127217397798</v>
      </c>
      <c r="BF220" s="2">
        <v>19.586247771233499</v>
      </c>
      <c r="BG220" s="2">
        <v>19.472963547616001</v>
      </c>
      <c r="BH220" s="2">
        <v>19.737138028801098</v>
      </c>
      <c r="BI220" s="2">
        <v>20.718156015750299</v>
      </c>
      <c r="BJ220" s="2">
        <v>19.9562209095421</v>
      </c>
      <c r="BK220" s="2">
        <v>19.680847887572401</v>
      </c>
      <c r="BL220" s="2">
        <v>19.521390491464398</v>
      </c>
      <c r="BM220" s="2">
        <v>20.532797244016699</v>
      </c>
      <c r="BN220" s="2">
        <v>20.4773440293005</v>
      </c>
      <c r="BO220" s="2">
        <v>19.315830331695899</v>
      </c>
      <c r="BP220" s="2">
        <v>19.872340451852001</v>
      </c>
      <c r="BQ220" s="2">
        <v>19.788828777156201</v>
      </c>
      <c r="BR220" s="2">
        <v>21.282696730217602</v>
      </c>
      <c r="BS220" s="2">
        <v>20.168421349638798</v>
      </c>
      <c r="BT220" s="2">
        <v>19.304952764884501</v>
      </c>
      <c r="BU220" s="2">
        <v>20.150672802637601</v>
      </c>
      <c r="BV220" s="2">
        <v>19.6137636422329</v>
      </c>
      <c r="BW220" s="2">
        <v>19.3952035176222</v>
      </c>
      <c r="BX220" s="2">
        <v>19.698820237926299</v>
      </c>
      <c r="BY220" s="2">
        <v>20.407608874598299</v>
      </c>
      <c r="BZ220" s="2">
        <v>21.496971489785199</v>
      </c>
      <c r="CA220" s="2">
        <v>19.817413408779402</v>
      </c>
      <c r="CB220" s="2">
        <v>19.780704194400101</v>
      </c>
      <c r="CC220" s="2">
        <v>19.688582664506299</v>
      </c>
      <c r="CD220" s="2">
        <v>19.6019092583503</v>
      </c>
      <c r="CE220" s="2">
        <v>19.864030720890199</v>
      </c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</row>
    <row r="221" spans="1:97">
      <c r="A221" s="2" t="s">
        <v>2378</v>
      </c>
      <c r="B221" s="2">
        <v>130.05061000000001</v>
      </c>
      <c r="C221" s="2">
        <v>1.083</v>
      </c>
      <c r="D221" s="2" t="s">
        <v>146</v>
      </c>
      <c r="E221" s="2" t="s">
        <v>2379</v>
      </c>
      <c r="F221" s="2" t="s">
        <v>2380</v>
      </c>
      <c r="G221" s="2">
        <v>83389</v>
      </c>
      <c r="H221" s="3" t="str">
        <f>HYPERLINK("https://cloud.oebiotech.com/#/lm/network/83389", "https://cloud.oebiotech.com/#/lm/network/83389")</f>
        <v>https://cloud.oebiotech.com/#/lm/network/83389</v>
      </c>
      <c r="I221" s="2" t="s">
        <v>2381</v>
      </c>
      <c r="J221" s="2"/>
      <c r="K221" s="2"/>
      <c r="L221" s="2">
        <v>76406</v>
      </c>
      <c r="M221" s="2" t="s">
        <v>2382</v>
      </c>
      <c r="N221" s="2" t="s">
        <v>2383</v>
      </c>
      <c r="O221" s="2" t="s">
        <v>2384</v>
      </c>
      <c r="P221" s="2">
        <v>16682</v>
      </c>
      <c r="Q221" s="2"/>
      <c r="R221" s="2"/>
      <c r="S221" s="2" t="s">
        <v>2385</v>
      </c>
      <c r="T221" s="2" t="s">
        <v>2386</v>
      </c>
      <c r="U221" s="2" t="s">
        <v>2387</v>
      </c>
      <c r="V221" s="2" t="s">
        <v>115</v>
      </c>
      <c r="W221" s="2" t="s">
        <v>116</v>
      </c>
      <c r="X221" s="2" t="s">
        <v>2388</v>
      </c>
      <c r="Y221" s="2" t="s">
        <v>118</v>
      </c>
      <c r="Z221" s="2" t="s">
        <v>119</v>
      </c>
      <c r="AA221" s="2" t="s">
        <v>2389</v>
      </c>
      <c r="AB221" s="2" t="s">
        <v>101</v>
      </c>
      <c r="AC221" s="2">
        <v>70.33</v>
      </c>
      <c r="AD221" s="2">
        <v>96.56</v>
      </c>
      <c r="AE221" s="2">
        <v>78.63</v>
      </c>
      <c r="AF221" s="2" t="s">
        <v>2390</v>
      </c>
      <c r="AG221" s="2" t="s">
        <v>194</v>
      </c>
      <c r="AH221" s="2" t="s">
        <v>1813</v>
      </c>
      <c r="AI221" s="2">
        <v>2.69</v>
      </c>
      <c r="AJ221" s="2">
        <v>21.929784558962702</v>
      </c>
      <c r="AK221" s="2">
        <v>22.562007428372301</v>
      </c>
      <c r="AL221" s="2">
        <v>22.036564343215801</v>
      </c>
      <c r="AM221" s="2">
        <v>22.1052372797643</v>
      </c>
      <c r="AN221" s="2">
        <v>22.089606222370001</v>
      </c>
      <c r="AO221" s="2">
        <v>21.963874468728498</v>
      </c>
      <c r="AP221" s="2">
        <v>22.510643420529501</v>
      </c>
      <c r="AQ221" s="2">
        <v>22.181891736368701</v>
      </c>
      <c r="AR221" s="2">
        <v>21.361766651637101</v>
      </c>
      <c r="AS221" s="2">
        <v>21.884912212818801</v>
      </c>
      <c r="AT221" s="2">
        <v>21.7333894256825</v>
      </c>
      <c r="AU221" s="2">
        <v>21.562053545278498</v>
      </c>
      <c r="AV221" s="2">
        <v>21.496580628323699</v>
      </c>
      <c r="AW221" s="2">
        <v>20.881082017697398</v>
      </c>
      <c r="AX221" s="2">
        <v>21.930662874934999</v>
      </c>
      <c r="AY221" s="2">
        <v>22.1247125927997</v>
      </c>
      <c r="AZ221" s="2">
        <v>22.000279809274801</v>
      </c>
      <c r="BA221" s="2">
        <v>22.066951366942199</v>
      </c>
      <c r="BB221" s="2">
        <v>21.942999410664001</v>
      </c>
      <c r="BC221" s="2">
        <v>22.456793641119301</v>
      </c>
      <c r="BD221" s="2">
        <v>22.2906450614026</v>
      </c>
      <c r="BE221" s="2">
        <v>22.521529136079302</v>
      </c>
      <c r="BF221" s="2">
        <v>22.308804847055299</v>
      </c>
      <c r="BG221" s="2">
        <v>22.683255935876002</v>
      </c>
      <c r="BH221" s="2">
        <v>22.4409506549359</v>
      </c>
      <c r="BI221" s="2">
        <v>22.595688665094698</v>
      </c>
      <c r="BJ221" s="2">
        <v>19.392572047320702</v>
      </c>
      <c r="BK221" s="2">
        <v>22.244077561529298</v>
      </c>
      <c r="BL221" s="2">
        <v>22.227300405736301</v>
      </c>
      <c r="BM221" s="2">
        <v>21.8635999639815</v>
      </c>
      <c r="BN221" s="2">
        <v>22.372716245930299</v>
      </c>
      <c r="BO221" s="2">
        <v>22.5632522911778</v>
      </c>
      <c r="BP221" s="2">
        <v>22.560951233457399</v>
      </c>
      <c r="BQ221" s="2">
        <v>21.9594667016922</v>
      </c>
      <c r="BR221" s="2">
        <v>19.255384597144101</v>
      </c>
      <c r="BS221" s="2">
        <v>22.261876116514699</v>
      </c>
      <c r="BT221" s="2">
        <v>21.5815549613935</v>
      </c>
      <c r="BU221" s="2">
        <v>21.632795615398301</v>
      </c>
      <c r="BV221" s="2">
        <v>22.0574116516974</v>
      </c>
      <c r="BW221" s="2">
        <v>22.144067197265802</v>
      </c>
      <c r="BX221" s="2">
        <v>21.573018572763399</v>
      </c>
      <c r="BY221" s="2">
        <v>22.970740681884699</v>
      </c>
      <c r="BZ221" s="2">
        <v>22.381180522552398</v>
      </c>
      <c r="CA221" s="2">
        <v>22.181971881607701</v>
      </c>
      <c r="CB221" s="2">
        <v>21.526582905190399</v>
      </c>
      <c r="CC221" s="2">
        <v>21.566733798263002</v>
      </c>
      <c r="CD221" s="2">
        <v>21.251349774302099</v>
      </c>
      <c r="CE221" s="2">
        <v>22.537449771396702</v>
      </c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</row>
    <row r="222" spans="1:97">
      <c r="A222" s="2" t="s">
        <v>2391</v>
      </c>
      <c r="B222" s="2">
        <v>235.18007</v>
      </c>
      <c r="C222" s="2">
        <v>4.4340000000000002</v>
      </c>
      <c r="D222" s="2" t="s">
        <v>84</v>
      </c>
      <c r="E222" s="2" t="s">
        <v>2392</v>
      </c>
      <c r="F222" s="2" t="s">
        <v>2393</v>
      </c>
      <c r="G222" s="2">
        <v>52671</v>
      </c>
      <c r="H222" s="3" t="str">
        <f>HYPERLINK("https://cloud.oebiotech.com/#/lm/network/52671", "https://cloud.oebiotech.com/#/lm/network/52671")</f>
        <v>https://cloud.oebiotech.com/#/lm/network/52671</v>
      </c>
      <c r="I222" s="2" t="s">
        <v>2394</v>
      </c>
      <c r="J222" s="2">
        <v>995</v>
      </c>
      <c r="K222" s="2"/>
      <c r="L222" s="2">
        <v>3676</v>
      </c>
      <c r="M222" s="2" t="s">
        <v>2395</v>
      </c>
      <c r="N222" s="2"/>
      <c r="O222" s="2"/>
      <c r="P222" s="2">
        <v>6456</v>
      </c>
      <c r="Q222" s="2"/>
      <c r="R222" s="2"/>
      <c r="S222" s="2" t="s">
        <v>2396</v>
      </c>
      <c r="T222" s="2" t="s">
        <v>2397</v>
      </c>
      <c r="U222" s="2" t="s">
        <v>2398</v>
      </c>
      <c r="V222" s="2" t="s">
        <v>385</v>
      </c>
      <c r="W222" s="2" t="s">
        <v>386</v>
      </c>
      <c r="X222" s="2" t="s">
        <v>2399</v>
      </c>
      <c r="Y222" s="2" t="s">
        <v>388</v>
      </c>
      <c r="Z222" s="2" t="s">
        <v>389</v>
      </c>
      <c r="AA222" s="2" t="s">
        <v>2400</v>
      </c>
      <c r="AB222" s="2" t="s">
        <v>101</v>
      </c>
      <c r="AC222" s="2">
        <v>70.33</v>
      </c>
      <c r="AD222" s="2">
        <v>98.68</v>
      </c>
      <c r="AE222" s="2">
        <v>88.37</v>
      </c>
      <c r="AF222" s="2" t="s">
        <v>2401</v>
      </c>
      <c r="AG222" s="2" t="s">
        <v>103</v>
      </c>
      <c r="AH222" s="2" t="s">
        <v>2402</v>
      </c>
      <c r="AI222" s="2">
        <v>1.7</v>
      </c>
      <c r="AJ222" s="2">
        <v>23.834983599808599</v>
      </c>
      <c r="AK222" s="2">
        <v>24.0909567196951</v>
      </c>
      <c r="AL222" s="2">
        <v>23.747691582482101</v>
      </c>
      <c r="AM222" s="2">
        <v>23.9735669407542</v>
      </c>
      <c r="AN222" s="2">
        <v>23.645210064357101</v>
      </c>
      <c r="AO222" s="2">
        <v>23.7214604803508</v>
      </c>
      <c r="AP222" s="2">
        <v>23.628837744277401</v>
      </c>
      <c r="AQ222" s="2">
        <v>23.5843754721663</v>
      </c>
      <c r="AR222" s="2">
        <v>17.2550377932385</v>
      </c>
      <c r="AS222" s="2">
        <v>9.6233145402724691</v>
      </c>
      <c r="AT222" s="2">
        <v>17.957128404704601</v>
      </c>
      <c r="AU222" s="2">
        <v>24.8958965414737</v>
      </c>
      <c r="AV222" s="2">
        <v>18.233011623130899</v>
      </c>
      <c r="AW222" s="2">
        <v>18.628626947860599</v>
      </c>
      <c r="AX222" s="2">
        <v>18.421595158300999</v>
      </c>
      <c r="AY222" s="2">
        <v>24.375230954427199</v>
      </c>
      <c r="AZ222" s="2">
        <v>18.219920374314199</v>
      </c>
      <c r="BA222" s="2">
        <v>18.493450275304099</v>
      </c>
      <c r="BB222" s="2">
        <v>17.644062857942501</v>
      </c>
      <c r="BC222" s="2">
        <v>18.507143349810502</v>
      </c>
      <c r="BD222" s="2">
        <v>23.899355036421699</v>
      </c>
      <c r="BE222" s="2">
        <v>22.762923687382902</v>
      </c>
      <c r="BF222" s="2">
        <v>25.4223654812427</v>
      </c>
      <c r="BG222" s="2">
        <v>16.933645132079299</v>
      </c>
      <c r="BH222" s="2">
        <v>18.484563589503001</v>
      </c>
      <c r="BI222" s="2">
        <v>18.2342933020151</v>
      </c>
      <c r="BJ222" s="2">
        <v>17.476470689320401</v>
      </c>
      <c r="BK222" s="2">
        <v>18.536606744105601</v>
      </c>
      <c r="BL222" s="2">
        <v>18.595101630842102</v>
      </c>
      <c r="BM222" s="2">
        <v>19.967775083523101</v>
      </c>
      <c r="BN222" s="2">
        <v>19.1411869012083</v>
      </c>
      <c r="BO222" s="2">
        <v>18.659282672163801</v>
      </c>
      <c r="BP222" s="2">
        <v>18.746901244323901</v>
      </c>
      <c r="BQ222" s="2">
        <v>18.6062716022156</v>
      </c>
      <c r="BR222" s="2">
        <v>15.703349374380601</v>
      </c>
      <c r="BS222" s="2">
        <v>19.058483769474201</v>
      </c>
      <c r="BT222" s="2">
        <v>17.539991856010101</v>
      </c>
      <c r="BU222" s="2">
        <v>18.817480957171298</v>
      </c>
      <c r="BV222" s="2">
        <v>17.888451396547399</v>
      </c>
      <c r="BW222" s="2">
        <v>17.010381897105301</v>
      </c>
      <c r="BX222" s="2">
        <v>19.431618471261999</v>
      </c>
      <c r="BY222" s="2">
        <v>19.562196672106701</v>
      </c>
      <c r="BZ222" s="2">
        <v>18.887157653290899</v>
      </c>
      <c r="CA222" s="2">
        <v>16.588787822394799</v>
      </c>
      <c r="CB222" s="2">
        <v>16.498045287041101</v>
      </c>
      <c r="CC222" s="2">
        <v>18.618471789211899</v>
      </c>
      <c r="CD222" s="2">
        <v>21.567437754169301</v>
      </c>
      <c r="CE222" s="2">
        <v>18.7133650668796</v>
      </c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</row>
    <row r="223" spans="1:97">
      <c r="A223" s="2" t="s">
        <v>2403</v>
      </c>
      <c r="B223" s="2">
        <v>72.08126</v>
      </c>
      <c r="C223" s="2">
        <v>0.79400000000000004</v>
      </c>
      <c r="D223" s="2" t="s">
        <v>84</v>
      </c>
      <c r="E223" s="2" t="s">
        <v>2404</v>
      </c>
      <c r="F223" s="2" t="s">
        <v>2405</v>
      </c>
      <c r="G223" s="2">
        <v>56135</v>
      </c>
      <c r="H223" s="3" t="str">
        <f>HYPERLINK("https://cloud.oebiotech.com/#/lm/network/56135", "https://cloud.oebiotech.com/#/lm/network/56135")</f>
        <v>https://cloud.oebiotech.com/#/lm/network/56135</v>
      </c>
      <c r="I223" s="2" t="s">
        <v>2406</v>
      </c>
      <c r="J223" s="2">
        <v>87832</v>
      </c>
      <c r="K223" s="2"/>
      <c r="L223" s="2">
        <v>31268</v>
      </c>
      <c r="M223" s="2"/>
      <c r="N223" s="2"/>
      <c r="O223" s="2"/>
      <c r="P223" s="2">
        <v>33135</v>
      </c>
      <c r="Q223" s="2"/>
      <c r="R223" s="2"/>
      <c r="S223" s="2" t="s">
        <v>2407</v>
      </c>
      <c r="T223" s="2" t="s">
        <v>2408</v>
      </c>
      <c r="U223" s="2" t="s">
        <v>2409</v>
      </c>
      <c r="V223" s="2" t="s">
        <v>553</v>
      </c>
      <c r="W223" s="2" t="s">
        <v>2238</v>
      </c>
      <c r="X223" s="2" t="s">
        <v>375</v>
      </c>
      <c r="Y223" s="2" t="s">
        <v>556</v>
      </c>
      <c r="Z223" s="2" t="s">
        <v>2240</v>
      </c>
      <c r="AA223" s="2"/>
      <c r="AB223" s="2" t="s">
        <v>101</v>
      </c>
      <c r="AC223" s="2">
        <v>70.319999999999993</v>
      </c>
      <c r="AD223" s="2">
        <v>99.42</v>
      </c>
      <c r="AE223" s="2">
        <v>93.58</v>
      </c>
      <c r="AF223" s="2" t="s">
        <v>2410</v>
      </c>
      <c r="AG223" s="2" t="s">
        <v>103</v>
      </c>
      <c r="AH223" s="2" t="s">
        <v>2411</v>
      </c>
      <c r="AI223" s="2">
        <v>-6.8</v>
      </c>
      <c r="AJ223" s="2">
        <v>27.377614196774601</v>
      </c>
      <c r="AK223" s="2">
        <v>27.281475768567098</v>
      </c>
      <c r="AL223" s="2">
        <v>26.789987982849599</v>
      </c>
      <c r="AM223" s="2">
        <v>26.5055423397976</v>
      </c>
      <c r="AN223" s="2">
        <v>27.3896113874018</v>
      </c>
      <c r="AO223" s="2">
        <v>27.298388122736</v>
      </c>
      <c r="AP223" s="2">
        <v>27.2382776941791</v>
      </c>
      <c r="AQ223" s="2">
        <v>27.297790445362299</v>
      </c>
      <c r="AR223" s="2">
        <v>26.741244931674199</v>
      </c>
      <c r="AS223" s="2">
        <v>26.693557336068402</v>
      </c>
      <c r="AT223" s="2">
        <v>27.0065377563581</v>
      </c>
      <c r="AU223" s="2">
        <v>27.378740849812701</v>
      </c>
      <c r="AV223" s="2">
        <v>27.4082624732537</v>
      </c>
      <c r="AW223" s="2">
        <v>27.3883987068557</v>
      </c>
      <c r="AX223" s="2">
        <v>27.083889526627701</v>
      </c>
      <c r="AY223" s="2">
        <v>27.301099597127902</v>
      </c>
      <c r="AZ223" s="2">
        <v>27.011630326445101</v>
      </c>
      <c r="BA223" s="2">
        <v>26.848651019304601</v>
      </c>
      <c r="BB223" s="2">
        <v>27.8245019527476</v>
      </c>
      <c r="BC223" s="2">
        <v>26.739229177537698</v>
      </c>
      <c r="BD223" s="2">
        <v>26.7725691728456</v>
      </c>
      <c r="BE223" s="2">
        <v>27.207440629914899</v>
      </c>
      <c r="BF223" s="2">
        <v>27.251844075515901</v>
      </c>
      <c r="BG223" s="2">
        <v>27.5430595296863</v>
      </c>
      <c r="BH223" s="2">
        <v>27.4961403521324</v>
      </c>
      <c r="BI223" s="2">
        <v>27.306041519379399</v>
      </c>
      <c r="BJ223" s="2">
        <v>27.327065311274399</v>
      </c>
      <c r="BK223" s="2">
        <v>27.139779611767601</v>
      </c>
      <c r="BL223" s="2">
        <v>26.576492788703298</v>
      </c>
      <c r="BM223" s="2">
        <v>28.030212914063998</v>
      </c>
      <c r="BN223" s="2">
        <v>27.298992163336202</v>
      </c>
      <c r="BO223" s="2">
        <v>27.0601801701272</v>
      </c>
      <c r="BP223" s="2">
        <v>26.629738998362502</v>
      </c>
      <c r="BQ223" s="2">
        <v>27.503043606589902</v>
      </c>
      <c r="BR223" s="2">
        <v>27.246117767542199</v>
      </c>
      <c r="BS223" s="2">
        <v>26.866898212819699</v>
      </c>
      <c r="BT223" s="2">
        <v>26.553235801441598</v>
      </c>
      <c r="BU223" s="2">
        <v>27.1165614434628</v>
      </c>
      <c r="BV223" s="2">
        <v>27.057303856905101</v>
      </c>
      <c r="BW223" s="2">
        <v>26.497743377560401</v>
      </c>
      <c r="BX223" s="2">
        <v>27.555416854808001</v>
      </c>
      <c r="BY223" s="2">
        <v>27.4789657677352</v>
      </c>
      <c r="BZ223" s="2">
        <v>27.444042241081</v>
      </c>
      <c r="CA223" s="2">
        <v>26.350010560999898</v>
      </c>
      <c r="CB223" s="2">
        <v>26.743563601674399</v>
      </c>
      <c r="CC223" s="2">
        <v>27.195261703480099</v>
      </c>
      <c r="CD223" s="2">
        <v>27.4962722157954</v>
      </c>
      <c r="CE223" s="2">
        <v>27.167206881160698</v>
      </c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</row>
    <row r="224" spans="1:97">
      <c r="A224" s="2" t="s">
        <v>2412</v>
      </c>
      <c r="B224" s="2">
        <v>207.10221999999999</v>
      </c>
      <c r="C224" s="2">
        <v>8.1370000000000005</v>
      </c>
      <c r="D224" s="2" t="s">
        <v>146</v>
      </c>
      <c r="E224" s="2" t="s">
        <v>2413</v>
      </c>
      <c r="F224" s="2" t="s">
        <v>2414</v>
      </c>
      <c r="G224" s="2">
        <v>2223</v>
      </c>
      <c r="H224" s="3" t="str">
        <f>HYPERLINK("https://cloud.oebiotech.com/#/lm/network/2223", "https://cloud.oebiotech.com/#/lm/network/2223")</f>
        <v>https://cloud.oebiotech.com/#/lm/network/2223</v>
      </c>
      <c r="I224" s="2"/>
      <c r="J224" s="2"/>
      <c r="K224" s="2" t="s">
        <v>2415</v>
      </c>
      <c r="L224" s="2"/>
      <c r="M224" s="2"/>
      <c r="N224" s="2"/>
      <c r="O224" s="2"/>
      <c r="P224" s="2"/>
      <c r="Q224" s="2"/>
      <c r="R224" s="2"/>
      <c r="S224" s="2"/>
      <c r="T224" s="2" t="s">
        <v>2416</v>
      </c>
      <c r="U224" s="2" t="s">
        <v>2417</v>
      </c>
      <c r="V224" s="2" t="s">
        <v>115</v>
      </c>
      <c r="W224" s="2" t="s">
        <v>403</v>
      </c>
      <c r="X224" s="2" t="s">
        <v>2031</v>
      </c>
      <c r="Y224" s="2" t="s">
        <v>118</v>
      </c>
      <c r="Z224" s="2" t="s">
        <v>405</v>
      </c>
      <c r="AA224" s="2" t="s">
        <v>2032</v>
      </c>
      <c r="AB224" s="2" t="s">
        <v>101</v>
      </c>
      <c r="AC224" s="2">
        <v>70.290000000000006</v>
      </c>
      <c r="AD224" s="2">
        <v>97.25</v>
      </c>
      <c r="AE224" s="2">
        <v>74.599999999999994</v>
      </c>
      <c r="AF224" s="2" t="s">
        <v>2418</v>
      </c>
      <c r="AG224" s="2" t="s">
        <v>194</v>
      </c>
      <c r="AH224" s="2" t="s">
        <v>1191</v>
      </c>
      <c r="AI224" s="2">
        <v>2.41</v>
      </c>
      <c r="AJ224" s="2">
        <v>21.288591513161499</v>
      </c>
      <c r="AK224" s="2">
        <v>21.409184722214601</v>
      </c>
      <c r="AL224" s="2">
        <v>21.4472737507731</v>
      </c>
      <c r="AM224" s="2">
        <v>21.206594717502998</v>
      </c>
      <c r="AN224" s="2">
        <v>21.274984379724099</v>
      </c>
      <c r="AO224" s="2">
        <v>21.447372108900101</v>
      </c>
      <c r="AP224" s="2">
        <v>21.495134653776098</v>
      </c>
      <c r="AQ224" s="2">
        <v>21.488774537955901</v>
      </c>
      <c r="AR224" s="2">
        <v>21.317216820001601</v>
      </c>
      <c r="AS224" s="2">
        <v>21.3970587710504</v>
      </c>
      <c r="AT224" s="2">
        <v>21.316843472235</v>
      </c>
      <c r="AU224" s="2">
        <v>21.318442342004399</v>
      </c>
      <c r="AV224" s="2">
        <v>21.732305441445899</v>
      </c>
      <c r="AW224" s="2">
        <v>21.243925969961701</v>
      </c>
      <c r="AX224" s="2">
        <v>21.667557198923902</v>
      </c>
      <c r="AY224" s="2">
        <v>21.0720560199488</v>
      </c>
      <c r="AZ224" s="2">
        <v>21.544879001471902</v>
      </c>
      <c r="BA224" s="2">
        <v>21.177116748695202</v>
      </c>
      <c r="BB224" s="2">
        <v>21.271100371924199</v>
      </c>
      <c r="BC224" s="2">
        <v>21.126580629583401</v>
      </c>
      <c r="BD224" s="2">
        <v>20.9973829962499</v>
      </c>
      <c r="BE224" s="2">
        <v>21.194176529629701</v>
      </c>
      <c r="BF224" s="2">
        <v>21.066268798573802</v>
      </c>
      <c r="BG224" s="2">
        <v>21.599987087988399</v>
      </c>
      <c r="BH224" s="2">
        <v>21.021848675361401</v>
      </c>
      <c r="BI224" s="2">
        <v>20.833899668427598</v>
      </c>
      <c r="BJ224" s="2">
        <v>21.3131452526172</v>
      </c>
      <c r="BK224" s="2">
        <v>21.361760885850199</v>
      </c>
      <c r="BL224" s="2">
        <v>20.799501847262501</v>
      </c>
      <c r="BM224" s="2">
        <v>21.424246923006301</v>
      </c>
      <c r="BN224" s="2">
        <v>21.3196347762747</v>
      </c>
      <c r="BO224" s="2">
        <v>21.110198606023701</v>
      </c>
      <c r="BP224" s="2">
        <v>20.821218339627499</v>
      </c>
      <c r="BQ224" s="2">
        <v>21.323842710602499</v>
      </c>
      <c r="BR224" s="2">
        <v>20.858307688166299</v>
      </c>
      <c r="BS224" s="2">
        <v>21.401151287355201</v>
      </c>
      <c r="BT224" s="2">
        <v>20.8934332575243</v>
      </c>
      <c r="BU224" s="2">
        <v>21.247839247074701</v>
      </c>
      <c r="BV224" s="2">
        <v>21.111446170434998</v>
      </c>
      <c r="BW224" s="2">
        <v>21.229399790057201</v>
      </c>
      <c r="BX224" s="2">
        <v>21.1730941317639</v>
      </c>
      <c r="BY224" s="2">
        <v>21.196643912141901</v>
      </c>
      <c r="BZ224" s="2">
        <v>21.2624971753369</v>
      </c>
      <c r="CA224" s="2">
        <v>21.317985719408501</v>
      </c>
      <c r="CB224" s="2">
        <v>20.960975938380599</v>
      </c>
      <c r="CC224" s="2">
        <v>20.740576317929399</v>
      </c>
      <c r="CD224" s="2">
        <v>20.942744418258702</v>
      </c>
      <c r="CE224" s="2">
        <v>20.894593442107201</v>
      </c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</row>
    <row r="225" spans="1:97">
      <c r="A225" s="2" t="s">
        <v>2419</v>
      </c>
      <c r="B225" s="2">
        <v>304.21138999999999</v>
      </c>
      <c r="C225" s="2">
        <v>4.7709999999999999</v>
      </c>
      <c r="D225" s="2" t="s">
        <v>84</v>
      </c>
      <c r="E225" s="2" t="s">
        <v>2420</v>
      </c>
      <c r="F225" s="2" t="s">
        <v>2421</v>
      </c>
      <c r="G225" s="2">
        <v>198223</v>
      </c>
      <c r="H225" s="3" t="str">
        <f>HYPERLINK("https://cloud.oebiotech.com/#/lm/network/198223", "https://cloud.oebiotech.com/#/lm/network/198223")</f>
        <v>https://cloud.oebiotech.com/#/lm/network/198223</v>
      </c>
      <c r="I225" s="2" t="s">
        <v>2422</v>
      </c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 t="s">
        <v>2423</v>
      </c>
      <c r="U225" s="2" t="s">
        <v>2424</v>
      </c>
      <c r="V225" s="2" t="s">
        <v>95</v>
      </c>
      <c r="W225" s="2" t="s">
        <v>96</v>
      </c>
      <c r="X225" s="2" t="s">
        <v>97</v>
      </c>
      <c r="Y225" s="2" t="s">
        <v>98</v>
      </c>
      <c r="Z225" s="2" t="s">
        <v>99</v>
      </c>
      <c r="AA225" s="2" t="s">
        <v>100</v>
      </c>
      <c r="AB225" s="2" t="s">
        <v>101</v>
      </c>
      <c r="AC225" s="2">
        <v>70.290000000000006</v>
      </c>
      <c r="AD225" s="2">
        <v>97.08</v>
      </c>
      <c r="AE225" s="2">
        <v>87.63</v>
      </c>
      <c r="AF225" s="2" t="s">
        <v>2425</v>
      </c>
      <c r="AG225" s="2" t="s">
        <v>103</v>
      </c>
      <c r="AH225" s="2" t="s">
        <v>2426</v>
      </c>
      <c r="AI225" s="2">
        <v>1.64</v>
      </c>
      <c r="AJ225" s="2">
        <v>21.434086291678</v>
      </c>
      <c r="AK225" s="2">
        <v>21.267043301433599</v>
      </c>
      <c r="AL225" s="2">
        <v>21.392911703852199</v>
      </c>
      <c r="AM225" s="2">
        <v>21.364222039382302</v>
      </c>
      <c r="AN225" s="2">
        <v>21.3918514206452</v>
      </c>
      <c r="AO225" s="2">
        <v>21.327960043963099</v>
      </c>
      <c r="AP225" s="2">
        <v>21.243566243297</v>
      </c>
      <c r="AQ225" s="2">
        <v>21.5653576585111</v>
      </c>
      <c r="AR225" s="2">
        <v>19.6486492656834</v>
      </c>
      <c r="AS225" s="2">
        <v>21.2969217057639</v>
      </c>
      <c r="AT225" s="2">
        <v>21.036573203326501</v>
      </c>
      <c r="AU225" s="2">
        <v>19.8450873301752</v>
      </c>
      <c r="AV225" s="2">
        <v>19.800007969459699</v>
      </c>
      <c r="AW225" s="2">
        <v>20.727414813291801</v>
      </c>
      <c r="AX225" s="2">
        <v>20.831317489476302</v>
      </c>
      <c r="AY225" s="2">
        <v>20.949789166203999</v>
      </c>
      <c r="AZ225" s="2">
        <v>17.8459091630471</v>
      </c>
      <c r="BA225" s="2">
        <v>21.855457060894899</v>
      </c>
      <c r="BB225" s="2">
        <v>21.586515383463301</v>
      </c>
      <c r="BC225" s="2">
        <v>22.603830527863501</v>
      </c>
      <c r="BD225" s="2">
        <v>19.709063529221901</v>
      </c>
      <c r="BE225" s="2">
        <v>21.4169210597173</v>
      </c>
      <c r="BF225" s="2">
        <v>21.205226710397199</v>
      </c>
      <c r="BG225" s="2">
        <v>21.673821207685599</v>
      </c>
      <c r="BH225" s="2">
        <v>20.900803598496001</v>
      </c>
      <c r="BI225" s="2">
        <v>22.0078785984959</v>
      </c>
      <c r="BJ225" s="2">
        <v>21.2906614161443</v>
      </c>
      <c r="BK225" s="2">
        <v>19.3795050551056</v>
      </c>
      <c r="BL225" s="2">
        <v>21.366262543662401</v>
      </c>
      <c r="BM225" s="2">
        <v>20.780465725185099</v>
      </c>
      <c r="BN225" s="2">
        <v>20.363190684010998</v>
      </c>
      <c r="BO225" s="2">
        <v>21.800942651428301</v>
      </c>
      <c r="BP225" s="2">
        <v>21.095824337509399</v>
      </c>
      <c r="BQ225" s="2">
        <v>22.084580730337802</v>
      </c>
      <c r="BR225" s="2">
        <v>21.801475041841101</v>
      </c>
      <c r="BS225" s="2">
        <v>20.0953774348229</v>
      </c>
      <c r="BT225" s="2">
        <v>21.0875098075315</v>
      </c>
      <c r="BU225" s="2">
        <v>21.495675646730302</v>
      </c>
      <c r="BV225" s="2">
        <v>21.401226133789201</v>
      </c>
      <c r="BW225" s="2">
        <v>21.0693606687962</v>
      </c>
      <c r="BX225" s="2">
        <v>20.548365652031102</v>
      </c>
      <c r="BY225" s="2">
        <v>20.541318813895</v>
      </c>
      <c r="BZ225" s="2">
        <v>21.777124720782901</v>
      </c>
      <c r="CA225" s="2">
        <v>21.421096050372899</v>
      </c>
      <c r="CB225" s="2">
        <v>20.743502955254598</v>
      </c>
      <c r="CC225" s="2">
        <v>21.576429420579</v>
      </c>
      <c r="CD225" s="2">
        <v>20.452513930343901</v>
      </c>
      <c r="CE225" s="2">
        <v>21.422056920774299</v>
      </c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</row>
    <row r="226" spans="1:97">
      <c r="A226" s="2" t="s">
        <v>2427</v>
      </c>
      <c r="B226" s="2">
        <v>203.0016</v>
      </c>
      <c r="C226" s="2">
        <v>4.1520000000000001</v>
      </c>
      <c r="D226" s="2" t="s">
        <v>146</v>
      </c>
      <c r="E226" s="2" t="s">
        <v>2428</v>
      </c>
      <c r="F226" s="2" t="s">
        <v>2429</v>
      </c>
      <c r="G226" s="2">
        <v>198680</v>
      </c>
      <c r="H226" s="3" t="str">
        <f>HYPERLINK("https://cloud.oebiotech.com/#/lm/network/198680", "https://cloud.oebiotech.com/#/lm/network/198680")</f>
        <v>https://cloud.oebiotech.com/#/lm/network/198680</v>
      </c>
      <c r="I226" s="2" t="s">
        <v>2430</v>
      </c>
      <c r="J226" s="2"/>
      <c r="K226" s="2"/>
      <c r="L226" s="2">
        <v>14199589</v>
      </c>
      <c r="M226" s="2"/>
      <c r="N226" s="2"/>
      <c r="O226" s="2"/>
      <c r="P226" s="2"/>
      <c r="Q226" s="2"/>
      <c r="R226" s="2"/>
      <c r="S226" s="2"/>
      <c r="T226" s="2" t="s">
        <v>2431</v>
      </c>
      <c r="U226" s="2" t="s">
        <v>2432</v>
      </c>
      <c r="V226" s="2" t="s">
        <v>115</v>
      </c>
      <c r="W226" s="2" t="s">
        <v>613</v>
      </c>
      <c r="X226" s="2" t="s">
        <v>614</v>
      </c>
      <c r="Y226" s="2" t="s">
        <v>118</v>
      </c>
      <c r="Z226" s="2" t="s">
        <v>615</v>
      </c>
      <c r="AA226" s="2" t="s">
        <v>616</v>
      </c>
      <c r="AB226" s="2" t="s">
        <v>101</v>
      </c>
      <c r="AC226" s="2">
        <v>70.19</v>
      </c>
      <c r="AD226" s="2">
        <v>92.33</v>
      </c>
      <c r="AE226" s="2">
        <v>83.96</v>
      </c>
      <c r="AF226" s="2" t="s">
        <v>2433</v>
      </c>
      <c r="AG226" s="2" t="s">
        <v>194</v>
      </c>
      <c r="AH226" s="2" t="s">
        <v>2434</v>
      </c>
      <c r="AI226" s="2">
        <v>1.97</v>
      </c>
      <c r="AJ226" s="2">
        <v>19.995959689818701</v>
      </c>
      <c r="AK226" s="2">
        <v>19.851069294018799</v>
      </c>
      <c r="AL226" s="2">
        <v>20.079644856219598</v>
      </c>
      <c r="AM226" s="2">
        <v>19.863292391869699</v>
      </c>
      <c r="AN226" s="2">
        <v>19.745057500684698</v>
      </c>
      <c r="AO226" s="2">
        <v>19.786828333379901</v>
      </c>
      <c r="AP226" s="2">
        <v>20.0446290472924</v>
      </c>
      <c r="AQ226" s="2">
        <v>19.629966117347799</v>
      </c>
      <c r="AR226" s="2">
        <v>17.203854394583701</v>
      </c>
      <c r="AS226" s="2">
        <v>16.4739936004495</v>
      </c>
      <c r="AT226" s="2">
        <v>14.110990545554801</v>
      </c>
      <c r="AU226" s="2">
        <v>18.687336927985498</v>
      </c>
      <c r="AV226" s="2">
        <v>20.514624144835299</v>
      </c>
      <c r="AW226" s="2">
        <v>18.468323264502398</v>
      </c>
      <c r="AX226" s="2">
        <v>15.265560109345801</v>
      </c>
      <c r="AY226" s="2">
        <v>19.5539709846386</v>
      </c>
      <c r="AZ226" s="2">
        <v>17.5890132876259</v>
      </c>
      <c r="BA226" s="2">
        <v>21.236196254445598</v>
      </c>
      <c r="BB226" s="2">
        <v>18.104736436085901</v>
      </c>
      <c r="BC226" s="2">
        <v>18.9554105338215</v>
      </c>
      <c r="BD226" s="2">
        <v>17.712186880782902</v>
      </c>
      <c r="BE226" s="2">
        <v>19.373490272672498</v>
      </c>
      <c r="BF226" s="2">
        <v>19.488995795760498</v>
      </c>
      <c r="BG226" s="2">
        <v>18.8049262371464</v>
      </c>
      <c r="BH226" s="2">
        <v>17.335550251744699</v>
      </c>
      <c r="BI226" s="2">
        <v>21.013560398394901</v>
      </c>
      <c r="BJ226" s="2">
        <v>18.230127464526799</v>
      </c>
      <c r="BK226" s="2">
        <v>19.2310337473948</v>
      </c>
      <c r="BL226" s="2">
        <v>19.000738125785102</v>
      </c>
      <c r="BM226" s="2">
        <v>18.6686792105289</v>
      </c>
      <c r="BN226" s="2">
        <v>18.5421395673084</v>
      </c>
      <c r="BO226" s="2">
        <v>18.8884009451113</v>
      </c>
      <c r="BP226" s="2">
        <v>19.9708736884253</v>
      </c>
      <c r="BQ226" s="2">
        <v>20.991149994507602</v>
      </c>
      <c r="BR226" s="2">
        <v>16.478222628724598</v>
      </c>
      <c r="BS226" s="2">
        <v>20.809185644516599</v>
      </c>
      <c r="BT226" s="2">
        <v>19.639850218753601</v>
      </c>
      <c r="BU226" s="2">
        <v>20.423512087098199</v>
      </c>
      <c r="BV226" s="2">
        <v>19.8996173434032</v>
      </c>
      <c r="BW226" s="2">
        <v>17.070273279158901</v>
      </c>
      <c r="BX226" s="2">
        <v>19.1479423743049</v>
      </c>
      <c r="BY226" s="2">
        <v>22.274014903801302</v>
      </c>
      <c r="BZ226" s="2">
        <v>19.032174687011199</v>
      </c>
      <c r="CA226" s="2">
        <v>19.533985920468201</v>
      </c>
      <c r="CB226" s="2">
        <v>19.9087726169777</v>
      </c>
      <c r="CC226" s="2">
        <v>17.967076495786699</v>
      </c>
      <c r="CD226" s="2">
        <v>20.000351297143801</v>
      </c>
      <c r="CE226" s="2">
        <v>20.653014186417899</v>
      </c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</row>
    <row r="227" spans="1:97">
      <c r="A227" s="2" t="s">
        <v>2435</v>
      </c>
      <c r="B227" s="2">
        <v>123.05522000000001</v>
      </c>
      <c r="C227" s="2">
        <v>0.97699999999999998</v>
      </c>
      <c r="D227" s="2" t="s">
        <v>84</v>
      </c>
      <c r="E227" s="2" t="s">
        <v>2436</v>
      </c>
      <c r="F227" s="2" t="s">
        <v>2437</v>
      </c>
      <c r="G227" s="2">
        <v>47565</v>
      </c>
      <c r="H227" s="3" t="str">
        <f>HYPERLINK("https://cloud.oebiotech.com/#/lm/network/47565", "https://cloud.oebiotech.com/#/lm/network/47565")</f>
        <v>https://cloud.oebiotech.com/#/lm/network/47565</v>
      </c>
      <c r="I227" s="2" t="s">
        <v>2438</v>
      </c>
      <c r="J227" s="2">
        <v>1497</v>
      </c>
      <c r="K227" s="2"/>
      <c r="L227" s="2">
        <v>936</v>
      </c>
      <c r="M227" s="2" t="s">
        <v>2439</v>
      </c>
      <c r="N227" s="2" t="s">
        <v>2440</v>
      </c>
      <c r="O227" s="2" t="s">
        <v>2441</v>
      </c>
      <c r="P227" s="2">
        <v>17154</v>
      </c>
      <c r="Q227" s="2" t="s">
        <v>2442</v>
      </c>
      <c r="R227" s="2" t="s">
        <v>2443</v>
      </c>
      <c r="S227" s="2" t="s">
        <v>2444</v>
      </c>
      <c r="T227" s="2" t="s">
        <v>2445</v>
      </c>
      <c r="U227" s="2" t="s">
        <v>2446</v>
      </c>
      <c r="V227" s="2" t="s">
        <v>553</v>
      </c>
      <c r="W227" s="2" t="s">
        <v>2447</v>
      </c>
      <c r="X227" s="2" t="s">
        <v>2448</v>
      </c>
      <c r="Y227" s="2" t="s">
        <v>556</v>
      </c>
      <c r="Z227" s="2" t="s">
        <v>2449</v>
      </c>
      <c r="AA227" s="2" t="s">
        <v>2450</v>
      </c>
      <c r="AB227" s="2" t="s">
        <v>101</v>
      </c>
      <c r="AC227" s="2">
        <v>70.17</v>
      </c>
      <c r="AD227" s="2">
        <v>96.11</v>
      </c>
      <c r="AE227" s="2">
        <v>75.73</v>
      </c>
      <c r="AF227" s="2" t="s">
        <v>2451</v>
      </c>
      <c r="AG227" s="2" t="s">
        <v>103</v>
      </c>
      <c r="AH227" s="2" t="s">
        <v>2452</v>
      </c>
      <c r="AI227" s="2">
        <v>0.81</v>
      </c>
      <c r="AJ227" s="2">
        <v>22.2004667546246</v>
      </c>
      <c r="AK227" s="2">
        <v>21.816503250459899</v>
      </c>
      <c r="AL227" s="2">
        <v>22.380974911588002</v>
      </c>
      <c r="AM227" s="2">
        <v>21.7430363979717</v>
      </c>
      <c r="AN227" s="2">
        <v>22.420358371119399</v>
      </c>
      <c r="AO227" s="2">
        <v>21.833611260155202</v>
      </c>
      <c r="AP227" s="2">
        <v>22.029762484526799</v>
      </c>
      <c r="AQ227" s="2">
        <v>21.701402097752101</v>
      </c>
      <c r="AR227" s="2">
        <v>19.186847252352401</v>
      </c>
      <c r="AS227" s="2">
        <v>21.578997941838999</v>
      </c>
      <c r="AT227" s="2">
        <v>22.451763242576298</v>
      </c>
      <c r="AU227" s="2">
        <v>21.3427745486017</v>
      </c>
      <c r="AV227" s="2">
        <v>22.1201616336783</v>
      </c>
      <c r="AW227" s="2">
        <v>21.243417826135701</v>
      </c>
      <c r="AX227" s="2">
        <v>21.859541895228201</v>
      </c>
      <c r="AY227" s="2">
        <v>21.738983943159401</v>
      </c>
      <c r="AZ227" s="2">
        <v>22.0590811660288</v>
      </c>
      <c r="BA227" s="2">
        <v>21.3502952781045</v>
      </c>
      <c r="BB227" s="2">
        <v>22.100263758359699</v>
      </c>
      <c r="BC227" s="2">
        <v>23.695569751983999</v>
      </c>
      <c r="BD227" s="2">
        <v>21.729016067132399</v>
      </c>
      <c r="BE227" s="2">
        <v>21.6206211935936</v>
      </c>
      <c r="BF227" s="2">
        <v>21.280110551131902</v>
      </c>
      <c r="BG227" s="2">
        <v>22.627342639683</v>
      </c>
      <c r="BH227" s="2">
        <v>21.329752062306301</v>
      </c>
      <c r="BI227" s="2">
        <v>21.782418515889201</v>
      </c>
      <c r="BJ227" s="2">
        <v>22.822518961615302</v>
      </c>
      <c r="BK227" s="2">
        <v>21.850097657856601</v>
      </c>
      <c r="BL227" s="2">
        <v>21.6681053885215</v>
      </c>
      <c r="BM227" s="2">
        <v>21.366429301303899</v>
      </c>
      <c r="BN227" s="2">
        <v>21.3994732143459</v>
      </c>
      <c r="BO227" s="2">
        <v>21.9602480657915</v>
      </c>
      <c r="BP227" s="2">
        <v>22.026335068253701</v>
      </c>
      <c r="BQ227" s="2">
        <v>21.578322094198999</v>
      </c>
      <c r="BR227" s="2">
        <v>22.8060274112804</v>
      </c>
      <c r="BS227" s="2">
        <v>22.0388032608077</v>
      </c>
      <c r="BT227" s="2">
        <v>21.9562665942656</v>
      </c>
      <c r="BU227" s="2">
        <v>21.0179573062637</v>
      </c>
      <c r="BV227" s="2">
        <v>22.329950956636502</v>
      </c>
      <c r="BW227" s="2">
        <v>21.969858268556798</v>
      </c>
      <c r="BX227" s="2">
        <v>21.7519226055649</v>
      </c>
      <c r="BY227" s="2">
        <v>21.9085907742442</v>
      </c>
      <c r="BZ227" s="2">
        <v>21.835334530249099</v>
      </c>
      <c r="CA227" s="2">
        <v>20.902770754349199</v>
      </c>
      <c r="CB227" s="2">
        <v>21.859863129201798</v>
      </c>
      <c r="CC227" s="2">
        <v>22.304926583953801</v>
      </c>
      <c r="CD227" s="2">
        <v>23.347715133746199</v>
      </c>
      <c r="CE227" s="2">
        <v>22.100904924090401</v>
      </c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</row>
    <row r="228" spans="1:97">
      <c r="A228" s="2" t="s">
        <v>2453</v>
      </c>
      <c r="B228" s="2">
        <v>107.04986</v>
      </c>
      <c r="C228" s="2">
        <v>4.8099999999999996</v>
      </c>
      <c r="D228" s="2" t="s">
        <v>146</v>
      </c>
      <c r="E228" s="2" t="s">
        <v>2454</v>
      </c>
      <c r="F228" s="2" t="s">
        <v>2455</v>
      </c>
      <c r="G228" s="2">
        <v>60677</v>
      </c>
      <c r="H228" s="3" t="str">
        <f>HYPERLINK("https://cloud.oebiotech.com/#/lm/network/60677", "https://cloud.oebiotech.com/#/lm/network/60677")</f>
        <v>https://cloud.oebiotech.com/#/lm/network/60677</v>
      </c>
      <c r="I228" s="2" t="s">
        <v>2456</v>
      </c>
      <c r="J228" s="2">
        <v>92009</v>
      </c>
      <c r="K228" s="2"/>
      <c r="L228" s="2">
        <v>61634</v>
      </c>
      <c r="M228" s="2"/>
      <c r="N228" s="2"/>
      <c r="O228" s="2"/>
      <c r="P228" s="2"/>
      <c r="Q228" s="2"/>
      <c r="R228" s="2"/>
      <c r="S228" s="2" t="s">
        <v>2457</v>
      </c>
      <c r="T228" s="2" t="s">
        <v>2458</v>
      </c>
      <c r="U228" s="2" t="s">
        <v>2459</v>
      </c>
      <c r="V228" s="2" t="s">
        <v>338</v>
      </c>
      <c r="W228" s="2" t="s">
        <v>339</v>
      </c>
      <c r="X228" s="2" t="s">
        <v>340</v>
      </c>
      <c r="Y228" s="2" t="s">
        <v>341</v>
      </c>
      <c r="Z228" s="2" t="s">
        <v>341</v>
      </c>
      <c r="AA228" s="2" t="s">
        <v>342</v>
      </c>
      <c r="AB228" s="2" t="s">
        <v>101</v>
      </c>
      <c r="AC228" s="2">
        <v>70.17</v>
      </c>
      <c r="AD228" s="2">
        <v>99.47</v>
      </c>
      <c r="AE228" s="2">
        <v>66.39</v>
      </c>
      <c r="AF228" s="2" t="s">
        <v>2460</v>
      </c>
      <c r="AG228" s="2" t="s">
        <v>993</v>
      </c>
      <c r="AH228" s="2" t="s">
        <v>2461</v>
      </c>
      <c r="AI228" s="2">
        <v>-1.59</v>
      </c>
      <c r="AJ228" s="2">
        <v>22.5475754878582</v>
      </c>
      <c r="AK228" s="2">
        <v>22.764523644024798</v>
      </c>
      <c r="AL228" s="2">
        <v>22.842490137088699</v>
      </c>
      <c r="AM228" s="2">
        <v>22.852133855755</v>
      </c>
      <c r="AN228" s="2">
        <v>22.6065021638288</v>
      </c>
      <c r="AO228" s="2">
        <v>22.631003160241299</v>
      </c>
      <c r="AP228" s="2">
        <v>22.6152629196521</v>
      </c>
      <c r="AQ228" s="2">
        <v>22.700435021154998</v>
      </c>
      <c r="AR228" s="2">
        <v>21.0896493854897</v>
      </c>
      <c r="AS228" s="2">
        <v>19.724335566921201</v>
      </c>
      <c r="AT228" s="2">
        <v>18.307975341667898</v>
      </c>
      <c r="AU228" s="2">
        <v>20.608072224386198</v>
      </c>
      <c r="AV228" s="2">
        <v>24.173901542754201</v>
      </c>
      <c r="AW228" s="2">
        <v>22.361364190424698</v>
      </c>
      <c r="AX228" s="2">
        <v>21.927965617571999</v>
      </c>
      <c r="AY228" s="2">
        <v>20.967804002866</v>
      </c>
      <c r="AZ228" s="2">
        <v>21.847263607867799</v>
      </c>
      <c r="BA228" s="2">
        <v>20.990854548839799</v>
      </c>
      <c r="BB228" s="2">
        <v>20.5906910494245</v>
      </c>
      <c r="BC228" s="2">
        <v>19.3513803551755</v>
      </c>
      <c r="BD228" s="2">
        <v>22.0989620180126</v>
      </c>
      <c r="BE228" s="2">
        <v>25.262407058042299</v>
      </c>
      <c r="BF228" s="2">
        <v>22.208224809947701</v>
      </c>
      <c r="BG228" s="2">
        <v>21.3694498906825</v>
      </c>
      <c r="BH228" s="2">
        <v>23.572815925</v>
      </c>
      <c r="BI228" s="2">
        <v>23.631856404744202</v>
      </c>
      <c r="BJ228" s="2">
        <v>23.8312623852568</v>
      </c>
      <c r="BK228" s="2">
        <v>20.168454465574602</v>
      </c>
      <c r="BL228" s="2">
        <v>22.4671280183051</v>
      </c>
      <c r="BM228" s="2">
        <v>19.155140336255698</v>
      </c>
      <c r="BN228" s="2">
        <v>20.956371144259101</v>
      </c>
      <c r="BO228" s="2">
        <v>19.238498342960099</v>
      </c>
      <c r="BP228" s="2">
        <v>23.6074540913562</v>
      </c>
      <c r="BQ228" s="2">
        <v>22.427516920615499</v>
      </c>
      <c r="BR228" s="2">
        <v>22.165497716892698</v>
      </c>
      <c r="BS228" s="2">
        <v>21.986333992611101</v>
      </c>
      <c r="BT228" s="2">
        <v>22.587895845194399</v>
      </c>
      <c r="BU228" s="2">
        <v>21.269850290731998</v>
      </c>
      <c r="BV228" s="2">
        <v>20.7506033892119</v>
      </c>
      <c r="BW228" s="2">
        <v>18.6289146402185</v>
      </c>
      <c r="BX228" s="2">
        <v>22.166050444335401</v>
      </c>
      <c r="BY228" s="2">
        <v>24.9822780382042</v>
      </c>
      <c r="BZ228" s="2">
        <v>20.608307999293899</v>
      </c>
      <c r="CA228" s="2">
        <v>20.1393692853948</v>
      </c>
      <c r="CB228" s="2">
        <v>22.692321196264601</v>
      </c>
      <c r="CC228" s="2">
        <v>20.657744061043498</v>
      </c>
      <c r="CD228" s="2">
        <v>23.334831682668199</v>
      </c>
      <c r="CE228" s="2">
        <v>17.841402735705</v>
      </c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</row>
    <row r="229" spans="1:97">
      <c r="A229" s="2" t="s">
        <v>2462</v>
      </c>
      <c r="B229" s="2">
        <v>151.02575999999999</v>
      </c>
      <c r="C229" s="2">
        <v>1.0529999999999999</v>
      </c>
      <c r="D229" s="2" t="s">
        <v>146</v>
      </c>
      <c r="E229" s="2" t="s">
        <v>2463</v>
      </c>
      <c r="F229" s="2" t="s">
        <v>2464</v>
      </c>
      <c r="G229" s="2">
        <v>46978</v>
      </c>
      <c r="H229" s="3" t="str">
        <f>HYPERLINK("https://cloud.oebiotech.com/#/lm/network/46978", "https://cloud.oebiotech.com/#/lm/network/46978")</f>
        <v>https://cloud.oebiotech.com/#/lm/network/46978</v>
      </c>
      <c r="I229" s="2" t="s">
        <v>2465</v>
      </c>
      <c r="J229" s="2">
        <v>82</v>
      </c>
      <c r="K229" s="2"/>
      <c r="L229" s="2">
        <v>1188</v>
      </c>
      <c r="M229" s="2" t="s">
        <v>2466</v>
      </c>
      <c r="N229" s="2" t="s">
        <v>2467</v>
      </c>
      <c r="O229" s="2" t="s">
        <v>2468</v>
      </c>
      <c r="P229" s="2">
        <v>17712</v>
      </c>
      <c r="Q229" s="2" t="s">
        <v>2469</v>
      </c>
      <c r="R229" s="2" t="s">
        <v>2470</v>
      </c>
      <c r="S229" s="2" t="s">
        <v>2471</v>
      </c>
      <c r="T229" s="2" t="s">
        <v>2472</v>
      </c>
      <c r="U229" s="2" t="s">
        <v>2473</v>
      </c>
      <c r="V229" s="2" t="s">
        <v>553</v>
      </c>
      <c r="W229" s="2" t="s">
        <v>949</v>
      </c>
      <c r="X229" s="2" t="s">
        <v>950</v>
      </c>
      <c r="Y229" s="2" t="s">
        <v>556</v>
      </c>
      <c r="Z229" s="2" t="s">
        <v>951</v>
      </c>
      <c r="AA229" s="2" t="s">
        <v>952</v>
      </c>
      <c r="AB229" s="2" t="s">
        <v>101</v>
      </c>
      <c r="AC229" s="2">
        <v>70.14</v>
      </c>
      <c r="AD229" s="2">
        <v>96.11</v>
      </c>
      <c r="AE229" s="2">
        <v>76.989999999999995</v>
      </c>
      <c r="AF229" s="2" t="s">
        <v>2474</v>
      </c>
      <c r="AG229" s="2" t="s">
        <v>194</v>
      </c>
      <c r="AH229" s="2" t="s">
        <v>2475</v>
      </c>
      <c r="AI229" s="2">
        <v>2.65</v>
      </c>
      <c r="AJ229" s="2">
        <v>20.304946071432099</v>
      </c>
      <c r="AK229" s="2">
        <v>21.108288909254199</v>
      </c>
      <c r="AL229" s="2">
        <v>21.066575337069001</v>
      </c>
      <c r="AM229" s="2">
        <v>19.856358639382002</v>
      </c>
      <c r="AN229" s="2">
        <v>21.1654555499303</v>
      </c>
      <c r="AO229" s="2">
        <v>21.240558294758799</v>
      </c>
      <c r="AP229" s="2">
        <v>20.911581940308999</v>
      </c>
      <c r="AQ229" s="2">
        <v>21.193915577628701</v>
      </c>
      <c r="AR229" s="2">
        <v>20.4433513054597</v>
      </c>
      <c r="AS229" s="2">
        <v>20.8594510548158</v>
      </c>
      <c r="AT229" s="2">
        <v>21.021374900600101</v>
      </c>
      <c r="AU229" s="2">
        <v>19.984328721500301</v>
      </c>
      <c r="AV229" s="2">
        <v>20.315246466630299</v>
      </c>
      <c r="AW229" s="2">
        <v>20.422891969822999</v>
      </c>
      <c r="AX229" s="2">
        <v>20.798303690578301</v>
      </c>
      <c r="AY229" s="2">
        <v>20.2819092274088</v>
      </c>
      <c r="AZ229" s="2">
        <v>19.668921573191501</v>
      </c>
      <c r="BA229" s="2">
        <v>20.438609031466299</v>
      </c>
      <c r="BB229" s="2">
        <v>20.984629573968899</v>
      </c>
      <c r="BC229" s="2">
        <v>21.391035756513499</v>
      </c>
      <c r="BD229" s="2">
        <v>20.083852314674999</v>
      </c>
      <c r="BE229" s="2">
        <v>20.6969626969865</v>
      </c>
      <c r="BF229" s="2">
        <v>20.941271060918702</v>
      </c>
      <c r="BG229" s="2">
        <v>21.128072222864201</v>
      </c>
      <c r="BH229" s="2">
        <v>20.1203700125117</v>
      </c>
      <c r="BI229" s="2">
        <v>20.653266482130601</v>
      </c>
      <c r="BJ229" s="2">
        <v>21.536665697266699</v>
      </c>
      <c r="BK229" s="2">
        <v>20.572043545503501</v>
      </c>
      <c r="BL229" s="2">
        <v>20.7977138039222</v>
      </c>
      <c r="BM229" s="2">
        <v>19.566698039666999</v>
      </c>
      <c r="BN229" s="2">
        <v>19.520759389248301</v>
      </c>
      <c r="BO229" s="2">
        <v>20.5751961626952</v>
      </c>
      <c r="BP229" s="2">
        <v>21.924897229708399</v>
      </c>
      <c r="BQ229" s="2">
        <v>20.901341321228401</v>
      </c>
      <c r="BR229" s="2">
        <v>21.070249088059899</v>
      </c>
      <c r="BS229" s="2">
        <v>19.750038646930498</v>
      </c>
      <c r="BT229" s="2">
        <v>19.814091784926401</v>
      </c>
      <c r="BU229" s="2">
        <v>21.937889690524401</v>
      </c>
      <c r="BV229" s="2">
        <v>21.286121049296199</v>
      </c>
      <c r="BW229" s="2">
        <v>20.091252478358999</v>
      </c>
      <c r="BX229" s="2">
        <v>19.604694164674601</v>
      </c>
      <c r="BY229" s="2">
        <v>21.166542143460099</v>
      </c>
      <c r="BZ229" s="2">
        <v>19.071615236471501</v>
      </c>
      <c r="CA229" s="2">
        <v>20.954830586753701</v>
      </c>
      <c r="CB229" s="2">
        <v>21.253505983991399</v>
      </c>
      <c r="CC229" s="2">
        <v>20.400980274103599</v>
      </c>
      <c r="CD229" s="2">
        <v>21.774203345185001</v>
      </c>
      <c r="CE229" s="2">
        <v>21.658221504435499</v>
      </c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</row>
    <row r="230" spans="1:97">
      <c r="A230" s="2" t="s">
        <v>2476</v>
      </c>
      <c r="B230" s="2">
        <v>245.01195000000001</v>
      </c>
      <c r="C230" s="2">
        <v>5.4870000000000001</v>
      </c>
      <c r="D230" s="2" t="s">
        <v>146</v>
      </c>
      <c r="E230" s="2" t="s">
        <v>2477</v>
      </c>
      <c r="F230" s="2" t="s">
        <v>2478</v>
      </c>
      <c r="G230" s="2">
        <v>197304</v>
      </c>
      <c r="H230" s="3" t="str">
        <f>HYPERLINK("https://cloud.oebiotech.com/#/lm/network/197304", "https://cloud.oebiotech.com/#/lm/network/197304")</f>
        <v>https://cloud.oebiotech.com/#/lm/network/197304</v>
      </c>
      <c r="I230" s="2" t="s">
        <v>2479</v>
      </c>
      <c r="J230" s="2"/>
      <c r="K230" s="2"/>
      <c r="L230" s="2">
        <v>22908099</v>
      </c>
      <c r="M230" s="2"/>
      <c r="N230" s="2"/>
      <c r="O230" s="2"/>
      <c r="P230" s="2">
        <v>133704</v>
      </c>
      <c r="Q230" s="2"/>
      <c r="R230" s="2"/>
      <c r="S230" s="2"/>
      <c r="T230" s="2" t="s">
        <v>2480</v>
      </c>
      <c r="U230" s="2" t="s">
        <v>2481</v>
      </c>
      <c r="V230" s="2" t="s">
        <v>115</v>
      </c>
      <c r="W230" s="2" t="s">
        <v>613</v>
      </c>
      <c r="X230" s="2" t="s">
        <v>614</v>
      </c>
      <c r="Y230" s="2" t="s">
        <v>118</v>
      </c>
      <c r="Z230" s="2" t="s">
        <v>615</v>
      </c>
      <c r="AA230" s="2" t="s">
        <v>616</v>
      </c>
      <c r="AB230" s="2" t="s">
        <v>101</v>
      </c>
      <c r="AC230" s="2">
        <v>70.14</v>
      </c>
      <c r="AD230" s="2">
        <v>81.23</v>
      </c>
      <c r="AE230" s="2">
        <v>93.88</v>
      </c>
      <c r="AF230" s="2" t="s">
        <v>2482</v>
      </c>
      <c r="AG230" s="2" t="s">
        <v>194</v>
      </c>
      <c r="AH230" s="2" t="s">
        <v>2483</v>
      </c>
      <c r="AI230" s="2">
        <v>2.04</v>
      </c>
      <c r="AJ230" s="2">
        <v>22.475108116504298</v>
      </c>
      <c r="AK230" s="2">
        <v>22.5578398132769</v>
      </c>
      <c r="AL230" s="2">
        <v>22.6534211584339</v>
      </c>
      <c r="AM230" s="2">
        <v>22.7101817586286</v>
      </c>
      <c r="AN230" s="2">
        <v>22.670116950655199</v>
      </c>
      <c r="AO230" s="2">
        <v>22.6592044244933</v>
      </c>
      <c r="AP230" s="2">
        <v>22.6267309145403</v>
      </c>
      <c r="AQ230" s="2">
        <v>22.724174318017202</v>
      </c>
      <c r="AR230" s="2">
        <v>9.6233145402724691</v>
      </c>
      <c r="AS230" s="2">
        <v>19.826705767655401</v>
      </c>
      <c r="AT230" s="2">
        <v>14.317595624303801</v>
      </c>
      <c r="AU230" s="2">
        <v>9.6233145402724691</v>
      </c>
      <c r="AV230" s="2">
        <v>13.8913612734233</v>
      </c>
      <c r="AW230" s="2">
        <v>9.6233145402724691</v>
      </c>
      <c r="AX230" s="2">
        <v>22.531866948055001</v>
      </c>
      <c r="AY230" s="2">
        <v>16.316250060849399</v>
      </c>
      <c r="AZ230" s="2">
        <v>9.6233145402724691</v>
      </c>
      <c r="BA230" s="2">
        <v>21.084732823832098</v>
      </c>
      <c r="BB230" s="2">
        <v>16.641648050880399</v>
      </c>
      <c r="BC230" s="2">
        <v>9.6233145402724691</v>
      </c>
      <c r="BD230" s="2">
        <v>12.859264935244401</v>
      </c>
      <c r="BE230" s="2">
        <v>23.023133066395399</v>
      </c>
      <c r="BF230" s="2">
        <v>9.6233145402724691</v>
      </c>
      <c r="BG230" s="2">
        <v>9.6233145402724691</v>
      </c>
      <c r="BH230" s="2">
        <v>21.302968924709401</v>
      </c>
      <c r="BI230" s="2">
        <v>20.874270962783601</v>
      </c>
      <c r="BJ230" s="2">
        <v>17.9363262836738</v>
      </c>
      <c r="BK230" s="2">
        <v>9.6233145402724691</v>
      </c>
      <c r="BL230" s="2">
        <v>20.269504538820001</v>
      </c>
      <c r="BM230" s="2">
        <v>21.3517669372259</v>
      </c>
      <c r="BN230" s="2">
        <v>9.6233145402724691</v>
      </c>
      <c r="BO230" s="2">
        <v>9.6233145402724691</v>
      </c>
      <c r="BP230" s="2">
        <v>19.918228154620699</v>
      </c>
      <c r="BQ230" s="2">
        <v>9.6233145402724691</v>
      </c>
      <c r="BR230" s="2">
        <v>9.6233145402724691</v>
      </c>
      <c r="BS230" s="2">
        <v>20.511459219452501</v>
      </c>
      <c r="BT230" s="2">
        <v>21.5832650381174</v>
      </c>
      <c r="BU230" s="2">
        <v>20.576338413576401</v>
      </c>
      <c r="BV230" s="2">
        <v>9.6233145402724691</v>
      </c>
      <c r="BW230" s="2">
        <v>9.6233145402724691</v>
      </c>
      <c r="BX230" s="2">
        <v>9.6233145402724691</v>
      </c>
      <c r="BY230" s="2">
        <v>13.064710771858399</v>
      </c>
      <c r="BZ230" s="2">
        <v>9.6233145402724691</v>
      </c>
      <c r="CA230" s="2">
        <v>9.6233145402724691</v>
      </c>
      <c r="CB230" s="2">
        <v>22.3520210150214</v>
      </c>
      <c r="CC230" s="2">
        <v>20.1728468525396</v>
      </c>
      <c r="CD230" s="2">
        <v>19.549637512646999</v>
      </c>
      <c r="CE230" s="2">
        <v>9.6233145402724691</v>
      </c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</row>
    <row r="231" spans="1:97">
      <c r="A231" s="2" t="s">
        <v>2484</v>
      </c>
      <c r="B231" s="2">
        <v>313.23795000000001</v>
      </c>
      <c r="C231" s="2">
        <v>9.8940000000000001</v>
      </c>
      <c r="D231" s="2" t="s">
        <v>146</v>
      </c>
      <c r="E231" s="2" t="s">
        <v>2485</v>
      </c>
      <c r="F231" s="2" t="s">
        <v>2486</v>
      </c>
      <c r="G231" s="2">
        <v>3183</v>
      </c>
      <c r="H231" s="3" t="str">
        <f>HYPERLINK("https://cloud.oebiotech.com/#/lm/network/3183", "https://cloud.oebiotech.com/#/lm/network/3183")</f>
        <v>https://cloud.oebiotech.com/#/lm/network/3183</v>
      </c>
      <c r="I231" s="2" t="s">
        <v>2487</v>
      </c>
      <c r="J231" s="2">
        <v>35697</v>
      </c>
      <c r="K231" s="2" t="s">
        <v>2488</v>
      </c>
      <c r="L231" s="2">
        <v>9966640</v>
      </c>
      <c r="M231" s="2" t="s">
        <v>2489</v>
      </c>
      <c r="N231" s="2" t="s">
        <v>2490</v>
      </c>
      <c r="O231" s="2" t="s">
        <v>2491</v>
      </c>
      <c r="P231" s="2">
        <v>72663</v>
      </c>
      <c r="Q231" s="2"/>
      <c r="R231" s="2"/>
      <c r="S231" s="2" t="s">
        <v>2492</v>
      </c>
      <c r="T231" s="2" t="s">
        <v>2493</v>
      </c>
      <c r="U231" s="2" t="s">
        <v>2494</v>
      </c>
      <c r="V231" s="2" t="s">
        <v>95</v>
      </c>
      <c r="W231" s="2" t="s">
        <v>96</v>
      </c>
      <c r="X231" s="2" t="s">
        <v>141</v>
      </c>
      <c r="Y231" s="2" t="s">
        <v>98</v>
      </c>
      <c r="Z231" s="2" t="s">
        <v>99</v>
      </c>
      <c r="AA231" s="2" t="s">
        <v>142</v>
      </c>
      <c r="AB231" s="2" t="s">
        <v>101</v>
      </c>
      <c r="AC231" s="2">
        <v>70.12</v>
      </c>
      <c r="AD231" s="2">
        <v>88.33</v>
      </c>
      <c r="AE231" s="2">
        <v>76.8</v>
      </c>
      <c r="AF231" s="2" t="s">
        <v>2495</v>
      </c>
      <c r="AG231" s="2" t="s">
        <v>194</v>
      </c>
      <c r="AH231" s="2" t="s">
        <v>1431</v>
      </c>
      <c r="AI231" s="2">
        <v>1.28</v>
      </c>
      <c r="AJ231" s="2">
        <v>19.208831919655601</v>
      </c>
      <c r="AK231" s="2">
        <v>20.183919334687602</v>
      </c>
      <c r="AL231" s="2">
        <v>19.398975627431199</v>
      </c>
      <c r="AM231" s="2">
        <v>19.7432669934175</v>
      </c>
      <c r="AN231" s="2">
        <v>19.690452102302899</v>
      </c>
      <c r="AO231" s="2">
        <v>19.976864704841802</v>
      </c>
      <c r="AP231" s="2">
        <v>20.107122895853099</v>
      </c>
      <c r="AQ231" s="2">
        <v>20.113220645633199</v>
      </c>
      <c r="AR231" s="2">
        <v>19.8100642539214</v>
      </c>
      <c r="AS231" s="2">
        <v>18.274655375451701</v>
      </c>
      <c r="AT231" s="2">
        <v>18.8282440449833</v>
      </c>
      <c r="AU231" s="2">
        <v>19.968053588368601</v>
      </c>
      <c r="AV231" s="2">
        <v>20.5023211663758</v>
      </c>
      <c r="AW231" s="2">
        <v>21.982526225650801</v>
      </c>
      <c r="AX231" s="2">
        <v>18.8580054681698</v>
      </c>
      <c r="AY231" s="2">
        <v>20.2160379404244</v>
      </c>
      <c r="AZ231" s="2">
        <v>19.304789529343999</v>
      </c>
      <c r="BA231" s="2">
        <v>18.673677356690199</v>
      </c>
      <c r="BB231" s="2">
        <v>19.212338258778399</v>
      </c>
      <c r="BC231" s="2">
        <v>19.1952164950225</v>
      </c>
      <c r="BD231" s="2">
        <v>18.391619731781802</v>
      </c>
      <c r="BE231" s="2">
        <v>20.086445951372799</v>
      </c>
      <c r="BF231" s="2">
        <v>18.698208404086799</v>
      </c>
      <c r="BG231" s="2">
        <v>18.846074434783201</v>
      </c>
      <c r="BH231" s="2">
        <v>19.861104539635001</v>
      </c>
      <c r="BI231" s="2">
        <v>19.826636477659498</v>
      </c>
      <c r="BJ231" s="2">
        <v>19.388933713700101</v>
      </c>
      <c r="BK231" s="2">
        <v>20.1700759346936</v>
      </c>
      <c r="BL231" s="2">
        <v>20.4543125187726</v>
      </c>
      <c r="BM231" s="2">
        <v>19.435406282513402</v>
      </c>
      <c r="BN231" s="2">
        <v>20.188589630431402</v>
      </c>
      <c r="BO231" s="2">
        <v>19.098347684255199</v>
      </c>
      <c r="BP231" s="2">
        <v>18.966862211878698</v>
      </c>
      <c r="BQ231" s="2">
        <v>19.462914274267401</v>
      </c>
      <c r="BR231" s="2">
        <v>20.702592066973899</v>
      </c>
      <c r="BS231" s="2">
        <v>20.279915855608198</v>
      </c>
      <c r="BT231" s="2">
        <v>18.892768990790699</v>
      </c>
      <c r="BU231" s="2">
        <v>19.176874862189099</v>
      </c>
      <c r="BV231" s="2">
        <v>19.2542705721341</v>
      </c>
      <c r="BW231" s="2">
        <v>19.941249665695299</v>
      </c>
      <c r="BX231" s="2">
        <v>19.5605639283126</v>
      </c>
      <c r="BY231" s="2">
        <v>21.6540847855942</v>
      </c>
      <c r="BZ231" s="2">
        <v>19.989918996426201</v>
      </c>
      <c r="CA231" s="2">
        <v>19.673172960626001</v>
      </c>
      <c r="CB231" s="2">
        <v>20.1713863429204</v>
      </c>
      <c r="CC231" s="2">
        <v>19.5678743059749</v>
      </c>
      <c r="CD231" s="2">
        <v>19.650561635990499</v>
      </c>
      <c r="CE231" s="2">
        <v>18.9860202454119</v>
      </c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</row>
    <row r="232" spans="1:97">
      <c r="A232" s="2" t="s">
        <v>2496</v>
      </c>
      <c r="B232" s="2">
        <v>249.18439000000001</v>
      </c>
      <c r="C232" s="2">
        <v>10.922000000000001</v>
      </c>
      <c r="D232" s="2" t="s">
        <v>84</v>
      </c>
      <c r="E232" s="2" t="s">
        <v>2497</v>
      </c>
      <c r="F232" s="2" t="s">
        <v>2498</v>
      </c>
      <c r="G232" s="2">
        <v>669</v>
      </c>
      <c r="H232" s="3" t="str">
        <f>HYPERLINK("https://cloud.oebiotech.com/#/lm/network/669", "https://cloud.oebiotech.com/#/lm/network/669")</f>
        <v>https://cloud.oebiotech.com/#/lm/network/669</v>
      </c>
      <c r="I232" s="2"/>
      <c r="J232" s="2">
        <v>34835</v>
      </c>
      <c r="K232" s="2" t="s">
        <v>2499</v>
      </c>
      <c r="L232" s="2">
        <v>5282833</v>
      </c>
      <c r="M232" s="2"/>
      <c r="N232" s="2"/>
      <c r="O232" s="2"/>
      <c r="P232" s="2"/>
      <c r="Q232" s="2"/>
      <c r="R232" s="2"/>
      <c r="S232" s="2"/>
      <c r="T232" s="2" t="s">
        <v>2500</v>
      </c>
      <c r="U232" s="2" t="s">
        <v>2501</v>
      </c>
      <c r="V232" s="2" t="s">
        <v>95</v>
      </c>
      <c r="W232" s="2" t="s">
        <v>96</v>
      </c>
      <c r="X232" s="2" t="s">
        <v>141</v>
      </c>
      <c r="Y232" s="2" t="s">
        <v>98</v>
      </c>
      <c r="Z232" s="2" t="s">
        <v>99</v>
      </c>
      <c r="AA232" s="2" t="s">
        <v>142</v>
      </c>
      <c r="AB232" s="2" t="s">
        <v>101</v>
      </c>
      <c r="AC232" s="2">
        <v>70.12</v>
      </c>
      <c r="AD232" s="2">
        <v>90.3</v>
      </c>
      <c r="AE232" s="2">
        <v>78.64</v>
      </c>
      <c r="AF232" s="2" t="s">
        <v>2502</v>
      </c>
      <c r="AG232" s="2" t="s">
        <v>103</v>
      </c>
      <c r="AH232" s="2" t="s">
        <v>2503</v>
      </c>
      <c r="AI232" s="2">
        <v>2.0099999999999998</v>
      </c>
      <c r="AJ232" s="2">
        <v>21.1834607386015</v>
      </c>
      <c r="AK232" s="2">
        <v>20.911763311367402</v>
      </c>
      <c r="AL232" s="2">
        <v>20.937360040241401</v>
      </c>
      <c r="AM232" s="2">
        <v>21.3673402204303</v>
      </c>
      <c r="AN232" s="2">
        <v>21.345836158349101</v>
      </c>
      <c r="AO232" s="2">
        <v>21.3613525699291</v>
      </c>
      <c r="AP232" s="2">
        <v>21.275101302284298</v>
      </c>
      <c r="AQ232" s="2">
        <v>20.9810868233569</v>
      </c>
      <c r="AR232" s="2">
        <v>21.054541993297299</v>
      </c>
      <c r="AS232" s="2">
        <v>20.985459994706101</v>
      </c>
      <c r="AT232" s="2">
        <v>21.220944668520101</v>
      </c>
      <c r="AU232" s="2">
        <v>21.130169509875302</v>
      </c>
      <c r="AV232" s="2">
        <v>20.990481341067401</v>
      </c>
      <c r="AW232" s="2">
        <v>20.827024689897399</v>
      </c>
      <c r="AX232" s="2">
        <v>20.993627127394401</v>
      </c>
      <c r="AY232" s="2">
        <v>21.5109670461616</v>
      </c>
      <c r="AZ232" s="2">
        <v>20.803898276872399</v>
      </c>
      <c r="BA232" s="2">
        <v>21.669555479574001</v>
      </c>
      <c r="BB232" s="2">
        <v>21.347777704897499</v>
      </c>
      <c r="BC232" s="2">
        <v>21.5217690548204</v>
      </c>
      <c r="BD232" s="2">
        <v>21.2513928242176</v>
      </c>
      <c r="BE232" s="2">
        <v>21.024144416030499</v>
      </c>
      <c r="BF232" s="2">
        <v>20.9892324866575</v>
      </c>
      <c r="BG232" s="2">
        <v>20.894807559237702</v>
      </c>
      <c r="BH232" s="2">
        <v>20.998866994429001</v>
      </c>
      <c r="BI232" s="2">
        <v>21.156099671611599</v>
      </c>
      <c r="BJ232" s="2">
        <v>21.239357134610799</v>
      </c>
      <c r="BK232" s="2">
        <v>21.056975026820101</v>
      </c>
      <c r="BL232" s="2">
        <v>21.0276305298176</v>
      </c>
      <c r="BM232" s="2">
        <v>21.271805946154998</v>
      </c>
      <c r="BN232" s="2">
        <v>21.3084717233764</v>
      </c>
      <c r="BO232" s="2">
        <v>21.039379675012999</v>
      </c>
      <c r="BP232" s="2">
        <v>21.3822701216444</v>
      </c>
      <c r="BQ232" s="2">
        <v>21.4601175800066</v>
      </c>
      <c r="BR232" s="2">
        <v>21.087921664935902</v>
      </c>
      <c r="BS232" s="2">
        <v>21.4129789072242</v>
      </c>
      <c r="BT232" s="2">
        <v>20.929977589987502</v>
      </c>
      <c r="BU232" s="2">
        <v>21.1307899408305</v>
      </c>
      <c r="BV232" s="2">
        <v>21.530586698903001</v>
      </c>
      <c r="BW232" s="2">
        <v>21.194706971688301</v>
      </c>
      <c r="BX232" s="2">
        <v>21.373107190037199</v>
      </c>
      <c r="BY232" s="2">
        <v>21.654867583977801</v>
      </c>
      <c r="BZ232" s="2">
        <v>21.498419613732398</v>
      </c>
      <c r="CA232" s="2">
        <v>21.200068023446502</v>
      </c>
      <c r="CB232" s="2">
        <v>21.206182470593301</v>
      </c>
      <c r="CC232" s="2">
        <v>20.962710368266301</v>
      </c>
      <c r="CD232" s="2">
        <v>21.528227593997698</v>
      </c>
      <c r="CE232" s="2">
        <v>21.155968632510099</v>
      </c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</row>
    <row r="233" spans="1:97">
      <c r="A233" s="2" t="s">
        <v>2504</v>
      </c>
      <c r="B233" s="2">
        <v>501.17356000000001</v>
      </c>
      <c r="C233" s="2">
        <v>7.4</v>
      </c>
      <c r="D233" s="2" t="s">
        <v>146</v>
      </c>
      <c r="E233" s="2" t="s">
        <v>2505</v>
      </c>
      <c r="F233" s="2" t="s">
        <v>2506</v>
      </c>
      <c r="G233" s="2">
        <v>256028</v>
      </c>
      <c r="H233" s="3" t="str">
        <f>HYPERLINK("https://cloud.oebiotech.com/#/lm/network/256028", "https://cloud.oebiotech.com/#/lm/network/256028")</f>
        <v>https://cloud.oebiotech.com/#/lm/network/256028</v>
      </c>
      <c r="I233" s="2" t="s">
        <v>2507</v>
      </c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 t="s">
        <v>2508</v>
      </c>
      <c r="U233" s="2" t="s">
        <v>2509</v>
      </c>
      <c r="V233" s="2" t="s">
        <v>95</v>
      </c>
      <c r="W233" s="2" t="s">
        <v>180</v>
      </c>
      <c r="X233" s="2" t="s">
        <v>181</v>
      </c>
      <c r="Y233" s="2" t="s">
        <v>98</v>
      </c>
      <c r="Z233" s="2" t="s">
        <v>182</v>
      </c>
      <c r="AA233" s="2" t="s">
        <v>183</v>
      </c>
      <c r="AB233" s="2" t="s">
        <v>101</v>
      </c>
      <c r="AC233" s="2">
        <v>70.11</v>
      </c>
      <c r="AD233" s="2">
        <v>95.37</v>
      </c>
      <c r="AE233" s="2">
        <v>91.58</v>
      </c>
      <c r="AF233" s="2" t="s">
        <v>2510</v>
      </c>
      <c r="AG233" s="2" t="s">
        <v>157</v>
      </c>
      <c r="AH233" s="2" t="s">
        <v>2511</v>
      </c>
      <c r="AI233" s="2">
        <v>5.99</v>
      </c>
      <c r="AJ233" s="2">
        <v>19.4965010945619</v>
      </c>
      <c r="AK233" s="2">
        <v>19.252819154059701</v>
      </c>
      <c r="AL233" s="2">
        <v>19.526000743150501</v>
      </c>
      <c r="AM233" s="2">
        <v>19.570616296654599</v>
      </c>
      <c r="AN233" s="2">
        <v>19.626078404295001</v>
      </c>
      <c r="AO233" s="2">
        <v>19.452277160940501</v>
      </c>
      <c r="AP233" s="2">
        <v>19.519121535258702</v>
      </c>
      <c r="AQ233" s="2">
        <v>19.567906513106902</v>
      </c>
      <c r="AR233" s="2">
        <v>19.252023809708501</v>
      </c>
      <c r="AS233" s="2">
        <v>16.869762869043601</v>
      </c>
      <c r="AT233" s="2">
        <v>19.929437867350799</v>
      </c>
      <c r="AU233" s="2">
        <v>19.407661657909902</v>
      </c>
      <c r="AV233" s="2">
        <v>17.375218331278099</v>
      </c>
      <c r="AW233" s="2">
        <v>20.855979480932699</v>
      </c>
      <c r="AX233" s="2">
        <v>14.425778444676901</v>
      </c>
      <c r="AY233" s="2">
        <v>17.298553880563301</v>
      </c>
      <c r="AZ233" s="2">
        <v>15.543015200641401</v>
      </c>
      <c r="BA233" s="2">
        <v>20.573465084489701</v>
      </c>
      <c r="BB233" s="2">
        <v>19.241335896119701</v>
      </c>
      <c r="BC233" s="2">
        <v>20.180630354374301</v>
      </c>
      <c r="BD233" s="2">
        <v>20.161579702559902</v>
      </c>
      <c r="BE233" s="2">
        <v>17.663604035467401</v>
      </c>
      <c r="BF233" s="2">
        <v>17.952107893261498</v>
      </c>
      <c r="BG233" s="2">
        <v>18.212466176740399</v>
      </c>
      <c r="BH233" s="2">
        <v>18.545490734277699</v>
      </c>
      <c r="BI233" s="2">
        <v>18.036768226002799</v>
      </c>
      <c r="BJ233" s="2">
        <v>23.590957771427899</v>
      </c>
      <c r="BK233" s="2">
        <v>20.845511283556799</v>
      </c>
      <c r="BL233" s="2">
        <v>18.929710162705302</v>
      </c>
      <c r="BM233" s="2">
        <v>18.893573029886799</v>
      </c>
      <c r="BN233" s="2">
        <v>20.995285829112699</v>
      </c>
      <c r="BO233" s="2">
        <v>20.4144023995613</v>
      </c>
      <c r="BP233" s="2">
        <v>9.6233145402724691</v>
      </c>
      <c r="BQ233" s="2">
        <v>19.577782867587299</v>
      </c>
      <c r="BR233" s="2">
        <v>17.150364117498398</v>
      </c>
      <c r="BS233" s="2">
        <v>18.103039311481201</v>
      </c>
      <c r="BT233" s="2">
        <v>23.544981312868199</v>
      </c>
      <c r="BU233" s="2">
        <v>20.4805778179648</v>
      </c>
      <c r="BV233" s="2">
        <v>18.769670349644599</v>
      </c>
      <c r="BW233" s="2">
        <v>14.5736217460425</v>
      </c>
      <c r="BX233" s="2">
        <v>19.704178549492799</v>
      </c>
      <c r="BY233" s="2">
        <v>17.816300638110899</v>
      </c>
      <c r="BZ233" s="2">
        <v>14.201666785750801</v>
      </c>
      <c r="CA233" s="2">
        <v>18.5364419223576</v>
      </c>
      <c r="CB233" s="2">
        <v>13.505449346357301</v>
      </c>
      <c r="CC233" s="2">
        <v>19.673161622887299</v>
      </c>
      <c r="CD233" s="2">
        <v>20.448296695555701</v>
      </c>
      <c r="CE233" s="2">
        <v>20.521383829439401</v>
      </c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</row>
    <row r="234" spans="1:97">
      <c r="A234" s="2" t="s">
        <v>2512</v>
      </c>
      <c r="B234" s="2">
        <v>137.02408</v>
      </c>
      <c r="C234" s="2">
        <v>5.6420000000000003</v>
      </c>
      <c r="D234" s="2" t="s">
        <v>146</v>
      </c>
      <c r="E234" s="2" t="s">
        <v>2513</v>
      </c>
      <c r="F234" s="2" t="s">
        <v>2514</v>
      </c>
      <c r="G234" s="2">
        <v>47701</v>
      </c>
      <c r="H234" s="3" t="str">
        <f>HYPERLINK("https://cloud.oebiotech.com/#/lm/network/47701", "https://cloud.oebiotech.com/#/lm/network/47701")</f>
        <v>https://cloud.oebiotech.com/#/lm/network/47701</v>
      </c>
      <c r="I234" s="2" t="s">
        <v>2515</v>
      </c>
      <c r="J234" s="2">
        <v>616</v>
      </c>
      <c r="K234" s="2"/>
      <c r="L234" s="2">
        <v>338</v>
      </c>
      <c r="M234" s="2" t="s">
        <v>2516</v>
      </c>
      <c r="N234" s="2"/>
      <c r="O234" s="2"/>
      <c r="P234" s="2">
        <v>16914</v>
      </c>
      <c r="Q234" s="2"/>
      <c r="R234" s="2"/>
      <c r="S234" s="2" t="s">
        <v>2517</v>
      </c>
      <c r="T234" s="2" t="s">
        <v>2518</v>
      </c>
      <c r="U234" s="2" t="s">
        <v>2519</v>
      </c>
      <c r="V234" s="2" t="s">
        <v>385</v>
      </c>
      <c r="W234" s="2" t="s">
        <v>386</v>
      </c>
      <c r="X234" s="2" t="s">
        <v>1059</v>
      </c>
      <c r="Y234" s="2" t="s">
        <v>388</v>
      </c>
      <c r="Z234" s="2" t="s">
        <v>389</v>
      </c>
      <c r="AA234" s="2" t="s">
        <v>1060</v>
      </c>
      <c r="AB234" s="2" t="s">
        <v>101</v>
      </c>
      <c r="AC234" s="2">
        <v>70.09</v>
      </c>
      <c r="AD234" s="2">
        <v>95.59</v>
      </c>
      <c r="AE234" s="2">
        <v>73.73</v>
      </c>
      <c r="AF234" s="2" t="s">
        <v>2520</v>
      </c>
      <c r="AG234" s="2" t="s">
        <v>194</v>
      </c>
      <c r="AH234" s="2" t="s">
        <v>2521</v>
      </c>
      <c r="AI234" s="2">
        <v>2.19</v>
      </c>
      <c r="AJ234" s="2">
        <v>22.758135337924099</v>
      </c>
      <c r="AK234" s="2">
        <v>22.6696939168942</v>
      </c>
      <c r="AL234" s="2">
        <v>22.606826975155698</v>
      </c>
      <c r="AM234" s="2">
        <v>22.580412533232501</v>
      </c>
      <c r="AN234" s="2">
        <v>22.786988664284099</v>
      </c>
      <c r="AO234" s="2">
        <v>22.680991302165499</v>
      </c>
      <c r="AP234" s="2">
        <v>22.9347229721735</v>
      </c>
      <c r="AQ234" s="2">
        <v>22.686544592539601</v>
      </c>
      <c r="AR234" s="2">
        <v>20.3423799549434</v>
      </c>
      <c r="AS234" s="2">
        <v>21.6245985067854</v>
      </c>
      <c r="AT234" s="2">
        <v>22.121284684054601</v>
      </c>
      <c r="AU234" s="2">
        <v>22.258625910127101</v>
      </c>
      <c r="AV234" s="2">
        <v>22.364797708639699</v>
      </c>
      <c r="AW234" s="2">
        <v>22.258528125843601</v>
      </c>
      <c r="AX234" s="2">
        <v>22.092930176587998</v>
      </c>
      <c r="AY234" s="2">
        <v>22.901231602944801</v>
      </c>
      <c r="AZ234" s="2">
        <v>22.458370136553299</v>
      </c>
      <c r="BA234" s="2">
        <v>22.054081068878698</v>
      </c>
      <c r="BB234" s="2">
        <v>22.270667941865</v>
      </c>
      <c r="BC234" s="2">
        <v>22.582252564997901</v>
      </c>
      <c r="BD234" s="2">
        <v>22.3210900621301</v>
      </c>
      <c r="BE234" s="2">
        <v>21.547553037165699</v>
      </c>
      <c r="BF234" s="2">
        <v>21.954092522336101</v>
      </c>
      <c r="BG234" s="2">
        <v>22.6823214434737</v>
      </c>
      <c r="BH234" s="2">
        <v>22.733243146053699</v>
      </c>
      <c r="BI234" s="2">
        <v>22.939026918738598</v>
      </c>
      <c r="BJ234" s="2">
        <v>21.928809917119299</v>
      </c>
      <c r="BK234" s="2">
        <v>22.379864767114199</v>
      </c>
      <c r="BL234" s="2">
        <v>21.939149638665999</v>
      </c>
      <c r="BM234" s="2">
        <v>24.134781453560301</v>
      </c>
      <c r="BN234" s="2">
        <v>22.559442300023498</v>
      </c>
      <c r="BO234" s="2">
        <v>22.2060351249525</v>
      </c>
      <c r="BP234" s="2">
        <v>22.241328286934898</v>
      </c>
      <c r="BQ234" s="2">
        <v>22.518099412620899</v>
      </c>
      <c r="BR234" s="2">
        <v>22.7133988646275</v>
      </c>
      <c r="BS234" s="2">
        <v>25.065522773576902</v>
      </c>
      <c r="BT234" s="2">
        <v>22.637922325356602</v>
      </c>
      <c r="BU234" s="2">
        <v>22.0001728562859</v>
      </c>
      <c r="BV234" s="2">
        <v>23.1648299699734</v>
      </c>
      <c r="BW234" s="2">
        <v>21.3195129790723</v>
      </c>
      <c r="BX234" s="2">
        <v>23.5249594793627</v>
      </c>
      <c r="BY234" s="2">
        <v>22.4945436464861</v>
      </c>
      <c r="BZ234" s="2">
        <v>22.051737138398199</v>
      </c>
      <c r="CA234" s="2">
        <v>22.261800134662</v>
      </c>
      <c r="CB234" s="2">
        <v>22.514968983378701</v>
      </c>
      <c r="CC234" s="2">
        <v>23.563825453805801</v>
      </c>
      <c r="CD234" s="2">
        <v>22.170749964279299</v>
      </c>
      <c r="CE234" s="2">
        <v>21.9633327596577</v>
      </c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</row>
    <row r="235" spans="1:97">
      <c r="A235" s="2" t="s">
        <v>2522</v>
      </c>
      <c r="B235" s="2">
        <v>572.37022000000002</v>
      </c>
      <c r="C235" s="2">
        <v>10.98</v>
      </c>
      <c r="D235" s="2" t="s">
        <v>84</v>
      </c>
      <c r="E235" s="2" t="s">
        <v>2523</v>
      </c>
      <c r="F235" s="2" t="s">
        <v>2524</v>
      </c>
      <c r="G235" s="2">
        <v>19874</v>
      </c>
      <c r="H235" s="3" t="str">
        <f>HYPERLINK("https://cloud.oebiotech.com/#/lm/network/19874", "https://cloud.oebiotech.com/#/lm/network/19874")</f>
        <v>https://cloud.oebiotech.com/#/lm/network/19874</v>
      </c>
      <c r="I235" s="2" t="s">
        <v>2525</v>
      </c>
      <c r="J235" s="2">
        <v>61710</v>
      </c>
      <c r="K235" s="2" t="s">
        <v>2526</v>
      </c>
      <c r="L235" s="2">
        <v>52924039</v>
      </c>
      <c r="M235" s="2" t="s">
        <v>264</v>
      </c>
      <c r="N235" s="2" t="s">
        <v>265</v>
      </c>
      <c r="O235" s="2" t="s">
        <v>266</v>
      </c>
      <c r="P235" s="2">
        <v>133657</v>
      </c>
      <c r="Q235" s="2"/>
      <c r="R235" s="2"/>
      <c r="S235" s="2"/>
      <c r="T235" s="2" t="s">
        <v>2527</v>
      </c>
      <c r="U235" s="2" t="s">
        <v>2528</v>
      </c>
      <c r="V235" s="2" t="s">
        <v>95</v>
      </c>
      <c r="W235" s="2" t="s">
        <v>202</v>
      </c>
      <c r="X235" s="2" t="s">
        <v>203</v>
      </c>
      <c r="Y235" s="2" t="s">
        <v>98</v>
      </c>
      <c r="Z235" s="2" t="s">
        <v>204</v>
      </c>
      <c r="AA235" s="2" t="s">
        <v>205</v>
      </c>
      <c r="AB235" s="2" t="s">
        <v>101</v>
      </c>
      <c r="AC235" s="2">
        <v>70.08</v>
      </c>
      <c r="AD235" s="2">
        <v>98.52</v>
      </c>
      <c r="AE235" s="2">
        <v>75.8</v>
      </c>
      <c r="AF235" s="2" t="s">
        <v>2529</v>
      </c>
      <c r="AG235" s="2" t="s">
        <v>103</v>
      </c>
      <c r="AH235" s="2" t="s">
        <v>2530</v>
      </c>
      <c r="AI235" s="2">
        <v>1.57</v>
      </c>
      <c r="AJ235" s="2">
        <v>23.719557307651499</v>
      </c>
      <c r="AK235" s="2">
        <v>23.801828890237498</v>
      </c>
      <c r="AL235" s="2">
        <v>23.835920848492101</v>
      </c>
      <c r="AM235" s="2">
        <v>23.985452102370498</v>
      </c>
      <c r="AN235" s="2">
        <v>23.994031670026398</v>
      </c>
      <c r="AO235" s="2">
        <v>23.956924777670402</v>
      </c>
      <c r="AP235" s="2">
        <v>23.906101947412399</v>
      </c>
      <c r="AQ235" s="2">
        <v>24.1997323910368</v>
      </c>
      <c r="AR235" s="2">
        <v>24.539315734782001</v>
      </c>
      <c r="AS235" s="2">
        <v>21.899124482947901</v>
      </c>
      <c r="AT235" s="2">
        <v>23.520050400346602</v>
      </c>
      <c r="AU235" s="2">
        <v>23.0400839918759</v>
      </c>
      <c r="AV235" s="2">
        <v>23.1722003925018</v>
      </c>
      <c r="AW235" s="2">
        <v>23.8495802851542</v>
      </c>
      <c r="AX235" s="2">
        <v>23.8253487273243</v>
      </c>
      <c r="AY235" s="2">
        <v>23.3908911816754</v>
      </c>
      <c r="AZ235" s="2">
        <v>24.068021688634399</v>
      </c>
      <c r="BA235" s="2">
        <v>21.9464930181976</v>
      </c>
      <c r="BB235" s="2">
        <v>23.3820806604671</v>
      </c>
      <c r="BC235" s="2">
        <v>23.316159514653599</v>
      </c>
      <c r="BD235" s="2">
        <v>23.179522287946199</v>
      </c>
      <c r="BE235" s="2">
        <v>23.6225341512373</v>
      </c>
      <c r="BF235" s="2">
        <v>23.801169041143599</v>
      </c>
      <c r="BG235" s="2">
        <v>24.496881898079302</v>
      </c>
      <c r="BH235" s="2">
        <v>23.569875420596301</v>
      </c>
      <c r="BI235" s="2">
        <v>25.256121632653599</v>
      </c>
      <c r="BJ235" s="2">
        <v>23.055572221937901</v>
      </c>
      <c r="BK235" s="2">
        <v>23.685207547825801</v>
      </c>
      <c r="BL235" s="2">
        <v>24.3917163017327</v>
      </c>
      <c r="BM235" s="2">
        <v>23.0283447260462</v>
      </c>
      <c r="BN235" s="2">
        <v>23.758496685356601</v>
      </c>
      <c r="BO235" s="2">
        <v>23.497460107791799</v>
      </c>
      <c r="BP235" s="2">
        <v>24.173663019207499</v>
      </c>
      <c r="BQ235" s="2">
        <v>23.6073250665582</v>
      </c>
      <c r="BR235" s="2">
        <v>23.9836664503372</v>
      </c>
      <c r="BS235" s="2">
        <v>24.6854331346888</v>
      </c>
      <c r="BT235" s="2">
        <v>22.255056090023</v>
      </c>
      <c r="BU235" s="2">
        <v>22.462671043978101</v>
      </c>
      <c r="BV235" s="2">
        <v>23.565315518637</v>
      </c>
      <c r="BW235" s="2">
        <v>22.559436336574301</v>
      </c>
      <c r="BX235" s="2">
        <v>23.5297962070217</v>
      </c>
      <c r="BY235" s="2">
        <v>24.053917749456598</v>
      </c>
      <c r="BZ235" s="2">
        <v>23.716605366346201</v>
      </c>
      <c r="CA235" s="2">
        <v>23.8129727195276</v>
      </c>
      <c r="CB235" s="2">
        <v>24.6339561123383</v>
      </c>
      <c r="CC235" s="2">
        <v>24.032056731675901</v>
      </c>
      <c r="CD235" s="2">
        <v>24.227244988331901</v>
      </c>
      <c r="CE235" s="2">
        <v>23.825604761209899</v>
      </c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</row>
    <row r="236" spans="1:97">
      <c r="A236" s="2" t="s">
        <v>2531</v>
      </c>
      <c r="B236" s="2">
        <v>259.12941000000001</v>
      </c>
      <c r="C236" s="2">
        <v>3.8109999999999999</v>
      </c>
      <c r="D236" s="2" t="s">
        <v>146</v>
      </c>
      <c r="E236" s="2" t="s">
        <v>2532</v>
      </c>
      <c r="F236" s="2" t="s">
        <v>2533</v>
      </c>
      <c r="G236" s="2">
        <v>51189</v>
      </c>
      <c r="H236" s="3" t="str">
        <f>HYPERLINK("https://cloud.oebiotech.com/#/lm/network/51189", "https://cloud.oebiotech.com/#/lm/network/51189")</f>
        <v>https://cloud.oebiotech.com/#/lm/network/51189</v>
      </c>
      <c r="I236" s="2" t="s">
        <v>2534</v>
      </c>
      <c r="J236" s="2">
        <v>23750</v>
      </c>
      <c r="K236" s="2"/>
      <c r="L236" s="2">
        <v>151023</v>
      </c>
      <c r="M236" s="2"/>
      <c r="N236" s="2"/>
      <c r="O236" s="2"/>
      <c r="P236" s="2">
        <v>68433</v>
      </c>
      <c r="Q236" s="2"/>
      <c r="R236" s="2"/>
      <c r="S236" s="2" t="s">
        <v>2535</v>
      </c>
      <c r="T236" s="2" t="s">
        <v>2536</v>
      </c>
      <c r="U236" s="2" t="s">
        <v>2537</v>
      </c>
      <c r="V236" s="2" t="s">
        <v>115</v>
      </c>
      <c r="W236" s="2" t="s">
        <v>116</v>
      </c>
      <c r="X236" s="2" t="s">
        <v>117</v>
      </c>
      <c r="Y236" s="2" t="s">
        <v>118</v>
      </c>
      <c r="Z236" s="2" t="s">
        <v>119</v>
      </c>
      <c r="AA236" s="2" t="s">
        <v>120</v>
      </c>
      <c r="AB236" s="2" t="s">
        <v>101</v>
      </c>
      <c r="AC236" s="2">
        <v>70.069999999999993</v>
      </c>
      <c r="AD236" s="2">
        <v>97.88</v>
      </c>
      <c r="AE236" s="2">
        <v>82.77</v>
      </c>
      <c r="AF236" s="2" t="s">
        <v>2538</v>
      </c>
      <c r="AG236" s="2" t="s">
        <v>194</v>
      </c>
      <c r="AH236" s="2" t="s">
        <v>2539</v>
      </c>
      <c r="AI236" s="2">
        <v>1.93</v>
      </c>
      <c r="AJ236" s="2">
        <v>20.573626054110399</v>
      </c>
      <c r="AK236" s="2">
        <v>20.2488674157227</v>
      </c>
      <c r="AL236" s="2">
        <v>20.3300740812486</v>
      </c>
      <c r="AM236" s="2">
        <v>20.5471861612372</v>
      </c>
      <c r="AN236" s="2">
        <v>20.491044739176001</v>
      </c>
      <c r="AO236" s="2">
        <v>20.419743214293099</v>
      </c>
      <c r="AP236" s="2">
        <v>20.338226592778501</v>
      </c>
      <c r="AQ236" s="2">
        <v>20.409616339628698</v>
      </c>
      <c r="AR236" s="2">
        <v>19.814219646894799</v>
      </c>
      <c r="AS236" s="2">
        <v>19.465436550672798</v>
      </c>
      <c r="AT236" s="2">
        <v>19.515899781720801</v>
      </c>
      <c r="AU236" s="2">
        <v>20.274190328022598</v>
      </c>
      <c r="AV236" s="2">
        <v>20.736344856434101</v>
      </c>
      <c r="AW236" s="2">
        <v>20.684615070042199</v>
      </c>
      <c r="AX236" s="2">
        <v>20.070290131439901</v>
      </c>
      <c r="AY236" s="2">
        <v>20.068728192283601</v>
      </c>
      <c r="AZ236" s="2">
        <v>20.4496395239319</v>
      </c>
      <c r="BA236" s="2">
        <v>19.957697844369299</v>
      </c>
      <c r="BB236" s="2">
        <v>20.808630960222999</v>
      </c>
      <c r="BC236" s="2">
        <v>20.101364453400599</v>
      </c>
      <c r="BD236" s="2">
        <v>19.720590883429001</v>
      </c>
      <c r="BE236" s="2">
        <v>20.425585382644499</v>
      </c>
      <c r="BF236" s="2">
        <v>20.293655846980801</v>
      </c>
      <c r="BG236" s="2">
        <v>20.642769400526699</v>
      </c>
      <c r="BH236" s="2">
        <v>20.438102218745499</v>
      </c>
      <c r="BI236" s="2">
        <v>20.576274983015701</v>
      </c>
      <c r="BJ236" s="2">
        <v>20.775248137398599</v>
      </c>
      <c r="BK236" s="2">
        <v>20.403298932463901</v>
      </c>
      <c r="BL236" s="2">
        <v>19.575484201526599</v>
      </c>
      <c r="BM236" s="2">
        <v>21.130821996773999</v>
      </c>
      <c r="BN236" s="2">
        <v>20.415042830731199</v>
      </c>
      <c r="BO236" s="2">
        <v>19.987976466623401</v>
      </c>
      <c r="BP236" s="2">
        <v>19.925914373344298</v>
      </c>
      <c r="BQ236" s="2">
        <v>21.187512309511199</v>
      </c>
      <c r="BR236" s="2">
        <v>20.376630092018001</v>
      </c>
      <c r="BS236" s="2">
        <v>20.3378468156087</v>
      </c>
      <c r="BT236" s="2">
        <v>20.033279780510501</v>
      </c>
      <c r="BU236" s="2">
        <v>20.068638484944099</v>
      </c>
      <c r="BV236" s="2">
        <v>20.300448955464802</v>
      </c>
      <c r="BW236" s="2">
        <v>19.260148449938701</v>
      </c>
      <c r="BX236" s="2">
        <v>20.654937883974899</v>
      </c>
      <c r="BY236" s="2">
        <v>20.677000855444501</v>
      </c>
      <c r="BZ236" s="2">
        <v>20.648668143393401</v>
      </c>
      <c r="CA236" s="2">
        <v>20.660990222042798</v>
      </c>
      <c r="CB236" s="2">
        <v>19.895696670382002</v>
      </c>
      <c r="CC236" s="2">
        <v>20.327727444484399</v>
      </c>
      <c r="CD236" s="2">
        <v>21.010453200323798</v>
      </c>
      <c r="CE236" s="2">
        <v>20.3421919868359</v>
      </c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</row>
    <row r="237" spans="1:97">
      <c r="A237" s="2" t="s">
        <v>2540</v>
      </c>
      <c r="B237" s="2">
        <v>319.26242999999999</v>
      </c>
      <c r="C237" s="2">
        <v>14.331</v>
      </c>
      <c r="D237" s="2" t="s">
        <v>84</v>
      </c>
      <c r="E237" s="2" t="s">
        <v>2541</v>
      </c>
      <c r="F237" s="2" t="s">
        <v>2542</v>
      </c>
      <c r="G237" s="2">
        <v>273697</v>
      </c>
      <c r="H237" s="3" t="str">
        <f>HYPERLINK("https://cloud.oebiotech.com/#/lm/network/273697", "https://cloud.oebiotech.com/#/lm/network/273697")</f>
        <v>https://cloud.oebiotech.com/#/lm/network/273697</v>
      </c>
      <c r="I237" s="2"/>
      <c r="J237" s="2">
        <v>62953</v>
      </c>
      <c r="K237" s="2"/>
      <c r="L237" s="2">
        <v>6421258</v>
      </c>
      <c r="M237" s="2"/>
      <c r="N237" s="2"/>
      <c r="O237" s="2"/>
      <c r="P237" s="2"/>
      <c r="Q237" s="2"/>
      <c r="R237" s="2"/>
      <c r="S237" s="2" t="s">
        <v>2543</v>
      </c>
      <c r="T237" s="2" t="s">
        <v>2544</v>
      </c>
      <c r="U237" s="2" t="s">
        <v>2545</v>
      </c>
      <c r="V237" s="2" t="s">
        <v>95</v>
      </c>
      <c r="W237" s="2" t="s">
        <v>96</v>
      </c>
      <c r="X237" s="2" t="s">
        <v>97</v>
      </c>
      <c r="Y237" s="2" t="s">
        <v>98</v>
      </c>
      <c r="Z237" s="2" t="s">
        <v>99</v>
      </c>
      <c r="AA237" s="2" t="s">
        <v>100</v>
      </c>
      <c r="AB237" s="2" t="s">
        <v>101</v>
      </c>
      <c r="AC237" s="2">
        <v>70</v>
      </c>
      <c r="AD237" s="2">
        <v>87.18</v>
      </c>
      <c r="AE237" s="2">
        <v>89.88</v>
      </c>
      <c r="AF237" s="2" t="s">
        <v>2546</v>
      </c>
      <c r="AG237" s="2" t="s">
        <v>103</v>
      </c>
      <c r="AH237" s="2" t="s">
        <v>2547</v>
      </c>
      <c r="AI237" s="2">
        <v>2.5099999999999998</v>
      </c>
      <c r="AJ237" s="2">
        <v>20.829648883013999</v>
      </c>
      <c r="AK237" s="2">
        <v>20.753429208593499</v>
      </c>
      <c r="AL237" s="2">
        <v>20.920491577810601</v>
      </c>
      <c r="AM237" s="2">
        <v>20.515831972649799</v>
      </c>
      <c r="AN237" s="2">
        <v>20.834893344108799</v>
      </c>
      <c r="AO237" s="2">
        <v>19.960647171647601</v>
      </c>
      <c r="AP237" s="2">
        <v>20.660332051836701</v>
      </c>
      <c r="AQ237" s="2">
        <v>20.771202981842599</v>
      </c>
      <c r="AR237" s="2">
        <v>20.623449269955401</v>
      </c>
      <c r="AS237" s="2">
        <v>17.734430859576701</v>
      </c>
      <c r="AT237" s="2">
        <v>18.923726560214899</v>
      </c>
      <c r="AU237" s="2">
        <v>18.735729706694201</v>
      </c>
      <c r="AV237" s="2">
        <v>19.754162430697399</v>
      </c>
      <c r="AW237" s="2">
        <v>20.7095848885407</v>
      </c>
      <c r="AX237" s="2">
        <v>19.7143008655353</v>
      </c>
      <c r="AY237" s="2">
        <v>20.450717365206401</v>
      </c>
      <c r="AZ237" s="2">
        <v>20.338963918091899</v>
      </c>
      <c r="BA237" s="2">
        <v>18.5101321474265</v>
      </c>
      <c r="BB237" s="2">
        <v>19.895357107367001</v>
      </c>
      <c r="BC237" s="2">
        <v>19.771438191092201</v>
      </c>
      <c r="BD237" s="2">
        <v>18.948419393494898</v>
      </c>
      <c r="BE237" s="2">
        <v>20.396420182852999</v>
      </c>
      <c r="BF237" s="2">
        <v>20.4383067421258</v>
      </c>
      <c r="BG237" s="2">
        <v>19.941561878380099</v>
      </c>
      <c r="BH237" s="2">
        <v>19.931047388174001</v>
      </c>
      <c r="BI237" s="2">
        <v>20.226799207061099</v>
      </c>
      <c r="BJ237" s="2">
        <v>19.8121720398284</v>
      </c>
      <c r="BK237" s="2">
        <v>19.404778723964899</v>
      </c>
      <c r="BL237" s="2">
        <v>20.514249000021699</v>
      </c>
      <c r="BM237" s="2">
        <v>19.8853852241186</v>
      </c>
      <c r="BN237" s="2">
        <v>19.818490371005499</v>
      </c>
      <c r="BO237" s="2">
        <v>18.97032944023</v>
      </c>
      <c r="BP237" s="2">
        <v>19.6744270684318</v>
      </c>
      <c r="BQ237" s="2">
        <v>20.517929527306901</v>
      </c>
      <c r="BR237" s="2">
        <v>19.657158709300699</v>
      </c>
      <c r="BS237" s="2">
        <v>20.4024845225211</v>
      </c>
      <c r="BT237" s="2">
        <v>19.899230649125101</v>
      </c>
      <c r="BU237" s="2">
        <v>17.2092947625055</v>
      </c>
      <c r="BV237" s="2">
        <v>19.469754741955299</v>
      </c>
      <c r="BW237" s="2">
        <v>19.814743668658199</v>
      </c>
      <c r="BX237" s="2">
        <v>20.184070397502801</v>
      </c>
      <c r="BY237" s="2">
        <v>21.2517227442309</v>
      </c>
      <c r="BZ237" s="2">
        <v>20.349632364335601</v>
      </c>
      <c r="CA237" s="2">
        <v>19.6446144268224</v>
      </c>
      <c r="CB237" s="2">
        <v>20.5256479087282</v>
      </c>
      <c r="CC237" s="2">
        <v>19.263313449360801</v>
      </c>
      <c r="CD237" s="2">
        <v>20.767373400107701</v>
      </c>
      <c r="CE237" s="2">
        <v>19.715553339888</v>
      </c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</row>
    <row r="238" spans="1:97">
      <c r="A238" s="2" t="s">
        <v>2548</v>
      </c>
      <c r="B238" s="2">
        <v>440.27663000000001</v>
      </c>
      <c r="C238" s="2">
        <v>8.7040000000000006</v>
      </c>
      <c r="D238" s="2" t="s">
        <v>84</v>
      </c>
      <c r="E238" s="2" t="s">
        <v>2549</v>
      </c>
      <c r="F238" s="2" t="s">
        <v>2550</v>
      </c>
      <c r="G238" s="2">
        <v>19826</v>
      </c>
      <c r="H238" s="3" t="str">
        <f>HYPERLINK("https://cloud.oebiotech.com/#/lm/network/19826", "https://cloud.oebiotech.com/#/lm/network/19826")</f>
        <v>https://cloud.oebiotech.com/#/lm/network/19826</v>
      </c>
      <c r="I238" s="2" t="s">
        <v>2551</v>
      </c>
      <c r="J238" s="2">
        <v>40275</v>
      </c>
      <c r="K238" s="2" t="s">
        <v>2552</v>
      </c>
      <c r="L238" s="2">
        <v>460605</v>
      </c>
      <c r="M238" s="2"/>
      <c r="N238" s="2"/>
      <c r="O238" s="2"/>
      <c r="P238" s="2">
        <v>74966</v>
      </c>
      <c r="Q238" s="2"/>
      <c r="R238" s="2"/>
      <c r="S238" s="2"/>
      <c r="T238" s="2" t="s">
        <v>2553</v>
      </c>
      <c r="U238" s="2" t="s">
        <v>2554</v>
      </c>
      <c r="V238" s="2" t="s">
        <v>95</v>
      </c>
      <c r="W238" s="2" t="s">
        <v>202</v>
      </c>
      <c r="X238" s="2" t="s">
        <v>203</v>
      </c>
      <c r="Y238" s="2" t="s">
        <v>98</v>
      </c>
      <c r="Z238" s="2" t="s">
        <v>204</v>
      </c>
      <c r="AA238" s="2" t="s">
        <v>205</v>
      </c>
      <c r="AB238" s="2" t="s">
        <v>101</v>
      </c>
      <c r="AC238" s="2">
        <v>70</v>
      </c>
      <c r="AD238" s="2">
        <v>86.5</v>
      </c>
      <c r="AE238" s="2">
        <v>85.54</v>
      </c>
      <c r="AF238" s="2" t="s">
        <v>2555</v>
      </c>
      <c r="AG238" s="2" t="s">
        <v>103</v>
      </c>
      <c r="AH238" s="2" t="s">
        <v>2556</v>
      </c>
      <c r="AI238" s="2">
        <v>1.36</v>
      </c>
      <c r="AJ238" s="2">
        <v>17.736799204427498</v>
      </c>
      <c r="AK238" s="2">
        <v>17.840833417416899</v>
      </c>
      <c r="AL238" s="2">
        <v>18.386353677701699</v>
      </c>
      <c r="AM238" s="2">
        <v>17.779293005207499</v>
      </c>
      <c r="AN238" s="2">
        <v>18.001959161290699</v>
      </c>
      <c r="AO238" s="2">
        <v>18.106702275647901</v>
      </c>
      <c r="AP238" s="2">
        <v>18.146792836477101</v>
      </c>
      <c r="AQ238" s="2">
        <v>17.923603953809099</v>
      </c>
      <c r="AR238" s="2">
        <v>17.595663094975801</v>
      </c>
      <c r="AS238" s="2">
        <v>15.229818462281401</v>
      </c>
      <c r="AT238" s="2">
        <v>15.419588925703399</v>
      </c>
      <c r="AU238" s="2">
        <v>19.2920440541237</v>
      </c>
      <c r="AV238" s="2">
        <v>18.947437440752701</v>
      </c>
      <c r="AW238" s="2">
        <v>16.595052591615001</v>
      </c>
      <c r="AX238" s="2">
        <v>16.0295635301053</v>
      </c>
      <c r="AY238" s="2">
        <v>14.859909873271</v>
      </c>
      <c r="AZ238" s="2">
        <v>16.669657689204399</v>
      </c>
      <c r="BA238" s="2">
        <v>17.1581910305501</v>
      </c>
      <c r="BB238" s="2">
        <v>17.3503522078359</v>
      </c>
      <c r="BC238" s="2">
        <v>15.3595817713906</v>
      </c>
      <c r="BD238" s="2">
        <v>15.883253753956399</v>
      </c>
      <c r="BE238" s="2">
        <v>17.528183564816601</v>
      </c>
      <c r="BF238" s="2">
        <v>9.6233145402724691</v>
      </c>
      <c r="BG238" s="2">
        <v>17.829262344316302</v>
      </c>
      <c r="BH238" s="2">
        <v>15.2340663308213</v>
      </c>
      <c r="BI238" s="2">
        <v>19.074821564961901</v>
      </c>
      <c r="BJ238" s="2">
        <v>13.7337081066699</v>
      </c>
      <c r="BK238" s="2">
        <v>17.118141741636698</v>
      </c>
      <c r="BL238" s="2">
        <v>15.5345399883344</v>
      </c>
      <c r="BM238" s="2">
        <v>16.7582394834788</v>
      </c>
      <c r="BN238" s="2">
        <v>17.149499353297699</v>
      </c>
      <c r="BO238" s="2">
        <v>15.8304273135905</v>
      </c>
      <c r="BP238" s="2">
        <v>17.624549741641498</v>
      </c>
      <c r="BQ238" s="2">
        <v>15.1822166438991</v>
      </c>
      <c r="BR238" s="2">
        <v>20.431626071017899</v>
      </c>
      <c r="BS238" s="2">
        <v>19.2599830294856</v>
      </c>
      <c r="BT238" s="2">
        <v>14.6514878879567</v>
      </c>
      <c r="BU238" s="2">
        <v>17.759062052702699</v>
      </c>
      <c r="BV238" s="2">
        <v>16.898717104438301</v>
      </c>
      <c r="BW238" s="2">
        <v>9.6233145402724691</v>
      </c>
      <c r="BX238" s="2">
        <v>18.005038784959901</v>
      </c>
      <c r="BY238" s="2">
        <v>19.367339644476001</v>
      </c>
      <c r="BZ238" s="2">
        <v>18.514475863140099</v>
      </c>
      <c r="CA238" s="2">
        <v>17.7637342558467</v>
      </c>
      <c r="CB238" s="2">
        <v>17.137422670876699</v>
      </c>
      <c r="CC238" s="2">
        <v>19.298014470219101</v>
      </c>
      <c r="CD238" s="2">
        <v>17.443657719302401</v>
      </c>
      <c r="CE238" s="2">
        <v>17.278900048549598</v>
      </c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</row>
    <row r="239" spans="1:97">
      <c r="A239" s="2" t="s">
        <v>2557</v>
      </c>
      <c r="B239" s="2">
        <v>352.16512999999998</v>
      </c>
      <c r="C239" s="2">
        <v>4.7560000000000002</v>
      </c>
      <c r="D239" s="2" t="s">
        <v>84</v>
      </c>
      <c r="E239" s="2" t="s">
        <v>2558</v>
      </c>
      <c r="F239" s="2" t="s">
        <v>2559</v>
      </c>
      <c r="G239" s="2">
        <v>54023</v>
      </c>
      <c r="H239" s="3" t="str">
        <f>HYPERLINK("https://cloud.oebiotech.com/#/lm/network/54023", "https://cloud.oebiotech.com/#/lm/network/54023")</f>
        <v>https://cloud.oebiotech.com/#/lm/network/54023</v>
      </c>
      <c r="I239" s="2" t="s">
        <v>2560</v>
      </c>
      <c r="J239" s="2">
        <v>85904</v>
      </c>
      <c r="K239" s="2"/>
      <c r="L239" s="2">
        <v>134906</v>
      </c>
      <c r="M239" s="2"/>
      <c r="N239" s="2"/>
      <c r="O239" s="2"/>
      <c r="P239" s="2">
        <v>74751</v>
      </c>
      <c r="Q239" s="2"/>
      <c r="R239" s="2"/>
      <c r="S239" s="2" t="s">
        <v>2561</v>
      </c>
      <c r="T239" s="2" t="s">
        <v>2562</v>
      </c>
      <c r="U239" s="2" t="s">
        <v>2563</v>
      </c>
      <c r="V239" s="2" t="s">
        <v>115</v>
      </c>
      <c r="W239" s="2" t="s">
        <v>116</v>
      </c>
      <c r="X239" s="2" t="s">
        <v>117</v>
      </c>
      <c r="Y239" s="2" t="s">
        <v>118</v>
      </c>
      <c r="Z239" s="2" t="s">
        <v>119</v>
      </c>
      <c r="AA239" s="2" t="s">
        <v>120</v>
      </c>
      <c r="AB239" s="2" t="s">
        <v>101</v>
      </c>
      <c r="AC239" s="2">
        <v>69.959999999999994</v>
      </c>
      <c r="AD239" s="2">
        <v>96.19</v>
      </c>
      <c r="AE239" s="2">
        <v>87.02</v>
      </c>
      <c r="AF239" s="2" t="s">
        <v>2564</v>
      </c>
      <c r="AG239" s="2" t="s">
        <v>103</v>
      </c>
      <c r="AH239" s="2" t="s">
        <v>2565</v>
      </c>
      <c r="AI239" s="2">
        <v>1.42</v>
      </c>
      <c r="AJ239" s="2">
        <v>20.777743227615002</v>
      </c>
      <c r="AK239" s="2">
        <v>20.762130851409001</v>
      </c>
      <c r="AL239" s="2">
        <v>20.814252565213501</v>
      </c>
      <c r="AM239" s="2">
        <v>20.880270125376398</v>
      </c>
      <c r="AN239" s="2">
        <v>20.7135879818861</v>
      </c>
      <c r="AO239" s="2">
        <v>20.7822719882397</v>
      </c>
      <c r="AP239" s="2">
        <v>20.7919356742863</v>
      </c>
      <c r="AQ239" s="2">
        <v>20.5813174628863</v>
      </c>
      <c r="AR239" s="2">
        <v>20.266820298573499</v>
      </c>
      <c r="AS239" s="2">
        <v>19.880629286655498</v>
      </c>
      <c r="AT239" s="2">
        <v>20.918065077064799</v>
      </c>
      <c r="AU239" s="2">
        <v>20.275435024668798</v>
      </c>
      <c r="AV239" s="2">
        <v>20.1322063385857</v>
      </c>
      <c r="AW239" s="2">
        <v>20.672749926688098</v>
      </c>
      <c r="AX239" s="2">
        <v>20.251430954886299</v>
      </c>
      <c r="AY239" s="2">
        <v>20.257326294881501</v>
      </c>
      <c r="AZ239" s="2">
        <v>20.015248930885399</v>
      </c>
      <c r="BA239" s="2">
        <v>20.768616610631501</v>
      </c>
      <c r="BB239" s="2">
        <v>20.524398485949298</v>
      </c>
      <c r="BC239" s="2">
        <v>21.0985783968626</v>
      </c>
      <c r="BD239" s="2">
        <v>19.7888236166859</v>
      </c>
      <c r="BE239" s="2">
        <v>20.710960503013499</v>
      </c>
      <c r="BF239" s="2">
        <v>20.313498899469501</v>
      </c>
      <c r="BG239" s="2">
        <v>20.800244652658801</v>
      </c>
      <c r="BH239" s="2">
        <v>20.236962317131301</v>
      </c>
      <c r="BI239" s="2">
        <v>20.931227584125399</v>
      </c>
      <c r="BJ239" s="2">
        <v>20.139722668757699</v>
      </c>
      <c r="BK239" s="2">
        <v>20.060061439161998</v>
      </c>
      <c r="BL239" s="2">
        <v>21.019652844052501</v>
      </c>
      <c r="BM239" s="2">
        <v>20.6456988250671</v>
      </c>
      <c r="BN239" s="2">
        <v>21.113403511464099</v>
      </c>
      <c r="BO239" s="2">
        <v>20.451731187332399</v>
      </c>
      <c r="BP239" s="2">
        <v>20.340367358940899</v>
      </c>
      <c r="BQ239" s="2">
        <v>21.002100607046401</v>
      </c>
      <c r="BR239" s="2">
        <v>20.447518319396298</v>
      </c>
      <c r="BS239" s="2">
        <v>20.649210427607699</v>
      </c>
      <c r="BT239" s="2">
        <v>20.7616478057923</v>
      </c>
      <c r="BU239" s="2">
        <v>20.473236085518</v>
      </c>
      <c r="BV239" s="2">
        <v>20.977254072801799</v>
      </c>
      <c r="BW239" s="2">
        <v>20.256526590792099</v>
      </c>
      <c r="BX239" s="2">
        <v>20.383708721586899</v>
      </c>
      <c r="BY239" s="2">
        <v>21.272003226116901</v>
      </c>
      <c r="BZ239" s="2">
        <v>20.982731807981999</v>
      </c>
      <c r="CA239" s="2">
        <v>20.220419459846301</v>
      </c>
      <c r="CB239" s="2">
        <v>20.484735979461401</v>
      </c>
      <c r="CC239" s="2">
        <v>20.759198251160601</v>
      </c>
      <c r="CD239" s="2">
        <v>20.6954185035016</v>
      </c>
      <c r="CE239" s="2">
        <v>20.8477694434795</v>
      </c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</row>
    <row r="240" spans="1:97">
      <c r="A240" s="2" t="s">
        <v>2566</v>
      </c>
      <c r="B240" s="2">
        <v>227.12848</v>
      </c>
      <c r="C240" s="2">
        <v>7.1509999999999998</v>
      </c>
      <c r="D240" s="2" t="s">
        <v>146</v>
      </c>
      <c r="E240" s="2" t="s">
        <v>2567</v>
      </c>
      <c r="F240" s="2" t="s">
        <v>2568</v>
      </c>
      <c r="G240" s="2">
        <v>2817</v>
      </c>
      <c r="H240" s="3" t="str">
        <f>HYPERLINK("https://cloud.oebiotech.com/#/lm/network/2817", "https://cloud.oebiotech.com/#/lm/network/2817")</f>
        <v>https://cloud.oebiotech.com/#/lm/network/2817</v>
      </c>
      <c r="I240" s="2" t="s">
        <v>2569</v>
      </c>
      <c r="J240" s="2">
        <v>5882</v>
      </c>
      <c r="K240" s="2" t="s">
        <v>2570</v>
      </c>
      <c r="L240" s="2">
        <v>5283028</v>
      </c>
      <c r="M240" s="2" t="s">
        <v>2571</v>
      </c>
      <c r="N240" s="2" t="s">
        <v>2572</v>
      </c>
      <c r="O240" s="2" t="s">
        <v>2573</v>
      </c>
      <c r="P240" s="2">
        <v>545687</v>
      </c>
      <c r="Q240" s="2"/>
      <c r="R240" s="2"/>
      <c r="S240" s="2" t="s">
        <v>2574</v>
      </c>
      <c r="T240" s="2" t="s">
        <v>2575</v>
      </c>
      <c r="U240" s="2" t="s">
        <v>2576</v>
      </c>
      <c r="V240" s="2" t="s">
        <v>95</v>
      </c>
      <c r="W240" s="2" t="s">
        <v>96</v>
      </c>
      <c r="X240" s="2" t="s">
        <v>141</v>
      </c>
      <c r="Y240" s="2" t="s">
        <v>98</v>
      </c>
      <c r="Z240" s="2" t="s">
        <v>99</v>
      </c>
      <c r="AA240" s="2" t="s">
        <v>142</v>
      </c>
      <c r="AB240" s="2" t="s">
        <v>101</v>
      </c>
      <c r="AC240" s="2">
        <v>69.94</v>
      </c>
      <c r="AD240" s="2">
        <v>92.37</v>
      </c>
      <c r="AE240" s="2">
        <v>91.15</v>
      </c>
      <c r="AF240" s="2" t="s">
        <v>2577</v>
      </c>
      <c r="AG240" s="2" t="s">
        <v>194</v>
      </c>
      <c r="AH240" s="2" t="s">
        <v>922</v>
      </c>
      <c r="AI240" s="2">
        <v>1.76</v>
      </c>
      <c r="AJ240" s="2">
        <v>20.136714864707798</v>
      </c>
      <c r="AK240" s="2">
        <v>19.447092289046001</v>
      </c>
      <c r="AL240" s="2">
        <v>20.1644403002331</v>
      </c>
      <c r="AM240" s="2">
        <v>19.8130797419389</v>
      </c>
      <c r="AN240" s="2">
        <v>20.0184997219223</v>
      </c>
      <c r="AO240" s="2">
        <v>19.396639563840299</v>
      </c>
      <c r="AP240" s="2">
        <v>19.986818125756098</v>
      </c>
      <c r="AQ240" s="2">
        <v>20.179466244488498</v>
      </c>
      <c r="AR240" s="2">
        <v>19.804526966663602</v>
      </c>
      <c r="AS240" s="2">
        <v>18.959588798939599</v>
      </c>
      <c r="AT240" s="2">
        <v>20.102542958053899</v>
      </c>
      <c r="AU240" s="2">
        <v>19.402171735695401</v>
      </c>
      <c r="AV240" s="2">
        <v>20.043116674714</v>
      </c>
      <c r="AW240" s="2">
        <v>19.574403588319399</v>
      </c>
      <c r="AX240" s="2">
        <v>19.4693545476322</v>
      </c>
      <c r="AY240" s="2">
        <v>20.397202366129999</v>
      </c>
      <c r="AZ240" s="2">
        <v>19.355151171914098</v>
      </c>
      <c r="BA240" s="2">
        <v>18.985519080747402</v>
      </c>
      <c r="BB240" s="2">
        <v>19.684065142278801</v>
      </c>
      <c r="BC240" s="2">
        <v>19.621678614163201</v>
      </c>
      <c r="BD240" s="2">
        <v>19.868164856354099</v>
      </c>
      <c r="BE240" s="2">
        <v>20.2815156203757</v>
      </c>
      <c r="BF240" s="2">
        <v>19.620535384114699</v>
      </c>
      <c r="BG240" s="2">
        <v>19.2357536069965</v>
      </c>
      <c r="BH240" s="2">
        <v>19.7984774018115</v>
      </c>
      <c r="BI240" s="2">
        <v>19.8078795565328</v>
      </c>
      <c r="BJ240" s="2">
        <v>19.690697569173299</v>
      </c>
      <c r="BK240" s="2">
        <v>19.976930176501</v>
      </c>
      <c r="BL240" s="2">
        <v>19.3787727380797</v>
      </c>
      <c r="BM240" s="2">
        <v>20.608300770109899</v>
      </c>
      <c r="BN240" s="2">
        <v>20.855367765225001</v>
      </c>
      <c r="BO240" s="2">
        <v>19.1062729308216</v>
      </c>
      <c r="BP240" s="2">
        <v>19.398302153851802</v>
      </c>
      <c r="BQ240" s="2">
        <v>19.823167245821299</v>
      </c>
      <c r="BR240" s="2">
        <v>19.146070067892801</v>
      </c>
      <c r="BS240" s="2">
        <v>19.423555192762599</v>
      </c>
      <c r="BT240" s="2">
        <v>19.0691659701207</v>
      </c>
      <c r="BU240" s="2">
        <v>19.1405025336386</v>
      </c>
      <c r="BV240" s="2">
        <v>18.6933893533953</v>
      </c>
      <c r="BW240" s="2">
        <v>19.364537957878099</v>
      </c>
      <c r="BX240" s="2">
        <v>19.111657804684501</v>
      </c>
      <c r="BY240" s="2">
        <v>20.154549704447401</v>
      </c>
      <c r="BZ240" s="2">
        <v>19.8434812567445</v>
      </c>
      <c r="CA240" s="2">
        <v>18.713121228047001</v>
      </c>
      <c r="CB240" s="2">
        <v>19.323762744958302</v>
      </c>
      <c r="CC240" s="2">
        <v>19.469532520429301</v>
      </c>
      <c r="CD240" s="2">
        <v>19.3811357965795</v>
      </c>
      <c r="CE240" s="2">
        <v>19.893194831149799</v>
      </c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</row>
    <row r="241" spans="1:97">
      <c r="A241" s="2" t="s">
        <v>2578</v>
      </c>
      <c r="B241" s="2">
        <v>197.08151000000001</v>
      </c>
      <c r="C241" s="2">
        <v>5.0810000000000004</v>
      </c>
      <c r="D241" s="2" t="s">
        <v>146</v>
      </c>
      <c r="E241" s="2" t="s">
        <v>2579</v>
      </c>
      <c r="F241" s="2" t="s">
        <v>2580</v>
      </c>
      <c r="G241" s="2">
        <v>63426</v>
      </c>
      <c r="H241" s="3" t="str">
        <f>HYPERLINK("https://cloud.oebiotech.com/#/lm/network/63426", "https://cloud.oebiotech.com/#/lm/network/63426")</f>
        <v>https://cloud.oebiotech.com/#/lm/network/63426</v>
      </c>
      <c r="I241" s="2" t="s">
        <v>2581</v>
      </c>
      <c r="J241" s="2">
        <v>94747</v>
      </c>
      <c r="K241" s="2"/>
      <c r="L241" s="2">
        <v>62374</v>
      </c>
      <c r="M241" s="2"/>
      <c r="N241" s="2"/>
      <c r="O241" s="2"/>
      <c r="P241" s="2"/>
      <c r="Q241" s="2"/>
      <c r="R241" s="2"/>
      <c r="S241" s="2" t="s">
        <v>2582</v>
      </c>
      <c r="T241" s="2" t="s">
        <v>2583</v>
      </c>
      <c r="U241" s="2" t="s">
        <v>2584</v>
      </c>
      <c r="V241" s="2" t="s">
        <v>338</v>
      </c>
      <c r="W241" s="2" t="s">
        <v>339</v>
      </c>
      <c r="X241" s="2" t="s">
        <v>340</v>
      </c>
      <c r="Y241" s="2" t="s">
        <v>341</v>
      </c>
      <c r="Z241" s="2" t="s">
        <v>341</v>
      </c>
      <c r="AA241" s="2" t="s">
        <v>342</v>
      </c>
      <c r="AB241" s="2" t="s">
        <v>101</v>
      </c>
      <c r="AC241" s="2">
        <v>69.91</v>
      </c>
      <c r="AD241" s="2">
        <v>97.72</v>
      </c>
      <c r="AE241" s="2">
        <v>73.790000000000006</v>
      </c>
      <c r="AF241" s="2" t="s">
        <v>2585</v>
      </c>
      <c r="AG241" s="2" t="s">
        <v>157</v>
      </c>
      <c r="AH241" s="2" t="s">
        <v>2586</v>
      </c>
      <c r="AI241" s="2">
        <v>2.0299999999999998</v>
      </c>
      <c r="AJ241" s="2">
        <v>20.638790539178999</v>
      </c>
      <c r="AK241" s="2">
        <v>20.525800541564202</v>
      </c>
      <c r="AL241" s="2">
        <v>20.4089045205553</v>
      </c>
      <c r="AM241" s="2">
        <v>20.500132451270598</v>
      </c>
      <c r="AN241" s="2">
        <v>20.496586494075899</v>
      </c>
      <c r="AO241" s="2">
        <v>20.440254804863599</v>
      </c>
      <c r="AP241" s="2">
        <v>20.598578771520799</v>
      </c>
      <c r="AQ241" s="2">
        <v>20.431824262598401</v>
      </c>
      <c r="AR241" s="2">
        <v>17.4131142774281</v>
      </c>
      <c r="AS241" s="2">
        <v>19.085500882914801</v>
      </c>
      <c r="AT241" s="2">
        <v>20.3352513899383</v>
      </c>
      <c r="AU241" s="2">
        <v>18.0915062031759</v>
      </c>
      <c r="AV241" s="2">
        <v>17.784159645053698</v>
      </c>
      <c r="AW241" s="2">
        <v>19.5867085489514</v>
      </c>
      <c r="AX241" s="2">
        <v>20.9981038909627</v>
      </c>
      <c r="AY241" s="2">
        <v>19.9788852671585</v>
      </c>
      <c r="AZ241" s="2">
        <v>18.635425333647799</v>
      </c>
      <c r="BA241" s="2">
        <v>19.125035078691901</v>
      </c>
      <c r="BB241" s="2">
        <v>19.852279409289402</v>
      </c>
      <c r="BC241" s="2">
        <v>21.404651720839201</v>
      </c>
      <c r="BD241" s="2">
        <v>20.950924843078699</v>
      </c>
      <c r="BE241" s="2">
        <v>20.593136142795501</v>
      </c>
      <c r="BF241" s="2">
        <v>21.6351900472064</v>
      </c>
      <c r="BG241" s="2">
        <v>20.5863336559358</v>
      </c>
      <c r="BH241" s="2">
        <v>19.272689578643099</v>
      </c>
      <c r="BI241" s="2">
        <v>21.759069308436001</v>
      </c>
      <c r="BJ241" s="2">
        <v>19.8117759299185</v>
      </c>
      <c r="BK241" s="2">
        <v>19.0171088541064</v>
      </c>
      <c r="BL241" s="2">
        <v>19.1188196148982</v>
      </c>
      <c r="BM241" s="2">
        <v>18.139766765346099</v>
      </c>
      <c r="BN241" s="2">
        <v>18.809008466846802</v>
      </c>
      <c r="BO241" s="2">
        <v>19.757077156464199</v>
      </c>
      <c r="BP241" s="2">
        <v>19.368438253813601</v>
      </c>
      <c r="BQ241" s="2">
        <v>20.722960716015098</v>
      </c>
      <c r="BR241" s="2">
        <v>21.2225720583155</v>
      </c>
      <c r="BS241" s="2">
        <v>19.798118374484002</v>
      </c>
      <c r="BT241" s="2">
        <v>19.233669805871799</v>
      </c>
      <c r="BU241" s="2">
        <v>19.4193754042225</v>
      </c>
      <c r="BV241" s="2">
        <v>18.850459002455501</v>
      </c>
      <c r="BW241" s="2">
        <v>20.5384828439499</v>
      </c>
      <c r="BX241" s="2">
        <v>21.3622449657346</v>
      </c>
      <c r="BY241" s="2">
        <v>20.5300266987492</v>
      </c>
      <c r="BZ241" s="2">
        <v>21.2060100649161</v>
      </c>
      <c r="CA241" s="2">
        <v>20.099926864071701</v>
      </c>
      <c r="CB241" s="2">
        <v>19.7035574943325</v>
      </c>
      <c r="CC241" s="2">
        <v>21.831900004558499</v>
      </c>
      <c r="CD241" s="2">
        <v>19.108071093121801</v>
      </c>
      <c r="CE241" s="2">
        <v>19.836804387626</v>
      </c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</row>
    <row r="242" spans="1:97">
      <c r="A242" s="2" t="s">
        <v>2587</v>
      </c>
      <c r="B242" s="2">
        <v>584.35708999999997</v>
      </c>
      <c r="C242" s="2">
        <v>10.792</v>
      </c>
      <c r="D242" s="2" t="s">
        <v>146</v>
      </c>
      <c r="E242" s="2" t="s">
        <v>2588</v>
      </c>
      <c r="F242" s="2" t="s">
        <v>2589</v>
      </c>
      <c r="G242" s="2">
        <v>198844</v>
      </c>
      <c r="H242" s="3" t="str">
        <f>HYPERLINK("https://cloud.oebiotech.com/#/lm/network/198844", "https://cloud.oebiotech.com/#/lm/network/198844")</f>
        <v>https://cloud.oebiotech.com/#/lm/network/198844</v>
      </c>
      <c r="I242" s="2" t="s">
        <v>2590</v>
      </c>
      <c r="J242" s="2"/>
      <c r="K242" s="2"/>
      <c r="L242" s="2">
        <v>137628355</v>
      </c>
      <c r="M242" s="2"/>
      <c r="N242" s="2"/>
      <c r="O242" s="2"/>
      <c r="P242" s="2"/>
      <c r="Q242" s="2"/>
      <c r="R242" s="2"/>
      <c r="S242" s="2"/>
      <c r="T242" s="2" t="s">
        <v>2591</v>
      </c>
      <c r="U242" s="2" t="s">
        <v>2592</v>
      </c>
      <c r="V242" s="2" t="s">
        <v>95</v>
      </c>
      <c r="W242" s="2" t="s">
        <v>152</v>
      </c>
      <c r="X242" s="2" t="s">
        <v>278</v>
      </c>
      <c r="Y242" s="2" t="s">
        <v>98</v>
      </c>
      <c r="Z242" s="2" t="s">
        <v>154</v>
      </c>
      <c r="AA242" s="2" t="s">
        <v>279</v>
      </c>
      <c r="AB242" s="2" t="s">
        <v>101</v>
      </c>
      <c r="AC242" s="2">
        <v>69.91</v>
      </c>
      <c r="AD242" s="2">
        <v>90.34</v>
      </c>
      <c r="AE242" s="2">
        <v>88.8</v>
      </c>
      <c r="AF242" s="2" t="s">
        <v>2593</v>
      </c>
      <c r="AG242" s="2" t="s">
        <v>157</v>
      </c>
      <c r="AH242" s="2" t="s">
        <v>2594</v>
      </c>
      <c r="AI242" s="2">
        <v>3.76</v>
      </c>
      <c r="AJ242" s="2">
        <v>19.538384229465201</v>
      </c>
      <c r="AK242" s="2">
        <v>19.7996512040637</v>
      </c>
      <c r="AL242" s="2">
        <v>19.341890264185899</v>
      </c>
      <c r="AM242" s="2">
        <v>19.514291886358599</v>
      </c>
      <c r="AN242" s="2">
        <v>19.4749811452232</v>
      </c>
      <c r="AO242" s="2">
        <v>19.276334949578999</v>
      </c>
      <c r="AP242" s="2">
        <v>19.034255211687899</v>
      </c>
      <c r="AQ242" s="2">
        <v>19.347192066076701</v>
      </c>
      <c r="AR242" s="2">
        <v>19.674128582520101</v>
      </c>
      <c r="AS242" s="2">
        <v>18.1917908280316</v>
      </c>
      <c r="AT242" s="2">
        <v>19.3049156330949</v>
      </c>
      <c r="AU242" s="2">
        <v>19.219804102925998</v>
      </c>
      <c r="AV242" s="2">
        <v>18.9218009358943</v>
      </c>
      <c r="AW242" s="2">
        <v>19.039504467138801</v>
      </c>
      <c r="AX242" s="2">
        <v>18.696588368369</v>
      </c>
      <c r="AY242" s="2">
        <v>19.895397182802299</v>
      </c>
      <c r="AZ242" s="2">
        <v>19.408556056415801</v>
      </c>
      <c r="BA242" s="2">
        <v>17.863477780885301</v>
      </c>
      <c r="BB242" s="2">
        <v>19.298156094748698</v>
      </c>
      <c r="BC242" s="2">
        <v>20.040602116457102</v>
      </c>
      <c r="BD242" s="2">
        <v>19.631218770796298</v>
      </c>
      <c r="BE242" s="2">
        <v>19.541331510731499</v>
      </c>
      <c r="BF242" s="2">
        <v>18.920067590427301</v>
      </c>
      <c r="BG242" s="2">
        <v>19.219148616322499</v>
      </c>
      <c r="BH242" s="2">
        <v>19.158370540587001</v>
      </c>
      <c r="BI242" s="2">
        <v>19.300528676571702</v>
      </c>
      <c r="BJ242" s="2">
        <v>19.456054618019401</v>
      </c>
      <c r="BK242" s="2">
        <v>19.253910069832202</v>
      </c>
      <c r="BL242" s="2">
        <v>19.707886810133601</v>
      </c>
      <c r="BM242" s="2">
        <v>18.599289604160901</v>
      </c>
      <c r="BN242" s="2">
        <v>19.314808647765101</v>
      </c>
      <c r="BO242" s="2">
        <v>19.073085146618499</v>
      </c>
      <c r="BP242" s="2">
        <v>19.108429405166799</v>
      </c>
      <c r="BQ242" s="2">
        <v>19.055375386931299</v>
      </c>
      <c r="BR242" s="2">
        <v>19.216903431251701</v>
      </c>
      <c r="BS242" s="2">
        <v>19.243742306532301</v>
      </c>
      <c r="BT242" s="2">
        <v>19.429854796491099</v>
      </c>
      <c r="BU242" s="2">
        <v>18.509362175731901</v>
      </c>
      <c r="BV242" s="2">
        <v>19.262289666352199</v>
      </c>
      <c r="BW242" s="2">
        <v>18.9393131951879</v>
      </c>
      <c r="BX242" s="2">
        <v>19.392860201425702</v>
      </c>
      <c r="BY242" s="2">
        <v>19.4846146439351</v>
      </c>
      <c r="BZ242" s="2">
        <v>19.094295459428398</v>
      </c>
      <c r="CA242" s="2">
        <v>18.597787751511401</v>
      </c>
      <c r="CB242" s="2">
        <v>18.4581877042496</v>
      </c>
      <c r="CC242" s="2">
        <v>19.2577935528297</v>
      </c>
      <c r="CD242" s="2">
        <v>19.2173273132377</v>
      </c>
      <c r="CE242" s="2">
        <v>18.482094025387699</v>
      </c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</row>
    <row r="243" spans="1:97">
      <c r="A243" s="2" t="s">
        <v>2595</v>
      </c>
      <c r="B243" s="2">
        <v>172.09759</v>
      </c>
      <c r="C243" s="2">
        <v>4.68</v>
      </c>
      <c r="D243" s="2" t="s">
        <v>146</v>
      </c>
      <c r="E243" s="2" t="s">
        <v>2596</v>
      </c>
      <c r="F243" s="2" t="s">
        <v>2597</v>
      </c>
      <c r="G243" s="2">
        <v>51519</v>
      </c>
      <c r="H243" s="3" t="str">
        <f>HYPERLINK("https://cloud.oebiotech.com/#/lm/network/51519", "https://cloud.oebiotech.com/#/lm/network/51519")</f>
        <v>https://cloud.oebiotech.com/#/lm/network/51519</v>
      </c>
      <c r="I243" s="2" t="s">
        <v>2598</v>
      </c>
      <c r="J243" s="2">
        <v>43866</v>
      </c>
      <c r="K243" s="2"/>
      <c r="L243" s="2">
        <v>70912</v>
      </c>
      <c r="M243" s="2" t="s">
        <v>2599</v>
      </c>
      <c r="N243" s="2"/>
      <c r="O243" s="2"/>
      <c r="P243" s="2">
        <v>17786</v>
      </c>
      <c r="Q243" s="2"/>
      <c r="R243" s="2"/>
      <c r="S243" s="2" t="s">
        <v>2600</v>
      </c>
      <c r="T243" s="2" t="s">
        <v>2601</v>
      </c>
      <c r="U243" s="2" t="s">
        <v>2602</v>
      </c>
      <c r="V243" s="2" t="s">
        <v>115</v>
      </c>
      <c r="W243" s="2" t="s">
        <v>116</v>
      </c>
      <c r="X243" s="2" t="s">
        <v>117</v>
      </c>
      <c r="Y243" s="2" t="s">
        <v>118</v>
      </c>
      <c r="Z243" s="2" t="s">
        <v>119</v>
      </c>
      <c r="AA243" s="2" t="s">
        <v>120</v>
      </c>
      <c r="AB243" s="2" t="s">
        <v>101</v>
      </c>
      <c r="AC243" s="2">
        <v>69.88</v>
      </c>
      <c r="AD243" s="2">
        <v>95.03</v>
      </c>
      <c r="AE243" s="2">
        <v>79.47</v>
      </c>
      <c r="AF243" s="2" t="s">
        <v>2603</v>
      </c>
      <c r="AG243" s="2" t="s">
        <v>194</v>
      </c>
      <c r="AH243" s="2" t="s">
        <v>2604</v>
      </c>
      <c r="AI243" s="2">
        <v>1.74</v>
      </c>
      <c r="AJ243" s="2">
        <v>19.940808391905001</v>
      </c>
      <c r="AK243" s="2">
        <v>19.8292069611696</v>
      </c>
      <c r="AL243" s="2">
        <v>20.590076235245299</v>
      </c>
      <c r="AM243" s="2">
        <v>19.863521186636099</v>
      </c>
      <c r="AN243" s="2">
        <v>19.982279086335801</v>
      </c>
      <c r="AO243" s="2">
        <v>20.1178224278447</v>
      </c>
      <c r="AP243" s="2">
        <v>20.017486349909799</v>
      </c>
      <c r="AQ243" s="2">
        <v>20.290551490493499</v>
      </c>
      <c r="AR243" s="2">
        <v>18.9298321935206</v>
      </c>
      <c r="AS243" s="2">
        <v>19.5489154296022</v>
      </c>
      <c r="AT243" s="2">
        <v>19.804438058568699</v>
      </c>
      <c r="AU243" s="2">
        <v>19.236056668011901</v>
      </c>
      <c r="AV243" s="2">
        <v>19.480395975808101</v>
      </c>
      <c r="AW243" s="2">
        <v>20.030187726971501</v>
      </c>
      <c r="AX243" s="2">
        <v>20.080735516123699</v>
      </c>
      <c r="AY243" s="2">
        <v>20.163712257510799</v>
      </c>
      <c r="AZ243" s="2">
        <v>20.014490774888301</v>
      </c>
      <c r="BA243" s="2">
        <v>19.776370571198299</v>
      </c>
      <c r="BB243" s="2">
        <v>19.941216748245001</v>
      </c>
      <c r="BC243" s="2">
        <v>19.3353769419016</v>
      </c>
      <c r="BD243" s="2">
        <v>19.5222710457932</v>
      </c>
      <c r="BE243" s="2">
        <v>20.1222462683583</v>
      </c>
      <c r="BF243" s="2">
        <v>19.958142226384702</v>
      </c>
      <c r="BG243" s="2">
        <v>20.9103081023461</v>
      </c>
      <c r="BH243" s="2">
        <v>20.071812275378299</v>
      </c>
      <c r="BI243" s="2">
        <v>20.052516576612099</v>
      </c>
      <c r="BJ243" s="2">
        <v>20.8742712480013</v>
      </c>
      <c r="BK243" s="2">
        <v>20.466335335776499</v>
      </c>
      <c r="BL243" s="2">
        <v>19.724997987592999</v>
      </c>
      <c r="BM243" s="2">
        <v>20.006671100313199</v>
      </c>
      <c r="BN243" s="2">
        <v>19.616227134156102</v>
      </c>
      <c r="BO243" s="2">
        <v>20.122256621142899</v>
      </c>
      <c r="BP243" s="2">
        <v>19.8692981359961</v>
      </c>
      <c r="BQ243" s="2">
        <v>20.166073801650899</v>
      </c>
      <c r="BR243" s="2">
        <v>20.1051996361794</v>
      </c>
      <c r="BS243" s="2">
        <v>19.9319700876101</v>
      </c>
      <c r="BT243" s="2">
        <v>19.0227655234896</v>
      </c>
      <c r="BU243" s="2">
        <v>19.510704856537799</v>
      </c>
      <c r="BV243" s="2">
        <v>19.965965244189501</v>
      </c>
      <c r="BW243" s="2">
        <v>19.601610943082701</v>
      </c>
      <c r="BX243" s="2">
        <v>20.045503933989799</v>
      </c>
      <c r="BY243" s="2">
        <v>20.258007468000901</v>
      </c>
      <c r="BZ243" s="2">
        <v>20.111291619679101</v>
      </c>
      <c r="CA243" s="2">
        <v>20.425740035094002</v>
      </c>
      <c r="CB243" s="2">
        <v>20.165592562752</v>
      </c>
      <c r="CC243" s="2">
        <v>19.9580313349365</v>
      </c>
      <c r="CD243" s="2">
        <v>20.3512014513806</v>
      </c>
      <c r="CE243" s="2">
        <v>19.989616092391302</v>
      </c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</row>
    <row r="244" spans="1:97">
      <c r="A244" s="2" t="s">
        <v>2605</v>
      </c>
      <c r="B244" s="2">
        <v>476.27674000000002</v>
      </c>
      <c r="C244" s="2">
        <v>9.9179999999999993</v>
      </c>
      <c r="D244" s="2" t="s">
        <v>84</v>
      </c>
      <c r="E244" s="2" t="s">
        <v>2606</v>
      </c>
      <c r="F244" s="2" t="s">
        <v>2607</v>
      </c>
      <c r="G244" s="2">
        <v>21204</v>
      </c>
      <c r="H244" s="3" t="str">
        <f>HYPERLINK("https://cloud.oebiotech.com/#/lm/network/21204", "https://cloud.oebiotech.com/#/lm/network/21204")</f>
        <v>https://cloud.oebiotech.com/#/lm/network/21204</v>
      </c>
      <c r="I244" s="2" t="s">
        <v>2608</v>
      </c>
      <c r="J244" s="2">
        <v>62267</v>
      </c>
      <c r="K244" s="2" t="s">
        <v>2609</v>
      </c>
      <c r="L244" s="2">
        <v>53480928</v>
      </c>
      <c r="M244" s="2"/>
      <c r="N244" s="2"/>
      <c r="O244" s="2"/>
      <c r="P244" s="2"/>
      <c r="Q244" s="2"/>
      <c r="R244" s="2"/>
      <c r="S244" s="2"/>
      <c r="T244" s="2" t="s">
        <v>2610</v>
      </c>
      <c r="U244" s="2" t="s">
        <v>2611</v>
      </c>
      <c r="V244" s="2" t="s">
        <v>95</v>
      </c>
      <c r="W244" s="2" t="s">
        <v>202</v>
      </c>
      <c r="X244" s="2" t="s">
        <v>327</v>
      </c>
      <c r="Y244" s="2" t="s">
        <v>98</v>
      </c>
      <c r="Z244" s="2" t="s">
        <v>204</v>
      </c>
      <c r="AA244" s="2" t="s">
        <v>328</v>
      </c>
      <c r="AB244" s="2" t="s">
        <v>101</v>
      </c>
      <c r="AC244" s="2">
        <v>69.83</v>
      </c>
      <c r="AD244" s="2">
        <v>96.22</v>
      </c>
      <c r="AE244" s="2">
        <v>67.69</v>
      </c>
      <c r="AF244" s="2" t="s">
        <v>2612</v>
      </c>
      <c r="AG244" s="2" t="s">
        <v>103</v>
      </c>
      <c r="AH244" s="2" t="s">
        <v>2613</v>
      </c>
      <c r="AI244" s="2">
        <v>1.05</v>
      </c>
      <c r="AJ244" s="2">
        <v>20.926365771118</v>
      </c>
      <c r="AK244" s="2">
        <v>20.6285395930642</v>
      </c>
      <c r="AL244" s="2">
        <v>20.7129281821225</v>
      </c>
      <c r="AM244" s="2">
        <v>21.239083216468</v>
      </c>
      <c r="AN244" s="2">
        <v>21.188793263968599</v>
      </c>
      <c r="AO244" s="2">
        <v>21.197276959353701</v>
      </c>
      <c r="AP244" s="2">
        <v>20.3591655388623</v>
      </c>
      <c r="AQ244" s="2">
        <v>21.103876888933598</v>
      </c>
      <c r="AR244" s="2">
        <v>21.0483578936722</v>
      </c>
      <c r="AS244" s="2">
        <v>19.205736487400198</v>
      </c>
      <c r="AT244" s="2">
        <v>19.9613895083092</v>
      </c>
      <c r="AU244" s="2">
        <v>21.922937527201402</v>
      </c>
      <c r="AV244" s="2">
        <v>21.254768473928401</v>
      </c>
      <c r="AW244" s="2">
        <v>21.446825673542101</v>
      </c>
      <c r="AX244" s="2">
        <v>20.266147084542101</v>
      </c>
      <c r="AY244" s="2">
        <v>20.733983590558001</v>
      </c>
      <c r="AZ244" s="2">
        <v>21.335201620877299</v>
      </c>
      <c r="BA244" s="2">
        <v>19.7838966709967</v>
      </c>
      <c r="BB244" s="2">
        <v>19.462292372870699</v>
      </c>
      <c r="BC244" s="2">
        <v>19.538209700356699</v>
      </c>
      <c r="BD244" s="2">
        <v>20.190735689820901</v>
      </c>
      <c r="BE244" s="2">
        <v>19.988076964615502</v>
      </c>
      <c r="BF244" s="2">
        <v>20.501790642467501</v>
      </c>
      <c r="BG244" s="2">
        <v>21.0269014879803</v>
      </c>
      <c r="BH244" s="2">
        <v>20.5405232661683</v>
      </c>
      <c r="BI244" s="2">
        <v>21.419300891613702</v>
      </c>
      <c r="BJ244" s="2">
        <v>20.064093743833102</v>
      </c>
      <c r="BK244" s="2">
        <v>20.1004292259273</v>
      </c>
      <c r="BL244" s="2">
        <v>20.686113793702098</v>
      </c>
      <c r="BM244" s="2">
        <v>21.810968789055998</v>
      </c>
      <c r="BN244" s="2">
        <v>20.8608477474117</v>
      </c>
      <c r="BO244" s="2">
        <v>20.810446116419101</v>
      </c>
      <c r="BP244" s="2">
        <v>20.416038830255101</v>
      </c>
      <c r="BQ244" s="2">
        <v>21.108405813581399</v>
      </c>
      <c r="BR244" s="2">
        <v>22.175332321000599</v>
      </c>
      <c r="BS244" s="2">
        <v>21.8402134576625</v>
      </c>
      <c r="BT244" s="2">
        <v>20.688435432872499</v>
      </c>
      <c r="BU244" s="2">
        <v>20.157475419175</v>
      </c>
      <c r="BV244" s="2">
        <v>20.854644839073</v>
      </c>
      <c r="BW244" s="2">
        <v>18.665973139329498</v>
      </c>
      <c r="BX244" s="2">
        <v>20.2576642977609</v>
      </c>
      <c r="BY244" s="2">
        <v>21.325651951199401</v>
      </c>
      <c r="BZ244" s="2">
        <v>20.208103742050799</v>
      </c>
      <c r="CA244" s="2">
        <v>21.4266248603051</v>
      </c>
      <c r="CB244" s="2">
        <v>20.754334246892501</v>
      </c>
      <c r="CC244" s="2">
        <v>21.2111900103591</v>
      </c>
      <c r="CD244" s="2">
        <v>20.126047832364101</v>
      </c>
      <c r="CE244" s="2">
        <v>20.266724248931499</v>
      </c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</row>
    <row r="245" spans="1:97">
      <c r="A245" s="2" t="s">
        <v>2614</v>
      </c>
      <c r="B245" s="2">
        <v>489.35789999999997</v>
      </c>
      <c r="C245" s="2">
        <v>11.379</v>
      </c>
      <c r="D245" s="2" t="s">
        <v>146</v>
      </c>
      <c r="E245" s="2" t="s">
        <v>2615</v>
      </c>
      <c r="F245" s="2" t="s">
        <v>2616</v>
      </c>
      <c r="G245" s="2">
        <v>45585</v>
      </c>
      <c r="H245" s="3" t="str">
        <f>HYPERLINK("https://cloud.oebiotech.com/#/lm/network/45585", "https://cloud.oebiotech.com/#/lm/network/45585")</f>
        <v>https://cloud.oebiotech.com/#/lm/network/45585</v>
      </c>
      <c r="I245" s="2"/>
      <c r="J245" s="2"/>
      <c r="K245" s="2" t="s">
        <v>2617</v>
      </c>
      <c r="L245" s="2">
        <v>9547528</v>
      </c>
      <c r="M245" s="2"/>
      <c r="N245" s="2"/>
      <c r="O245" s="2"/>
      <c r="P245" s="2"/>
      <c r="Q245" s="2"/>
      <c r="R245" s="2"/>
      <c r="S245" s="2"/>
      <c r="T245" s="2" t="s">
        <v>2618</v>
      </c>
      <c r="U245" s="2" t="s">
        <v>2619</v>
      </c>
      <c r="V245" s="2" t="s">
        <v>95</v>
      </c>
      <c r="W245" s="2" t="s">
        <v>152</v>
      </c>
      <c r="X245" s="2" t="s">
        <v>1484</v>
      </c>
      <c r="Y245" s="2" t="s">
        <v>98</v>
      </c>
      <c r="Z245" s="2" t="s">
        <v>154</v>
      </c>
      <c r="AA245" s="2" t="s">
        <v>1485</v>
      </c>
      <c r="AB245" s="2" t="s">
        <v>101</v>
      </c>
      <c r="AC245" s="2">
        <v>69.790000000000006</v>
      </c>
      <c r="AD245" s="2">
        <v>94.81</v>
      </c>
      <c r="AE245" s="2">
        <v>72.09</v>
      </c>
      <c r="AF245" s="2" t="s">
        <v>2620</v>
      </c>
      <c r="AG245" s="2" t="s">
        <v>157</v>
      </c>
      <c r="AH245" s="2" t="s">
        <v>2621</v>
      </c>
      <c r="AI245" s="2">
        <v>1.43</v>
      </c>
      <c r="AJ245" s="2">
        <v>20.558226138045601</v>
      </c>
      <c r="AK245" s="2">
        <v>19.807119088034199</v>
      </c>
      <c r="AL245" s="2">
        <v>19.9425900159953</v>
      </c>
      <c r="AM245" s="2">
        <v>20.054862980586002</v>
      </c>
      <c r="AN245" s="2">
        <v>20.0443558682421</v>
      </c>
      <c r="AO245" s="2">
        <v>20.030461257785401</v>
      </c>
      <c r="AP245" s="2">
        <v>19.184823828231998</v>
      </c>
      <c r="AQ245" s="2">
        <v>20.165056397863101</v>
      </c>
      <c r="AR245" s="2">
        <v>19.972601132669801</v>
      </c>
      <c r="AS245" s="2">
        <v>18.975982973706699</v>
      </c>
      <c r="AT245" s="2">
        <v>20.1342548626459</v>
      </c>
      <c r="AU245" s="2">
        <v>19.740027744385699</v>
      </c>
      <c r="AV245" s="2">
        <v>19.906545172738198</v>
      </c>
      <c r="AW245" s="2">
        <v>20.874444597359499</v>
      </c>
      <c r="AX245" s="2">
        <v>19.3060010594935</v>
      </c>
      <c r="AY245" s="2">
        <v>21.557543389570199</v>
      </c>
      <c r="AZ245" s="2">
        <v>20.709970437084198</v>
      </c>
      <c r="BA245" s="2">
        <v>20.055306084396001</v>
      </c>
      <c r="BB245" s="2">
        <v>19.775396224137999</v>
      </c>
      <c r="BC245" s="2">
        <v>20.8220257217484</v>
      </c>
      <c r="BD245" s="2">
        <v>18.6579100063305</v>
      </c>
      <c r="BE245" s="2">
        <v>20.411541378991199</v>
      </c>
      <c r="BF245" s="2">
        <v>20.011880026178002</v>
      </c>
      <c r="BG245" s="2">
        <v>19.742738024521401</v>
      </c>
      <c r="BH245" s="2">
        <v>19.322161113935898</v>
      </c>
      <c r="BI245" s="2">
        <v>19.805740031172501</v>
      </c>
      <c r="BJ245" s="2">
        <v>20.422499174468001</v>
      </c>
      <c r="BK245" s="2">
        <v>19.008855354412301</v>
      </c>
      <c r="BL245" s="2">
        <v>20.3298229501885</v>
      </c>
      <c r="BM245" s="2">
        <v>19.4859456301031</v>
      </c>
      <c r="BN245" s="2">
        <v>19.8904246045111</v>
      </c>
      <c r="BO245" s="2">
        <v>19.916796260769502</v>
      </c>
      <c r="BP245" s="2">
        <v>19.401160226624</v>
      </c>
      <c r="BQ245" s="2">
        <v>20.290786325835899</v>
      </c>
      <c r="BR245" s="2">
        <v>19.2554548607743</v>
      </c>
      <c r="BS245" s="2">
        <v>21.3017568369117</v>
      </c>
      <c r="BT245" s="2">
        <v>20.4998566774434</v>
      </c>
      <c r="BU245" s="2">
        <v>20.326508904617199</v>
      </c>
      <c r="BV245" s="2">
        <v>19.7377119268676</v>
      </c>
      <c r="BW245" s="2">
        <v>19.570653574805799</v>
      </c>
      <c r="BX245" s="2">
        <v>18.6511046108957</v>
      </c>
      <c r="BY245" s="2">
        <v>20.8941472342824</v>
      </c>
      <c r="BZ245" s="2">
        <v>19.536931381045001</v>
      </c>
      <c r="CA245" s="2">
        <v>19.4551564986762</v>
      </c>
      <c r="CB245" s="2">
        <v>19.2668402190106</v>
      </c>
      <c r="CC245" s="2">
        <v>19.466130325595302</v>
      </c>
      <c r="CD245" s="2">
        <v>20.685769946406499</v>
      </c>
      <c r="CE245" s="2">
        <v>19.136633817438</v>
      </c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</row>
    <row r="246" spans="1:97">
      <c r="A246" s="2" t="s">
        <v>2622</v>
      </c>
      <c r="B246" s="2">
        <v>570.35477000000003</v>
      </c>
      <c r="C246" s="2">
        <v>10.565</v>
      </c>
      <c r="D246" s="2" t="s">
        <v>84</v>
      </c>
      <c r="E246" s="2" t="s">
        <v>2623</v>
      </c>
      <c r="F246" s="2" t="s">
        <v>2624</v>
      </c>
      <c r="G246" s="2">
        <v>63824</v>
      </c>
      <c r="H246" s="3" t="str">
        <f>HYPERLINK("https://cloud.oebiotech.com/#/lm/network/63824", "https://cloud.oebiotech.com/#/lm/network/63824")</f>
        <v>https://cloud.oebiotech.com/#/lm/network/63824</v>
      </c>
      <c r="I246" s="2" t="s">
        <v>2625</v>
      </c>
      <c r="J246" s="2">
        <v>95159</v>
      </c>
      <c r="K246" s="2"/>
      <c r="L246" s="2">
        <v>177097</v>
      </c>
      <c r="M246" s="2"/>
      <c r="N246" s="2"/>
      <c r="O246" s="2"/>
      <c r="P246" s="2"/>
      <c r="Q246" s="2"/>
      <c r="R246" s="2"/>
      <c r="S246" s="2" t="s">
        <v>2626</v>
      </c>
      <c r="T246" s="2" t="s">
        <v>2627</v>
      </c>
      <c r="U246" s="2" t="s">
        <v>2628</v>
      </c>
      <c r="V246" s="2" t="s">
        <v>553</v>
      </c>
      <c r="W246" s="2" t="s">
        <v>2629</v>
      </c>
      <c r="X246" s="2" t="s">
        <v>375</v>
      </c>
      <c r="Y246" s="2" t="s">
        <v>556</v>
      </c>
      <c r="Z246" s="2" t="s">
        <v>2630</v>
      </c>
      <c r="AA246" s="2"/>
      <c r="AB246" s="2" t="s">
        <v>101</v>
      </c>
      <c r="AC246" s="2">
        <v>69.77</v>
      </c>
      <c r="AD246" s="2">
        <v>92.92</v>
      </c>
      <c r="AE246" s="2">
        <v>95.54</v>
      </c>
      <c r="AF246" s="2" t="s">
        <v>2631</v>
      </c>
      <c r="AG246" s="2" t="s">
        <v>103</v>
      </c>
      <c r="AH246" s="2" t="s">
        <v>2632</v>
      </c>
      <c r="AI246" s="2">
        <v>5.26</v>
      </c>
      <c r="AJ246" s="2">
        <v>24.6229512835138</v>
      </c>
      <c r="AK246" s="2">
        <v>24.8346715027428</v>
      </c>
      <c r="AL246" s="2">
        <v>24.899091469491299</v>
      </c>
      <c r="AM246" s="2">
        <v>24.542500859387999</v>
      </c>
      <c r="AN246" s="2">
        <v>24.888869183582798</v>
      </c>
      <c r="AO246" s="2">
        <v>24.841797052638601</v>
      </c>
      <c r="AP246" s="2">
        <v>25.0365652868268</v>
      </c>
      <c r="AQ246" s="2">
        <v>25.0363481888715</v>
      </c>
      <c r="AR246" s="2">
        <v>25.379364125474002</v>
      </c>
      <c r="AS246" s="2">
        <v>23.431374829414299</v>
      </c>
      <c r="AT246" s="2">
        <v>23.824961555959501</v>
      </c>
      <c r="AU246" s="2">
        <v>23.941408611336499</v>
      </c>
      <c r="AV246" s="2">
        <v>23.9725051171913</v>
      </c>
      <c r="AW246" s="2">
        <v>24.9728081603775</v>
      </c>
      <c r="AX246" s="2">
        <v>24.710410798146501</v>
      </c>
      <c r="AY246" s="2">
        <v>24.383088580700001</v>
      </c>
      <c r="AZ246" s="2">
        <v>24.699705102249499</v>
      </c>
      <c r="BA246" s="2">
        <v>23.847864547412701</v>
      </c>
      <c r="BB246" s="2">
        <v>23.735295269404499</v>
      </c>
      <c r="BC246" s="2">
        <v>24.368657665268099</v>
      </c>
      <c r="BD246" s="2">
        <v>24.739801133163802</v>
      </c>
      <c r="BE246" s="2">
        <v>24.8720844431259</v>
      </c>
      <c r="BF246" s="2">
        <v>25.0488311317498</v>
      </c>
      <c r="BG246" s="2">
        <v>25.289499481812602</v>
      </c>
      <c r="BH246" s="2">
        <v>24.902795899069002</v>
      </c>
      <c r="BI246" s="2">
        <v>25.0663471869522</v>
      </c>
      <c r="BJ246" s="2">
        <v>25.567866671468199</v>
      </c>
      <c r="BK246" s="2">
        <v>24.885605643929701</v>
      </c>
      <c r="BL246" s="2">
        <v>24.643420461932902</v>
      </c>
      <c r="BM246" s="2">
        <v>24.0117164406687</v>
      </c>
      <c r="BN246" s="2">
        <v>24.556214378572101</v>
      </c>
      <c r="BO246" s="2">
        <v>24.451449066193501</v>
      </c>
      <c r="BP246" s="2">
        <v>24.7085135640217</v>
      </c>
      <c r="BQ246" s="2">
        <v>24.520753812158102</v>
      </c>
      <c r="BR246" s="2">
        <v>24.7883790177682</v>
      </c>
      <c r="BS246" s="2">
        <v>25.599941199400799</v>
      </c>
      <c r="BT246" s="2">
        <v>25.415117013481201</v>
      </c>
      <c r="BU246" s="2">
        <v>24.1596324451736</v>
      </c>
      <c r="BV246" s="2">
        <v>24.567527355001801</v>
      </c>
      <c r="BW246" s="2">
        <v>23.647722754240899</v>
      </c>
      <c r="BX246" s="2">
        <v>24.553411047184198</v>
      </c>
      <c r="BY246" s="2">
        <v>25.285487663310199</v>
      </c>
      <c r="BZ246" s="2">
        <v>24.631142081408701</v>
      </c>
      <c r="CA246" s="2">
        <v>25.101747058467598</v>
      </c>
      <c r="CB246" s="2">
        <v>25.4029806446562</v>
      </c>
      <c r="CC246" s="2">
        <v>24.225432721280701</v>
      </c>
      <c r="CD246" s="2">
        <v>25.424041538034299</v>
      </c>
      <c r="CE246" s="2">
        <v>24.368110040459801</v>
      </c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</row>
    <row r="247" spans="1:97">
      <c r="A247" s="2" t="s">
        <v>2633</v>
      </c>
      <c r="B247" s="2">
        <v>258.99119999999999</v>
      </c>
      <c r="C247" s="2">
        <v>4.2030000000000003</v>
      </c>
      <c r="D247" s="2" t="s">
        <v>146</v>
      </c>
      <c r="E247" s="2" t="s">
        <v>2634</v>
      </c>
      <c r="F247" s="2" t="s">
        <v>2635</v>
      </c>
      <c r="G247" s="2">
        <v>197171</v>
      </c>
      <c r="H247" s="3" t="str">
        <f>HYPERLINK("https://cloud.oebiotech.com/#/lm/network/197171", "https://cloud.oebiotech.com/#/lm/network/197171")</f>
        <v>https://cloud.oebiotech.com/#/lm/network/197171</v>
      </c>
      <c r="I247" s="2" t="s">
        <v>2636</v>
      </c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 t="s">
        <v>2637</v>
      </c>
      <c r="U247" s="2" t="s">
        <v>2638</v>
      </c>
      <c r="V247" s="2" t="s">
        <v>385</v>
      </c>
      <c r="W247" s="2" t="s">
        <v>386</v>
      </c>
      <c r="X247" s="2" t="s">
        <v>1059</v>
      </c>
      <c r="Y247" s="2" t="s">
        <v>388</v>
      </c>
      <c r="Z247" s="2" t="s">
        <v>389</v>
      </c>
      <c r="AA247" s="2" t="s">
        <v>1060</v>
      </c>
      <c r="AB247" s="2" t="s">
        <v>101</v>
      </c>
      <c r="AC247" s="2">
        <v>69.73</v>
      </c>
      <c r="AD247" s="2">
        <v>90.52</v>
      </c>
      <c r="AE247" s="2">
        <v>82.31</v>
      </c>
      <c r="AF247" s="2" t="s">
        <v>2639</v>
      </c>
      <c r="AG247" s="2" t="s">
        <v>993</v>
      </c>
      <c r="AH247" s="2" t="s">
        <v>2640</v>
      </c>
      <c r="AI247" s="2">
        <v>0</v>
      </c>
      <c r="AJ247" s="2">
        <v>17.252447755327701</v>
      </c>
      <c r="AK247" s="2">
        <v>17.361199829359599</v>
      </c>
      <c r="AL247" s="2">
        <v>17.429102006699502</v>
      </c>
      <c r="AM247" s="2">
        <v>17.4803287160153</v>
      </c>
      <c r="AN247" s="2">
        <v>17.365621103833199</v>
      </c>
      <c r="AO247" s="2">
        <v>17.228356315303301</v>
      </c>
      <c r="AP247" s="2">
        <v>17.093205952220998</v>
      </c>
      <c r="AQ247" s="2">
        <v>17.4050925046995</v>
      </c>
      <c r="AR247" s="2">
        <v>13.744815971847199</v>
      </c>
      <c r="AS247" s="2">
        <v>9.6233145402724691</v>
      </c>
      <c r="AT247" s="2">
        <v>9.6233145402724691</v>
      </c>
      <c r="AU247" s="2">
        <v>12.2754523484536</v>
      </c>
      <c r="AV247" s="2">
        <v>14.6825908534012</v>
      </c>
      <c r="AW247" s="2">
        <v>18.438122376873299</v>
      </c>
      <c r="AX247" s="2">
        <v>9.6233145402724691</v>
      </c>
      <c r="AY247" s="2">
        <v>14.475218543158</v>
      </c>
      <c r="AZ247" s="2">
        <v>9.6233145402724691</v>
      </c>
      <c r="BA247" s="2">
        <v>12.3290170500463</v>
      </c>
      <c r="BB247" s="2">
        <v>9.6233145402724691</v>
      </c>
      <c r="BC247" s="2">
        <v>13.6276809279116</v>
      </c>
      <c r="BD247" s="2">
        <v>11.970246125836599</v>
      </c>
      <c r="BE247" s="2">
        <v>9.6233145402724691</v>
      </c>
      <c r="BF247" s="2">
        <v>13.7520011051111</v>
      </c>
      <c r="BG247" s="2">
        <v>9.6233145402724691</v>
      </c>
      <c r="BH247" s="2">
        <v>9.6233145402724691</v>
      </c>
      <c r="BI247" s="2">
        <v>9.6233145402724691</v>
      </c>
      <c r="BJ247" s="2">
        <v>14.1898963521701</v>
      </c>
      <c r="BK247" s="2">
        <v>9.6233145402724691</v>
      </c>
      <c r="BL247" s="2">
        <v>12.0984894342982</v>
      </c>
      <c r="BM247" s="2">
        <v>17.905135470498301</v>
      </c>
      <c r="BN247" s="2">
        <v>14.692507077562601</v>
      </c>
      <c r="BO247" s="2">
        <v>12.7485723458969</v>
      </c>
      <c r="BP247" s="2">
        <v>13.7499825262333</v>
      </c>
      <c r="BQ247" s="2">
        <v>13.3922972957544</v>
      </c>
      <c r="BR247" s="2">
        <v>9.6233145402724691</v>
      </c>
      <c r="BS247" s="2">
        <v>19.596301388421601</v>
      </c>
      <c r="BT247" s="2">
        <v>14.165207718596999</v>
      </c>
      <c r="BU247" s="2">
        <v>9.6233145402724691</v>
      </c>
      <c r="BV247" s="2">
        <v>12.169110751066601</v>
      </c>
      <c r="BW247" s="2">
        <v>9.6233145402724691</v>
      </c>
      <c r="BX247" s="2">
        <v>15.062755754962</v>
      </c>
      <c r="BY247" s="2">
        <v>22.206276837725799</v>
      </c>
      <c r="BZ247" s="2">
        <v>9.6233145402724691</v>
      </c>
      <c r="CA247" s="2">
        <v>14.3026189338128</v>
      </c>
      <c r="CB247" s="2">
        <v>12.7280820681863</v>
      </c>
      <c r="CC247" s="2">
        <v>9.6233145402724691</v>
      </c>
      <c r="CD247" s="2">
        <v>18.766543239978201</v>
      </c>
      <c r="CE247" s="2">
        <v>9.6233145402724691</v>
      </c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</row>
    <row r="248" spans="1:97">
      <c r="A248" s="2" t="s">
        <v>2641</v>
      </c>
      <c r="B248" s="2">
        <v>358.25817999999998</v>
      </c>
      <c r="C248" s="2">
        <v>6.7859999999999996</v>
      </c>
      <c r="D248" s="2" t="s">
        <v>84</v>
      </c>
      <c r="E248" s="2" t="s">
        <v>2642</v>
      </c>
      <c r="F248" s="2" t="s">
        <v>2643</v>
      </c>
      <c r="G248" s="2">
        <v>197771</v>
      </c>
      <c r="H248" s="3" t="str">
        <f>HYPERLINK("https://cloud.oebiotech.com/#/lm/network/197771", "https://cloud.oebiotech.com/#/lm/network/197771")</f>
        <v>https://cloud.oebiotech.com/#/lm/network/197771</v>
      </c>
      <c r="I248" s="2" t="s">
        <v>2644</v>
      </c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 t="s">
        <v>2645</v>
      </c>
      <c r="U248" s="2" t="s">
        <v>2646</v>
      </c>
      <c r="V248" s="2" t="s">
        <v>95</v>
      </c>
      <c r="W248" s="2" t="s">
        <v>96</v>
      </c>
      <c r="X248" s="2" t="s">
        <v>97</v>
      </c>
      <c r="Y248" s="2" t="s">
        <v>98</v>
      </c>
      <c r="Z248" s="2" t="s">
        <v>99</v>
      </c>
      <c r="AA248" s="2" t="s">
        <v>100</v>
      </c>
      <c r="AB248" s="2" t="s">
        <v>101</v>
      </c>
      <c r="AC248" s="2">
        <v>69.709999999999994</v>
      </c>
      <c r="AD248" s="2">
        <v>87.56</v>
      </c>
      <c r="AE248" s="2">
        <v>77.349999999999994</v>
      </c>
      <c r="AF248" s="2" t="s">
        <v>2647</v>
      </c>
      <c r="AG248" s="2" t="s">
        <v>103</v>
      </c>
      <c r="AH248" s="2" t="s">
        <v>2648</v>
      </c>
      <c r="AI248" s="2">
        <v>1.67</v>
      </c>
      <c r="AJ248" s="2">
        <v>19.3617905657552</v>
      </c>
      <c r="AK248" s="2">
        <v>18.9300531747623</v>
      </c>
      <c r="AL248" s="2">
        <v>19.1747194298766</v>
      </c>
      <c r="AM248" s="2">
        <v>18.974148110061499</v>
      </c>
      <c r="AN248" s="2">
        <v>19.073159642553001</v>
      </c>
      <c r="AO248" s="2">
        <v>19.7152137989465</v>
      </c>
      <c r="AP248" s="2">
        <v>19.188170080213101</v>
      </c>
      <c r="AQ248" s="2">
        <v>19.6933201961421</v>
      </c>
      <c r="AR248" s="2">
        <v>19.8324607356769</v>
      </c>
      <c r="AS248" s="2">
        <v>18.2391752199255</v>
      </c>
      <c r="AT248" s="2">
        <v>15.997847649017601</v>
      </c>
      <c r="AU248" s="2">
        <v>17.698878537069099</v>
      </c>
      <c r="AV248" s="2">
        <v>18.1742063884593</v>
      </c>
      <c r="AW248" s="2">
        <v>19.5516050087545</v>
      </c>
      <c r="AX248" s="2">
        <v>16.168795692956198</v>
      </c>
      <c r="AY248" s="2">
        <v>16.361443855237798</v>
      </c>
      <c r="AZ248" s="2">
        <v>18.0876971006392</v>
      </c>
      <c r="BA248" s="2">
        <v>19.139075876342499</v>
      </c>
      <c r="BB248" s="2">
        <v>19.054116273455101</v>
      </c>
      <c r="BC248" s="2">
        <v>18.341742967354001</v>
      </c>
      <c r="BD248" s="2">
        <v>15.0719897850311</v>
      </c>
      <c r="BE248" s="2">
        <v>17.866034284131501</v>
      </c>
      <c r="BF248" s="2">
        <v>15.996525126122799</v>
      </c>
      <c r="BG248" s="2">
        <v>16.2273622988799</v>
      </c>
      <c r="BH248" s="2">
        <v>18.403753857811701</v>
      </c>
      <c r="BI248" s="2">
        <v>18.495845621301601</v>
      </c>
      <c r="BJ248" s="2">
        <v>19.814989474437201</v>
      </c>
      <c r="BK248" s="2">
        <v>17.355507506098601</v>
      </c>
      <c r="BL248" s="2">
        <v>19.963967458723801</v>
      </c>
      <c r="BM248" s="2">
        <v>19.139754651719201</v>
      </c>
      <c r="BN248" s="2">
        <v>19.1837475546373</v>
      </c>
      <c r="BO248" s="2">
        <v>17.913385633262301</v>
      </c>
      <c r="BP248" s="2">
        <v>17.9573331703875</v>
      </c>
      <c r="BQ248" s="2">
        <v>19.249795644031899</v>
      </c>
      <c r="BR248" s="2">
        <v>20.031480825612601</v>
      </c>
      <c r="BS248" s="2">
        <v>18.478459138404599</v>
      </c>
      <c r="BT248" s="2">
        <v>18.687659653266099</v>
      </c>
      <c r="BU248" s="2">
        <v>19.389013714576102</v>
      </c>
      <c r="BV248" s="2">
        <v>18.955340289185798</v>
      </c>
      <c r="BW248" s="2">
        <v>15.881781941720901</v>
      </c>
      <c r="BX248" s="2">
        <v>18.1101410084093</v>
      </c>
      <c r="BY248" s="2">
        <v>18.574450802853701</v>
      </c>
      <c r="BZ248" s="2">
        <v>16.080880386047099</v>
      </c>
      <c r="CA248" s="2">
        <v>16.323369365323899</v>
      </c>
      <c r="CB248" s="2">
        <v>22.0710068165466</v>
      </c>
      <c r="CC248" s="2">
        <v>17.9990810723951</v>
      </c>
      <c r="CD248" s="2">
        <v>18.752630515637399</v>
      </c>
      <c r="CE248" s="2">
        <v>18.9279989978474</v>
      </c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</row>
    <row r="249" spans="1:97">
      <c r="A249" s="2" t="s">
        <v>2649</v>
      </c>
      <c r="B249" s="2">
        <v>514.28359999999998</v>
      </c>
      <c r="C249" s="2">
        <v>6.968</v>
      </c>
      <c r="D249" s="2" t="s">
        <v>146</v>
      </c>
      <c r="E249" s="2" t="s">
        <v>2650</v>
      </c>
      <c r="F249" s="2" t="s">
        <v>2651</v>
      </c>
      <c r="G249" s="2">
        <v>46743</v>
      </c>
      <c r="H249" s="3" t="str">
        <f>HYPERLINK("https://cloud.oebiotech.com/#/lm/network/46743", "https://cloud.oebiotech.com/#/lm/network/46743")</f>
        <v>https://cloud.oebiotech.com/#/lm/network/46743</v>
      </c>
      <c r="I249" s="2" t="s">
        <v>2652</v>
      </c>
      <c r="J249" s="2">
        <v>34542</v>
      </c>
      <c r="K249" s="2" t="s">
        <v>2653</v>
      </c>
      <c r="L249" s="2">
        <v>6675</v>
      </c>
      <c r="M249" s="2" t="s">
        <v>2654</v>
      </c>
      <c r="N249" s="2" t="s">
        <v>2655</v>
      </c>
      <c r="O249" s="2" t="s">
        <v>2656</v>
      </c>
      <c r="P249" s="2">
        <v>28865</v>
      </c>
      <c r="Q249" s="2"/>
      <c r="R249" s="2"/>
      <c r="S249" s="2" t="s">
        <v>2657</v>
      </c>
      <c r="T249" s="2" t="s">
        <v>2658</v>
      </c>
      <c r="U249" s="2" t="s">
        <v>2659</v>
      </c>
      <c r="V249" s="2" t="s">
        <v>95</v>
      </c>
      <c r="W249" s="2" t="s">
        <v>152</v>
      </c>
      <c r="X249" s="2" t="s">
        <v>278</v>
      </c>
      <c r="Y249" s="2" t="s">
        <v>98</v>
      </c>
      <c r="Z249" s="2" t="s">
        <v>154</v>
      </c>
      <c r="AA249" s="2" t="s">
        <v>279</v>
      </c>
      <c r="AB249" s="2" t="s">
        <v>101</v>
      </c>
      <c r="AC249" s="2">
        <v>69.599999999999994</v>
      </c>
      <c r="AD249" s="2">
        <v>94.46</v>
      </c>
      <c r="AE249" s="2">
        <v>90.84</v>
      </c>
      <c r="AF249" s="2" t="s">
        <v>2660</v>
      </c>
      <c r="AG249" s="2" t="s">
        <v>194</v>
      </c>
      <c r="AH249" s="2" t="s">
        <v>2661</v>
      </c>
      <c r="AI249" s="2">
        <v>1.56</v>
      </c>
      <c r="AJ249" s="2">
        <v>22.349622028353998</v>
      </c>
      <c r="AK249" s="2">
        <v>22.256510642058601</v>
      </c>
      <c r="AL249" s="2">
        <v>22.270334301208202</v>
      </c>
      <c r="AM249" s="2">
        <v>22.236274957507501</v>
      </c>
      <c r="AN249" s="2">
        <v>22.321926281501199</v>
      </c>
      <c r="AO249" s="2">
        <v>22.148048696544102</v>
      </c>
      <c r="AP249" s="2">
        <v>22.314470153147301</v>
      </c>
      <c r="AQ249" s="2">
        <v>22.311090576960002</v>
      </c>
      <c r="AR249" s="2">
        <v>20.329472609375699</v>
      </c>
      <c r="AS249" s="2">
        <v>15.127008094001599</v>
      </c>
      <c r="AT249" s="2">
        <v>19.288591749709401</v>
      </c>
      <c r="AU249" s="2">
        <v>20.676396698986199</v>
      </c>
      <c r="AV249" s="2">
        <v>18.544125196752699</v>
      </c>
      <c r="AW249" s="2">
        <v>22.354534498976399</v>
      </c>
      <c r="AX249" s="2">
        <v>17.667420873722801</v>
      </c>
      <c r="AY249" s="2">
        <v>21.4502243709785</v>
      </c>
      <c r="AZ249" s="2">
        <v>20.066477106519201</v>
      </c>
      <c r="BA249" s="2">
        <v>16.6279809526247</v>
      </c>
      <c r="BB249" s="2">
        <v>24.485246557820599</v>
      </c>
      <c r="BC249" s="2">
        <v>17.841465023897801</v>
      </c>
      <c r="BD249" s="2">
        <v>19.049845705101301</v>
      </c>
      <c r="BE249" s="2">
        <v>20.0024073572303</v>
      </c>
      <c r="BF249" s="2">
        <v>18.7349817138163</v>
      </c>
      <c r="BG249" s="2">
        <v>13.899969560550501</v>
      </c>
      <c r="BH249" s="2">
        <v>20.195394605146301</v>
      </c>
      <c r="BI249" s="2">
        <v>16.015170662147799</v>
      </c>
      <c r="BJ249" s="2">
        <v>16.4678506906208</v>
      </c>
      <c r="BK249" s="2">
        <v>20.3176011553299</v>
      </c>
      <c r="BL249" s="2">
        <v>15.5925796704782</v>
      </c>
      <c r="BM249" s="2">
        <v>21.153973465796799</v>
      </c>
      <c r="BN249" s="2">
        <v>20.8945395193055</v>
      </c>
      <c r="BO249" s="2">
        <v>19.553146687567001</v>
      </c>
      <c r="BP249" s="2">
        <v>9.6233145402724691</v>
      </c>
      <c r="BQ249" s="2">
        <v>18.637702543374001</v>
      </c>
      <c r="BR249" s="2">
        <v>19.434521254518099</v>
      </c>
      <c r="BS249" s="2">
        <v>20.1448183635767</v>
      </c>
      <c r="BT249" s="2">
        <v>19.421888316546202</v>
      </c>
      <c r="BU249" s="2">
        <v>15.412540738577899</v>
      </c>
      <c r="BV249" s="2">
        <v>22.842130585995701</v>
      </c>
      <c r="BW249" s="2">
        <v>17.254698055774799</v>
      </c>
      <c r="BX249" s="2">
        <v>19.159486182781301</v>
      </c>
      <c r="BY249" s="2">
        <v>19.483977848607498</v>
      </c>
      <c r="BZ249" s="2">
        <v>21.608380614031098</v>
      </c>
      <c r="CA249" s="2">
        <v>18.993521100118301</v>
      </c>
      <c r="CB249" s="2">
        <v>18.788653884263201</v>
      </c>
      <c r="CC249" s="2">
        <v>17.910098103986201</v>
      </c>
      <c r="CD249" s="2">
        <v>18.1248697439636</v>
      </c>
      <c r="CE249" s="2">
        <v>16.133388488520499</v>
      </c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</row>
    <row r="250" spans="1:97">
      <c r="A250" s="2" t="s">
        <v>2662</v>
      </c>
      <c r="B250" s="2">
        <v>153.06569999999999</v>
      </c>
      <c r="C250" s="2">
        <v>1.429</v>
      </c>
      <c r="D250" s="2" t="s">
        <v>84</v>
      </c>
      <c r="E250" s="2" t="s">
        <v>2663</v>
      </c>
      <c r="F250" s="2" t="s">
        <v>2664</v>
      </c>
      <c r="G250" s="2">
        <v>48256</v>
      </c>
      <c r="H250" s="3" t="str">
        <f>HYPERLINK("https://cloud.oebiotech.com/#/lm/network/48256", "https://cloud.oebiotech.com/#/lm/network/48256")</f>
        <v>https://cloud.oebiotech.com/#/lm/network/48256</v>
      </c>
      <c r="I250" s="2" t="s">
        <v>2665</v>
      </c>
      <c r="J250" s="2">
        <v>7025</v>
      </c>
      <c r="K250" s="2"/>
      <c r="L250" s="2">
        <v>69698</v>
      </c>
      <c r="M250" s="2" t="s">
        <v>2666</v>
      </c>
      <c r="N250" s="2" t="s">
        <v>2667</v>
      </c>
      <c r="O250" s="2" t="s">
        <v>2668</v>
      </c>
      <c r="P250" s="2">
        <v>27410</v>
      </c>
      <c r="Q250" s="2"/>
      <c r="R250" s="2"/>
      <c r="S250" s="2" t="s">
        <v>2669</v>
      </c>
      <c r="T250" s="2" t="s">
        <v>2670</v>
      </c>
      <c r="U250" s="2" t="s">
        <v>2671</v>
      </c>
      <c r="V250" s="2" t="s">
        <v>553</v>
      </c>
      <c r="W250" s="2" t="s">
        <v>2447</v>
      </c>
      <c r="X250" s="2" t="s">
        <v>2448</v>
      </c>
      <c r="Y250" s="2" t="s">
        <v>556</v>
      </c>
      <c r="Z250" s="2" t="s">
        <v>2449</v>
      </c>
      <c r="AA250" s="2" t="s">
        <v>2450</v>
      </c>
      <c r="AB250" s="2" t="s">
        <v>101</v>
      </c>
      <c r="AC250" s="2">
        <v>69.569999999999993</v>
      </c>
      <c r="AD250" s="2">
        <v>98.38</v>
      </c>
      <c r="AE250" s="2">
        <v>61.95</v>
      </c>
      <c r="AF250" s="2" t="s">
        <v>2672</v>
      </c>
      <c r="AG250" s="2" t="s">
        <v>103</v>
      </c>
      <c r="AH250" s="2" t="s">
        <v>2673</v>
      </c>
      <c r="AI250" s="2">
        <v>1.31</v>
      </c>
      <c r="AJ250" s="2">
        <v>24.352095289125099</v>
      </c>
      <c r="AK250" s="2">
        <v>24.393107351779602</v>
      </c>
      <c r="AL250" s="2">
        <v>24.462962948843799</v>
      </c>
      <c r="AM250" s="2">
        <v>23.484401237283301</v>
      </c>
      <c r="AN250" s="2">
        <v>24.580539893710199</v>
      </c>
      <c r="AO250" s="2">
        <v>24.194563362867001</v>
      </c>
      <c r="AP250" s="2">
        <v>24.539647759616301</v>
      </c>
      <c r="AQ250" s="2">
        <v>24.410287896807699</v>
      </c>
      <c r="AR250" s="2">
        <v>22.880960704882899</v>
      </c>
      <c r="AS250" s="2">
        <v>24.069007381012199</v>
      </c>
      <c r="AT250" s="2">
        <v>23.250372804488901</v>
      </c>
      <c r="AU250" s="2">
        <v>23.164268358161198</v>
      </c>
      <c r="AV250" s="2">
        <v>23.345291458233799</v>
      </c>
      <c r="AW250" s="2">
        <v>24.161563114800099</v>
      </c>
      <c r="AX250" s="2">
        <v>24.053735163741901</v>
      </c>
      <c r="AY250" s="2">
        <v>24.098982308882501</v>
      </c>
      <c r="AZ250" s="2">
        <v>23.156220753657401</v>
      </c>
      <c r="BA250" s="2">
        <v>24.088125801397599</v>
      </c>
      <c r="BB250" s="2">
        <v>24.8174867114619</v>
      </c>
      <c r="BC250" s="2">
        <v>23.8503999582177</v>
      </c>
      <c r="BD250" s="2">
        <v>21.960647129230399</v>
      </c>
      <c r="BE250" s="2">
        <v>23.721401452136401</v>
      </c>
      <c r="BF250" s="2">
        <v>22.874285632655099</v>
      </c>
      <c r="BG250" s="2">
        <v>25.139624802782301</v>
      </c>
      <c r="BH250" s="2">
        <v>23.1554073956537</v>
      </c>
      <c r="BI250" s="2">
        <v>24.535218904534698</v>
      </c>
      <c r="BJ250" s="2">
        <v>24.743891968959399</v>
      </c>
      <c r="BK250" s="2">
        <v>23.4718464429085</v>
      </c>
      <c r="BL250" s="2">
        <v>23.287039611230099</v>
      </c>
      <c r="BM250" s="2">
        <v>23.519060587447299</v>
      </c>
      <c r="BN250" s="2">
        <v>24.168028770710801</v>
      </c>
      <c r="BO250" s="2">
        <v>24.8455626199355</v>
      </c>
      <c r="BP250" s="2">
        <v>23.825096594082201</v>
      </c>
      <c r="BQ250" s="2">
        <v>23.918969600842399</v>
      </c>
      <c r="BR250" s="2">
        <v>23.023608812250199</v>
      </c>
      <c r="BS250" s="2">
        <v>24.2717594226119</v>
      </c>
      <c r="BT250" s="2">
        <v>24.223248067219998</v>
      </c>
      <c r="BU250" s="2">
        <v>23.0102448675594</v>
      </c>
      <c r="BV250" s="2">
        <v>24.759172982680401</v>
      </c>
      <c r="BW250" s="2">
        <v>23.808633373704598</v>
      </c>
      <c r="BX250" s="2">
        <v>23.761078804323201</v>
      </c>
      <c r="BY250" s="2">
        <v>24.610878201172898</v>
      </c>
      <c r="BZ250" s="2">
        <v>22.640665665777</v>
      </c>
      <c r="CA250" s="2">
        <v>22.993385538451601</v>
      </c>
      <c r="CB250" s="2">
        <v>24.3608766389242</v>
      </c>
      <c r="CC250" s="2">
        <v>24.1583017474846</v>
      </c>
      <c r="CD250" s="2">
        <v>23.1675461631039</v>
      </c>
      <c r="CE250" s="2">
        <v>25.229121671380302</v>
      </c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</row>
    <row r="251" spans="1:97">
      <c r="A251" s="2" t="s">
        <v>2674</v>
      </c>
      <c r="B251" s="2">
        <v>257.17538000000002</v>
      </c>
      <c r="C251" s="2">
        <v>9.016</v>
      </c>
      <c r="D251" s="2" t="s">
        <v>146</v>
      </c>
      <c r="E251" s="2" t="s">
        <v>2675</v>
      </c>
      <c r="F251" s="2" t="s">
        <v>2676</v>
      </c>
      <c r="G251" s="2">
        <v>63053</v>
      </c>
      <c r="H251" s="3" t="str">
        <f>HYPERLINK("https://cloud.oebiotech.com/#/lm/network/63053", "https://cloud.oebiotech.com/#/lm/network/63053")</f>
        <v>https://cloud.oebiotech.com/#/lm/network/63053</v>
      </c>
      <c r="I251" s="2" t="s">
        <v>2677</v>
      </c>
      <c r="J251" s="2">
        <v>94354</v>
      </c>
      <c r="K251" s="2"/>
      <c r="L251" s="2">
        <v>131752728</v>
      </c>
      <c r="M251" s="2"/>
      <c r="N251" s="2"/>
      <c r="O251" s="2"/>
      <c r="P251" s="2">
        <v>168208</v>
      </c>
      <c r="Q251" s="2"/>
      <c r="R251" s="2"/>
      <c r="S251" s="2" t="s">
        <v>2678</v>
      </c>
      <c r="T251" s="2" t="s">
        <v>2679</v>
      </c>
      <c r="U251" s="2" t="s">
        <v>2680</v>
      </c>
      <c r="V251" s="2" t="s">
        <v>95</v>
      </c>
      <c r="W251" s="2" t="s">
        <v>180</v>
      </c>
      <c r="X251" s="2" t="s">
        <v>181</v>
      </c>
      <c r="Y251" s="2" t="s">
        <v>98</v>
      </c>
      <c r="Z251" s="2" t="s">
        <v>182</v>
      </c>
      <c r="AA251" s="2" t="s">
        <v>183</v>
      </c>
      <c r="AB251" s="2" t="s">
        <v>101</v>
      </c>
      <c r="AC251" s="2">
        <v>69.52</v>
      </c>
      <c r="AD251" s="2">
        <v>96.74</v>
      </c>
      <c r="AE251" s="2">
        <v>75.33</v>
      </c>
      <c r="AF251" s="2" t="s">
        <v>2681</v>
      </c>
      <c r="AG251" s="2" t="s">
        <v>157</v>
      </c>
      <c r="AH251" s="2" t="s">
        <v>2682</v>
      </c>
      <c r="AI251" s="2">
        <v>1.56</v>
      </c>
      <c r="AJ251" s="2">
        <v>20.7201166515407</v>
      </c>
      <c r="AK251" s="2">
        <v>20.912410280709199</v>
      </c>
      <c r="AL251" s="2">
        <v>20.607569099465302</v>
      </c>
      <c r="AM251" s="2">
        <v>20.773395012836101</v>
      </c>
      <c r="AN251" s="2">
        <v>20.4471476841432</v>
      </c>
      <c r="AO251" s="2">
        <v>20.7847790570573</v>
      </c>
      <c r="AP251" s="2">
        <v>20.5532650758839</v>
      </c>
      <c r="AQ251" s="2">
        <v>20.7749464184994</v>
      </c>
      <c r="AR251" s="2">
        <v>20.4895348666447</v>
      </c>
      <c r="AS251" s="2">
        <v>18.924992574141498</v>
      </c>
      <c r="AT251" s="2">
        <v>18.654106219640099</v>
      </c>
      <c r="AU251" s="2">
        <v>19.1532490469985</v>
      </c>
      <c r="AV251" s="2">
        <v>23.117546545048299</v>
      </c>
      <c r="AW251" s="2">
        <v>20.171960927266198</v>
      </c>
      <c r="AX251" s="2">
        <v>19.4684988786669</v>
      </c>
      <c r="AY251" s="2">
        <v>21.8167170044314</v>
      </c>
      <c r="AZ251" s="2">
        <v>19.300393720096601</v>
      </c>
      <c r="BA251" s="2">
        <v>18.709300363492101</v>
      </c>
      <c r="BB251" s="2">
        <v>21.195957480591201</v>
      </c>
      <c r="BC251" s="2">
        <v>18.978065077593801</v>
      </c>
      <c r="BD251" s="2">
        <v>20.6488240878756</v>
      </c>
      <c r="BE251" s="2">
        <v>20.777995209875002</v>
      </c>
      <c r="BF251" s="2">
        <v>18.282425144162101</v>
      </c>
      <c r="BG251" s="2">
        <v>20.790555279698001</v>
      </c>
      <c r="BH251" s="2">
        <v>19.026625262048299</v>
      </c>
      <c r="BI251" s="2">
        <v>19.9883186499932</v>
      </c>
      <c r="BJ251" s="2">
        <v>20.2329014246056</v>
      </c>
      <c r="BK251" s="2">
        <v>19.082264138772601</v>
      </c>
      <c r="BL251" s="2">
        <v>20.341974121561599</v>
      </c>
      <c r="BM251" s="2">
        <v>20.507260065961798</v>
      </c>
      <c r="BN251" s="2">
        <v>19.060855648892701</v>
      </c>
      <c r="BO251" s="2">
        <v>19.177130846486801</v>
      </c>
      <c r="BP251" s="2">
        <v>22.997473091611401</v>
      </c>
      <c r="BQ251" s="2">
        <v>21.816464402940301</v>
      </c>
      <c r="BR251" s="2">
        <v>19.0336699918021</v>
      </c>
      <c r="BS251" s="2">
        <v>21.784346910537</v>
      </c>
      <c r="BT251" s="2">
        <v>18.9372430562339</v>
      </c>
      <c r="BU251" s="2">
        <v>18.997090699348</v>
      </c>
      <c r="BV251" s="2">
        <v>19.800340661292999</v>
      </c>
      <c r="BW251" s="2">
        <v>17.7608715627976</v>
      </c>
      <c r="BX251" s="2">
        <v>20.947982454280101</v>
      </c>
      <c r="BY251" s="2">
        <v>22.062879990352901</v>
      </c>
      <c r="BZ251" s="2">
        <v>17.7877311883773</v>
      </c>
      <c r="CA251" s="2">
        <v>19.537266885739399</v>
      </c>
      <c r="CB251" s="2">
        <v>21.2265320662509</v>
      </c>
      <c r="CC251" s="2">
        <v>19.438561175407202</v>
      </c>
      <c r="CD251" s="2">
        <v>21.4372296096358</v>
      </c>
      <c r="CE251" s="2">
        <v>18.7759181283853</v>
      </c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</row>
    <row r="252" spans="1:97">
      <c r="A252" s="2" t="s">
        <v>2683</v>
      </c>
      <c r="B252" s="2">
        <v>213.02233000000001</v>
      </c>
      <c r="C252" s="2">
        <v>6.0049999999999999</v>
      </c>
      <c r="D252" s="2" t="s">
        <v>146</v>
      </c>
      <c r="E252" s="2" t="s">
        <v>2684</v>
      </c>
      <c r="F252" s="2" t="s">
        <v>2685</v>
      </c>
      <c r="G252" s="2">
        <v>144439</v>
      </c>
      <c r="H252" s="3" t="str">
        <f>HYPERLINK("https://cloud.oebiotech.com/#/lm/network/144439", "https://cloud.oebiotech.com/#/lm/network/144439")</f>
        <v>https://cloud.oebiotech.com/#/lm/network/144439</v>
      </c>
      <c r="I252" s="2" t="s">
        <v>2686</v>
      </c>
      <c r="J252" s="2"/>
      <c r="K252" s="2"/>
      <c r="L252" s="2">
        <v>66633409</v>
      </c>
      <c r="M252" s="2"/>
      <c r="N252" s="2"/>
      <c r="O252" s="2"/>
      <c r="P252" s="2">
        <v>133096</v>
      </c>
      <c r="Q252" s="2"/>
      <c r="R252" s="2"/>
      <c r="S252" s="2" t="s">
        <v>2687</v>
      </c>
      <c r="T252" s="2" t="s">
        <v>2688</v>
      </c>
      <c r="U252" s="2" t="s">
        <v>2689</v>
      </c>
      <c r="V252" s="2" t="s">
        <v>115</v>
      </c>
      <c r="W252" s="2" t="s">
        <v>613</v>
      </c>
      <c r="X252" s="2" t="s">
        <v>614</v>
      </c>
      <c r="Y252" s="2" t="s">
        <v>118</v>
      </c>
      <c r="Z252" s="2" t="s">
        <v>615</v>
      </c>
      <c r="AA252" s="2" t="s">
        <v>616</v>
      </c>
      <c r="AB252" s="2" t="s">
        <v>101</v>
      </c>
      <c r="AC252" s="2">
        <v>69.510000000000005</v>
      </c>
      <c r="AD252" s="2">
        <v>91.22</v>
      </c>
      <c r="AE252" s="2">
        <v>80.08</v>
      </c>
      <c r="AF252" s="2" t="s">
        <v>2690</v>
      </c>
      <c r="AG252" s="2" t="s">
        <v>194</v>
      </c>
      <c r="AH252" s="2" t="s">
        <v>2691</v>
      </c>
      <c r="AI252" s="2">
        <v>1.88</v>
      </c>
      <c r="AJ252" s="2">
        <v>19.398549921141399</v>
      </c>
      <c r="AK252" s="2">
        <v>19.504653306022401</v>
      </c>
      <c r="AL252" s="2">
        <v>19.618190737184001</v>
      </c>
      <c r="AM252" s="2">
        <v>19.519101488831399</v>
      </c>
      <c r="AN252" s="2">
        <v>19.4324843206225</v>
      </c>
      <c r="AO252" s="2">
        <v>19.5029212861667</v>
      </c>
      <c r="AP252" s="2">
        <v>19.0071537458081</v>
      </c>
      <c r="AQ252" s="2">
        <v>19.574766352147101</v>
      </c>
      <c r="AR252" s="2">
        <v>20.743895755846101</v>
      </c>
      <c r="AS252" s="2">
        <v>15.3405288894053</v>
      </c>
      <c r="AT252" s="2">
        <v>15.1729294423147</v>
      </c>
      <c r="AU252" s="2">
        <v>19.555964309922899</v>
      </c>
      <c r="AV252" s="2">
        <v>22.393312141912201</v>
      </c>
      <c r="AW252" s="2">
        <v>19.449009826544199</v>
      </c>
      <c r="AX252" s="2">
        <v>16.227016262593899</v>
      </c>
      <c r="AY252" s="2">
        <v>17.471203340392901</v>
      </c>
      <c r="AZ252" s="2">
        <v>15.1247073684345</v>
      </c>
      <c r="BA252" s="2">
        <v>16.567051434469501</v>
      </c>
      <c r="BB252" s="2">
        <v>22.472551034900899</v>
      </c>
      <c r="BC252" s="2">
        <v>17.3475863353164</v>
      </c>
      <c r="BD252" s="2">
        <v>18.616075704948798</v>
      </c>
      <c r="BE252" s="2">
        <v>18.294344599563999</v>
      </c>
      <c r="BF252" s="2">
        <v>17.580409846426601</v>
      </c>
      <c r="BG252" s="2">
        <v>16.428371787242501</v>
      </c>
      <c r="BH252" s="2">
        <v>20.294690002298701</v>
      </c>
      <c r="BI252" s="2">
        <v>18.331822347439701</v>
      </c>
      <c r="BJ252" s="2">
        <v>16.488417912842099</v>
      </c>
      <c r="BK252" s="2">
        <v>17.051118748409401</v>
      </c>
      <c r="BL252" s="2">
        <v>19.632117306700501</v>
      </c>
      <c r="BM252" s="2">
        <v>19.000145366171299</v>
      </c>
      <c r="BN252" s="2">
        <v>15.601061857822399</v>
      </c>
      <c r="BO252" s="2">
        <v>20.885332780898199</v>
      </c>
      <c r="BP252" s="2">
        <v>19.339483668832401</v>
      </c>
      <c r="BQ252" s="2">
        <v>19.7212165851893</v>
      </c>
      <c r="BR252" s="2">
        <v>17.585822176137</v>
      </c>
      <c r="BS252" s="2">
        <v>18.8888434722036</v>
      </c>
      <c r="BT252" s="2">
        <v>16.990897374212899</v>
      </c>
      <c r="BU252" s="2">
        <v>18.164096125448101</v>
      </c>
      <c r="BV252" s="2">
        <v>18.635537814689801</v>
      </c>
      <c r="BW252" s="2">
        <v>16.5778360923116</v>
      </c>
      <c r="BX252" s="2">
        <v>20.264585943972499</v>
      </c>
      <c r="BY252" s="2">
        <v>19.265835506491001</v>
      </c>
      <c r="BZ252" s="2">
        <v>16.069612976079299</v>
      </c>
      <c r="CA252" s="2">
        <v>18.980727254606901</v>
      </c>
      <c r="CB252" s="2">
        <v>18.8954807325849</v>
      </c>
      <c r="CC252" s="2">
        <v>18.1923829800932</v>
      </c>
      <c r="CD252" s="2">
        <v>18.1338634097389</v>
      </c>
      <c r="CE252" s="2">
        <v>14.602726118244</v>
      </c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</row>
    <row r="253" spans="1:97">
      <c r="A253" s="2" t="s">
        <v>2692</v>
      </c>
      <c r="B253" s="2">
        <v>347.22120999999999</v>
      </c>
      <c r="C253" s="2">
        <v>7.7930000000000001</v>
      </c>
      <c r="D253" s="2" t="s">
        <v>84</v>
      </c>
      <c r="E253" s="2" t="s">
        <v>2693</v>
      </c>
      <c r="F253" s="2" t="s">
        <v>2694</v>
      </c>
      <c r="G253" s="2">
        <v>44981</v>
      </c>
      <c r="H253" s="3" t="str">
        <f>HYPERLINK("https://cloud.oebiotech.com/#/lm/network/44981", "https://cloud.oebiotech.com/#/lm/network/44981")</f>
        <v>https://cloud.oebiotech.com/#/lm/network/44981</v>
      </c>
      <c r="I253" s="2" t="s">
        <v>2695</v>
      </c>
      <c r="J253" s="2">
        <v>5088</v>
      </c>
      <c r="K253" s="2" t="s">
        <v>2696</v>
      </c>
      <c r="L253" s="2">
        <v>440707</v>
      </c>
      <c r="M253" s="2" t="s">
        <v>2697</v>
      </c>
      <c r="N253" s="2" t="s">
        <v>2698</v>
      </c>
      <c r="O253" s="2" t="s">
        <v>2699</v>
      </c>
      <c r="P253" s="2">
        <v>28324</v>
      </c>
      <c r="Q253" s="2" t="s">
        <v>2700</v>
      </c>
      <c r="R253" s="2" t="s">
        <v>2701</v>
      </c>
      <c r="S253" s="2" t="s">
        <v>2702</v>
      </c>
      <c r="T253" s="2" t="s">
        <v>2703</v>
      </c>
      <c r="U253" s="2" t="s">
        <v>2704</v>
      </c>
      <c r="V253" s="2" t="s">
        <v>95</v>
      </c>
      <c r="W253" s="2" t="s">
        <v>152</v>
      </c>
      <c r="X253" s="2" t="s">
        <v>153</v>
      </c>
      <c r="Y253" s="2" t="s">
        <v>98</v>
      </c>
      <c r="Z253" s="2" t="s">
        <v>154</v>
      </c>
      <c r="AA253" s="2" t="s">
        <v>155</v>
      </c>
      <c r="AB253" s="2" t="s">
        <v>101</v>
      </c>
      <c r="AC253" s="2">
        <v>69.489999999999995</v>
      </c>
      <c r="AD253" s="2">
        <v>86.14</v>
      </c>
      <c r="AE253" s="2">
        <v>86.2</v>
      </c>
      <c r="AF253" s="2" t="s">
        <v>2705</v>
      </c>
      <c r="AG253" s="2" t="s">
        <v>103</v>
      </c>
      <c r="AH253" s="2" t="s">
        <v>2706</v>
      </c>
      <c r="AI253" s="2">
        <v>1.44</v>
      </c>
      <c r="AJ253" s="2">
        <v>18.075983177386998</v>
      </c>
      <c r="AK253" s="2">
        <v>19.194366209474602</v>
      </c>
      <c r="AL253" s="2">
        <v>18.284691371234999</v>
      </c>
      <c r="AM253" s="2">
        <v>19.224901405230799</v>
      </c>
      <c r="AN253" s="2">
        <v>19.0845405975574</v>
      </c>
      <c r="AO253" s="2">
        <v>18.396829515871801</v>
      </c>
      <c r="AP253" s="2">
        <v>19.082001985062799</v>
      </c>
      <c r="AQ253" s="2">
        <v>19.042213802268499</v>
      </c>
      <c r="AR253" s="2">
        <v>17.722173611824999</v>
      </c>
      <c r="AS253" s="2">
        <v>19.3035515637449</v>
      </c>
      <c r="AT253" s="2">
        <v>17.916250307538501</v>
      </c>
      <c r="AU253" s="2">
        <v>20.1506689108617</v>
      </c>
      <c r="AV253" s="2">
        <v>18.733583629834801</v>
      </c>
      <c r="AW253" s="2">
        <v>16.3220834157529</v>
      </c>
      <c r="AX253" s="2">
        <v>17.1001648075733</v>
      </c>
      <c r="AY253" s="2">
        <v>18.446376230290198</v>
      </c>
      <c r="AZ253" s="2">
        <v>17.7401099374563</v>
      </c>
      <c r="BA253" s="2">
        <v>18.224078995709899</v>
      </c>
      <c r="BB253" s="2">
        <v>18.9524438585829</v>
      </c>
      <c r="BC253" s="2">
        <v>20.2839141330087</v>
      </c>
      <c r="BD253" s="2">
        <v>17.985283444844999</v>
      </c>
      <c r="BE253" s="2">
        <v>19.021113878164599</v>
      </c>
      <c r="BF253" s="2">
        <v>17.0137490238228</v>
      </c>
      <c r="BG253" s="2">
        <v>18.703708073615601</v>
      </c>
      <c r="BH253" s="2">
        <v>18.954317224879102</v>
      </c>
      <c r="BI253" s="2">
        <v>18.838040283987201</v>
      </c>
      <c r="BJ253" s="2">
        <v>17.9894251026798</v>
      </c>
      <c r="BK253" s="2">
        <v>17.5645891727936</v>
      </c>
      <c r="BL253" s="2">
        <v>18.049921543634699</v>
      </c>
      <c r="BM253" s="2">
        <v>18.689900745059902</v>
      </c>
      <c r="BN253" s="2">
        <v>19.256184657848198</v>
      </c>
      <c r="BO253" s="2">
        <v>21.287427948982199</v>
      </c>
      <c r="BP253" s="2">
        <v>15.411887302791801</v>
      </c>
      <c r="BQ253" s="2">
        <v>18.113630315820199</v>
      </c>
      <c r="BR253" s="2">
        <v>17.1602731569815</v>
      </c>
      <c r="BS253" s="2">
        <v>21.790706058639</v>
      </c>
      <c r="BT253" s="2">
        <v>20.998033173394301</v>
      </c>
      <c r="BU253" s="2">
        <v>19.439149530246901</v>
      </c>
      <c r="BV253" s="2">
        <v>18.573844454447201</v>
      </c>
      <c r="BW253" s="2">
        <v>18.603590054050599</v>
      </c>
      <c r="BX253" s="2">
        <v>16.3387927802642</v>
      </c>
      <c r="BY253" s="2">
        <v>20.624468145913699</v>
      </c>
      <c r="BZ253" s="2">
        <v>16.589721360333801</v>
      </c>
      <c r="CA253" s="2">
        <v>18.434356320388201</v>
      </c>
      <c r="CB253" s="2">
        <v>18.610753949476099</v>
      </c>
      <c r="CC253" s="2">
        <v>18.385827904735599</v>
      </c>
      <c r="CD253" s="2">
        <v>18.486119073044101</v>
      </c>
      <c r="CE253" s="2">
        <v>17.714864890181399</v>
      </c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</row>
    <row r="254" spans="1:97">
      <c r="A254" s="2" t="s">
        <v>2707</v>
      </c>
      <c r="B254" s="2">
        <v>345.15489000000002</v>
      </c>
      <c r="C254" s="2">
        <v>5.194</v>
      </c>
      <c r="D254" s="2" t="s">
        <v>146</v>
      </c>
      <c r="E254" s="2" t="s">
        <v>2708</v>
      </c>
      <c r="F254" s="2" t="s">
        <v>2709</v>
      </c>
      <c r="G254" s="2">
        <v>61583</v>
      </c>
      <c r="H254" s="3" t="str">
        <f>HYPERLINK("https://cloud.oebiotech.com/#/lm/network/61583", "https://cloud.oebiotech.com/#/lm/network/61583")</f>
        <v>https://cloud.oebiotech.com/#/lm/network/61583</v>
      </c>
      <c r="I254" s="2" t="s">
        <v>2710</v>
      </c>
      <c r="J254" s="2">
        <v>92890</v>
      </c>
      <c r="K254" s="2"/>
      <c r="L254" s="2">
        <v>14020067</v>
      </c>
      <c r="M254" s="2"/>
      <c r="N254" s="2"/>
      <c r="O254" s="2"/>
      <c r="P254" s="2"/>
      <c r="Q254" s="2"/>
      <c r="R254" s="2"/>
      <c r="S254" s="2" t="s">
        <v>2711</v>
      </c>
      <c r="T254" s="2" t="s">
        <v>2712</v>
      </c>
      <c r="U254" s="2" t="s">
        <v>2713</v>
      </c>
      <c r="V254" s="2" t="s">
        <v>95</v>
      </c>
      <c r="W254" s="2" t="s">
        <v>180</v>
      </c>
      <c r="X254" s="2" t="s">
        <v>2714</v>
      </c>
      <c r="Y254" s="2" t="s">
        <v>98</v>
      </c>
      <c r="Z254" s="2" t="s">
        <v>182</v>
      </c>
      <c r="AA254" s="2" t="s">
        <v>2715</v>
      </c>
      <c r="AB254" s="2" t="s">
        <v>101</v>
      </c>
      <c r="AC254" s="2">
        <v>69.48</v>
      </c>
      <c r="AD254" s="2">
        <v>89.44</v>
      </c>
      <c r="AE254" s="2">
        <v>75.53</v>
      </c>
      <c r="AF254" s="2" t="s">
        <v>2716</v>
      </c>
      <c r="AG254" s="2" t="s">
        <v>194</v>
      </c>
      <c r="AH254" s="2" t="s">
        <v>2717</v>
      </c>
      <c r="AI254" s="2">
        <v>1.74</v>
      </c>
      <c r="AJ254" s="2">
        <v>18.6833231482515</v>
      </c>
      <c r="AK254" s="2">
        <v>18.624070221412499</v>
      </c>
      <c r="AL254" s="2">
        <v>18.683178035175601</v>
      </c>
      <c r="AM254" s="2">
        <v>18.256367515952</v>
      </c>
      <c r="AN254" s="2">
        <v>18.538044872136201</v>
      </c>
      <c r="AO254" s="2">
        <v>17.786149253375701</v>
      </c>
      <c r="AP254" s="2">
        <v>18.559216866832099</v>
      </c>
      <c r="AQ254" s="2">
        <v>18.557999033470701</v>
      </c>
      <c r="AR254" s="2">
        <v>16.2056260348945</v>
      </c>
      <c r="AS254" s="2">
        <v>13.2323189875161</v>
      </c>
      <c r="AT254" s="2">
        <v>14.223323743807599</v>
      </c>
      <c r="AU254" s="2">
        <v>14.080974044203099</v>
      </c>
      <c r="AV254" s="2">
        <v>16.391469664209001</v>
      </c>
      <c r="AW254" s="2">
        <v>15.468700400903</v>
      </c>
      <c r="AX254" s="2">
        <v>9.6233145402724691</v>
      </c>
      <c r="AY254" s="2">
        <v>15.8714884972768</v>
      </c>
      <c r="AZ254" s="2">
        <v>21.940678118097299</v>
      </c>
      <c r="BA254" s="2">
        <v>11.802653681182401</v>
      </c>
      <c r="BB254" s="2">
        <v>11.7563603361868</v>
      </c>
      <c r="BC254" s="2">
        <v>13.3604301234634</v>
      </c>
      <c r="BD254" s="2">
        <v>14.8639587706925</v>
      </c>
      <c r="BE254" s="2">
        <v>15.7308697100703</v>
      </c>
      <c r="BF254" s="2">
        <v>16.067238758453101</v>
      </c>
      <c r="BG254" s="2">
        <v>18.201438068816699</v>
      </c>
      <c r="BH254" s="2">
        <v>16.460015706062801</v>
      </c>
      <c r="BI254" s="2">
        <v>13.703678675394199</v>
      </c>
      <c r="BJ254" s="2">
        <v>12.695289200133301</v>
      </c>
      <c r="BK254" s="2">
        <v>17.149386916710199</v>
      </c>
      <c r="BL254" s="2">
        <v>14.7463295637271</v>
      </c>
      <c r="BM254" s="2">
        <v>22.114017253253301</v>
      </c>
      <c r="BN254" s="2">
        <v>17.032000728129798</v>
      </c>
      <c r="BO254" s="2">
        <v>13.214306976852001</v>
      </c>
      <c r="BP254" s="2">
        <v>17.544077715256101</v>
      </c>
      <c r="BQ254" s="2">
        <v>16.095933482952901</v>
      </c>
      <c r="BR254" s="2">
        <v>9.6233145402724691</v>
      </c>
      <c r="BS254" s="2">
        <v>17.3570759989293</v>
      </c>
      <c r="BT254" s="2">
        <v>22.542659778369998</v>
      </c>
      <c r="BU254" s="2">
        <v>9.6233145402724691</v>
      </c>
      <c r="BV254" s="2">
        <v>16.826590070429798</v>
      </c>
      <c r="BW254" s="2">
        <v>13.0228168513315</v>
      </c>
      <c r="BX254" s="2">
        <v>13.168446483540601</v>
      </c>
      <c r="BY254" s="2">
        <v>16.2469216661373</v>
      </c>
      <c r="BZ254" s="2">
        <v>12.5267755254585</v>
      </c>
      <c r="CA254" s="2">
        <v>9.6233145402724691</v>
      </c>
      <c r="CB254" s="2">
        <v>12.0331201139155</v>
      </c>
      <c r="CC254" s="2">
        <v>18.073052998132798</v>
      </c>
      <c r="CD254" s="2">
        <v>18.528221306922799</v>
      </c>
      <c r="CE254" s="2">
        <v>17.199221528049598</v>
      </c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</row>
    <row r="255" spans="1:97">
      <c r="A255" s="2" t="s">
        <v>2718</v>
      </c>
      <c r="B255" s="2">
        <v>591.31722000000002</v>
      </c>
      <c r="C255" s="2">
        <v>9.16</v>
      </c>
      <c r="D255" s="2" t="s">
        <v>84</v>
      </c>
      <c r="E255" s="2" t="s">
        <v>2719</v>
      </c>
      <c r="F255" s="2" t="s">
        <v>2720</v>
      </c>
      <c r="G255" s="2">
        <v>48251</v>
      </c>
      <c r="H255" s="3" t="str">
        <f>HYPERLINK("https://cloud.oebiotech.com/#/lm/network/48251", "https://cloud.oebiotech.com/#/lm/network/48251")</f>
        <v>https://cloud.oebiotech.com/#/lm/network/48251</v>
      </c>
      <c r="I255" s="2" t="s">
        <v>2721</v>
      </c>
      <c r="J255" s="2"/>
      <c r="K255" s="2"/>
      <c r="L255" s="2">
        <v>440785</v>
      </c>
      <c r="M255" s="2" t="s">
        <v>2722</v>
      </c>
      <c r="N255" s="2" t="s">
        <v>2226</v>
      </c>
      <c r="O255" s="2" t="s">
        <v>2227</v>
      </c>
      <c r="P255" s="2">
        <v>36378</v>
      </c>
      <c r="Q255" s="2" t="s">
        <v>2723</v>
      </c>
      <c r="R255" s="2" t="s">
        <v>2724</v>
      </c>
      <c r="S255" s="2" t="s">
        <v>2725</v>
      </c>
      <c r="T255" s="2" t="s">
        <v>2726</v>
      </c>
      <c r="U255" s="2" t="s">
        <v>2727</v>
      </c>
      <c r="V255" s="2" t="s">
        <v>553</v>
      </c>
      <c r="W255" s="2" t="s">
        <v>1045</v>
      </c>
      <c r="X255" s="2" t="s">
        <v>1046</v>
      </c>
      <c r="Y255" s="2" t="s">
        <v>556</v>
      </c>
      <c r="Z255" s="2" t="s">
        <v>1047</v>
      </c>
      <c r="AA255" s="2" t="s">
        <v>1048</v>
      </c>
      <c r="AB255" s="2" t="s">
        <v>101</v>
      </c>
      <c r="AC255" s="2">
        <v>69.39</v>
      </c>
      <c r="AD255" s="2">
        <v>75.849999999999994</v>
      </c>
      <c r="AE255" s="2">
        <v>85.54</v>
      </c>
      <c r="AF255" s="2" t="s">
        <v>2728</v>
      </c>
      <c r="AG255" s="2" t="s">
        <v>103</v>
      </c>
      <c r="AH255" s="2" t="s">
        <v>2729</v>
      </c>
      <c r="AI255" s="2">
        <v>0.85</v>
      </c>
      <c r="AJ255" s="2">
        <v>19.1478009799748</v>
      </c>
      <c r="AK255" s="2">
        <v>19.073912939174601</v>
      </c>
      <c r="AL255" s="2">
        <v>19.190770202098001</v>
      </c>
      <c r="AM255" s="2">
        <v>19.2070487908857</v>
      </c>
      <c r="AN255" s="2">
        <v>18.9233499170819</v>
      </c>
      <c r="AO255" s="2">
        <v>18.901695069356698</v>
      </c>
      <c r="AP255" s="2">
        <v>19.114765912357999</v>
      </c>
      <c r="AQ255" s="2">
        <v>18.969421655125799</v>
      </c>
      <c r="AR255" s="2">
        <v>9.6233145402724691</v>
      </c>
      <c r="AS255" s="2">
        <v>14.0688823793186</v>
      </c>
      <c r="AT255" s="2">
        <v>16.195607702763599</v>
      </c>
      <c r="AU255" s="2">
        <v>17.476757672686698</v>
      </c>
      <c r="AV255" s="2">
        <v>17.8720064570837</v>
      </c>
      <c r="AW255" s="2">
        <v>21.726354608162399</v>
      </c>
      <c r="AX255" s="2">
        <v>19.244607726452902</v>
      </c>
      <c r="AY255" s="2">
        <v>17.167706264031501</v>
      </c>
      <c r="AZ255" s="2">
        <v>14.6350475102863</v>
      </c>
      <c r="BA255" s="2">
        <v>17.028642421689899</v>
      </c>
      <c r="BB255" s="2">
        <v>17.471357287988599</v>
      </c>
      <c r="BC255" s="2">
        <v>22.5746059901143</v>
      </c>
      <c r="BD255" s="2">
        <v>18.475189761333301</v>
      </c>
      <c r="BE255" s="2">
        <v>17.9405430151382</v>
      </c>
      <c r="BF255" s="2">
        <v>13.994767975320601</v>
      </c>
      <c r="BG255" s="2">
        <v>19.622339538796101</v>
      </c>
      <c r="BH255" s="2">
        <v>15.094916016795301</v>
      </c>
      <c r="BI255" s="2">
        <v>16.2316687653225</v>
      </c>
      <c r="BJ255" s="2">
        <v>17.556613597184501</v>
      </c>
      <c r="BK255" s="2">
        <v>15.361930755436701</v>
      </c>
      <c r="BL255" s="2">
        <v>9.6233145402724691</v>
      </c>
      <c r="BM255" s="2">
        <v>18.2383526284152</v>
      </c>
      <c r="BN255" s="2">
        <v>19.396444464929001</v>
      </c>
      <c r="BO255" s="2">
        <v>18.4040097578815</v>
      </c>
      <c r="BP255" s="2">
        <v>17.658999334735</v>
      </c>
      <c r="BQ255" s="2">
        <v>16.103834043766199</v>
      </c>
      <c r="BR255" s="2">
        <v>19.925694582406202</v>
      </c>
      <c r="BS255" s="2">
        <v>17.135602883421502</v>
      </c>
      <c r="BT255" s="2">
        <v>9.6233145402724691</v>
      </c>
      <c r="BU255" s="2">
        <v>15.865972685401401</v>
      </c>
      <c r="BV255" s="2">
        <v>20.199942798448099</v>
      </c>
      <c r="BW255" s="2">
        <v>20.874573029218499</v>
      </c>
      <c r="BX255" s="2">
        <v>9.6233145402724691</v>
      </c>
      <c r="BY255" s="2">
        <v>20.1080293234015</v>
      </c>
      <c r="BZ255" s="2">
        <v>21.729195207601901</v>
      </c>
      <c r="CA255" s="2">
        <v>21.828596455740701</v>
      </c>
      <c r="CB255" s="2">
        <v>15.8109980644183</v>
      </c>
      <c r="CC255" s="2">
        <v>16.977442942049301</v>
      </c>
      <c r="CD255" s="2">
        <v>19.250367009621598</v>
      </c>
      <c r="CE255" s="2">
        <v>16.188068950688599</v>
      </c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</row>
    <row r="256" spans="1:97">
      <c r="A256" s="2" t="s">
        <v>2730</v>
      </c>
      <c r="B256" s="2">
        <v>293.21172999999999</v>
      </c>
      <c r="C256" s="2">
        <v>11.14</v>
      </c>
      <c r="D256" s="2" t="s">
        <v>146</v>
      </c>
      <c r="E256" s="2" t="s">
        <v>2731</v>
      </c>
      <c r="F256" s="2" t="s">
        <v>2732</v>
      </c>
      <c r="G256" s="2">
        <v>48935</v>
      </c>
      <c r="H256" s="3" t="str">
        <f>HYPERLINK("https://cloud.oebiotech.com/#/lm/network/48935", "https://cloud.oebiotech.com/#/lm/network/48935")</f>
        <v>https://cloud.oebiotech.com/#/lm/network/48935</v>
      </c>
      <c r="I256" s="2" t="s">
        <v>2733</v>
      </c>
      <c r="J256" s="2"/>
      <c r="K256" s="2"/>
      <c r="L256" s="2">
        <v>6439847</v>
      </c>
      <c r="M256" s="2" t="s">
        <v>2734</v>
      </c>
      <c r="N256" s="2" t="s">
        <v>2490</v>
      </c>
      <c r="O256" s="2" t="s">
        <v>2491</v>
      </c>
      <c r="P256" s="2"/>
      <c r="Q256" s="2"/>
      <c r="R256" s="2"/>
      <c r="S256" s="2"/>
      <c r="T256" s="2" t="s">
        <v>2735</v>
      </c>
      <c r="U256" s="2" t="s">
        <v>2736</v>
      </c>
      <c r="V256" s="2" t="s">
        <v>95</v>
      </c>
      <c r="W256" s="2" t="s">
        <v>96</v>
      </c>
      <c r="X256" s="2" t="s">
        <v>919</v>
      </c>
      <c r="Y256" s="2" t="s">
        <v>98</v>
      </c>
      <c r="Z256" s="2" t="s">
        <v>99</v>
      </c>
      <c r="AA256" s="2" t="s">
        <v>920</v>
      </c>
      <c r="AB256" s="2" t="s">
        <v>101</v>
      </c>
      <c r="AC256" s="2">
        <v>69.349999999999994</v>
      </c>
      <c r="AD256" s="2">
        <v>96.67</v>
      </c>
      <c r="AE256" s="2">
        <v>66.53</v>
      </c>
      <c r="AF256" s="2" t="s">
        <v>2737</v>
      </c>
      <c r="AG256" s="2" t="s">
        <v>993</v>
      </c>
      <c r="AH256" s="2" t="s">
        <v>733</v>
      </c>
      <c r="AI256" s="2">
        <v>0</v>
      </c>
      <c r="AJ256" s="2">
        <v>19.519422025470799</v>
      </c>
      <c r="AK256" s="2">
        <v>19.0581350621</v>
      </c>
      <c r="AL256" s="2">
        <v>19.183402939639301</v>
      </c>
      <c r="AM256" s="2">
        <v>18.5651916488486</v>
      </c>
      <c r="AN256" s="2">
        <v>19.680887916274301</v>
      </c>
      <c r="AO256" s="2">
        <v>19.638547860072698</v>
      </c>
      <c r="AP256" s="2">
        <v>18.827154272393599</v>
      </c>
      <c r="AQ256" s="2">
        <v>19.739496795148799</v>
      </c>
      <c r="AR256" s="2">
        <v>18.445267573501098</v>
      </c>
      <c r="AS256" s="2">
        <v>18.1408695034402</v>
      </c>
      <c r="AT256" s="2">
        <v>19.532099525959602</v>
      </c>
      <c r="AU256" s="2">
        <v>18.469808687560299</v>
      </c>
      <c r="AV256" s="2">
        <v>18.5230785673449</v>
      </c>
      <c r="AW256" s="2">
        <v>19.209202339109599</v>
      </c>
      <c r="AX256" s="2">
        <v>19.632882482189899</v>
      </c>
      <c r="AY256" s="2">
        <v>18.890209910080699</v>
      </c>
      <c r="AZ256" s="2">
        <v>18.108099432524501</v>
      </c>
      <c r="BA256" s="2">
        <v>19.567774505707899</v>
      </c>
      <c r="BB256" s="2">
        <v>19.297015900306398</v>
      </c>
      <c r="BC256" s="2">
        <v>20.040866391026501</v>
      </c>
      <c r="BD256" s="2">
        <v>17.495240764137101</v>
      </c>
      <c r="BE256" s="2">
        <v>18.6368767458886</v>
      </c>
      <c r="BF256" s="2">
        <v>19.001267436790801</v>
      </c>
      <c r="BG256" s="2">
        <v>19.851694316600501</v>
      </c>
      <c r="BH256" s="2">
        <v>19.065583560349101</v>
      </c>
      <c r="BI256" s="2">
        <v>19.613933132701</v>
      </c>
      <c r="BJ256" s="2">
        <v>18.9225065310358</v>
      </c>
      <c r="BK256" s="2">
        <v>18.5202765953245</v>
      </c>
      <c r="BL256" s="2">
        <v>19.529976235377699</v>
      </c>
      <c r="BM256" s="2">
        <v>18.310843198646701</v>
      </c>
      <c r="BN256" s="2">
        <v>19.243755576350999</v>
      </c>
      <c r="BO256" s="2">
        <v>19.389365207753499</v>
      </c>
      <c r="BP256" s="2">
        <v>19.242169352073201</v>
      </c>
      <c r="BQ256" s="2">
        <v>19.6663108219945</v>
      </c>
      <c r="BR256" s="2">
        <v>19.883405345550901</v>
      </c>
      <c r="BS256" s="2">
        <v>18.640019709404399</v>
      </c>
      <c r="BT256" s="2">
        <v>18.5345147596896</v>
      </c>
      <c r="BU256" s="2">
        <v>20.0426430149782</v>
      </c>
      <c r="BV256" s="2">
        <v>19.851940661021299</v>
      </c>
      <c r="BW256" s="2">
        <v>18.121144896899398</v>
      </c>
      <c r="BX256" s="2">
        <v>18.4188102777712</v>
      </c>
      <c r="BY256" s="2">
        <v>18.459206460143399</v>
      </c>
      <c r="BZ256" s="2">
        <v>19.113243300020699</v>
      </c>
      <c r="CA256" s="2">
        <v>18.384572349636102</v>
      </c>
      <c r="CB256" s="2">
        <v>20.023763285664099</v>
      </c>
      <c r="CC256" s="2">
        <v>19.701150300317199</v>
      </c>
      <c r="CD256" s="2">
        <v>19.202434629397899</v>
      </c>
      <c r="CE256" s="2">
        <v>20.082933369964302</v>
      </c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</row>
    <row r="257" spans="1:97">
      <c r="A257" s="2" t="s">
        <v>2738</v>
      </c>
      <c r="B257" s="2">
        <v>160.02475999999999</v>
      </c>
      <c r="C257" s="2">
        <v>0.79</v>
      </c>
      <c r="D257" s="2" t="s">
        <v>146</v>
      </c>
      <c r="E257" s="2" t="s">
        <v>2739</v>
      </c>
      <c r="F257" s="2" t="s">
        <v>2740</v>
      </c>
      <c r="G257" s="2">
        <v>211810</v>
      </c>
      <c r="H257" s="3" t="str">
        <f>HYPERLINK("https://cloud.oebiotech.com/#/lm/network/211810", "https://cloud.oebiotech.com/#/lm/network/211810")</f>
        <v>https://cloud.oebiotech.com/#/lm/network/211810</v>
      </c>
      <c r="I257" s="2" t="s">
        <v>2741</v>
      </c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 t="s">
        <v>2742</v>
      </c>
      <c r="U257" s="2" t="s">
        <v>2743</v>
      </c>
      <c r="V257" s="2" t="s">
        <v>115</v>
      </c>
      <c r="W257" s="2" t="s">
        <v>116</v>
      </c>
      <c r="X257" s="2" t="s">
        <v>117</v>
      </c>
      <c r="Y257" s="2" t="s">
        <v>118</v>
      </c>
      <c r="Z257" s="2" t="s">
        <v>119</v>
      </c>
      <c r="AA257" s="2" t="s">
        <v>120</v>
      </c>
      <c r="AB257" s="2" t="s">
        <v>101</v>
      </c>
      <c r="AC257" s="2">
        <v>69.349999999999994</v>
      </c>
      <c r="AD257" s="2">
        <v>96.18</v>
      </c>
      <c r="AE257" s="2">
        <v>69.33</v>
      </c>
      <c r="AF257" s="2" t="s">
        <v>2744</v>
      </c>
      <c r="AG257" s="2" t="s">
        <v>194</v>
      </c>
      <c r="AH257" s="2" t="s">
        <v>2745</v>
      </c>
      <c r="AI257" s="2">
        <v>1.87</v>
      </c>
      <c r="AJ257" s="2">
        <v>22.270569179700399</v>
      </c>
      <c r="AK257" s="2">
        <v>21.9715210699012</v>
      </c>
      <c r="AL257" s="2">
        <v>22.297927276822701</v>
      </c>
      <c r="AM257" s="2">
        <v>22.417645171381199</v>
      </c>
      <c r="AN257" s="2">
        <v>22.146471169367999</v>
      </c>
      <c r="AO257" s="2">
        <v>21.9681704355059</v>
      </c>
      <c r="AP257" s="2">
        <v>22.247307156337001</v>
      </c>
      <c r="AQ257" s="2">
        <v>22.206936197827101</v>
      </c>
      <c r="AR257" s="2">
        <v>21.450429791029901</v>
      </c>
      <c r="AS257" s="2">
        <v>19.043501578153201</v>
      </c>
      <c r="AT257" s="2">
        <v>21.141001840020799</v>
      </c>
      <c r="AU257" s="2">
        <v>21.493974212508299</v>
      </c>
      <c r="AV257" s="2">
        <v>21.0853970661462</v>
      </c>
      <c r="AW257" s="2">
        <v>21.3988030672603</v>
      </c>
      <c r="AX257" s="2">
        <v>21.089324956500398</v>
      </c>
      <c r="AY257" s="2">
        <v>21.498442671745799</v>
      </c>
      <c r="AZ257" s="2">
        <v>21.297769520742602</v>
      </c>
      <c r="BA257" s="2">
        <v>21.052537803305601</v>
      </c>
      <c r="BB257" s="2">
        <v>22.828574432348098</v>
      </c>
      <c r="BC257" s="2">
        <v>23.6353314772274</v>
      </c>
      <c r="BD257" s="2">
        <v>21.059547546029101</v>
      </c>
      <c r="BE257" s="2">
        <v>21.901913856451198</v>
      </c>
      <c r="BF257" s="2">
        <v>21.092039871445198</v>
      </c>
      <c r="BG257" s="2">
        <v>23.448614268532499</v>
      </c>
      <c r="BH257" s="2">
        <v>21.468495408356201</v>
      </c>
      <c r="BI257" s="2">
        <v>21.410431496588298</v>
      </c>
      <c r="BJ257" s="2">
        <v>21.644068510260102</v>
      </c>
      <c r="BK257" s="2">
        <v>21.428615604503602</v>
      </c>
      <c r="BL257" s="2">
        <v>20.760057889068399</v>
      </c>
      <c r="BM257" s="2">
        <v>22.0690425765432</v>
      </c>
      <c r="BN257" s="2">
        <v>21.0642363137232</v>
      </c>
      <c r="BO257" s="2">
        <v>20.507329702004501</v>
      </c>
      <c r="BP257" s="2">
        <v>20.995953453472001</v>
      </c>
      <c r="BQ257" s="2">
        <v>20.723175527528301</v>
      </c>
      <c r="BR257" s="2">
        <v>21.2216788903627</v>
      </c>
      <c r="BS257" s="2">
        <v>21.037202373500101</v>
      </c>
      <c r="BT257" s="2">
        <v>22.996402104998101</v>
      </c>
      <c r="BU257" s="2">
        <v>20.472954923413202</v>
      </c>
      <c r="BV257" s="2">
        <v>23.690374165040001</v>
      </c>
      <c r="BW257" s="2">
        <v>23.4440729753474</v>
      </c>
      <c r="BX257" s="2">
        <v>21.534956866754001</v>
      </c>
      <c r="BY257" s="2">
        <v>21.374212452302999</v>
      </c>
      <c r="BZ257" s="2">
        <v>23.807751120591199</v>
      </c>
      <c r="CA257" s="2">
        <v>23.163334370464302</v>
      </c>
      <c r="CB257" s="2">
        <v>23.298660291266302</v>
      </c>
      <c r="CC257" s="2">
        <v>20.893951803273101</v>
      </c>
      <c r="CD257" s="2">
        <v>20.828483238250602</v>
      </c>
      <c r="CE257" s="2">
        <v>20.968810936263498</v>
      </c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</row>
    <row r="258" spans="1:97">
      <c r="A258" s="2" t="s">
        <v>2746</v>
      </c>
      <c r="B258" s="2">
        <v>78.958849999999998</v>
      </c>
      <c r="C258" s="2">
        <v>0.77200000000000002</v>
      </c>
      <c r="D258" s="2" t="s">
        <v>146</v>
      </c>
      <c r="E258" s="2" t="s">
        <v>2747</v>
      </c>
      <c r="F258" s="2" t="s">
        <v>2748</v>
      </c>
      <c r="G258" s="2">
        <v>47581</v>
      </c>
      <c r="H258" s="3" t="str">
        <f>HYPERLINK("https://cloud.oebiotech.com/#/lm/network/47581", "https://cloud.oebiotech.com/#/lm/network/47581")</f>
        <v>https://cloud.oebiotech.com/#/lm/network/47581</v>
      </c>
      <c r="I258" s="2" t="s">
        <v>2749</v>
      </c>
      <c r="J258" s="2">
        <v>3231</v>
      </c>
      <c r="K258" s="2"/>
      <c r="L258" s="2">
        <v>1004</v>
      </c>
      <c r="M258" s="2" t="s">
        <v>2750</v>
      </c>
      <c r="N258" s="2" t="s">
        <v>2751</v>
      </c>
      <c r="O258" s="2" t="s">
        <v>2752</v>
      </c>
      <c r="P258" s="2">
        <v>26078</v>
      </c>
      <c r="Q258" s="2"/>
      <c r="R258" s="2"/>
      <c r="S258" s="2" t="s">
        <v>2753</v>
      </c>
      <c r="T258" s="2" t="s">
        <v>2754</v>
      </c>
      <c r="U258" s="2" t="s">
        <v>2755</v>
      </c>
      <c r="V258" s="2" t="s">
        <v>2756</v>
      </c>
      <c r="W258" s="2" t="s">
        <v>2757</v>
      </c>
      <c r="X258" s="2" t="s">
        <v>2758</v>
      </c>
      <c r="Y258" s="2" t="s">
        <v>2759</v>
      </c>
      <c r="Z258" s="2" t="s">
        <v>2760</v>
      </c>
      <c r="AA258" s="2" t="s">
        <v>2761</v>
      </c>
      <c r="AB258" s="2" t="s">
        <v>101</v>
      </c>
      <c r="AC258" s="2">
        <v>69.31</v>
      </c>
      <c r="AD258" s="2">
        <v>99.61</v>
      </c>
      <c r="AE258" s="2">
        <v>75.349999999999994</v>
      </c>
      <c r="AF258" s="2" t="s">
        <v>2762</v>
      </c>
      <c r="AG258" s="2" t="s">
        <v>993</v>
      </c>
      <c r="AH258" s="2" t="s">
        <v>2763</v>
      </c>
      <c r="AI258" s="2">
        <v>-4.43</v>
      </c>
      <c r="AJ258" s="2">
        <v>23.2441464917516</v>
      </c>
      <c r="AK258" s="2">
        <v>23.093141313269701</v>
      </c>
      <c r="AL258" s="2">
        <v>22.983614274973402</v>
      </c>
      <c r="AM258" s="2">
        <v>22.115953759254701</v>
      </c>
      <c r="AN258" s="2">
        <v>23.246975119127299</v>
      </c>
      <c r="AO258" s="2">
        <v>23.423055782576899</v>
      </c>
      <c r="AP258" s="2">
        <v>23.3776405169043</v>
      </c>
      <c r="AQ258" s="2">
        <v>23.271954976921499</v>
      </c>
      <c r="AR258" s="2">
        <v>23.209023338225201</v>
      </c>
      <c r="AS258" s="2">
        <v>23.557110915627799</v>
      </c>
      <c r="AT258" s="2">
        <v>23.396234885290301</v>
      </c>
      <c r="AU258" s="2">
        <v>23.5578976084186</v>
      </c>
      <c r="AV258" s="2">
        <v>23.480622095377399</v>
      </c>
      <c r="AW258" s="2">
        <v>22.686982552689798</v>
      </c>
      <c r="AX258" s="2">
        <v>23.2082247548664</v>
      </c>
      <c r="AY258" s="2">
        <v>22.813001863215</v>
      </c>
      <c r="AZ258" s="2">
        <v>23.485534881051699</v>
      </c>
      <c r="BA258" s="2">
        <v>22.591782443532399</v>
      </c>
      <c r="BB258" s="2">
        <v>23.912291661651199</v>
      </c>
      <c r="BC258" s="2">
        <v>21.894964696877299</v>
      </c>
      <c r="BD258" s="2">
        <v>23.200246835004499</v>
      </c>
      <c r="BE258" s="2">
        <v>22.777332185512201</v>
      </c>
      <c r="BF258" s="2">
        <v>22.353735191050301</v>
      </c>
      <c r="BG258" s="2">
        <v>23.142860719751901</v>
      </c>
      <c r="BH258" s="2">
        <v>22.7422253427954</v>
      </c>
      <c r="BI258" s="2">
        <v>22.8897656597217</v>
      </c>
      <c r="BJ258" s="2">
        <v>22.7636049743606</v>
      </c>
      <c r="BK258" s="2">
        <v>23.278162877705199</v>
      </c>
      <c r="BL258" s="2">
        <v>23.116224282229702</v>
      </c>
      <c r="BM258" s="2">
        <v>23.472193122389999</v>
      </c>
      <c r="BN258" s="2">
        <v>23.0937896514315</v>
      </c>
      <c r="BO258" s="2">
        <v>23.2580832443095</v>
      </c>
      <c r="BP258" s="2">
        <v>23.3723910956564</v>
      </c>
      <c r="BQ258" s="2">
        <v>23.751907412302799</v>
      </c>
      <c r="BR258" s="2">
        <v>22.519719422942799</v>
      </c>
      <c r="BS258" s="2">
        <v>23.3501248653582</v>
      </c>
      <c r="BT258" s="2">
        <v>23.318385122435</v>
      </c>
      <c r="BU258" s="2">
        <v>22.001783588515</v>
      </c>
      <c r="BV258" s="2">
        <v>23.593701116449498</v>
      </c>
      <c r="BW258" s="2">
        <v>23.068336739454299</v>
      </c>
      <c r="BX258" s="2">
        <v>22.318619490777401</v>
      </c>
      <c r="BY258" s="2">
        <v>22.652786573228699</v>
      </c>
      <c r="BZ258" s="2">
        <v>23.630586603615701</v>
      </c>
      <c r="CA258" s="2">
        <v>21.629194918697099</v>
      </c>
      <c r="CB258" s="2">
        <v>24.0575246262697</v>
      </c>
      <c r="CC258" s="2">
        <v>22.997157591062098</v>
      </c>
      <c r="CD258" s="2">
        <v>23.154119613473299</v>
      </c>
      <c r="CE258" s="2">
        <v>23.4880309094825</v>
      </c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</row>
    <row r="259" spans="1:97">
      <c r="A259" s="2" t="s">
        <v>2764</v>
      </c>
      <c r="B259" s="2">
        <v>194.04543000000001</v>
      </c>
      <c r="C259" s="2">
        <v>3.665</v>
      </c>
      <c r="D259" s="2" t="s">
        <v>146</v>
      </c>
      <c r="E259" s="2" t="s">
        <v>2765</v>
      </c>
      <c r="F259" s="2" t="s">
        <v>2766</v>
      </c>
      <c r="G259" s="2">
        <v>48674</v>
      </c>
      <c r="H259" s="3" t="str">
        <f>HYPERLINK("https://cloud.oebiotech.com/#/lm/network/48674", "https://cloud.oebiotech.com/#/lm/network/48674")</f>
        <v>https://cloud.oebiotech.com/#/lm/network/48674</v>
      </c>
      <c r="I259" s="2" t="s">
        <v>2767</v>
      </c>
      <c r="J259" s="2">
        <v>58359</v>
      </c>
      <c r="K259" s="2"/>
      <c r="L259" s="2">
        <v>450268</v>
      </c>
      <c r="M259" s="2"/>
      <c r="N259" s="2"/>
      <c r="O259" s="2"/>
      <c r="P259" s="2">
        <v>70824</v>
      </c>
      <c r="Q259" s="2"/>
      <c r="R259" s="2"/>
      <c r="S259" s="2" t="s">
        <v>2768</v>
      </c>
      <c r="T259" s="2" t="s">
        <v>2769</v>
      </c>
      <c r="U259" s="2" t="s">
        <v>2770</v>
      </c>
      <c r="V259" s="2" t="s">
        <v>385</v>
      </c>
      <c r="W259" s="2" t="s">
        <v>386</v>
      </c>
      <c r="X259" s="2" t="s">
        <v>1059</v>
      </c>
      <c r="Y259" s="2" t="s">
        <v>388</v>
      </c>
      <c r="Z259" s="2" t="s">
        <v>389</v>
      </c>
      <c r="AA259" s="2" t="s">
        <v>1060</v>
      </c>
      <c r="AB259" s="2" t="s">
        <v>101</v>
      </c>
      <c r="AC259" s="2">
        <v>69.3</v>
      </c>
      <c r="AD259" s="2">
        <v>94.08</v>
      </c>
      <c r="AE259" s="2">
        <v>77.819999999999993</v>
      </c>
      <c r="AF259" s="2" t="s">
        <v>2771</v>
      </c>
      <c r="AG259" s="2" t="s">
        <v>194</v>
      </c>
      <c r="AH259" s="2" t="s">
        <v>2772</v>
      </c>
      <c r="AI259" s="2">
        <v>2.58</v>
      </c>
      <c r="AJ259" s="2">
        <v>19.6739067731848</v>
      </c>
      <c r="AK259" s="2">
        <v>19.8839839830164</v>
      </c>
      <c r="AL259" s="2">
        <v>19.7115026366588</v>
      </c>
      <c r="AM259" s="2">
        <v>19.563880009181101</v>
      </c>
      <c r="AN259" s="2">
        <v>19.729941697273699</v>
      </c>
      <c r="AO259" s="2">
        <v>19.654472459606801</v>
      </c>
      <c r="AP259" s="2">
        <v>19.678624740597598</v>
      </c>
      <c r="AQ259" s="2">
        <v>19.728904774277598</v>
      </c>
      <c r="AR259" s="2">
        <v>19.886103074801401</v>
      </c>
      <c r="AS259" s="2">
        <v>18.977189657192401</v>
      </c>
      <c r="AT259" s="2">
        <v>16.924715096138399</v>
      </c>
      <c r="AU259" s="2">
        <v>18.907025577788399</v>
      </c>
      <c r="AV259" s="2">
        <v>20.2652047528757</v>
      </c>
      <c r="AW259" s="2">
        <v>17.8548227384169</v>
      </c>
      <c r="AX259" s="2">
        <v>17.965549433116699</v>
      </c>
      <c r="AY259" s="2">
        <v>19.274336881574499</v>
      </c>
      <c r="AZ259" s="2">
        <v>18.859342443745</v>
      </c>
      <c r="BA259" s="2">
        <v>18.078784495957301</v>
      </c>
      <c r="BB259" s="2">
        <v>18.989205989806699</v>
      </c>
      <c r="BC259" s="2">
        <v>17.433765457109999</v>
      </c>
      <c r="BD259" s="2">
        <v>18.171973176482901</v>
      </c>
      <c r="BE259" s="2">
        <v>17.652134511610701</v>
      </c>
      <c r="BF259" s="2">
        <v>19.779793980676502</v>
      </c>
      <c r="BG259" s="2">
        <v>20.258897951277401</v>
      </c>
      <c r="BH259" s="2">
        <v>17.783548607318401</v>
      </c>
      <c r="BI259" s="2">
        <v>19.855649142870401</v>
      </c>
      <c r="BJ259" s="2">
        <v>19.214178249454299</v>
      </c>
      <c r="BK259" s="2">
        <v>19.442453502315299</v>
      </c>
      <c r="BL259" s="2">
        <v>20.113611660555598</v>
      </c>
      <c r="BM259" s="2">
        <v>19.767741412262399</v>
      </c>
      <c r="BN259" s="2">
        <v>17.7986697429406</v>
      </c>
      <c r="BO259" s="2">
        <v>19.2136621096938</v>
      </c>
      <c r="BP259" s="2">
        <v>21.170851337334899</v>
      </c>
      <c r="BQ259" s="2">
        <v>20.360498421463301</v>
      </c>
      <c r="BR259" s="2">
        <v>17.270377278860099</v>
      </c>
      <c r="BS259" s="2">
        <v>19.9802114985687</v>
      </c>
      <c r="BT259" s="2">
        <v>20.763387193760298</v>
      </c>
      <c r="BU259" s="2">
        <v>20.566959508880601</v>
      </c>
      <c r="BV259" s="2">
        <v>17.590949841630898</v>
      </c>
      <c r="BW259" s="2">
        <v>17.031948514843201</v>
      </c>
      <c r="BX259" s="2">
        <v>17.9630932917782</v>
      </c>
      <c r="BY259" s="2">
        <v>19.806843388391702</v>
      </c>
      <c r="BZ259" s="2">
        <v>19.073769799416901</v>
      </c>
      <c r="CA259" s="2">
        <v>17.789389406463101</v>
      </c>
      <c r="CB259" s="2">
        <v>18.952724300697501</v>
      </c>
      <c r="CC259" s="2">
        <v>17.342940837721201</v>
      </c>
      <c r="CD259" s="2">
        <v>20.401418305894001</v>
      </c>
      <c r="CE259" s="2">
        <v>18.8289626676249</v>
      </c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</row>
    <row r="260" spans="1:97">
      <c r="A260" s="2" t="s">
        <v>2773</v>
      </c>
      <c r="B260" s="2">
        <v>165.97864000000001</v>
      </c>
      <c r="C260" s="2">
        <v>6.6639999999999997</v>
      </c>
      <c r="D260" s="2" t="s">
        <v>146</v>
      </c>
      <c r="E260" s="2" t="s">
        <v>2774</v>
      </c>
      <c r="F260" s="2" t="s">
        <v>2775</v>
      </c>
      <c r="G260" s="2">
        <v>55327</v>
      </c>
      <c r="H260" s="3" t="str">
        <f>HYPERLINK("https://cloud.oebiotech.com/#/lm/network/55327", "https://cloud.oebiotech.com/#/lm/network/55327")</f>
        <v>https://cloud.oebiotech.com/#/lm/network/55327</v>
      </c>
      <c r="I260" s="2" t="s">
        <v>2776</v>
      </c>
      <c r="J260" s="2">
        <v>70060</v>
      </c>
      <c r="K260" s="2"/>
      <c r="L260" s="2">
        <v>21831736</v>
      </c>
      <c r="M260" s="2" t="s">
        <v>2777</v>
      </c>
      <c r="N260" s="2"/>
      <c r="O260" s="2"/>
      <c r="P260" s="2">
        <v>34292</v>
      </c>
      <c r="Q260" s="2"/>
      <c r="R260" s="2"/>
      <c r="S260" s="2" t="s">
        <v>2778</v>
      </c>
      <c r="T260" s="2" t="s">
        <v>2779</v>
      </c>
      <c r="U260" s="2" t="s">
        <v>2780</v>
      </c>
      <c r="V260" s="2" t="s">
        <v>553</v>
      </c>
      <c r="W260" s="2" t="s">
        <v>2781</v>
      </c>
      <c r="X260" s="2" t="s">
        <v>375</v>
      </c>
      <c r="Y260" s="2" t="s">
        <v>556</v>
      </c>
      <c r="Z260" s="2" t="s">
        <v>2782</v>
      </c>
      <c r="AA260" s="2"/>
      <c r="AB260" s="2" t="s">
        <v>101</v>
      </c>
      <c r="AC260" s="2">
        <v>69.260000000000005</v>
      </c>
      <c r="AD260" s="2">
        <v>89.91</v>
      </c>
      <c r="AE260" s="2">
        <v>79.900000000000006</v>
      </c>
      <c r="AF260" s="2" t="s">
        <v>2783</v>
      </c>
      <c r="AG260" s="2" t="s">
        <v>194</v>
      </c>
      <c r="AH260" s="2" t="s">
        <v>2784</v>
      </c>
      <c r="AI260" s="2">
        <v>3.01</v>
      </c>
      <c r="AJ260" s="2">
        <v>17.199768471465202</v>
      </c>
      <c r="AK260" s="2">
        <v>17.1478496362888</v>
      </c>
      <c r="AL260" s="2">
        <v>16.431142861118101</v>
      </c>
      <c r="AM260" s="2">
        <v>16.816835292545001</v>
      </c>
      <c r="AN260" s="2">
        <v>16.755215421285499</v>
      </c>
      <c r="AO260" s="2">
        <v>17.0492846738581</v>
      </c>
      <c r="AP260" s="2">
        <v>16.940996811169999</v>
      </c>
      <c r="AQ260" s="2">
        <v>16.655592492525301</v>
      </c>
      <c r="AR260" s="2">
        <v>15.9354111727922</v>
      </c>
      <c r="AS260" s="2">
        <v>22.2504670719137</v>
      </c>
      <c r="AT260" s="2">
        <v>15.7381519131514</v>
      </c>
      <c r="AU260" s="2">
        <v>15.826607323977401</v>
      </c>
      <c r="AV260" s="2">
        <v>15.454901683253899</v>
      </c>
      <c r="AW260" s="2">
        <v>15.9221667151166</v>
      </c>
      <c r="AX260" s="2">
        <v>15.3997769193509</v>
      </c>
      <c r="AY260" s="2">
        <v>15.3803058154983</v>
      </c>
      <c r="AZ260" s="2">
        <v>15.179449235421201</v>
      </c>
      <c r="BA260" s="2">
        <v>15.028388282554999</v>
      </c>
      <c r="BB260" s="2">
        <v>15.152118441037301</v>
      </c>
      <c r="BC260" s="2">
        <v>16.244806989906898</v>
      </c>
      <c r="BD260" s="2">
        <v>16.456082119230299</v>
      </c>
      <c r="BE260" s="2">
        <v>15.4235266336087</v>
      </c>
      <c r="BF260" s="2">
        <v>15.328605160790501</v>
      </c>
      <c r="BG260" s="2">
        <v>15.9887783133642</v>
      </c>
      <c r="BH260" s="2">
        <v>15.131402028486599</v>
      </c>
      <c r="BI260" s="2">
        <v>14.141632996650999</v>
      </c>
      <c r="BJ260" s="2">
        <v>14.222070355247199</v>
      </c>
      <c r="BK260" s="2">
        <v>15.3082725400493</v>
      </c>
      <c r="BL260" s="2">
        <v>14.2810331335342</v>
      </c>
      <c r="BM260" s="2">
        <v>15.1555444149003</v>
      </c>
      <c r="BN260" s="2">
        <v>14.6626032925722</v>
      </c>
      <c r="BO260" s="2">
        <v>14.6973563931173</v>
      </c>
      <c r="BP260" s="2">
        <v>14.311076329160301</v>
      </c>
      <c r="BQ260" s="2">
        <v>14.282991378890401</v>
      </c>
      <c r="BR260" s="2">
        <v>14.4609511297719</v>
      </c>
      <c r="BS260" s="2">
        <v>15.4602594194034</v>
      </c>
      <c r="BT260" s="2">
        <v>14.6206202003125</v>
      </c>
      <c r="BU260" s="2">
        <v>15.398125738819401</v>
      </c>
      <c r="BV260" s="2">
        <v>16.014765432026099</v>
      </c>
      <c r="BW260" s="2">
        <v>14.7125420463466</v>
      </c>
      <c r="BX260" s="2">
        <v>15.6846204287303</v>
      </c>
      <c r="BY260" s="2">
        <v>16.0531446484928</v>
      </c>
      <c r="BZ260" s="2">
        <v>15.887497188025501</v>
      </c>
      <c r="CA260" s="2">
        <v>15.183116218677601</v>
      </c>
      <c r="CB260" s="2">
        <v>13.8552091524503</v>
      </c>
      <c r="CC260" s="2">
        <v>14.7982778828896</v>
      </c>
      <c r="CD260" s="2">
        <v>12.7880229149584</v>
      </c>
      <c r="CE260" s="2">
        <v>14.265168896433901</v>
      </c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</row>
    <row r="261" spans="1:97">
      <c r="A261" s="2" t="s">
        <v>2785</v>
      </c>
      <c r="B261" s="2">
        <v>567.31715999999994</v>
      </c>
      <c r="C261" s="2">
        <v>8.5459999999999994</v>
      </c>
      <c r="D261" s="2" t="s">
        <v>146</v>
      </c>
      <c r="E261" s="2" t="s">
        <v>2786</v>
      </c>
      <c r="F261" s="2" t="s">
        <v>2787</v>
      </c>
      <c r="G261" s="2">
        <v>199219</v>
      </c>
      <c r="H261" s="3" t="str">
        <f>HYPERLINK("https://cloud.oebiotech.com/#/lm/network/199219", "https://cloud.oebiotech.com/#/lm/network/199219")</f>
        <v>https://cloud.oebiotech.com/#/lm/network/199219</v>
      </c>
      <c r="I261" s="2" t="s">
        <v>2788</v>
      </c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 t="s">
        <v>2789</v>
      </c>
      <c r="U261" s="2" t="s">
        <v>2790</v>
      </c>
      <c r="V261" s="2" t="s">
        <v>95</v>
      </c>
      <c r="W261" s="2" t="s">
        <v>152</v>
      </c>
      <c r="X261" s="2" t="s">
        <v>2791</v>
      </c>
      <c r="Y261" s="2" t="s">
        <v>98</v>
      </c>
      <c r="Z261" s="2" t="s">
        <v>154</v>
      </c>
      <c r="AA261" s="2" t="s">
        <v>2792</v>
      </c>
      <c r="AB261" s="2" t="s">
        <v>101</v>
      </c>
      <c r="AC261" s="2">
        <v>69.239999999999995</v>
      </c>
      <c r="AD261" s="2">
        <v>90.83</v>
      </c>
      <c r="AE261" s="2">
        <v>66.599999999999994</v>
      </c>
      <c r="AF261" s="2" t="s">
        <v>2793</v>
      </c>
      <c r="AG261" s="2" t="s">
        <v>194</v>
      </c>
      <c r="AH261" s="2" t="s">
        <v>2794</v>
      </c>
      <c r="AI261" s="2">
        <v>0.35</v>
      </c>
      <c r="AJ261" s="2">
        <v>18.819832373249199</v>
      </c>
      <c r="AK261" s="2">
        <v>18.762079174373799</v>
      </c>
      <c r="AL261" s="2">
        <v>18.657873241707598</v>
      </c>
      <c r="AM261" s="2">
        <v>18.9911026358978</v>
      </c>
      <c r="AN261" s="2">
        <v>18.652986134309501</v>
      </c>
      <c r="AO261" s="2">
        <v>18.870243604846198</v>
      </c>
      <c r="AP261" s="2">
        <v>19.103202760672001</v>
      </c>
      <c r="AQ261" s="2">
        <v>18.7223034802442</v>
      </c>
      <c r="AR261" s="2">
        <v>16.0169975767712</v>
      </c>
      <c r="AS261" s="2">
        <v>16.574082433051199</v>
      </c>
      <c r="AT261" s="2">
        <v>17.3040068649143</v>
      </c>
      <c r="AU261" s="2">
        <v>16.779569323060802</v>
      </c>
      <c r="AV261" s="2">
        <v>17.367535050451799</v>
      </c>
      <c r="AW261" s="2">
        <v>18.1877664617809</v>
      </c>
      <c r="AX261" s="2">
        <v>15.953445317260099</v>
      </c>
      <c r="AY261" s="2">
        <v>14.8244491541189</v>
      </c>
      <c r="AZ261" s="2">
        <v>16.6919201381939</v>
      </c>
      <c r="BA261" s="2">
        <v>17.858975492920401</v>
      </c>
      <c r="BB261" s="2">
        <v>17.544222872373801</v>
      </c>
      <c r="BC261" s="2">
        <v>17.780268890710801</v>
      </c>
      <c r="BD261" s="2">
        <v>13.0236157592227</v>
      </c>
      <c r="BE261" s="2">
        <v>16.317287354753699</v>
      </c>
      <c r="BF261" s="2">
        <v>14.8461083563176</v>
      </c>
      <c r="BG261" s="2">
        <v>16.212416017911</v>
      </c>
      <c r="BH261" s="2">
        <v>15.6070912897837</v>
      </c>
      <c r="BI261" s="2">
        <v>19.201292272162</v>
      </c>
      <c r="BJ261" s="2">
        <v>17.9186085099035</v>
      </c>
      <c r="BK261" s="2">
        <v>19.595961277117599</v>
      </c>
      <c r="BL261" s="2">
        <v>18.3370500918614</v>
      </c>
      <c r="BM261" s="2">
        <v>18.848145247341101</v>
      </c>
      <c r="BN261" s="2">
        <v>17.9286705178035</v>
      </c>
      <c r="BO261" s="2">
        <v>13.572440887508</v>
      </c>
      <c r="BP261" s="2">
        <v>18.216669894967598</v>
      </c>
      <c r="BQ261" s="2">
        <v>19.845873047519198</v>
      </c>
      <c r="BR261" s="2">
        <v>15.727555162340201</v>
      </c>
      <c r="BS261" s="2">
        <v>16.2584429211139</v>
      </c>
      <c r="BT261" s="2">
        <v>15.978148248992801</v>
      </c>
      <c r="BU261" s="2">
        <v>18.055686823257101</v>
      </c>
      <c r="BV261" s="2">
        <v>18.909954270710301</v>
      </c>
      <c r="BW261" s="2">
        <v>16.9768563022207</v>
      </c>
      <c r="BX261" s="2">
        <v>12.8213175877382</v>
      </c>
      <c r="BY261" s="2">
        <v>16.231313634156699</v>
      </c>
      <c r="BZ261" s="2">
        <v>14.848818520317201</v>
      </c>
      <c r="CA261" s="2">
        <v>16.901293535859701</v>
      </c>
      <c r="CB261" s="2">
        <v>18.403503903783399</v>
      </c>
      <c r="CC261" s="2">
        <v>18.252867096331101</v>
      </c>
      <c r="CD261" s="2">
        <v>18.5211592676539</v>
      </c>
      <c r="CE261" s="2">
        <v>18.164279322305202</v>
      </c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</row>
    <row r="262" spans="1:97">
      <c r="A262" s="2" t="s">
        <v>2795</v>
      </c>
      <c r="B262" s="2">
        <v>176.07042000000001</v>
      </c>
      <c r="C262" s="2">
        <v>5.5380000000000003</v>
      </c>
      <c r="D262" s="2" t="s">
        <v>84</v>
      </c>
      <c r="E262" s="2" t="s">
        <v>2796</v>
      </c>
      <c r="F262" s="2" t="s">
        <v>2797</v>
      </c>
      <c r="G262" s="2">
        <v>46925</v>
      </c>
      <c r="H262" s="3" t="str">
        <f>HYPERLINK("https://cloud.oebiotech.com/#/lm/network/46925", "https://cloud.oebiotech.com/#/lm/network/46925")</f>
        <v>https://cloud.oebiotech.com/#/lm/network/46925</v>
      </c>
      <c r="I262" s="2" t="s">
        <v>2798</v>
      </c>
      <c r="J262" s="2">
        <v>70</v>
      </c>
      <c r="K262" s="2"/>
      <c r="L262" s="2">
        <v>802</v>
      </c>
      <c r="M262" s="2" t="s">
        <v>2799</v>
      </c>
      <c r="N262" s="2" t="s">
        <v>2281</v>
      </c>
      <c r="O262" s="2" t="s">
        <v>2282</v>
      </c>
      <c r="P262" s="2">
        <v>16411</v>
      </c>
      <c r="Q262" s="2"/>
      <c r="R262" s="2"/>
      <c r="S262" s="2" t="s">
        <v>2800</v>
      </c>
      <c r="T262" s="2" t="s">
        <v>2801</v>
      </c>
      <c r="U262" s="2" t="s">
        <v>2802</v>
      </c>
      <c r="V262" s="2" t="s">
        <v>553</v>
      </c>
      <c r="W262" s="2" t="s">
        <v>933</v>
      </c>
      <c r="X262" s="2" t="s">
        <v>934</v>
      </c>
      <c r="Y262" s="2" t="s">
        <v>556</v>
      </c>
      <c r="Z262" s="2" t="s">
        <v>935</v>
      </c>
      <c r="AA262" s="2" t="s">
        <v>936</v>
      </c>
      <c r="AB262" s="2" t="s">
        <v>101</v>
      </c>
      <c r="AC262" s="2">
        <v>69.23</v>
      </c>
      <c r="AD262" s="2">
        <v>98.35</v>
      </c>
      <c r="AE262" s="2">
        <v>67.010000000000005</v>
      </c>
      <c r="AF262" s="2" t="s">
        <v>2803</v>
      </c>
      <c r="AG262" s="2" t="s">
        <v>103</v>
      </c>
      <c r="AH262" s="2" t="s">
        <v>2804</v>
      </c>
      <c r="AI262" s="2">
        <v>1.1399999999999999</v>
      </c>
      <c r="AJ262" s="2">
        <v>23.198795566147201</v>
      </c>
      <c r="AK262" s="2">
        <v>23.431926249759702</v>
      </c>
      <c r="AL262" s="2">
        <v>23.3414114388328</v>
      </c>
      <c r="AM262" s="2">
        <v>23.3732611236126</v>
      </c>
      <c r="AN262" s="2">
        <v>23.344637533511801</v>
      </c>
      <c r="AO262" s="2">
        <v>23.435956955168901</v>
      </c>
      <c r="AP262" s="2">
        <v>23.2708343826</v>
      </c>
      <c r="AQ262" s="2">
        <v>23.6264461151376</v>
      </c>
      <c r="AR262" s="2">
        <v>22.511803912997301</v>
      </c>
      <c r="AS262" s="2">
        <v>21.759063190859401</v>
      </c>
      <c r="AT262" s="2">
        <v>21.917146830198401</v>
      </c>
      <c r="AU262" s="2">
        <v>23.028363243920399</v>
      </c>
      <c r="AV262" s="2">
        <v>22.855635441771</v>
      </c>
      <c r="AW262" s="2">
        <v>23.161515935204299</v>
      </c>
      <c r="AX262" s="2">
        <v>23.499156382127399</v>
      </c>
      <c r="AY262" s="2">
        <v>22.781322439712302</v>
      </c>
      <c r="AZ262" s="2">
        <v>23.228156744282899</v>
      </c>
      <c r="BA262" s="2">
        <v>23.381942159235301</v>
      </c>
      <c r="BB262" s="2">
        <v>23.6653844974165</v>
      </c>
      <c r="BC262" s="2">
        <v>23.671270331482201</v>
      </c>
      <c r="BD262" s="2">
        <v>22.959647852236099</v>
      </c>
      <c r="BE262" s="2">
        <v>23.320421813976498</v>
      </c>
      <c r="BF262" s="2">
        <v>22.842681603646401</v>
      </c>
      <c r="BG262" s="2">
        <v>23.810638377603301</v>
      </c>
      <c r="BH262" s="2">
        <v>23.662547649671101</v>
      </c>
      <c r="BI262" s="2">
        <v>22.823185133292199</v>
      </c>
      <c r="BJ262" s="2">
        <v>22.482260417065401</v>
      </c>
      <c r="BK262" s="2">
        <v>23.729392621278201</v>
      </c>
      <c r="BL262" s="2">
        <v>22.692817819545301</v>
      </c>
      <c r="BM262" s="2">
        <v>22.2580665764517</v>
      </c>
      <c r="BN262" s="2">
        <v>22.776244262856899</v>
      </c>
      <c r="BO262" s="2">
        <v>23.671405471655898</v>
      </c>
      <c r="BP262" s="2">
        <v>23.579681598526498</v>
      </c>
      <c r="BQ262" s="2">
        <v>23.035794043393501</v>
      </c>
      <c r="BR262" s="2">
        <v>23.8320057181054</v>
      </c>
      <c r="BS262" s="2">
        <v>23.316849675791399</v>
      </c>
      <c r="BT262" s="2">
        <v>23.739568728453499</v>
      </c>
      <c r="BU262" s="2">
        <v>22.8254889018949</v>
      </c>
      <c r="BV262" s="2">
        <v>22.6175424520024</v>
      </c>
      <c r="BW262" s="2">
        <v>22.483650583294001</v>
      </c>
      <c r="BX262" s="2">
        <v>23.4658499854065</v>
      </c>
      <c r="BY262" s="2">
        <v>23.658186575362201</v>
      </c>
      <c r="BZ262" s="2">
        <v>23.3701057866244</v>
      </c>
      <c r="CA262" s="2">
        <v>22.4107128819042</v>
      </c>
      <c r="CB262" s="2">
        <v>23.236758741594599</v>
      </c>
      <c r="CC262" s="2">
        <v>22.575756100018602</v>
      </c>
      <c r="CD262" s="2">
        <v>22.632943108384701</v>
      </c>
      <c r="CE262" s="2">
        <v>24.162112578185098</v>
      </c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</row>
    <row r="263" spans="1:97">
      <c r="A263" s="2" t="s">
        <v>2805</v>
      </c>
      <c r="B263" s="2">
        <v>338.26602000000003</v>
      </c>
      <c r="C263" s="2">
        <v>9.6129999999999995</v>
      </c>
      <c r="D263" s="2" t="s">
        <v>84</v>
      </c>
      <c r="E263" s="2" t="s">
        <v>2806</v>
      </c>
      <c r="F263" s="2" t="s">
        <v>2807</v>
      </c>
      <c r="G263" s="2">
        <v>38926</v>
      </c>
      <c r="H263" s="3" t="str">
        <f>HYPERLINK("https://cloud.oebiotech.com/#/lm/network/38926", "https://cloud.oebiotech.com/#/lm/network/38926")</f>
        <v>https://cloud.oebiotech.com/#/lm/network/38926</v>
      </c>
      <c r="I263" s="2"/>
      <c r="J263" s="2">
        <v>53897</v>
      </c>
      <c r="K263" s="2" t="s">
        <v>2808</v>
      </c>
      <c r="L263" s="2">
        <v>14757418</v>
      </c>
      <c r="M263" s="2"/>
      <c r="N263" s="2"/>
      <c r="O263" s="2"/>
      <c r="P263" s="2">
        <v>20386</v>
      </c>
      <c r="Q263" s="2"/>
      <c r="R263" s="2"/>
      <c r="S263" s="2"/>
      <c r="T263" s="2" t="s">
        <v>2809</v>
      </c>
      <c r="U263" s="2" t="s">
        <v>2810</v>
      </c>
      <c r="V263" s="2" t="s">
        <v>166</v>
      </c>
      <c r="W263" s="2" t="s">
        <v>167</v>
      </c>
      <c r="X263" s="2" t="s">
        <v>482</v>
      </c>
      <c r="Y263" s="2" t="s">
        <v>169</v>
      </c>
      <c r="Z263" s="2" t="s">
        <v>169</v>
      </c>
      <c r="AA263" s="2" t="s">
        <v>483</v>
      </c>
      <c r="AB263" s="2" t="s">
        <v>101</v>
      </c>
      <c r="AC263" s="2">
        <v>69.22</v>
      </c>
      <c r="AD263" s="2">
        <v>90.44</v>
      </c>
      <c r="AE263" s="2">
        <v>77.69</v>
      </c>
      <c r="AF263" s="2" t="s">
        <v>2811</v>
      </c>
      <c r="AG263" s="2" t="s">
        <v>1578</v>
      </c>
      <c r="AH263" s="2" t="s">
        <v>2812</v>
      </c>
      <c r="AI263" s="2">
        <v>1.77</v>
      </c>
      <c r="AJ263" s="2">
        <v>23.2808604490736</v>
      </c>
      <c r="AK263" s="2">
        <v>23.488978496511301</v>
      </c>
      <c r="AL263" s="2">
        <v>22.8721010112165</v>
      </c>
      <c r="AM263" s="2">
        <v>22.698489315141</v>
      </c>
      <c r="AN263" s="2">
        <v>23.5406236546679</v>
      </c>
      <c r="AO263" s="2">
        <v>23.6062740040419</v>
      </c>
      <c r="AP263" s="2">
        <v>23.314884715984199</v>
      </c>
      <c r="AQ263" s="2">
        <v>23.458459019786599</v>
      </c>
      <c r="AR263" s="2">
        <v>23.322804868385902</v>
      </c>
      <c r="AS263" s="2">
        <v>23.4325130891289</v>
      </c>
      <c r="AT263" s="2">
        <v>23.446879978664501</v>
      </c>
      <c r="AU263" s="2">
        <v>23.604484404191201</v>
      </c>
      <c r="AV263" s="2">
        <v>23.4231945008863</v>
      </c>
      <c r="AW263" s="2">
        <v>23.376660314046301</v>
      </c>
      <c r="AX263" s="2">
        <v>23.088058637689599</v>
      </c>
      <c r="AY263" s="2">
        <v>23.6083235022064</v>
      </c>
      <c r="AZ263" s="2">
        <v>23.5580717696043</v>
      </c>
      <c r="BA263" s="2">
        <v>22.8456931721432</v>
      </c>
      <c r="BB263" s="2">
        <v>23.632169691596498</v>
      </c>
      <c r="BC263" s="2">
        <v>23.596312567327701</v>
      </c>
      <c r="BD263" s="2">
        <v>23.437788310961501</v>
      </c>
      <c r="BE263" s="2">
        <v>23.430333081448101</v>
      </c>
      <c r="BF263" s="2">
        <v>22.9069669905724</v>
      </c>
      <c r="BG263" s="2">
        <v>23.554150705088801</v>
      </c>
      <c r="BH263" s="2">
        <v>23.460639349263101</v>
      </c>
      <c r="BI263" s="2">
        <v>23.4674507189895</v>
      </c>
      <c r="BJ263" s="2">
        <v>23.389509296204398</v>
      </c>
      <c r="BK263" s="2">
        <v>23.4186605637226</v>
      </c>
      <c r="BL263" s="2">
        <v>23.523993622361399</v>
      </c>
      <c r="BM263" s="2">
        <v>23.452918613032399</v>
      </c>
      <c r="BN263" s="2">
        <v>23.451327333616</v>
      </c>
      <c r="BO263" s="2">
        <v>23.1386664565708</v>
      </c>
      <c r="BP263" s="2">
        <v>23.4338219010152</v>
      </c>
      <c r="BQ263" s="2">
        <v>22.9580734195209</v>
      </c>
      <c r="BR263" s="2">
        <v>23.449605356164099</v>
      </c>
      <c r="BS263" s="2">
        <v>23.5249708867137</v>
      </c>
      <c r="BT263" s="2">
        <v>23.5016579226962</v>
      </c>
      <c r="BU263" s="2">
        <v>23.616155947802302</v>
      </c>
      <c r="BV263" s="2">
        <v>23.385223301427899</v>
      </c>
      <c r="BW263" s="2">
        <v>23.489191999112499</v>
      </c>
      <c r="BX263" s="2">
        <v>23.543079389300502</v>
      </c>
      <c r="BY263" s="2">
        <v>23.555671730374101</v>
      </c>
      <c r="BZ263" s="2">
        <v>22.898611413382898</v>
      </c>
      <c r="CA263" s="2">
        <v>22.7237552097749</v>
      </c>
      <c r="CB263" s="2">
        <v>22.975971533687702</v>
      </c>
      <c r="CC263" s="2">
        <v>23.555034222382702</v>
      </c>
      <c r="CD263" s="2">
        <v>23.458402751823598</v>
      </c>
      <c r="CE263" s="2">
        <v>23.600905723593499</v>
      </c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</row>
    <row r="264" spans="1:97">
      <c r="A264" s="2" t="s">
        <v>2813</v>
      </c>
      <c r="B264" s="2">
        <v>538.38590999999997</v>
      </c>
      <c r="C264" s="2">
        <v>12.132999999999999</v>
      </c>
      <c r="D264" s="2" t="s">
        <v>84</v>
      </c>
      <c r="E264" s="2" t="s">
        <v>2814</v>
      </c>
      <c r="F264" s="2" t="s">
        <v>2815</v>
      </c>
      <c r="G264" s="2">
        <v>19842</v>
      </c>
      <c r="H264" s="3" t="str">
        <f>HYPERLINK("https://cloud.oebiotech.com/#/lm/network/19842", "https://cloud.oebiotech.com/#/lm/network/19842")</f>
        <v>https://cloud.oebiotech.com/#/lm/network/19842</v>
      </c>
      <c r="I264" s="2"/>
      <c r="J264" s="2">
        <v>40307</v>
      </c>
      <c r="K264" s="2" t="s">
        <v>2816</v>
      </c>
      <c r="L264" s="2">
        <v>24779472</v>
      </c>
      <c r="M264" s="2"/>
      <c r="N264" s="2"/>
      <c r="O264" s="2"/>
      <c r="P264" s="2">
        <v>131989</v>
      </c>
      <c r="Q264" s="2"/>
      <c r="R264" s="2"/>
      <c r="S264" s="2"/>
      <c r="T264" s="2" t="s">
        <v>2817</v>
      </c>
      <c r="U264" s="2" t="s">
        <v>2818</v>
      </c>
      <c r="V264" s="2" t="s">
        <v>95</v>
      </c>
      <c r="W264" s="2" t="s">
        <v>202</v>
      </c>
      <c r="X264" s="2" t="s">
        <v>203</v>
      </c>
      <c r="Y264" s="2" t="s">
        <v>98</v>
      </c>
      <c r="Z264" s="2" t="s">
        <v>204</v>
      </c>
      <c r="AA264" s="2" t="s">
        <v>205</v>
      </c>
      <c r="AB264" s="2" t="s">
        <v>101</v>
      </c>
      <c r="AC264" s="2">
        <v>69.22</v>
      </c>
      <c r="AD264" s="2">
        <v>93.9</v>
      </c>
      <c r="AE264" s="2">
        <v>78.91</v>
      </c>
      <c r="AF264" s="2" t="s">
        <v>2819</v>
      </c>
      <c r="AG264" s="2" t="s">
        <v>103</v>
      </c>
      <c r="AH264" s="2" t="s">
        <v>2820</v>
      </c>
      <c r="AI264" s="2">
        <v>1.49</v>
      </c>
      <c r="AJ264" s="2">
        <v>22.127651348417</v>
      </c>
      <c r="AK264" s="2">
        <v>22.0935650606548</v>
      </c>
      <c r="AL264" s="2">
        <v>21.833124187011901</v>
      </c>
      <c r="AM264" s="2">
        <v>22.1221106861625</v>
      </c>
      <c r="AN264" s="2">
        <v>22.1492726290384</v>
      </c>
      <c r="AO264" s="2">
        <v>21.9459824473861</v>
      </c>
      <c r="AP264" s="2">
        <v>22.016831613604499</v>
      </c>
      <c r="AQ264" s="2">
        <v>22.615135170742501</v>
      </c>
      <c r="AR264" s="2">
        <v>22.859244660624</v>
      </c>
      <c r="AS264" s="2">
        <v>20.5343931696722</v>
      </c>
      <c r="AT264" s="2">
        <v>21.258231819901098</v>
      </c>
      <c r="AU264" s="2">
        <v>22.1994883997477</v>
      </c>
      <c r="AV264" s="2">
        <v>21.374996612584599</v>
      </c>
      <c r="AW264" s="2">
        <v>21.516946905427801</v>
      </c>
      <c r="AX264" s="2">
        <v>21.7393382148352</v>
      </c>
      <c r="AY264" s="2">
        <v>22.0176772081659</v>
      </c>
      <c r="AZ264" s="2">
        <v>22.394572051519301</v>
      </c>
      <c r="BA264" s="2">
        <v>20.519755887674702</v>
      </c>
      <c r="BB264" s="2">
        <v>21.735801132008799</v>
      </c>
      <c r="BC264" s="2">
        <v>22.616274494035601</v>
      </c>
      <c r="BD264" s="2">
        <v>22.046661480397201</v>
      </c>
      <c r="BE264" s="2">
        <v>23.018944230122401</v>
      </c>
      <c r="BF264" s="2">
        <v>21.2336107015457</v>
      </c>
      <c r="BG264" s="2">
        <v>22.067351900075799</v>
      </c>
      <c r="BH264" s="2">
        <v>21.9562860377556</v>
      </c>
      <c r="BI264" s="2">
        <v>20.836747190201802</v>
      </c>
      <c r="BJ264" s="2">
        <v>21.352491799872698</v>
      </c>
      <c r="BK264" s="2">
        <v>20.914320541140501</v>
      </c>
      <c r="BL264" s="2">
        <v>22.1197138249535</v>
      </c>
      <c r="BM264" s="2">
        <v>21.8927782978529</v>
      </c>
      <c r="BN264" s="2">
        <v>20.998199959628</v>
      </c>
      <c r="BO264" s="2">
        <v>22.094588840058201</v>
      </c>
      <c r="BP264" s="2">
        <v>21.936637234561498</v>
      </c>
      <c r="BQ264" s="2">
        <v>21.884820892015998</v>
      </c>
      <c r="BR264" s="2">
        <v>21.777057311555399</v>
      </c>
      <c r="BS264" s="2">
        <v>22.000415859461299</v>
      </c>
      <c r="BT264" s="2">
        <v>22.162810951015398</v>
      </c>
      <c r="BU264" s="2">
        <v>21.535808730635701</v>
      </c>
      <c r="BV264" s="2">
        <v>21.8688114004559</v>
      </c>
      <c r="BW264" s="2">
        <v>20.808895700378599</v>
      </c>
      <c r="BX264" s="2">
        <v>21.768719071634798</v>
      </c>
      <c r="BY264" s="2">
        <v>23.091998562793201</v>
      </c>
      <c r="BZ264" s="2">
        <v>21.570604105082001</v>
      </c>
      <c r="CA264" s="2">
        <v>21.884535224324701</v>
      </c>
      <c r="CB264" s="2">
        <v>21.521856665746601</v>
      </c>
      <c r="CC264" s="2">
        <v>20.844644121639998</v>
      </c>
      <c r="CD264" s="2">
        <v>22.549586562641601</v>
      </c>
      <c r="CE264" s="2">
        <v>20.610836477684799</v>
      </c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</row>
    <row r="265" spans="1:97">
      <c r="A265" s="2" t="s">
        <v>2821</v>
      </c>
      <c r="B265" s="2">
        <v>318.19076999999999</v>
      </c>
      <c r="C265" s="2">
        <v>4.1280000000000001</v>
      </c>
      <c r="D265" s="2" t="s">
        <v>84</v>
      </c>
      <c r="E265" s="2" t="s">
        <v>2822</v>
      </c>
      <c r="F265" s="2" t="s">
        <v>2823</v>
      </c>
      <c r="G265" s="2">
        <v>198258</v>
      </c>
      <c r="H265" s="3" t="str">
        <f>HYPERLINK("https://cloud.oebiotech.com/#/lm/network/198258", "https://cloud.oebiotech.com/#/lm/network/198258")</f>
        <v>https://cloud.oebiotech.com/#/lm/network/198258</v>
      </c>
      <c r="I265" s="2" t="s">
        <v>2824</v>
      </c>
      <c r="J265" s="2"/>
      <c r="K265" s="2"/>
      <c r="L265" s="2">
        <v>92036974</v>
      </c>
      <c r="M265" s="2"/>
      <c r="N265" s="2"/>
      <c r="O265" s="2"/>
      <c r="P265" s="2"/>
      <c r="Q265" s="2"/>
      <c r="R265" s="2"/>
      <c r="S265" s="2"/>
      <c r="T265" s="2" t="s">
        <v>2825</v>
      </c>
      <c r="U265" s="2" t="s">
        <v>2826</v>
      </c>
      <c r="V265" s="2" t="s">
        <v>95</v>
      </c>
      <c r="W265" s="2" t="s">
        <v>96</v>
      </c>
      <c r="X265" s="2" t="s">
        <v>97</v>
      </c>
      <c r="Y265" s="2" t="s">
        <v>98</v>
      </c>
      <c r="Z265" s="2" t="s">
        <v>99</v>
      </c>
      <c r="AA265" s="2" t="s">
        <v>100</v>
      </c>
      <c r="AB265" s="2" t="s">
        <v>101</v>
      </c>
      <c r="AC265" s="2">
        <v>69.209999999999994</v>
      </c>
      <c r="AD265" s="2">
        <v>90.62</v>
      </c>
      <c r="AE265" s="2">
        <v>84.22</v>
      </c>
      <c r="AF265" s="2" t="s">
        <v>2827</v>
      </c>
      <c r="AG265" s="2" t="s">
        <v>103</v>
      </c>
      <c r="AH265" s="2" t="s">
        <v>2828</v>
      </c>
      <c r="AI265" s="2">
        <v>0.94</v>
      </c>
      <c r="AJ265" s="2">
        <v>18.471746728257301</v>
      </c>
      <c r="AK265" s="2">
        <v>18.0806099920568</v>
      </c>
      <c r="AL265" s="2">
        <v>18.405316960077101</v>
      </c>
      <c r="AM265" s="2">
        <v>18.431593376481299</v>
      </c>
      <c r="AN265" s="2">
        <v>18.206957963801798</v>
      </c>
      <c r="AO265" s="2">
        <v>18.248306981089399</v>
      </c>
      <c r="AP265" s="2">
        <v>18.3687737619552</v>
      </c>
      <c r="AQ265" s="2">
        <v>18.269281625000499</v>
      </c>
      <c r="AR265" s="2">
        <v>20.0739557606929</v>
      </c>
      <c r="AS265" s="2">
        <v>15.1834240942918</v>
      </c>
      <c r="AT265" s="2">
        <v>17.886682194188602</v>
      </c>
      <c r="AU265" s="2">
        <v>17.322424816338199</v>
      </c>
      <c r="AV265" s="2">
        <v>16.332211768087198</v>
      </c>
      <c r="AW265" s="2">
        <v>18.673201434006099</v>
      </c>
      <c r="AX265" s="2">
        <v>18.966926210393002</v>
      </c>
      <c r="AY265" s="2">
        <v>17.3588218447027</v>
      </c>
      <c r="AZ265" s="2">
        <v>17.451863156007601</v>
      </c>
      <c r="BA265" s="2">
        <v>14.1762004253873</v>
      </c>
      <c r="BB265" s="2">
        <v>18.005520496500001</v>
      </c>
      <c r="BC265" s="2">
        <v>17.4491205883992</v>
      </c>
      <c r="BD265" s="2">
        <v>18.5426904754096</v>
      </c>
      <c r="BE265" s="2">
        <v>17.751138139405199</v>
      </c>
      <c r="BF265" s="2">
        <v>17.897080380954598</v>
      </c>
      <c r="BG265" s="2">
        <v>17.127808774788601</v>
      </c>
      <c r="BH265" s="2">
        <v>17.032416752060001</v>
      </c>
      <c r="BI265" s="2">
        <v>18.370272982786499</v>
      </c>
      <c r="BJ265" s="2">
        <v>18.8268596800769</v>
      </c>
      <c r="BK265" s="2">
        <v>17.187329550247501</v>
      </c>
      <c r="BL265" s="2">
        <v>18.8806399128263</v>
      </c>
      <c r="BM265" s="2">
        <v>17.096313766752701</v>
      </c>
      <c r="BN265" s="2">
        <v>17.629169753240401</v>
      </c>
      <c r="BO265" s="2">
        <v>17.654823121502702</v>
      </c>
      <c r="BP265" s="2">
        <v>17.976470651737699</v>
      </c>
      <c r="BQ265" s="2">
        <v>18.2141341516901</v>
      </c>
      <c r="BR265" s="2">
        <v>18.302959662535699</v>
      </c>
      <c r="BS265" s="2">
        <v>18.401540833889701</v>
      </c>
      <c r="BT265" s="2">
        <v>18.473897867891299</v>
      </c>
      <c r="BU265" s="2">
        <v>16.9981571507276</v>
      </c>
      <c r="BV265" s="2">
        <v>16.063574353660101</v>
      </c>
      <c r="BW265" s="2">
        <v>16.560481813445801</v>
      </c>
      <c r="BX265" s="2">
        <v>17.108013493484901</v>
      </c>
      <c r="BY265" s="2">
        <v>16.4811290028244</v>
      </c>
      <c r="BZ265" s="2">
        <v>18.613585031748201</v>
      </c>
      <c r="CA265" s="2">
        <v>18.916113590081501</v>
      </c>
      <c r="CB265" s="2">
        <v>17.947428108710699</v>
      </c>
      <c r="CC265" s="2">
        <v>17.449793885865201</v>
      </c>
      <c r="CD265" s="2">
        <v>18.519775253266001</v>
      </c>
      <c r="CE265" s="2">
        <v>17.6676980583754</v>
      </c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</row>
    <row r="266" spans="1:97">
      <c r="A266" s="2" t="s">
        <v>2829</v>
      </c>
      <c r="B266" s="2">
        <v>626.35306000000003</v>
      </c>
      <c r="C266" s="2">
        <v>7.484</v>
      </c>
      <c r="D266" s="2" t="s">
        <v>84</v>
      </c>
      <c r="E266" s="2" t="s">
        <v>2830</v>
      </c>
      <c r="F266" s="2" t="s">
        <v>2831</v>
      </c>
      <c r="G266" s="2">
        <v>46659</v>
      </c>
      <c r="H266" s="3" t="str">
        <f>HYPERLINK("https://cloud.oebiotech.com/#/lm/network/46659", "https://cloud.oebiotech.com/#/lm/network/46659")</f>
        <v>https://cloud.oebiotech.com/#/lm/network/46659</v>
      </c>
      <c r="I266" s="2" t="s">
        <v>2832</v>
      </c>
      <c r="J266" s="2">
        <v>57966</v>
      </c>
      <c r="K266" s="2" t="s">
        <v>2833</v>
      </c>
      <c r="L266" s="2">
        <v>44263370</v>
      </c>
      <c r="M266" s="2"/>
      <c r="N266" s="2"/>
      <c r="O266" s="2"/>
      <c r="P266" s="2"/>
      <c r="Q266" s="2"/>
      <c r="R266" s="2"/>
      <c r="S266" s="2"/>
      <c r="T266" s="2" t="s">
        <v>2834</v>
      </c>
      <c r="U266" s="2" t="s">
        <v>2835</v>
      </c>
      <c r="V266" s="2" t="s">
        <v>95</v>
      </c>
      <c r="W266" s="2" t="s">
        <v>152</v>
      </c>
      <c r="X266" s="2" t="s">
        <v>2791</v>
      </c>
      <c r="Y266" s="2" t="s">
        <v>98</v>
      </c>
      <c r="Z266" s="2" t="s">
        <v>154</v>
      </c>
      <c r="AA266" s="2" t="s">
        <v>2792</v>
      </c>
      <c r="AB266" s="2" t="s">
        <v>101</v>
      </c>
      <c r="AC266" s="2">
        <v>69.19</v>
      </c>
      <c r="AD266" s="2">
        <v>94.2</v>
      </c>
      <c r="AE266" s="2">
        <v>70.83</v>
      </c>
      <c r="AF266" s="2" t="s">
        <v>2836</v>
      </c>
      <c r="AG266" s="2" t="s">
        <v>103</v>
      </c>
      <c r="AH266" s="2" t="s">
        <v>2837</v>
      </c>
      <c r="AI266" s="2">
        <v>0.64</v>
      </c>
      <c r="AJ266" s="2">
        <v>20.072304512850099</v>
      </c>
      <c r="AK266" s="2">
        <v>20.1968325476502</v>
      </c>
      <c r="AL266" s="2">
        <v>19.9772366919827</v>
      </c>
      <c r="AM266" s="2">
        <v>20.458014896908999</v>
      </c>
      <c r="AN266" s="2">
        <v>19.989287883810999</v>
      </c>
      <c r="AO266" s="2">
        <v>20.2547609958024</v>
      </c>
      <c r="AP266" s="2">
        <v>19.946039059043599</v>
      </c>
      <c r="AQ266" s="2">
        <v>19.948542033574601</v>
      </c>
      <c r="AR266" s="2">
        <v>19.4847043388142</v>
      </c>
      <c r="AS266" s="2">
        <v>18.934353944639899</v>
      </c>
      <c r="AT266" s="2">
        <v>18.688411851877099</v>
      </c>
      <c r="AU266" s="2">
        <v>20.2537994368152</v>
      </c>
      <c r="AV266" s="2">
        <v>21.550716301553699</v>
      </c>
      <c r="AW266" s="2">
        <v>21.591105282823801</v>
      </c>
      <c r="AX266" s="2">
        <v>16.5486097141154</v>
      </c>
      <c r="AY266" s="2">
        <v>21.770625206614699</v>
      </c>
      <c r="AZ266" s="2">
        <v>19.6181384069546</v>
      </c>
      <c r="BA266" s="2">
        <v>19.207140351194901</v>
      </c>
      <c r="BB266" s="2">
        <v>15.5642105340384</v>
      </c>
      <c r="BC266" s="2">
        <v>16.2456943766467</v>
      </c>
      <c r="BD266" s="2">
        <v>19.801430107512999</v>
      </c>
      <c r="BE266" s="2">
        <v>22.445266972254299</v>
      </c>
      <c r="BF266" s="2">
        <v>16.908168706998701</v>
      </c>
      <c r="BG266" s="2">
        <v>17.252133100251999</v>
      </c>
      <c r="BH266" s="2">
        <v>19.347435228451499</v>
      </c>
      <c r="BI266" s="2">
        <v>19.534231914103501</v>
      </c>
      <c r="BJ266" s="2">
        <v>20.047846109536501</v>
      </c>
      <c r="BK266" s="2">
        <v>16.855168507781901</v>
      </c>
      <c r="BL266" s="2">
        <v>18.848058115792799</v>
      </c>
      <c r="BM266" s="2">
        <v>19.9783666733119</v>
      </c>
      <c r="BN266" s="2">
        <v>19.384399665380201</v>
      </c>
      <c r="BO266" s="2">
        <v>17.291470390101999</v>
      </c>
      <c r="BP266" s="2">
        <v>21.2028769245589</v>
      </c>
      <c r="BQ266" s="2">
        <v>22.0698667499645</v>
      </c>
      <c r="BR266" s="2">
        <v>18.799042139164602</v>
      </c>
      <c r="BS266" s="2">
        <v>22.060757681078201</v>
      </c>
      <c r="BT266" s="2">
        <v>19.528006423226898</v>
      </c>
      <c r="BU266" s="2">
        <v>19.603618322667302</v>
      </c>
      <c r="BV266" s="2">
        <v>16.6866114552681</v>
      </c>
      <c r="BW266" s="2">
        <v>14.268463781535401</v>
      </c>
      <c r="BX266" s="2">
        <v>19.4654216035442</v>
      </c>
      <c r="BY266" s="2">
        <v>22.8479011721024</v>
      </c>
      <c r="BZ266" s="2">
        <v>19.210325085863499</v>
      </c>
      <c r="CA266" s="2">
        <v>17.607946477659201</v>
      </c>
      <c r="CB266" s="2">
        <v>19.895768326957999</v>
      </c>
      <c r="CC266" s="2">
        <v>19.375853319028501</v>
      </c>
      <c r="CD266" s="2">
        <v>20.519266095547199</v>
      </c>
      <c r="CE266" s="2">
        <v>16.466105784168199</v>
      </c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</row>
    <row r="267" spans="1:97">
      <c r="A267" s="2" t="s">
        <v>2838</v>
      </c>
      <c r="B267" s="2">
        <v>131.04587000000001</v>
      </c>
      <c r="C267" s="2">
        <v>0.70899999999999996</v>
      </c>
      <c r="D267" s="2" t="s">
        <v>146</v>
      </c>
      <c r="E267" s="2" t="s">
        <v>2839</v>
      </c>
      <c r="F267" s="2" t="s">
        <v>2840</v>
      </c>
      <c r="G267" s="2">
        <v>46908</v>
      </c>
      <c r="H267" s="3" t="str">
        <f>HYPERLINK("https://cloud.oebiotech.com/#/lm/network/46908", "https://cloud.oebiotech.com/#/lm/network/46908")</f>
        <v>https://cloud.oebiotech.com/#/lm/network/46908</v>
      </c>
      <c r="I267" s="2" t="s">
        <v>2841</v>
      </c>
      <c r="J267" s="2">
        <v>14</v>
      </c>
      <c r="K267" s="2"/>
      <c r="L267" s="2">
        <v>6267</v>
      </c>
      <c r="M267" s="2" t="s">
        <v>2842</v>
      </c>
      <c r="N267" s="2" t="s">
        <v>2843</v>
      </c>
      <c r="O267" s="2" t="s">
        <v>2844</v>
      </c>
      <c r="P267" s="2">
        <v>17196</v>
      </c>
      <c r="Q267" s="2"/>
      <c r="R267" s="2"/>
      <c r="S267" s="2" t="s">
        <v>2845</v>
      </c>
      <c r="T267" s="2" t="s">
        <v>2846</v>
      </c>
      <c r="U267" s="2" t="s">
        <v>2847</v>
      </c>
      <c r="V267" s="2" t="s">
        <v>115</v>
      </c>
      <c r="W267" s="2" t="s">
        <v>116</v>
      </c>
      <c r="X267" s="2" t="s">
        <v>117</v>
      </c>
      <c r="Y267" s="2" t="s">
        <v>118</v>
      </c>
      <c r="Z267" s="2" t="s">
        <v>119</v>
      </c>
      <c r="AA267" s="2" t="s">
        <v>120</v>
      </c>
      <c r="AB267" s="2" t="s">
        <v>101</v>
      </c>
      <c r="AC267" s="2">
        <v>69.17</v>
      </c>
      <c r="AD267" s="2">
        <v>97.1</v>
      </c>
      <c r="AE267" s="2">
        <v>66.099999999999994</v>
      </c>
      <c r="AF267" s="2" t="s">
        <v>2848</v>
      </c>
      <c r="AG267" s="2" t="s">
        <v>194</v>
      </c>
      <c r="AH267" s="2" t="s">
        <v>2849</v>
      </c>
      <c r="AI267" s="2">
        <v>2.29</v>
      </c>
      <c r="AJ267" s="2">
        <v>20.326766405360299</v>
      </c>
      <c r="AK267" s="2">
        <v>21.170233405984099</v>
      </c>
      <c r="AL267" s="2">
        <v>21.128224319290702</v>
      </c>
      <c r="AM267" s="2">
        <v>20.625031056277798</v>
      </c>
      <c r="AN267" s="2">
        <v>19.812481648314101</v>
      </c>
      <c r="AO267" s="2">
        <v>20.966780851111601</v>
      </c>
      <c r="AP267" s="2">
        <v>20.525523169973901</v>
      </c>
      <c r="AQ267" s="2">
        <v>20.889389250466301</v>
      </c>
      <c r="AR267" s="2">
        <v>20.794592441751998</v>
      </c>
      <c r="AS267" s="2">
        <v>20.851502344015501</v>
      </c>
      <c r="AT267" s="2">
        <v>20.066716781778201</v>
      </c>
      <c r="AU267" s="2">
        <v>20.550858467822898</v>
      </c>
      <c r="AV267" s="2">
        <v>19.976298124370999</v>
      </c>
      <c r="AW267" s="2">
        <v>21.488103973900799</v>
      </c>
      <c r="AX267" s="2">
        <v>20.2970296521279</v>
      </c>
      <c r="AY267" s="2">
        <v>20.9973680409746</v>
      </c>
      <c r="AZ267" s="2">
        <v>20.071018286928201</v>
      </c>
      <c r="BA267" s="2">
        <v>20.281231969314302</v>
      </c>
      <c r="BB267" s="2">
        <v>21.119003824883301</v>
      </c>
      <c r="BC267" s="2">
        <v>20.924980284143398</v>
      </c>
      <c r="BD267" s="2">
        <v>19.521562370658099</v>
      </c>
      <c r="BE267" s="2">
        <v>20.610510562876801</v>
      </c>
      <c r="BF267" s="2">
        <v>20.071472523230302</v>
      </c>
      <c r="BG267" s="2">
        <v>20.960616383482598</v>
      </c>
      <c r="BH267" s="2">
        <v>20.316911799630699</v>
      </c>
      <c r="BI267" s="2">
        <v>19.421678873988</v>
      </c>
      <c r="BJ267" s="2">
        <v>20.441304375509901</v>
      </c>
      <c r="BK267" s="2">
        <v>19.2559234049425</v>
      </c>
      <c r="BL267" s="2">
        <v>19.8879483789764</v>
      </c>
      <c r="BM267" s="2">
        <v>21.0435048822598</v>
      </c>
      <c r="BN267" s="2">
        <v>21.517384825516999</v>
      </c>
      <c r="BO267" s="2">
        <v>19.895060700980199</v>
      </c>
      <c r="BP267" s="2">
        <v>20.840671385452801</v>
      </c>
      <c r="BQ267" s="2">
        <v>21.299087162568899</v>
      </c>
      <c r="BR267" s="2">
        <v>19.878008690571001</v>
      </c>
      <c r="BS267" s="2">
        <v>20.680341150409401</v>
      </c>
      <c r="BT267" s="2">
        <v>20.5174769754728</v>
      </c>
      <c r="BU267" s="2">
        <v>20.6625166672065</v>
      </c>
      <c r="BV267" s="2">
        <v>20.8577775127298</v>
      </c>
      <c r="BW267" s="2">
        <v>19.727813206089799</v>
      </c>
      <c r="BX267" s="2">
        <v>21.141936030101402</v>
      </c>
      <c r="BY267" s="2">
        <v>21.521318333865501</v>
      </c>
      <c r="BZ267" s="2">
        <v>21.265106918327401</v>
      </c>
      <c r="CA267" s="2">
        <v>20.146639161615902</v>
      </c>
      <c r="CB267" s="2">
        <v>19.989341927426398</v>
      </c>
      <c r="CC267" s="2">
        <v>19.859645657637898</v>
      </c>
      <c r="CD267" s="2">
        <v>20.4483976307814</v>
      </c>
      <c r="CE267" s="2">
        <v>19.9450197377558</v>
      </c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</row>
    <row r="268" spans="1:97">
      <c r="A268" s="2" t="s">
        <v>2850</v>
      </c>
      <c r="B268" s="2">
        <v>255.15974</v>
      </c>
      <c r="C268" s="2">
        <v>8.4329999999999998</v>
      </c>
      <c r="D268" s="2" t="s">
        <v>146</v>
      </c>
      <c r="E268" s="2" t="s">
        <v>2851</v>
      </c>
      <c r="F268" s="2" t="s">
        <v>2852</v>
      </c>
      <c r="G268" s="2">
        <v>83546</v>
      </c>
      <c r="H268" s="3" t="str">
        <f>HYPERLINK("https://cloud.oebiotech.com/#/lm/network/83546", "https://cloud.oebiotech.com/#/lm/network/83546")</f>
        <v>https://cloud.oebiotech.com/#/lm/network/83546</v>
      </c>
      <c r="I268" s="2" t="s">
        <v>2853</v>
      </c>
      <c r="J268" s="2"/>
      <c r="K268" s="2"/>
      <c r="L268" s="2">
        <v>134819281</v>
      </c>
      <c r="M268" s="2"/>
      <c r="N268" s="2"/>
      <c r="O268" s="2"/>
      <c r="P268" s="2"/>
      <c r="Q268" s="2"/>
      <c r="R268" s="2"/>
      <c r="S268" s="2"/>
      <c r="T268" s="2" t="s">
        <v>2854</v>
      </c>
      <c r="U268" s="2" t="s">
        <v>2855</v>
      </c>
      <c r="V268" s="2" t="s">
        <v>95</v>
      </c>
      <c r="W268" s="2" t="s">
        <v>96</v>
      </c>
      <c r="X268" s="2" t="s">
        <v>141</v>
      </c>
      <c r="Y268" s="2" t="s">
        <v>98</v>
      </c>
      <c r="Z268" s="2" t="s">
        <v>99</v>
      </c>
      <c r="AA268" s="2" t="s">
        <v>142</v>
      </c>
      <c r="AB268" s="2" t="s">
        <v>101</v>
      </c>
      <c r="AC268" s="2">
        <v>69.16</v>
      </c>
      <c r="AD268" s="2">
        <v>91.12</v>
      </c>
      <c r="AE268" s="2">
        <v>74.77</v>
      </c>
      <c r="AF268" s="2" t="s">
        <v>2856</v>
      </c>
      <c r="AG268" s="2" t="s">
        <v>194</v>
      </c>
      <c r="AH268" s="2" t="s">
        <v>2857</v>
      </c>
      <c r="AI268" s="2">
        <v>1.96</v>
      </c>
      <c r="AJ268" s="2">
        <v>19.7343212821043</v>
      </c>
      <c r="AK268" s="2">
        <v>19.68500274458</v>
      </c>
      <c r="AL268" s="2">
        <v>19.707500737982802</v>
      </c>
      <c r="AM268" s="2">
        <v>19.636131374479699</v>
      </c>
      <c r="AN268" s="2">
        <v>19.758788397522402</v>
      </c>
      <c r="AO268" s="2">
        <v>19.527211088509301</v>
      </c>
      <c r="AP268" s="2">
        <v>19.885014945072299</v>
      </c>
      <c r="AQ268" s="2">
        <v>19.749777937172301</v>
      </c>
      <c r="AR268" s="2">
        <v>19.818874939327699</v>
      </c>
      <c r="AS268" s="2">
        <v>18.6117461374219</v>
      </c>
      <c r="AT268" s="2">
        <v>18.337489935769</v>
      </c>
      <c r="AU268" s="2">
        <v>18.856249552042701</v>
      </c>
      <c r="AV268" s="2">
        <v>21.727037834974801</v>
      </c>
      <c r="AW268" s="2">
        <v>19.338721891144701</v>
      </c>
      <c r="AX268" s="2">
        <v>19.232288605668099</v>
      </c>
      <c r="AY268" s="2">
        <v>21.244348718307901</v>
      </c>
      <c r="AZ268" s="2">
        <v>19.695066779385801</v>
      </c>
      <c r="BA268" s="2">
        <v>18.2791754962544</v>
      </c>
      <c r="BB268" s="2">
        <v>20.359932006493999</v>
      </c>
      <c r="BC268" s="2">
        <v>18.4895661173456</v>
      </c>
      <c r="BD268" s="2">
        <v>20.061366986445702</v>
      </c>
      <c r="BE268" s="2">
        <v>19.6900471791058</v>
      </c>
      <c r="BF268" s="2">
        <v>17.836398371643298</v>
      </c>
      <c r="BG268" s="2">
        <v>18.072989379164198</v>
      </c>
      <c r="BH268" s="2">
        <v>18.462246234774</v>
      </c>
      <c r="BI268" s="2">
        <v>19.616082096354599</v>
      </c>
      <c r="BJ268" s="2">
        <v>20.0880888808775</v>
      </c>
      <c r="BK268" s="2">
        <v>17.033692492242299</v>
      </c>
      <c r="BL268" s="2">
        <v>20.758648175677301</v>
      </c>
      <c r="BM268" s="2">
        <v>19.386174995345101</v>
      </c>
      <c r="BN268" s="2">
        <v>18.714793770432401</v>
      </c>
      <c r="BO268" s="2">
        <v>17.8994889239525</v>
      </c>
      <c r="BP268" s="2">
        <v>20.804223099864501</v>
      </c>
      <c r="BQ268" s="2">
        <v>21.5514851980078</v>
      </c>
      <c r="BR268" s="2">
        <v>18.6668419404226</v>
      </c>
      <c r="BS268" s="2">
        <v>19.963308023270901</v>
      </c>
      <c r="BT268" s="2">
        <v>18.569677299603502</v>
      </c>
      <c r="BU268" s="2">
        <v>19.398316977661899</v>
      </c>
      <c r="BV268" s="2">
        <v>18.606113249095799</v>
      </c>
      <c r="BW268" s="2">
        <v>17.714233307304902</v>
      </c>
      <c r="BX268" s="2">
        <v>19.7141454332642</v>
      </c>
      <c r="BY268" s="2">
        <v>20.445289410211299</v>
      </c>
      <c r="BZ268" s="2">
        <v>17.5183427264889</v>
      </c>
      <c r="CA268" s="2">
        <v>18.8111382767759</v>
      </c>
      <c r="CB268" s="2">
        <v>21.311603756038899</v>
      </c>
      <c r="CC268" s="2">
        <v>18.873294925539899</v>
      </c>
      <c r="CD268" s="2">
        <v>19.649673535681899</v>
      </c>
      <c r="CE268" s="2">
        <v>18.520048531810001</v>
      </c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</row>
    <row r="269" spans="1:97">
      <c r="A269" s="2" t="s">
        <v>2858</v>
      </c>
      <c r="B269" s="2">
        <v>495.29574000000002</v>
      </c>
      <c r="C269" s="2">
        <v>8.2430000000000003</v>
      </c>
      <c r="D269" s="2" t="s">
        <v>146</v>
      </c>
      <c r="E269" s="2" t="s">
        <v>2859</v>
      </c>
      <c r="F269" s="2" t="s">
        <v>2860</v>
      </c>
      <c r="G269" s="2">
        <v>50886</v>
      </c>
      <c r="H269" s="3" t="str">
        <f>HYPERLINK("https://cloud.oebiotech.com/#/lm/network/50886", "https://cloud.oebiotech.com/#/lm/network/50886")</f>
        <v>https://cloud.oebiotech.com/#/lm/network/50886</v>
      </c>
      <c r="I269" s="2" t="s">
        <v>2861</v>
      </c>
      <c r="J269" s="2">
        <v>57967</v>
      </c>
      <c r="K269" s="2"/>
      <c r="L269" s="2">
        <v>123796</v>
      </c>
      <c r="M269" s="2" t="s">
        <v>2862</v>
      </c>
      <c r="N269" s="2" t="s">
        <v>2863</v>
      </c>
      <c r="O269" s="2" t="s">
        <v>2864</v>
      </c>
      <c r="P269" s="2"/>
      <c r="Q269" s="2"/>
      <c r="R269" s="2"/>
      <c r="S269" s="2" t="s">
        <v>2865</v>
      </c>
      <c r="T269" s="2" t="s">
        <v>2866</v>
      </c>
      <c r="U269" s="2" t="s">
        <v>2867</v>
      </c>
      <c r="V269" s="2" t="s">
        <v>95</v>
      </c>
      <c r="W269" s="2" t="s">
        <v>152</v>
      </c>
      <c r="X269" s="2" t="s">
        <v>2791</v>
      </c>
      <c r="Y269" s="2" t="s">
        <v>98</v>
      </c>
      <c r="Z269" s="2" t="s">
        <v>154</v>
      </c>
      <c r="AA269" s="2" t="s">
        <v>2792</v>
      </c>
      <c r="AB269" s="2" t="s">
        <v>101</v>
      </c>
      <c r="AC269" s="2">
        <v>69.11</v>
      </c>
      <c r="AD269" s="2">
        <v>92</v>
      </c>
      <c r="AE269" s="2">
        <v>76.180000000000007</v>
      </c>
      <c r="AF269" s="2" t="s">
        <v>2868</v>
      </c>
      <c r="AG269" s="2" t="s">
        <v>194</v>
      </c>
      <c r="AH269" s="2" t="s">
        <v>2869</v>
      </c>
      <c r="AI269" s="2">
        <v>1.41</v>
      </c>
      <c r="AJ269" s="2">
        <v>18.822458427204602</v>
      </c>
      <c r="AK269" s="2">
        <v>19.2114654729954</v>
      </c>
      <c r="AL269" s="2">
        <v>19.212284128917801</v>
      </c>
      <c r="AM269" s="2">
        <v>18.759801242678002</v>
      </c>
      <c r="AN269" s="2">
        <v>18.955502996091401</v>
      </c>
      <c r="AO269" s="2">
        <v>19.000619389804399</v>
      </c>
      <c r="AP269" s="2">
        <v>18.535339249581899</v>
      </c>
      <c r="AQ269" s="2">
        <v>18.999759892239901</v>
      </c>
      <c r="AR269" s="2">
        <v>17.158350026284701</v>
      </c>
      <c r="AS269" s="2">
        <v>15.921589466055799</v>
      </c>
      <c r="AT269" s="2">
        <v>17.515988129839702</v>
      </c>
      <c r="AU269" s="2">
        <v>17.3679632683351</v>
      </c>
      <c r="AV269" s="2">
        <v>21.0304047047631</v>
      </c>
      <c r="AW269" s="2">
        <v>19.029159410778401</v>
      </c>
      <c r="AX269" s="2">
        <v>17.3993112240206</v>
      </c>
      <c r="AY269" s="2">
        <v>19.1296661819284</v>
      </c>
      <c r="AZ269" s="2">
        <v>17.780197494328</v>
      </c>
      <c r="BA269" s="2">
        <v>17.6157943473176</v>
      </c>
      <c r="BB269" s="2">
        <v>16.888582853345198</v>
      </c>
      <c r="BC269" s="2">
        <v>19.973269173620899</v>
      </c>
      <c r="BD269" s="2">
        <v>17.743429658435002</v>
      </c>
      <c r="BE269" s="2">
        <v>23.017048530659501</v>
      </c>
      <c r="BF269" s="2">
        <v>17.1226289433428</v>
      </c>
      <c r="BG269" s="2">
        <v>18.198971040030798</v>
      </c>
      <c r="BH269" s="2">
        <v>20.7646894286231</v>
      </c>
      <c r="BI269" s="2">
        <v>16.8709314122862</v>
      </c>
      <c r="BJ269" s="2">
        <v>21.682142121171001</v>
      </c>
      <c r="BK269" s="2">
        <v>17.359341462968398</v>
      </c>
      <c r="BL269" s="2">
        <v>16.937358301572999</v>
      </c>
      <c r="BM269" s="2">
        <v>16.176649240957101</v>
      </c>
      <c r="BN269" s="2">
        <v>17.290871126216501</v>
      </c>
      <c r="BO269" s="2">
        <v>17.010073039717099</v>
      </c>
      <c r="BP269" s="2">
        <v>17.2897396542519</v>
      </c>
      <c r="BQ269" s="2">
        <v>18.906440945466802</v>
      </c>
      <c r="BR269" s="2">
        <v>18.119488253669601</v>
      </c>
      <c r="BS269" s="2">
        <v>17.7384534424795</v>
      </c>
      <c r="BT269" s="2">
        <v>17.898937767627299</v>
      </c>
      <c r="BU269" s="2">
        <v>18.029014484800499</v>
      </c>
      <c r="BV269" s="2">
        <v>16.653536611942201</v>
      </c>
      <c r="BW269" s="2">
        <v>16.947616621375399</v>
      </c>
      <c r="BX269" s="2">
        <v>16.170554751581701</v>
      </c>
      <c r="BY269" s="2">
        <v>19.605544824317199</v>
      </c>
      <c r="BZ269" s="2">
        <v>17.705383187785898</v>
      </c>
      <c r="CA269" s="2">
        <v>16.736599590676398</v>
      </c>
      <c r="CB269" s="2">
        <v>18.782394582270101</v>
      </c>
      <c r="CC269" s="2">
        <v>16.199014333221999</v>
      </c>
      <c r="CD269" s="2">
        <v>16.823460664861301</v>
      </c>
      <c r="CE269" s="2">
        <v>18.151404728411698</v>
      </c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</row>
    <row r="270" spans="1:97">
      <c r="A270" s="2" t="s">
        <v>2870</v>
      </c>
      <c r="B270" s="2">
        <v>405.19123999999999</v>
      </c>
      <c r="C270" s="2">
        <v>6.2889999999999997</v>
      </c>
      <c r="D270" s="2" t="s">
        <v>146</v>
      </c>
      <c r="E270" s="2" t="s">
        <v>2871</v>
      </c>
      <c r="F270" s="2" t="s">
        <v>2872</v>
      </c>
      <c r="G270" s="2">
        <v>44985</v>
      </c>
      <c r="H270" s="3" t="str">
        <f>HYPERLINK("https://cloud.oebiotech.com/#/lm/network/44985", "https://cloud.oebiotech.com/#/lm/network/44985")</f>
        <v>https://cloud.oebiotech.com/#/lm/network/44985</v>
      </c>
      <c r="I270" s="2" t="s">
        <v>2873</v>
      </c>
      <c r="J270" s="2">
        <v>271</v>
      </c>
      <c r="K270" s="2" t="s">
        <v>2874</v>
      </c>
      <c r="L270" s="2">
        <v>222786</v>
      </c>
      <c r="M270" s="2" t="s">
        <v>2875</v>
      </c>
      <c r="N270" s="2" t="s">
        <v>2876</v>
      </c>
      <c r="O270" s="2" t="s">
        <v>2877</v>
      </c>
      <c r="P270" s="2">
        <v>16962</v>
      </c>
      <c r="Q270" s="2" t="s">
        <v>2878</v>
      </c>
      <c r="R270" s="2" t="s">
        <v>2879</v>
      </c>
      <c r="S270" s="2" t="s">
        <v>2880</v>
      </c>
      <c r="T270" s="2" t="s">
        <v>2881</v>
      </c>
      <c r="U270" s="2" t="s">
        <v>2882</v>
      </c>
      <c r="V270" s="2" t="s">
        <v>95</v>
      </c>
      <c r="W270" s="2" t="s">
        <v>152</v>
      </c>
      <c r="X270" s="2" t="s">
        <v>153</v>
      </c>
      <c r="Y270" s="2" t="s">
        <v>98</v>
      </c>
      <c r="Z270" s="2" t="s">
        <v>154</v>
      </c>
      <c r="AA270" s="2" t="s">
        <v>155</v>
      </c>
      <c r="AB270" s="2" t="s">
        <v>101</v>
      </c>
      <c r="AC270" s="2">
        <v>69.040000000000006</v>
      </c>
      <c r="AD270" s="2">
        <v>95.92</v>
      </c>
      <c r="AE270" s="2">
        <v>75.09</v>
      </c>
      <c r="AF270" s="2" t="s">
        <v>2883</v>
      </c>
      <c r="AG270" s="2" t="s">
        <v>157</v>
      </c>
      <c r="AH270" s="2" t="s">
        <v>2884</v>
      </c>
      <c r="AI270" s="2">
        <v>1.73</v>
      </c>
      <c r="AJ270" s="2">
        <v>20.095126515294599</v>
      </c>
      <c r="AK270" s="2">
        <v>20.255965068481199</v>
      </c>
      <c r="AL270" s="2">
        <v>20.250839128251702</v>
      </c>
      <c r="AM270" s="2">
        <v>20.275870579693901</v>
      </c>
      <c r="AN270" s="2">
        <v>20.070502615786101</v>
      </c>
      <c r="AO270" s="2">
        <v>20.276610217287001</v>
      </c>
      <c r="AP270" s="2">
        <v>20.2862474922321</v>
      </c>
      <c r="AQ270" s="2">
        <v>20.275541192102001</v>
      </c>
      <c r="AR270" s="2">
        <v>19.0628171659787</v>
      </c>
      <c r="AS270" s="2">
        <v>18.9643417421733</v>
      </c>
      <c r="AT270" s="2">
        <v>20.8172600390781</v>
      </c>
      <c r="AU270" s="2">
        <v>18.278169968880199</v>
      </c>
      <c r="AV270" s="2">
        <v>19.9699925716046</v>
      </c>
      <c r="AW270" s="2">
        <v>20.068596712322702</v>
      </c>
      <c r="AX270" s="2">
        <v>20.397940196837801</v>
      </c>
      <c r="AY270" s="2">
        <v>19.613352474087801</v>
      </c>
      <c r="AZ270" s="2">
        <v>20.215617589424799</v>
      </c>
      <c r="BA270" s="2">
        <v>19.5527795526265</v>
      </c>
      <c r="BB270" s="2">
        <v>20.397420238934501</v>
      </c>
      <c r="BC270" s="2">
        <v>21.4728592805216</v>
      </c>
      <c r="BD270" s="2">
        <v>19.611436485191099</v>
      </c>
      <c r="BE270" s="2">
        <v>20.7914533259185</v>
      </c>
      <c r="BF270" s="2">
        <v>16.800182645003598</v>
      </c>
      <c r="BG270" s="2">
        <v>20.929477729585798</v>
      </c>
      <c r="BH270" s="2">
        <v>20.2433834755068</v>
      </c>
      <c r="BI270" s="2">
        <v>19.9147983060694</v>
      </c>
      <c r="BJ270" s="2">
        <v>20.516615571028101</v>
      </c>
      <c r="BK270" s="2">
        <v>20.084319905705598</v>
      </c>
      <c r="BL270" s="2">
        <v>20.966810459134098</v>
      </c>
      <c r="BM270" s="2">
        <v>20.186616330873299</v>
      </c>
      <c r="BN270" s="2">
        <v>20.248098585124399</v>
      </c>
      <c r="BO270" s="2">
        <v>19.3695908928824</v>
      </c>
      <c r="BP270" s="2">
        <v>20.845516964931299</v>
      </c>
      <c r="BQ270" s="2">
        <v>20.7579494085074</v>
      </c>
      <c r="BR270" s="2">
        <v>20.1582445776742</v>
      </c>
      <c r="BS270" s="2">
        <v>18.600137592174999</v>
      </c>
      <c r="BT270" s="2">
        <v>20.501600862049699</v>
      </c>
      <c r="BU270" s="2">
        <v>19.788880524185199</v>
      </c>
      <c r="BV270" s="2">
        <v>20.2665252334839</v>
      </c>
      <c r="BW270" s="2">
        <v>20.165136330367901</v>
      </c>
      <c r="BX270" s="2">
        <v>19.626113188996101</v>
      </c>
      <c r="BY270" s="2">
        <v>21.092674295770902</v>
      </c>
      <c r="BZ270" s="2">
        <v>20.000882606344099</v>
      </c>
      <c r="CA270" s="2">
        <v>16.327974304108899</v>
      </c>
      <c r="CB270" s="2">
        <v>20.332325061579599</v>
      </c>
      <c r="CC270" s="2">
        <v>20.373900694616101</v>
      </c>
      <c r="CD270" s="2">
        <v>20.8958538221293</v>
      </c>
      <c r="CE270" s="2">
        <v>20.957674792833501</v>
      </c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</row>
    <row r="271" spans="1:97">
      <c r="A271" s="2" t="s">
        <v>2885</v>
      </c>
      <c r="B271" s="2">
        <v>257.17541999999997</v>
      </c>
      <c r="C271" s="2">
        <v>9.266</v>
      </c>
      <c r="D271" s="2" t="s">
        <v>146</v>
      </c>
      <c r="E271" s="2" t="s">
        <v>2886</v>
      </c>
      <c r="F271" s="2" t="s">
        <v>2887</v>
      </c>
      <c r="G271" s="2">
        <v>61390</v>
      </c>
      <c r="H271" s="3" t="str">
        <f>HYPERLINK("https://cloud.oebiotech.com/#/lm/network/61390", "https://cloud.oebiotech.com/#/lm/network/61390")</f>
        <v>https://cloud.oebiotech.com/#/lm/network/61390</v>
      </c>
      <c r="I271" s="2" t="s">
        <v>2888</v>
      </c>
      <c r="J271" s="2">
        <v>92711</v>
      </c>
      <c r="K271" s="2"/>
      <c r="L271" s="2">
        <v>65428</v>
      </c>
      <c r="M271" s="2"/>
      <c r="N271" s="2"/>
      <c r="O271" s="2"/>
      <c r="P271" s="2"/>
      <c r="Q271" s="2"/>
      <c r="R271" s="2"/>
      <c r="S271" s="2" t="s">
        <v>2889</v>
      </c>
      <c r="T271" s="2" t="s">
        <v>2890</v>
      </c>
      <c r="U271" s="2" t="s">
        <v>2891</v>
      </c>
      <c r="V271" s="2" t="s">
        <v>553</v>
      </c>
      <c r="W271" s="2" t="s">
        <v>1466</v>
      </c>
      <c r="X271" s="2" t="s">
        <v>375</v>
      </c>
      <c r="Y271" s="2" t="s">
        <v>556</v>
      </c>
      <c r="Z271" s="2" t="s">
        <v>1467</v>
      </c>
      <c r="AA271" s="2"/>
      <c r="AB271" s="2" t="s">
        <v>101</v>
      </c>
      <c r="AC271" s="2">
        <v>69.03</v>
      </c>
      <c r="AD271" s="2">
        <v>91.28</v>
      </c>
      <c r="AE271" s="2">
        <v>67.39</v>
      </c>
      <c r="AF271" s="2" t="s">
        <v>2892</v>
      </c>
      <c r="AG271" s="2" t="s">
        <v>157</v>
      </c>
      <c r="AH271" s="2" t="s">
        <v>2682</v>
      </c>
      <c r="AI271" s="2">
        <v>1.56</v>
      </c>
      <c r="AJ271" s="2">
        <v>20.227525062383101</v>
      </c>
      <c r="AK271" s="2">
        <v>19.896620138968299</v>
      </c>
      <c r="AL271" s="2">
        <v>19.744566125105798</v>
      </c>
      <c r="AM271" s="2">
        <v>19.7267662715964</v>
      </c>
      <c r="AN271" s="2">
        <v>20.1877380262051</v>
      </c>
      <c r="AO271" s="2">
        <v>20.4378801458857</v>
      </c>
      <c r="AP271" s="2">
        <v>19.956475860381801</v>
      </c>
      <c r="AQ271" s="2">
        <v>20.011720934897401</v>
      </c>
      <c r="AR271" s="2">
        <v>21.122391750401601</v>
      </c>
      <c r="AS271" s="2">
        <v>18.326876441616101</v>
      </c>
      <c r="AT271" s="2">
        <v>20.125384321343599</v>
      </c>
      <c r="AU271" s="2">
        <v>20.470297195856499</v>
      </c>
      <c r="AV271" s="2">
        <v>20.2492237163707</v>
      </c>
      <c r="AW271" s="2">
        <v>20.670776353459701</v>
      </c>
      <c r="AX271" s="2">
        <v>18.8628274154621</v>
      </c>
      <c r="AY271" s="2">
        <v>20.749427533717501</v>
      </c>
      <c r="AZ271" s="2">
        <v>19.043875675092501</v>
      </c>
      <c r="BA271" s="2">
        <v>18.494077883011801</v>
      </c>
      <c r="BB271" s="2">
        <v>20.633049856820602</v>
      </c>
      <c r="BC271" s="2">
        <v>19.899280900309599</v>
      </c>
      <c r="BD271" s="2">
        <v>19.105735801533701</v>
      </c>
      <c r="BE271" s="2">
        <v>19.839813200728798</v>
      </c>
      <c r="BF271" s="2">
        <v>19.635731527227598</v>
      </c>
      <c r="BG271" s="2">
        <v>19.690116953921699</v>
      </c>
      <c r="BH271" s="2">
        <v>20.292690546402302</v>
      </c>
      <c r="BI271" s="2">
        <v>20.561509936539199</v>
      </c>
      <c r="BJ271" s="2">
        <v>20.272159127998499</v>
      </c>
      <c r="BK271" s="2">
        <v>19.4758329001383</v>
      </c>
      <c r="BL271" s="2">
        <v>20.3082431941001</v>
      </c>
      <c r="BM271" s="2">
        <v>20.525367152499101</v>
      </c>
      <c r="BN271" s="2">
        <v>20.359441985994401</v>
      </c>
      <c r="BO271" s="2">
        <v>18.633911672873701</v>
      </c>
      <c r="BP271" s="2">
        <v>19.808645170052898</v>
      </c>
      <c r="BQ271" s="2">
        <v>19.560478902676302</v>
      </c>
      <c r="BR271" s="2">
        <v>20.363796077428901</v>
      </c>
      <c r="BS271" s="2">
        <v>21.053548873536901</v>
      </c>
      <c r="BT271" s="2">
        <v>19.125022386541598</v>
      </c>
      <c r="BU271" s="2">
        <v>19.663089761733399</v>
      </c>
      <c r="BV271" s="2">
        <v>19.392179777678301</v>
      </c>
      <c r="BW271" s="2">
        <v>19.825634208806999</v>
      </c>
      <c r="BX271" s="2">
        <v>19.0278463472727</v>
      </c>
      <c r="BY271" s="2">
        <v>21.313376871010998</v>
      </c>
      <c r="BZ271" s="2">
        <v>20.947193275256598</v>
      </c>
      <c r="CA271" s="2">
        <v>19.327716547486698</v>
      </c>
      <c r="CB271" s="2">
        <v>19.795212886077501</v>
      </c>
      <c r="CC271" s="2">
        <v>19.704700267019199</v>
      </c>
      <c r="CD271" s="2">
        <v>19.948567940510099</v>
      </c>
      <c r="CE271" s="2">
        <v>21.020237942666299</v>
      </c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</row>
    <row r="272" spans="1:97">
      <c r="A272" s="2" t="s">
        <v>2893</v>
      </c>
      <c r="B272" s="2">
        <v>119.03463000000001</v>
      </c>
      <c r="C272" s="2">
        <v>0.79</v>
      </c>
      <c r="D272" s="2" t="s">
        <v>146</v>
      </c>
      <c r="E272" s="2" t="s">
        <v>2894</v>
      </c>
      <c r="F272" s="2" t="s">
        <v>2895</v>
      </c>
      <c r="G272" s="2">
        <v>1871</v>
      </c>
      <c r="H272" s="3" t="str">
        <f>HYPERLINK("https://cloud.oebiotech.com/#/lm/network/1871", "https://cloud.oebiotech.com/#/lm/network/1871")</f>
        <v>https://cloud.oebiotech.com/#/lm/network/1871</v>
      </c>
      <c r="I272" s="2" t="s">
        <v>2896</v>
      </c>
      <c r="J272" s="2">
        <v>3782</v>
      </c>
      <c r="K272" s="2" t="s">
        <v>2897</v>
      </c>
      <c r="L272" s="2">
        <v>192742</v>
      </c>
      <c r="M272" s="2"/>
      <c r="N272" s="2"/>
      <c r="O272" s="2"/>
      <c r="P272" s="2">
        <v>86348</v>
      </c>
      <c r="Q272" s="2"/>
      <c r="R272" s="2"/>
      <c r="S272" s="2" t="s">
        <v>2898</v>
      </c>
      <c r="T272" s="2" t="s">
        <v>2899</v>
      </c>
      <c r="U272" s="2" t="s">
        <v>2900</v>
      </c>
      <c r="V272" s="2" t="s">
        <v>115</v>
      </c>
      <c r="W272" s="2" t="s">
        <v>832</v>
      </c>
      <c r="X272" s="2" t="s">
        <v>2901</v>
      </c>
      <c r="Y272" s="2" t="s">
        <v>118</v>
      </c>
      <c r="Z272" s="2" t="s">
        <v>834</v>
      </c>
      <c r="AA272" s="2" t="s">
        <v>2902</v>
      </c>
      <c r="AB272" s="2" t="s">
        <v>101</v>
      </c>
      <c r="AC272" s="2">
        <v>68.98</v>
      </c>
      <c r="AD272" s="2">
        <v>99.1</v>
      </c>
      <c r="AE272" s="2">
        <v>89.01</v>
      </c>
      <c r="AF272" s="2" t="s">
        <v>2903</v>
      </c>
      <c r="AG272" s="2" t="s">
        <v>194</v>
      </c>
      <c r="AH272" s="2" t="s">
        <v>2904</v>
      </c>
      <c r="AI272" s="2">
        <v>2.94</v>
      </c>
      <c r="AJ272" s="2">
        <v>24.060372882473299</v>
      </c>
      <c r="AK272" s="2">
        <v>24.004581078543701</v>
      </c>
      <c r="AL272" s="2">
        <v>24.035279959640999</v>
      </c>
      <c r="AM272" s="2">
        <v>24.437519243933401</v>
      </c>
      <c r="AN272" s="2">
        <v>24.0635144560461</v>
      </c>
      <c r="AO272" s="2">
        <v>24.0376269369585</v>
      </c>
      <c r="AP272" s="2">
        <v>24.198672498740699</v>
      </c>
      <c r="AQ272" s="2">
        <v>24.021931677004101</v>
      </c>
      <c r="AR272" s="2">
        <v>23.8064115837008</v>
      </c>
      <c r="AS272" s="2">
        <v>23.687814553015102</v>
      </c>
      <c r="AT272" s="2">
        <v>23.0891466181487</v>
      </c>
      <c r="AU272" s="2">
        <v>23.519712026240601</v>
      </c>
      <c r="AV272" s="2">
        <v>23.246282630505899</v>
      </c>
      <c r="AW272" s="2">
        <v>23.031838004505499</v>
      </c>
      <c r="AX272" s="2">
        <v>23.917423228849799</v>
      </c>
      <c r="AY272" s="2">
        <v>23.627770062138101</v>
      </c>
      <c r="AZ272" s="2">
        <v>24.116497657620499</v>
      </c>
      <c r="BA272" s="2">
        <v>23.770745340845</v>
      </c>
      <c r="BB272" s="2">
        <v>23.775208837238299</v>
      </c>
      <c r="BC272" s="2">
        <v>24.433777184820698</v>
      </c>
      <c r="BD272" s="2">
        <v>23.747340609368202</v>
      </c>
      <c r="BE272" s="2">
        <v>24.3020402130179</v>
      </c>
      <c r="BF272" s="2">
        <v>23.345540297047702</v>
      </c>
      <c r="BG272" s="2">
        <v>23.9273764200756</v>
      </c>
      <c r="BH272" s="2">
        <v>23.825529017202701</v>
      </c>
      <c r="BI272" s="2">
        <v>24.294972785490099</v>
      </c>
      <c r="BJ272" s="2">
        <v>23.006971507844401</v>
      </c>
      <c r="BK272" s="2">
        <v>23.385387347343102</v>
      </c>
      <c r="BL272" s="2">
        <v>24.133669506587999</v>
      </c>
      <c r="BM272" s="2">
        <v>24.2459120409824</v>
      </c>
      <c r="BN272" s="2">
        <v>23.840166022999401</v>
      </c>
      <c r="BO272" s="2">
        <v>24.006170963045101</v>
      </c>
      <c r="BP272" s="2">
        <v>24.051005803957899</v>
      </c>
      <c r="BQ272" s="2">
        <v>24.082593699902901</v>
      </c>
      <c r="BR272" s="2">
        <v>23.392738378818901</v>
      </c>
      <c r="BS272" s="2">
        <v>24.344134637470098</v>
      </c>
      <c r="BT272" s="2">
        <v>24.240768100706301</v>
      </c>
      <c r="BU272" s="2">
        <v>23.543155208998702</v>
      </c>
      <c r="BV272" s="2">
        <v>23.9984377695584</v>
      </c>
      <c r="BW272" s="2">
        <v>23.852119889716501</v>
      </c>
      <c r="BX272" s="2">
        <v>23.838397768296101</v>
      </c>
      <c r="BY272" s="2">
        <v>24.540940480450399</v>
      </c>
      <c r="BZ272" s="2">
        <v>23.7666697292556</v>
      </c>
      <c r="CA272" s="2">
        <v>24.3309491573375</v>
      </c>
      <c r="CB272" s="2">
        <v>24.1833796484141</v>
      </c>
      <c r="CC272" s="2">
        <v>23.864963063404701</v>
      </c>
      <c r="CD272" s="2">
        <v>24.251460213191901</v>
      </c>
      <c r="CE272" s="2">
        <v>24.147407911872701</v>
      </c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</row>
    <row r="273" spans="1:97">
      <c r="A273" s="2" t="s">
        <v>2905</v>
      </c>
      <c r="B273" s="2">
        <v>342.26343000000003</v>
      </c>
      <c r="C273" s="2">
        <v>8.14</v>
      </c>
      <c r="D273" s="2" t="s">
        <v>84</v>
      </c>
      <c r="E273" s="2" t="s">
        <v>2906</v>
      </c>
      <c r="F273" s="2" t="s">
        <v>2907</v>
      </c>
      <c r="G273" s="2">
        <v>197757</v>
      </c>
      <c r="H273" s="3" t="str">
        <f>HYPERLINK("https://cloud.oebiotech.com/#/lm/network/197757", "https://cloud.oebiotech.com/#/lm/network/197757")</f>
        <v>https://cloud.oebiotech.com/#/lm/network/197757</v>
      </c>
      <c r="I273" s="2" t="s">
        <v>2908</v>
      </c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 t="s">
        <v>2909</v>
      </c>
      <c r="U273" s="2" t="s">
        <v>2910</v>
      </c>
      <c r="V273" s="2" t="s">
        <v>95</v>
      </c>
      <c r="W273" s="2" t="s">
        <v>96</v>
      </c>
      <c r="X273" s="2" t="s">
        <v>97</v>
      </c>
      <c r="Y273" s="2" t="s">
        <v>98</v>
      </c>
      <c r="Z273" s="2" t="s">
        <v>99</v>
      </c>
      <c r="AA273" s="2" t="s">
        <v>100</v>
      </c>
      <c r="AB273" s="2" t="s">
        <v>101</v>
      </c>
      <c r="AC273" s="2">
        <v>68.91</v>
      </c>
      <c r="AD273" s="2">
        <v>97.17</v>
      </c>
      <c r="AE273" s="2">
        <v>74.55</v>
      </c>
      <c r="AF273" s="2" t="s">
        <v>2911</v>
      </c>
      <c r="AG273" s="2" t="s">
        <v>103</v>
      </c>
      <c r="AH273" s="2" t="s">
        <v>2912</v>
      </c>
      <c r="AI273" s="2">
        <v>1.46</v>
      </c>
      <c r="AJ273" s="2">
        <v>21.070258018894801</v>
      </c>
      <c r="AK273" s="2">
        <v>20.951567723037002</v>
      </c>
      <c r="AL273" s="2">
        <v>20.895387042002799</v>
      </c>
      <c r="AM273" s="2">
        <v>21.125326185277299</v>
      </c>
      <c r="AN273" s="2">
        <v>21.115503445329502</v>
      </c>
      <c r="AO273" s="2">
        <v>20.829817374783001</v>
      </c>
      <c r="AP273" s="2">
        <v>21.080723963369898</v>
      </c>
      <c r="AQ273" s="2">
        <v>20.899202306448998</v>
      </c>
      <c r="AR273" s="2">
        <v>19.323197269238499</v>
      </c>
      <c r="AS273" s="2">
        <v>20.2155111494694</v>
      </c>
      <c r="AT273" s="2">
        <v>21.069884881750699</v>
      </c>
      <c r="AU273" s="2">
        <v>20.348299029703</v>
      </c>
      <c r="AV273" s="2">
        <v>19.597362473888701</v>
      </c>
      <c r="AW273" s="2">
        <v>21.923006468400299</v>
      </c>
      <c r="AX273" s="2">
        <v>21.0185575585026</v>
      </c>
      <c r="AY273" s="2">
        <v>20.9258867093967</v>
      </c>
      <c r="AZ273" s="2">
        <v>18.315308312612899</v>
      </c>
      <c r="BA273" s="2">
        <v>21.356895973721201</v>
      </c>
      <c r="BB273" s="2">
        <v>21.4550204448045</v>
      </c>
      <c r="BC273" s="2">
        <v>21.954548846391202</v>
      </c>
      <c r="BD273" s="2">
        <v>19.3348407642839</v>
      </c>
      <c r="BE273" s="2">
        <v>20.667987979844099</v>
      </c>
      <c r="BF273" s="2">
        <v>20.186799845325101</v>
      </c>
      <c r="BG273" s="2">
        <v>21.766720906526398</v>
      </c>
      <c r="BH273" s="2">
        <v>19.8491741938392</v>
      </c>
      <c r="BI273" s="2">
        <v>21.371241526203399</v>
      </c>
      <c r="BJ273" s="2">
        <v>22.161571337973701</v>
      </c>
      <c r="BK273" s="2">
        <v>19.193766498574199</v>
      </c>
      <c r="BL273" s="2">
        <v>21.4425255226848</v>
      </c>
      <c r="BM273" s="2">
        <v>20.3910706422208</v>
      </c>
      <c r="BN273" s="2">
        <v>20.896240653658602</v>
      </c>
      <c r="BO273" s="2">
        <v>21.7563205028456</v>
      </c>
      <c r="BP273" s="2">
        <v>21.237411684062099</v>
      </c>
      <c r="BQ273" s="2">
        <v>21.8793911046651</v>
      </c>
      <c r="BR273" s="2">
        <v>21.363620508585701</v>
      </c>
      <c r="BS273" s="2">
        <v>19.712792262296102</v>
      </c>
      <c r="BT273" s="2">
        <v>21.042653394019901</v>
      </c>
      <c r="BU273" s="2">
        <v>21.093306422862099</v>
      </c>
      <c r="BV273" s="2">
        <v>21.376558028173001</v>
      </c>
      <c r="BW273" s="2">
        <v>21.063801657586801</v>
      </c>
      <c r="BX273" s="2">
        <v>20.805256521358899</v>
      </c>
      <c r="BY273" s="2">
        <v>19.923385856347402</v>
      </c>
      <c r="BZ273" s="2">
        <v>21.1930249943448</v>
      </c>
      <c r="CA273" s="2">
        <v>20.969840686013701</v>
      </c>
      <c r="CB273" s="2">
        <v>21.473292195410298</v>
      </c>
      <c r="CC273" s="2">
        <v>21.7391453072402</v>
      </c>
      <c r="CD273" s="2">
        <v>20.153564017668302</v>
      </c>
      <c r="CE273" s="2">
        <v>20.964752543848999</v>
      </c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</row>
    <row r="274" spans="1:97">
      <c r="A274" s="2" t="s">
        <v>2913</v>
      </c>
      <c r="B274" s="2">
        <v>510.39089000000001</v>
      </c>
      <c r="C274" s="2">
        <v>12.291</v>
      </c>
      <c r="D274" s="2" t="s">
        <v>84</v>
      </c>
      <c r="E274" s="2" t="s">
        <v>2914</v>
      </c>
      <c r="F274" s="2" t="s">
        <v>2915</v>
      </c>
      <c r="G274" s="2">
        <v>19900</v>
      </c>
      <c r="H274" s="3" t="str">
        <f>HYPERLINK("https://cloud.oebiotech.com/#/lm/network/19900", "https://cloud.oebiotech.com/#/lm/network/19900")</f>
        <v>https://cloud.oebiotech.com/#/lm/network/19900</v>
      </c>
      <c r="I274" s="2" t="s">
        <v>2916</v>
      </c>
      <c r="J274" s="2">
        <v>40388</v>
      </c>
      <c r="K274" s="2" t="s">
        <v>2917</v>
      </c>
      <c r="L274" s="2">
        <v>2733532</v>
      </c>
      <c r="M274" s="2" t="s">
        <v>2918</v>
      </c>
      <c r="N274" s="2" t="s">
        <v>2919</v>
      </c>
      <c r="O274" s="2" t="s">
        <v>2920</v>
      </c>
      <c r="P274" s="2">
        <v>75216</v>
      </c>
      <c r="Q274" s="2"/>
      <c r="R274" s="2"/>
      <c r="S274" s="2" t="s">
        <v>2921</v>
      </c>
      <c r="T274" s="2" t="s">
        <v>2922</v>
      </c>
      <c r="U274" s="2" t="s">
        <v>2923</v>
      </c>
      <c r="V274" s="2" t="s">
        <v>95</v>
      </c>
      <c r="W274" s="2" t="s">
        <v>202</v>
      </c>
      <c r="X274" s="2" t="s">
        <v>203</v>
      </c>
      <c r="Y274" s="2" t="s">
        <v>98</v>
      </c>
      <c r="Z274" s="2" t="s">
        <v>204</v>
      </c>
      <c r="AA274" s="2" t="s">
        <v>205</v>
      </c>
      <c r="AB274" s="2" t="s">
        <v>101</v>
      </c>
      <c r="AC274" s="2">
        <v>68.89</v>
      </c>
      <c r="AD274" s="2">
        <v>81.96</v>
      </c>
      <c r="AE274" s="2">
        <v>79.87</v>
      </c>
      <c r="AF274" s="2" t="s">
        <v>2924</v>
      </c>
      <c r="AG274" s="2" t="s">
        <v>103</v>
      </c>
      <c r="AH274" s="2" t="s">
        <v>857</v>
      </c>
      <c r="AI274" s="2">
        <v>1.76</v>
      </c>
      <c r="AJ274" s="2">
        <v>19.712991168292799</v>
      </c>
      <c r="AK274" s="2">
        <v>19.674626076454899</v>
      </c>
      <c r="AL274" s="2">
        <v>19.6249578384259</v>
      </c>
      <c r="AM274" s="2">
        <v>19.406942107709401</v>
      </c>
      <c r="AN274" s="2">
        <v>19.423376339952</v>
      </c>
      <c r="AO274" s="2">
        <v>19.663700270939501</v>
      </c>
      <c r="AP274" s="2">
        <v>19.1654271373698</v>
      </c>
      <c r="AQ274" s="2">
        <v>19.516446256319899</v>
      </c>
      <c r="AR274" s="2">
        <v>19.559620641275799</v>
      </c>
      <c r="AS274" s="2">
        <v>16.8421166772406</v>
      </c>
      <c r="AT274" s="2">
        <v>18.718280275299598</v>
      </c>
      <c r="AU274" s="2">
        <v>18.1015251686478</v>
      </c>
      <c r="AV274" s="2">
        <v>19.512399995884</v>
      </c>
      <c r="AW274" s="2">
        <v>18.2889450414667</v>
      </c>
      <c r="AX274" s="2">
        <v>19.0563961874082</v>
      </c>
      <c r="AY274" s="2">
        <v>18.231240450148299</v>
      </c>
      <c r="AZ274" s="2">
        <v>19.438508018195101</v>
      </c>
      <c r="BA274" s="2">
        <v>17.746650577691302</v>
      </c>
      <c r="BB274" s="2">
        <v>18.377511215884301</v>
      </c>
      <c r="BC274" s="2">
        <v>19.682760419480701</v>
      </c>
      <c r="BD274" s="2">
        <v>17.444811887919698</v>
      </c>
      <c r="BE274" s="2">
        <v>20.206473444166399</v>
      </c>
      <c r="BF274" s="2">
        <v>18.447866577889801</v>
      </c>
      <c r="BG274" s="2">
        <v>19.128371484370099</v>
      </c>
      <c r="BH274" s="2">
        <v>19.869426138146999</v>
      </c>
      <c r="BI274" s="2">
        <v>17.5745504380052</v>
      </c>
      <c r="BJ274" s="2">
        <v>17.998534018279202</v>
      </c>
      <c r="BK274" s="2">
        <v>18.2092489680836</v>
      </c>
      <c r="BL274" s="2">
        <v>19.464421189030499</v>
      </c>
      <c r="BM274" s="2">
        <v>19.475338157753502</v>
      </c>
      <c r="BN274" s="2">
        <v>19.786589821550201</v>
      </c>
      <c r="BO274" s="2">
        <v>19.845160947608601</v>
      </c>
      <c r="BP274" s="2">
        <v>19.785929429526199</v>
      </c>
      <c r="BQ274" s="2">
        <v>19.060595301296502</v>
      </c>
      <c r="BR274" s="2">
        <v>19.521138022347099</v>
      </c>
      <c r="BS274" s="2">
        <v>19.0236541716882</v>
      </c>
      <c r="BT274" s="2">
        <v>19.979679902038701</v>
      </c>
      <c r="BU274" s="2">
        <v>19.105361651380498</v>
      </c>
      <c r="BV274" s="2">
        <v>20.074590209397002</v>
      </c>
      <c r="BW274" s="2">
        <v>19.044567684232</v>
      </c>
      <c r="BX274" s="2">
        <v>19.2824820672237</v>
      </c>
      <c r="BY274" s="2">
        <v>20.620435438139399</v>
      </c>
      <c r="BZ274" s="2">
        <v>18.546479005944501</v>
      </c>
      <c r="CA274" s="2">
        <v>20.0446079707094</v>
      </c>
      <c r="CB274" s="2">
        <v>18.007124858442602</v>
      </c>
      <c r="CC274" s="2">
        <v>17.925828048485901</v>
      </c>
      <c r="CD274" s="2">
        <v>19.500968488630601</v>
      </c>
      <c r="CE274" s="2">
        <v>19.2158834594957</v>
      </c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</row>
    <row r="275" spans="1:97">
      <c r="A275" s="2" t="s">
        <v>2925</v>
      </c>
      <c r="B275" s="2">
        <v>530.32360000000006</v>
      </c>
      <c r="C275" s="2">
        <v>10.948</v>
      </c>
      <c r="D275" s="2" t="s">
        <v>84</v>
      </c>
      <c r="E275" s="2" t="s">
        <v>2926</v>
      </c>
      <c r="F275" s="2" t="s">
        <v>2927</v>
      </c>
      <c r="G275" s="2">
        <v>21218</v>
      </c>
      <c r="H275" s="3" t="str">
        <f>HYPERLINK("https://cloud.oebiotech.com/#/lm/network/21218", "https://cloud.oebiotech.com/#/lm/network/21218")</f>
        <v>https://cloud.oebiotech.com/#/lm/network/21218</v>
      </c>
      <c r="I275" s="2" t="s">
        <v>2928</v>
      </c>
      <c r="J275" s="2">
        <v>62281</v>
      </c>
      <c r="K275" s="2" t="s">
        <v>2929</v>
      </c>
      <c r="L275" s="2">
        <v>53480942</v>
      </c>
      <c r="M275" s="2"/>
      <c r="N275" s="2"/>
      <c r="O275" s="2"/>
      <c r="P275" s="2"/>
      <c r="Q275" s="2"/>
      <c r="R275" s="2"/>
      <c r="S275" s="2"/>
      <c r="T275" s="2" t="s">
        <v>2930</v>
      </c>
      <c r="U275" s="2" t="s">
        <v>2931</v>
      </c>
      <c r="V275" s="2" t="s">
        <v>95</v>
      </c>
      <c r="W275" s="2" t="s">
        <v>202</v>
      </c>
      <c r="X275" s="2" t="s">
        <v>327</v>
      </c>
      <c r="Y275" s="2" t="s">
        <v>98</v>
      </c>
      <c r="Z275" s="2" t="s">
        <v>204</v>
      </c>
      <c r="AA275" s="2" t="s">
        <v>328</v>
      </c>
      <c r="AB275" s="2" t="s">
        <v>101</v>
      </c>
      <c r="AC275" s="2">
        <v>68.89</v>
      </c>
      <c r="AD275" s="2">
        <v>95.93</v>
      </c>
      <c r="AE275" s="2">
        <v>69.599999999999994</v>
      </c>
      <c r="AF275" s="2" t="s">
        <v>2932</v>
      </c>
      <c r="AG275" s="2" t="s">
        <v>103</v>
      </c>
      <c r="AH275" s="2" t="s">
        <v>2933</v>
      </c>
      <c r="AI275" s="2">
        <v>0.94</v>
      </c>
      <c r="AJ275" s="2">
        <v>21.198771595301199</v>
      </c>
      <c r="AK275" s="2">
        <v>21.2494579567086</v>
      </c>
      <c r="AL275" s="2">
        <v>21.382337752424601</v>
      </c>
      <c r="AM275" s="2">
        <v>21.434723797357702</v>
      </c>
      <c r="AN275" s="2">
        <v>21.1687164647924</v>
      </c>
      <c r="AO275" s="2">
        <v>21.281476533366501</v>
      </c>
      <c r="AP275" s="2">
        <v>21.104059995595101</v>
      </c>
      <c r="AQ275" s="2">
        <v>21.494640457673199</v>
      </c>
      <c r="AR275" s="2">
        <v>21.784215654285301</v>
      </c>
      <c r="AS275" s="2">
        <v>19.027864404265902</v>
      </c>
      <c r="AT275" s="2">
        <v>20.7544911670876</v>
      </c>
      <c r="AU275" s="2">
        <v>20.978004945066299</v>
      </c>
      <c r="AV275" s="2">
        <v>20.2772319747199</v>
      </c>
      <c r="AW275" s="2">
        <v>21.024184661254399</v>
      </c>
      <c r="AX275" s="2">
        <v>21.193433587757301</v>
      </c>
      <c r="AY275" s="2">
        <v>20.834754704243601</v>
      </c>
      <c r="AZ275" s="2">
        <v>21.118261938262801</v>
      </c>
      <c r="BA275" s="2">
        <v>19.4062246694136</v>
      </c>
      <c r="BB275" s="2">
        <v>20.006918194228401</v>
      </c>
      <c r="BC275" s="2">
        <v>20.207023974919501</v>
      </c>
      <c r="BD275" s="2">
        <v>19.780695256720399</v>
      </c>
      <c r="BE275" s="2">
        <v>20.766090810845601</v>
      </c>
      <c r="BF275" s="2">
        <v>21.193274705740901</v>
      </c>
      <c r="BG275" s="2">
        <v>21.7673579008849</v>
      </c>
      <c r="BH275" s="2">
        <v>20.8569713404944</v>
      </c>
      <c r="BI275" s="2">
        <v>23.1603465113811</v>
      </c>
      <c r="BJ275" s="2">
        <v>20.265598164982201</v>
      </c>
      <c r="BK275" s="2">
        <v>21.115980455654</v>
      </c>
      <c r="BL275" s="2">
        <v>22.252441304663598</v>
      </c>
      <c r="BM275" s="2">
        <v>20.761377871125301</v>
      </c>
      <c r="BN275" s="2">
        <v>20.890656847362202</v>
      </c>
      <c r="BO275" s="2">
        <v>20.607635159965302</v>
      </c>
      <c r="BP275" s="2">
        <v>21.408758401180801</v>
      </c>
      <c r="BQ275" s="2">
        <v>20.9224837450808</v>
      </c>
      <c r="BR275" s="2">
        <v>22.196644410368499</v>
      </c>
      <c r="BS275" s="2">
        <v>22.353489426934299</v>
      </c>
      <c r="BT275" s="2">
        <v>18.636077105876499</v>
      </c>
      <c r="BU275" s="2">
        <v>19.221347992718201</v>
      </c>
      <c r="BV275" s="2">
        <v>20.686232335954202</v>
      </c>
      <c r="BW275" s="2">
        <v>19.580667922577501</v>
      </c>
      <c r="BX275" s="2">
        <v>20.9077605379651</v>
      </c>
      <c r="BY275" s="2">
        <v>20.645486339800101</v>
      </c>
      <c r="BZ275" s="2">
        <v>21.1908984134616</v>
      </c>
      <c r="CA275" s="2">
        <v>21.159380804864799</v>
      </c>
      <c r="CB275" s="2">
        <v>21.856787639531301</v>
      </c>
      <c r="CC275" s="2">
        <v>21.6835107514156</v>
      </c>
      <c r="CD275" s="2">
        <v>20.7639637909279</v>
      </c>
      <c r="CE275" s="2">
        <v>21.2351056618933</v>
      </c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</row>
    <row r="276" spans="1:97">
      <c r="A276" s="2" t="s">
        <v>2934</v>
      </c>
      <c r="B276" s="2">
        <v>203.0016</v>
      </c>
      <c r="C276" s="2">
        <v>4.476</v>
      </c>
      <c r="D276" s="2" t="s">
        <v>146</v>
      </c>
      <c r="E276" s="2" t="s">
        <v>2935</v>
      </c>
      <c r="F276" s="2" t="s">
        <v>2936</v>
      </c>
      <c r="G276" s="2">
        <v>197118</v>
      </c>
      <c r="H276" s="3" t="str">
        <f>HYPERLINK("https://cloud.oebiotech.com/#/lm/network/197118", "https://cloud.oebiotech.com/#/lm/network/197118")</f>
        <v>https://cloud.oebiotech.com/#/lm/network/197118</v>
      </c>
      <c r="I276" s="2" t="s">
        <v>2937</v>
      </c>
      <c r="J276" s="2"/>
      <c r="K276" s="2"/>
      <c r="L276" s="2">
        <v>54104170</v>
      </c>
      <c r="M276" s="2"/>
      <c r="N276" s="2"/>
      <c r="O276" s="2"/>
      <c r="P276" s="2"/>
      <c r="Q276" s="2"/>
      <c r="R276" s="2"/>
      <c r="S276" s="2" t="s">
        <v>2938</v>
      </c>
      <c r="T276" s="2" t="s">
        <v>2939</v>
      </c>
      <c r="U276" s="2" t="s">
        <v>2940</v>
      </c>
      <c r="V276" s="2" t="s">
        <v>115</v>
      </c>
      <c r="W276" s="2" t="s">
        <v>613</v>
      </c>
      <c r="X276" s="2" t="s">
        <v>614</v>
      </c>
      <c r="Y276" s="2" t="s">
        <v>118</v>
      </c>
      <c r="Z276" s="2" t="s">
        <v>615</v>
      </c>
      <c r="AA276" s="2" t="s">
        <v>616</v>
      </c>
      <c r="AB276" s="2" t="s">
        <v>101</v>
      </c>
      <c r="AC276" s="2">
        <v>68.86</v>
      </c>
      <c r="AD276" s="2">
        <v>92.33</v>
      </c>
      <c r="AE276" s="2">
        <v>78.58</v>
      </c>
      <c r="AF276" s="2" t="s">
        <v>2941</v>
      </c>
      <c r="AG276" s="2" t="s">
        <v>194</v>
      </c>
      <c r="AH276" s="2" t="s">
        <v>2434</v>
      </c>
      <c r="AI276" s="2">
        <v>1.97</v>
      </c>
      <c r="AJ276" s="2">
        <v>19.186791142183001</v>
      </c>
      <c r="AK276" s="2">
        <v>19.3368514712642</v>
      </c>
      <c r="AL276" s="2">
        <v>19.2811785407645</v>
      </c>
      <c r="AM276" s="2">
        <v>19.3878846550997</v>
      </c>
      <c r="AN276" s="2">
        <v>19.279461660332998</v>
      </c>
      <c r="AO276" s="2">
        <v>19.2586850421213</v>
      </c>
      <c r="AP276" s="2">
        <v>19.2382222962475</v>
      </c>
      <c r="AQ276" s="2">
        <v>19.367303465550599</v>
      </c>
      <c r="AR276" s="2">
        <v>9.6233145402724691</v>
      </c>
      <c r="AS276" s="2">
        <v>11.4642955798231</v>
      </c>
      <c r="AT276" s="2">
        <v>9.6233145402724691</v>
      </c>
      <c r="AU276" s="2">
        <v>15.425467697187001</v>
      </c>
      <c r="AV276" s="2">
        <v>15.12954061806</v>
      </c>
      <c r="AW276" s="2">
        <v>9.6233145402724691</v>
      </c>
      <c r="AX276" s="2">
        <v>12.202178934218299</v>
      </c>
      <c r="AY276" s="2">
        <v>18.7917245827709</v>
      </c>
      <c r="AZ276" s="2">
        <v>9.6233145402724691</v>
      </c>
      <c r="BA276" s="2">
        <v>14.549041594539499</v>
      </c>
      <c r="BB276" s="2">
        <v>24.623904711713202</v>
      </c>
      <c r="BC276" s="2">
        <v>9.6233145402724691</v>
      </c>
      <c r="BD276" s="2">
        <v>9.6233145402724691</v>
      </c>
      <c r="BE276" s="2">
        <v>12.9473611559602</v>
      </c>
      <c r="BF276" s="2">
        <v>14.744169506781001</v>
      </c>
      <c r="BG276" s="2">
        <v>12.4491667047497</v>
      </c>
      <c r="BH276" s="2">
        <v>13.080790884794601</v>
      </c>
      <c r="BI276" s="2">
        <v>23.097913603791898</v>
      </c>
      <c r="BJ276" s="2">
        <v>9.6233145402724691</v>
      </c>
      <c r="BK276" s="2">
        <v>12.083595669015001</v>
      </c>
      <c r="BL276" s="2">
        <v>18.343555773334302</v>
      </c>
      <c r="BM276" s="2">
        <v>14.5905507949635</v>
      </c>
      <c r="BN276" s="2">
        <v>14.1044619793292</v>
      </c>
      <c r="BO276" s="2">
        <v>18.696066545075102</v>
      </c>
      <c r="BP276" s="2">
        <v>16.0753203640717</v>
      </c>
      <c r="BQ276" s="2">
        <v>15.1503645141968</v>
      </c>
      <c r="BR276" s="2">
        <v>13.5925563125752</v>
      </c>
      <c r="BS276" s="2">
        <v>20.234358530327199</v>
      </c>
      <c r="BT276" s="2">
        <v>11.687546277070201</v>
      </c>
      <c r="BU276" s="2">
        <v>15.1478718899825</v>
      </c>
      <c r="BV276" s="2">
        <v>15.917083921973299</v>
      </c>
      <c r="BW276" s="2">
        <v>9.6233145402724691</v>
      </c>
      <c r="BX276" s="2">
        <v>19.198022075083799</v>
      </c>
      <c r="BY276" s="2">
        <v>16.929049272058599</v>
      </c>
      <c r="BZ276" s="2">
        <v>13.7716390546952</v>
      </c>
      <c r="CA276" s="2">
        <v>11.8882904333555</v>
      </c>
      <c r="CB276" s="2">
        <v>13.145129718050001</v>
      </c>
      <c r="CC276" s="2">
        <v>13.669552785082599</v>
      </c>
      <c r="CD276" s="2">
        <v>14.569974839301601</v>
      </c>
      <c r="CE276" s="2">
        <v>13.026464654611299</v>
      </c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</row>
    <row r="277" spans="1:97">
      <c r="A277" s="2" t="s">
        <v>2942</v>
      </c>
      <c r="B277" s="2">
        <v>373.11342000000002</v>
      </c>
      <c r="C277" s="2">
        <v>4.7480000000000002</v>
      </c>
      <c r="D277" s="2" t="s">
        <v>146</v>
      </c>
      <c r="E277" s="2" t="s">
        <v>2943</v>
      </c>
      <c r="F277" s="2" t="s">
        <v>2944</v>
      </c>
      <c r="G277" s="2">
        <v>255618</v>
      </c>
      <c r="H277" s="3" t="str">
        <f>HYPERLINK("https://cloud.oebiotech.com/#/lm/network/255618", "https://cloud.oebiotech.com/#/lm/network/255618")</f>
        <v>https://cloud.oebiotech.com/#/lm/network/255618</v>
      </c>
      <c r="I277" s="2" t="s">
        <v>2945</v>
      </c>
      <c r="J277" s="2"/>
      <c r="K277" s="2"/>
      <c r="L277" s="2"/>
      <c r="M277" s="2" t="s">
        <v>2946</v>
      </c>
      <c r="N277" s="2"/>
      <c r="O277" s="2"/>
      <c r="P277" s="2">
        <v>2733</v>
      </c>
      <c r="Q277" s="2"/>
      <c r="R277" s="2"/>
      <c r="S277" s="2"/>
      <c r="T277" s="2" t="s">
        <v>2947</v>
      </c>
      <c r="U277" s="2" t="s">
        <v>2948</v>
      </c>
      <c r="V277" s="2" t="s">
        <v>95</v>
      </c>
      <c r="W277" s="2" t="s">
        <v>180</v>
      </c>
      <c r="X277" s="2" t="s">
        <v>2949</v>
      </c>
      <c r="Y277" s="2" t="s">
        <v>98</v>
      </c>
      <c r="Z277" s="2" t="s">
        <v>182</v>
      </c>
      <c r="AA277" s="2" t="s">
        <v>2950</v>
      </c>
      <c r="AB277" s="2" t="s">
        <v>101</v>
      </c>
      <c r="AC277" s="2">
        <v>68.8</v>
      </c>
      <c r="AD277" s="2">
        <v>89.32</v>
      </c>
      <c r="AE277" s="2">
        <v>71.08</v>
      </c>
      <c r="AF277" s="2" t="s">
        <v>2951</v>
      </c>
      <c r="AG277" s="2" t="s">
        <v>157</v>
      </c>
      <c r="AH277" s="2" t="s">
        <v>2952</v>
      </c>
      <c r="AI277" s="2">
        <v>1.61</v>
      </c>
      <c r="AJ277" s="2">
        <v>16.424880929645099</v>
      </c>
      <c r="AK277" s="2">
        <v>16.993300866847001</v>
      </c>
      <c r="AL277" s="2">
        <v>17.038169355122001</v>
      </c>
      <c r="AM277" s="2">
        <v>16.8505898772537</v>
      </c>
      <c r="AN277" s="2">
        <v>17.004786980751501</v>
      </c>
      <c r="AO277" s="2">
        <v>16.789032409869499</v>
      </c>
      <c r="AP277" s="2">
        <v>16.776076092970701</v>
      </c>
      <c r="AQ277" s="2">
        <v>16.823213218954098</v>
      </c>
      <c r="AR277" s="2">
        <v>15.4410987869467</v>
      </c>
      <c r="AS277" s="2">
        <v>16.8564782961381</v>
      </c>
      <c r="AT277" s="2">
        <v>15.6476340868173</v>
      </c>
      <c r="AU277" s="2">
        <v>13.6105081388061</v>
      </c>
      <c r="AV277" s="2">
        <v>9.6233145402724691</v>
      </c>
      <c r="AW277" s="2">
        <v>15.650877287697099</v>
      </c>
      <c r="AX277" s="2">
        <v>15.888408169556</v>
      </c>
      <c r="AY277" s="2">
        <v>17.385388989209002</v>
      </c>
      <c r="AZ277" s="2">
        <v>19.6258390250097</v>
      </c>
      <c r="BA277" s="2">
        <v>14.42500013868</v>
      </c>
      <c r="BB277" s="2">
        <v>16.8170059902532</v>
      </c>
      <c r="BC277" s="2">
        <v>16.153218710385101</v>
      </c>
      <c r="BD277" s="2">
        <v>17.225075229037699</v>
      </c>
      <c r="BE277" s="2">
        <v>15.736142924859999</v>
      </c>
      <c r="BF277" s="2">
        <v>9.6233145402724691</v>
      </c>
      <c r="BG277" s="2">
        <v>14.9164743118499</v>
      </c>
      <c r="BH277" s="2">
        <v>15.0423690320379</v>
      </c>
      <c r="BI277" s="2">
        <v>16.1225240992034</v>
      </c>
      <c r="BJ277" s="2">
        <v>16.137433278071299</v>
      </c>
      <c r="BK277" s="2">
        <v>15.1697132622675</v>
      </c>
      <c r="BL277" s="2">
        <v>15.5215789708878</v>
      </c>
      <c r="BM277" s="2">
        <v>16.955728223911802</v>
      </c>
      <c r="BN277" s="2">
        <v>15.504926962316</v>
      </c>
      <c r="BO277" s="2">
        <v>15.447997538939299</v>
      </c>
      <c r="BP277" s="2">
        <v>12.3385219119649</v>
      </c>
      <c r="BQ277" s="2">
        <v>16.693083293809</v>
      </c>
      <c r="BR277" s="2">
        <v>15.0920555226313</v>
      </c>
      <c r="BS277" s="2">
        <v>16.527374677135299</v>
      </c>
      <c r="BT277" s="2">
        <v>19.759815982312801</v>
      </c>
      <c r="BU277" s="2">
        <v>15.6595307645342</v>
      </c>
      <c r="BV277" s="2">
        <v>16.300767768786098</v>
      </c>
      <c r="BW277" s="2">
        <v>15.1030902440303</v>
      </c>
      <c r="BX277" s="2">
        <v>17.02546100032</v>
      </c>
      <c r="BY277" s="2">
        <v>15.6233814199271</v>
      </c>
      <c r="BZ277" s="2">
        <v>14.2569479834994</v>
      </c>
      <c r="CA277" s="2">
        <v>14.1601519035918</v>
      </c>
      <c r="CB277" s="2">
        <v>16.661242692897599</v>
      </c>
      <c r="CC277" s="2">
        <v>15.5959386839261</v>
      </c>
      <c r="CD277" s="2">
        <v>16.268331640670901</v>
      </c>
      <c r="CE277" s="2">
        <v>16.5261244565366</v>
      </c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</row>
    <row r="278" spans="1:97">
      <c r="A278" s="2" t="s">
        <v>2953</v>
      </c>
      <c r="B278" s="2">
        <v>166.12249</v>
      </c>
      <c r="C278" s="2">
        <v>3.032</v>
      </c>
      <c r="D278" s="2" t="s">
        <v>84</v>
      </c>
      <c r="E278" s="2" t="s">
        <v>2954</v>
      </c>
      <c r="F278" s="2" t="s">
        <v>2955</v>
      </c>
      <c r="G278" s="2">
        <v>53518</v>
      </c>
      <c r="H278" s="3" t="str">
        <f>HYPERLINK("https://cloud.oebiotech.com/#/lm/network/53518", "https://cloud.oebiotech.com/#/lm/network/53518")</f>
        <v>https://cloud.oebiotech.com/#/lm/network/53518</v>
      </c>
      <c r="I278" s="2" t="s">
        <v>2956</v>
      </c>
      <c r="J278" s="2">
        <v>2541</v>
      </c>
      <c r="K278" s="2"/>
      <c r="L278" s="2">
        <v>9294</v>
      </c>
      <c r="M278" s="2" t="s">
        <v>2957</v>
      </c>
      <c r="N278" s="2"/>
      <c r="O278" s="2"/>
      <c r="P278" s="2">
        <v>15407</v>
      </c>
      <c r="Q278" s="2"/>
      <c r="R278" s="2"/>
      <c r="S278" s="2" t="s">
        <v>2958</v>
      </c>
      <c r="T278" s="2" t="s">
        <v>2959</v>
      </c>
      <c r="U278" s="2" t="s">
        <v>2960</v>
      </c>
      <c r="V278" s="2" t="s">
        <v>385</v>
      </c>
      <c r="W278" s="2" t="s">
        <v>386</v>
      </c>
      <c r="X278" s="2" t="s">
        <v>387</v>
      </c>
      <c r="Y278" s="2" t="s">
        <v>388</v>
      </c>
      <c r="Z278" s="2" t="s">
        <v>389</v>
      </c>
      <c r="AA278" s="2" t="s">
        <v>390</v>
      </c>
      <c r="AB278" s="2" t="s">
        <v>101</v>
      </c>
      <c r="AC278" s="2">
        <v>68.790000000000006</v>
      </c>
      <c r="AD278" s="2">
        <v>94.17</v>
      </c>
      <c r="AE278" s="2">
        <v>79.239999999999995</v>
      </c>
      <c r="AF278" s="2" t="s">
        <v>2961</v>
      </c>
      <c r="AG278" s="2" t="s">
        <v>103</v>
      </c>
      <c r="AH278" s="2" t="s">
        <v>485</v>
      </c>
      <c r="AI278" s="2">
        <v>0.6</v>
      </c>
      <c r="AJ278" s="2">
        <v>19.601555922455098</v>
      </c>
      <c r="AK278" s="2">
        <v>19.728593038855202</v>
      </c>
      <c r="AL278" s="2">
        <v>19.454367456586802</v>
      </c>
      <c r="AM278" s="2">
        <v>19.558091195346499</v>
      </c>
      <c r="AN278" s="2">
        <v>19.630358463902901</v>
      </c>
      <c r="AO278" s="2">
        <v>19.8814352933828</v>
      </c>
      <c r="AP278" s="2">
        <v>19.397564967848599</v>
      </c>
      <c r="AQ278" s="2">
        <v>19.9036928843603</v>
      </c>
      <c r="AR278" s="2">
        <v>19.104647558147299</v>
      </c>
      <c r="AS278" s="2">
        <v>18.340651625252701</v>
      </c>
      <c r="AT278" s="2">
        <v>18.851229064210798</v>
      </c>
      <c r="AU278" s="2">
        <v>18.3360125711664</v>
      </c>
      <c r="AV278" s="2">
        <v>17.938663179033998</v>
      </c>
      <c r="AW278" s="2">
        <v>18.506729806103699</v>
      </c>
      <c r="AX278" s="2">
        <v>18.717986912572901</v>
      </c>
      <c r="AY278" s="2">
        <v>19.652638316359202</v>
      </c>
      <c r="AZ278" s="2">
        <v>18.810865869639699</v>
      </c>
      <c r="BA278" s="2">
        <v>17.059954363215201</v>
      </c>
      <c r="BB278" s="2">
        <v>18.3645233599688</v>
      </c>
      <c r="BC278" s="2">
        <v>19.890381718653099</v>
      </c>
      <c r="BD278" s="2">
        <v>19.205231185734998</v>
      </c>
      <c r="BE278" s="2">
        <v>19.873952076698199</v>
      </c>
      <c r="BF278" s="2">
        <v>19.752973774141498</v>
      </c>
      <c r="BG278" s="2">
        <v>19.572327375031101</v>
      </c>
      <c r="BH278" s="2">
        <v>19.6116151997735</v>
      </c>
      <c r="BI278" s="2">
        <v>18.726964557177102</v>
      </c>
      <c r="BJ278" s="2">
        <v>19.702361003202601</v>
      </c>
      <c r="BK278" s="2">
        <v>19.519523403517599</v>
      </c>
      <c r="BL278" s="2">
        <v>19.172933787087</v>
      </c>
      <c r="BM278" s="2">
        <v>19.240418663886398</v>
      </c>
      <c r="BN278" s="2">
        <v>19.785743490650599</v>
      </c>
      <c r="BO278" s="2">
        <v>19.0597621529752</v>
      </c>
      <c r="BP278" s="2">
        <v>19.354345837081201</v>
      </c>
      <c r="BQ278" s="2">
        <v>18.917591452076501</v>
      </c>
      <c r="BR278" s="2">
        <v>19.446115900368898</v>
      </c>
      <c r="BS278" s="2">
        <v>19.663234911167599</v>
      </c>
      <c r="BT278" s="2">
        <v>19.223082639769402</v>
      </c>
      <c r="BU278" s="2">
        <v>19.578982095244701</v>
      </c>
      <c r="BV278" s="2">
        <v>19.733411873223702</v>
      </c>
      <c r="BW278" s="2">
        <v>18.443580833613701</v>
      </c>
      <c r="BX278" s="2">
        <v>19.923320041976702</v>
      </c>
      <c r="BY278" s="2">
        <v>19.665006510066299</v>
      </c>
      <c r="BZ278" s="2">
        <v>19.514169003771102</v>
      </c>
      <c r="CA278" s="2">
        <v>19.7424591333255</v>
      </c>
      <c r="CB278" s="2">
        <v>17.798943007390601</v>
      </c>
      <c r="CC278" s="2">
        <v>19.597724438805798</v>
      </c>
      <c r="CD278" s="2">
        <v>18.538312627904599</v>
      </c>
      <c r="CE278" s="2">
        <v>19.011701801276399</v>
      </c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</row>
    <row r="279" spans="1:97">
      <c r="A279" s="2" t="s">
        <v>2962</v>
      </c>
      <c r="B279" s="2">
        <v>229.01714999999999</v>
      </c>
      <c r="C279" s="2">
        <v>5.3410000000000002</v>
      </c>
      <c r="D279" s="2" t="s">
        <v>146</v>
      </c>
      <c r="E279" s="2" t="s">
        <v>2963</v>
      </c>
      <c r="F279" s="2" t="s">
        <v>2964</v>
      </c>
      <c r="G279" s="2">
        <v>257674</v>
      </c>
      <c r="H279" s="3" t="str">
        <f>HYPERLINK("https://cloud.oebiotech.com/#/lm/network/257674", "https://cloud.oebiotech.com/#/lm/network/257674")</f>
        <v>https://cloud.oebiotech.com/#/lm/network/257674</v>
      </c>
      <c r="I279" s="2" t="s">
        <v>2965</v>
      </c>
      <c r="J279" s="2"/>
      <c r="K279" s="2"/>
      <c r="L279" s="2">
        <v>155342006</v>
      </c>
      <c r="M279" s="2"/>
      <c r="N279" s="2"/>
      <c r="O279" s="2"/>
      <c r="P279" s="2"/>
      <c r="Q279" s="2"/>
      <c r="R279" s="2"/>
      <c r="S279" s="2"/>
      <c r="T279" s="2" t="s">
        <v>2966</v>
      </c>
      <c r="U279" s="2" t="s">
        <v>2967</v>
      </c>
      <c r="V279" s="2" t="s">
        <v>115</v>
      </c>
      <c r="W279" s="2" t="s">
        <v>613</v>
      </c>
      <c r="X279" s="2" t="s">
        <v>614</v>
      </c>
      <c r="Y279" s="2" t="s">
        <v>118</v>
      </c>
      <c r="Z279" s="2" t="s">
        <v>615</v>
      </c>
      <c r="AA279" s="2" t="s">
        <v>616</v>
      </c>
      <c r="AB279" s="2" t="s">
        <v>101</v>
      </c>
      <c r="AC279" s="2">
        <v>68.67</v>
      </c>
      <c r="AD279" s="2">
        <v>91.27</v>
      </c>
      <c r="AE279" s="2">
        <v>83.46</v>
      </c>
      <c r="AF279" s="2" t="s">
        <v>2968</v>
      </c>
      <c r="AG279" s="2" t="s">
        <v>194</v>
      </c>
      <c r="AH279" s="2" t="s">
        <v>2969</v>
      </c>
      <c r="AI279" s="2">
        <v>2.1800000000000002</v>
      </c>
      <c r="AJ279" s="2">
        <v>17.321325760218699</v>
      </c>
      <c r="AK279" s="2">
        <v>17.541951902930201</v>
      </c>
      <c r="AL279" s="2">
        <v>17.5541966345986</v>
      </c>
      <c r="AM279" s="2">
        <v>17.711768590946601</v>
      </c>
      <c r="AN279" s="2">
        <v>17.700496885100002</v>
      </c>
      <c r="AO279" s="2">
        <v>17.4401373364907</v>
      </c>
      <c r="AP279" s="2">
        <v>17.541170442653002</v>
      </c>
      <c r="AQ279" s="2">
        <v>17.613140891390302</v>
      </c>
      <c r="AR279" s="2">
        <v>11.9270408736335</v>
      </c>
      <c r="AS279" s="2">
        <v>9.6233145402724691</v>
      </c>
      <c r="AT279" s="2">
        <v>9.6233145402724691</v>
      </c>
      <c r="AU279" s="2">
        <v>9.6233145402724691</v>
      </c>
      <c r="AV279" s="2">
        <v>16.488030907030002</v>
      </c>
      <c r="AW279" s="2">
        <v>18.201574183451001</v>
      </c>
      <c r="AX279" s="2">
        <v>11.6346522542428</v>
      </c>
      <c r="AY279" s="2">
        <v>16.005958256621899</v>
      </c>
      <c r="AZ279" s="2">
        <v>15.034133075307301</v>
      </c>
      <c r="BA279" s="2">
        <v>9.6233145402724691</v>
      </c>
      <c r="BB279" s="2">
        <v>9.6233145402724691</v>
      </c>
      <c r="BC279" s="2">
        <v>9.6233145402724691</v>
      </c>
      <c r="BD279" s="2">
        <v>16.273251426931999</v>
      </c>
      <c r="BE279" s="2">
        <v>16.2875132738952</v>
      </c>
      <c r="BF279" s="2">
        <v>16.917877614850799</v>
      </c>
      <c r="BG279" s="2">
        <v>12.9683698006996</v>
      </c>
      <c r="BH279" s="2">
        <v>17.927850342657901</v>
      </c>
      <c r="BI279" s="2">
        <v>9.6233145402724691</v>
      </c>
      <c r="BJ279" s="2">
        <v>16.842780740197298</v>
      </c>
      <c r="BK279" s="2">
        <v>15.470033151147399</v>
      </c>
      <c r="BL279" s="2">
        <v>11.6840998753524</v>
      </c>
      <c r="BM279" s="2">
        <v>18.2120487033418</v>
      </c>
      <c r="BN279" s="2">
        <v>16.576525976026101</v>
      </c>
      <c r="BO279" s="2">
        <v>9.6233145402724691</v>
      </c>
      <c r="BP279" s="2">
        <v>11.743227146239001</v>
      </c>
      <c r="BQ279" s="2">
        <v>9.6233145402724691</v>
      </c>
      <c r="BR279" s="2">
        <v>18.2355188253058</v>
      </c>
      <c r="BS279" s="2">
        <v>21.0910721693403</v>
      </c>
      <c r="BT279" s="2">
        <v>15.1170342751028</v>
      </c>
      <c r="BU279" s="2">
        <v>9.6233145402724691</v>
      </c>
      <c r="BV279" s="2">
        <v>9.6233145402724691</v>
      </c>
      <c r="BW279" s="2">
        <v>14.9937751821661</v>
      </c>
      <c r="BX279" s="2">
        <v>16.888254278088901</v>
      </c>
      <c r="BY279" s="2">
        <v>19.421157867754602</v>
      </c>
      <c r="BZ279" s="2">
        <v>15.289489766549099</v>
      </c>
      <c r="CA279" s="2">
        <v>16.322723541597</v>
      </c>
      <c r="CB279" s="2">
        <v>13.6453465802556</v>
      </c>
      <c r="CC279" s="2">
        <v>9.6233145402724691</v>
      </c>
      <c r="CD279" s="2">
        <v>13.5826148032296</v>
      </c>
      <c r="CE279" s="2">
        <v>9.6233145402724691</v>
      </c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</row>
    <row r="280" spans="1:97">
      <c r="A280" s="2" t="s">
        <v>2970</v>
      </c>
      <c r="B280" s="2">
        <v>357.06106999999997</v>
      </c>
      <c r="C280" s="2">
        <v>7.15</v>
      </c>
      <c r="D280" s="2" t="s">
        <v>146</v>
      </c>
      <c r="E280" s="2" t="s">
        <v>2971</v>
      </c>
      <c r="F280" s="2" t="s">
        <v>2972</v>
      </c>
      <c r="G280" s="2">
        <v>205794</v>
      </c>
      <c r="H280" s="3" t="str">
        <f>HYPERLINK("https://cloud.oebiotech.com/#/lm/network/205794", "https://cloud.oebiotech.com/#/lm/network/205794")</f>
        <v>https://cloud.oebiotech.com/#/lm/network/205794</v>
      </c>
      <c r="I280" s="2" t="s">
        <v>2973</v>
      </c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 t="s">
        <v>2974</v>
      </c>
      <c r="U280" s="2" t="s">
        <v>2975</v>
      </c>
      <c r="V280" s="2" t="s">
        <v>115</v>
      </c>
      <c r="W280" s="2" t="s">
        <v>116</v>
      </c>
      <c r="X280" s="2" t="s">
        <v>769</v>
      </c>
      <c r="Y280" s="2" t="s">
        <v>118</v>
      </c>
      <c r="Z280" s="2" t="s">
        <v>119</v>
      </c>
      <c r="AA280" s="2" t="s">
        <v>770</v>
      </c>
      <c r="AB280" s="2" t="s">
        <v>101</v>
      </c>
      <c r="AC280" s="2">
        <v>68.650000000000006</v>
      </c>
      <c r="AD280" s="2">
        <v>88.04</v>
      </c>
      <c r="AE280" s="2">
        <v>71.95</v>
      </c>
      <c r="AF280" s="2" t="s">
        <v>2976</v>
      </c>
      <c r="AG280" s="2" t="s">
        <v>194</v>
      </c>
      <c r="AH280" s="2" t="s">
        <v>2977</v>
      </c>
      <c r="AI280" s="2">
        <v>1.4</v>
      </c>
      <c r="AJ280" s="2">
        <v>18.660137574755002</v>
      </c>
      <c r="AK280" s="2">
        <v>18.7037954875465</v>
      </c>
      <c r="AL280" s="2">
        <v>18.582939741452801</v>
      </c>
      <c r="AM280" s="2">
        <v>18.449812662435001</v>
      </c>
      <c r="AN280" s="2">
        <v>18.795475850857098</v>
      </c>
      <c r="AO280" s="2">
        <v>18.86323613671</v>
      </c>
      <c r="AP280" s="2">
        <v>18.5608894870687</v>
      </c>
      <c r="AQ280" s="2">
        <v>18.4562991417584</v>
      </c>
      <c r="AR280" s="2">
        <v>18.611679184405599</v>
      </c>
      <c r="AS280" s="2">
        <v>18.53019324584</v>
      </c>
      <c r="AT280" s="2">
        <v>18.011758382562402</v>
      </c>
      <c r="AU280" s="2">
        <v>18.585726836769201</v>
      </c>
      <c r="AV280" s="2">
        <v>18.366091352614699</v>
      </c>
      <c r="AW280" s="2">
        <v>18.6909064311991</v>
      </c>
      <c r="AX280" s="2">
        <v>18.505819189380301</v>
      </c>
      <c r="AY280" s="2">
        <v>18.3756741796944</v>
      </c>
      <c r="AZ280" s="2">
        <v>18.398101265767799</v>
      </c>
      <c r="BA280" s="2">
        <v>18.295905400087999</v>
      </c>
      <c r="BB280" s="2">
        <v>18.297767690725699</v>
      </c>
      <c r="BC280" s="2">
        <v>18.9924740908967</v>
      </c>
      <c r="BD280" s="2">
        <v>18.479657169069998</v>
      </c>
      <c r="BE280" s="2">
        <v>19.238998610074098</v>
      </c>
      <c r="BF280" s="2">
        <v>18.648268464186799</v>
      </c>
      <c r="BG280" s="2">
        <v>18.910007225048201</v>
      </c>
      <c r="BH280" s="2">
        <v>17.985633173957901</v>
      </c>
      <c r="BI280" s="2">
        <v>18.761458483483501</v>
      </c>
      <c r="BJ280" s="2">
        <v>19.0578564320361</v>
      </c>
      <c r="BK280" s="2">
        <v>18.450108179898699</v>
      </c>
      <c r="BL280" s="2">
        <v>18.271172194429798</v>
      </c>
      <c r="BM280" s="2">
        <v>17.963078442592899</v>
      </c>
      <c r="BN280" s="2">
        <v>18.434951053492</v>
      </c>
      <c r="BO280" s="2">
        <v>19.218177755290402</v>
      </c>
      <c r="BP280" s="2">
        <v>18.615963958493001</v>
      </c>
      <c r="BQ280" s="2">
        <v>18.400286625409901</v>
      </c>
      <c r="BR280" s="2">
        <v>18.9860736197225</v>
      </c>
      <c r="BS280" s="2">
        <v>18.4920956384371</v>
      </c>
      <c r="BT280" s="2">
        <v>18.5883794657368</v>
      </c>
      <c r="BU280" s="2">
        <v>18.529531326669801</v>
      </c>
      <c r="BV280" s="2">
        <v>18.606402899201601</v>
      </c>
      <c r="BW280" s="2">
        <v>18.667337638634301</v>
      </c>
      <c r="BX280" s="2">
        <v>18.8327814396646</v>
      </c>
      <c r="BY280" s="2">
        <v>18.5241941298423</v>
      </c>
      <c r="BZ280" s="2">
        <v>18.545294492093699</v>
      </c>
      <c r="CA280" s="2">
        <v>18.7512970750122</v>
      </c>
      <c r="CB280" s="2">
        <v>18.185000635965601</v>
      </c>
      <c r="CC280" s="2">
        <v>18.7826833910229</v>
      </c>
      <c r="CD280" s="2">
        <v>18.381169961167799</v>
      </c>
      <c r="CE280" s="2">
        <v>18.526538438951299</v>
      </c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</row>
    <row r="281" spans="1:97">
      <c r="A281" s="2" t="s">
        <v>2978</v>
      </c>
      <c r="B281" s="2">
        <v>495.40480000000002</v>
      </c>
      <c r="C281" s="2">
        <v>14.611000000000001</v>
      </c>
      <c r="D281" s="2" t="s">
        <v>146</v>
      </c>
      <c r="E281" s="2" t="s">
        <v>2979</v>
      </c>
      <c r="F281" s="2" t="s">
        <v>2980</v>
      </c>
      <c r="G281" s="2">
        <v>2209</v>
      </c>
      <c r="H281" s="3" t="str">
        <f>HYPERLINK("https://cloud.oebiotech.com/#/lm/network/2209", "https://cloud.oebiotech.com/#/lm/network/2209")</f>
        <v>https://cloud.oebiotech.com/#/lm/network/2209</v>
      </c>
      <c r="I281" s="2"/>
      <c r="J281" s="2"/>
      <c r="K281" s="2" t="s">
        <v>2981</v>
      </c>
      <c r="L281" s="2"/>
      <c r="M281" s="2"/>
      <c r="N281" s="2"/>
      <c r="O281" s="2"/>
      <c r="P281" s="2"/>
      <c r="Q281" s="2"/>
      <c r="R281" s="2"/>
      <c r="S281" s="2"/>
      <c r="T281" s="2" t="s">
        <v>2982</v>
      </c>
      <c r="U281" s="2" t="s">
        <v>2983</v>
      </c>
      <c r="V281" s="2" t="s">
        <v>95</v>
      </c>
      <c r="W281" s="2" t="s">
        <v>96</v>
      </c>
      <c r="X281" s="2" t="s">
        <v>141</v>
      </c>
      <c r="Y281" s="2" t="s">
        <v>98</v>
      </c>
      <c r="Z281" s="2" t="s">
        <v>99</v>
      </c>
      <c r="AA281" s="2" t="s">
        <v>142</v>
      </c>
      <c r="AB281" s="2" t="s">
        <v>101</v>
      </c>
      <c r="AC281" s="2">
        <v>68.650000000000006</v>
      </c>
      <c r="AD281" s="2">
        <v>94.46</v>
      </c>
      <c r="AE281" s="2">
        <v>74.489999999999995</v>
      </c>
      <c r="AF281" s="2" t="s">
        <v>2984</v>
      </c>
      <c r="AG281" s="2" t="s">
        <v>157</v>
      </c>
      <c r="AH281" s="2" t="s">
        <v>2985</v>
      </c>
      <c r="AI281" s="2">
        <v>1.41</v>
      </c>
      <c r="AJ281" s="2">
        <v>19.414721257318998</v>
      </c>
      <c r="AK281" s="2">
        <v>18.225500435786699</v>
      </c>
      <c r="AL281" s="2">
        <v>18.719666191920702</v>
      </c>
      <c r="AM281" s="2">
        <v>18.508874662449902</v>
      </c>
      <c r="AN281" s="2">
        <v>18.448132965820498</v>
      </c>
      <c r="AO281" s="2">
        <v>18.834026157418801</v>
      </c>
      <c r="AP281" s="2">
        <v>18.3740695230683</v>
      </c>
      <c r="AQ281" s="2">
        <v>18.936441170917799</v>
      </c>
      <c r="AR281" s="2">
        <v>18.443099233666</v>
      </c>
      <c r="AS281" s="2">
        <v>18.3978193363454</v>
      </c>
      <c r="AT281" s="2">
        <v>18.110233449010298</v>
      </c>
      <c r="AU281" s="2">
        <v>17.928851437254998</v>
      </c>
      <c r="AV281" s="2">
        <v>17.411950839664701</v>
      </c>
      <c r="AW281" s="2">
        <v>17.212494580304099</v>
      </c>
      <c r="AX281" s="2">
        <v>17.845212229443401</v>
      </c>
      <c r="AY281" s="2">
        <v>17.799487926531601</v>
      </c>
      <c r="AZ281" s="2">
        <v>18.6958631513364</v>
      </c>
      <c r="BA281" s="2">
        <v>18.790995339554801</v>
      </c>
      <c r="BB281" s="2">
        <v>18.517854702821399</v>
      </c>
      <c r="BC281" s="2">
        <v>19.752592412500199</v>
      </c>
      <c r="BD281" s="2">
        <v>18.6937760555948</v>
      </c>
      <c r="BE281" s="2">
        <v>20.0715969071206</v>
      </c>
      <c r="BF281" s="2">
        <v>17.287225838783002</v>
      </c>
      <c r="BG281" s="2">
        <v>19.288768226197501</v>
      </c>
      <c r="BH281" s="2">
        <v>18.476349843384099</v>
      </c>
      <c r="BI281" s="2">
        <v>18.186874424265401</v>
      </c>
      <c r="BJ281" s="2">
        <v>18.7787505077582</v>
      </c>
      <c r="BK281" s="2">
        <v>17.412927780368399</v>
      </c>
      <c r="BL281" s="2">
        <v>19.010454757481298</v>
      </c>
      <c r="BM281" s="2">
        <v>18.591857261826298</v>
      </c>
      <c r="BN281" s="2">
        <v>18.3564541195441</v>
      </c>
      <c r="BO281" s="2">
        <v>17.496265690673699</v>
      </c>
      <c r="BP281" s="2">
        <v>18.091046270671299</v>
      </c>
      <c r="BQ281" s="2">
        <v>16.617014830228801</v>
      </c>
      <c r="BR281" s="2">
        <v>17.8667430841552</v>
      </c>
      <c r="BS281" s="2">
        <v>18.158156852069698</v>
      </c>
      <c r="BT281" s="2">
        <v>18.8029193153229</v>
      </c>
      <c r="BU281" s="2">
        <v>18.846473666409398</v>
      </c>
      <c r="BV281" s="2">
        <v>18.500375132603299</v>
      </c>
      <c r="BW281" s="2">
        <v>17.9918720587964</v>
      </c>
      <c r="BX281" s="2">
        <v>18.678401833298299</v>
      </c>
      <c r="BY281" s="2">
        <v>19.994481225072899</v>
      </c>
      <c r="BZ281" s="2">
        <v>17.708028431633299</v>
      </c>
      <c r="CA281" s="2">
        <v>18.4721127348474</v>
      </c>
      <c r="CB281" s="2">
        <v>19.109124740159899</v>
      </c>
      <c r="CC281" s="2">
        <v>17.916387478586799</v>
      </c>
      <c r="CD281" s="2">
        <v>18.7729425939206</v>
      </c>
      <c r="CE281" s="2">
        <v>17.352562818405499</v>
      </c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</row>
    <row r="282" spans="1:97">
      <c r="A282" s="2" t="s">
        <v>2986</v>
      </c>
      <c r="B282" s="2">
        <v>284.22257999999999</v>
      </c>
      <c r="C282" s="2">
        <v>11.095000000000001</v>
      </c>
      <c r="D282" s="2" t="s">
        <v>146</v>
      </c>
      <c r="E282" s="2" t="s">
        <v>2987</v>
      </c>
      <c r="F282" s="2" t="s">
        <v>2988</v>
      </c>
      <c r="G282" s="2">
        <v>52231</v>
      </c>
      <c r="H282" s="3" t="str">
        <f>HYPERLINK("https://cloud.oebiotech.com/#/lm/network/52231", "https://cloud.oebiotech.com/#/lm/network/52231")</f>
        <v>https://cloud.oebiotech.com/#/lm/network/52231</v>
      </c>
      <c r="I282" s="2" t="s">
        <v>2989</v>
      </c>
      <c r="J282" s="2">
        <v>427157</v>
      </c>
      <c r="K282" s="2"/>
      <c r="L282" s="2">
        <v>72348</v>
      </c>
      <c r="M282" s="2"/>
      <c r="N282" s="2"/>
      <c r="O282" s="2"/>
      <c r="P282" s="2">
        <v>87142</v>
      </c>
      <c r="Q282" s="2"/>
      <c r="R282" s="2"/>
      <c r="S282" s="2"/>
      <c r="T282" s="2" t="s">
        <v>2990</v>
      </c>
      <c r="U282" s="2" t="s">
        <v>2991</v>
      </c>
      <c r="V282" s="2" t="s">
        <v>115</v>
      </c>
      <c r="W282" s="2" t="s">
        <v>116</v>
      </c>
      <c r="X282" s="2" t="s">
        <v>117</v>
      </c>
      <c r="Y282" s="2" t="s">
        <v>118</v>
      </c>
      <c r="Z282" s="2" t="s">
        <v>119</v>
      </c>
      <c r="AA282" s="2" t="s">
        <v>120</v>
      </c>
      <c r="AB282" s="2" t="s">
        <v>101</v>
      </c>
      <c r="AC282" s="2">
        <v>68.62</v>
      </c>
      <c r="AD282" s="2">
        <v>96.5</v>
      </c>
      <c r="AE282" s="2">
        <v>64.61</v>
      </c>
      <c r="AF282" s="2" t="s">
        <v>2992</v>
      </c>
      <c r="AG282" s="2" t="s">
        <v>194</v>
      </c>
      <c r="AH282" s="2" t="s">
        <v>2993</v>
      </c>
      <c r="AI282" s="2">
        <v>1.76</v>
      </c>
      <c r="AJ282" s="2">
        <v>19.821410491362499</v>
      </c>
      <c r="AK282" s="2">
        <v>19.808968305748699</v>
      </c>
      <c r="AL282" s="2">
        <v>19.558056955401899</v>
      </c>
      <c r="AM282" s="2">
        <v>19.688947596897702</v>
      </c>
      <c r="AN282" s="2">
        <v>19.766547089692398</v>
      </c>
      <c r="AO282" s="2">
        <v>19.833631031637701</v>
      </c>
      <c r="AP282" s="2">
        <v>19.7203464424496</v>
      </c>
      <c r="AQ282" s="2">
        <v>19.8931769186919</v>
      </c>
      <c r="AR282" s="2">
        <v>18.763498232886601</v>
      </c>
      <c r="AS282" s="2">
        <v>18.991498567505602</v>
      </c>
      <c r="AT282" s="2">
        <v>19.814858239322</v>
      </c>
      <c r="AU282" s="2">
        <v>18.814905322661399</v>
      </c>
      <c r="AV282" s="2">
        <v>19.5475169270591</v>
      </c>
      <c r="AW282" s="2">
        <v>19.452057621570798</v>
      </c>
      <c r="AX282" s="2">
        <v>19.180330332774101</v>
      </c>
      <c r="AY282" s="2">
        <v>19.597578347136199</v>
      </c>
      <c r="AZ282" s="2">
        <v>18.250116153989399</v>
      </c>
      <c r="BA282" s="2">
        <v>19.9304243037509</v>
      </c>
      <c r="BB282" s="2">
        <v>19.512829313165401</v>
      </c>
      <c r="BC282" s="2">
        <v>20.0527297845615</v>
      </c>
      <c r="BD282" s="2">
        <v>18.303581038724602</v>
      </c>
      <c r="BE282" s="2">
        <v>19.737612533128999</v>
      </c>
      <c r="BF282" s="2">
        <v>19.297597617738699</v>
      </c>
      <c r="BG282" s="2">
        <v>19.718716395299499</v>
      </c>
      <c r="BH282" s="2">
        <v>18.395586598884702</v>
      </c>
      <c r="BI282" s="2">
        <v>19.917840707906301</v>
      </c>
      <c r="BJ282" s="2">
        <v>19.574185586816601</v>
      </c>
      <c r="BK282" s="2">
        <v>19.406334757916099</v>
      </c>
      <c r="BL282" s="2">
        <v>19.313406516853998</v>
      </c>
      <c r="BM282" s="2">
        <v>18.849993000333601</v>
      </c>
      <c r="BN282" s="2">
        <v>19.828417380763099</v>
      </c>
      <c r="BO282" s="2">
        <v>19.264058531435499</v>
      </c>
      <c r="BP282" s="2">
        <v>19.9588663593272</v>
      </c>
      <c r="BQ282" s="2">
        <v>19.7907443295009</v>
      </c>
      <c r="BR282" s="2">
        <v>19.525692999740698</v>
      </c>
      <c r="BS282" s="2">
        <v>19.2480592425193</v>
      </c>
      <c r="BT282" s="2">
        <v>19.1200884243232</v>
      </c>
      <c r="BU282" s="2">
        <v>19.982554666291801</v>
      </c>
      <c r="BV282" s="2">
        <v>20.0201652694393</v>
      </c>
      <c r="BW282" s="2">
        <v>19.222948563022499</v>
      </c>
      <c r="BX282" s="2">
        <v>19.162872087980901</v>
      </c>
      <c r="BY282" s="2">
        <v>20.114523260942899</v>
      </c>
      <c r="BZ282" s="2">
        <v>19.253057718069702</v>
      </c>
      <c r="CA282" s="2">
        <v>19.811781024615001</v>
      </c>
      <c r="CB282" s="2">
        <v>19.437935327063599</v>
      </c>
      <c r="CC282" s="2">
        <v>19.667079066375699</v>
      </c>
      <c r="CD282" s="2">
        <v>20.080479382351399</v>
      </c>
      <c r="CE282" s="2">
        <v>20.209909752122801</v>
      </c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</row>
    <row r="283" spans="1:97">
      <c r="A283" s="2" t="s">
        <v>2994</v>
      </c>
      <c r="B283" s="2">
        <v>485.16579000000002</v>
      </c>
      <c r="C283" s="2">
        <v>5.0750000000000002</v>
      </c>
      <c r="D283" s="2" t="s">
        <v>146</v>
      </c>
      <c r="E283" s="2" t="s">
        <v>2995</v>
      </c>
      <c r="F283" s="2" t="s">
        <v>2996</v>
      </c>
      <c r="G283" s="2">
        <v>198669</v>
      </c>
      <c r="H283" s="3" t="str">
        <f>HYPERLINK("https://cloud.oebiotech.com/#/lm/network/198669", "https://cloud.oebiotech.com/#/lm/network/198669")</f>
        <v>https://cloud.oebiotech.com/#/lm/network/198669</v>
      </c>
      <c r="I283" s="2" t="s">
        <v>2997</v>
      </c>
      <c r="J283" s="2"/>
      <c r="K283" s="2"/>
      <c r="L283" s="2">
        <v>121596235</v>
      </c>
      <c r="M283" s="2"/>
      <c r="N283" s="2"/>
      <c r="O283" s="2"/>
      <c r="P283" s="2">
        <v>133148</v>
      </c>
      <c r="Q283" s="2"/>
      <c r="R283" s="2"/>
      <c r="S283" s="2"/>
      <c r="T283" s="2" t="s">
        <v>2998</v>
      </c>
      <c r="U283" s="2" t="s">
        <v>2999</v>
      </c>
      <c r="V283" s="2" t="s">
        <v>338</v>
      </c>
      <c r="W283" s="2" t="s">
        <v>339</v>
      </c>
      <c r="X283" s="2" t="s">
        <v>663</v>
      </c>
      <c r="Y283" s="2" t="s">
        <v>341</v>
      </c>
      <c r="Z283" s="2" t="s">
        <v>341</v>
      </c>
      <c r="AA283" s="2" t="s">
        <v>664</v>
      </c>
      <c r="AB283" s="2" t="s">
        <v>101</v>
      </c>
      <c r="AC283" s="2">
        <v>68.540000000000006</v>
      </c>
      <c r="AD283" s="2">
        <v>95.84</v>
      </c>
      <c r="AE283" s="2">
        <v>71.16</v>
      </c>
      <c r="AF283" s="2" t="s">
        <v>3000</v>
      </c>
      <c r="AG283" s="2" t="s">
        <v>157</v>
      </c>
      <c r="AH283" s="2" t="s">
        <v>3001</v>
      </c>
      <c r="AI283" s="2">
        <v>1.24</v>
      </c>
      <c r="AJ283" s="2">
        <v>18.966362824609501</v>
      </c>
      <c r="AK283" s="2">
        <v>18.8513193294452</v>
      </c>
      <c r="AL283" s="2">
        <v>18.877680064127901</v>
      </c>
      <c r="AM283" s="2">
        <v>18.922033258417901</v>
      </c>
      <c r="AN283" s="2">
        <v>18.8777099559668</v>
      </c>
      <c r="AO283" s="2">
        <v>18.819401093590599</v>
      </c>
      <c r="AP283" s="2">
        <v>18.9324257083133</v>
      </c>
      <c r="AQ283" s="2">
        <v>18.828811411653199</v>
      </c>
      <c r="AR283" s="2">
        <v>18.310726730188001</v>
      </c>
      <c r="AS283" s="2">
        <v>17.991683318706301</v>
      </c>
      <c r="AT283" s="2">
        <v>18.758379159435201</v>
      </c>
      <c r="AU283" s="2">
        <v>18.0383982518659</v>
      </c>
      <c r="AV283" s="2">
        <v>18.7643586017644</v>
      </c>
      <c r="AW283" s="2">
        <v>18.930639751870299</v>
      </c>
      <c r="AX283" s="2">
        <v>17.235062006309199</v>
      </c>
      <c r="AY283" s="2">
        <v>18.439807595148402</v>
      </c>
      <c r="AZ283" s="2">
        <v>18.3311231201784</v>
      </c>
      <c r="BA283" s="2">
        <v>18.486935004530601</v>
      </c>
      <c r="BB283" s="2">
        <v>19.279640594571401</v>
      </c>
      <c r="BC283" s="2">
        <v>18.109255613886202</v>
      </c>
      <c r="BD283" s="2">
        <v>18.071693526362999</v>
      </c>
      <c r="BE283" s="2">
        <v>18.377107731314702</v>
      </c>
      <c r="BF283" s="2">
        <v>17.967626151334802</v>
      </c>
      <c r="BG283" s="2">
        <v>18.5319113693159</v>
      </c>
      <c r="BH283" s="2">
        <v>18.826585105341898</v>
      </c>
      <c r="BI283" s="2">
        <v>18.542954008594801</v>
      </c>
      <c r="BJ283" s="2">
        <v>18.6302100930723</v>
      </c>
      <c r="BK283" s="2">
        <v>18.953074535067898</v>
      </c>
      <c r="BL283" s="2">
        <v>18.638469995448101</v>
      </c>
      <c r="BM283" s="2">
        <v>18.450788949061501</v>
      </c>
      <c r="BN283" s="2">
        <v>19.629425728349698</v>
      </c>
      <c r="BO283" s="2">
        <v>18.472407091680498</v>
      </c>
      <c r="BP283" s="2">
        <v>18.809243254178</v>
      </c>
      <c r="BQ283" s="2">
        <v>19.263425166285199</v>
      </c>
      <c r="BR283" s="2">
        <v>18.183034440291799</v>
      </c>
      <c r="BS283" s="2">
        <v>18.517718477125499</v>
      </c>
      <c r="BT283" s="2">
        <v>18.884216318223999</v>
      </c>
      <c r="BU283" s="2">
        <v>18.657110007243599</v>
      </c>
      <c r="BV283" s="2">
        <v>19.629364553912801</v>
      </c>
      <c r="BW283" s="2">
        <v>17.118525341997699</v>
      </c>
      <c r="BX283" s="2">
        <v>17.9689547837738</v>
      </c>
      <c r="BY283" s="2">
        <v>19.1872445301812</v>
      </c>
      <c r="BZ283" s="2">
        <v>18.316153522242601</v>
      </c>
      <c r="CA283" s="2">
        <v>18.990419397002601</v>
      </c>
      <c r="CB283" s="2">
        <v>19.021298346324802</v>
      </c>
      <c r="CC283" s="2">
        <v>18.745769635774302</v>
      </c>
      <c r="CD283" s="2">
        <v>19.161582851567999</v>
      </c>
      <c r="CE283" s="2">
        <v>18.4794403953765</v>
      </c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</row>
    <row r="284" spans="1:97">
      <c r="A284" s="2" t="s">
        <v>3002</v>
      </c>
      <c r="B284" s="2">
        <v>302.30495000000002</v>
      </c>
      <c r="C284" s="2">
        <v>9.1590000000000007</v>
      </c>
      <c r="D284" s="2" t="s">
        <v>84</v>
      </c>
      <c r="E284" s="2" t="s">
        <v>3003</v>
      </c>
      <c r="F284" s="2" t="s">
        <v>3004</v>
      </c>
      <c r="G284" s="2">
        <v>39000</v>
      </c>
      <c r="H284" s="3" t="str">
        <f>HYPERLINK("https://cloud.oebiotech.com/#/lm/network/39000", "https://cloud.oebiotech.com/#/lm/network/39000")</f>
        <v>https://cloud.oebiotech.com/#/lm/network/39000</v>
      </c>
      <c r="I284" s="2"/>
      <c r="J284" s="2">
        <v>53958</v>
      </c>
      <c r="K284" s="2" t="s">
        <v>3005</v>
      </c>
      <c r="L284" s="2">
        <v>11415391</v>
      </c>
      <c r="M284" s="2"/>
      <c r="N284" s="2"/>
      <c r="O284" s="2"/>
      <c r="P284" s="2"/>
      <c r="Q284" s="2"/>
      <c r="R284" s="2"/>
      <c r="S284" s="2"/>
      <c r="T284" s="2" t="s">
        <v>3006</v>
      </c>
      <c r="U284" s="2" t="s">
        <v>3007</v>
      </c>
      <c r="V284" s="2" t="s">
        <v>166</v>
      </c>
      <c r="W284" s="2" t="s">
        <v>167</v>
      </c>
      <c r="X284" s="2" t="s">
        <v>482</v>
      </c>
      <c r="Y284" s="2" t="s">
        <v>169</v>
      </c>
      <c r="Z284" s="2" t="s">
        <v>169</v>
      </c>
      <c r="AA284" s="2" t="s">
        <v>483</v>
      </c>
      <c r="AB284" s="2" t="s">
        <v>101</v>
      </c>
      <c r="AC284" s="2">
        <v>68.53</v>
      </c>
      <c r="AD284" s="2">
        <v>97.94</v>
      </c>
      <c r="AE284" s="2">
        <v>80.48</v>
      </c>
      <c r="AF284" s="2" t="s">
        <v>3008</v>
      </c>
      <c r="AG284" s="2" t="s">
        <v>103</v>
      </c>
      <c r="AH284" s="2" t="s">
        <v>3009</v>
      </c>
      <c r="AI284" s="2">
        <v>1.32</v>
      </c>
      <c r="AJ284" s="2">
        <v>24.823690333100298</v>
      </c>
      <c r="AK284" s="2">
        <v>24.7321088225243</v>
      </c>
      <c r="AL284" s="2">
        <v>24.851577208870999</v>
      </c>
      <c r="AM284" s="2">
        <v>24.8894159826656</v>
      </c>
      <c r="AN284" s="2">
        <v>24.6905331417206</v>
      </c>
      <c r="AO284" s="2">
        <v>24.816779081222101</v>
      </c>
      <c r="AP284" s="2">
        <v>24.863192087986299</v>
      </c>
      <c r="AQ284" s="2">
        <v>24.824826212946501</v>
      </c>
      <c r="AR284" s="2">
        <v>24.043571490100099</v>
      </c>
      <c r="AS284" s="2">
        <v>24.020355525220999</v>
      </c>
      <c r="AT284" s="2">
        <v>24.2978269594281</v>
      </c>
      <c r="AU284" s="2">
        <v>23.8106615942608</v>
      </c>
      <c r="AV284" s="2">
        <v>23.711767125039</v>
      </c>
      <c r="AW284" s="2">
        <v>24.169307310103999</v>
      </c>
      <c r="AX284" s="2">
        <v>23.584192015679001</v>
      </c>
      <c r="AY284" s="2">
        <v>23.747178868360201</v>
      </c>
      <c r="AZ284" s="2">
        <v>23.279884145126299</v>
      </c>
      <c r="BA284" s="2">
        <v>23.216172039107299</v>
      </c>
      <c r="BB284" s="2">
        <v>24.145403475782501</v>
      </c>
      <c r="BC284" s="2">
        <v>23.597460747279101</v>
      </c>
      <c r="BD284" s="2">
        <v>24.2915553125776</v>
      </c>
      <c r="BE284" s="2">
        <v>24.690701668777901</v>
      </c>
      <c r="BF284" s="2">
        <v>24.758448529261301</v>
      </c>
      <c r="BG284" s="2">
        <v>24.934548013772599</v>
      </c>
      <c r="BH284" s="2">
        <v>24.202719986270999</v>
      </c>
      <c r="BI284" s="2">
        <v>23.6042891877388</v>
      </c>
      <c r="BJ284" s="2">
        <v>23.885841014769401</v>
      </c>
      <c r="BK284" s="2">
        <v>24.425285063012598</v>
      </c>
      <c r="BL284" s="2">
        <v>22.6685852022527</v>
      </c>
      <c r="BM284" s="2">
        <v>22.9152345181387</v>
      </c>
      <c r="BN284" s="2">
        <v>23.397246968957301</v>
      </c>
      <c r="BO284" s="2">
        <v>23.259775330910902</v>
      </c>
      <c r="BP284" s="2">
        <v>23.4646718537096</v>
      </c>
      <c r="BQ284" s="2">
        <v>23.251814287504899</v>
      </c>
      <c r="BR284" s="2">
        <v>23.193508159948198</v>
      </c>
      <c r="BS284" s="2">
        <v>23.493863810178201</v>
      </c>
      <c r="BT284" s="2">
        <v>23.408867166930602</v>
      </c>
      <c r="BU284" s="2">
        <v>23.140536994069699</v>
      </c>
      <c r="BV284" s="2">
        <v>23.069904882815901</v>
      </c>
      <c r="BW284" s="2">
        <v>22.8233307968191</v>
      </c>
      <c r="BX284" s="2">
        <v>23.339971564103301</v>
      </c>
      <c r="BY284" s="2">
        <v>24.215411924433401</v>
      </c>
      <c r="BZ284" s="2">
        <v>23.805567288698501</v>
      </c>
      <c r="CA284" s="2">
        <v>23.440962478944801</v>
      </c>
      <c r="CB284" s="2">
        <v>23.550601667948001</v>
      </c>
      <c r="CC284" s="2">
        <v>23.188870476883199</v>
      </c>
      <c r="CD284" s="2">
        <v>23.2787394891443</v>
      </c>
      <c r="CE284" s="2">
        <v>23.207540135394801</v>
      </c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</row>
    <row r="285" spans="1:97">
      <c r="A285" s="2" t="s">
        <v>3010</v>
      </c>
      <c r="B285" s="2">
        <v>221.08148</v>
      </c>
      <c r="C285" s="2">
        <v>7.8810000000000002</v>
      </c>
      <c r="D285" s="2" t="s">
        <v>146</v>
      </c>
      <c r="E285" s="2" t="s">
        <v>3011</v>
      </c>
      <c r="F285" s="2" t="s">
        <v>3012</v>
      </c>
      <c r="G285" s="2">
        <v>52229</v>
      </c>
      <c r="H285" s="3" t="str">
        <f>HYPERLINK("https://cloud.oebiotech.com/#/lm/network/52229", "https://cloud.oebiotech.com/#/lm/network/52229")</f>
        <v>https://cloud.oebiotech.com/#/lm/network/52229</v>
      </c>
      <c r="I285" s="2" t="s">
        <v>3013</v>
      </c>
      <c r="J285" s="2"/>
      <c r="K285" s="2"/>
      <c r="L285" s="2">
        <v>8575</v>
      </c>
      <c r="M285" s="2"/>
      <c r="N285" s="2"/>
      <c r="O285" s="2"/>
      <c r="P285" s="2"/>
      <c r="Q285" s="2"/>
      <c r="R285" s="2"/>
      <c r="S285" s="2" t="s">
        <v>3014</v>
      </c>
      <c r="T285" s="2" t="s">
        <v>3015</v>
      </c>
      <c r="U285" s="2" t="s">
        <v>3016</v>
      </c>
      <c r="V285" s="2" t="s">
        <v>385</v>
      </c>
      <c r="W285" s="2" t="s">
        <v>386</v>
      </c>
      <c r="X285" s="2" t="s">
        <v>1059</v>
      </c>
      <c r="Y285" s="2" t="s">
        <v>388</v>
      </c>
      <c r="Z285" s="2" t="s">
        <v>389</v>
      </c>
      <c r="AA285" s="2" t="s">
        <v>1060</v>
      </c>
      <c r="AB285" s="2" t="s">
        <v>101</v>
      </c>
      <c r="AC285" s="2">
        <v>68.48</v>
      </c>
      <c r="AD285" s="2">
        <v>92.28</v>
      </c>
      <c r="AE285" s="2">
        <v>66.95</v>
      </c>
      <c r="AF285" s="2" t="s">
        <v>3017</v>
      </c>
      <c r="AG285" s="2" t="s">
        <v>194</v>
      </c>
      <c r="AH285" s="2" t="s">
        <v>3018</v>
      </c>
      <c r="AI285" s="2">
        <v>1.81</v>
      </c>
      <c r="AJ285" s="2">
        <v>19.355025511181999</v>
      </c>
      <c r="AK285" s="2">
        <v>19.249789279854301</v>
      </c>
      <c r="AL285" s="2">
        <v>19.165304181575401</v>
      </c>
      <c r="AM285" s="2">
        <v>19.010041969987402</v>
      </c>
      <c r="AN285" s="2">
        <v>19.645428718885402</v>
      </c>
      <c r="AO285" s="2">
        <v>19.054411711547999</v>
      </c>
      <c r="AP285" s="2">
        <v>19.6963835198687</v>
      </c>
      <c r="AQ285" s="2">
        <v>19.541833924567701</v>
      </c>
      <c r="AR285" s="2">
        <v>20.312249040713098</v>
      </c>
      <c r="AS285" s="2">
        <v>20.009655427923601</v>
      </c>
      <c r="AT285" s="2">
        <v>19.836196815846598</v>
      </c>
      <c r="AU285" s="2">
        <v>19.162558221200701</v>
      </c>
      <c r="AV285" s="2">
        <v>18.838961643120999</v>
      </c>
      <c r="AW285" s="2">
        <v>20.099203126262999</v>
      </c>
      <c r="AX285" s="2">
        <v>18.8970564732086</v>
      </c>
      <c r="AY285" s="2">
        <v>19.4899697187501</v>
      </c>
      <c r="AZ285" s="2">
        <v>19.838691162418201</v>
      </c>
      <c r="BA285" s="2">
        <v>18.362448698860501</v>
      </c>
      <c r="BB285" s="2">
        <v>20.746568879426501</v>
      </c>
      <c r="BC285" s="2">
        <v>21.9986898674873</v>
      </c>
      <c r="BD285" s="2">
        <v>20.003317607768501</v>
      </c>
      <c r="BE285" s="2">
        <v>19.146126889145201</v>
      </c>
      <c r="BF285" s="2">
        <v>19.5426318765556</v>
      </c>
      <c r="BG285" s="2">
        <v>20.690294027971198</v>
      </c>
      <c r="BH285" s="2">
        <v>19.252681415087299</v>
      </c>
      <c r="BI285" s="2">
        <v>20.234081374440901</v>
      </c>
      <c r="BJ285" s="2">
        <v>19.117038690018099</v>
      </c>
      <c r="BK285" s="2">
        <v>18.868147459553501</v>
      </c>
      <c r="BL285" s="2">
        <v>18.744707787968899</v>
      </c>
      <c r="BM285" s="2">
        <v>18.341977019845899</v>
      </c>
      <c r="BN285" s="2">
        <v>19.084151798057299</v>
      </c>
      <c r="BO285" s="2">
        <v>20.0493428583192</v>
      </c>
      <c r="BP285" s="2">
        <v>18.570484870518101</v>
      </c>
      <c r="BQ285" s="2">
        <v>19.044786791737799</v>
      </c>
      <c r="BR285" s="2">
        <v>19.817948478344501</v>
      </c>
      <c r="BS285" s="2">
        <v>18.500553773826599</v>
      </c>
      <c r="BT285" s="2">
        <v>18.842786815901398</v>
      </c>
      <c r="BU285" s="2">
        <v>19.504949359069698</v>
      </c>
      <c r="BV285" s="2">
        <v>19.7168061509763</v>
      </c>
      <c r="BW285" s="2">
        <v>18.782287036067899</v>
      </c>
      <c r="BX285" s="2">
        <v>18.069941120625298</v>
      </c>
      <c r="BY285" s="2">
        <v>18.827339819784001</v>
      </c>
      <c r="BZ285" s="2">
        <v>19.153158059990101</v>
      </c>
      <c r="CA285" s="2">
        <v>19.205468132062801</v>
      </c>
      <c r="CB285" s="2">
        <v>19.898820503925599</v>
      </c>
      <c r="CC285" s="2">
        <v>18.125995371425201</v>
      </c>
      <c r="CD285" s="2">
        <v>19.281722538619501</v>
      </c>
      <c r="CE285" s="2">
        <v>18.7914030145533</v>
      </c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</row>
    <row r="286" spans="1:97">
      <c r="A286" s="2" t="s">
        <v>3019</v>
      </c>
      <c r="B286" s="2">
        <v>225.07635999999999</v>
      </c>
      <c r="C286" s="2">
        <v>7.9870000000000001</v>
      </c>
      <c r="D286" s="2" t="s">
        <v>146</v>
      </c>
      <c r="E286" s="2" t="s">
        <v>3020</v>
      </c>
      <c r="F286" s="2" t="s">
        <v>3021</v>
      </c>
      <c r="G286" s="2">
        <v>7643</v>
      </c>
      <c r="H286" s="3" t="str">
        <f>HYPERLINK("https://cloud.oebiotech.com/#/lm/network/7643", "https://cloud.oebiotech.com/#/lm/network/7643")</f>
        <v>https://cloud.oebiotech.com/#/lm/network/7643</v>
      </c>
      <c r="I286" s="2" t="s">
        <v>3022</v>
      </c>
      <c r="J286" s="2">
        <v>92556</v>
      </c>
      <c r="K286" s="2" t="s">
        <v>3023</v>
      </c>
      <c r="L286" s="2">
        <v>6435825</v>
      </c>
      <c r="M286" s="2"/>
      <c r="N286" s="2"/>
      <c r="O286" s="2"/>
      <c r="P286" s="2"/>
      <c r="Q286" s="2"/>
      <c r="R286" s="2"/>
      <c r="S286" s="2" t="s">
        <v>3024</v>
      </c>
      <c r="T286" s="2" t="s">
        <v>3025</v>
      </c>
      <c r="U286" s="2" t="s">
        <v>3026</v>
      </c>
      <c r="V286" s="2" t="s">
        <v>95</v>
      </c>
      <c r="W286" s="2" t="s">
        <v>96</v>
      </c>
      <c r="X286" s="2" t="s">
        <v>97</v>
      </c>
      <c r="Y286" s="2" t="s">
        <v>98</v>
      </c>
      <c r="Z286" s="2" t="s">
        <v>99</v>
      </c>
      <c r="AA286" s="2" t="s">
        <v>100</v>
      </c>
      <c r="AB286" s="2" t="s">
        <v>101</v>
      </c>
      <c r="AC286" s="2">
        <v>68.48</v>
      </c>
      <c r="AD286" s="2">
        <v>92.89</v>
      </c>
      <c r="AE286" s="2">
        <v>84.9</v>
      </c>
      <c r="AF286" s="2" t="s">
        <v>3027</v>
      </c>
      <c r="AG286" s="2" t="s">
        <v>157</v>
      </c>
      <c r="AH286" s="2" t="s">
        <v>365</v>
      </c>
      <c r="AI286" s="2">
        <v>1.78</v>
      </c>
      <c r="AJ286" s="2">
        <v>18.438791608967499</v>
      </c>
      <c r="AK286" s="2">
        <v>18.501356802527201</v>
      </c>
      <c r="AL286" s="2">
        <v>18.561714556038599</v>
      </c>
      <c r="AM286" s="2">
        <v>18.760187413648399</v>
      </c>
      <c r="AN286" s="2">
        <v>18.5496182241891</v>
      </c>
      <c r="AO286" s="2">
        <v>18.5709922764125</v>
      </c>
      <c r="AP286" s="2">
        <v>18.4283338351655</v>
      </c>
      <c r="AQ286" s="2">
        <v>18.5278814015652</v>
      </c>
      <c r="AR286" s="2">
        <v>12.562268663475599</v>
      </c>
      <c r="AS286" s="2">
        <v>13.8819924290787</v>
      </c>
      <c r="AT286" s="2">
        <v>14.3294705180235</v>
      </c>
      <c r="AU286" s="2">
        <v>13.3135888184769</v>
      </c>
      <c r="AV286" s="2">
        <v>13.9341589385304</v>
      </c>
      <c r="AW286" s="2">
        <v>9.6233145402724691</v>
      </c>
      <c r="AX286" s="2">
        <v>9.6233145402724691</v>
      </c>
      <c r="AY286" s="2">
        <v>16.5705862622148</v>
      </c>
      <c r="AZ286" s="2">
        <v>13.189389090766101</v>
      </c>
      <c r="BA286" s="2">
        <v>15.384060265411</v>
      </c>
      <c r="BB286" s="2">
        <v>17.054180014545199</v>
      </c>
      <c r="BC286" s="2">
        <v>16.1204600407806</v>
      </c>
      <c r="BD286" s="2">
        <v>12.178938675673599</v>
      </c>
      <c r="BE286" s="2">
        <v>14.033444511024101</v>
      </c>
      <c r="BF286" s="2">
        <v>13.921479288418199</v>
      </c>
      <c r="BG286" s="2">
        <v>15.4850471967749</v>
      </c>
      <c r="BH286" s="2">
        <v>11.9385430989601</v>
      </c>
      <c r="BI286" s="2">
        <v>14.0321077325485</v>
      </c>
      <c r="BJ286" s="2">
        <v>16.210078659421001</v>
      </c>
      <c r="BK286" s="2">
        <v>13.568412191461301</v>
      </c>
      <c r="BL286" s="2">
        <v>12.6547568447039</v>
      </c>
      <c r="BM286" s="2">
        <v>12.809713875927001</v>
      </c>
      <c r="BN286" s="2">
        <v>16.531446952997999</v>
      </c>
      <c r="BO286" s="2">
        <v>12.7893054039726</v>
      </c>
      <c r="BP286" s="2">
        <v>16.774303584150999</v>
      </c>
      <c r="BQ286" s="2">
        <v>9.6233145402724691</v>
      </c>
      <c r="BR286" s="2">
        <v>9.6233145402724691</v>
      </c>
      <c r="BS286" s="2">
        <v>9.6233145402724691</v>
      </c>
      <c r="BT286" s="2">
        <v>21.763596754719099</v>
      </c>
      <c r="BU286" s="2">
        <v>15.7259320297999</v>
      </c>
      <c r="BV286" s="2">
        <v>16.256790647859901</v>
      </c>
      <c r="BW286" s="2">
        <v>13.4353303802851</v>
      </c>
      <c r="BX286" s="2">
        <v>13.085484077709401</v>
      </c>
      <c r="BY286" s="2">
        <v>15.798137111306101</v>
      </c>
      <c r="BZ286" s="2">
        <v>22.304352942795699</v>
      </c>
      <c r="CA286" s="2">
        <v>13.290207525738699</v>
      </c>
      <c r="CB286" s="2">
        <v>15.6630485236323</v>
      </c>
      <c r="CC286" s="2">
        <v>9.6233145402724691</v>
      </c>
      <c r="CD286" s="2">
        <v>12.9812907745324</v>
      </c>
      <c r="CE286" s="2">
        <v>12.596706908758399</v>
      </c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</row>
    <row r="287" spans="1:97">
      <c r="A287" s="2" t="s">
        <v>3028</v>
      </c>
      <c r="B287" s="2">
        <v>249.06057999999999</v>
      </c>
      <c r="C287" s="2">
        <v>3.6890000000000001</v>
      </c>
      <c r="D287" s="2" t="s">
        <v>84</v>
      </c>
      <c r="E287" s="2" t="s">
        <v>3029</v>
      </c>
      <c r="F287" s="2" t="s">
        <v>3030</v>
      </c>
      <c r="G287" s="2">
        <v>201137</v>
      </c>
      <c r="H287" s="3" t="str">
        <f>HYPERLINK("https://cloud.oebiotech.com/#/lm/network/201137", "https://cloud.oebiotech.com/#/lm/network/201137")</f>
        <v>https://cloud.oebiotech.com/#/lm/network/201137</v>
      </c>
      <c r="I287" s="2" t="s">
        <v>3031</v>
      </c>
      <c r="J287" s="2"/>
      <c r="K287" s="2"/>
      <c r="L287" s="2">
        <v>168833</v>
      </c>
      <c r="M287" s="2"/>
      <c r="N287" s="2"/>
      <c r="O287" s="2"/>
      <c r="P287" s="2"/>
      <c r="Q287" s="2"/>
      <c r="R287" s="2"/>
      <c r="S287" s="2"/>
      <c r="T287" s="2" t="s">
        <v>3032</v>
      </c>
      <c r="U287" s="2" t="s">
        <v>3033</v>
      </c>
      <c r="V287" s="2" t="s">
        <v>385</v>
      </c>
      <c r="W287" s="2" t="s">
        <v>386</v>
      </c>
      <c r="X287" s="2" t="s">
        <v>3034</v>
      </c>
      <c r="Y287" s="2" t="s">
        <v>388</v>
      </c>
      <c r="Z287" s="2" t="s">
        <v>389</v>
      </c>
      <c r="AA287" s="2" t="s">
        <v>3035</v>
      </c>
      <c r="AB287" s="2" t="s">
        <v>101</v>
      </c>
      <c r="AC287" s="2">
        <v>68.48</v>
      </c>
      <c r="AD287" s="2">
        <v>90.53</v>
      </c>
      <c r="AE287" s="2">
        <v>89.72</v>
      </c>
      <c r="AF287" s="2" t="s">
        <v>3036</v>
      </c>
      <c r="AG287" s="2" t="s">
        <v>1578</v>
      </c>
      <c r="AH287" s="2" t="s">
        <v>3037</v>
      </c>
      <c r="AI287" s="2">
        <v>-4.82</v>
      </c>
      <c r="AJ287" s="2">
        <v>23.641262826345901</v>
      </c>
      <c r="AK287" s="2">
        <v>23.7282664987444</v>
      </c>
      <c r="AL287" s="2">
        <v>23.7644334631654</v>
      </c>
      <c r="AM287" s="2">
        <v>23.9673126663799</v>
      </c>
      <c r="AN287" s="2">
        <v>23.871123483630999</v>
      </c>
      <c r="AO287" s="2">
        <v>22.873136895118598</v>
      </c>
      <c r="AP287" s="2">
        <v>22.946571704728601</v>
      </c>
      <c r="AQ287" s="2">
        <v>24.000217736822002</v>
      </c>
      <c r="AR287" s="2">
        <v>22.9302866685751</v>
      </c>
      <c r="AS287" s="2">
        <v>22.836440053252701</v>
      </c>
      <c r="AT287" s="2">
        <v>23.667312290525501</v>
      </c>
      <c r="AU287" s="2">
        <v>22.925342657432001</v>
      </c>
      <c r="AV287" s="2">
        <v>23.643170312947099</v>
      </c>
      <c r="AW287" s="2">
        <v>23.1463448670975</v>
      </c>
      <c r="AX287" s="2">
        <v>23.409652214742401</v>
      </c>
      <c r="AY287" s="2">
        <v>23.6082819885027</v>
      </c>
      <c r="AZ287" s="2">
        <v>23.497724682437902</v>
      </c>
      <c r="BA287" s="2">
        <v>23.033890656367301</v>
      </c>
      <c r="BB287" s="2">
        <v>24.040520958812699</v>
      </c>
      <c r="BC287" s="2">
        <v>23.910156641063399</v>
      </c>
      <c r="BD287" s="2">
        <v>23.3693794456562</v>
      </c>
      <c r="BE287" s="2">
        <v>24.0615999414714</v>
      </c>
      <c r="BF287" s="2">
        <v>23.875601226579899</v>
      </c>
      <c r="BG287" s="2">
        <v>23.3149623797696</v>
      </c>
      <c r="BH287" s="2">
        <v>23.687273590356298</v>
      </c>
      <c r="BI287" s="2">
        <v>23.5041111757143</v>
      </c>
      <c r="BJ287" s="2">
        <v>22.510757338349201</v>
      </c>
      <c r="BK287" s="2">
        <v>23.8419379975795</v>
      </c>
      <c r="BL287" s="2">
        <v>23.525575858622599</v>
      </c>
      <c r="BM287" s="2">
        <v>24.107880492186901</v>
      </c>
      <c r="BN287" s="2">
        <v>23.933718172364099</v>
      </c>
      <c r="BO287" s="2">
        <v>23.651483205139598</v>
      </c>
      <c r="BP287" s="2">
        <v>23.793878825538599</v>
      </c>
      <c r="BQ287" s="2">
        <v>23.896057719714602</v>
      </c>
      <c r="BR287" s="2">
        <v>23.833645203864101</v>
      </c>
      <c r="BS287" s="2">
        <v>23.263180532091599</v>
      </c>
      <c r="BT287" s="2">
        <v>23.6047763560459</v>
      </c>
      <c r="BU287" s="2">
        <v>23.2096822996931</v>
      </c>
      <c r="BV287" s="2">
        <v>24.073345431581199</v>
      </c>
      <c r="BW287" s="2">
        <v>23.237806217980001</v>
      </c>
      <c r="BX287" s="2">
        <v>23.621872390410299</v>
      </c>
      <c r="BY287" s="2">
        <v>24.3222154176391</v>
      </c>
      <c r="BZ287" s="2">
        <v>23.765506433694199</v>
      </c>
      <c r="CA287" s="2">
        <v>23.6391699168854</v>
      </c>
      <c r="CB287" s="2">
        <v>23.852200136145299</v>
      </c>
      <c r="CC287" s="2">
        <v>23.117450270780701</v>
      </c>
      <c r="CD287" s="2">
        <v>24.046433095006101</v>
      </c>
      <c r="CE287" s="2">
        <v>23.989322503352799</v>
      </c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</row>
    <row r="288" spans="1:97">
      <c r="A288" s="2" t="s">
        <v>3038</v>
      </c>
      <c r="B288" s="2">
        <v>129.05537000000001</v>
      </c>
      <c r="C288" s="2">
        <v>4.0730000000000004</v>
      </c>
      <c r="D288" s="2" t="s">
        <v>146</v>
      </c>
      <c r="E288" s="2" t="s">
        <v>3039</v>
      </c>
      <c r="F288" s="2" t="s">
        <v>3040</v>
      </c>
      <c r="G288" s="2">
        <v>257701</v>
      </c>
      <c r="H288" s="3" t="str">
        <f>HYPERLINK("https://cloud.oebiotech.com/#/lm/network/257701", "https://cloud.oebiotech.com/#/lm/network/257701")</f>
        <v>https://cloud.oebiotech.com/#/lm/network/257701</v>
      </c>
      <c r="I288" s="2" t="s">
        <v>3041</v>
      </c>
      <c r="J288" s="2">
        <v>122</v>
      </c>
      <c r="K288" s="2"/>
      <c r="L288" s="2">
        <v>47</v>
      </c>
      <c r="M288" s="2" t="s">
        <v>3042</v>
      </c>
      <c r="N288" s="2"/>
      <c r="O288" s="2"/>
      <c r="P288" s="2"/>
      <c r="Q288" s="2"/>
      <c r="R288" s="2"/>
      <c r="S288" s="2" t="s">
        <v>3043</v>
      </c>
      <c r="T288" s="2" t="s">
        <v>3044</v>
      </c>
      <c r="U288" s="2" t="s">
        <v>3045</v>
      </c>
      <c r="V288" s="2" t="s">
        <v>115</v>
      </c>
      <c r="W288" s="2" t="s">
        <v>403</v>
      </c>
      <c r="X288" s="2" t="s">
        <v>1905</v>
      </c>
      <c r="Y288" s="2" t="s">
        <v>118</v>
      </c>
      <c r="Z288" s="2" t="s">
        <v>405</v>
      </c>
      <c r="AA288" s="2" t="s">
        <v>1906</v>
      </c>
      <c r="AB288" s="2" t="s">
        <v>101</v>
      </c>
      <c r="AC288" s="2">
        <v>68.459999999999994</v>
      </c>
      <c r="AD288" s="2">
        <v>99.68</v>
      </c>
      <c r="AE288" s="2">
        <v>66.930000000000007</v>
      </c>
      <c r="AF288" s="2" t="s">
        <v>3046</v>
      </c>
      <c r="AG288" s="2" t="s">
        <v>194</v>
      </c>
      <c r="AH288" s="2" t="s">
        <v>3047</v>
      </c>
      <c r="AI288" s="2">
        <v>2.71</v>
      </c>
      <c r="AJ288" s="2">
        <v>27.5945074206941</v>
      </c>
      <c r="AK288" s="2">
        <v>27.542837194474199</v>
      </c>
      <c r="AL288" s="2">
        <v>27.681898223318999</v>
      </c>
      <c r="AM288" s="2">
        <v>27.6971886473155</v>
      </c>
      <c r="AN288" s="2">
        <v>27.720147105089598</v>
      </c>
      <c r="AO288" s="2">
        <v>27.715910753255599</v>
      </c>
      <c r="AP288" s="2">
        <v>27.408023273251999</v>
      </c>
      <c r="AQ288" s="2">
        <v>27.697651247710201</v>
      </c>
      <c r="AR288" s="2">
        <v>26.995613795948199</v>
      </c>
      <c r="AS288" s="2">
        <v>26.493243710365899</v>
      </c>
      <c r="AT288" s="2">
        <v>27.135443445130001</v>
      </c>
      <c r="AU288" s="2">
        <v>26.7120384441643</v>
      </c>
      <c r="AV288" s="2">
        <v>27.401201719053699</v>
      </c>
      <c r="AW288" s="2">
        <v>27.509003494131001</v>
      </c>
      <c r="AX288" s="2">
        <v>27.346564152631199</v>
      </c>
      <c r="AY288" s="2">
        <v>27.421657372151198</v>
      </c>
      <c r="AZ288" s="2">
        <v>27.190867971225298</v>
      </c>
      <c r="BA288" s="2">
        <v>26.983223942900398</v>
      </c>
      <c r="BB288" s="2">
        <v>27.938182674166299</v>
      </c>
      <c r="BC288" s="2">
        <v>28.265500647192699</v>
      </c>
      <c r="BD288" s="2">
        <v>27.312219841853601</v>
      </c>
      <c r="BE288" s="2">
        <v>27.9787105080865</v>
      </c>
      <c r="BF288" s="2">
        <v>27.8386161551539</v>
      </c>
      <c r="BG288" s="2">
        <v>27.847270336628998</v>
      </c>
      <c r="BH288" s="2">
        <v>27.2472215190427</v>
      </c>
      <c r="BI288" s="2">
        <v>27.444458690753201</v>
      </c>
      <c r="BJ288" s="2">
        <v>27.838612380868302</v>
      </c>
      <c r="BK288" s="2">
        <v>27.102115939276999</v>
      </c>
      <c r="BL288" s="2">
        <v>27.259796219863599</v>
      </c>
      <c r="BM288" s="2">
        <v>27.8854361440909</v>
      </c>
      <c r="BN288" s="2">
        <v>27.6317175018428</v>
      </c>
      <c r="BO288" s="2">
        <v>27.048467141799001</v>
      </c>
      <c r="BP288" s="2">
        <v>27.484276266770902</v>
      </c>
      <c r="BQ288" s="2">
        <v>27.7955572581767</v>
      </c>
      <c r="BR288" s="2">
        <v>27.5432213499124</v>
      </c>
      <c r="BS288" s="2">
        <v>27.289006287559602</v>
      </c>
      <c r="BT288" s="2">
        <v>26.852032242450001</v>
      </c>
      <c r="BU288" s="2">
        <v>27.283211422291899</v>
      </c>
      <c r="BV288" s="2">
        <v>27.807438055707198</v>
      </c>
      <c r="BW288" s="2">
        <v>27.510374379258199</v>
      </c>
      <c r="BX288" s="2">
        <v>27.485269789480501</v>
      </c>
      <c r="BY288" s="2">
        <v>27.825476680132201</v>
      </c>
      <c r="BZ288" s="2">
        <v>27.6594440475087</v>
      </c>
      <c r="CA288" s="2">
        <v>28.104573922217501</v>
      </c>
      <c r="CB288" s="2">
        <v>27.075461354838701</v>
      </c>
      <c r="CC288" s="2">
        <v>27.650122002444</v>
      </c>
      <c r="CD288" s="2">
        <v>27.946833216356001</v>
      </c>
      <c r="CE288" s="2">
        <v>27.979335984158599</v>
      </c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</row>
    <row r="289" spans="1:97">
      <c r="A289" s="2" t="s">
        <v>3048</v>
      </c>
      <c r="B289" s="2">
        <v>253.10767999999999</v>
      </c>
      <c r="C289" s="2">
        <v>8.3520000000000003</v>
      </c>
      <c r="D289" s="2" t="s">
        <v>146</v>
      </c>
      <c r="E289" s="2" t="s">
        <v>3049</v>
      </c>
      <c r="F289" s="2" t="s">
        <v>3050</v>
      </c>
      <c r="G289" s="2">
        <v>63428</v>
      </c>
      <c r="H289" s="3" t="str">
        <f>HYPERLINK("https://cloud.oebiotech.com/#/lm/network/63428", "https://cloud.oebiotech.com/#/lm/network/63428")</f>
        <v>https://cloud.oebiotech.com/#/lm/network/63428</v>
      </c>
      <c r="I289" s="2" t="s">
        <v>3051</v>
      </c>
      <c r="J289" s="2">
        <v>94749</v>
      </c>
      <c r="K289" s="2"/>
      <c r="L289" s="2">
        <v>61005</v>
      </c>
      <c r="M289" s="2"/>
      <c r="N289" s="2"/>
      <c r="O289" s="2"/>
      <c r="P289" s="2"/>
      <c r="Q289" s="2"/>
      <c r="R289" s="2"/>
      <c r="S289" s="2" t="s">
        <v>3052</v>
      </c>
      <c r="T289" s="2" t="s">
        <v>3053</v>
      </c>
      <c r="U289" s="2" t="s">
        <v>3054</v>
      </c>
      <c r="V289" s="2" t="s">
        <v>385</v>
      </c>
      <c r="W289" s="2" t="s">
        <v>3055</v>
      </c>
      <c r="X289" s="2" t="s">
        <v>375</v>
      </c>
      <c r="Y289" s="2" t="s">
        <v>388</v>
      </c>
      <c r="Z289" s="2" t="s">
        <v>3056</v>
      </c>
      <c r="AA289" s="2"/>
      <c r="AB289" s="2" t="s">
        <v>101</v>
      </c>
      <c r="AC289" s="2">
        <v>68.459999999999994</v>
      </c>
      <c r="AD289" s="2">
        <v>91.72</v>
      </c>
      <c r="AE289" s="2">
        <v>67.84</v>
      </c>
      <c r="AF289" s="2" t="s">
        <v>3057</v>
      </c>
      <c r="AG289" s="2" t="s">
        <v>157</v>
      </c>
      <c r="AH289" s="2" t="s">
        <v>1191</v>
      </c>
      <c r="AI289" s="2">
        <v>1.58</v>
      </c>
      <c r="AJ289" s="2">
        <v>18.8710330611394</v>
      </c>
      <c r="AK289" s="2">
        <v>18.9145982444727</v>
      </c>
      <c r="AL289" s="2">
        <v>18.791346031573799</v>
      </c>
      <c r="AM289" s="2">
        <v>18.682074232040101</v>
      </c>
      <c r="AN289" s="2">
        <v>18.7205709950263</v>
      </c>
      <c r="AO289" s="2">
        <v>18.905259333222102</v>
      </c>
      <c r="AP289" s="2">
        <v>19.040996878637699</v>
      </c>
      <c r="AQ289" s="2">
        <v>18.856054581767999</v>
      </c>
      <c r="AR289" s="2">
        <v>18.923890667058501</v>
      </c>
      <c r="AS289" s="2">
        <v>17.642956126659101</v>
      </c>
      <c r="AT289" s="2">
        <v>19.783046807330301</v>
      </c>
      <c r="AU289" s="2">
        <v>18.177659879543199</v>
      </c>
      <c r="AV289" s="2">
        <v>17.676538863044499</v>
      </c>
      <c r="AW289" s="2">
        <v>19.314242970515501</v>
      </c>
      <c r="AX289" s="2">
        <v>17.843857949171301</v>
      </c>
      <c r="AY289" s="2">
        <v>17.927746775407201</v>
      </c>
      <c r="AZ289" s="2">
        <v>17.343728949160599</v>
      </c>
      <c r="BA289" s="2">
        <v>18.317043784062601</v>
      </c>
      <c r="BB289" s="2">
        <v>18.057563813864</v>
      </c>
      <c r="BC289" s="2">
        <v>19.249734037613202</v>
      </c>
      <c r="BD289" s="2">
        <v>18.903179410381998</v>
      </c>
      <c r="BE289" s="2">
        <v>18.6201062511944</v>
      </c>
      <c r="BF289" s="2">
        <v>18.404220117669102</v>
      </c>
      <c r="BG289" s="2">
        <v>19.469278681419699</v>
      </c>
      <c r="BH289" s="2">
        <v>20.037887498560401</v>
      </c>
      <c r="BI289" s="2">
        <v>17.390455323437099</v>
      </c>
      <c r="BJ289" s="2">
        <v>20.227995856726402</v>
      </c>
      <c r="BK289" s="2">
        <v>19.956415012653402</v>
      </c>
      <c r="BL289" s="2">
        <v>17.6167411567973</v>
      </c>
      <c r="BM289" s="2">
        <v>19.087490474753402</v>
      </c>
      <c r="BN289" s="2">
        <v>20.0185344811972</v>
      </c>
      <c r="BO289" s="2">
        <v>19.242866484321802</v>
      </c>
      <c r="BP289" s="2">
        <v>16.074959898100001</v>
      </c>
      <c r="BQ289" s="2">
        <v>20.2359990866447</v>
      </c>
      <c r="BR289" s="2">
        <v>17.636067119522899</v>
      </c>
      <c r="BS289" s="2">
        <v>18.485737738298798</v>
      </c>
      <c r="BT289" s="2">
        <v>19.669715466251301</v>
      </c>
      <c r="BU289" s="2">
        <v>18.9047391852827</v>
      </c>
      <c r="BV289" s="2">
        <v>18.265174941260501</v>
      </c>
      <c r="BW289" s="2">
        <v>16.812753029953001</v>
      </c>
      <c r="BX289" s="2">
        <v>18.809825958424099</v>
      </c>
      <c r="BY289" s="2">
        <v>18.3300652158395</v>
      </c>
      <c r="BZ289" s="2">
        <v>17.525541531170902</v>
      </c>
      <c r="CA289" s="2">
        <v>18.153165161983701</v>
      </c>
      <c r="CB289" s="2">
        <v>16.931737066264901</v>
      </c>
      <c r="CC289" s="2">
        <v>19.3042138028901</v>
      </c>
      <c r="CD289" s="2">
        <v>19.282622713663599</v>
      </c>
      <c r="CE289" s="2">
        <v>20.025153258924998</v>
      </c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</row>
    <row r="290" spans="1:97">
      <c r="A290" s="2" t="s">
        <v>3058</v>
      </c>
      <c r="B290" s="2">
        <v>335.02260000000001</v>
      </c>
      <c r="C290" s="2">
        <v>5.25</v>
      </c>
      <c r="D290" s="2" t="s">
        <v>146</v>
      </c>
      <c r="E290" s="2" t="s">
        <v>3059</v>
      </c>
      <c r="F290" s="2" t="s">
        <v>3060</v>
      </c>
      <c r="G290" s="2">
        <v>82012</v>
      </c>
      <c r="H290" s="3" t="str">
        <f>HYPERLINK("https://cloud.oebiotech.com/#/lm/network/82012", "https://cloud.oebiotech.com/#/lm/network/82012")</f>
        <v>https://cloud.oebiotech.com/#/lm/network/82012</v>
      </c>
      <c r="I290" s="2" t="s">
        <v>3061</v>
      </c>
      <c r="J290" s="2"/>
      <c r="K290" s="2"/>
      <c r="L290" s="2">
        <v>122231132</v>
      </c>
      <c r="M290" s="2"/>
      <c r="N290" s="2"/>
      <c r="O290" s="2"/>
      <c r="P290" s="2">
        <v>88749</v>
      </c>
      <c r="Q290" s="2"/>
      <c r="R290" s="2"/>
      <c r="S290" s="2"/>
      <c r="T290" s="2" t="s">
        <v>3062</v>
      </c>
      <c r="U290" s="2" t="s">
        <v>3063</v>
      </c>
      <c r="V290" s="2" t="s">
        <v>845</v>
      </c>
      <c r="W290" s="2" t="s">
        <v>3064</v>
      </c>
      <c r="X290" s="2" t="s">
        <v>3065</v>
      </c>
      <c r="Y290" s="2" t="s">
        <v>847</v>
      </c>
      <c r="Z290" s="2" t="s">
        <v>3066</v>
      </c>
      <c r="AA290" s="2" t="s">
        <v>3067</v>
      </c>
      <c r="AB290" s="2" t="s">
        <v>101</v>
      </c>
      <c r="AC290" s="2">
        <v>68.459999999999994</v>
      </c>
      <c r="AD290" s="2">
        <v>86.94</v>
      </c>
      <c r="AE290" s="2">
        <v>77.959999999999994</v>
      </c>
      <c r="AF290" s="2" t="s">
        <v>3068</v>
      </c>
      <c r="AG290" s="2" t="s">
        <v>993</v>
      </c>
      <c r="AH290" s="2" t="s">
        <v>3069</v>
      </c>
      <c r="AI290" s="2">
        <v>0</v>
      </c>
      <c r="AJ290" s="2">
        <v>17.8685900629992</v>
      </c>
      <c r="AK290" s="2">
        <v>17.434294129217299</v>
      </c>
      <c r="AL290" s="2">
        <v>17.752752184156002</v>
      </c>
      <c r="AM290" s="2">
        <v>17.266471246053101</v>
      </c>
      <c r="AN290" s="2">
        <v>18.015718685523499</v>
      </c>
      <c r="AO290" s="2">
        <v>17.805753317138901</v>
      </c>
      <c r="AP290" s="2">
        <v>17.583535008312701</v>
      </c>
      <c r="AQ290" s="2">
        <v>17.966038649948398</v>
      </c>
      <c r="AR290" s="2">
        <v>9.6233145402724691</v>
      </c>
      <c r="AS290" s="2">
        <v>13.7971670343911</v>
      </c>
      <c r="AT290" s="2">
        <v>9.6233145402724691</v>
      </c>
      <c r="AU290" s="2">
        <v>17.736638828650801</v>
      </c>
      <c r="AV290" s="2">
        <v>14.5364093276134</v>
      </c>
      <c r="AW290" s="2">
        <v>13.467525313223</v>
      </c>
      <c r="AX290" s="2">
        <v>9.6233145402724691</v>
      </c>
      <c r="AY290" s="2">
        <v>17.805466854658398</v>
      </c>
      <c r="AZ290" s="2">
        <v>9.6233145402724691</v>
      </c>
      <c r="BA290" s="2">
        <v>16.5519551374244</v>
      </c>
      <c r="BB290" s="2">
        <v>9.6233145402724691</v>
      </c>
      <c r="BC290" s="2">
        <v>17.447311777995701</v>
      </c>
      <c r="BD290" s="2">
        <v>19.0942423594833</v>
      </c>
      <c r="BE290" s="2">
        <v>11.8273427042341</v>
      </c>
      <c r="BF290" s="2">
        <v>14.4842350751334</v>
      </c>
      <c r="BG290" s="2">
        <v>9.6233145402724691</v>
      </c>
      <c r="BH290" s="2">
        <v>9.6233145402724691</v>
      </c>
      <c r="BI290" s="2">
        <v>15.258136105599499</v>
      </c>
      <c r="BJ290" s="2">
        <v>9.6233145402724691</v>
      </c>
      <c r="BK290" s="2">
        <v>9.6233145402724691</v>
      </c>
      <c r="BL290" s="2">
        <v>19.066904928452399</v>
      </c>
      <c r="BM290" s="2">
        <v>19.474999121684</v>
      </c>
      <c r="BN290" s="2">
        <v>18.401715103000701</v>
      </c>
      <c r="BO290" s="2">
        <v>19.636016195126999</v>
      </c>
      <c r="BP290" s="2">
        <v>14.7898784853019</v>
      </c>
      <c r="BQ290" s="2">
        <v>11.6376211133433</v>
      </c>
      <c r="BR290" s="2">
        <v>14.896476212092599</v>
      </c>
      <c r="BS290" s="2">
        <v>16.034159948885598</v>
      </c>
      <c r="BT290" s="2">
        <v>9.6233145402724691</v>
      </c>
      <c r="BU290" s="2">
        <v>18.222391304922901</v>
      </c>
      <c r="BV290" s="2">
        <v>18.001371521762401</v>
      </c>
      <c r="BW290" s="2">
        <v>19.181999448697301</v>
      </c>
      <c r="BX290" s="2">
        <v>17.735400203903801</v>
      </c>
      <c r="BY290" s="2">
        <v>21.262953984504801</v>
      </c>
      <c r="BZ290" s="2">
        <v>9.6233145402724691</v>
      </c>
      <c r="CA290" s="2">
        <v>18.430339428309001</v>
      </c>
      <c r="CB290" s="2">
        <v>21.062007778457499</v>
      </c>
      <c r="CC290" s="2">
        <v>20.1526879143921</v>
      </c>
      <c r="CD290" s="2">
        <v>9.6233145402724691</v>
      </c>
      <c r="CE290" s="2">
        <v>9.6233145402724691</v>
      </c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</row>
    <row r="291" spans="1:97">
      <c r="A291" s="2" t="s">
        <v>3070</v>
      </c>
      <c r="B291" s="2">
        <v>432.31031999999999</v>
      </c>
      <c r="C291" s="2">
        <v>9.3919999999999995</v>
      </c>
      <c r="D291" s="2" t="s">
        <v>84</v>
      </c>
      <c r="E291" s="2" t="s">
        <v>3071</v>
      </c>
      <c r="F291" s="2" t="s">
        <v>3072</v>
      </c>
      <c r="G291" s="2">
        <v>47131</v>
      </c>
      <c r="H291" s="3" t="str">
        <f>HYPERLINK("https://cloud.oebiotech.com/#/lm/network/47131", "https://cloud.oebiotech.com/#/lm/network/47131")</f>
        <v>https://cloud.oebiotech.com/#/lm/network/47131</v>
      </c>
      <c r="I291" s="2" t="s">
        <v>3073</v>
      </c>
      <c r="J291" s="2">
        <v>5604</v>
      </c>
      <c r="K291" s="2"/>
      <c r="L291" s="2">
        <v>22833539</v>
      </c>
      <c r="M291" s="2" t="s">
        <v>3074</v>
      </c>
      <c r="N291" s="2"/>
      <c r="O291" s="2"/>
      <c r="P291" s="2">
        <v>27471</v>
      </c>
      <c r="Q291" s="2"/>
      <c r="R291" s="2"/>
      <c r="S291" s="2" t="s">
        <v>3075</v>
      </c>
      <c r="T291" s="2" t="s">
        <v>3076</v>
      </c>
      <c r="U291" s="2" t="s">
        <v>3077</v>
      </c>
      <c r="V291" s="2" t="s">
        <v>95</v>
      </c>
      <c r="W291" s="2" t="s">
        <v>152</v>
      </c>
      <c r="X291" s="2" t="s">
        <v>278</v>
      </c>
      <c r="Y291" s="2" t="s">
        <v>98</v>
      </c>
      <c r="Z291" s="2" t="s">
        <v>154</v>
      </c>
      <c r="AA291" s="2" t="s">
        <v>279</v>
      </c>
      <c r="AB291" s="2" t="s">
        <v>101</v>
      </c>
      <c r="AC291" s="2">
        <v>68.45</v>
      </c>
      <c r="AD291" s="2">
        <v>82.67</v>
      </c>
      <c r="AE291" s="2">
        <v>77.459999999999994</v>
      </c>
      <c r="AF291" s="2" t="s">
        <v>3078</v>
      </c>
      <c r="AG291" s="2" t="s">
        <v>1088</v>
      </c>
      <c r="AH291" s="2" t="s">
        <v>582</v>
      </c>
      <c r="AI291" s="2">
        <v>2.54</v>
      </c>
      <c r="AJ291" s="2">
        <v>19.1185454166068</v>
      </c>
      <c r="AK291" s="2">
        <v>19.091213796481799</v>
      </c>
      <c r="AL291" s="2">
        <v>19.0420482660167</v>
      </c>
      <c r="AM291" s="2">
        <v>19.033119602953999</v>
      </c>
      <c r="AN291" s="2">
        <v>19.296206260384199</v>
      </c>
      <c r="AO291" s="2">
        <v>19.031669114736999</v>
      </c>
      <c r="AP291" s="2">
        <v>19.085417503312801</v>
      </c>
      <c r="AQ291" s="2">
        <v>19.015383716335499</v>
      </c>
      <c r="AR291" s="2">
        <v>19.2169991032032</v>
      </c>
      <c r="AS291" s="2">
        <v>16.137265955499601</v>
      </c>
      <c r="AT291" s="2">
        <v>18.784975013684299</v>
      </c>
      <c r="AU291" s="2">
        <v>19.749671368537001</v>
      </c>
      <c r="AV291" s="2">
        <v>19.299453657274501</v>
      </c>
      <c r="AW291" s="2">
        <v>21.010218890448201</v>
      </c>
      <c r="AX291" s="2">
        <v>18.351668508866201</v>
      </c>
      <c r="AY291" s="2">
        <v>19.763968052636098</v>
      </c>
      <c r="AZ291" s="2">
        <v>18.268851087407501</v>
      </c>
      <c r="BA291" s="2">
        <v>16.985795029088798</v>
      </c>
      <c r="BB291" s="2">
        <v>18.666476521694801</v>
      </c>
      <c r="BC291" s="2">
        <v>17.778811871677298</v>
      </c>
      <c r="BD291" s="2">
        <v>18.568168412998901</v>
      </c>
      <c r="BE291" s="2">
        <v>19.7879286489704</v>
      </c>
      <c r="BF291" s="2">
        <v>16.545310670639299</v>
      </c>
      <c r="BG291" s="2">
        <v>19.208333893661099</v>
      </c>
      <c r="BH291" s="2">
        <v>18.080216175290001</v>
      </c>
      <c r="BI291" s="2">
        <v>18.2835258767909</v>
      </c>
      <c r="BJ291" s="2">
        <v>18.9203031293154</v>
      </c>
      <c r="BK291" s="2">
        <v>18.3280365165934</v>
      </c>
      <c r="BL291" s="2">
        <v>19.429731779613199</v>
      </c>
      <c r="BM291" s="2">
        <v>19.525995373206602</v>
      </c>
      <c r="BN291" s="2">
        <v>19.168540869490901</v>
      </c>
      <c r="BO291" s="2">
        <v>17.982531911038599</v>
      </c>
      <c r="BP291" s="2">
        <v>18.726635374214201</v>
      </c>
      <c r="BQ291" s="2">
        <v>19.932522423575001</v>
      </c>
      <c r="BR291" s="2">
        <v>19.265293611646999</v>
      </c>
      <c r="BS291" s="2">
        <v>19.911928184999901</v>
      </c>
      <c r="BT291" s="2">
        <v>18.466165344214001</v>
      </c>
      <c r="BU291" s="2">
        <v>17.8336091679598</v>
      </c>
      <c r="BV291" s="2">
        <v>18.329796382008801</v>
      </c>
      <c r="BW291" s="2">
        <v>17.6592940323813</v>
      </c>
      <c r="BX291" s="2">
        <v>18.394509544928901</v>
      </c>
      <c r="BY291" s="2">
        <v>18.426380818964599</v>
      </c>
      <c r="BZ291" s="2">
        <v>17.289732901099299</v>
      </c>
      <c r="CA291" s="2">
        <v>18.454565299734099</v>
      </c>
      <c r="CB291" s="2">
        <v>18.892034788608999</v>
      </c>
      <c r="CC291" s="2">
        <v>19.332368083892302</v>
      </c>
      <c r="CD291" s="2">
        <v>19.589431194236699</v>
      </c>
      <c r="CE291" s="2">
        <v>17.880225090316699</v>
      </c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</row>
    <row r="292" spans="1:97">
      <c r="A292" s="2" t="s">
        <v>3079</v>
      </c>
      <c r="B292" s="2">
        <v>275.17106999999999</v>
      </c>
      <c r="C292" s="2">
        <v>0.75</v>
      </c>
      <c r="D292" s="2" t="s">
        <v>84</v>
      </c>
      <c r="E292" s="2" t="s">
        <v>3080</v>
      </c>
      <c r="F292" s="2" t="s">
        <v>3081</v>
      </c>
      <c r="G292" s="2">
        <v>53838</v>
      </c>
      <c r="H292" s="3" t="str">
        <f>HYPERLINK("https://cloud.oebiotech.com/#/lm/network/53838", "https://cloud.oebiotech.com/#/lm/network/53838")</f>
        <v>https://cloud.oebiotech.com/#/lm/network/53838</v>
      </c>
      <c r="I292" s="2" t="s">
        <v>3082</v>
      </c>
      <c r="J292" s="2"/>
      <c r="K292" s="2"/>
      <c r="L292" s="2">
        <v>71363012</v>
      </c>
      <c r="M292" s="2"/>
      <c r="N292" s="2"/>
      <c r="O292" s="2"/>
      <c r="P292" s="2"/>
      <c r="Q292" s="2"/>
      <c r="R292" s="2"/>
      <c r="S292" s="2" t="s">
        <v>3083</v>
      </c>
      <c r="T292" s="2" t="s">
        <v>3084</v>
      </c>
      <c r="U292" s="2" t="s">
        <v>3085</v>
      </c>
      <c r="V292" s="2" t="s">
        <v>115</v>
      </c>
      <c r="W292" s="2" t="s">
        <v>116</v>
      </c>
      <c r="X292" s="2" t="s">
        <v>117</v>
      </c>
      <c r="Y292" s="2" t="s">
        <v>118</v>
      </c>
      <c r="Z292" s="2" t="s">
        <v>119</v>
      </c>
      <c r="AA292" s="2" t="s">
        <v>120</v>
      </c>
      <c r="AB292" s="2" t="s">
        <v>3086</v>
      </c>
      <c r="AC292" s="2">
        <v>68.430000000000007</v>
      </c>
      <c r="AD292" s="2">
        <v>92.26</v>
      </c>
      <c r="AE292" s="2">
        <v>41.269285714285701</v>
      </c>
      <c r="AF292" s="2" t="s">
        <v>3087</v>
      </c>
      <c r="AG292" s="2" t="s">
        <v>103</v>
      </c>
      <c r="AH292" s="2" t="s">
        <v>3088</v>
      </c>
      <c r="AI292" s="2">
        <v>1.0900000000000001</v>
      </c>
      <c r="AJ292" s="2">
        <v>21.4336457172164</v>
      </c>
      <c r="AK292" s="2">
        <v>21.5871126757621</v>
      </c>
      <c r="AL292" s="2">
        <v>21.5262840414543</v>
      </c>
      <c r="AM292" s="2">
        <v>21.663738854523299</v>
      </c>
      <c r="AN292" s="2">
        <v>21.368588338454</v>
      </c>
      <c r="AO292" s="2">
        <v>21.612137510890001</v>
      </c>
      <c r="AP292" s="2">
        <v>21.259795578686301</v>
      </c>
      <c r="AQ292" s="2">
        <v>21.479106833012999</v>
      </c>
      <c r="AR292" s="2">
        <v>22.084582660394101</v>
      </c>
      <c r="AS292" s="2">
        <v>9.6233145402724691</v>
      </c>
      <c r="AT292" s="2">
        <v>18.7905118891576</v>
      </c>
      <c r="AU292" s="2">
        <v>20.917382904661</v>
      </c>
      <c r="AV292" s="2">
        <v>21.198239527904299</v>
      </c>
      <c r="AW292" s="2">
        <v>18.632834071679302</v>
      </c>
      <c r="AX292" s="2">
        <v>20.9745096301824</v>
      </c>
      <c r="AY292" s="2">
        <v>9.6233145402724691</v>
      </c>
      <c r="AZ292" s="2">
        <v>18.636343666390399</v>
      </c>
      <c r="BA292" s="2">
        <v>9.6233145402724691</v>
      </c>
      <c r="BB292" s="2">
        <v>20.205048902943702</v>
      </c>
      <c r="BC292" s="2">
        <v>9.6233145402724691</v>
      </c>
      <c r="BD292" s="2">
        <v>20.586188559862801</v>
      </c>
      <c r="BE292" s="2">
        <v>17.6878962862633</v>
      </c>
      <c r="BF292" s="2">
        <v>18.3954001233393</v>
      </c>
      <c r="BG292" s="2">
        <v>22.670859416323101</v>
      </c>
      <c r="BH292" s="2">
        <v>19.4300010262575</v>
      </c>
      <c r="BI292" s="2">
        <v>20.607957599419599</v>
      </c>
      <c r="BJ292" s="2">
        <v>19.027676346741199</v>
      </c>
      <c r="BK292" s="2">
        <v>19.787673566038801</v>
      </c>
      <c r="BL292" s="2">
        <v>20.351380905183099</v>
      </c>
      <c r="BM292" s="2">
        <v>20.9163209723779</v>
      </c>
      <c r="BN292" s="2">
        <v>9.6233145402724691</v>
      </c>
      <c r="BO292" s="2">
        <v>20.894186543834198</v>
      </c>
      <c r="BP292" s="2">
        <v>22.721209906465401</v>
      </c>
      <c r="BQ292" s="2">
        <v>18.7503253683523</v>
      </c>
      <c r="BR292" s="2">
        <v>15.974164274484</v>
      </c>
      <c r="BS292" s="2">
        <v>21.882127730430899</v>
      </c>
      <c r="BT292" s="2">
        <v>19.5399780402172</v>
      </c>
      <c r="BU292" s="2">
        <v>16.290545033612599</v>
      </c>
      <c r="BV292" s="2">
        <v>19.759122341251</v>
      </c>
      <c r="BW292" s="2">
        <v>22.679681690832801</v>
      </c>
      <c r="BX292" s="2">
        <v>19.4605535648145</v>
      </c>
      <c r="BY292" s="2">
        <v>22.0408781135948</v>
      </c>
      <c r="BZ292" s="2">
        <v>9.6233145402724691</v>
      </c>
      <c r="CA292" s="2">
        <v>19.426543514365999</v>
      </c>
      <c r="CB292" s="2">
        <v>20.691316719866201</v>
      </c>
      <c r="CC292" s="2">
        <v>22.377465687580798</v>
      </c>
      <c r="CD292" s="2">
        <v>22.3234202287077</v>
      </c>
      <c r="CE292" s="2">
        <v>19.1190137448719</v>
      </c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</row>
    <row r="293" spans="1:97">
      <c r="A293" s="2" t="s">
        <v>3089</v>
      </c>
      <c r="B293" s="2">
        <v>448.30527000000001</v>
      </c>
      <c r="C293" s="2">
        <v>8.3279999999999994</v>
      </c>
      <c r="D293" s="2" t="s">
        <v>84</v>
      </c>
      <c r="E293" s="2" t="s">
        <v>3090</v>
      </c>
      <c r="F293" s="2" t="s">
        <v>3091</v>
      </c>
      <c r="G293" s="2">
        <v>46739</v>
      </c>
      <c r="H293" s="3" t="str">
        <f>HYPERLINK("https://cloud.oebiotech.com/#/lm/network/46739", "https://cloud.oebiotech.com/#/lm/network/46739")</f>
        <v>https://cloud.oebiotech.com/#/lm/network/46739</v>
      </c>
      <c r="I293" s="2"/>
      <c r="J293" s="2"/>
      <c r="K293" s="2" t="s">
        <v>3092</v>
      </c>
      <c r="L293" s="2"/>
      <c r="M293" s="2"/>
      <c r="N293" s="2"/>
      <c r="O293" s="2"/>
      <c r="P293" s="2"/>
      <c r="Q293" s="2"/>
      <c r="R293" s="2"/>
      <c r="S293" s="2"/>
      <c r="T293" s="2" t="s">
        <v>3093</v>
      </c>
      <c r="U293" s="2" t="s">
        <v>3094</v>
      </c>
      <c r="V293" s="2" t="s">
        <v>95</v>
      </c>
      <c r="W293" s="2" t="s">
        <v>152</v>
      </c>
      <c r="X293" s="2" t="s">
        <v>278</v>
      </c>
      <c r="Y293" s="2" t="s">
        <v>98</v>
      </c>
      <c r="Z293" s="2" t="s">
        <v>154</v>
      </c>
      <c r="AA293" s="2" t="s">
        <v>279</v>
      </c>
      <c r="AB293" s="2" t="s">
        <v>101</v>
      </c>
      <c r="AC293" s="2">
        <v>68.34</v>
      </c>
      <c r="AD293" s="2">
        <v>96.95</v>
      </c>
      <c r="AE293" s="2">
        <v>72.91</v>
      </c>
      <c r="AF293" s="2" t="s">
        <v>3095</v>
      </c>
      <c r="AG293" s="2" t="s">
        <v>103</v>
      </c>
      <c r="AH293" s="2" t="s">
        <v>3096</v>
      </c>
      <c r="AI293" s="2">
        <v>1.1200000000000001</v>
      </c>
      <c r="AJ293" s="2">
        <v>19.9309193114732</v>
      </c>
      <c r="AK293" s="2">
        <v>19.909627553935501</v>
      </c>
      <c r="AL293" s="2">
        <v>19.717122870600999</v>
      </c>
      <c r="AM293" s="2">
        <v>19.544014813077101</v>
      </c>
      <c r="AN293" s="2">
        <v>19.888496539722201</v>
      </c>
      <c r="AO293" s="2">
        <v>19.7790013840626</v>
      </c>
      <c r="AP293" s="2">
        <v>19.656543836438701</v>
      </c>
      <c r="AQ293" s="2">
        <v>19.787201294937301</v>
      </c>
      <c r="AR293" s="2">
        <v>20.831173045815</v>
      </c>
      <c r="AS293" s="2">
        <v>9.6233145402724691</v>
      </c>
      <c r="AT293" s="2">
        <v>18.048703657884101</v>
      </c>
      <c r="AU293" s="2">
        <v>21.369255042154698</v>
      </c>
      <c r="AV293" s="2">
        <v>21.8047409861381</v>
      </c>
      <c r="AW293" s="2">
        <v>20.553045066149199</v>
      </c>
      <c r="AX293" s="2">
        <v>13.918939617608901</v>
      </c>
      <c r="AY293" s="2">
        <v>22.475257859905</v>
      </c>
      <c r="AZ293" s="2">
        <v>18.842551409688902</v>
      </c>
      <c r="BA293" s="2">
        <v>9.6233145402724691</v>
      </c>
      <c r="BB293" s="2">
        <v>16.721270648122701</v>
      </c>
      <c r="BC293" s="2">
        <v>9.6233145402724691</v>
      </c>
      <c r="BD293" s="2">
        <v>18.063101635337301</v>
      </c>
      <c r="BE293" s="2">
        <v>22.566610058322102</v>
      </c>
      <c r="BF293" s="2">
        <v>15.6275108007115</v>
      </c>
      <c r="BG293" s="2">
        <v>9.6233145402724691</v>
      </c>
      <c r="BH293" s="2">
        <v>18.814752272724199</v>
      </c>
      <c r="BI293" s="2">
        <v>14.452265697045201</v>
      </c>
      <c r="BJ293" s="2">
        <v>19.931384743838201</v>
      </c>
      <c r="BK293" s="2">
        <v>9.6233145402724691</v>
      </c>
      <c r="BL293" s="2">
        <v>16.642810279499599</v>
      </c>
      <c r="BM293" s="2">
        <v>20.7189937534786</v>
      </c>
      <c r="BN293" s="2">
        <v>19.0449519340652</v>
      </c>
      <c r="BO293" s="2">
        <v>17.575761400984</v>
      </c>
      <c r="BP293" s="2">
        <v>17.7348923002905</v>
      </c>
      <c r="BQ293" s="2">
        <v>21.356357461350399</v>
      </c>
      <c r="BR293" s="2">
        <v>19.1709858955799</v>
      </c>
      <c r="BS293" s="2">
        <v>22.120696403114199</v>
      </c>
      <c r="BT293" s="2">
        <v>18.801800765979401</v>
      </c>
      <c r="BU293" s="2">
        <v>9.6233145402724691</v>
      </c>
      <c r="BV293" s="2">
        <v>18.501825836071198</v>
      </c>
      <c r="BW293" s="2">
        <v>9.6233145402724691</v>
      </c>
      <c r="BX293" s="2">
        <v>19.325097610825001</v>
      </c>
      <c r="BY293" s="2">
        <v>20.7576301667035</v>
      </c>
      <c r="BZ293" s="2">
        <v>16.976314292694902</v>
      </c>
      <c r="CA293" s="2">
        <v>9.6233145402724691</v>
      </c>
      <c r="CB293" s="2">
        <v>19.0814370164119</v>
      </c>
      <c r="CC293" s="2">
        <v>17.444968354038799</v>
      </c>
      <c r="CD293" s="2">
        <v>19.293325881137399</v>
      </c>
      <c r="CE293" s="2">
        <v>9.6233145402724691</v>
      </c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</row>
    <row r="294" spans="1:97">
      <c r="A294" s="2" t="s">
        <v>3097</v>
      </c>
      <c r="B294" s="2">
        <v>275.20017000000001</v>
      </c>
      <c r="C294" s="2">
        <v>10.237</v>
      </c>
      <c r="D294" s="2" t="s">
        <v>84</v>
      </c>
      <c r="E294" s="2" t="s">
        <v>3098</v>
      </c>
      <c r="F294" s="2" t="s">
        <v>3099</v>
      </c>
      <c r="G294" s="2">
        <v>2525</v>
      </c>
      <c r="H294" s="3" t="str">
        <f>HYPERLINK("https://cloud.oebiotech.com/#/lm/network/2525", "https://cloud.oebiotech.com/#/lm/network/2525")</f>
        <v>https://cloud.oebiotech.com/#/lm/network/2525</v>
      </c>
      <c r="I294" s="2"/>
      <c r="J294" s="2">
        <v>74890</v>
      </c>
      <c r="K294" s="2" t="s">
        <v>3100</v>
      </c>
      <c r="L294" s="2">
        <v>10333573</v>
      </c>
      <c r="M294" s="2"/>
      <c r="N294" s="2"/>
      <c r="O294" s="2"/>
      <c r="P294" s="2"/>
      <c r="Q294" s="2"/>
      <c r="R294" s="2"/>
      <c r="S294" s="2"/>
      <c r="T294" s="2" t="s">
        <v>3101</v>
      </c>
      <c r="U294" s="2" t="s">
        <v>3102</v>
      </c>
      <c r="V294" s="2" t="s">
        <v>95</v>
      </c>
      <c r="W294" s="2" t="s">
        <v>96</v>
      </c>
      <c r="X294" s="2" t="s">
        <v>141</v>
      </c>
      <c r="Y294" s="2" t="s">
        <v>98</v>
      </c>
      <c r="Z294" s="2" t="s">
        <v>99</v>
      </c>
      <c r="AA294" s="2" t="s">
        <v>142</v>
      </c>
      <c r="AB294" s="2" t="s">
        <v>101</v>
      </c>
      <c r="AC294" s="2">
        <v>68.28</v>
      </c>
      <c r="AD294" s="2">
        <v>88.53</v>
      </c>
      <c r="AE294" s="2">
        <v>69.02</v>
      </c>
      <c r="AF294" s="2" t="s">
        <v>3103</v>
      </c>
      <c r="AG294" s="2" t="s">
        <v>103</v>
      </c>
      <c r="AH294" s="2" t="s">
        <v>3104</v>
      </c>
      <c r="AI294" s="2">
        <v>1.45</v>
      </c>
      <c r="AJ294" s="2">
        <v>18.212170851040199</v>
      </c>
      <c r="AK294" s="2">
        <v>18.127624413737198</v>
      </c>
      <c r="AL294" s="2">
        <v>18.9508224707428</v>
      </c>
      <c r="AM294" s="2">
        <v>18.3009760429584</v>
      </c>
      <c r="AN294" s="2">
        <v>18.637692780502501</v>
      </c>
      <c r="AO294" s="2">
        <v>17.745061014130101</v>
      </c>
      <c r="AP294" s="2">
        <v>18.263897821358</v>
      </c>
      <c r="AQ294" s="2">
        <v>18.3900577111337</v>
      </c>
      <c r="AR294" s="2">
        <v>19.4405168838626</v>
      </c>
      <c r="AS294" s="2">
        <v>17.379692010159701</v>
      </c>
      <c r="AT294" s="2">
        <v>16.7936029282859</v>
      </c>
      <c r="AU294" s="2">
        <v>18.2252064953346</v>
      </c>
      <c r="AV294" s="2">
        <v>18.471591393407198</v>
      </c>
      <c r="AW294" s="2">
        <v>19.261810998883501</v>
      </c>
      <c r="AX294" s="2">
        <v>17.0658983479399</v>
      </c>
      <c r="AY294" s="2">
        <v>19.564401131191801</v>
      </c>
      <c r="AZ294" s="2">
        <v>17.8872134743388</v>
      </c>
      <c r="BA294" s="2">
        <v>17.024039079040602</v>
      </c>
      <c r="BB294" s="2">
        <v>18.588241246803101</v>
      </c>
      <c r="BC294" s="2">
        <v>17.757728817472898</v>
      </c>
      <c r="BD294" s="2">
        <v>17.527861285634799</v>
      </c>
      <c r="BE294" s="2">
        <v>18.719860744245199</v>
      </c>
      <c r="BF294" s="2">
        <v>16.0549584622275</v>
      </c>
      <c r="BG294" s="2">
        <v>16.638122072189599</v>
      </c>
      <c r="BH294" s="2">
        <v>21.13132457627</v>
      </c>
      <c r="BI294" s="2">
        <v>9.6233145402724691</v>
      </c>
      <c r="BJ294" s="2">
        <v>18.728317046815</v>
      </c>
      <c r="BK294" s="2">
        <v>17.5135686977059</v>
      </c>
      <c r="BL294" s="2">
        <v>16.870035220350999</v>
      </c>
      <c r="BM294" s="2">
        <v>16.432525589073201</v>
      </c>
      <c r="BN294" s="2">
        <v>17.989063093875099</v>
      </c>
      <c r="BO294" s="2">
        <v>17.931851656023401</v>
      </c>
      <c r="BP294" s="2">
        <v>17.138280700977901</v>
      </c>
      <c r="BQ294" s="2">
        <v>18.618415687147401</v>
      </c>
      <c r="BR294" s="2">
        <v>18.550012627513901</v>
      </c>
      <c r="BS294" s="2">
        <v>19.585877836747301</v>
      </c>
      <c r="BT294" s="2">
        <v>16.908164484089699</v>
      </c>
      <c r="BU294" s="2">
        <v>17.808754633680199</v>
      </c>
      <c r="BV294" s="2">
        <v>17.767059753962499</v>
      </c>
      <c r="BW294" s="2">
        <v>15.8747751170197</v>
      </c>
      <c r="BX294" s="2">
        <v>16.838117617430701</v>
      </c>
      <c r="BY294" s="2">
        <v>18.4713113197976</v>
      </c>
      <c r="BZ294" s="2">
        <v>17.197929070610702</v>
      </c>
      <c r="CA294" s="2">
        <v>16.733345733697</v>
      </c>
      <c r="CB294" s="2">
        <v>18.7397928035532</v>
      </c>
      <c r="CC294" s="2">
        <v>17.9035539125362</v>
      </c>
      <c r="CD294" s="2">
        <v>18.7295157954605</v>
      </c>
      <c r="CE294" s="2">
        <v>16.5075880926202</v>
      </c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</row>
    <row r="295" spans="1:97">
      <c r="A295" s="2" t="s">
        <v>3105</v>
      </c>
      <c r="B295" s="2">
        <v>391.28478999999999</v>
      </c>
      <c r="C295" s="2">
        <v>12.172000000000001</v>
      </c>
      <c r="D295" s="2" t="s">
        <v>146</v>
      </c>
      <c r="E295" s="2" t="s">
        <v>3106</v>
      </c>
      <c r="F295" s="2" t="s">
        <v>3107</v>
      </c>
      <c r="G295" s="2">
        <v>210639</v>
      </c>
      <c r="H295" s="3" t="str">
        <f>HYPERLINK("https://cloud.oebiotech.com/#/lm/network/210639", "https://cloud.oebiotech.com/#/lm/network/210639")</f>
        <v>https://cloud.oebiotech.com/#/lm/network/210639</v>
      </c>
      <c r="I295" s="2" t="s">
        <v>3108</v>
      </c>
      <c r="J295" s="2"/>
      <c r="K295" s="2"/>
      <c r="L295" s="2">
        <v>13020874</v>
      </c>
      <c r="M295" s="2"/>
      <c r="N295" s="2"/>
      <c r="O295" s="2"/>
      <c r="P295" s="2"/>
      <c r="Q295" s="2"/>
      <c r="R295" s="2"/>
      <c r="S295" s="2"/>
      <c r="T295" s="2" t="s">
        <v>3109</v>
      </c>
      <c r="U295" s="2" t="s">
        <v>3110</v>
      </c>
      <c r="V295" s="2" t="s">
        <v>95</v>
      </c>
      <c r="W295" s="2" t="s">
        <v>152</v>
      </c>
      <c r="X295" s="2" t="s">
        <v>1013</v>
      </c>
      <c r="Y295" s="2" t="s">
        <v>98</v>
      </c>
      <c r="Z295" s="2" t="s">
        <v>154</v>
      </c>
      <c r="AA295" s="2" t="s">
        <v>1014</v>
      </c>
      <c r="AB295" s="2" t="s">
        <v>101</v>
      </c>
      <c r="AC295" s="2">
        <v>68.27</v>
      </c>
      <c r="AD295" s="2">
        <v>96.79</v>
      </c>
      <c r="AE295" s="2">
        <v>66.319999999999993</v>
      </c>
      <c r="AF295" s="2" t="s">
        <v>3111</v>
      </c>
      <c r="AG295" s="2" t="s">
        <v>157</v>
      </c>
      <c r="AH295" s="2" t="s">
        <v>3112</v>
      </c>
      <c r="AI295" s="2">
        <v>1.53</v>
      </c>
      <c r="AJ295" s="2">
        <v>21.493558141601699</v>
      </c>
      <c r="AK295" s="2">
        <v>20.991816276493399</v>
      </c>
      <c r="AL295" s="2">
        <v>20.674459396388102</v>
      </c>
      <c r="AM295" s="2">
        <v>20.8083788519019</v>
      </c>
      <c r="AN295" s="2">
        <v>21.223627806754202</v>
      </c>
      <c r="AO295" s="2">
        <v>20.877649467781701</v>
      </c>
      <c r="AP295" s="2">
        <v>20.909019781394498</v>
      </c>
      <c r="AQ295" s="2">
        <v>20.839332181356301</v>
      </c>
      <c r="AR295" s="2">
        <v>21.5906790628651</v>
      </c>
      <c r="AS295" s="2">
        <v>20.499571761515899</v>
      </c>
      <c r="AT295" s="2">
        <v>20.337912675053001</v>
      </c>
      <c r="AU295" s="2">
        <v>20.500203657849301</v>
      </c>
      <c r="AV295" s="2">
        <v>19.790105092074899</v>
      </c>
      <c r="AW295" s="2">
        <v>20.025015150751699</v>
      </c>
      <c r="AX295" s="2">
        <v>20.026417927862401</v>
      </c>
      <c r="AY295" s="2">
        <v>21.354425406099601</v>
      </c>
      <c r="AZ295" s="2">
        <v>21.562080580087699</v>
      </c>
      <c r="BA295" s="2">
        <v>21.006800178065401</v>
      </c>
      <c r="BB295" s="2">
        <v>20.756058461561501</v>
      </c>
      <c r="BC295" s="2">
        <v>20.971014003456698</v>
      </c>
      <c r="BD295" s="2">
        <v>20.6313056259917</v>
      </c>
      <c r="BE295" s="2">
        <v>21.020480689343199</v>
      </c>
      <c r="BF295" s="2">
        <v>20.3711152858993</v>
      </c>
      <c r="BG295" s="2">
        <v>20.930761473124299</v>
      </c>
      <c r="BH295" s="2">
        <v>20.516136958495601</v>
      </c>
      <c r="BI295" s="2">
        <v>21.419191371413099</v>
      </c>
      <c r="BJ295" s="2">
        <v>20.928965360346101</v>
      </c>
      <c r="BK295" s="2">
        <v>19.761509825655999</v>
      </c>
      <c r="BL295" s="2">
        <v>21.641708812507101</v>
      </c>
      <c r="BM295" s="2">
        <v>21.105755306906499</v>
      </c>
      <c r="BN295" s="2">
        <v>20.4872871281631</v>
      </c>
      <c r="BO295" s="2">
        <v>20.7215070474236</v>
      </c>
      <c r="BP295" s="2">
        <v>19.590510007053901</v>
      </c>
      <c r="BQ295" s="2">
        <v>19.199632881227799</v>
      </c>
      <c r="BR295" s="2">
        <v>20.078905958428301</v>
      </c>
      <c r="BS295" s="2">
        <v>21.077742793373901</v>
      </c>
      <c r="BT295" s="2">
        <v>21.774958744801499</v>
      </c>
      <c r="BU295" s="2">
        <v>21.037734392781701</v>
      </c>
      <c r="BV295" s="2">
        <v>20.710248506119999</v>
      </c>
      <c r="BW295" s="2">
        <v>19.5759770047665</v>
      </c>
      <c r="BX295" s="2">
        <v>20.045290588751602</v>
      </c>
      <c r="BY295" s="2">
        <v>21.385859862967099</v>
      </c>
      <c r="BZ295" s="2">
        <v>20.502612279491501</v>
      </c>
      <c r="CA295" s="2">
        <v>20.702829619338701</v>
      </c>
      <c r="CB295" s="2">
        <v>20.690411860642801</v>
      </c>
      <c r="CC295" s="2">
        <v>21.240640335204699</v>
      </c>
      <c r="CD295" s="2">
        <v>20.911741247321501</v>
      </c>
      <c r="CE295" s="2">
        <v>20.120056875933699</v>
      </c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</row>
    <row r="296" spans="1:97">
      <c r="A296" s="2" t="s">
        <v>3113</v>
      </c>
      <c r="B296" s="2">
        <v>163.06066000000001</v>
      </c>
      <c r="C296" s="2">
        <v>0.78300000000000003</v>
      </c>
      <c r="D296" s="2" t="s">
        <v>146</v>
      </c>
      <c r="E296" s="2" t="s">
        <v>3114</v>
      </c>
      <c r="F296" s="2" t="s">
        <v>3115</v>
      </c>
      <c r="G296" s="2">
        <v>47209</v>
      </c>
      <c r="H296" s="3" t="str">
        <f>HYPERLINK("https://cloud.oebiotech.com/#/lm/network/47209", "https://cloud.oebiotech.com/#/lm/network/47209")</f>
        <v>https://cloud.oebiotech.com/#/lm/network/47209</v>
      </c>
      <c r="I296" s="2" t="s">
        <v>3116</v>
      </c>
      <c r="J296" s="2">
        <v>142</v>
      </c>
      <c r="K296" s="2"/>
      <c r="L296" s="2">
        <v>6251</v>
      </c>
      <c r="M296" s="2" t="s">
        <v>3117</v>
      </c>
      <c r="N296" s="2" t="s">
        <v>3118</v>
      </c>
      <c r="O296" s="2" t="s">
        <v>3119</v>
      </c>
      <c r="P296" s="2">
        <v>16899</v>
      </c>
      <c r="Q296" s="2"/>
      <c r="R296" s="2"/>
      <c r="S296" s="2" t="s">
        <v>3120</v>
      </c>
      <c r="T296" s="2" t="s">
        <v>3121</v>
      </c>
      <c r="U296" s="2" t="s">
        <v>3122</v>
      </c>
      <c r="V296" s="2" t="s">
        <v>338</v>
      </c>
      <c r="W296" s="2" t="s">
        <v>339</v>
      </c>
      <c r="X296" s="2" t="s">
        <v>663</v>
      </c>
      <c r="Y296" s="2" t="s">
        <v>341</v>
      </c>
      <c r="Z296" s="2" t="s">
        <v>341</v>
      </c>
      <c r="AA296" s="2" t="s">
        <v>664</v>
      </c>
      <c r="AB296" s="2" t="s">
        <v>101</v>
      </c>
      <c r="AC296" s="2">
        <v>68.23</v>
      </c>
      <c r="AD296" s="2">
        <v>95.82</v>
      </c>
      <c r="AE296" s="2">
        <v>60.56</v>
      </c>
      <c r="AF296" s="2" t="s">
        <v>3123</v>
      </c>
      <c r="AG296" s="2" t="s">
        <v>993</v>
      </c>
      <c r="AH296" s="2" t="s">
        <v>3124</v>
      </c>
      <c r="AI296" s="2">
        <v>0</v>
      </c>
      <c r="AJ296" s="2">
        <v>19.552163518628699</v>
      </c>
      <c r="AK296" s="2">
        <v>20.132695202668</v>
      </c>
      <c r="AL296" s="2">
        <v>20.1648398191385</v>
      </c>
      <c r="AM296" s="2">
        <v>19.827068469593598</v>
      </c>
      <c r="AN296" s="2">
        <v>19.637799178089701</v>
      </c>
      <c r="AO296" s="2">
        <v>19.560139011297</v>
      </c>
      <c r="AP296" s="2">
        <v>19.870571084945102</v>
      </c>
      <c r="AQ296" s="2">
        <v>20.0538242741106</v>
      </c>
      <c r="AR296" s="2">
        <v>18.1379500841938</v>
      </c>
      <c r="AS296" s="2">
        <v>9.6233145402724691</v>
      </c>
      <c r="AT296" s="2">
        <v>9.6233145402724691</v>
      </c>
      <c r="AU296" s="2">
        <v>21.635193834237899</v>
      </c>
      <c r="AV296" s="2">
        <v>18.4513579903543</v>
      </c>
      <c r="AW296" s="2">
        <v>17.846573380543902</v>
      </c>
      <c r="AX296" s="2">
        <v>9.6233145402724691</v>
      </c>
      <c r="AY296" s="2">
        <v>24.902424396906401</v>
      </c>
      <c r="AZ296" s="2">
        <v>15.7982753511479</v>
      </c>
      <c r="BA296" s="2">
        <v>15.284080515920699</v>
      </c>
      <c r="BB296" s="2">
        <v>16.928815359252098</v>
      </c>
      <c r="BC296" s="2">
        <v>16.5916212479666</v>
      </c>
      <c r="BD296" s="2">
        <v>17.224095816477199</v>
      </c>
      <c r="BE296" s="2">
        <v>19.130240713520301</v>
      </c>
      <c r="BF296" s="2">
        <v>18.205100213707201</v>
      </c>
      <c r="BG296" s="2">
        <v>17.113627619914102</v>
      </c>
      <c r="BH296" s="2">
        <v>9.6233145402724691</v>
      </c>
      <c r="BI296" s="2">
        <v>17.8415271251287</v>
      </c>
      <c r="BJ296" s="2">
        <v>14.897085345677899</v>
      </c>
      <c r="BK296" s="2">
        <v>18.000189636244802</v>
      </c>
      <c r="BL296" s="2">
        <v>17.527958007483502</v>
      </c>
      <c r="BM296" s="2">
        <v>20.4346431002221</v>
      </c>
      <c r="BN296" s="2">
        <v>19.561679600320801</v>
      </c>
      <c r="BO296" s="2">
        <v>22.771427787285099</v>
      </c>
      <c r="BP296" s="2">
        <v>18.1016198555571</v>
      </c>
      <c r="BQ296" s="2">
        <v>17.9476846465401</v>
      </c>
      <c r="BR296" s="2">
        <v>18.690626134558102</v>
      </c>
      <c r="BS296" s="2">
        <v>20.108407785411099</v>
      </c>
      <c r="BT296" s="2">
        <v>18.784532865741301</v>
      </c>
      <c r="BU296" s="2">
        <v>18.325921322353299</v>
      </c>
      <c r="BV296" s="2">
        <v>19.022591049345799</v>
      </c>
      <c r="BW296" s="2">
        <v>14.3153187066354</v>
      </c>
      <c r="BX296" s="2">
        <v>18.897075475318399</v>
      </c>
      <c r="BY296" s="2">
        <v>21.519382655811398</v>
      </c>
      <c r="BZ296" s="2">
        <v>19.160803926916699</v>
      </c>
      <c r="CA296" s="2">
        <v>19.271486714251498</v>
      </c>
      <c r="CB296" s="2">
        <v>18.219083086739701</v>
      </c>
      <c r="CC296" s="2">
        <v>18.416670093920199</v>
      </c>
      <c r="CD296" s="2">
        <v>18.764552014456399</v>
      </c>
      <c r="CE296" s="2">
        <v>17.7349235824279</v>
      </c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</row>
    <row r="297" spans="1:97">
      <c r="A297" s="2" t="s">
        <v>3125</v>
      </c>
      <c r="B297" s="2">
        <v>313.27319</v>
      </c>
      <c r="C297" s="2">
        <v>10.618</v>
      </c>
      <c r="D297" s="2" t="s">
        <v>84</v>
      </c>
      <c r="E297" s="2" t="s">
        <v>3126</v>
      </c>
      <c r="F297" s="2" t="s">
        <v>3127</v>
      </c>
      <c r="G297" s="2">
        <v>10483</v>
      </c>
      <c r="H297" s="3" t="str">
        <f>HYPERLINK("https://cloud.oebiotech.com/#/lm/network/10483", "https://cloud.oebiotech.com/#/lm/network/10483")</f>
        <v>https://cloud.oebiotech.com/#/lm/network/10483</v>
      </c>
      <c r="I297" s="2"/>
      <c r="J297" s="2"/>
      <c r="K297" s="2" t="s">
        <v>3128</v>
      </c>
      <c r="L297" s="2">
        <v>137323856</v>
      </c>
      <c r="M297" s="2"/>
      <c r="N297" s="2"/>
      <c r="O297" s="2"/>
      <c r="P297" s="2"/>
      <c r="Q297" s="2"/>
      <c r="R297" s="2"/>
      <c r="S297" s="2"/>
      <c r="T297" s="2" t="s">
        <v>3129</v>
      </c>
      <c r="U297" s="2" t="s">
        <v>3130</v>
      </c>
      <c r="V297" s="2" t="s">
        <v>95</v>
      </c>
      <c r="W297" s="2" t="s">
        <v>96</v>
      </c>
      <c r="X297" s="2" t="s">
        <v>353</v>
      </c>
      <c r="Y297" s="2" t="s">
        <v>98</v>
      </c>
      <c r="Z297" s="2" t="s">
        <v>99</v>
      </c>
      <c r="AA297" s="2" t="s">
        <v>354</v>
      </c>
      <c r="AB297" s="2" t="s">
        <v>101</v>
      </c>
      <c r="AC297" s="2">
        <v>68.22</v>
      </c>
      <c r="AD297" s="2">
        <v>88.47</v>
      </c>
      <c r="AE297" s="2">
        <v>75.63</v>
      </c>
      <c r="AF297" s="2" t="s">
        <v>3131</v>
      </c>
      <c r="AG297" s="2" t="s">
        <v>1088</v>
      </c>
      <c r="AH297" s="2" t="s">
        <v>3132</v>
      </c>
      <c r="AI297" s="2">
        <v>3.51</v>
      </c>
      <c r="AJ297" s="2">
        <v>19.505274470357399</v>
      </c>
      <c r="AK297" s="2">
        <v>19.4231170183713</v>
      </c>
      <c r="AL297" s="2">
        <v>19.562260706024801</v>
      </c>
      <c r="AM297" s="2">
        <v>19.693928135504699</v>
      </c>
      <c r="AN297" s="2">
        <v>19.4816378445556</v>
      </c>
      <c r="AO297" s="2">
        <v>19.834169165845701</v>
      </c>
      <c r="AP297" s="2">
        <v>20.0971655532474</v>
      </c>
      <c r="AQ297" s="2">
        <v>19.987179851481699</v>
      </c>
      <c r="AR297" s="2">
        <v>19.7264953514185</v>
      </c>
      <c r="AS297" s="2">
        <v>18.9887285611272</v>
      </c>
      <c r="AT297" s="2">
        <v>17.7649393450275</v>
      </c>
      <c r="AU297" s="2">
        <v>19.676956527735801</v>
      </c>
      <c r="AV297" s="2">
        <v>18.494175060017401</v>
      </c>
      <c r="AW297" s="2">
        <v>19.3592633390959</v>
      </c>
      <c r="AX297" s="2">
        <v>18.885838177926299</v>
      </c>
      <c r="AY297" s="2">
        <v>19.939559587394999</v>
      </c>
      <c r="AZ297" s="2">
        <v>19.155727342239</v>
      </c>
      <c r="BA297" s="2">
        <v>18.8948403762768</v>
      </c>
      <c r="BB297" s="2">
        <v>19.1973885328626</v>
      </c>
      <c r="BC297" s="2">
        <v>18.840994478758098</v>
      </c>
      <c r="BD297" s="2">
        <v>19.411630934525199</v>
      </c>
      <c r="BE297" s="2">
        <v>19.155985599608101</v>
      </c>
      <c r="BF297" s="2">
        <v>19.8566077598622</v>
      </c>
      <c r="BG297" s="2">
        <v>20.291024091698201</v>
      </c>
      <c r="BH297" s="2">
        <v>19.7374599389453</v>
      </c>
      <c r="BI297" s="2">
        <v>19.966947734992299</v>
      </c>
      <c r="BJ297" s="2">
        <v>19.616431533889401</v>
      </c>
      <c r="BK297" s="2">
        <v>19.5645189531194</v>
      </c>
      <c r="BL297" s="2">
        <v>19.173780377424901</v>
      </c>
      <c r="BM297" s="2">
        <v>19.528554760751099</v>
      </c>
      <c r="BN297" s="2">
        <v>19.346522000313598</v>
      </c>
      <c r="BO297" s="2">
        <v>19.962101730744202</v>
      </c>
      <c r="BP297" s="2">
        <v>19.4036964695675</v>
      </c>
      <c r="BQ297" s="2">
        <v>19.187892107942599</v>
      </c>
      <c r="BR297" s="2">
        <v>20.000296825277001</v>
      </c>
      <c r="BS297" s="2">
        <v>20.161633173261201</v>
      </c>
      <c r="BT297" s="2">
        <v>19.533077822768998</v>
      </c>
      <c r="BU297" s="2">
        <v>18.443788375108898</v>
      </c>
      <c r="BV297" s="2">
        <v>19.534972720087602</v>
      </c>
      <c r="BW297" s="2">
        <v>18.982045191346501</v>
      </c>
      <c r="BX297" s="2">
        <v>19.7535143141757</v>
      </c>
      <c r="BY297" s="2">
        <v>19.469431105455801</v>
      </c>
      <c r="BZ297" s="2">
        <v>19.751953622730099</v>
      </c>
      <c r="CA297" s="2">
        <v>19.8678878544683</v>
      </c>
      <c r="CB297" s="2">
        <v>18.802573634322801</v>
      </c>
      <c r="CC297" s="2">
        <v>18.738578456399701</v>
      </c>
      <c r="CD297" s="2">
        <v>19.609676090531</v>
      </c>
      <c r="CE297" s="2">
        <v>19.1526162257545</v>
      </c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</row>
    <row r="298" spans="1:97">
      <c r="A298" s="2" t="s">
        <v>3133</v>
      </c>
      <c r="B298" s="2">
        <v>175.10755</v>
      </c>
      <c r="C298" s="2">
        <v>0.755</v>
      </c>
      <c r="D298" s="2" t="s">
        <v>84</v>
      </c>
      <c r="E298" s="2" t="s">
        <v>3134</v>
      </c>
      <c r="F298" s="2" t="s">
        <v>3135</v>
      </c>
      <c r="G298" s="2">
        <v>206937</v>
      </c>
      <c r="H298" s="3" t="str">
        <f>HYPERLINK("https://cloud.oebiotech.com/#/lm/network/206937", "https://cloud.oebiotech.com/#/lm/network/206937")</f>
        <v>https://cloud.oebiotech.com/#/lm/network/206937</v>
      </c>
      <c r="I298" s="2" t="s">
        <v>3136</v>
      </c>
      <c r="J298" s="2"/>
      <c r="K298" s="2"/>
      <c r="L298" s="2">
        <v>12679627</v>
      </c>
      <c r="M298" s="2"/>
      <c r="N298" s="2"/>
      <c r="O298" s="2"/>
      <c r="P298" s="2"/>
      <c r="Q298" s="2"/>
      <c r="R298" s="2"/>
      <c r="S298" s="2"/>
      <c r="T298" s="2" t="s">
        <v>3137</v>
      </c>
      <c r="U298" s="2" t="s">
        <v>3138</v>
      </c>
      <c r="V298" s="2" t="s">
        <v>115</v>
      </c>
      <c r="W298" s="2" t="s">
        <v>116</v>
      </c>
      <c r="X298" s="2" t="s">
        <v>117</v>
      </c>
      <c r="Y298" s="2" t="s">
        <v>118</v>
      </c>
      <c r="Z298" s="2" t="s">
        <v>119</v>
      </c>
      <c r="AA298" s="2" t="s">
        <v>120</v>
      </c>
      <c r="AB298" s="2" t="s">
        <v>101</v>
      </c>
      <c r="AC298" s="2">
        <v>68.180000000000007</v>
      </c>
      <c r="AD298" s="2">
        <v>94.92</v>
      </c>
      <c r="AE298" s="2">
        <v>57.53</v>
      </c>
      <c r="AF298" s="2" t="s">
        <v>3139</v>
      </c>
      <c r="AG298" s="2" t="s">
        <v>103</v>
      </c>
      <c r="AH298" s="2" t="s">
        <v>3140</v>
      </c>
      <c r="AI298" s="2">
        <v>0.56999999999999995</v>
      </c>
      <c r="AJ298" s="2">
        <v>21.854413045535502</v>
      </c>
      <c r="AK298" s="2">
        <v>21.538236830398699</v>
      </c>
      <c r="AL298" s="2">
        <v>21.5551762845203</v>
      </c>
      <c r="AM298" s="2">
        <v>21.708878281264798</v>
      </c>
      <c r="AN298" s="2">
        <v>21.7159329118799</v>
      </c>
      <c r="AO298" s="2">
        <v>21.6715350199959</v>
      </c>
      <c r="AP298" s="2">
        <v>21.619400248281298</v>
      </c>
      <c r="AQ298" s="2">
        <v>21.7596194387562</v>
      </c>
      <c r="AR298" s="2">
        <v>21.252275824008301</v>
      </c>
      <c r="AS298" s="2">
        <v>21.039133760829198</v>
      </c>
      <c r="AT298" s="2">
        <v>19.842808341485298</v>
      </c>
      <c r="AU298" s="2">
        <v>20.135720619731899</v>
      </c>
      <c r="AV298" s="2">
        <v>21.022338707131901</v>
      </c>
      <c r="AW298" s="2">
        <v>21.238354949420199</v>
      </c>
      <c r="AX298" s="2">
        <v>19.658553531971599</v>
      </c>
      <c r="AY298" s="2">
        <v>25.730368074117099</v>
      </c>
      <c r="AZ298" s="2">
        <v>20.3944515470249</v>
      </c>
      <c r="BA298" s="2">
        <v>20.466665073647501</v>
      </c>
      <c r="BB298" s="2">
        <v>20.110569777270499</v>
      </c>
      <c r="BC298" s="2">
        <v>21.6047302423719</v>
      </c>
      <c r="BD298" s="2">
        <v>20.914351296693901</v>
      </c>
      <c r="BE298" s="2">
        <v>20.647569569251299</v>
      </c>
      <c r="BF298" s="2">
        <v>19.736235713322301</v>
      </c>
      <c r="BG298" s="2">
        <v>21.163043920044601</v>
      </c>
      <c r="BH298" s="2">
        <v>21.6520555950922</v>
      </c>
      <c r="BI298" s="2">
        <v>21.7011517812835</v>
      </c>
      <c r="BJ298" s="2">
        <v>21.686183010802502</v>
      </c>
      <c r="BK298" s="2">
        <v>21.338471646244301</v>
      </c>
      <c r="BL298" s="2">
        <v>21.484368524677901</v>
      </c>
      <c r="BM298" s="2">
        <v>21.670711842698999</v>
      </c>
      <c r="BN298" s="2">
        <v>21.154814518870602</v>
      </c>
      <c r="BO298" s="2">
        <v>20.196191853655002</v>
      </c>
      <c r="BP298" s="2">
        <v>21.0813171713496</v>
      </c>
      <c r="BQ298" s="2">
        <v>21.400058456095199</v>
      </c>
      <c r="BR298" s="2">
        <v>20.777777646868799</v>
      </c>
      <c r="BS298" s="2">
        <v>22.7976130116154</v>
      </c>
      <c r="BT298" s="2">
        <v>21.086791549712501</v>
      </c>
      <c r="BU298" s="2">
        <v>22.649057736104702</v>
      </c>
      <c r="BV298" s="2">
        <v>21.626738849460299</v>
      </c>
      <c r="BW298" s="2">
        <v>21.5783115755533</v>
      </c>
      <c r="BX298" s="2">
        <v>21.194360389637801</v>
      </c>
      <c r="BY298" s="2">
        <v>21.363737676254601</v>
      </c>
      <c r="BZ298" s="2">
        <v>20.586457782003201</v>
      </c>
      <c r="CA298" s="2">
        <v>20.843889086639901</v>
      </c>
      <c r="CB298" s="2">
        <v>21.014346956051401</v>
      </c>
      <c r="CC298" s="2">
        <v>21.358774395002701</v>
      </c>
      <c r="CD298" s="2">
        <v>21.438563637281799</v>
      </c>
      <c r="CE298" s="2">
        <v>21.0784453786396</v>
      </c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</row>
    <row r="299" spans="1:97">
      <c r="A299" s="2" t="s">
        <v>3141</v>
      </c>
      <c r="B299" s="2">
        <v>128.03498999999999</v>
      </c>
      <c r="C299" s="2">
        <v>0.83499999999999996</v>
      </c>
      <c r="D299" s="2" t="s">
        <v>146</v>
      </c>
      <c r="E299" s="2" t="s">
        <v>3142</v>
      </c>
      <c r="F299" s="2" t="s">
        <v>3143</v>
      </c>
      <c r="G299" s="2">
        <v>46895</v>
      </c>
      <c r="H299" s="3" t="str">
        <f>HYPERLINK("https://cloud.oebiotech.com/#/lm/network/46895", "https://cloud.oebiotech.com/#/lm/network/46895")</f>
        <v>https://cloud.oebiotech.com/#/lm/network/46895</v>
      </c>
      <c r="I299" s="2" t="s">
        <v>3144</v>
      </c>
      <c r="J299" s="2">
        <v>19</v>
      </c>
      <c r="K299" s="2"/>
      <c r="L299" s="2">
        <v>33032</v>
      </c>
      <c r="M299" s="2" t="s">
        <v>3145</v>
      </c>
      <c r="N299" s="2" t="s">
        <v>3146</v>
      </c>
      <c r="O299" s="2" t="s">
        <v>3147</v>
      </c>
      <c r="P299" s="2">
        <v>16015</v>
      </c>
      <c r="Q299" s="2"/>
      <c r="R299" s="2"/>
      <c r="S299" s="2" t="s">
        <v>3148</v>
      </c>
      <c r="T299" s="2" t="s">
        <v>3149</v>
      </c>
      <c r="U299" s="2" t="s">
        <v>3150</v>
      </c>
      <c r="V299" s="2" t="s">
        <v>115</v>
      </c>
      <c r="W299" s="2" t="s">
        <v>116</v>
      </c>
      <c r="X299" s="2" t="s">
        <v>117</v>
      </c>
      <c r="Y299" s="2" t="s">
        <v>118</v>
      </c>
      <c r="Z299" s="2" t="s">
        <v>119</v>
      </c>
      <c r="AA299" s="2" t="s">
        <v>120</v>
      </c>
      <c r="AB299" s="2" t="s">
        <v>101</v>
      </c>
      <c r="AC299" s="2">
        <v>68.13</v>
      </c>
      <c r="AD299" s="2">
        <v>93.04</v>
      </c>
      <c r="AE299" s="2">
        <v>71.69</v>
      </c>
      <c r="AF299" s="2" t="s">
        <v>3151</v>
      </c>
      <c r="AG299" s="2" t="s">
        <v>993</v>
      </c>
      <c r="AH299" s="2" t="s">
        <v>2312</v>
      </c>
      <c r="AI299" s="2">
        <v>-1.8</v>
      </c>
      <c r="AJ299" s="2">
        <v>25.213642718231899</v>
      </c>
      <c r="AK299" s="2">
        <v>25.283574913296398</v>
      </c>
      <c r="AL299" s="2">
        <v>25.222260541100599</v>
      </c>
      <c r="AM299" s="2">
        <v>25.222370216117</v>
      </c>
      <c r="AN299" s="2">
        <v>25.158044154137201</v>
      </c>
      <c r="AO299" s="2">
        <v>25.367129382784299</v>
      </c>
      <c r="AP299" s="2">
        <v>25.261455080632501</v>
      </c>
      <c r="AQ299" s="2">
        <v>25.303507552906499</v>
      </c>
      <c r="AR299" s="2">
        <v>24.390925195379999</v>
      </c>
      <c r="AS299" s="2">
        <v>24.988556362832401</v>
      </c>
      <c r="AT299" s="2">
        <v>25.368507642125198</v>
      </c>
      <c r="AU299" s="2">
        <v>24.730314897870699</v>
      </c>
      <c r="AV299" s="2">
        <v>25.268740756312202</v>
      </c>
      <c r="AW299" s="2">
        <v>24.9473715658043</v>
      </c>
      <c r="AX299" s="2">
        <v>25.020113276038298</v>
      </c>
      <c r="AY299" s="2">
        <v>24.8243493145911</v>
      </c>
      <c r="AZ299" s="2">
        <v>24.952635887302002</v>
      </c>
      <c r="BA299" s="2">
        <v>24.693625466973199</v>
      </c>
      <c r="BB299" s="2">
        <v>25.023315503512102</v>
      </c>
      <c r="BC299" s="2">
        <v>25.783598326387001</v>
      </c>
      <c r="BD299" s="2">
        <v>24.117182284750299</v>
      </c>
      <c r="BE299" s="2">
        <v>24.983914456895501</v>
      </c>
      <c r="BF299" s="2">
        <v>25.303680531494301</v>
      </c>
      <c r="BG299" s="2">
        <v>25.214776444982199</v>
      </c>
      <c r="BH299" s="2">
        <v>24.9157608422984</v>
      </c>
      <c r="BI299" s="2">
        <v>24.701181962516898</v>
      </c>
      <c r="BJ299" s="2">
        <v>25.370773073778999</v>
      </c>
      <c r="BK299" s="2">
        <v>24.911051796671799</v>
      </c>
      <c r="BL299" s="2">
        <v>24.454063488729599</v>
      </c>
      <c r="BM299" s="2">
        <v>25.0653014213764</v>
      </c>
      <c r="BN299" s="2">
        <v>25.0398134151636</v>
      </c>
      <c r="BO299" s="2">
        <v>24.825522408870601</v>
      </c>
      <c r="BP299" s="2">
        <v>25.378902650536698</v>
      </c>
      <c r="BQ299" s="2">
        <v>24.915844790352899</v>
      </c>
      <c r="BR299" s="2">
        <v>25.483401757044199</v>
      </c>
      <c r="BS299" s="2">
        <v>24.9735060520178</v>
      </c>
      <c r="BT299" s="2">
        <v>25.094333731338999</v>
      </c>
      <c r="BU299" s="2">
        <v>25.8738950900437</v>
      </c>
      <c r="BV299" s="2">
        <v>25.030257749409198</v>
      </c>
      <c r="BW299" s="2">
        <v>24.885995174561799</v>
      </c>
      <c r="BX299" s="2">
        <v>24.821649779016699</v>
      </c>
      <c r="BY299" s="2">
        <v>25.528621984606499</v>
      </c>
      <c r="BZ299" s="2">
        <v>25.040752136553401</v>
      </c>
      <c r="CA299" s="2">
        <v>25.1512739861402</v>
      </c>
      <c r="CB299" s="2">
        <v>25.005361449835199</v>
      </c>
      <c r="CC299" s="2">
        <v>24.6730283632659</v>
      </c>
      <c r="CD299" s="2">
        <v>25.678002192679401</v>
      </c>
      <c r="CE299" s="2">
        <v>24.8687803865879</v>
      </c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</row>
    <row r="300" spans="1:97">
      <c r="A300" s="2" t="s">
        <v>3152</v>
      </c>
      <c r="B300" s="2">
        <v>215.01594</v>
      </c>
      <c r="C300" s="2">
        <v>1.026</v>
      </c>
      <c r="D300" s="2" t="s">
        <v>84</v>
      </c>
      <c r="E300" s="2" t="s">
        <v>3153</v>
      </c>
      <c r="F300" s="2" t="s">
        <v>3154</v>
      </c>
      <c r="G300" s="2">
        <v>46867</v>
      </c>
      <c r="H300" s="3" t="str">
        <f>HYPERLINK("https://cloud.oebiotech.com/#/lm/network/46867", "https://cloud.oebiotech.com/#/lm/network/46867")</f>
        <v>https://cloud.oebiotech.com/#/lm/network/46867</v>
      </c>
      <c r="I300" s="2" t="s">
        <v>3155</v>
      </c>
      <c r="J300" s="2">
        <v>124</v>
      </c>
      <c r="K300" s="2"/>
      <c r="L300" s="2">
        <v>311</v>
      </c>
      <c r="M300" s="2" t="s">
        <v>3156</v>
      </c>
      <c r="N300" s="2" t="s">
        <v>3157</v>
      </c>
      <c r="O300" s="2" t="s">
        <v>3158</v>
      </c>
      <c r="P300" s="2">
        <v>30769</v>
      </c>
      <c r="Q300" s="2" t="s">
        <v>3159</v>
      </c>
      <c r="R300" s="2" t="s">
        <v>3160</v>
      </c>
      <c r="S300" s="2" t="s">
        <v>3161</v>
      </c>
      <c r="T300" s="2" t="s">
        <v>3162</v>
      </c>
      <c r="U300" s="2" t="s">
        <v>3163</v>
      </c>
      <c r="V300" s="2" t="s">
        <v>115</v>
      </c>
      <c r="W300" s="2" t="s">
        <v>116</v>
      </c>
      <c r="X300" s="2" t="s">
        <v>1642</v>
      </c>
      <c r="Y300" s="2" t="s">
        <v>118</v>
      </c>
      <c r="Z300" s="2" t="s">
        <v>119</v>
      </c>
      <c r="AA300" s="2" t="s">
        <v>1643</v>
      </c>
      <c r="AB300" s="2" t="s">
        <v>101</v>
      </c>
      <c r="AC300" s="2">
        <v>68.02</v>
      </c>
      <c r="AD300" s="2">
        <v>91.28</v>
      </c>
      <c r="AE300" s="2">
        <v>68.760000000000005</v>
      </c>
      <c r="AF300" s="2" t="s">
        <v>3164</v>
      </c>
      <c r="AG300" s="2" t="s">
        <v>1578</v>
      </c>
      <c r="AH300" s="2" t="s">
        <v>3165</v>
      </c>
      <c r="AI300" s="2">
        <v>1.4</v>
      </c>
      <c r="AJ300" s="2">
        <v>25.754890523959201</v>
      </c>
      <c r="AK300" s="2">
        <v>25.785335400242001</v>
      </c>
      <c r="AL300" s="2">
        <v>25.8551637717555</v>
      </c>
      <c r="AM300" s="2">
        <v>25.8590728714105</v>
      </c>
      <c r="AN300" s="2">
        <v>26.247918169143301</v>
      </c>
      <c r="AO300" s="2">
        <v>25.968628299765101</v>
      </c>
      <c r="AP300" s="2">
        <v>25.699209113197998</v>
      </c>
      <c r="AQ300" s="2">
        <v>25.638163297157298</v>
      </c>
      <c r="AR300" s="2">
        <v>25.3336975389274</v>
      </c>
      <c r="AS300" s="2">
        <v>25.3005201136903</v>
      </c>
      <c r="AT300" s="2">
        <v>25.309937058338399</v>
      </c>
      <c r="AU300" s="2">
        <v>25.067653564005401</v>
      </c>
      <c r="AV300" s="2">
        <v>25.938242980694699</v>
      </c>
      <c r="AW300" s="2">
        <v>25.927504235001201</v>
      </c>
      <c r="AX300" s="2">
        <v>25.734817730185998</v>
      </c>
      <c r="AY300" s="2">
        <v>25.517633291391</v>
      </c>
      <c r="AZ300" s="2">
        <v>25.713994999549499</v>
      </c>
      <c r="BA300" s="2">
        <v>25.407023182421401</v>
      </c>
      <c r="BB300" s="2">
        <v>25.544686457735001</v>
      </c>
      <c r="BC300" s="2">
        <v>25.810004813468201</v>
      </c>
      <c r="BD300" s="2">
        <v>25.963326136117999</v>
      </c>
      <c r="BE300" s="2">
        <v>25.8617866229736</v>
      </c>
      <c r="BF300" s="2">
        <v>25.7222002534428</v>
      </c>
      <c r="BG300" s="2">
        <v>25.3044958623464</v>
      </c>
      <c r="BH300" s="2">
        <v>25.580913087810099</v>
      </c>
      <c r="BI300" s="2">
        <v>25.611208102171599</v>
      </c>
      <c r="BJ300" s="2">
        <v>26.3897478989491</v>
      </c>
      <c r="BK300" s="2">
        <v>25.1409070743094</v>
      </c>
      <c r="BL300" s="2">
        <v>25.5807244645884</v>
      </c>
      <c r="BM300" s="2">
        <v>25.460568711189602</v>
      </c>
      <c r="BN300" s="2">
        <v>25.734937551803601</v>
      </c>
      <c r="BO300" s="2">
        <v>25.382657498344201</v>
      </c>
      <c r="BP300" s="2">
        <v>25.810955676022299</v>
      </c>
      <c r="BQ300" s="2">
        <v>26.007281752189598</v>
      </c>
      <c r="BR300" s="2">
        <v>25.566833815967101</v>
      </c>
      <c r="BS300" s="2">
        <v>25.694649435780899</v>
      </c>
      <c r="BT300" s="2">
        <v>25.438687893676601</v>
      </c>
      <c r="BU300" s="2">
        <v>25.792991308788999</v>
      </c>
      <c r="BV300" s="2">
        <v>25.709279978019001</v>
      </c>
      <c r="BW300" s="2">
        <v>25.057939317448199</v>
      </c>
      <c r="BX300" s="2">
        <v>25.637849373657801</v>
      </c>
      <c r="BY300" s="2">
        <v>25.971198235488199</v>
      </c>
      <c r="BZ300" s="2">
        <v>25.5148245560692</v>
      </c>
      <c r="CA300" s="2">
        <v>25.347436201034899</v>
      </c>
      <c r="CB300" s="2">
        <v>25.138341244845002</v>
      </c>
      <c r="CC300" s="2">
        <v>25.490340814363901</v>
      </c>
      <c r="CD300" s="2">
        <v>25.911603394701501</v>
      </c>
      <c r="CE300" s="2">
        <v>25.761715746645098</v>
      </c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</row>
    <row r="301" spans="1:97">
      <c r="A301" s="2" t="s">
        <v>3166</v>
      </c>
      <c r="B301" s="2">
        <v>190.05401000000001</v>
      </c>
      <c r="C301" s="2">
        <v>3.8849999999999998</v>
      </c>
      <c r="D301" s="2" t="s">
        <v>146</v>
      </c>
      <c r="E301" s="2" t="s">
        <v>3167</v>
      </c>
      <c r="F301" s="2" t="s">
        <v>3168</v>
      </c>
      <c r="G301" s="2">
        <v>51512</v>
      </c>
      <c r="H301" s="3" t="str">
        <f>HYPERLINK("https://cloud.oebiotech.com/#/lm/network/51512", "https://cloud.oebiotech.com/#/lm/network/51512")</f>
        <v>https://cloud.oebiotech.com/#/lm/network/51512</v>
      </c>
      <c r="I301" s="2" t="s">
        <v>3169</v>
      </c>
      <c r="J301" s="2"/>
      <c r="K301" s="2"/>
      <c r="L301" s="2">
        <v>448580</v>
      </c>
      <c r="M301" s="2" t="s">
        <v>3170</v>
      </c>
      <c r="N301" s="2"/>
      <c r="O301" s="2"/>
      <c r="P301" s="2">
        <v>21557</v>
      </c>
      <c r="Q301" s="2"/>
      <c r="R301" s="2"/>
      <c r="S301" s="2" t="s">
        <v>3171</v>
      </c>
      <c r="T301" s="2" t="s">
        <v>3172</v>
      </c>
      <c r="U301" s="2" t="s">
        <v>3173</v>
      </c>
      <c r="V301" s="2" t="s">
        <v>115</v>
      </c>
      <c r="W301" s="2" t="s">
        <v>116</v>
      </c>
      <c r="X301" s="2" t="s">
        <v>117</v>
      </c>
      <c r="Y301" s="2" t="s">
        <v>118</v>
      </c>
      <c r="Z301" s="2" t="s">
        <v>119</v>
      </c>
      <c r="AA301" s="2" t="s">
        <v>120</v>
      </c>
      <c r="AB301" s="2" t="s">
        <v>101</v>
      </c>
      <c r="AC301" s="2">
        <v>68.02</v>
      </c>
      <c r="AD301" s="2">
        <v>92.03</v>
      </c>
      <c r="AE301" s="2">
        <v>71.39</v>
      </c>
      <c r="AF301" s="2" t="s">
        <v>3174</v>
      </c>
      <c r="AG301" s="2" t="s">
        <v>194</v>
      </c>
      <c r="AH301" s="2" t="s">
        <v>3175</v>
      </c>
      <c r="AI301" s="2">
        <v>1.58</v>
      </c>
      <c r="AJ301" s="2">
        <v>18.867416875925201</v>
      </c>
      <c r="AK301" s="2">
        <v>18.6103965370305</v>
      </c>
      <c r="AL301" s="2">
        <v>18.915159590283</v>
      </c>
      <c r="AM301" s="2">
        <v>18.824105143681098</v>
      </c>
      <c r="AN301" s="2">
        <v>18.4227474810289</v>
      </c>
      <c r="AO301" s="2">
        <v>18.954109332033099</v>
      </c>
      <c r="AP301" s="2">
        <v>18.7940653168009</v>
      </c>
      <c r="AQ301" s="2">
        <v>19.060231770282499</v>
      </c>
      <c r="AR301" s="2">
        <v>16.948141336482301</v>
      </c>
      <c r="AS301" s="2">
        <v>17.8554329210011</v>
      </c>
      <c r="AT301" s="2">
        <v>17.425294429676399</v>
      </c>
      <c r="AU301" s="2">
        <v>17.518817947985799</v>
      </c>
      <c r="AV301" s="2">
        <v>18.472551233214499</v>
      </c>
      <c r="AW301" s="2">
        <v>18.806078281484599</v>
      </c>
      <c r="AX301" s="2">
        <v>18.551258851236401</v>
      </c>
      <c r="AY301" s="2">
        <v>18.294574981939199</v>
      </c>
      <c r="AZ301" s="2">
        <v>18.258596442415801</v>
      </c>
      <c r="BA301" s="2">
        <v>18.329174106626301</v>
      </c>
      <c r="BB301" s="2">
        <v>18.0325654797577</v>
      </c>
      <c r="BC301" s="2">
        <v>17.901027022554601</v>
      </c>
      <c r="BD301" s="2">
        <v>18.116341930415299</v>
      </c>
      <c r="BE301" s="2">
        <v>18.819966211799802</v>
      </c>
      <c r="BF301" s="2">
        <v>19.192011709131101</v>
      </c>
      <c r="BG301" s="2">
        <v>18.808333197139099</v>
      </c>
      <c r="BH301" s="2">
        <v>19.275064218517102</v>
      </c>
      <c r="BI301" s="2">
        <v>18.494151069197901</v>
      </c>
      <c r="BJ301" s="2">
        <v>18.3588222738619</v>
      </c>
      <c r="BK301" s="2">
        <v>17.790339905012999</v>
      </c>
      <c r="BL301" s="2">
        <v>18.5486718331018</v>
      </c>
      <c r="BM301" s="2">
        <v>19.235776671780599</v>
      </c>
      <c r="BN301" s="2">
        <v>18.904274602654802</v>
      </c>
      <c r="BO301" s="2">
        <v>18.4932381448603</v>
      </c>
      <c r="BP301" s="2">
        <v>18.548226820006001</v>
      </c>
      <c r="BQ301" s="2">
        <v>19.2727854255679</v>
      </c>
      <c r="BR301" s="2">
        <v>18.1117752576247</v>
      </c>
      <c r="BS301" s="2">
        <v>18.7036879680002</v>
      </c>
      <c r="BT301" s="2">
        <v>18.596948714455099</v>
      </c>
      <c r="BU301" s="2">
        <v>19.013511766106699</v>
      </c>
      <c r="BV301" s="2">
        <v>18.8436665715952</v>
      </c>
      <c r="BW301" s="2">
        <v>17.654430310115799</v>
      </c>
      <c r="BX301" s="2">
        <v>18.620620951984801</v>
      </c>
      <c r="BY301" s="2">
        <v>19.6959977538428</v>
      </c>
      <c r="BZ301" s="2">
        <v>19.113621592256798</v>
      </c>
      <c r="CA301" s="2">
        <v>19.5248831730528</v>
      </c>
      <c r="CB301" s="2">
        <v>17.0611739225251</v>
      </c>
      <c r="CC301" s="2">
        <v>18.792572957504898</v>
      </c>
      <c r="CD301" s="2">
        <v>18.809133042381799</v>
      </c>
      <c r="CE301" s="2">
        <v>18.767055161816799</v>
      </c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</row>
    <row r="302" spans="1:97">
      <c r="A302" s="2" t="s">
        <v>3176</v>
      </c>
      <c r="B302" s="2">
        <v>206.08176</v>
      </c>
      <c r="C302" s="2">
        <v>4.9039999999999999</v>
      </c>
      <c r="D302" s="2" t="s">
        <v>146</v>
      </c>
      <c r="E302" s="2" t="s">
        <v>3177</v>
      </c>
      <c r="F302" s="2" t="s">
        <v>3178</v>
      </c>
      <c r="G302" s="2">
        <v>47069</v>
      </c>
      <c r="H302" s="3" t="str">
        <f>HYPERLINK("https://cloud.oebiotech.com/#/lm/network/47069", "https://cloud.oebiotech.com/#/lm/network/47069")</f>
        <v>https://cloud.oebiotech.com/#/lm/network/47069</v>
      </c>
      <c r="I302" s="2" t="s">
        <v>3179</v>
      </c>
      <c r="J302" s="2">
        <v>34536</v>
      </c>
      <c r="K302" s="2"/>
      <c r="L302" s="2">
        <v>74839</v>
      </c>
      <c r="M302" s="2" t="s">
        <v>3180</v>
      </c>
      <c r="N302" s="2" t="s">
        <v>526</v>
      </c>
      <c r="O302" s="2" t="s">
        <v>527</v>
      </c>
      <c r="P302" s="2">
        <v>16259</v>
      </c>
      <c r="Q302" s="2"/>
      <c r="R302" s="2"/>
      <c r="S302" s="2" t="s">
        <v>3181</v>
      </c>
      <c r="T302" s="2" t="s">
        <v>3182</v>
      </c>
      <c r="U302" s="2" t="s">
        <v>3183</v>
      </c>
      <c r="V302" s="2" t="s">
        <v>115</v>
      </c>
      <c r="W302" s="2" t="s">
        <v>116</v>
      </c>
      <c r="X302" s="2" t="s">
        <v>117</v>
      </c>
      <c r="Y302" s="2" t="s">
        <v>118</v>
      </c>
      <c r="Z302" s="2" t="s">
        <v>119</v>
      </c>
      <c r="AA302" s="2" t="s">
        <v>120</v>
      </c>
      <c r="AB302" s="2" t="s">
        <v>101</v>
      </c>
      <c r="AC302" s="2">
        <v>67.97</v>
      </c>
      <c r="AD302" s="2">
        <v>93.22</v>
      </c>
      <c r="AE302" s="2">
        <v>75.099999999999994</v>
      </c>
      <c r="AF302" s="2" t="s">
        <v>3184</v>
      </c>
      <c r="AG302" s="2" t="s">
        <v>194</v>
      </c>
      <c r="AH302" s="2" t="s">
        <v>3185</v>
      </c>
      <c r="AI302" s="2">
        <v>2.4300000000000002</v>
      </c>
      <c r="AJ302" s="2">
        <v>19.124725792439801</v>
      </c>
      <c r="AK302" s="2">
        <v>19.141061537558201</v>
      </c>
      <c r="AL302" s="2">
        <v>19.1912921372925</v>
      </c>
      <c r="AM302" s="2">
        <v>19.335868488347401</v>
      </c>
      <c r="AN302" s="2">
        <v>19.329977850339201</v>
      </c>
      <c r="AO302" s="2">
        <v>19.321521443077501</v>
      </c>
      <c r="AP302" s="2">
        <v>19.423158329899799</v>
      </c>
      <c r="AQ302" s="2">
        <v>19.269742939039499</v>
      </c>
      <c r="AR302" s="2">
        <v>18.5772761665012</v>
      </c>
      <c r="AS302" s="2">
        <v>18.5147750690859</v>
      </c>
      <c r="AT302" s="2">
        <v>18.557758947597002</v>
      </c>
      <c r="AU302" s="2">
        <v>18.3458818270595</v>
      </c>
      <c r="AV302" s="2">
        <v>19.049852084942302</v>
      </c>
      <c r="AW302" s="2">
        <v>19.003361272724099</v>
      </c>
      <c r="AX302" s="2">
        <v>19.053211296772702</v>
      </c>
      <c r="AY302" s="2">
        <v>18.964878878541899</v>
      </c>
      <c r="AZ302" s="2">
        <v>18.803820592514601</v>
      </c>
      <c r="BA302" s="2">
        <v>18.936700704762401</v>
      </c>
      <c r="BB302" s="2">
        <v>19.335131738444399</v>
      </c>
      <c r="BC302" s="2">
        <v>17.985188034298002</v>
      </c>
      <c r="BD302" s="2">
        <v>18.839165274043399</v>
      </c>
      <c r="BE302" s="2">
        <v>19.5972228938219</v>
      </c>
      <c r="BF302" s="2">
        <v>19.556465378013499</v>
      </c>
      <c r="BG302" s="2">
        <v>19.641751688039498</v>
      </c>
      <c r="BH302" s="2">
        <v>19.261859262922702</v>
      </c>
      <c r="BI302" s="2">
        <v>19.318876269058599</v>
      </c>
      <c r="BJ302" s="2">
        <v>19.243719275786798</v>
      </c>
      <c r="BK302" s="2">
        <v>19.213463861049</v>
      </c>
      <c r="BL302" s="2">
        <v>19.267946937675301</v>
      </c>
      <c r="BM302" s="2">
        <v>19.017492928837001</v>
      </c>
      <c r="BN302" s="2">
        <v>19.012049469529501</v>
      </c>
      <c r="BO302" s="2">
        <v>19.207086884112901</v>
      </c>
      <c r="BP302" s="2">
        <v>18.938334700991302</v>
      </c>
      <c r="BQ302" s="2">
        <v>19.109737932846802</v>
      </c>
      <c r="BR302" s="2">
        <v>19.024737961531599</v>
      </c>
      <c r="BS302" s="2">
        <v>18.989544458621399</v>
      </c>
      <c r="BT302" s="2">
        <v>18.7140913039485</v>
      </c>
      <c r="BU302" s="2">
        <v>19.054594249752299</v>
      </c>
      <c r="BV302" s="2">
        <v>19.315344669249701</v>
      </c>
      <c r="BW302" s="2">
        <v>18.394960134646801</v>
      </c>
      <c r="BX302" s="2">
        <v>19.071081547570898</v>
      </c>
      <c r="BY302" s="2">
        <v>19.868713727730299</v>
      </c>
      <c r="BZ302" s="2">
        <v>19.179409992308099</v>
      </c>
      <c r="CA302" s="2">
        <v>19.702954783327499</v>
      </c>
      <c r="CB302" s="2">
        <v>18.9463565487859</v>
      </c>
      <c r="CC302" s="2">
        <v>19.040879297214499</v>
      </c>
      <c r="CD302" s="2">
        <v>19.634416792928999</v>
      </c>
      <c r="CE302" s="2">
        <v>19.407749732973901</v>
      </c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</row>
    <row r="303" spans="1:97">
      <c r="A303" s="2" t="s">
        <v>3186</v>
      </c>
      <c r="B303" s="2">
        <v>255.11347000000001</v>
      </c>
      <c r="C303" s="2">
        <v>5.7069999999999999</v>
      </c>
      <c r="D303" s="2" t="s">
        <v>146</v>
      </c>
      <c r="E303" s="2" t="s">
        <v>3187</v>
      </c>
      <c r="F303" s="2" t="s">
        <v>3188</v>
      </c>
      <c r="G303" s="2">
        <v>203085</v>
      </c>
      <c r="H303" s="3" t="str">
        <f>HYPERLINK("https://cloud.oebiotech.com/#/lm/network/203085", "https://cloud.oebiotech.com/#/lm/network/203085")</f>
        <v>https://cloud.oebiotech.com/#/lm/network/203085</v>
      </c>
      <c r="I303" s="2" t="s">
        <v>3189</v>
      </c>
      <c r="J303" s="2"/>
      <c r="K303" s="2"/>
      <c r="L303" s="2">
        <v>38050</v>
      </c>
      <c r="M303" s="2"/>
      <c r="N303" s="2"/>
      <c r="O303" s="2"/>
      <c r="P303" s="2"/>
      <c r="Q303" s="2"/>
      <c r="R303" s="2"/>
      <c r="S303" s="2"/>
      <c r="T303" s="2" t="s">
        <v>3190</v>
      </c>
      <c r="U303" s="2" t="s">
        <v>3191</v>
      </c>
      <c r="V303" s="2" t="s">
        <v>553</v>
      </c>
      <c r="W303" s="2" t="s">
        <v>3192</v>
      </c>
      <c r="X303" s="2" t="s">
        <v>3193</v>
      </c>
      <c r="Y303" s="2" t="s">
        <v>556</v>
      </c>
      <c r="Z303" s="2" t="s">
        <v>3194</v>
      </c>
      <c r="AA303" s="2" t="s">
        <v>3195</v>
      </c>
      <c r="AB303" s="2" t="s">
        <v>101</v>
      </c>
      <c r="AC303" s="2">
        <v>67.959999999999994</v>
      </c>
      <c r="AD303" s="2">
        <v>96.77</v>
      </c>
      <c r="AE303" s="2">
        <v>64.78</v>
      </c>
      <c r="AF303" s="2" t="s">
        <v>3196</v>
      </c>
      <c r="AG303" s="2" t="s">
        <v>993</v>
      </c>
      <c r="AH303" s="2" t="s">
        <v>3197</v>
      </c>
      <c r="AI303" s="2">
        <v>-0.39</v>
      </c>
      <c r="AJ303" s="2">
        <v>19.054247410065098</v>
      </c>
      <c r="AK303" s="2">
        <v>19.017932425653498</v>
      </c>
      <c r="AL303" s="2">
        <v>19.194574433558699</v>
      </c>
      <c r="AM303" s="2">
        <v>19.240221542346799</v>
      </c>
      <c r="AN303" s="2">
        <v>19.267598134807301</v>
      </c>
      <c r="AO303" s="2">
        <v>19.451040767957402</v>
      </c>
      <c r="AP303" s="2">
        <v>19.3011248141514</v>
      </c>
      <c r="AQ303" s="2">
        <v>19.4999185672111</v>
      </c>
      <c r="AR303" s="2">
        <v>17.152047318449799</v>
      </c>
      <c r="AS303" s="2">
        <v>18.314560631183301</v>
      </c>
      <c r="AT303" s="2">
        <v>18.924499239789501</v>
      </c>
      <c r="AU303" s="2">
        <v>15.920786650203199</v>
      </c>
      <c r="AV303" s="2">
        <v>18.198507102862902</v>
      </c>
      <c r="AW303" s="2">
        <v>18.403096720486602</v>
      </c>
      <c r="AX303" s="2">
        <v>19.121890575383599</v>
      </c>
      <c r="AY303" s="2">
        <v>18.853656540318301</v>
      </c>
      <c r="AZ303" s="2">
        <v>17.450941547420399</v>
      </c>
      <c r="BA303" s="2">
        <v>18.265381091321299</v>
      </c>
      <c r="BB303" s="2">
        <v>18.7486938003189</v>
      </c>
      <c r="BC303" s="2">
        <v>19.031984902859001</v>
      </c>
      <c r="BD303" s="2">
        <v>17.799704635184099</v>
      </c>
      <c r="BE303" s="2">
        <v>20.484837376276001</v>
      </c>
      <c r="BF303" s="2">
        <v>17.950365432692099</v>
      </c>
      <c r="BG303" s="2">
        <v>19.808014005555901</v>
      </c>
      <c r="BH303" s="2">
        <v>18.9388959600433</v>
      </c>
      <c r="BI303" s="2">
        <v>19.306139498562899</v>
      </c>
      <c r="BJ303" s="2">
        <v>19.549852939300699</v>
      </c>
      <c r="BK303" s="2">
        <v>18.165311812942502</v>
      </c>
      <c r="BL303" s="2">
        <v>18.638148629046398</v>
      </c>
      <c r="BM303" s="2">
        <v>17.215140402692398</v>
      </c>
      <c r="BN303" s="2">
        <v>18.456708707900301</v>
      </c>
      <c r="BO303" s="2">
        <v>19.1533352282039</v>
      </c>
      <c r="BP303" s="2">
        <v>19.452174183737899</v>
      </c>
      <c r="BQ303" s="2">
        <v>18.548587364171102</v>
      </c>
      <c r="BR303" s="2">
        <v>19.501218212921401</v>
      </c>
      <c r="BS303" s="2">
        <v>18.3061463533999</v>
      </c>
      <c r="BT303" s="2">
        <v>18.1188579057524</v>
      </c>
      <c r="BU303" s="2">
        <v>18.707138952207998</v>
      </c>
      <c r="BV303" s="2">
        <v>19.1318086911566</v>
      </c>
      <c r="BW303" s="2">
        <v>18.616672174001</v>
      </c>
      <c r="BX303" s="2">
        <v>17.474934896382699</v>
      </c>
      <c r="BY303" s="2">
        <v>20.335334990680501</v>
      </c>
      <c r="BZ303" s="2">
        <v>17.357808157837098</v>
      </c>
      <c r="CA303" s="2">
        <v>18.747389760026199</v>
      </c>
      <c r="CB303" s="2">
        <v>19.790658560638001</v>
      </c>
      <c r="CC303" s="2">
        <v>18.279803119172001</v>
      </c>
      <c r="CD303" s="2">
        <v>20.109413284375702</v>
      </c>
      <c r="CE303" s="2">
        <v>19.011840889548701</v>
      </c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</row>
    <row r="304" spans="1:97">
      <c r="A304" s="2" t="s">
        <v>3198</v>
      </c>
      <c r="B304" s="2">
        <v>463.34239000000002</v>
      </c>
      <c r="C304" s="2">
        <v>11.946999999999999</v>
      </c>
      <c r="D304" s="2" t="s">
        <v>146</v>
      </c>
      <c r="E304" s="2" t="s">
        <v>3199</v>
      </c>
      <c r="F304" s="2" t="s">
        <v>3200</v>
      </c>
      <c r="G304" s="2">
        <v>48921</v>
      </c>
      <c r="H304" s="3" t="str">
        <f>HYPERLINK("https://cloud.oebiotech.com/#/lm/network/48921", "https://cloud.oebiotech.com/#/lm/network/48921")</f>
        <v>https://cloud.oebiotech.com/#/lm/network/48921</v>
      </c>
      <c r="I304" s="2" t="s">
        <v>3201</v>
      </c>
      <c r="J304" s="2"/>
      <c r="K304" s="2"/>
      <c r="L304" s="2">
        <v>53477906</v>
      </c>
      <c r="M304" s="2" t="s">
        <v>3202</v>
      </c>
      <c r="N304" s="2" t="s">
        <v>576</v>
      </c>
      <c r="O304" s="2" t="s">
        <v>577</v>
      </c>
      <c r="P304" s="2">
        <v>27428</v>
      </c>
      <c r="Q304" s="2" t="s">
        <v>3203</v>
      </c>
      <c r="R304" s="2" t="s">
        <v>3204</v>
      </c>
      <c r="S304" s="2"/>
      <c r="T304" s="2" t="s">
        <v>3205</v>
      </c>
      <c r="U304" s="2" t="s">
        <v>3206</v>
      </c>
      <c r="V304" s="2" t="s">
        <v>95</v>
      </c>
      <c r="W304" s="2" t="s">
        <v>152</v>
      </c>
      <c r="X304" s="2" t="s">
        <v>278</v>
      </c>
      <c r="Y304" s="2" t="s">
        <v>98</v>
      </c>
      <c r="Z304" s="2" t="s">
        <v>154</v>
      </c>
      <c r="AA304" s="2" t="s">
        <v>279</v>
      </c>
      <c r="AB304" s="2" t="s">
        <v>101</v>
      </c>
      <c r="AC304" s="2">
        <v>67.94</v>
      </c>
      <c r="AD304" s="2">
        <v>81.790000000000006</v>
      </c>
      <c r="AE304" s="2">
        <v>69.650000000000006</v>
      </c>
      <c r="AF304" s="2" t="s">
        <v>3207</v>
      </c>
      <c r="AG304" s="2" t="s">
        <v>157</v>
      </c>
      <c r="AH304" s="2" t="s">
        <v>3208</v>
      </c>
      <c r="AI304" s="2">
        <v>1.08</v>
      </c>
      <c r="AJ304" s="2">
        <v>20.397310460476</v>
      </c>
      <c r="AK304" s="2">
        <v>20.000179896394901</v>
      </c>
      <c r="AL304" s="2">
        <v>19.912017085795199</v>
      </c>
      <c r="AM304" s="2">
        <v>19.951297352155098</v>
      </c>
      <c r="AN304" s="2">
        <v>19.713510531489401</v>
      </c>
      <c r="AO304" s="2">
        <v>19.8507358002526</v>
      </c>
      <c r="AP304" s="2">
        <v>19.9712685431866</v>
      </c>
      <c r="AQ304" s="2">
        <v>19.915934843378</v>
      </c>
      <c r="AR304" s="2">
        <v>19.093941225206201</v>
      </c>
      <c r="AS304" s="2">
        <v>19.185772124880199</v>
      </c>
      <c r="AT304" s="2">
        <v>19.7509696374245</v>
      </c>
      <c r="AU304" s="2">
        <v>19.250998663499701</v>
      </c>
      <c r="AV304" s="2">
        <v>19.572325727979599</v>
      </c>
      <c r="AW304" s="2">
        <v>19.8451059569969</v>
      </c>
      <c r="AX304" s="2">
        <v>19.522895761015999</v>
      </c>
      <c r="AY304" s="2">
        <v>21.066155598258799</v>
      </c>
      <c r="AZ304" s="2">
        <v>20.418215143103701</v>
      </c>
      <c r="BA304" s="2">
        <v>20.050531682107898</v>
      </c>
      <c r="BB304" s="2">
        <v>19.725921698131501</v>
      </c>
      <c r="BC304" s="2">
        <v>20.3604092358255</v>
      </c>
      <c r="BD304" s="2">
        <v>20.008139772371901</v>
      </c>
      <c r="BE304" s="2">
        <v>20.793625057489201</v>
      </c>
      <c r="BF304" s="2">
        <v>18.792390319719701</v>
      </c>
      <c r="BG304" s="2">
        <v>19.607464855695</v>
      </c>
      <c r="BH304" s="2">
        <v>19.403770248090801</v>
      </c>
      <c r="BI304" s="2">
        <v>18.556672678542</v>
      </c>
      <c r="BJ304" s="2">
        <v>20.3744718522243</v>
      </c>
      <c r="BK304" s="2">
        <v>18.629035779157</v>
      </c>
      <c r="BL304" s="2">
        <v>19.542119857081499</v>
      </c>
      <c r="BM304" s="2">
        <v>19.290922678812699</v>
      </c>
      <c r="BN304" s="2">
        <v>19.9925211693965</v>
      </c>
      <c r="BO304" s="2">
        <v>19.809833116338201</v>
      </c>
      <c r="BP304" s="2">
        <v>19.444848580141301</v>
      </c>
      <c r="BQ304" s="2">
        <v>19.6521540354175</v>
      </c>
      <c r="BR304" s="2">
        <v>19.4486631141842</v>
      </c>
      <c r="BS304" s="2">
        <v>21.351151172487199</v>
      </c>
      <c r="BT304" s="2">
        <v>20.558406138555</v>
      </c>
      <c r="BU304" s="2">
        <v>19.223078679178901</v>
      </c>
      <c r="BV304" s="2">
        <v>19.252865433619998</v>
      </c>
      <c r="BW304" s="2">
        <v>18.391193233872499</v>
      </c>
      <c r="BX304" s="2">
        <v>19.543324615119399</v>
      </c>
      <c r="BY304" s="2">
        <v>20.944157472594998</v>
      </c>
      <c r="BZ304" s="2">
        <v>18.806301681523699</v>
      </c>
      <c r="CA304" s="2">
        <v>19.097192808595501</v>
      </c>
      <c r="CB304" s="2">
        <v>18.757234608895899</v>
      </c>
      <c r="CC304" s="2">
        <v>18.7807258656408</v>
      </c>
      <c r="CD304" s="2">
        <v>20.4151292903788</v>
      </c>
      <c r="CE304" s="2">
        <v>17.966229366317101</v>
      </c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</row>
    <row r="305" spans="1:97">
      <c r="A305" s="2" t="s">
        <v>3209</v>
      </c>
      <c r="B305" s="2">
        <v>351.21596</v>
      </c>
      <c r="C305" s="2">
        <v>7.5979999999999999</v>
      </c>
      <c r="D305" s="2" t="s">
        <v>84</v>
      </c>
      <c r="E305" s="2" t="s">
        <v>3210</v>
      </c>
      <c r="F305" s="2" t="s">
        <v>3211</v>
      </c>
      <c r="G305" s="2">
        <v>3914</v>
      </c>
      <c r="H305" s="3" t="str">
        <f>HYPERLINK("https://cloud.oebiotech.com/#/lm/network/3914", "https://cloud.oebiotech.com/#/lm/network/3914")</f>
        <v>https://cloud.oebiotech.com/#/lm/network/3914</v>
      </c>
      <c r="I305" s="2"/>
      <c r="J305" s="2">
        <v>36261</v>
      </c>
      <c r="K305" s="2" t="s">
        <v>3212</v>
      </c>
      <c r="L305" s="2">
        <v>5283140</v>
      </c>
      <c r="M305" s="2"/>
      <c r="N305" s="2"/>
      <c r="O305" s="2"/>
      <c r="P305" s="2">
        <v>84444</v>
      </c>
      <c r="Q305" s="2"/>
      <c r="R305" s="2"/>
      <c r="S305" s="2" t="s">
        <v>3213</v>
      </c>
      <c r="T305" s="2" t="s">
        <v>3214</v>
      </c>
      <c r="U305" s="2" t="s">
        <v>3215</v>
      </c>
      <c r="V305" s="2" t="s">
        <v>95</v>
      </c>
      <c r="W305" s="2" t="s">
        <v>96</v>
      </c>
      <c r="X305" s="2" t="s">
        <v>3216</v>
      </c>
      <c r="Y305" s="2" t="s">
        <v>98</v>
      </c>
      <c r="Z305" s="2" t="s">
        <v>99</v>
      </c>
      <c r="AA305" s="2" t="s">
        <v>3217</v>
      </c>
      <c r="AB305" s="2" t="s">
        <v>101</v>
      </c>
      <c r="AC305" s="2">
        <v>67.84</v>
      </c>
      <c r="AD305" s="2">
        <v>86.83</v>
      </c>
      <c r="AE305" s="2">
        <v>78.599999999999994</v>
      </c>
      <c r="AF305" s="2" t="s">
        <v>3218</v>
      </c>
      <c r="AG305" s="2" t="s">
        <v>1088</v>
      </c>
      <c r="AH305" s="2" t="s">
        <v>3219</v>
      </c>
      <c r="AI305" s="2">
        <v>3.42</v>
      </c>
      <c r="AJ305" s="2">
        <v>17.7200920542703</v>
      </c>
      <c r="AK305" s="2">
        <v>18.255673144907799</v>
      </c>
      <c r="AL305" s="2">
        <v>18.0660040241888</v>
      </c>
      <c r="AM305" s="2">
        <v>18.059984191653299</v>
      </c>
      <c r="AN305" s="2">
        <v>17.6628787624742</v>
      </c>
      <c r="AO305" s="2">
        <v>17.703919790698802</v>
      </c>
      <c r="AP305" s="2">
        <v>18.080281298327598</v>
      </c>
      <c r="AQ305" s="2">
        <v>17.742075047529902</v>
      </c>
      <c r="AR305" s="2">
        <v>17.343682285243901</v>
      </c>
      <c r="AS305" s="2">
        <v>15.0319570198166</v>
      </c>
      <c r="AT305" s="2">
        <v>15.192505889108601</v>
      </c>
      <c r="AU305" s="2">
        <v>16.4881961740371</v>
      </c>
      <c r="AV305" s="2">
        <v>16.163167701411702</v>
      </c>
      <c r="AW305" s="2">
        <v>15.2987213129721</v>
      </c>
      <c r="AX305" s="2">
        <v>17.478338616936799</v>
      </c>
      <c r="AY305" s="2">
        <v>15.1727341581395</v>
      </c>
      <c r="AZ305" s="2">
        <v>17.3113953308433</v>
      </c>
      <c r="BA305" s="2">
        <v>15.4104824894243</v>
      </c>
      <c r="BB305" s="2">
        <v>19.3652498701714</v>
      </c>
      <c r="BC305" s="2">
        <v>19.395329848816498</v>
      </c>
      <c r="BD305" s="2">
        <v>15.1240534415144</v>
      </c>
      <c r="BE305" s="2">
        <v>16.457208355881399</v>
      </c>
      <c r="BF305" s="2">
        <v>17.5582416209343</v>
      </c>
      <c r="BG305" s="2">
        <v>17.947653830168299</v>
      </c>
      <c r="BH305" s="2">
        <v>17.1515549113454</v>
      </c>
      <c r="BI305" s="2">
        <v>17.370383464925901</v>
      </c>
      <c r="BJ305" s="2">
        <v>17.0476098279388</v>
      </c>
      <c r="BK305" s="2">
        <v>17.489466434163202</v>
      </c>
      <c r="BL305" s="2">
        <v>14.9187290961691</v>
      </c>
      <c r="BM305" s="2">
        <v>17.803161308983402</v>
      </c>
      <c r="BN305" s="2">
        <v>14.2207131138178</v>
      </c>
      <c r="BO305" s="2">
        <v>16.7775613673317</v>
      </c>
      <c r="BP305" s="2">
        <v>15.664300607540699</v>
      </c>
      <c r="BQ305" s="2">
        <v>16.962943437855099</v>
      </c>
      <c r="BR305" s="2">
        <v>17.888839073462002</v>
      </c>
      <c r="BS305" s="2">
        <v>17.245217599485301</v>
      </c>
      <c r="BT305" s="2">
        <v>16.046978808626999</v>
      </c>
      <c r="BU305" s="2">
        <v>17.774946852695798</v>
      </c>
      <c r="BV305" s="2">
        <v>17.215173020474801</v>
      </c>
      <c r="BW305" s="2">
        <v>15.6987304367021</v>
      </c>
      <c r="BX305" s="2">
        <v>16.796566298207299</v>
      </c>
      <c r="BY305" s="2">
        <v>18.658400762681701</v>
      </c>
      <c r="BZ305" s="2">
        <v>18.052089747666599</v>
      </c>
      <c r="CA305" s="2">
        <v>17.019238003289999</v>
      </c>
      <c r="CB305" s="2">
        <v>16.206717542419401</v>
      </c>
      <c r="CC305" s="2">
        <v>18.025223389666799</v>
      </c>
      <c r="CD305" s="2">
        <v>17.933873711547601</v>
      </c>
      <c r="CE305" s="2">
        <v>18.128913842663099</v>
      </c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</row>
    <row r="306" spans="1:97">
      <c r="A306" s="2" t="s">
        <v>3220</v>
      </c>
      <c r="B306" s="2">
        <v>217.10759999999999</v>
      </c>
      <c r="C306" s="2">
        <v>4.8540000000000001</v>
      </c>
      <c r="D306" s="2" t="s">
        <v>146</v>
      </c>
      <c r="E306" s="2" t="s">
        <v>3221</v>
      </c>
      <c r="F306" s="2" t="s">
        <v>3222</v>
      </c>
      <c r="G306" s="2">
        <v>28309</v>
      </c>
      <c r="H306" s="3" t="str">
        <f>HYPERLINK("https://cloud.oebiotech.com/#/lm/network/28309", "https://cloud.oebiotech.com/#/lm/network/28309")</f>
        <v>https://cloud.oebiotech.com/#/lm/network/28309</v>
      </c>
      <c r="I306" s="2"/>
      <c r="J306" s="2">
        <v>102846</v>
      </c>
      <c r="K306" s="2" t="s">
        <v>3223</v>
      </c>
      <c r="L306" s="2">
        <v>13160036</v>
      </c>
      <c r="M306" s="2"/>
      <c r="N306" s="2"/>
      <c r="O306" s="2"/>
      <c r="P306" s="2"/>
      <c r="Q306" s="2"/>
      <c r="R306" s="2"/>
      <c r="S306" s="2"/>
      <c r="T306" s="2" t="s">
        <v>3224</v>
      </c>
      <c r="U306" s="2" t="s">
        <v>3225</v>
      </c>
      <c r="V306" s="2" t="s">
        <v>338</v>
      </c>
      <c r="W306" s="2" t="s">
        <v>339</v>
      </c>
      <c r="X306" s="2" t="s">
        <v>1663</v>
      </c>
      <c r="Y306" s="2" t="s">
        <v>341</v>
      </c>
      <c r="Z306" s="2" t="s">
        <v>341</v>
      </c>
      <c r="AA306" s="2" t="s">
        <v>1664</v>
      </c>
      <c r="AB306" s="2" t="s">
        <v>101</v>
      </c>
      <c r="AC306" s="2">
        <v>67.8</v>
      </c>
      <c r="AD306" s="2">
        <v>93.16</v>
      </c>
      <c r="AE306" s="2">
        <v>69.31</v>
      </c>
      <c r="AF306" s="2" t="s">
        <v>3226</v>
      </c>
      <c r="AG306" s="2" t="s">
        <v>157</v>
      </c>
      <c r="AH306" s="2" t="s">
        <v>3227</v>
      </c>
      <c r="AI306" s="2">
        <v>2.2999999999999998</v>
      </c>
      <c r="AJ306" s="2">
        <v>17.6569621285804</v>
      </c>
      <c r="AK306" s="2">
        <v>17.701405765674199</v>
      </c>
      <c r="AL306" s="2">
        <v>17.313101448342501</v>
      </c>
      <c r="AM306" s="2">
        <v>17.9102536070334</v>
      </c>
      <c r="AN306" s="2">
        <v>17.408426026699701</v>
      </c>
      <c r="AO306" s="2">
        <v>17.834372285990302</v>
      </c>
      <c r="AP306" s="2">
        <v>17.804773290510099</v>
      </c>
      <c r="AQ306" s="2">
        <v>17.484828557307299</v>
      </c>
      <c r="AR306" s="2">
        <v>19.091527535361099</v>
      </c>
      <c r="AS306" s="2">
        <v>20.1364373502734</v>
      </c>
      <c r="AT306" s="2">
        <v>19.439130715862799</v>
      </c>
      <c r="AU306" s="2">
        <v>18.941778119384999</v>
      </c>
      <c r="AV306" s="2">
        <v>17.273032279521001</v>
      </c>
      <c r="AW306" s="2">
        <v>19.0316001446499</v>
      </c>
      <c r="AX306" s="2">
        <v>17.749457274672199</v>
      </c>
      <c r="AY306" s="2">
        <v>18.9538155495854</v>
      </c>
      <c r="AZ306" s="2">
        <v>19.314112256794399</v>
      </c>
      <c r="BA306" s="2">
        <v>17.409744687865501</v>
      </c>
      <c r="BB306" s="2">
        <v>19.735791903511799</v>
      </c>
      <c r="BC306" s="2">
        <v>19.113651399666601</v>
      </c>
      <c r="BD306" s="2">
        <v>19.399081804837198</v>
      </c>
      <c r="BE306" s="2">
        <v>17.487714995043699</v>
      </c>
      <c r="BF306" s="2">
        <v>19.517739100154301</v>
      </c>
      <c r="BG306" s="2">
        <v>19.433818157848901</v>
      </c>
      <c r="BH306" s="2">
        <v>18.8662066258204</v>
      </c>
      <c r="BI306" s="2">
        <v>19.539461367061801</v>
      </c>
      <c r="BJ306" s="2">
        <v>17.679976284219499</v>
      </c>
      <c r="BK306" s="2">
        <v>17.875252055636299</v>
      </c>
      <c r="BL306" s="2">
        <v>17.678799483401502</v>
      </c>
      <c r="BM306" s="2">
        <v>18.254260236404999</v>
      </c>
      <c r="BN306" s="2">
        <v>18.7352298205526</v>
      </c>
      <c r="BO306" s="2">
        <v>18.861305129837501</v>
      </c>
      <c r="BP306" s="2">
        <v>17.294066063292401</v>
      </c>
      <c r="BQ306" s="2">
        <v>18.269933877328501</v>
      </c>
      <c r="BR306" s="2">
        <v>19.072585129129699</v>
      </c>
      <c r="BS306" s="2">
        <v>19.495059335624202</v>
      </c>
      <c r="BT306" s="2">
        <v>17.5568553701798</v>
      </c>
      <c r="BU306" s="2">
        <v>19.657730412373599</v>
      </c>
      <c r="BV306" s="2">
        <v>17.5332318487708</v>
      </c>
      <c r="BW306" s="2">
        <v>17.1474844876047</v>
      </c>
      <c r="BX306" s="2">
        <v>18.0457336428186</v>
      </c>
      <c r="BY306" s="2">
        <v>17.877712621641798</v>
      </c>
      <c r="BZ306" s="2">
        <v>19.0610964312351</v>
      </c>
      <c r="CA306" s="2">
        <v>18.006290736183999</v>
      </c>
      <c r="CB306" s="2">
        <v>19.060088955855601</v>
      </c>
      <c r="CC306" s="2">
        <v>17.566879206184801</v>
      </c>
      <c r="CD306" s="2">
        <v>18.773960568368601</v>
      </c>
      <c r="CE306" s="2">
        <v>18.060704216100302</v>
      </c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</row>
    <row r="307" spans="1:97">
      <c r="A307" s="2" t="s">
        <v>3228</v>
      </c>
      <c r="B307" s="2">
        <v>260.02292</v>
      </c>
      <c r="C307" s="2">
        <v>1.2969999999999999</v>
      </c>
      <c r="D307" s="2" t="s">
        <v>146</v>
      </c>
      <c r="E307" s="2" t="s">
        <v>3229</v>
      </c>
      <c r="F307" s="2" t="s">
        <v>3230</v>
      </c>
      <c r="G307" s="2">
        <v>144433</v>
      </c>
      <c r="H307" s="3" t="str">
        <f>HYPERLINK("https://cloud.oebiotech.com/#/lm/network/144433", "https://cloud.oebiotech.com/#/lm/network/144433")</f>
        <v>https://cloud.oebiotech.com/#/lm/network/144433</v>
      </c>
      <c r="I307" s="2" t="s">
        <v>3231</v>
      </c>
      <c r="J307" s="2"/>
      <c r="K307" s="2"/>
      <c r="L307" s="2">
        <v>514186</v>
      </c>
      <c r="M307" s="2"/>
      <c r="N307" s="2"/>
      <c r="O307" s="2"/>
      <c r="P307" s="2">
        <v>46215</v>
      </c>
      <c r="Q307" s="2"/>
      <c r="R307" s="2"/>
      <c r="S307" s="2" t="s">
        <v>3232</v>
      </c>
      <c r="T307" s="2" t="s">
        <v>3233</v>
      </c>
      <c r="U307" s="2" t="s">
        <v>3234</v>
      </c>
      <c r="V307" s="2" t="s">
        <v>115</v>
      </c>
      <c r="W307" s="2" t="s">
        <v>116</v>
      </c>
      <c r="X307" s="2" t="s">
        <v>117</v>
      </c>
      <c r="Y307" s="2" t="s">
        <v>118</v>
      </c>
      <c r="Z307" s="2" t="s">
        <v>119</v>
      </c>
      <c r="AA307" s="2" t="s">
        <v>120</v>
      </c>
      <c r="AB307" s="2" t="s">
        <v>101</v>
      </c>
      <c r="AC307" s="2">
        <v>67.75</v>
      </c>
      <c r="AD307" s="2">
        <v>90.14</v>
      </c>
      <c r="AE307" s="2">
        <v>67.63</v>
      </c>
      <c r="AF307" s="2" t="s">
        <v>3235</v>
      </c>
      <c r="AG307" s="2" t="s">
        <v>194</v>
      </c>
      <c r="AH307" s="2" t="s">
        <v>3236</v>
      </c>
      <c r="AI307" s="2">
        <v>1.92</v>
      </c>
      <c r="AJ307" s="2">
        <v>19.252547081518401</v>
      </c>
      <c r="AK307" s="2">
        <v>19.9482457317967</v>
      </c>
      <c r="AL307" s="2">
        <v>20.075723404640801</v>
      </c>
      <c r="AM307" s="2">
        <v>19.748241029268598</v>
      </c>
      <c r="AN307" s="2">
        <v>19.989497088854701</v>
      </c>
      <c r="AO307" s="2">
        <v>19.4893561984168</v>
      </c>
      <c r="AP307" s="2">
        <v>19.994665470447799</v>
      </c>
      <c r="AQ307" s="2">
        <v>19.6099057616624</v>
      </c>
      <c r="AR307" s="2">
        <v>19.953398765095301</v>
      </c>
      <c r="AS307" s="2">
        <v>19.657776808603501</v>
      </c>
      <c r="AT307" s="2">
        <v>19.0119651187558</v>
      </c>
      <c r="AU307" s="2">
        <v>19.147381558595502</v>
      </c>
      <c r="AV307" s="2">
        <v>18.7315210671138</v>
      </c>
      <c r="AW307" s="2">
        <v>19.680041051870699</v>
      </c>
      <c r="AX307" s="2">
        <v>20.090779635895199</v>
      </c>
      <c r="AY307" s="2">
        <v>19.6548468210114</v>
      </c>
      <c r="AZ307" s="2">
        <v>18.916645484618499</v>
      </c>
      <c r="BA307" s="2">
        <v>19.442448460197902</v>
      </c>
      <c r="BB307" s="2">
        <v>19.3995490553257</v>
      </c>
      <c r="BC307" s="2">
        <v>19.5549106291413</v>
      </c>
      <c r="BD307" s="2">
        <v>19.977852377828501</v>
      </c>
      <c r="BE307" s="2">
        <v>19.755401261203701</v>
      </c>
      <c r="BF307" s="2">
        <v>18.976115364954499</v>
      </c>
      <c r="BG307" s="2">
        <v>19.606712025325901</v>
      </c>
      <c r="BH307" s="2">
        <v>18.984500402495801</v>
      </c>
      <c r="BI307" s="2">
        <v>19.800952005496299</v>
      </c>
      <c r="BJ307" s="2">
        <v>20.0349259712467</v>
      </c>
      <c r="BK307" s="2">
        <v>19.750511888275899</v>
      </c>
      <c r="BL307" s="2">
        <v>19.5781473632379</v>
      </c>
      <c r="BM307" s="2">
        <v>19.513134433054301</v>
      </c>
      <c r="BN307" s="2">
        <v>19.763347233793699</v>
      </c>
      <c r="BO307" s="2">
        <v>19.451683271638501</v>
      </c>
      <c r="BP307" s="2">
        <v>19.650800629014601</v>
      </c>
      <c r="BQ307" s="2">
        <v>19.543776201481599</v>
      </c>
      <c r="BR307" s="2">
        <v>19.538400864619401</v>
      </c>
      <c r="BS307" s="2">
        <v>19.174576686088901</v>
      </c>
      <c r="BT307" s="2">
        <v>19.2093744470465</v>
      </c>
      <c r="BU307" s="2">
        <v>19.796756724190601</v>
      </c>
      <c r="BV307" s="2">
        <v>19.446127413235601</v>
      </c>
      <c r="BW307" s="2">
        <v>18.883978838805099</v>
      </c>
      <c r="BX307" s="2">
        <v>19.888271166517001</v>
      </c>
      <c r="BY307" s="2">
        <v>19.753972237696399</v>
      </c>
      <c r="BZ307" s="2">
        <v>19.442078737904801</v>
      </c>
      <c r="CA307" s="2">
        <v>18.880160476565599</v>
      </c>
      <c r="CB307" s="2">
        <v>19.548928238442102</v>
      </c>
      <c r="CC307" s="2">
        <v>19.332935111065598</v>
      </c>
      <c r="CD307" s="2">
        <v>20.3273540274038</v>
      </c>
      <c r="CE307" s="2">
        <v>20.641834322580198</v>
      </c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</row>
    <row r="308" spans="1:97">
      <c r="A308" s="2" t="s">
        <v>3237</v>
      </c>
      <c r="B308" s="2">
        <v>465.35680000000002</v>
      </c>
      <c r="C308" s="2">
        <v>10.83</v>
      </c>
      <c r="D308" s="2" t="s">
        <v>84</v>
      </c>
      <c r="E308" s="2" t="s">
        <v>3238</v>
      </c>
      <c r="F308" s="2" t="s">
        <v>3239</v>
      </c>
      <c r="G308" s="2">
        <v>43577</v>
      </c>
      <c r="H308" s="3" t="str">
        <f>HYPERLINK("https://cloud.oebiotech.com/#/lm/network/43577", "https://cloud.oebiotech.com/#/lm/network/43577")</f>
        <v>https://cloud.oebiotech.com/#/lm/network/43577</v>
      </c>
      <c r="I308" s="2" t="s">
        <v>3240</v>
      </c>
      <c r="J308" s="2"/>
      <c r="K308" s="2" t="s">
        <v>3241</v>
      </c>
      <c r="L308" s="2">
        <v>44263325</v>
      </c>
      <c r="M308" s="2"/>
      <c r="N308" s="2"/>
      <c r="O308" s="2"/>
      <c r="P308" s="2"/>
      <c r="Q308" s="2"/>
      <c r="R308" s="2"/>
      <c r="S308" s="2"/>
      <c r="T308" s="2" t="s">
        <v>3242</v>
      </c>
      <c r="U308" s="2" t="s">
        <v>3243</v>
      </c>
      <c r="V308" s="2" t="s">
        <v>95</v>
      </c>
      <c r="W308" s="2" t="s">
        <v>152</v>
      </c>
      <c r="X308" s="2" t="s">
        <v>1420</v>
      </c>
      <c r="Y308" s="2" t="s">
        <v>98</v>
      </c>
      <c r="Z308" s="2" t="s">
        <v>154</v>
      </c>
      <c r="AA308" s="2" t="s">
        <v>1421</v>
      </c>
      <c r="AB308" s="2" t="s">
        <v>101</v>
      </c>
      <c r="AC308" s="2">
        <v>67.73</v>
      </c>
      <c r="AD308" s="2">
        <v>80.78</v>
      </c>
      <c r="AE308" s="2">
        <v>74.06</v>
      </c>
      <c r="AF308" s="2" t="s">
        <v>3244</v>
      </c>
      <c r="AG308" s="2" t="s">
        <v>103</v>
      </c>
      <c r="AH308" s="2" t="s">
        <v>3245</v>
      </c>
      <c r="AI308" s="2">
        <v>1.5</v>
      </c>
      <c r="AJ308" s="2">
        <v>19.997948784461599</v>
      </c>
      <c r="AK308" s="2">
        <v>19.900706678784999</v>
      </c>
      <c r="AL308" s="2">
        <v>19.534530489649399</v>
      </c>
      <c r="AM308" s="2">
        <v>20.0410108401265</v>
      </c>
      <c r="AN308" s="2">
        <v>19.865541133683799</v>
      </c>
      <c r="AO308" s="2">
        <v>20.3207664885675</v>
      </c>
      <c r="AP308" s="2">
        <v>19.750741279784801</v>
      </c>
      <c r="AQ308" s="2">
        <v>20.139329099152299</v>
      </c>
      <c r="AR308" s="2">
        <v>21.104415036978999</v>
      </c>
      <c r="AS308" s="2">
        <v>19.4407352872134</v>
      </c>
      <c r="AT308" s="2">
        <v>18.933086236161301</v>
      </c>
      <c r="AU308" s="2">
        <v>19.9847265162479</v>
      </c>
      <c r="AV308" s="2">
        <v>19.296280255590201</v>
      </c>
      <c r="AW308" s="2">
        <v>15.390372862218699</v>
      </c>
      <c r="AX308" s="2">
        <v>18.968047736619901</v>
      </c>
      <c r="AY308" s="2">
        <v>21.224557474686399</v>
      </c>
      <c r="AZ308" s="2">
        <v>20.800721527923301</v>
      </c>
      <c r="BA308" s="2">
        <v>19.390075685625</v>
      </c>
      <c r="BB308" s="2">
        <v>18.734066782157999</v>
      </c>
      <c r="BC308" s="2">
        <v>21.660199316973301</v>
      </c>
      <c r="BD308" s="2">
        <v>19.679444722391398</v>
      </c>
      <c r="BE308" s="2">
        <v>20.002230705662601</v>
      </c>
      <c r="BF308" s="2">
        <v>19.679171538561199</v>
      </c>
      <c r="BG308" s="2">
        <v>19.654632497579001</v>
      </c>
      <c r="BH308" s="2">
        <v>19.221890270408601</v>
      </c>
      <c r="BI308" s="2">
        <v>19.748271925013199</v>
      </c>
      <c r="BJ308" s="2">
        <v>20.439145876987599</v>
      </c>
      <c r="BK308" s="2">
        <v>17.582677128841699</v>
      </c>
      <c r="BL308" s="2">
        <v>21.739746116472201</v>
      </c>
      <c r="BM308" s="2">
        <v>20.030335552950199</v>
      </c>
      <c r="BN308" s="2">
        <v>19.271323204421002</v>
      </c>
      <c r="BO308" s="2">
        <v>19.5425891065792</v>
      </c>
      <c r="BP308" s="2">
        <v>19.183653819173198</v>
      </c>
      <c r="BQ308" s="2">
        <v>16.080830224401101</v>
      </c>
      <c r="BR308" s="2">
        <v>19.085703074646499</v>
      </c>
      <c r="BS308" s="2">
        <v>21.770812555762902</v>
      </c>
      <c r="BT308" s="2">
        <v>20.749160697028898</v>
      </c>
      <c r="BU308" s="2">
        <v>20.092767243032</v>
      </c>
      <c r="BV308" s="2">
        <v>19.2710012602302</v>
      </c>
      <c r="BW308" s="2">
        <v>20.358531210243299</v>
      </c>
      <c r="BX308" s="2">
        <v>19.0964266072131</v>
      </c>
      <c r="BY308" s="2">
        <v>20.827271769901401</v>
      </c>
      <c r="BZ308" s="2">
        <v>18.456228101563799</v>
      </c>
      <c r="CA308" s="2">
        <v>19.332996957081299</v>
      </c>
      <c r="CB308" s="2">
        <v>18.422203511774299</v>
      </c>
      <c r="CC308" s="2">
        <v>19.9205732580754</v>
      </c>
      <c r="CD308" s="2">
        <v>20.661362269851701</v>
      </c>
      <c r="CE308" s="2">
        <v>18.687478342760102</v>
      </c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</row>
    <row r="309" spans="1:97">
      <c r="A309" s="2" t="s">
        <v>3246</v>
      </c>
      <c r="B309" s="2">
        <v>187.13354000000001</v>
      </c>
      <c r="C309" s="2">
        <v>8.7530000000000001</v>
      </c>
      <c r="D309" s="2" t="s">
        <v>146</v>
      </c>
      <c r="E309" s="2" t="s">
        <v>3247</v>
      </c>
      <c r="F309" s="2" t="s">
        <v>3248</v>
      </c>
      <c r="G309" s="2">
        <v>1675</v>
      </c>
      <c r="H309" s="3" t="str">
        <f>HYPERLINK("https://cloud.oebiotech.com/#/lm/network/1675", "https://cloud.oebiotech.com/#/lm/network/1675")</f>
        <v>https://cloud.oebiotech.com/#/lm/network/1675</v>
      </c>
      <c r="I309" s="2" t="s">
        <v>3249</v>
      </c>
      <c r="J309" s="2">
        <v>35411</v>
      </c>
      <c r="K309" s="2" t="s">
        <v>3250</v>
      </c>
      <c r="L309" s="2">
        <v>21488</v>
      </c>
      <c r="M309" s="2"/>
      <c r="N309" s="2"/>
      <c r="O309" s="2"/>
      <c r="P309" s="2">
        <v>133172</v>
      </c>
      <c r="Q309" s="2"/>
      <c r="R309" s="2"/>
      <c r="S309" s="2" t="s">
        <v>3251</v>
      </c>
      <c r="T309" s="2" t="s">
        <v>3252</v>
      </c>
      <c r="U309" s="2" t="s">
        <v>3253</v>
      </c>
      <c r="V309" s="2" t="s">
        <v>95</v>
      </c>
      <c r="W309" s="2" t="s">
        <v>96</v>
      </c>
      <c r="X309" s="2" t="s">
        <v>141</v>
      </c>
      <c r="Y309" s="2" t="s">
        <v>98</v>
      </c>
      <c r="Z309" s="2" t="s">
        <v>99</v>
      </c>
      <c r="AA309" s="2" t="s">
        <v>142</v>
      </c>
      <c r="AB309" s="2" t="s">
        <v>101</v>
      </c>
      <c r="AC309" s="2">
        <v>67.709999999999994</v>
      </c>
      <c r="AD309" s="2">
        <v>97.82</v>
      </c>
      <c r="AE309" s="2">
        <v>72.73</v>
      </c>
      <c r="AF309" s="2" t="s">
        <v>3254</v>
      </c>
      <c r="AG309" s="2" t="s">
        <v>194</v>
      </c>
      <c r="AH309" s="2" t="s">
        <v>3255</v>
      </c>
      <c r="AI309" s="2">
        <v>2.67</v>
      </c>
      <c r="AJ309" s="2">
        <v>21.9974485460803</v>
      </c>
      <c r="AK309" s="2">
        <v>21.9103316011673</v>
      </c>
      <c r="AL309" s="2">
        <v>21.8692103595411</v>
      </c>
      <c r="AM309" s="2">
        <v>21.867598101199199</v>
      </c>
      <c r="AN309" s="2">
        <v>21.982336906502301</v>
      </c>
      <c r="AO309" s="2">
        <v>21.696565764975301</v>
      </c>
      <c r="AP309" s="2">
        <v>21.814749511606799</v>
      </c>
      <c r="AQ309" s="2">
        <v>21.7694776179287</v>
      </c>
      <c r="AR309" s="2">
        <v>23.365553738052402</v>
      </c>
      <c r="AS309" s="2">
        <v>20.550630144033899</v>
      </c>
      <c r="AT309" s="2">
        <v>19.974872389767501</v>
      </c>
      <c r="AU309" s="2">
        <v>21.705967303822302</v>
      </c>
      <c r="AV309" s="2">
        <v>22.631341248611399</v>
      </c>
      <c r="AW309" s="2">
        <v>22.9777028353116</v>
      </c>
      <c r="AX309" s="2">
        <v>20.977420413490702</v>
      </c>
      <c r="AY309" s="2">
        <v>22.659093059192099</v>
      </c>
      <c r="AZ309" s="2">
        <v>20.541831372862401</v>
      </c>
      <c r="BA309" s="2">
        <v>20.654429261170399</v>
      </c>
      <c r="BB309" s="2">
        <v>21.484848952934101</v>
      </c>
      <c r="BC309" s="2">
        <v>21.013715995710498</v>
      </c>
      <c r="BD309" s="2">
        <v>20.3712849618022</v>
      </c>
      <c r="BE309" s="2">
        <v>22.141802822069899</v>
      </c>
      <c r="BF309" s="2">
        <v>20.656494703370999</v>
      </c>
      <c r="BG309" s="2">
        <v>20.434835554545401</v>
      </c>
      <c r="BH309" s="2">
        <v>22.2890424157567</v>
      </c>
      <c r="BI309" s="2">
        <v>22.261540117699401</v>
      </c>
      <c r="BJ309" s="2">
        <v>22.2266703079043</v>
      </c>
      <c r="BK309" s="2">
        <v>21.5277206810004</v>
      </c>
      <c r="BL309" s="2">
        <v>22.032398213832</v>
      </c>
      <c r="BM309" s="2">
        <v>21.559493671024899</v>
      </c>
      <c r="BN309" s="2">
        <v>23.3450211724094</v>
      </c>
      <c r="BO309" s="2">
        <v>20.543173173663199</v>
      </c>
      <c r="BP309" s="2">
        <v>21.145190053715801</v>
      </c>
      <c r="BQ309" s="2">
        <v>21.847676260867399</v>
      </c>
      <c r="BR309" s="2">
        <v>22.814707730484201</v>
      </c>
      <c r="BS309" s="2">
        <v>23.2764780750657</v>
      </c>
      <c r="BT309" s="2">
        <v>19.204881064970799</v>
      </c>
      <c r="BU309" s="2">
        <v>21.0876200887603</v>
      </c>
      <c r="BV309" s="2">
        <v>21.000943105944302</v>
      </c>
      <c r="BW309" s="2">
        <v>20.753352741499999</v>
      </c>
      <c r="BX309" s="2">
        <v>21.8056589038403</v>
      </c>
      <c r="BY309" s="2">
        <v>22.750492581891901</v>
      </c>
      <c r="BZ309" s="2">
        <v>21.063690211852201</v>
      </c>
      <c r="CA309" s="2">
        <v>22.0346688332382</v>
      </c>
      <c r="CB309" s="2">
        <v>21.9113363849488</v>
      </c>
      <c r="CC309" s="2">
        <v>21.047376396806801</v>
      </c>
      <c r="CD309" s="2">
        <v>21.5780337643214</v>
      </c>
      <c r="CE309" s="2">
        <v>21.477430748213902</v>
      </c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</row>
    <row r="310" spans="1:97">
      <c r="A310" s="2" t="s">
        <v>3256</v>
      </c>
      <c r="B310" s="2">
        <v>601.42385000000002</v>
      </c>
      <c r="C310" s="2">
        <v>14.946999999999999</v>
      </c>
      <c r="D310" s="2" t="s">
        <v>84</v>
      </c>
      <c r="E310" s="2" t="s">
        <v>3257</v>
      </c>
      <c r="F310" s="2" t="s">
        <v>3258</v>
      </c>
      <c r="G310" s="2">
        <v>254813</v>
      </c>
      <c r="H310" s="3" t="str">
        <f>HYPERLINK("https://cloud.oebiotech.com/#/lm/network/254813", "https://cloud.oebiotech.com/#/lm/network/254813")</f>
        <v>https://cloud.oebiotech.com/#/lm/network/254813</v>
      </c>
      <c r="I310" s="2" t="s">
        <v>3259</v>
      </c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 t="s">
        <v>3260</v>
      </c>
      <c r="U310" s="2" t="s">
        <v>3261</v>
      </c>
      <c r="V310" s="2" t="s">
        <v>95</v>
      </c>
      <c r="W310" s="2" t="s">
        <v>152</v>
      </c>
      <c r="X310" s="2" t="s">
        <v>3262</v>
      </c>
      <c r="Y310" s="2" t="s">
        <v>98</v>
      </c>
      <c r="Z310" s="2" t="s">
        <v>154</v>
      </c>
      <c r="AA310" s="2" t="s">
        <v>3263</v>
      </c>
      <c r="AB310" s="2" t="s">
        <v>101</v>
      </c>
      <c r="AC310" s="2">
        <v>67.69</v>
      </c>
      <c r="AD310" s="2">
        <v>89.01</v>
      </c>
      <c r="AE310" s="2">
        <v>75.8</v>
      </c>
      <c r="AF310" s="2" t="s">
        <v>3264</v>
      </c>
      <c r="AG310" s="2" t="s">
        <v>1578</v>
      </c>
      <c r="AH310" s="2" t="s">
        <v>3265</v>
      </c>
      <c r="AI310" s="2">
        <v>-2</v>
      </c>
      <c r="AJ310" s="2">
        <v>20.655578945764699</v>
      </c>
      <c r="AK310" s="2">
        <v>20.1391800867397</v>
      </c>
      <c r="AL310" s="2">
        <v>20.149366224644801</v>
      </c>
      <c r="AM310" s="2">
        <v>19.891969589498299</v>
      </c>
      <c r="AN310" s="2">
        <v>20.0620689643258</v>
      </c>
      <c r="AO310" s="2">
        <v>20.791535669333399</v>
      </c>
      <c r="AP310" s="2">
        <v>20.488881180845901</v>
      </c>
      <c r="AQ310" s="2">
        <v>20.642392217750299</v>
      </c>
      <c r="AR310" s="2">
        <v>21.200801769588701</v>
      </c>
      <c r="AS310" s="2">
        <v>20.090151454211998</v>
      </c>
      <c r="AT310" s="2">
        <v>21.052969811418201</v>
      </c>
      <c r="AU310" s="2">
        <v>20.585162894746301</v>
      </c>
      <c r="AV310" s="2">
        <v>20.940409283222198</v>
      </c>
      <c r="AW310" s="2">
        <v>20.453476685855598</v>
      </c>
      <c r="AX310" s="2">
        <v>20.965331088899099</v>
      </c>
      <c r="AY310" s="2">
        <v>20.876634201239899</v>
      </c>
      <c r="AZ310" s="2">
        <v>21.161380335442502</v>
      </c>
      <c r="BA310" s="2">
        <v>19.404619001692499</v>
      </c>
      <c r="BB310" s="2">
        <v>20.712340408081499</v>
      </c>
      <c r="BC310" s="2">
        <v>20.919999443038499</v>
      </c>
      <c r="BD310" s="2">
        <v>20.395118188638499</v>
      </c>
      <c r="BE310" s="2">
        <v>21.535025050520201</v>
      </c>
      <c r="BF310" s="2">
        <v>19.697654828949599</v>
      </c>
      <c r="BG310" s="2">
        <v>20.715949861423201</v>
      </c>
      <c r="BH310" s="2">
        <v>20.383908070314199</v>
      </c>
      <c r="BI310" s="2">
        <v>20.165798910001101</v>
      </c>
      <c r="BJ310" s="2">
        <v>20.5378401561027</v>
      </c>
      <c r="BK310" s="2">
        <v>20.0722043617819</v>
      </c>
      <c r="BL310" s="2">
        <v>21.267017992728999</v>
      </c>
      <c r="BM310" s="2">
        <v>20.699926206160999</v>
      </c>
      <c r="BN310" s="2">
        <v>19.1926766536115</v>
      </c>
      <c r="BO310" s="2">
        <v>20.8704833257034</v>
      </c>
      <c r="BP310" s="2">
        <v>19.860262262370298</v>
      </c>
      <c r="BQ310" s="2">
        <v>19.639063905267498</v>
      </c>
      <c r="BR310" s="2">
        <v>20.458966512591601</v>
      </c>
      <c r="BS310" s="2">
        <v>20.595839468136699</v>
      </c>
      <c r="BT310" s="2">
        <v>19.679557431302602</v>
      </c>
      <c r="BU310" s="2">
        <v>19.5387237721799</v>
      </c>
      <c r="BV310" s="2">
        <v>19.804923969055199</v>
      </c>
      <c r="BW310" s="2">
        <v>18.147937158881</v>
      </c>
      <c r="BX310" s="2">
        <v>19.6335191208845</v>
      </c>
      <c r="BY310" s="2">
        <v>21.1022529594294</v>
      </c>
      <c r="BZ310" s="2">
        <v>19.893312019659099</v>
      </c>
      <c r="CA310" s="2">
        <v>21.4284051171764</v>
      </c>
      <c r="CB310" s="2">
        <v>20.3130811376802</v>
      </c>
      <c r="CC310" s="2">
        <v>19.693583398025499</v>
      </c>
      <c r="CD310" s="2">
        <v>20.271562774660701</v>
      </c>
      <c r="CE310" s="2">
        <v>19.557807999842701</v>
      </c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</row>
    <row r="311" spans="1:97">
      <c r="A311" s="2" t="s">
        <v>3266</v>
      </c>
      <c r="B311" s="2">
        <v>223.13353000000001</v>
      </c>
      <c r="C311" s="2">
        <v>9.2189999999999994</v>
      </c>
      <c r="D311" s="2" t="s">
        <v>146</v>
      </c>
      <c r="E311" s="2" t="s">
        <v>3267</v>
      </c>
      <c r="F311" s="2" t="s">
        <v>3268</v>
      </c>
      <c r="G311" s="2">
        <v>56209</v>
      </c>
      <c r="H311" s="3" t="str">
        <f>HYPERLINK("https://cloud.oebiotech.com/#/lm/network/56209", "https://cloud.oebiotech.com/#/lm/network/56209")</f>
        <v>https://cloud.oebiotech.com/#/lm/network/56209</v>
      </c>
      <c r="I311" s="2" t="s">
        <v>3269</v>
      </c>
      <c r="J311" s="2">
        <v>87902</v>
      </c>
      <c r="K311" s="2"/>
      <c r="L311" s="2">
        <v>61516</v>
      </c>
      <c r="M311" s="2"/>
      <c r="N311" s="2"/>
      <c r="O311" s="2"/>
      <c r="P311" s="2"/>
      <c r="Q311" s="2"/>
      <c r="R311" s="2"/>
      <c r="S311" s="2" t="s">
        <v>3270</v>
      </c>
      <c r="T311" s="2" t="s">
        <v>3271</v>
      </c>
      <c r="U311" s="2" t="s">
        <v>3272</v>
      </c>
      <c r="V311" s="2" t="s">
        <v>385</v>
      </c>
      <c r="W311" s="2" t="s">
        <v>386</v>
      </c>
      <c r="X311" s="2" t="s">
        <v>375</v>
      </c>
      <c r="Y311" s="2" t="s">
        <v>388</v>
      </c>
      <c r="Z311" s="2" t="s">
        <v>389</v>
      </c>
      <c r="AA311" s="2"/>
      <c r="AB311" s="2" t="s">
        <v>101</v>
      </c>
      <c r="AC311" s="2">
        <v>67.61</v>
      </c>
      <c r="AD311" s="2">
        <v>97.24</v>
      </c>
      <c r="AE311" s="2">
        <v>61.75</v>
      </c>
      <c r="AF311" s="2" t="s">
        <v>3273</v>
      </c>
      <c r="AG311" s="2" t="s">
        <v>157</v>
      </c>
      <c r="AH311" s="2" t="s">
        <v>3274</v>
      </c>
      <c r="AI311" s="2">
        <v>2.2400000000000002</v>
      </c>
      <c r="AJ311" s="2">
        <v>20.498167368599901</v>
      </c>
      <c r="AK311" s="2">
        <v>20.450064238852899</v>
      </c>
      <c r="AL311" s="2">
        <v>20.3682340057719</v>
      </c>
      <c r="AM311" s="2">
        <v>20.3185401618409</v>
      </c>
      <c r="AN311" s="2">
        <v>20.446753998754399</v>
      </c>
      <c r="AO311" s="2">
        <v>20.369192696571702</v>
      </c>
      <c r="AP311" s="2">
        <v>20.555559323496102</v>
      </c>
      <c r="AQ311" s="2">
        <v>20.490891595691199</v>
      </c>
      <c r="AR311" s="2">
        <v>20.9587504267725</v>
      </c>
      <c r="AS311" s="2">
        <v>19.514087750630001</v>
      </c>
      <c r="AT311" s="2">
        <v>19.3824397731631</v>
      </c>
      <c r="AU311" s="2">
        <v>20.531473339535601</v>
      </c>
      <c r="AV311" s="2">
        <v>20.412361734877599</v>
      </c>
      <c r="AW311" s="2">
        <v>20.360085894343101</v>
      </c>
      <c r="AX311" s="2">
        <v>19.238809176349701</v>
      </c>
      <c r="AY311" s="2">
        <v>20.304289539003801</v>
      </c>
      <c r="AZ311" s="2">
        <v>19.5501063346127</v>
      </c>
      <c r="BA311" s="2">
        <v>19.881367208494801</v>
      </c>
      <c r="BB311" s="2">
        <v>20.398543345461199</v>
      </c>
      <c r="BC311" s="2">
        <v>20.815420487626501</v>
      </c>
      <c r="BD311" s="2">
        <v>20.236311848819899</v>
      </c>
      <c r="BE311" s="2">
        <v>20.943282198942601</v>
      </c>
      <c r="BF311" s="2">
        <v>19.7212610007332</v>
      </c>
      <c r="BG311" s="2">
        <v>19.851280573131199</v>
      </c>
      <c r="BH311" s="2">
        <v>21.597847425102199</v>
      </c>
      <c r="BI311" s="2">
        <v>19.290117217742999</v>
      </c>
      <c r="BJ311" s="2">
        <v>19.9644987695651</v>
      </c>
      <c r="BK311" s="2">
        <v>20.506891144078299</v>
      </c>
      <c r="BL311" s="2">
        <v>19.101775311213899</v>
      </c>
      <c r="BM311" s="2">
        <v>20.4457172965502</v>
      </c>
      <c r="BN311" s="2">
        <v>21.138552655374401</v>
      </c>
      <c r="BO311" s="2">
        <v>21.2686457752521</v>
      </c>
      <c r="BP311" s="2">
        <v>18.737855765849101</v>
      </c>
      <c r="BQ311" s="2">
        <v>20.775233795762801</v>
      </c>
      <c r="BR311" s="2">
        <v>19.8839151087072</v>
      </c>
      <c r="BS311" s="2">
        <v>20.3605941811098</v>
      </c>
      <c r="BT311" s="2">
        <v>20.0693758533228</v>
      </c>
      <c r="BU311" s="2">
        <v>20.008711000018501</v>
      </c>
      <c r="BV311" s="2">
        <v>20.3221473354699</v>
      </c>
      <c r="BW311" s="2">
        <v>18.9999668413639</v>
      </c>
      <c r="BX311" s="2">
        <v>19.6128107733641</v>
      </c>
      <c r="BY311" s="2">
        <v>21.410732334480699</v>
      </c>
      <c r="BZ311" s="2">
        <v>19.934496632897599</v>
      </c>
      <c r="CA311" s="2">
        <v>19.317923695604701</v>
      </c>
      <c r="CB311" s="2">
        <v>19.5988775962674</v>
      </c>
      <c r="CC311" s="2">
        <v>19.863439561569901</v>
      </c>
      <c r="CD311" s="2">
        <v>20.551011565128899</v>
      </c>
      <c r="CE311" s="2">
        <v>20.868697000608201</v>
      </c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</row>
    <row r="312" spans="1:97">
      <c r="A312" s="2" t="s">
        <v>3275</v>
      </c>
      <c r="B312" s="2">
        <v>154.99021999999999</v>
      </c>
      <c r="C312" s="2">
        <v>6.9</v>
      </c>
      <c r="D312" s="2" t="s">
        <v>146</v>
      </c>
      <c r="E312" s="2" t="s">
        <v>3276</v>
      </c>
      <c r="F312" s="2" t="s">
        <v>3277</v>
      </c>
      <c r="G312" s="2">
        <v>200514</v>
      </c>
      <c r="H312" s="3" t="str">
        <f>HYPERLINK("https://cloud.oebiotech.com/#/lm/network/200514", "https://cloud.oebiotech.com/#/lm/network/200514")</f>
        <v>https://cloud.oebiotech.com/#/lm/network/200514</v>
      </c>
      <c r="I312" s="2" t="s">
        <v>3278</v>
      </c>
      <c r="J312" s="2"/>
      <c r="K312" s="2"/>
      <c r="L312" s="2">
        <v>8374</v>
      </c>
      <c r="M312" s="2" t="s">
        <v>3279</v>
      </c>
      <c r="N312" s="2"/>
      <c r="O312" s="2"/>
      <c r="P312" s="2">
        <v>30793</v>
      </c>
      <c r="Q312" s="2"/>
      <c r="R312" s="2"/>
      <c r="S312" s="2"/>
      <c r="T312" s="2" t="s">
        <v>3280</v>
      </c>
      <c r="U312" s="2" t="s">
        <v>3281</v>
      </c>
      <c r="V312" s="2" t="s">
        <v>385</v>
      </c>
      <c r="W312" s="2" t="s">
        <v>386</v>
      </c>
      <c r="X312" s="2" t="s">
        <v>1059</v>
      </c>
      <c r="Y312" s="2" t="s">
        <v>388</v>
      </c>
      <c r="Z312" s="2" t="s">
        <v>389</v>
      </c>
      <c r="AA312" s="2" t="s">
        <v>1060</v>
      </c>
      <c r="AB312" s="2" t="s">
        <v>101</v>
      </c>
      <c r="AC312" s="2">
        <v>67.599999999999994</v>
      </c>
      <c r="AD312" s="2">
        <v>78.59</v>
      </c>
      <c r="AE312" s="2">
        <v>74.12</v>
      </c>
      <c r="AF312" s="2" t="s">
        <v>3282</v>
      </c>
      <c r="AG312" s="2" t="s">
        <v>194</v>
      </c>
      <c r="AH312" s="2" t="s">
        <v>3283</v>
      </c>
      <c r="AI312" s="2">
        <v>1.94</v>
      </c>
      <c r="AJ312" s="2">
        <v>21.964507671032599</v>
      </c>
      <c r="AK312" s="2">
        <v>22.0110360914816</v>
      </c>
      <c r="AL312" s="2">
        <v>21.935451708437</v>
      </c>
      <c r="AM312" s="2">
        <v>22.028181373630598</v>
      </c>
      <c r="AN312" s="2">
        <v>22.088263140608799</v>
      </c>
      <c r="AO312" s="2">
        <v>22.083163729244902</v>
      </c>
      <c r="AP312" s="2">
        <v>22.191618645478499</v>
      </c>
      <c r="AQ312" s="2">
        <v>22.0921305911044</v>
      </c>
      <c r="AR312" s="2">
        <v>22.110424927016901</v>
      </c>
      <c r="AS312" s="2">
        <v>21.9380684235438</v>
      </c>
      <c r="AT312" s="2">
        <v>21.968667538411999</v>
      </c>
      <c r="AU312" s="2">
        <v>21.8508270918982</v>
      </c>
      <c r="AV312" s="2">
        <v>22.289497179381598</v>
      </c>
      <c r="AW312" s="2">
        <v>20.814862564483501</v>
      </c>
      <c r="AX312" s="2">
        <v>22.082596025658798</v>
      </c>
      <c r="AY312" s="2">
        <v>21.9344506963062</v>
      </c>
      <c r="AZ312" s="2">
        <v>22.208688892300099</v>
      </c>
      <c r="BA312" s="2">
        <v>22.203420222799199</v>
      </c>
      <c r="BB312" s="2">
        <v>22.0019473139781</v>
      </c>
      <c r="BC312" s="2">
        <v>21.619637116391601</v>
      </c>
      <c r="BD312" s="2">
        <v>21.945954508532299</v>
      </c>
      <c r="BE312" s="2">
        <v>21.9625991708246</v>
      </c>
      <c r="BF312" s="2">
        <v>22.067460982207098</v>
      </c>
      <c r="BG312" s="2">
        <v>22.123661887646598</v>
      </c>
      <c r="BH312" s="2">
        <v>22.1072366248126</v>
      </c>
      <c r="BI312" s="2">
        <v>22.281410896390799</v>
      </c>
      <c r="BJ312" s="2">
        <v>22.163414786951499</v>
      </c>
      <c r="BK312" s="2">
        <v>22.111290871370901</v>
      </c>
      <c r="BL312" s="2">
        <v>22.071625602270899</v>
      </c>
      <c r="BM312" s="2">
        <v>21.945533967709199</v>
      </c>
      <c r="BN312" s="2">
        <v>22.158456644463499</v>
      </c>
      <c r="BO312" s="2">
        <v>21.935617709605999</v>
      </c>
      <c r="BP312" s="2">
        <v>22.045892775917999</v>
      </c>
      <c r="BQ312" s="2">
        <v>22.2387412164185</v>
      </c>
      <c r="BR312" s="2">
        <v>22.006321917625701</v>
      </c>
      <c r="BS312" s="2">
        <v>22.085176103216799</v>
      </c>
      <c r="BT312" s="2">
        <v>22.045974876361502</v>
      </c>
      <c r="BU312" s="2">
        <v>22.132123339630699</v>
      </c>
      <c r="BV312" s="2">
        <v>22.179472540829899</v>
      </c>
      <c r="BW312" s="2">
        <v>22.067702515776801</v>
      </c>
      <c r="BX312" s="2">
        <v>22.091070955148801</v>
      </c>
      <c r="BY312" s="2">
        <v>22.038181782987699</v>
      </c>
      <c r="BZ312" s="2">
        <v>22.0483649320417</v>
      </c>
      <c r="CA312" s="2">
        <v>22.237933179596801</v>
      </c>
      <c r="CB312" s="2">
        <v>22.219838467283001</v>
      </c>
      <c r="CC312" s="2">
        <v>21.828001894048899</v>
      </c>
      <c r="CD312" s="2">
        <v>22.245547904560102</v>
      </c>
      <c r="CE312" s="2">
        <v>21.966836916478499</v>
      </c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</row>
    <row r="313" spans="1:97">
      <c r="A313" s="2" t="s">
        <v>3284</v>
      </c>
      <c r="B313" s="2">
        <v>251.10230999999999</v>
      </c>
      <c r="C313" s="2">
        <v>4.6580000000000004</v>
      </c>
      <c r="D313" s="2" t="s">
        <v>84</v>
      </c>
      <c r="E313" s="2" t="s">
        <v>3285</v>
      </c>
      <c r="F313" s="2" t="s">
        <v>3286</v>
      </c>
      <c r="G313" s="2">
        <v>197063</v>
      </c>
      <c r="H313" s="3" t="str">
        <f>HYPERLINK("https://cloud.oebiotech.com/#/lm/network/197063", "https://cloud.oebiotech.com/#/lm/network/197063")</f>
        <v>https://cloud.oebiotech.com/#/lm/network/197063</v>
      </c>
      <c r="I313" s="2" t="s">
        <v>3287</v>
      </c>
      <c r="J313" s="2"/>
      <c r="K313" s="2"/>
      <c r="L313" s="2">
        <v>54201144</v>
      </c>
      <c r="M313" s="2"/>
      <c r="N313" s="2"/>
      <c r="O313" s="2"/>
      <c r="P313" s="2"/>
      <c r="Q313" s="2"/>
      <c r="R313" s="2"/>
      <c r="S313" s="2" t="s">
        <v>3288</v>
      </c>
      <c r="T313" s="2" t="s">
        <v>3289</v>
      </c>
      <c r="U313" s="2" t="s">
        <v>3290</v>
      </c>
      <c r="V313" s="2" t="s">
        <v>338</v>
      </c>
      <c r="W313" s="2" t="s">
        <v>339</v>
      </c>
      <c r="X313" s="2" t="s">
        <v>340</v>
      </c>
      <c r="Y313" s="2" t="s">
        <v>341</v>
      </c>
      <c r="Z313" s="2" t="s">
        <v>341</v>
      </c>
      <c r="AA313" s="2" t="s">
        <v>342</v>
      </c>
      <c r="AB313" s="2" t="s">
        <v>101</v>
      </c>
      <c r="AC313" s="2">
        <v>67.540000000000006</v>
      </c>
      <c r="AD313" s="2">
        <v>92.03</v>
      </c>
      <c r="AE313" s="2">
        <v>62.72</v>
      </c>
      <c r="AF313" s="2" t="s">
        <v>3291</v>
      </c>
      <c r="AG313" s="2" t="s">
        <v>103</v>
      </c>
      <c r="AH313" s="2" t="s">
        <v>3292</v>
      </c>
      <c r="AI313" s="2">
        <v>1.19</v>
      </c>
      <c r="AJ313" s="2">
        <v>17.793188919439899</v>
      </c>
      <c r="AK313" s="2">
        <v>17.318568228929401</v>
      </c>
      <c r="AL313" s="2">
        <v>17.839438541627</v>
      </c>
      <c r="AM313" s="2">
        <v>17.802297616865999</v>
      </c>
      <c r="AN313" s="2">
        <v>17.922797671777101</v>
      </c>
      <c r="AO313" s="2">
        <v>17.897022398814102</v>
      </c>
      <c r="AP313" s="2">
        <v>17.9238748576837</v>
      </c>
      <c r="AQ313" s="2">
        <v>17.994908263866702</v>
      </c>
      <c r="AR313" s="2">
        <v>9.6233145402724691</v>
      </c>
      <c r="AS313" s="2">
        <v>16.0719883190723</v>
      </c>
      <c r="AT313" s="2">
        <v>9.6233145402724691</v>
      </c>
      <c r="AU313" s="2">
        <v>16.381181116776499</v>
      </c>
      <c r="AV313" s="2">
        <v>17.883974842709499</v>
      </c>
      <c r="AW313" s="2">
        <v>17.475885550528599</v>
      </c>
      <c r="AX313" s="2">
        <v>16.4020062683379</v>
      </c>
      <c r="AY313" s="2">
        <v>16.934211357472801</v>
      </c>
      <c r="AZ313" s="2">
        <v>16.7987232736956</v>
      </c>
      <c r="BA313" s="2">
        <v>17.0988651394666</v>
      </c>
      <c r="BB313" s="2">
        <v>17.398005624775699</v>
      </c>
      <c r="BC313" s="2">
        <v>9.6233145402724691</v>
      </c>
      <c r="BD313" s="2">
        <v>15.7648656313154</v>
      </c>
      <c r="BE313" s="2">
        <v>17.926611271857901</v>
      </c>
      <c r="BF313" s="2">
        <v>18.133543769392801</v>
      </c>
      <c r="BG313" s="2">
        <v>18.0576595267367</v>
      </c>
      <c r="BH313" s="2">
        <v>17.0190654102528</v>
      </c>
      <c r="BI313" s="2">
        <v>16.531590721414499</v>
      </c>
      <c r="BJ313" s="2">
        <v>16.227317544511799</v>
      </c>
      <c r="BK313" s="2">
        <v>19.874236203336999</v>
      </c>
      <c r="BL313" s="2">
        <v>16.892482220856198</v>
      </c>
      <c r="BM313" s="2">
        <v>17.864305501640601</v>
      </c>
      <c r="BN313" s="2">
        <v>15.3849294150136</v>
      </c>
      <c r="BO313" s="2">
        <v>17.435863361468101</v>
      </c>
      <c r="BP313" s="2">
        <v>16.978121205543701</v>
      </c>
      <c r="BQ313" s="2">
        <v>18.807759289957101</v>
      </c>
      <c r="BR313" s="2">
        <v>18.079352170957399</v>
      </c>
      <c r="BS313" s="2">
        <v>17.402322359876401</v>
      </c>
      <c r="BT313" s="2">
        <v>17.2998784903399</v>
      </c>
      <c r="BU313" s="2">
        <v>17.949581667014801</v>
      </c>
      <c r="BV313" s="2">
        <v>18.429756763796799</v>
      </c>
      <c r="BW313" s="2">
        <v>9.6233145402724691</v>
      </c>
      <c r="BX313" s="2">
        <v>17.361426891290598</v>
      </c>
      <c r="BY313" s="2">
        <v>18.139623992919201</v>
      </c>
      <c r="BZ313" s="2">
        <v>17.769356710134701</v>
      </c>
      <c r="CA313" s="2">
        <v>17.801418313204099</v>
      </c>
      <c r="CB313" s="2">
        <v>17.113144004767499</v>
      </c>
      <c r="CC313" s="2">
        <v>15.5348955741048</v>
      </c>
      <c r="CD313" s="2">
        <v>17.039543904641199</v>
      </c>
      <c r="CE313" s="2">
        <v>20.204240257859901</v>
      </c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</row>
    <row r="314" spans="1:97">
      <c r="A314" s="2" t="s">
        <v>3293</v>
      </c>
      <c r="B314" s="2">
        <v>265.14398</v>
      </c>
      <c r="C314" s="2">
        <v>8.4809999999999999</v>
      </c>
      <c r="D314" s="2" t="s">
        <v>146</v>
      </c>
      <c r="E314" s="2" t="s">
        <v>3294</v>
      </c>
      <c r="F314" s="2" t="s">
        <v>3295</v>
      </c>
      <c r="G314" s="2">
        <v>82454</v>
      </c>
      <c r="H314" s="3" t="str">
        <f>HYPERLINK("https://cloud.oebiotech.com/#/lm/network/82454", "https://cloud.oebiotech.com/#/lm/network/82454")</f>
        <v>https://cloud.oebiotech.com/#/lm/network/82454</v>
      </c>
      <c r="I314" s="2" t="s">
        <v>3296</v>
      </c>
      <c r="J314" s="2"/>
      <c r="K314" s="2"/>
      <c r="L314" s="2">
        <v>156094</v>
      </c>
      <c r="M314" s="2"/>
      <c r="N314" s="2"/>
      <c r="O314" s="2"/>
      <c r="P314" s="2"/>
      <c r="Q314" s="2"/>
      <c r="R314" s="2"/>
      <c r="S314" s="2"/>
      <c r="T314" s="2" t="s">
        <v>3297</v>
      </c>
      <c r="U314" s="2" t="s">
        <v>3298</v>
      </c>
      <c r="V314" s="2" t="s">
        <v>553</v>
      </c>
      <c r="W314" s="2" t="s">
        <v>3299</v>
      </c>
      <c r="X314" s="2" t="s">
        <v>375</v>
      </c>
      <c r="Y314" s="2" t="s">
        <v>556</v>
      </c>
      <c r="Z314" s="2" t="s">
        <v>3300</v>
      </c>
      <c r="AA314" s="2"/>
      <c r="AB314" s="2" t="s">
        <v>101</v>
      </c>
      <c r="AC314" s="2">
        <v>67.53</v>
      </c>
      <c r="AD314" s="2">
        <v>90.71</v>
      </c>
      <c r="AE314" s="2">
        <v>61.9</v>
      </c>
      <c r="AF314" s="2" t="s">
        <v>3301</v>
      </c>
      <c r="AG314" s="2" t="s">
        <v>194</v>
      </c>
      <c r="AH314" s="2" t="s">
        <v>3302</v>
      </c>
      <c r="AI314" s="2">
        <v>1.89</v>
      </c>
      <c r="AJ314" s="2">
        <v>19.177515650217899</v>
      </c>
      <c r="AK314" s="2">
        <v>18.942590330972699</v>
      </c>
      <c r="AL314" s="2">
        <v>18.965407162230999</v>
      </c>
      <c r="AM314" s="2">
        <v>19.183072785091401</v>
      </c>
      <c r="AN314" s="2">
        <v>19.1911693417447</v>
      </c>
      <c r="AO314" s="2">
        <v>19.0754048776957</v>
      </c>
      <c r="AP314" s="2">
        <v>18.9462503886541</v>
      </c>
      <c r="AQ314" s="2">
        <v>19.274802586859401</v>
      </c>
      <c r="AR314" s="2">
        <v>9.6233145402724691</v>
      </c>
      <c r="AS314" s="2">
        <v>17.2700153025629</v>
      </c>
      <c r="AT314" s="2">
        <v>19.0120284300537</v>
      </c>
      <c r="AU314" s="2">
        <v>18.241176313071499</v>
      </c>
      <c r="AV314" s="2">
        <v>18.580730129965598</v>
      </c>
      <c r="AW314" s="2">
        <v>19.635478971370802</v>
      </c>
      <c r="AX314" s="2">
        <v>19.002871424706498</v>
      </c>
      <c r="AY314" s="2">
        <v>19.346891138617401</v>
      </c>
      <c r="AZ314" s="2">
        <v>17.869780637890301</v>
      </c>
      <c r="BA314" s="2">
        <v>17.786267649149298</v>
      </c>
      <c r="BB314" s="2">
        <v>19.666708767456601</v>
      </c>
      <c r="BC314" s="2">
        <v>19.656325050931901</v>
      </c>
      <c r="BD314" s="2">
        <v>19.021699550239301</v>
      </c>
      <c r="BE314" s="2">
        <v>20.2320318218746</v>
      </c>
      <c r="BF314" s="2">
        <v>18.310749580931699</v>
      </c>
      <c r="BG314" s="2">
        <v>19.001743400608198</v>
      </c>
      <c r="BH314" s="2">
        <v>18.489018225532899</v>
      </c>
      <c r="BI314" s="2">
        <v>19.014751078038699</v>
      </c>
      <c r="BJ314" s="2">
        <v>19.3132223982848</v>
      </c>
      <c r="BK314" s="2">
        <v>18.7691659426429</v>
      </c>
      <c r="BL314" s="2">
        <v>18.724160390306601</v>
      </c>
      <c r="BM314" s="2">
        <v>18.034264428601301</v>
      </c>
      <c r="BN314" s="2">
        <v>18.7281643632328</v>
      </c>
      <c r="BO314" s="2">
        <v>19.134298086216099</v>
      </c>
      <c r="BP314" s="2">
        <v>19.286739472237901</v>
      </c>
      <c r="BQ314" s="2">
        <v>18.789922348482001</v>
      </c>
      <c r="BR314" s="2">
        <v>19.609029995121499</v>
      </c>
      <c r="BS314" s="2">
        <v>18.525388517241801</v>
      </c>
      <c r="BT314" s="2">
        <v>18.781879657332599</v>
      </c>
      <c r="BU314" s="2">
        <v>18.491181725332599</v>
      </c>
      <c r="BV314" s="2">
        <v>19.035496787977799</v>
      </c>
      <c r="BW314" s="2">
        <v>18.655463640301502</v>
      </c>
      <c r="BX314" s="2">
        <v>17.837541149596799</v>
      </c>
      <c r="BY314" s="2">
        <v>19.461358897916899</v>
      </c>
      <c r="BZ314" s="2">
        <v>18.464934401808399</v>
      </c>
      <c r="CA314" s="2">
        <v>19.4541090067037</v>
      </c>
      <c r="CB314" s="2">
        <v>18.91407572896</v>
      </c>
      <c r="CC314" s="2">
        <v>19.0045699144964</v>
      </c>
      <c r="CD314" s="2">
        <v>19.005814187579801</v>
      </c>
      <c r="CE314" s="2">
        <v>18.808392152871502</v>
      </c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</row>
    <row r="315" spans="1:97">
      <c r="A315" s="2" t="s">
        <v>3303</v>
      </c>
      <c r="B315" s="2">
        <v>276.14377000000002</v>
      </c>
      <c r="C315" s="2">
        <v>1.3720000000000001</v>
      </c>
      <c r="D315" s="2" t="s">
        <v>84</v>
      </c>
      <c r="E315" s="2" t="s">
        <v>3304</v>
      </c>
      <c r="F315" s="2" t="s">
        <v>3305</v>
      </c>
      <c r="G315" s="2">
        <v>61325</v>
      </c>
      <c r="H315" s="3" t="str">
        <f>HYPERLINK("https://cloud.oebiotech.com/#/lm/network/61325", "https://cloud.oebiotech.com/#/lm/network/61325")</f>
        <v>https://cloud.oebiotech.com/#/lm/network/61325</v>
      </c>
      <c r="I315" s="2" t="s">
        <v>3306</v>
      </c>
      <c r="J315" s="2"/>
      <c r="K315" s="2"/>
      <c r="L315" s="2">
        <v>131752244</v>
      </c>
      <c r="M315" s="2"/>
      <c r="N315" s="2"/>
      <c r="O315" s="2"/>
      <c r="P315" s="2">
        <v>136629</v>
      </c>
      <c r="Q315" s="2"/>
      <c r="R315" s="2"/>
      <c r="S315" s="2" t="s">
        <v>3307</v>
      </c>
      <c r="T315" s="2" t="s">
        <v>3308</v>
      </c>
      <c r="U315" s="2" t="s">
        <v>3309</v>
      </c>
      <c r="V315" s="2" t="s">
        <v>115</v>
      </c>
      <c r="W315" s="2" t="s">
        <v>116</v>
      </c>
      <c r="X315" s="2" t="s">
        <v>117</v>
      </c>
      <c r="Y315" s="2" t="s">
        <v>118</v>
      </c>
      <c r="Z315" s="2" t="s">
        <v>119</v>
      </c>
      <c r="AA315" s="2" t="s">
        <v>120</v>
      </c>
      <c r="AB315" s="2" t="s">
        <v>101</v>
      </c>
      <c r="AC315" s="2">
        <v>67.48</v>
      </c>
      <c r="AD315" s="2">
        <v>92.03</v>
      </c>
      <c r="AE315" s="2">
        <v>75</v>
      </c>
      <c r="AF315" s="2" t="s">
        <v>3310</v>
      </c>
      <c r="AG315" s="2" t="s">
        <v>1088</v>
      </c>
      <c r="AH315" s="2" t="s">
        <v>3311</v>
      </c>
      <c r="AI315" s="2">
        <v>3.26</v>
      </c>
      <c r="AJ315" s="2">
        <v>19.531736359898499</v>
      </c>
      <c r="AK315" s="2">
        <v>19.755750200630601</v>
      </c>
      <c r="AL315" s="2">
        <v>19.720255966908599</v>
      </c>
      <c r="AM315" s="2">
        <v>19.6740235545921</v>
      </c>
      <c r="AN315" s="2">
        <v>19.7692553075021</v>
      </c>
      <c r="AO315" s="2">
        <v>19.729411321046499</v>
      </c>
      <c r="AP315" s="2">
        <v>18.936920090323099</v>
      </c>
      <c r="AQ315" s="2">
        <v>19.571510225103498</v>
      </c>
      <c r="AR315" s="2">
        <v>18.104743345457301</v>
      </c>
      <c r="AS315" s="2">
        <v>18.4353873175051</v>
      </c>
      <c r="AT315" s="2">
        <v>17.262062261740599</v>
      </c>
      <c r="AU315" s="2">
        <v>19.603682789702098</v>
      </c>
      <c r="AV315" s="2">
        <v>19.169111338432</v>
      </c>
      <c r="AW315" s="2">
        <v>19.759554221691701</v>
      </c>
      <c r="AX315" s="2">
        <v>19.1692712152993</v>
      </c>
      <c r="AY315" s="2">
        <v>19.636550475344698</v>
      </c>
      <c r="AZ315" s="2">
        <v>17.838960443216202</v>
      </c>
      <c r="BA315" s="2">
        <v>17.225483584317001</v>
      </c>
      <c r="BB315" s="2">
        <v>19.229654572729</v>
      </c>
      <c r="BC315" s="2">
        <v>20.182491201689199</v>
      </c>
      <c r="BD315" s="2">
        <v>19.1573990457794</v>
      </c>
      <c r="BE315" s="2">
        <v>18.919214367081601</v>
      </c>
      <c r="BF315" s="2">
        <v>18.931309438024101</v>
      </c>
      <c r="BG315" s="2">
        <v>19.928945978734902</v>
      </c>
      <c r="BH315" s="2">
        <v>18.760689252191</v>
      </c>
      <c r="BI315" s="2">
        <v>19.533010236292998</v>
      </c>
      <c r="BJ315" s="2">
        <v>19.225668021884101</v>
      </c>
      <c r="BK315" s="2">
        <v>18.895398602952401</v>
      </c>
      <c r="BL315" s="2">
        <v>17.9957210613515</v>
      </c>
      <c r="BM315" s="2">
        <v>18.4578516453685</v>
      </c>
      <c r="BN315" s="2">
        <v>19.117133277601901</v>
      </c>
      <c r="BO315" s="2">
        <v>20.0016446060182</v>
      </c>
      <c r="BP315" s="2">
        <v>19.832614375317899</v>
      </c>
      <c r="BQ315" s="2">
        <v>19.950399053414898</v>
      </c>
      <c r="BR315" s="2">
        <v>18.844380834606699</v>
      </c>
      <c r="BS315" s="2">
        <v>19.895825205990999</v>
      </c>
      <c r="BT315" s="2">
        <v>18.9931973314944</v>
      </c>
      <c r="BU315" s="2">
        <v>18.223590071197101</v>
      </c>
      <c r="BV315" s="2">
        <v>19.8571574295771</v>
      </c>
      <c r="BW315" s="2">
        <v>17.5093688645043</v>
      </c>
      <c r="BX315" s="2">
        <v>19.0916175092913</v>
      </c>
      <c r="BY315" s="2">
        <v>19.599873643510701</v>
      </c>
      <c r="BZ315" s="2">
        <v>18.9039410528556</v>
      </c>
      <c r="CA315" s="2">
        <v>18.812249988824099</v>
      </c>
      <c r="CB315" s="2">
        <v>18.965001410228499</v>
      </c>
      <c r="CC315" s="2">
        <v>19.000198495599101</v>
      </c>
      <c r="CD315" s="2">
        <v>19.007543819196201</v>
      </c>
      <c r="CE315" s="2">
        <v>19.341144636504701</v>
      </c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</row>
    <row r="316" spans="1:97">
      <c r="A316" s="2" t="s">
        <v>3312</v>
      </c>
      <c r="B316" s="2">
        <v>193.08654999999999</v>
      </c>
      <c r="C316" s="2">
        <v>8.2520000000000007</v>
      </c>
      <c r="D316" s="2" t="s">
        <v>146</v>
      </c>
      <c r="E316" s="2" t="s">
        <v>3313</v>
      </c>
      <c r="F316" s="2" t="s">
        <v>3314</v>
      </c>
      <c r="G316" s="2">
        <v>64296</v>
      </c>
      <c r="H316" s="3" t="str">
        <f>HYPERLINK("https://cloud.oebiotech.com/#/lm/network/64296", "https://cloud.oebiotech.com/#/lm/network/64296")</f>
        <v>https://cloud.oebiotech.com/#/lm/network/64296</v>
      </c>
      <c r="I316" s="2" t="s">
        <v>3315</v>
      </c>
      <c r="J316" s="2">
        <v>95616</v>
      </c>
      <c r="K316" s="2"/>
      <c r="L316" s="2">
        <v>226486</v>
      </c>
      <c r="M316" s="2"/>
      <c r="N316" s="2"/>
      <c r="O316" s="2"/>
      <c r="P316" s="2">
        <v>86562</v>
      </c>
      <c r="Q316" s="2"/>
      <c r="R316" s="2"/>
      <c r="S316" s="2" t="s">
        <v>3316</v>
      </c>
      <c r="T316" s="2" t="s">
        <v>3317</v>
      </c>
      <c r="U316" s="2" t="s">
        <v>3318</v>
      </c>
      <c r="V316" s="2" t="s">
        <v>385</v>
      </c>
      <c r="W316" s="2" t="s">
        <v>3319</v>
      </c>
      <c r="X316" s="2" t="s">
        <v>3320</v>
      </c>
      <c r="Y316" s="2" t="s">
        <v>388</v>
      </c>
      <c r="Z316" s="2" t="s">
        <v>3321</v>
      </c>
      <c r="AA316" s="2" t="s">
        <v>3322</v>
      </c>
      <c r="AB316" s="2" t="s">
        <v>101</v>
      </c>
      <c r="AC316" s="2">
        <v>67.44</v>
      </c>
      <c r="AD316" s="2">
        <v>97.75</v>
      </c>
      <c r="AE316" s="2">
        <v>58.91</v>
      </c>
      <c r="AF316" s="2" t="s">
        <v>3323</v>
      </c>
      <c r="AG316" s="2" t="s">
        <v>194</v>
      </c>
      <c r="AH316" s="2" t="s">
        <v>3324</v>
      </c>
      <c r="AI316" s="2">
        <v>2.59</v>
      </c>
      <c r="AJ316" s="2">
        <v>21.137617315491799</v>
      </c>
      <c r="AK316" s="2">
        <v>20.768286868991101</v>
      </c>
      <c r="AL316" s="2">
        <v>21.267662051741102</v>
      </c>
      <c r="AM316" s="2">
        <v>21.2337591247523</v>
      </c>
      <c r="AN316" s="2">
        <v>21.240114339506199</v>
      </c>
      <c r="AO316" s="2">
        <v>20.930029280089599</v>
      </c>
      <c r="AP316" s="2">
        <v>21.193404042369199</v>
      </c>
      <c r="AQ316" s="2">
        <v>21.184480620432801</v>
      </c>
      <c r="AR316" s="2">
        <v>21.2240979072802</v>
      </c>
      <c r="AS316" s="2">
        <v>21.305854515500702</v>
      </c>
      <c r="AT316" s="2">
        <v>19.905446444211499</v>
      </c>
      <c r="AU316" s="2">
        <v>21.115449812121099</v>
      </c>
      <c r="AV316" s="2">
        <v>20.891384526594599</v>
      </c>
      <c r="AW316" s="2">
        <v>21.121804802769599</v>
      </c>
      <c r="AX316" s="2">
        <v>21.0585846859673</v>
      </c>
      <c r="AY316" s="2">
        <v>20.991833413367399</v>
      </c>
      <c r="AZ316" s="2">
        <v>21.0901478997853</v>
      </c>
      <c r="BA316" s="2">
        <v>21.147325178061902</v>
      </c>
      <c r="BB316" s="2">
        <v>21.230840398304899</v>
      </c>
      <c r="BC316" s="2">
        <v>20.750865527830101</v>
      </c>
      <c r="BD316" s="2">
        <v>21.220301616584401</v>
      </c>
      <c r="BE316" s="2">
        <v>20.860969448943301</v>
      </c>
      <c r="BF316" s="2">
        <v>21.256877573776599</v>
      </c>
      <c r="BG316" s="2">
        <v>21.004334571634701</v>
      </c>
      <c r="BH316" s="2">
        <v>21.185118856786801</v>
      </c>
      <c r="BI316" s="2">
        <v>21.026380906072099</v>
      </c>
      <c r="BJ316" s="2">
        <v>20.780643135170099</v>
      </c>
      <c r="BK316" s="2">
        <v>21.173050944552401</v>
      </c>
      <c r="BL316" s="2">
        <v>21.551839780990701</v>
      </c>
      <c r="BM316" s="2">
        <v>20.662371097759198</v>
      </c>
      <c r="BN316" s="2">
        <v>21.202602124516101</v>
      </c>
      <c r="BO316" s="2">
        <v>20.767073392872401</v>
      </c>
      <c r="BP316" s="2">
        <v>21.146286728877801</v>
      </c>
      <c r="BQ316" s="2">
        <v>20.805310973510799</v>
      </c>
      <c r="BR316" s="2">
        <v>20.896797718174899</v>
      </c>
      <c r="BS316" s="2">
        <v>21.198518577216898</v>
      </c>
      <c r="BT316" s="2">
        <v>21.2538126836853</v>
      </c>
      <c r="BU316" s="2">
        <v>21.1334512425687</v>
      </c>
      <c r="BV316" s="2">
        <v>21.148597964348198</v>
      </c>
      <c r="BW316" s="2">
        <v>20.719592225413301</v>
      </c>
      <c r="BX316" s="2">
        <v>21.069368851151602</v>
      </c>
      <c r="BY316" s="2">
        <v>21.162226869921</v>
      </c>
      <c r="BZ316" s="2">
        <v>21.409906862402</v>
      </c>
      <c r="CA316" s="2">
        <v>20.666121337179302</v>
      </c>
      <c r="CB316" s="2">
        <v>21.015440929299</v>
      </c>
      <c r="CC316" s="2">
        <v>21.124806243275899</v>
      </c>
      <c r="CD316" s="2">
        <v>21.237073198183001</v>
      </c>
      <c r="CE316" s="2">
        <v>20.839651876752999</v>
      </c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</row>
    <row r="317" spans="1:97">
      <c r="A317" s="2" t="s">
        <v>3325</v>
      </c>
      <c r="B317" s="2">
        <v>424.34151000000003</v>
      </c>
      <c r="C317" s="2">
        <v>9.8719999999999999</v>
      </c>
      <c r="D317" s="2" t="s">
        <v>84</v>
      </c>
      <c r="E317" s="2" t="s">
        <v>3326</v>
      </c>
      <c r="F317" s="2" t="s">
        <v>3327</v>
      </c>
      <c r="G317" s="2">
        <v>198077</v>
      </c>
      <c r="H317" s="3" t="str">
        <f>HYPERLINK("https://cloud.oebiotech.com/#/lm/network/198077", "https://cloud.oebiotech.com/#/lm/network/198077")</f>
        <v>https://cloud.oebiotech.com/#/lm/network/198077</v>
      </c>
      <c r="I317" s="2" t="s">
        <v>3328</v>
      </c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 t="s">
        <v>3329</v>
      </c>
      <c r="U317" s="2" t="s">
        <v>3330</v>
      </c>
      <c r="V317" s="2" t="s">
        <v>95</v>
      </c>
      <c r="W317" s="2" t="s">
        <v>96</v>
      </c>
      <c r="X317" s="2" t="s">
        <v>97</v>
      </c>
      <c r="Y317" s="2" t="s">
        <v>98</v>
      </c>
      <c r="Z317" s="2" t="s">
        <v>99</v>
      </c>
      <c r="AA317" s="2" t="s">
        <v>100</v>
      </c>
      <c r="AB317" s="2" t="s">
        <v>101</v>
      </c>
      <c r="AC317" s="2">
        <v>67.44</v>
      </c>
      <c r="AD317" s="2">
        <v>98.8</v>
      </c>
      <c r="AE317" s="2">
        <v>63.35</v>
      </c>
      <c r="AF317" s="2" t="s">
        <v>3331</v>
      </c>
      <c r="AG317" s="2" t="s">
        <v>1088</v>
      </c>
      <c r="AH317" s="2" t="s">
        <v>3332</v>
      </c>
      <c r="AI317" s="2">
        <v>2.83</v>
      </c>
      <c r="AJ317" s="2">
        <v>23.801372058688798</v>
      </c>
      <c r="AK317" s="2">
        <v>24.060171336181</v>
      </c>
      <c r="AL317" s="2">
        <v>24.147709259043701</v>
      </c>
      <c r="AM317" s="2">
        <v>24.0422932263345</v>
      </c>
      <c r="AN317" s="2">
        <v>23.972229102728001</v>
      </c>
      <c r="AO317" s="2">
        <v>24.029603813152399</v>
      </c>
      <c r="AP317" s="2">
        <v>23.986723202851699</v>
      </c>
      <c r="AQ317" s="2">
        <v>23.957309982820501</v>
      </c>
      <c r="AR317" s="2">
        <v>23.294115942113201</v>
      </c>
      <c r="AS317" s="2">
        <v>22.9193798209131</v>
      </c>
      <c r="AT317" s="2">
        <v>24.458701426941701</v>
      </c>
      <c r="AU317" s="2">
        <v>23.444785358761202</v>
      </c>
      <c r="AV317" s="2">
        <v>23.923158643681798</v>
      </c>
      <c r="AW317" s="2">
        <v>23.9736356966303</v>
      </c>
      <c r="AX317" s="2">
        <v>24.004234266984099</v>
      </c>
      <c r="AY317" s="2">
        <v>23.6805301010356</v>
      </c>
      <c r="AZ317" s="2">
        <v>23.360600269015901</v>
      </c>
      <c r="BA317" s="2">
        <v>22.967758820974399</v>
      </c>
      <c r="BB317" s="2">
        <v>23.802034438753001</v>
      </c>
      <c r="BC317" s="2">
        <v>25.708492926677</v>
      </c>
      <c r="BD317" s="2">
        <v>22.901161861926301</v>
      </c>
      <c r="BE317" s="2">
        <v>23.8426427498115</v>
      </c>
      <c r="BF317" s="2">
        <v>23.1296001613334</v>
      </c>
      <c r="BG317" s="2">
        <v>24.069858297616701</v>
      </c>
      <c r="BH317" s="2">
        <v>23.618415705071701</v>
      </c>
      <c r="BI317" s="2">
        <v>23.796687924199599</v>
      </c>
      <c r="BJ317" s="2">
        <v>23.861275155553699</v>
      </c>
      <c r="BK317" s="2">
        <v>22.734577951147099</v>
      </c>
      <c r="BL317" s="2">
        <v>23.899534666210801</v>
      </c>
      <c r="BM317" s="2">
        <v>22.97888911179</v>
      </c>
      <c r="BN317" s="2">
        <v>23.217949182147599</v>
      </c>
      <c r="BO317" s="2">
        <v>23.757011080464501</v>
      </c>
      <c r="BP317" s="2">
        <v>24.3874941825527</v>
      </c>
      <c r="BQ317" s="2">
        <v>24.116390038713199</v>
      </c>
      <c r="BR317" s="2">
        <v>24.3868683296608</v>
      </c>
      <c r="BS317" s="2">
        <v>24.0656171969704</v>
      </c>
      <c r="BT317" s="2">
        <v>23.679989819585</v>
      </c>
      <c r="BU317" s="2">
        <v>24.648237560361402</v>
      </c>
      <c r="BV317" s="2">
        <v>23.897821250798302</v>
      </c>
      <c r="BW317" s="2">
        <v>23.871226868661701</v>
      </c>
      <c r="BX317" s="2">
        <v>23.505196584977</v>
      </c>
      <c r="BY317" s="2">
        <v>24.193009446502199</v>
      </c>
      <c r="BZ317" s="2">
        <v>23.131209392009101</v>
      </c>
      <c r="CA317" s="2">
        <v>23.3585966311725</v>
      </c>
      <c r="CB317" s="2">
        <v>23.1813160316043</v>
      </c>
      <c r="CC317" s="2">
        <v>23.639844818097099</v>
      </c>
      <c r="CD317" s="2">
        <v>24.2945152871159</v>
      </c>
      <c r="CE317" s="2">
        <v>22.887256783631202</v>
      </c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</row>
    <row r="318" spans="1:97">
      <c r="A318" s="2" t="s">
        <v>3333</v>
      </c>
      <c r="B318" s="2">
        <v>331.17574000000002</v>
      </c>
      <c r="C318" s="2">
        <v>7</v>
      </c>
      <c r="D318" s="2" t="s">
        <v>146</v>
      </c>
      <c r="E318" s="2" t="s">
        <v>3334</v>
      </c>
      <c r="F318" s="2" t="s">
        <v>3335</v>
      </c>
      <c r="G318" s="2">
        <v>82028</v>
      </c>
      <c r="H318" s="3" t="str">
        <f>HYPERLINK("https://cloud.oebiotech.com/#/lm/network/82028", "https://cloud.oebiotech.com/#/lm/network/82028")</f>
        <v>https://cloud.oebiotech.com/#/lm/network/82028</v>
      </c>
      <c r="I318" s="2" t="s">
        <v>3336</v>
      </c>
      <c r="J318" s="2"/>
      <c r="K318" s="2"/>
      <c r="L318" s="2">
        <v>183838</v>
      </c>
      <c r="M318" s="2"/>
      <c r="N318" s="2"/>
      <c r="O318" s="2"/>
      <c r="P318" s="2">
        <v>89610</v>
      </c>
      <c r="Q318" s="2"/>
      <c r="R318" s="2"/>
      <c r="S318" s="2"/>
      <c r="T318" s="2" t="s">
        <v>3337</v>
      </c>
      <c r="U318" s="2" t="s">
        <v>3338</v>
      </c>
      <c r="V318" s="2" t="s">
        <v>95</v>
      </c>
      <c r="W318" s="2" t="s">
        <v>180</v>
      </c>
      <c r="X318" s="2" t="s">
        <v>2714</v>
      </c>
      <c r="Y318" s="2" t="s">
        <v>98</v>
      </c>
      <c r="Z318" s="2" t="s">
        <v>182</v>
      </c>
      <c r="AA318" s="2" t="s">
        <v>2715</v>
      </c>
      <c r="AB318" s="2" t="s">
        <v>101</v>
      </c>
      <c r="AC318" s="2">
        <v>67.400000000000006</v>
      </c>
      <c r="AD318" s="2">
        <v>89.14</v>
      </c>
      <c r="AE318" s="2">
        <v>71.510000000000005</v>
      </c>
      <c r="AF318" s="2" t="s">
        <v>3339</v>
      </c>
      <c r="AG318" s="2" t="s">
        <v>194</v>
      </c>
      <c r="AH318" s="2" t="s">
        <v>3340</v>
      </c>
      <c r="AI318" s="2">
        <v>1.51</v>
      </c>
      <c r="AJ318" s="2">
        <v>18.1136947617358</v>
      </c>
      <c r="AK318" s="2">
        <v>17.8257301727885</v>
      </c>
      <c r="AL318" s="2">
        <v>17.8947222758427</v>
      </c>
      <c r="AM318" s="2">
        <v>18.0678565171179</v>
      </c>
      <c r="AN318" s="2">
        <v>17.998562609913201</v>
      </c>
      <c r="AO318" s="2">
        <v>17.902977642655401</v>
      </c>
      <c r="AP318" s="2">
        <v>18.0144079289248</v>
      </c>
      <c r="AQ318" s="2">
        <v>18.150912647151198</v>
      </c>
      <c r="AR318" s="2">
        <v>14.9656945642745</v>
      </c>
      <c r="AS318" s="2">
        <v>18.8760545493829</v>
      </c>
      <c r="AT318" s="2">
        <v>9.6233145402724691</v>
      </c>
      <c r="AU318" s="2">
        <v>17.343984359658698</v>
      </c>
      <c r="AV318" s="2">
        <v>9.6233145402724691</v>
      </c>
      <c r="AW318" s="2">
        <v>13.4579323018315</v>
      </c>
      <c r="AX318" s="2">
        <v>9.6233145402724691</v>
      </c>
      <c r="AY318" s="2">
        <v>18.507861754054399</v>
      </c>
      <c r="AZ318" s="2">
        <v>12.7780093475667</v>
      </c>
      <c r="BA318" s="2">
        <v>17.0997448626668</v>
      </c>
      <c r="BB318" s="2">
        <v>17.806666103731398</v>
      </c>
      <c r="BC318" s="2">
        <v>17.8597517591068</v>
      </c>
      <c r="BD318" s="2">
        <v>14.592754258825501</v>
      </c>
      <c r="BE318" s="2">
        <v>21.043889021510498</v>
      </c>
      <c r="BF318" s="2">
        <v>18.323791677984399</v>
      </c>
      <c r="BG318" s="2">
        <v>15.1799149198592</v>
      </c>
      <c r="BH318" s="2">
        <v>15.9528158548646</v>
      </c>
      <c r="BI318" s="2">
        <v>19.196136706238299</v>
      </c>
      <c r="BJ318" s="2">
        <v>15.0915589390695</v>
      </c>
      <c r="BK318" s="2">
        <v>15.123592404459201</v>
      </c>
      <c r="BL318" s="2">
        <v>17.3615545443805</v>
      </c>
      <c r="BM318" s="2">
        <v>17.2445925831632</v>
      </c>
      <c r="BN318" s="2">
        <v>11.6526433400402</v>
      </c>
      <c r="BO318" s="2">
        <v>16.977409065225</v>
      </c>
      <c r="BP318" s="2">
        <v>9.6233145402724691</v>
      </c>
      <c r="BQ318" s="2">
        <v>17.820452733304901</v>
      </c>
      <c r="BR318" s="2">
        <v>18.539569638615301</v>
      </c>
      <c r="BS318" s="2">
        <v>20.169430621790799</v>
      </c>
      <c r="BT318" s="2">
        <v>15.6320707880996</v>
      </c>
      <c r="BU318" s="2">
        <v>16.539297117290499</v>
      </c>
      <c r="BV318" s="2">
        <v>16.376391154761102</v>
      </c>
      <c r="BW318" s="2">
        <v>16.928391953473501</v>
      </c>
      <c r="BX318" s="2">
        <v>16.347158688074099</v>
      </c>
      <c r="BY318" s="2">
        <v>19.631479711477699</v>
      </c>
      <c r="BZ318" s="2">
        <v>15.740970237111499</v>
      </c>
      <c r="CA318" s="2">
        <v>12.1037729969668</v>
      </c>
      <c r="CB318" s="2">
        <v>16.868393949932699</v>
      </c>
      <c r="CC318" s="2">
        <v>19.170466903361898</v>
      </c>
      <c r="CD318" s="2">
        <v>12.9323937856634</v>
      </c>
      <c r="CE318" s="2">
        <v>16.404228518115001</v>
      </c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</row>
    <row r="319" spans="1:97">
      <c r="A319" s="2" t="s">
        <v>3341</v>
      </c>
      <c r="B319" s="2">
        <v>463.34231</v>
      </c>
      <c r="C319" s="2">
        <v>13.141999999999999</v>
      </c>
      <c r="D319" s="2" t="s">
        <v>146</v>
      </c>
      <c r="E319" s="2" t="s">
        <v>3342</v>
      </c>
      <c r="F319" s="2" t="s">
        <v>3343</v>
      </c>
      <c r="G319" s="2">
        <v>48914</v>
      </c>
      <c r="H319" s="3" t="str">
        <f>HYPERLINK("https://cloud.oebiotech.com/#/lm/network/48914", "https://cloud.oebiotech.com/#/lm/network/48914")</f>
        <v>https://cloud.oebiotech.com/#/lm/network/48914</v>
      </c>
      <c r="I319" s="2" t="s">
        <v>3344</v>
      </c>
      <c r="J319" s="2"/>
      <c r="K319" s="2"/>
      <c r="L319" s="2">
        <v>53477902</v>
      </c>
      <c r="M319" s="2" t="s">
        <v>3345</v>
      </c>
      <c r="N319" s="2"/>
      <c r="O319" s="2"/>
      <c r="P319" s="2"/>
      <c r="Q319" s="2"/>
      <c r="R319" s="2"/>
      <c r="S319" s="2"/>
      <c r="T319" s="2" t="s">
        <v>3346</v>
      </c>
      <c r="U319" s="2" t="s">
        <v>3347</v>
      </c>
      <c r="V319" s="2" t="s">
        <v>95</v>
      </c>
      <c r="W319" s="2" t="s">
        <v>152</v>
      </c>
      <c r="X319" s="2" t="s">
        <v>1420</v>
      </c>
      <c r="Y319" s="2" t="s">
        <v>98</v>
      </c>
      <c r="Z319" s="2" t="s">
        <v>154</v>
      </c>
      <c r="AA319" s="2" t="s">
        <v>1421</v>
      </c>
      <c r="AB319" s="2" t="s">
        <v>101</v>
      </c>
      <c r="AC319" s="2">
        <v>67.400000000000006</v>
      </c>
      <c r="AD319" s="2">
        <v>81.790000000000006</v>
      </c>
      <c r="AE319" s="2">
        <v>76.55</v>
      </c>
      <c r="AF319" s="2" t="s">
        <v>3348</v>
      </c>
      <c r="AG319" s="2" t="s">
        <v>157</v>
      </c>
      <c r="AH319" s="2" t="s">
        <v>3208</v>
      </c>
      <c r="AI319" s="2">
        <v>1.29</v>
      </c>
      <c r="AJ319" s="2">
        <v>18.961398284131501</v>
      </c>
      <c r="AK319" s="2">
        <v>18.740967075910799</v>
      </c>
      <c r="AL319" s="2">
        <v>19.4125258121142</v>
      </c>
      <c r="AM319" s="2">
        <v>19.372209876916401</v>
      </c>
      <c r="AN319" s="2">
        <v>19.372989219125799</v>
      </c>
      <c r="AO319" s="2">
        <v>18.8221737065521</v>
      </c>
      <c r="AP319" s="2">
        <v>19.477107445456799</v>
      </c>
      <c r="AQ319" s="2">
        <v>19.369127898196101</v>
      </c>
      <c r="AR319" s="2">
        <v>18.313193274660399</v>
      </c>
      <c r="AS319" s="2">
        <v>18.9323023682052</v>
      </c>
      <c r="AT319" s="2">
        <v>19.088755144491198</v>
      </c>
      <c r="AU319" s="2">
        <v>19.0449668442252</v>
      </c>
      <c r="AV319" s="2">
        <v>18.8498628652905</v>
      </c>
      <c r="AW319" s="2">
        <v>18.673231804992199</v>
      </c>
      <c r="AX319" s="2">
        <v>18.926146121350001</v>
      </c>
      <c r="AY319" s="2">
        <v>20.282002517481999</v>
      </c>
      <c r="AZ319" s="2">
        <v>19.917661097138801</v>
      </c>
      <c r="BA319" s="2">
        <v>19.409050360904299</v>
      </c>
      <c r="BB319" s="2">
        <v>19.606470621651301</v>
      </c>
      <c r="BC319" s="2">
        <v>20.576155062661201</v>
      </c>
      <c r="BD319" s="2">
        <v>19.672117047060301</v>
      </c>
      <c r="BE319" s="2">
        <v>21.531273234338101</v>
      </c>
      <c r="BF319" s="2">
        <v>18.2330426219002</v>
      </c>
      <c r="BG319" s="2">
        <v>19.526533796923498</v>
      </c>
      <c r="BH319" s="2">
        <v>19.2738178816812</v>
      </c>
      <c r="BI319" s="2">
        <v>19.101526117599501</v>
      </c>
      <c r="BJ319" s="2">
        <v>19.807392219207301</v>
      </c>
      <c r="BK319" s="2">
        <v>18.187590524271499</v>
      </c>
      <c r="BL319" s="2">
        <v>19.7847918586553</v>
      </c>
      <c r="BM319" s="2">
        <v>19.180759658138001</v>
      </c>
      <c r="BN319" s="2">
        <v>18.805264237375901</v>
      </c>
      <c r="BO319" s="2">
        <v>19.013048095957998</v>
      </c>
      <c r="BP319" s="2">
        <v>18.962444217147102</v>
      </c>
      <c r="BQ319" s="2">
        <v>17.807648052919902</v>
      </c>
      <c r="BR319" s="2">
        <v>18.542280800308799</v>
      </c>
      <c r="BS319" s="2">
        <v>20.6386935201553</v>
      </c>
      <c r="BT319" s="2">
        <v>19.696274886062799</v>
      </c>
      <c r="BU319" s="2">
        <v>19.6490522700037</v>
      </c>
      <c r="BV319" s="2">
        <v>19.1141693195333</v>
      </c>
      <c r="BW319" s="2">
        <v>19.3142842670383</v>
      </c>
      <c r="BX319" s="2">
        <v>19.796294294441498</v>
      </c>
      <c r="BY319" s="2">
        <v>21.2910775785572</v>
      </c>
      <c r="BZ319" s="2">
        <v>16.591820491046999</v>
      </c>
      <c r="CA319" s="2">
        <v>18.4591127838593</v>
      </c>
      <c r="CB319" s="2">
        <v>19.266852889271799</v>
      </c>
      <c r="CC319" s="2">
        <v>19.0391020519668</v>
      </c>
      <c r="CD319" s="2">
        <v>20.4373410611216</v>
      </c>
      <c r="CE319" s="2">
        <v>19.216044680301501</v>
      </c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</row>
    <row r="320" spans="1:97">
      <c r="A320" s="2" t="s">
        <v>3349</v>
      </c>
      <c r="B320" s="2">
        <v>287.02255000000002</v>
      </c>
      <c r="C320" s="2">
        <v>4.4980000000000002</v>
      </c>
      <c r="D320" s="2" t="s">
        <v>146</v>
      </c>
      <c r="E320" s="2" t="s">
        <v>3350</v>
      </c>
      <c r="F320" s="2" t="s">
        <v>3351</v>
      </c>
      <c r="G320" s="2">
        <v>197131</v>
      </c>
      <c r="H320" s="3" t="str">
        <f>HYPERLINK("https://cloud.oebiotech.com/#/lm/network/197131", "https://cloud.oebiotech.com/#/lm/network/197131")</f>
        <v>https://cloud.oebiotech.com/#/lm/network/197131</v>
      </c>
      <c r="I320" s="2" t="s">
        <v>3352</v>
      </c>
      <c r="J320" s="2"/>
      <c r="K320" s="2"/>
      <c r="L320" s="2">
        <v>101913834</v>
      </c>
      <c r="M320" s="2"/>
      <c r="N320" s="2"/>
      <c r="O320" s="2"/>
      <c r="P320" s="2"/>
      <c r="Q320" s="2"/>
      <c r="R320" s="2"/>
      <c r="S320" s="2"/>
      <c r="T320" s="2" t="s">
        <v>3353</v>
      </c>
      <c r="U320" s="2" t="s">
        <v>3354</v>
      </c>
      <c r="V320" s="2" t="s">
        <v>115</v>
      </c>
      <c r="W320" s="2" t="s">
        <v>613</v>
      </c>
      <c r="X320" s="2" t="s">
        <v>614</v>
      </c>
      <c r="Y320" s="2" t="s">
        <v>118</v>
      </c>
      <c r="Z320" s="2" t="s">
        <v>615</v>
      </c>
      <c r="AA320" s="2" t="s">
        <v>616</v>
      </c>
      <c r="AB320" s="2" t="s">
        <v>101</v>
      </c>
      <c r="AC320" s="2">
        <v>67.37</v>
      </c>
      <c r="AD320" s="2">
        <v>90.39</v>
      </c>
      <c r="AE320" s="2">
        <v>75.319999999999993</v>
      </c>
      <c r="AF320" s="2" t="s">
        <v>3355</v>
      </c>
      <c r="AG320" s="2" t="s">
        <v>194</v>
      </c>
      <c r="AH320" s="2" t="s">
        <v>3356</v>
      </c>
      <c r="AI320" s="2">
        <v>1.74</v>
      </c>
      <c r="AJ320" s="2">
        <v>17.641272453719701</v>
      </c>
      <c r="AK320" s="2">
        <v>17.609377735746801</v>
      </c>
      <c r="AL320" s="2">
        <v>17.5084342236709</v>
      </c>
      <c r="AM320" s="2">
        <v>17.957609093227202</v>
      </c>
      <c r="AN320" s="2">
        <v>17.4807289937885</v>
      </c>
      <c r="AO320" s="2">
        <v>17.618296808088001</v>
      </c>
      <c r="AP320" s="2">
        <v>17.255196519053801</v>
      </c>
      <c r="AQ320" s="2">
        <v>17.635451160779201</v>
      </c>
      <c r="AR320" s="2">
        <v>16.455396739524399</v>
      </c>
      <c r="AS320" s="2">
        <v>17.1050453294264</v>
      </c>
      <c r="AT320" s="2">
        <v>9.6233145402724691</v>
      </c>
      <c r="AU320" s="2">
        <v>17.154001517456098</v>
      </c>
      <c r="AV320" s="2">
        <v>17.423906883577299</v>
      </c>
      <c r="AW320" s="2">
        <v>11.9522389097018</v>
      </c>
      <c r="AX320" s="2">
        <v>9.6233145402724691</v>
      </c>
      <c r="AY320" s="2">
        <v>17.2376907914167</v>
      </c>
      <c r="AZ320" s="2">
        <v>12.0262848179018</v>
      </c>
      <c r="BA320" s="2">
        <v>17.665927526255299</v>
      </c>
      <c r="BB320" s="2">
        <v>16.2221505639749</v>
      </c>
      <c r="BC320" s="2">
        <v>16.054010279436699</v>
      </c>
      <c r="BD320" s="2">
        <v>14.0130364791156</v>
      </c>
      <c r="BE320" s="2">
        <v>9.6233145402724691</v>
      </c>
      <c r="BF320" s="2">
        <v>11.8630324562297</v>
      </c>
      <c r="BG320" s="2">
        <v>9.6233145402724691</v>
      </c>
      <c r="BH320" s="2">
        <v>9.6233145402724691</v>
      </c>
      <c r="BI320" s="2">
        <v>9.6233145402724691</v>
      </c>
      <c r="BJ320" s="2">
        <v>17.208817515178701</v>
      </c>
      <c r="BK320" s="2">
        <v>15.4342600797392</v>
      </c>
      <c r="BL320" s="2">
        <v>20.913617043305202</v>
      </c>
      <c r="BM320" s="2">
        <v>18.9182831794893</v>
      </c>
      <c r="BN320" s="2">
        <v>16.114576267781199</v>
      </c>
      <c r="BO320" s="2">
        <v>14.591744974730601</v>
      </c>
      <c r="BP320" s="2">
        <v>18.423195576985201</v>
      </c>
      <c r="BQ320" s="2">
        <v>14.5843682998473</v>
      </c>
      <c r="BR320" s="2">
        <v>9.6233145402724691</v>
      </c>
      <c r="BS320" s="2">
        <v>20.771939596675601</v>
      </c>
      <c r="BT320" s="2">
        <v>14.895163430724001</v>
      </c>
      <c r="BU320" s="2">
        <v>15.707044425002699</v>
      </c>
      <c r="BV320" s="2">
        <v>15.6897973709016</v>
      </c>
      <c r="BW320" s="2">
        <v>9.6233145402724691</v>
      </c>
      <c r="BX320" s="2">
        <v>15.028281649492399</v>
      </c>
      <c r="BY320" s="2">
        <v>19.075389704260701</v>
      </c>
      <c r="BZ320" s="2">
        <v>15.4631382959654</v>
      </c>
      <c r="CA320" s="2">
        <v>9.6233145402724691</v>
      </c>
      <c r="CB320" s="2">
        <v>18.9878771826052</v>
      </c>
      <c r="CC320" s="2">
        <v>12.6695583211108</v>
      </c>
      <c r="CD320" s="2">
        <v>14.4497154729132</v>
      </c>
      <c r="CE320" s="2">
        <v>15.2472458985334</v>
      </c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</row>
    <row r="321" spans="1:97">
      <c r="A321" s="2" t="s">
        <v>3357</v>
      </c>
      <c r="B321" s="2">
        <v>368.27929999999998</v>
      </c>
      <c r="C321" s="2">
        <v>8.8070000000000004</v>
      </c>
      <c r="D321" s="2" t="s">
        <v>84</v>
      </c>
      <c r="E321" s="2" t="s">
        <v>3358</v>
      </c>
      <c r="F321" s="2" t="s">
        <v>3359</v>
      </c>
      <c r="G321" s="2">
        <v>46737</v>
      </c>
      <c r="H321" s="3" t="str">
        <f>HYPERLINK("https://cloud.oebiotech.com/#/lm/network/46737", "https://cloud.oebiotech.com/#/lm/network/46737")</f>
        <v>https://cloud.oebiotech.com/#/lm/network/46737</v>
      </c>
      <c r="I321" s="2" t="s">
        <v>3360</v>
      </c>
      <c r="J321" s="2">
        <v>57990</v>
      </c>
      <c r="K321" s="2" t="s">
        <v>3361</v>
      </c>
      <c r="L321" s="2">
        <v>65555</v>
      </c>
      <c r="M321" s="2" t="s">
        <v>3362</v>
      </c>
      <c r="N321" s="2"/>
      <c r="O321" s="2"/>
      <c r="P321" s="2">
        <v>34352</v>
      </c>
      <c r="Q321" s="2"/>
      <c r="R321" s="2"/>
      <c r="S321" s="2" t="s">
        <v>3363</v>
      </c>
      <c r="T321" s="2" t="s">
        <v>3364</v>
      </c>
      <c r="U321" s="2" t="s">
        <v>3365</v>
      </c>
      <c r="V321" s="2" t="s">
        <v>95</v>
      </c>
      <c r="W321" s="2" t="s">
        <v>152</v>
      </c>
      <c r="X321" s="2" t="s">
        <v>153</v>
      </c>
      <c r="Y321" s="2" t="s">
        <v>98</v>
      </c>
      <c r="Z321" s="2" t="s">
        <v>154</v>
      </c>
      <c r="AA321" s="2" t="s">
        <v>155</v>
      </c>
      <c r="AB321" s="2" t="s">
        <v>101</v>
      </c>
      <c r="AC321" s="2">
        <v>67.36</v>
      </c>
      <c r="AD321" s="2">
        <v>86.5</v>
      </c>
      <c r="AE321" s="2">
        <v>68.31</v>
      </c>
      <c r="AF321" s="2" t="s">
        <v>3366</v>
      </c>
      <c r="AG321" s="2" t="s">
        <v>132</v>
      </c>
      <c r="AH321" s="2" t="s">
        <v>3367</v>
      </c>
      <c r="AI321" s="2">
        <v>0.54</v>
      </c>
      <c r="AJ321" s="2">
        <v>20.526701349381401</v>
      </c>
      <c r="AK321" s="2">
        <v>20.684931549481899</v>
      </c>
      <c r="AL321" s="2">
        <v>20.5696973970519</v>
      </c>
      <c r="AM321" s="2">
        <v>20.5627582604344</v>
      </c>
      <c r="AN321" s="2">
        <v>20.5984713408419</v>
      </c>
      <c r="AO321" s="2">
        <v>20.4271857322206</v>
      </c>
      <c r="AP321" s="2">
        <v>20.697008052237098</v>
      </c>
      <c r="AQ321" s="2">
        <v>20.3876930273378</v>
      </c>
      <c r="AR321" s="2">
        <v>17.494039041637802</v>
      </c>
      <c r="AS321" s="2">
        <v>19.687173299466401</v>
      </c>
      <c r="AT321" s="2">
        <v>20.1855887578946</v>
      </c>
      <c r="AU321" s="2">
        <v>17.8637003311885</v>
      </c>
      <c r="AV321" s="2">
        <v>18.787497464921799</v>
      </c>
      <c r="AW321" s="2">
        <v>19.936057722419601</v>
      </c>
      <c r="AX321" s="2">
        <v>19.627494324807198</v>
      </c>
      <c r="AY321" s="2">
        <v>20.470059175379401</v>
      </c>
      <c r="AZ321" s="2">
        <v>16.589460966926399</v>
      </c>
      <c r="BA321" s="2">
        <v>20.821367497317901</v>
      </c>
      <c r="BB321" s="2">
        <v>20.8202544774425</v>
      </c>
      <c r="BC321" s="2">
        <v>21.486366234461801</v>
      </c>
      <c r="BD321" s="2">
        <v>18.584899539938501</v>
      </c>
      <c r="BE321" s="2">
        <v>20.302254559064199</v>
      </c>
      <c r="BF321" s="2">
        <v>19.438451813175998</v>
      </c>
      <c r="BG321" s="2">
        <v>20.9352558181725</v>
      </c>
      <c r="BH321" s="2">
        <v>19.6946381739195</v>
      </c>
      <c r="BI321" s="2">
        <v>20.963442746942501</v>
      </c>
      <c r="BJ321" s="2">
        <v>20.046629360422401</v>
      </c>
      <c r="BK321" s="2">
        <v>17.123973447401401</v>
      </c>
      <c r="BL321" s="2">
        <v>21.172493800264402</v>
      </c>
      <c r="BM321" s="2">
        <v>19.0679401827785</v>
      </c>
      <c r="BN321" s="2">
        <v>19.347086196958699</v>
      </c>
      <c r="BO321" s="2">
        <v>21.218722555792802</v>
      </c>
      <c r="BP321" s="2">
        <v>20.697481566196402</v>
      </c>
      <c r="BQ321" s="2">
        <v>21.091540919467601</v>
      </c>
      <c r="BR321" s="2">
        <v>21.048076350693801</v>
      </c>
      <c r="BS321" s="2">
        <v>19.780378061381299</v>
      </c>
      <c r="BT321" s="2">
        <v>20.774916707899301</v>
      </c>
      <c r="BU321" s="2">
        <v>20.5580627960613</v>
      </c>
      <c r="BV321" s="2">
        <v>21.077417683605699</v>
      </c>
      <c r="BW321" s="2">
        <v>20.291536737289</v>
      </c>
      <c r="BX321" s="2">
        <v>19.8907900548984</v>
      </c>
      <c r="BY321" s="2">
        <v>19.098832583937099</v>
      </c>
      <c r="BZ321" s="2">
        <v>20.419648513912499</v>
      </c>
      <c r="CA321" s="2">
        <v>20.059512407725801</v>
      </c>
      <c r="CB321" s="2">
        <v>20.372078964027001</v>
      </c>
      <c r="CC321" s="2">
        <v>21.136675342843301</v>
      </c>
      <c r="CD321" s="2">
        <v>19.4912015370316</v>
      </c>
      <c r="CE321" s="2">
        <v>20.7222613318344</v>
      </c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</row>
    <row r="322" spans="1:97">
      <c r="A322" s="2" t="s">
        <v>3368</v>
      </c>
      <c r="B322" s="2">
        <v>290.13445999999999</v>
      </c>
      <c r="C322" s="2">
        <v>1.712</v>
      </c>
      <c r="D322" s="2" t="s">
        <v>84</v>
      </c>
      <c r="E322" s="2" t="s">
        <v>3369</v>
      </c>
      <c r="F322" s="2" t="s">
        <v>3370</v>
      </c>
      <c r="G322" s="2">
        <v>260437</v>
      </c>
      <c r="H322" s="3" t="str">
        <f>HYPERLINK("https://cloud.oebiotech.com/#/lm/network/260437", "https://cloud.oebiotech.com/#/lm/network/260437")</f>
        <v>https://cloud.oebiotech.com/#/lm/network/260437</v>
      </c>
      <c r="I322" s="2"/>
      <c r="J322" s="2">
        <v>17693</v>
      </c>
      <c r="K322" s="2"/>
      <c r="L322" s="2">
        <v>101198875</v>
      </c>
      <c r="M322" s="2"/>
      <c r="N322" s="2"/>
      <c r="O322" s="2"/>
      <c r="P322" s="2"/>
      <c r="Q322" s="2"/>
      <c r="R322" s="2"/>
      <c r="S322" s="2"/>
      <c r="T322" s="2" t="s">
        <v>3371</v>
      </c>
      <c r="U322" s="2" t="s">
        <v>3372</v>
      </c>
      <c r="V322" s="2" t="s">
        <v>115</v>
      </c>
      <c r="W322" s="2" t="s">
        <v>116</v>
      </c>
      <c r="X322" s="2" t="s">
        <v>117</v>
      </c>
      <c r="Y322" s="2" t="s">
        <v>118</v>
      </c>
      <c r="Z322" s="2" t="s">
        <v>119</v>
      </c>
      <c r="AA322" s="2" t="s">
        <v>120</v>
      </c>
      <c r="AB322" s="2" t="s">
        <v>101</v>
      </c>
      <c r="AC322" s="2">
        <v>67.34</v>
      </c>
      <c r="AD322" s="2">
        <v>91.75</v>
      </c>
      <c r="AE322" s="2">
        <v>58.71</v>
      </c>
      <c r="AF322" s="2" t="s">
        <v>3373</v>
      </c>
      <c r="AG322" s="2" t="s">
        <v>103</v>
      </c>
      <c r="AH322" s="2" t="s">
        <v>3374</v>
      </c>
      <c r="AI322" s="2">
        <v>0.69</v>
      </c>
      <c r="AJ322" s="2">
        <v>17.880224492331301</v>
      </c>
      <c r="AK322" s="2">
        <v>18.0199351710712</v>
      </c>
      <c r="AL322" s="2">
        <v>18.018992847669299</v>
      </c>
      <c r="AM322" s="2">
        <v>18.1311108388376</v>
      </c>
      <c r="AN322" s="2">
        <v>18.100287717695799</v>
      </c>
      <c r="AO322" s="2">
        <v>18.399654147581899</v>
      </c>
      <c r="AP322" s="2">
        <v>17.948919783915098</v>
      </c>
      <c r="AQ322" s="2">
        <v>17.9400433533118</v>
      </c>
      <c r="AR322" s="2">
        <v>17.791550326747402</v>
      </c>
      <c r="AS322" s="2">
        <v>16.192040590526599</v>
      </c>
      <c r="AT322" s="2">
        <v>9.6233145402724691</v>
      </c>
      <c r="AU322" s="2">
        <v>9.6233145402724691</v>
      </c>
      <c r="AV322" s="2">
        <v>19.765369779266202</v>
      </c>
      <c r="AW322" s="2">
        <v>18.895245692103401</v>
      </c>
      <c r="AX322" s="2">
        <v>18.703943812171602</v>
      </c>
      <c r="AY322" s="2">
        <v>9.6233145402724691</v>
      </c>
      <c r="AZ322" s="2">
        <v>17.762016997226901</v>
      </c>
      <c r="BA322" s="2">
        <v>14.9915497466493</v>
      </c>
      <c r="BB322" s="2">
        <v>17.334359452612201</v>
      </c>
      <c r="BC322" s="2">
        <v>9.6233145402724691</v>
      </c>
      <c r="BD322" s="2">
        <v>17.9728912410812</v>
      </c>
      <c r="BE322" s="2">
        <v>9.6233145402724691</v>
      </c>
      <c r="BF322" s="2">
        <v>17.241475630279702</v>
      </c>
      <c r="BG322" s="2">
        <v>15.9420720715048</v>
      </c>
      <c r="BH322" s="2">
        <v>18.869827468293899</v>
      </c>
      <c r="BI322" s="2">
        <v>17.995781336220102</v>
      </c>
      <c r="BJ322" s="2">
        <v>14.9604603965123</v>
      </c>
      <c r="BK322" s="2">
        <v>19.382563955244599</v>
      </c>
      <c r="BL322" s="2">
        <v>18.051755499473501</v>
      </c>
      <c r="BM322" s="2">
        <v>18.3281755314141</v>
      </c>
      <c r="BN322" s="2">
        <v>18.183717319619301</v>
      </c>
      <c r="BO322" s="2">
        <v>16.326489176833</v>
      </c>
      <c r="BP322" s="2">
        <v>17.5191579983046</v>
      </c>
      <c r="BQ322" s="2">
        <v>16.60942087954</v>
      </c>
      <c r="BR322" s="2">
        <v>16.0810905880844</v>
      </c>
      <c r="BS322" s="2">
        <v>18.103914343004799</v>
      </c>
      <c r="BT322" s="2">
        <v>16.552537620895201</v>
      </c>
      <c r="BU322" s="2">
        <v>14.533007231530901</v>
      </c>
      <c r="BV322" s="2">
        <v>9.6233145402724691</v>
      </c>
      <c r="BW322" s="2">
        <v>9.6233145402724691</v>
      </c>
      <c r="BX322" s="2">
        <v>19.215070565919799</v>
      </c>
      <c r="BY322" s="2">
        <v>13.6697841729491</v>
      </c>
      <c r="BZ322" s="2">
        <v>9.6233145402724691</v>
      </c>
      <c r="CA322" s="2">
        <v>16.132738083965101</v>
      </c>
      <c r="CB322" s="2">
        <v>18.524509232912902</v>
      </c>
      <c r="CC322" s="2">
        <v>20.4769191350608</v>
      </c>
      <c r="CD322" s="2">
        <v>16.474298824434399</v>
      </c>
      <c r="CE322" s="2">
        <v>18.4916252699696</v>
      </c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</row>
    <row r="323" spans="1:97">
      <c r="A323" s="2" t="s">
        <v>3375</v>
      </c>
      <c r="B323" s="2">
        <v>321.31463000000002</v>
      </c>
      <c r="C323" s="2">
        <v>15.108000000000001</v>
      </c>
      <c r="D323" s="2" t="s">
        <v>84</v>
      </c>
      <c r="E323" s="2" t="s">
        <v>3376</v>
      </c>
      <c r="F323" s="2" t="s">
        <v>3377</v>
      </c>
      <c r="G323" s="2">
        <v>895</v>
      </c>
      <c r="H323" s="3" t="str">
        <f>HYPERLINK("https://cloud.oebiotech.com/#/lm/network/895", "https://cloud.oebiotech.com/#/lm/network/895")</f>
        <v>https://cloud.oebiotech.com/#/lm/network/895</v>
      </c>
      <c r="I323" s="2"/>
      <c r="J323" s="2">
        <v>35067</v>
      </c>
      <c r="K323" s="2" t="s">
        <v>3378</v>
      </c>
      <c r="L323" s="2">
        <v>5312553</v>
      </c>
      <c r="M323" s="2"/>
      <c r="N323" s="2"/>
      <c r="O323" s="2"/>
      <c r="P323" s="2"/>
      <c r="Q323" s="2"/>
      <c r="R323" s="2"/>
      <c r="S323" s="2"/>
      <c r="T323" s="2" t="s">
        <v>3379</v>
      </c>
      <c r="U323" s="2" t="s">
        <v>3380</v>
      </c>
      <c r="V323" s="2" t="s">
        <v>95</v>
      </c>
      <c r="W323" s="2" t="s">
        <v>96</v>
      </c>
      <c r="X323" s="2" t="s">
        <v>141</v>
      </c>
      <c r="Y323" s="2" t="s">
        <v>98</v>
      </c>
      <c r="Z323" s="2" t="s">
        <v>99</v>
      </c>
      <c r="AA323" s="2" t="s">
        <v>142</v>
      </c>
      <c r="AB323" s="2" t="s">
        <v>101</v>
      </c>
      <c r="AC323" s="2">
        <v>67.34</v>
      </c>
      <c r="AD323" s="2">
        <v>86.25</v>
      </c>
      <c r="AE323" s="2">
        <v>77.540000000000006</v>
      </c>
      <c r="AF323" s="2" t="s">
        <v>3381</v>
      </c>
      <c r="AG323" s="2" t="s">
        <v>1088</v>
      </c>
      <c r="AH323" s="2" t="s">
        <v>3382</v>
      </c>
      <c r="AI323" s="2">
        <v>3.73</v>
      </c>
      <c r="AJ323" s="2">
        <v>19.829742443815501</v>
      </c>
      <c r="AK323" s="2">
        <v>19.6803237386722</v>
      </c>
      <c r="AL323" s="2">
        <v>19.899998006126701</v>
      </c>
      <c r="AM323" s="2">
        <v>19.663449141938301</v>
      </c>
      <c r="AN323" s="2">
        <v>19.8489576409332</v>
      </c>
      <c r="AO323" s="2">
        <v>19.038346162424901</v>
      </c>
      <c r="AP323" s="2">
        <v>20.3127936679554</v>
      </c>
      <c r="AQ323" s="2">
        <v>19.795613220389502</v>
      </c>
      <c r="AR323" s="2">
        <v>19.2667003127176</v>
      </c>
      <c r="AS323" s="2">
        <v>19.142706119149299</v>
      </c>
      <c r="AT323" s="2">
        <v>18.8198454053611</v>
      </c>
      <c r="AU323" s="2">
        <v>16.710750346333</v>
      </c>
      <c r="AV323" s="2">
        <v>18.3995065406422</v>
      </c>
      <c r="AW323" s="2">
        <v>18.5807712321038</v>
      </c>
      <c r="AX323" s="2">
        <v>15.8918271257873</v>
      </c>
      <c r="AY323" s="2">
        <v>16.365710715322201</v>
      </c>
      <c r="AZ323" s="2">
        <v>18.2398592595408</v>
      </c>
      <c r="BA323" s="2">
        <v>16.597320641301</v>
      </c>
      <c r="BB323" s="2">
        <v>19.332920932640299</v>
      </c>
      <c r="BC323" s="2">
        <v>15.4916943535719</v>
      </c>
      <c r="BD323" s="2">
        <v>18.911891959170099</v>
      </c>
      <c r="BE323" s="2">
        <v>20.184990167053101</v>
      </c>
      <c r="BF323" s="2">
        <v>16.999228871399001</v>
      </c>
      <c r="BG323" s="2">
        <v>16.366434066591999</v>
      </c>
      <c r="BH323" s="2">
        <v>15.523707737337601</v>
      </c>
      <c r="BI323" s="2">
        <v>19.351008415749501</v>
      </c>
      <c r="BJ323" s="2">
        <v>16.888145093198698</v>
      </c>
      <c r="BK323" s="2">
        <v>16.874371693646999</v>
      </c>
      <c r="BL323" s="2">
        <v>9.6233145402724691</v>
      </c>
      <c r="BM323" s="2">
        <v>16.4880188212354</v>
      </c>
      <c r="BN323" s="2">
        <v>19.8787867273412</v>
      </c>
      <c r="BO323" s="2">
        <v>18.603639093681</v>
      </c>
      <c r="BP323" s="2">
        <v>18.148793676087401</v>
      </c>
      <c r="BQ323" s="2">
        <v>16.371832105368998</v>
      </c>
      <c r="BR323" s="2">
        <v>19.004763229578501</v>
      </c>
      <c r="BS323" s="2">
        <v>18.6210210365808</v>
      </c>
      <c r="BT323" s="2">
        <v>18.367232875636599</v>
      </c>
      <c r="BU323" s="2">
        <v>16.488483972804001</v>
      </c>
      <c r="BV323" s="2">
        <v>18.212547966091201</v>
      </c>
      <c r="BW323" s="2">
        <v>16.920830836453899</v>
      </c>
      <c r="BX323" s="2">
        <v>16.703458744178398</v>
      </c>
      <c r="BY323" s="2">
        <v>18.633262043790499</v>
      </c>
      <c r="BZ323" s="2">
        <v>20.276937907414499</v>
      </c>
      <c r="CA323" s="2">
        <v>18.059063713465701</v>
      </c>
      <c r="CB323" s="2">
        <v>19.043737345545001</v>
      </c>
      <c r="CC323" s="2">
        <v>15.485512992818901</v>
      </c>
      <c r="CD323" s="2">
        <v>15.2114582957929</v>
      </c>
      <c r="CE323" s="2">
        <v>17.3534730287871</v>
      </c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</row>
    <row r="324" spans="1:97">
      <c r="A324" s="2" t="s">
        <v>3383</v>
      </c>
      <c r="B324" s="2">
        <v>247.10736</v>
      </c>
      <c r="C324" s="2">
        <v>5.0199999999999996</v>
      </c>
      <c r="D324" s="2" t="s">
        <v>84</v>
      </c>
      <c r="E324" s="2" t="s">
        <v>3384</v>
      </c>
      <c r="F324" s="2" t="s">
        <v>3385</v>
      </c>
      <c r="G324" s="2">
        <v>52441</v>
      </c>
      <c r="H324" s="3" t="str">
        <f>HYPERLINK("https://cloud.oebiotech.com/#/lm/network/52441", "https://cloud.oebiotech.com/#/lm/network/52441")</f>
        <v>https://cloud.oebiotech.com/#/lm/network/52441</v>
      </c>
      <c r="I324" s="2" t="s">
        <v>3386</v>
      </c>
      <c r="J324" s="2"/>
      <c r="K324" s="2"/>
      <c r="L324" s="2">
        <v>700653</v>
      </c>
      <c r="M324" s="2"/>
      <c r="N324" s="2"/>
      <c r="O324" s="2"/>
      <c r="P324" s="2">
        <v>74640</v>
      </c>
      <c r="Q324" s="2"/>
      <c r="R324" s="2"/>
      <c r="S324" s="2" t="s">
        <v>3387</v>
      </c>
      <c r="T324" s="2" t="s">
        <v>3388</v>
      </c>
      <c r="U324" s="2" t="s">
        <v>3389</v>
      </c>
      <c r="V324" s="2" t="s">
        <v>115</v>
      </c>
      <c r="W324" s="2" t="s">
        <v>116</v>
      </c>
      <c r="X324" s="2" t="s">
        <v>117</v>
      </c>
      <c r="Y324" s="2" t="s">
        <v>118</v>
      </c>
      <c r="Z324" s="2" t="s">
        <v>119</v>
      </c>
      <c r="AA324" s="2" t="s">
        <v>120</v>
      </c>
      <c r="AB324" s="2" t="s">
        <v>101</v>
      </c>
      <c r="AC324" s="2">
        <v>67.3</v>
      </c>
      <c r="AD324" s="2">
        <v>91.44</v>
      </c>
      <c r="AE324" s="2">
        <v>65.77</v>
      </c>
      <c r="AF324" s="2" t="s">
        <v>3390</v>
      </c>
      <c r="AG324" s="2" t="s">
        <v>103</v>
      </c>
      <c r="AH324" s="2" t="s">
        <v>3391</v>
      </c>
      <c r="AI324" s="2">
        <v>1.21</v>
      </c>
      <c r="AJ324" s="2">
        <v>18.255046509315999</v>
      </c>
      <c r="AK324" s="2">
        <v>18.512815909782098</v>
      </c>
      <c r="AL324" s="2">
        <v>18.406124228647599</v>
      </c>
      <c r="AM324" s="2">
        <v>18.584862041010599</v>
      </c>
      <c r="AN324" s="2">
        <v>18.518398746991402</v>
      </c>
      <c r="AO324" s="2">
        <v>18.8849978694805</v>
      </c>
      <c r="AP324" s="2">
        <v>18.5798752933608</v>
      </c>
      <c r="AQ324" s="2">
        <v>18.799900827401299</v>
      </c>
      <c r="AR324" s="2">
        <v>17.888215564784101</v>
      </c>
      <c r="AS324" s="2">
        <v>17.454887951571799</v>
      </c>
      <c r="AT324" s="2">
        <v>17.659594731996599</v>
      </c>
      <c r="AU324" s="2">
        <v>16.323768681112799</v>
      </c>
      <c r="AV324" s="2">
        <v>18.250499857756601</v>
      </c>
      <c r="AW324" s="2">
        <v>18.032397164491201</v>
      </c>
      <c r="AX324" s="2">
        <v>18.206989336742801</v>
      </c>
      <c r="AY324" s="2">
        <v>18.125936969981801</v>
      </c>
      <c r="AZ324" s="2">
        <v>18.091403566678999</v>
      </c>
      <c r="BA324" s="2">
        <v>17.954905519426099</v>
      </c>
      <c r="BB324" s="2">
        <v>18.735499832807001</v>
      </c>
      <c r="BC324" s="2">
        <v>16.602145716225799</v>
      </c>
      <c r="BD324" s="2">
        <v>18.1103926185584</v>
      </c>
      <c r="BE324" s="2">
        <v>18.936308050413999</v>
      </c>
      <c r="BF324" s="2">
        <v>18.941035910997002</v>
      </c>
      <c r="BG324" s="2">
        <v>19.1392035364773</v>
      </c>
      <c r="BH324" s="2">
        <v>18.571146159944099</v>
      </c>
      <c r="BI324" s="2">
        <v>18.407646597904701</v>
      </c>
      <c r="BJ324" s="2">
        <v>18.587072811761601</v>
      </c>
      <c r="BK324" s="2">
        <v>18.312647280605098</v>
      </c>
      <c r="BL324" s="2">
        <v>18.249076869943199</v>
      </c>
      <c r="BM324" s="2">
        <v>18.002375311549599</v>
      </c>
      <c r="BN324" s="2">
        <v>17.984757273879801</v>
      </c>
      <c r="BO324" s="2">
        <v>18.5013574245855</v>
      </c>
      <c r="BP324" s="2">
        <v>18.534377628209501</v>
      </c>
      <c r="BQ324" s="2">
        <v>18.789899716775501</v>
      </c>
      <c r="BR324" s="2">
        <v>18.666694431953101</v>
      </c>
      <c r="BS324" s="2">
        <v>18.143733112401499</v>
      </c>
      <c r="BT324" s="2">
        <v>18.220505015215299</v>
      </c>
      <c r="BU324" s="2">
        <v>17.990708008048198</v>
      </c>
      <c r="BV324" s="2">
        <v>18.822332476059</v>
      </c>
      <c r="BW324" s="2">
        <v>17.136451882525499</v>
      </c>
      <c r="BX324" s="2">
        <v>18.2198230765235</v>
      </c>
      <c r="BY324" s="2">
        <v>19.072149565617998</v>
      </c>
      <c r="BZ324" s="2">
        <v>18.6178298369313</v>
      </c>
      <c r="CA324" s="2">
        <v>18.7593057278191</v>
      </c>
      <c r="CB324" s="2">
        <v>18.761554576100401</v>
      </c>
      <c r="CC324" s="2">
        <v>18.0652659688493</v>
      </c>
      <c r="CD324" s="2">
        <v>19.080382594987899</v>
      </c>
      <c r="CE324" s="2">
        <v>18.8077973940586</v>
      </c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</row>
    <row r="325" spans="1:97">
      <c r="A325" s="2" t="s">
        <v>3392</v>
      </c>
      <c r="B325" s="2">
        <v>161.04521</v>
      </c>
      <c r="C325" s="2">
        <v>0.52600000000000002</v>
      </c>
      <c r="D325" s="2" t="s">
        <v>146</v>
      </c>
      <c r="E325" s="2" t="s">
        <v>3393</v>
      </c>
      <c r="F325" s="2" t="s">
        <v>3394</v>
      </c>
      <c r="G325" s="2">
        <v>83600</v>
      </c>
      <c r="H325" s="3" t="str">
        <f>HYPERLINK("https://cloud.oebiotech.com/#/lm/network/83600", "https://cloud.oebiotech.com/#/lm/network/83600")</f>
        <v>https://cloud.oebiotech.com/#/lm/network/83600</v>
      </c>
      <c r="I325" s="2" t="s">
        <v>3395</v>
      </c>
      <c r="J325" s="2"/>
      <c r="K325" s="2"/>
      <c r="L325" s="2">
        <v>161658</v>
      </c>
      <c r="M325" s="2"/>
      <c r="N325" s="2"/>
      <c r="O325" s="2"/>
      <c r="P325" s="2">
        <v>37675</v>
      </c>
      <c r="Q325" s="2"/>
      <c r="R325" s="2"/>
      <c r="S325" s="2" t="s">
        <v>3396</v>
      </c>
      <c r="T325" s="2" t="s">
        <v>3397</v>
      </c>
      <c r="U325" s="2" t="s">
        <v>3398</v>
      </c>
      <c r="V325" s="2" t="s">
        <v>338</v>
      </c>
      <c r="W325" s="2" t="s">
        <v>339</v>
      </c>
      <c r="X325" s="2" t="s">
        <v>663</v>
      </c>
      <c r="Y325" s="2" t="s">
        <v>341</v>
      </c>
      <c r="Z325" s="2" t="s">
        <v>341</v>
      </c>
      <c r="AA325" s="2" t="s">
        <v>664</v>
      </c>
      <c r="AB325" s="2" t="s">
        <v>101</v>
      </c>
      <c r="AC325" s="2">
        <v>67.239999999999995</v>
      </c>
      <c r="AD325" s="2">
        <v>96.08</v>
      </c>
      <c r="AE325" s="2">
        <v>64.81</v>
      </c>
      <c r="AF325" s="2" t="s">
        <v>3399</v>
      </c>
      <c r="AG325" s="2" t="s">
        <v>993</v>
      </c>
      <c r="AH325" s="2" t="s">
        <v>3400</v>
      </c>
      <c r="AI325" s="2">
        <v>-1.24</v>
      </c>
      <c r="AJ325" s="2">
        <v>19.088548178393399</v>
      </c>
      <c r="AK325" s="2">
        <v>19.0138459982226</v>
      </c>
      <c r="AL325" s="2">
        <v>19.645131280613199</v>
      </c>
      <c r="AM325" s="2">
        <v>18.734823483814498</v>
      </c>
      <c r="AN325" s="2">
        <v>19.3639672042762</v>
      </c>
      <c r="AO325" s="2">
        <v>19.104057774591499</v>
      </c>
      <c r="AP325" s="2">
        <v>19.785353691381498</v>
      </c>
      <c r="AQ325" s="2">
        <v>19.911980525841798</v>
      </c>
      <c r="AR325" s="2">
        <v>19.372026308501599</v>
      </c>
      <c r="AS325" s="2">
        <v>19.451772683471901</v>
      </c>
      <c r="AT325" s="2">
        <v>18.9583553168682</v>
      </c>
      <c r="AU325" s="2">
        <v>19.580283763351499</v>
      </c>
      <c r="AV325" s="2">
        <v>19.0344544773669</v>
      </c>
      <c r="AW325" s="2">
        <v>19.508160303206399</v>
      </c>
      <c r="AX325" s="2">
        <v>18.866852241013898</v>
      </c>
      <c r="AY325" s="2">
        <v>19.409781288635301</v>
      </c>
      <c r="AZ325" s="2">
        <v>19.823145876214198</v>
      </c>
      <c r="BA325" s="2">
        <v>19.3166140337499</v>
      </c>
      <c r="BB325" s="2">
        <v>19.574502432164699</v>
      </c>
      <c r="BC325" s="2">
        <v>19.004563742688699</v>
      </c>
      <c r="BD325" s="2">
        <v>19.572163993173401</v>
      </c>
      <c r="BE325" s="2">
        <v>19.455605176758301</v>
      </c>
      <c r="BF325" s="2">
        <v>18.8873866367679</v>
      </c>
      <c r="BG325" s="2">
        <v>19.740136263290498</v>
      </c>
      <c r="BH325" s="2">
        <v>19.508425576789602</v>
      </c>
      <c r="BI325" s="2">
        <v>19.7558125180765</v>
      </c>
      <c r="BJ325" s="2">
        <v>19.285913683263999</v>
      </c>
      <c r="BK325" s="2">
        <v>19.615979902282699</v>
      </c>
      <c r="BL325" s="2">
        <v>19.495844040688901</v>
      </c>
      <c r="BM325" s="2">
        <v>19.646935271040402</v>
      </c>
      <c r="BN325" s="2">
        <v>19.166807198814698</v>
      </c>
      <c r="BO325" s="2">
        <v>19.927971272603699</v>
      </c>
      <c r="BP325" s="2">
        <v>19.476592217291401</v>
      </c>
      <c r="BQ325" s="2">
        <v>20.0486385303589</v>
      </c>
      <c r="BR325" s="2">
        <v>19.5667307189435</v>
      </c>
      <c r="BS325" s="2">
        <v>19.4977646317375</v>
      </c>
      <c r="BT325" s="2">
        <v>18.7778057899571</v>
      </c>
      <c r="BU325" s="2">
        <v>19.7498901923008</v>
      </c>
      <c r="BV325" s="2">
        <v>18.963329249099498</v>
      </c>
      <c r="BW325" s="2">
        <v>19.497496981125199</v>
      </c>
      <c r="BX325" s="2">
        <v>18.905550860868502</v>
      </c>
      <c r="BY325" s="2">
        <v>18.921014194934099</v>
      </c>
      <c r="BZ325" s="2">
        <v>19.326401594502801</v>
      </c>
      <c r="CA325" s="2">
        <v>19.744723093163302</v>
      </c>
      <c r="CB325" s="2">
        <v>19.380518433871998</v>
      </c>
      <c r="CC325" s="2">
        <v>19.544543158986599</v>
      </c>
      <c r="CD325" s="2">
        <v>19.794876614548802</v>
      </c>
      <c r="CE325" s="2">
        <v>18.955378065615001</v>
      </c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</row>
    <row r="326" spans="1:97">
      <c r="A326" s="2" t="s">
        <v>3401</v>
      </c>
      <c r="B326" s="2">
        <v>439.34222999999997</v>
      </c>
      <c r="C326" s="2">
        <v>12.848000000000001</v>
      </c>
      <c r="D326" s="2" t="s">
        <v>146</v>
      </c>
      <c r="E326" s="2" t="s">
        <v>3402</v>
      </c>
      <c r="F326" s="2" t="s">
        <v>3403</v>
      </c>
      <c r="G326" s="2">
        <v>10284</v>
      </c>
      <c r="H326" s="3" t="str">
        <f>HYPERLINK("https://cloud.oebiotech.com/#/lm/network/10284", "https://cloud.oebiotech.com/#/lm/network/10284")</f>
        <v>https://cloud.oebiotech.com/#/lm/network/10284</v>
      </c>
      <c r="I326" s="2"/>
      <c r="J326" s="2"/>
      <c r="K326" s="2" t="s">
        <v>3404</v>
      </c>
      <c r="L326" s="2">
        <v>86289706</v>
      </c>
      <c r="M326" s="2"/>
      <c r="N326" s="2"/>
      <c r="O326" s="2"/>
      <c r="P326" s="2">
        <v>78974</v>
      </c>
      <c r="Q326" s="2"/>
      <c r="R326" s="2"/>
      <c r="S326" s="2"/>
      <c r="T326" s="2" t="s">
        <v>3405</v>
      </c>
      <c r="U326" s="2" t="s">
        <v>3406</v>
      </c>
      <c r="V326" s="2" t="s">
        <v>95</v>
      </c>
      <c r="W326" s="2" t="s">
        <v>96</v>
      </c>
      <c r="X326" s="2" t="s">
        <v>141</v>
      </c>
      <c r="Y326" s="2" t="s">
        <v>98</v>
      </c>
      <c r="Z326" s="2" t="s">
        <v>99</v>
      </c>
      <c r="AA326" s="2" t="s">
        <v>142</v>
      </c>
      <c r="AB326" s="2" t="s">
        <v>101</v>
      </c>
      <c r="AC326" s="2">
        <v>67.209999999999994</v>
      </c>
      <c r="AD326" s="2">
        <v>82.95</v>
      </c>
      <c r="AE326" s="2">
        <v>68.78</v>
      </c>
      <c r="AF326" s="2" t="s">
        <v>3407</v>
      </c>
      <c r="AG326" s="2" t="s">
        <v>993</v>
      </c>
      <c r="AH326" s="2" t="s">
        <v>3408</v>
      </c>
      <c r="AI326" s="2">
        <v>0.23</v>
      </c>
      <c r="AJ326" s="2">
        <v>20.173915516499001</v>
      </c>
      <c r="AK326" s="2">
        <v>20.696173869832101</v>
      </c>
      <c r="AL326" s="2">
        <v>20.617312874600199</v>
      </c>
      <c r="AM326" s="2">
        <v>20.478556711545799</v>
      </c>
      <c r="AN326" s="2">
        <v>20.541326953875298</v>
      </c>
      <c r="AO326" s="2">
        <v>20.588041353165501</v>
      </c>
      <c r="AP326" s="2">
        <v>20.691254680418101</v>
      </c>
      <c r="AQ326" s="2">
        <v>19.9086799835306</v>
      </c>
      <c r="AR326" s="2">
        <v>20.714846850709002</v>
      </c>
      <c r="AS326" s="2">
        <v>20.216296485131199</v>
      </c>
      <c r="AT326" s="2">
        <v>19.439963935530901</v>
      </c>
      <c r="AU326" s="2">
        <v>19.238590471183201</v>
      </c>
      <c r="AV326" s="2">
        <v>20.004576223428099</v>
      </c>
      <c r="AW326" s="2">
        <v>20.385971863872701</v>
      </c>
      <c r="AX326" s="2">
        <v>19.906049174426599</v>
      </c>
      <c r="AY326" s="2">
        <v>21.208518125448801</v>
      </c>
      <c r="AZ326" s="2">
        <v>20.736226495864202</v>
      </c>
      <c r="BA326" s="2">
        <v>20.085296652688999</v>
      </c>
      <c r="BB326" s="2">
        <v>20.3106462172561</v>
      </c>
      <c r="BC326" s="2">
        <v>20.9369930485386</v>
      </c>
      <c r="BD326" s="2">
        <v>20.481181657425001</v>
      </c>
      <c r="BE326" s="2">
        <v>20.910333716774499</v>
      </c>
      <c r="BF326" s="2">
        <v>19.002272727619001</v>
      </c>
      <c r="BG326" s="2">
        <v>19.7888763672903</v>
      </c>
      <c r="BH326" s="2">
        <v>20.6517972333538</v>
      </c>
      <c r="BI326" s="2">
        <v>20.2040118649684</v>
      </c>
      <c r="BJ326" s="2">
        <v>21.141054537933002</v>
      </c>
      <c r="BK326" s="2">
        <v>19.888619371950998</v>
      </c>
      <c r="BL326" s="2">
        <v>21.163378001552701</v>
      </c>
      <c r="BM326" s="2">
        <v>20.694015871856099</v>
      </c>
      <c r="BN326" s="2">
        <v>19.9908503396172</v>
      </c>
      <c r="BO326" s="2">
        <v>19.830724968899698</v>
      </c>
      <c r="BP326" s="2">
        <v>20.0166176680634</v>
      </c>
      <c r="BQ326" s="2">
        <v>20.0806014828784</v>
      </c>
      <c r="BR326" s="2">
        <v>19.536276873058299</v>
      </c>
      <c r="BS326" s="2">
        <v>20.3449713519854</v>
      </c>
      <c r="BT326" s="2">
        <v>20.2403271531767</v>
      </c>
      <c r="BU326" s="2">
        <v>19.8834832683517</v>
      </c>
      <c r="BV326" s="2">
        <v>20.157608270383101</v>
      </c>
      <c r="BW326" s="2">
        <v>20.150385725004799</v>
      </c>
      <c r="BX326" s="2">
        <v>20.400148654273501</v>
      </c>
      <c r="BY326" s="2">
        <v>21.980262190487199</v>
      </c>
      <c r="BZ326" s="2">
        <v>19.042893600551999</v>
      </c>
      <c r="CA326" s="2">
        <v>19.6937019661178</v>
      </c>
      <c r="CB326" s="2">
        <v>21.1188588750477</v>
      </c>
      <c r="CC326" s="2">
        <v>20.214069841022798</v>
      </c>
      <c r="CD326" s="2">
        <v>19.9754900228385</v>
      </c>
      <c r="CE326" s="2">
        <v>20.498108189753601</v>
      </c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</row>
    <row r="327" spans="1:97">
      <c r="A327" s="2" t="s">
        <v>3409</v>
      </c>
      <c r="B327" s="2">
        <v>422.32591000000002</v>
      </c>
      <c r="C327" s="2">
        <v>9.6259999999999994</v>
      </c>
      <c r="D327" s="2" t="s">
        <v>84</v>
      </c>
      <c r="E327" s="2" t="s">
        <v>3410</v>
      </c>
      <c r="F327" s="2" t="s">
        <v>3411</v>
      </c>
      <c r="G327" s="2">
        <v>198086</v>
      </c>
      <c r="H327" s="3" t="str">
        <f>HYPERLINK("https://cloud.oebiotech.com/#/lm/network/198086", "https://cloud.oebiotech.com/#/lm/network/198086")</f>
        <v>https://cloud.oebiotech.com/#/lm/network/198086</v>
      </c>
      <c r="I327" s="2" t="s">
        <v>3412</v>
      </c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 t="s">
        <v>3413</v>
      </c>
      <c r="U327" s="2" t="s">
        <v>3414</v>
      </c>
      <c r="V327" s="2" t="s">
        <v>95</v>
      </c>
      <c r="W327" s="2" t="s">
        <v>96</v>
      </c>
      <c r="X327" s="2" t="s">
        <v>97</v>
      </c>
      <c r="Y327" s="2" t="s">
        <v>98</v>
      </c>
      <c r="Z327" s="2" t="s">
        <v>99</v>
      </c>
      <c r="AA327" s="2" t="s">
        <v>100</v>
      </c>
      <c r="AB327" s="2" t="s">
        <v>101</v>
      </c>
      <c r="AC327" s="2">
        <v>67.19</v>
      </c>
      <c r="AD327" s="2">
        <v>95.72</v>
      </c>
      <c r="AE327" s="2">
        <v>72.08</v>
      </c>
      <c r="AF327" s="2" t="s">
        <v>3415</v>
      </c>
      <c r="AG327" s="2" t="s">
        <v>1088</v>
      </c>
      <c r="AH327" s="2" t="s">
        <v>3416</v>
      </c>
      <c r="AI327" s="2">
        <v>2.84</v>
      </c>
      <c r="AJ327" s="2">
        <v>19.751735356873901</v>
      </c>
      <c r="AK327" s="2">
        <v>19.791845414628401</v>
      </c>
      <c r="AL327" s="2">
        <v>19.7033043870541</v>
      </c>
      <c r="AM327" s="2">
        <v>19.603809288830998</v>
      </c>
      <c r="AN327" s="2">
        <v>19.6441786820114</v>
      </c>
      <c r="AO327" s="2">
        <v>19.7923240808014</v>
      </c>
      <c r="AP327" s="2">
        <v>19.670796663726499</v>
      </c>
      <c r="AQ327" s="2">
        <v>19.718979435046801</v>
      </c>
      <c r="AR327" s="2">
        <v>19.147773211113201</v>
      </c>
      <c r="AS327" s="2">
        <v>18.712376196858202</v>
      </c>
      <c r="AT327" s="2">
        <v>19.929794132223101</v>
      </c>
      <c r="AU327" s="2">
        <v>19.1903492478313</v>
      </c>
      <c r="AV327" s="2">
        <v>20.0306377056705</v>
      </c>
      <c r="AW327" s="2">
        <v>19.9064422813851</v>
      </c>
      <c r="AX327" s="2">
        <v>19.509129615283499</v>
      </c>
      <c r="AY327" s="2">
        <v>19.735249970738799</v>
      </c>
      <c r="AZ327" s="2">
        <v>19.130273950741898</v>
      </c>
      <c r="BA327" s="2">
        <v>18.404964032853599</v>
      </c>
      <c r="BB327" s="2">
        <v>19.612007797031598</v>
      </c>
      <c r="BC327" s="2">
        <v>21.1688322517433</v>
      </c>
      <c r="BD327" s="2">
        <v>18.399655399130701</v>
      </c>
      <c r="BE327" s="2">
        <v>19.146898367386399</v>
      </c>
      <c r="BF327" s="2">
        <v>19.205816893605402</v>
      </c>
      <c r="BG327" s="2">
        <v>19.857210079186999</v>
      </c>
      <c r="BH327" s="2">
        <v>19.1855368573462</v>
      </c>
      <c r="BI327" s="2">
        <v>20.155948615029502</v>
      </c>
      <c r="BJ327" s="2">
        <v>19.6257697982103</v>
      </c>
      <c r="BK327" s="2">
        <v>18.3163179522642</v>
      </c>
      <c r="BL327" s="2">
        <v>19.965960764500199</v>
      </c>
      <c r="BM327" s="2">
        <v>18.456314945820601</v>
      </c>
      <c r="BN327" s="2">
        <v>18.836353926371299</v>
      </c>
      <c r="BO327" s="2">
        <v>19.753679581599801</v>
      </c>
      <c r="BP327" s="2">
        <v>19.875105260920201</v>
      </c>
      <c r="BQ327" s="2">
        <v>19.782803159148301</v>
      </c>
      <c r="BR327" s="2">
        <v>19.895432331104999</v>
      </c>
      <c r="BS327" s="2">
        <v>19.931701550823998</v>
      </c>
      <c r="BT327" s="2">
        <v>19.363997309211499</v>
      </c>
      <c r="BU327" s="2">
        <v>20.312050710724201</v>
      </c>
      <c r="BV327" s="2">
        <v>19.706024306995101</v>
      </c>
      <c r="BW327" s="2">
        <v>19.152788262599699</v>
      </c>
      <c r="BX327" s="2">
        <v>18.821578250871099</v>
      </c>
      <c r="BY327" s="2">
        <v>19.4149592656895</v>
      </c>
      <c r="BZ327" s="2">
        <v>18.578254152439701</v>
      </c>
      <c r="CA327" s="2">
        <v>18.962092154079699</v>
      </c>
      <c r="CB327" s="2">
        <v>19.736733897044999</v>
      </c>
      <c r="CC327" s="2">
        <v>19.715386260872201</v>
      </c>
      <c r="CD327" s="2">
        <v>19.555765855694201</v>
      </c>
      <c r="CE327" s="2">
        <v>19.167721819797102</v>
      </c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</row>
    <row r="328" spans="1:97">
      <c r="A328" s="2" t="s">
        <v>3417</v>
      </c>
      <c r="B328" s="2">
        <v>539.24914999999999</v>
      </c>
      <c r="C328" s="2">
        <v>5.6120000000000001</v>
      </c>
      <c r="D328" s="2" t="s">
        <v>146</v>
      </c>
      <c r="E328" s="2" t="s">
        <v>3418</v>
      </c>
      <c r="F328" s="2" t="s">
        <v>3419</v>
      </c>
      <c r="G328" s="2">
        <v>50918</v>
      </c>
      <c r="H328" s="3" t="str">
        <f>HYPERLINK("https://cloud.oebiotech.com/#/lm/network/50918", "https://cloud.oebiotech.com/#/lm/network/50918")</f>
        <v>https://cloud.oebiotech.com/#/lm/network/50918</v>
      </c>
      <c r="I328" s="2" t="s">
        <v>3420</v>
      </c>
      <c r="J328" s="2">
        <v>61672</v>
      </c>
      <c r="K328" s="2"/>
      <c r="L328" s="2">
        <v>167918</v>
      </c>
      <c r="M328" s="2" t="s">
        <v>2862</v>
      </c>
      <c r="N328" s="2" t="s">
        <v>2863</v>
      </c>
      <c r="O328" s="2" t="s">
        <v>2864</v>
      </c>
      <c r="P328" s="2">
        <v>88728</v>
      </c>
      <c r="Q328" s="2"/>
      <c r="R328" s="2"/>
      <c r="S328" s="2" t="s">
        <v>3421</v>
      </c>
      <c r="T328" s="2" t="s">
        <v>3422</v>
      </c>
      <c r="U328" s="2" t="s">
        <v>3423</v>
      </c>
      <c r="V328" s="2" t="s">
        <v>95</v>
      </c>
      <c r="W328" s="2" t="s">
        <v>152</v>
      </c>
      <c r="X328" s="2" t="s">
        <v>2791</v>
      </c>
      <c r="Y328" s="2" t="s">
        <v>98</v>
      </c>
      <c r="Z328" s="2" t="s">
        <v>154</v>
      </c>
      <c r="AA328" s="2" t="s">
        <v>2792</v>
      </c>
      <c r="AB328" s="2" t="s">
        <v>101</v>
      </c>
      <c r="AC328" s="2">
        <v>67.16</v>
      </c>
      <c r="AD328" s="2">
        <v>95.97</v>
      </c>
      <c r="AE328" s="2">
        <v>67.569999999999993</v>
      </c>
      <c r="AF328" s="2" t="s">
        <v>3424</v>
      </c>
      <c r="AG328" s="2" t="s">
        <v>194</v>
      </c>
      <c r="AH328" s="2" t="s">
        <v>3425</v>
      </c>
      <c r="AI328" s="2">
        <v>1.3</v>
      </c>
      <c r="AJ328" s="2">
        <v>20.495767125200899</v>
      </c>
      <c r="AK328" s="2">
        <v>20.4894829962386</v>
      </c>
      <c r="AL328" s="2">
        <v>20.470494117810698</v>
      </c>
      <c r="AM328" s="2">
        <v>20.696580286369901</v>
      </c>
      <c r="AN328" s="2">
        <v>20.4538365578737</v>
      </c>
      <c r="AO328" s="2">
        <v>20.664676446201302</v>
      </c>
      <c r="AP328" s="2">
        <v>20.5883535323937</v>
      </c>
      <c r="AQ328" s="2">
        <v>20.359259585096598</v>
      </c>
      <c r="AR328" s="2">
        <v>20.0760301403512</v>
      </c>
      <c r="AS328" s="2">
        <v>19.310599180893199</v>
      </c>
      <c r="AT328" s="2">
        <v>20.961657485977199</v>
      </c>
      <c r="AU328" s="2">
        <v>19.273435139898101</v>
      </c>
      <c r="AV328" s="2">
        <v>20.1877047338841</v>
      </c>
      <c r="AW328" s="2">
        <v>20.4394790263343</v>
      </c>
      <c r="AX328" s="2">
        <v>18.8105371496702</v>
      </c>
      <c r="AY328" s="2">
        <v>20.3103017291354</v>
      </c>
      <c r="AZ328" s="2">
        <v>20.3899052759248</v>
      </c>
      <c r="BA328" s="2">
        <v>21.0514592911784</v>
      </c>
      <c r="BB328" s="2">
        <v>20.529715247926799</v>
      </c>
      <c r="BC328" s="2">
        <v>20.6935292063215</v>
      </c>
      <c r="BD328" s="2">
        <v>19.8251517304567</v>
      </c>
      <c r="BE328" s="2">
        <v>21.285556752960801</v>
      </c>
      <c r="BF328" s="2">
        <v>17.462532866277598</v>
      </c>
      <c r="BG328" s="2">
        <v>20.3985152366999</v>
      </c>
      <c r="BH328" s="2">
        <v>20.2698449729772</v>
      </c>
      <c r="BI328" s="2">
        <v>19.4352726267992</v>
      </c>
      <c r="BJ328" s="2">
        <v>20.885732235341401</v>
      </c>
      <c r="BK328" s="2">
        <v>20.852502428748799</v>
      </c>
      <c r="BL328" s="2">
        <v>20.5515458884684</v>
      </c>
      <c r="BM328" s="2">
        <v>20.000250206179899</v>
      </c>
      <c r="BN328" s="2">
        <v>20.541596974760498</v>
      </c>
      <c r="BO328" s="2">
        <v>20.1267638891335</v>
      </c>
      <c r="BP328" s="2">
        <v>20.4639989945913</v>
      </c>
      <c r="BQ328" s="2">
        <v>20.1457791378606</v>
      </c>
      <c r="BR328" s="2">
        <v>19.678381595426998</v>
      </c>
      <c r="BS328" s="2">
        <v>20.0307339825066</v>
      </c>
      <c r="BT328" s="2">
        <v>20.377600070708699</v>
      </c>
      <c r="BU328" s="2">
        <v>20.783946357845402</v>
      </c>
      <c r="BV328" s="2">
        <v>20.185981121273301</v>
      </c>
      <c r="BW328" s="2">
        <v>20.198407210979202</v>
      </c>
      <c r="BX328" s="2">
        <v>20.0351486559798</v>
      </c>
      <c r="BY328" s="2">
        <v>21.561505275164699</v>
      </c>
      <c r="BZ328" s="2">
        <v>20.302200207349799</v>
      </c>
      <c r="CA328" s="2">
        <v>14.6335146509868</v>
      </c>
      <c r="CB328" s="2">
        <v>20.417701958526902</v>
      </c>
      <c r="CC328" s="2">
        <v>20.8708581051159</v>
      </c>
      <c r="CD328" s="2">
        <v>20.257738547191298</v>
      </c>
      <c r="CE328" s="2">
        <v>21.3895671268454</v>
      </c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</row>
    <row r="329" spans="1:97">
      <c r="A329" s="2" t="s">
        <v>3426</v>
      </c>
      <c r="B329" s="2">
        <v>144.04517000000001</v>
      </c>
      <c r="C329" s="2">
        <v>5.36</v>
      </c>
      <c r="D329" s="2" t="s">
        <v>146</v>
      </c>
      <c r="E329" s="2" t="s">
        <v>3427</v>
      </c>
      <c r="F329" s="2" t="s">
        <v>3428</v>
      </c>
      <c r="G329" s="2">
        <v>54634</v>
      </c>
      <c r="H329" s="3" t="str">
        <f>HYPERLINK("https://cloud.oebiotech.com/#/lm/network/54634", "https://cloud.oebiotech.com/#/lm/network/54634")</f>
        <v>https://cloud.oebiotech.com/#/lm/network/54634</v>
      </c>
      <c r="I329" s="2" t="s">
        <v>3429</v>
      </c>
      <c r="J329" s="2">
        <v>67018</v>
      </c>
      <c r="K329" s="2"/>
      <c r="L329" s="2">
        <v>10256</v>
      </c>
      <c r="M329" s="2" t="s">
        <v>3430</v>
      </c>
      <c r="N329" s="2"/>
      <c r="O329" s="2"/>
      <c r="P329" s="2">
        <v>28238</v>
      </c>
      <c r="Q329" s="2"/>
      <c r="R329" s="2"/>
      <c r="S329" s="2" t="s">
        <v>3431</v>
      </c>
      <c r="T329" s="2" t="s">
        <v>3432</v>
      </c>
      <c r="U329" s="2" t="s">
        <v>3433</v>
      </c>
      <c r="V329" s="2" t="s">
        <v>553</v>
      </c>
      <c r="W329" s="2" t="s">
        <v>933</v>
      </c>
      <c r="X329" s="2" t="s">
        <v>3434</v>
      </c>
      <c r="Y329" s="2" t="s">
        <v>556</v>
      </c>
      <c r="Z329" s="2" t="s">
        <v>935</v>
      </c>
      <c r="AA329" s="2" t="s">
        <v>3435</v>
      </c>
      <c r="AB329" s="2" t="s">
        <v>101</v>
      </c>
      <c r="AC329" s="2">
        <v>67.09</v>
      </c>
      <c r="AD329" s="2">
        <v>94.26</v>
      </c>
      <c r="AE329" s="2">
        <v>69.599999999999994</v>
      </c>
      <c r="AF329" s="2" t="s">
        <v>3436</v>
      </c>
      <c r="AG329" s="2" t="s">
        <v>194</v>
      </c>
      <c r="AH329" s="2" t="s">
        <v>1604</v>
      </c>
      <c r="AI329" s="2">
        <v>2.08</v>
      </c>
      <c r="AJ329" s="2">
        <v>20.473731826578501</v>
      </c>
      <c r="AK329" s="2">
        <v>20.408703040980701</v>
      </c>
      <c r="AL329" s="2">
        <v>20.213263626946699</v>
      </c>
      <c r="AM329" s="2">
        <v>20.475741761550101</v>
      </c>
      <c r="AN329" s="2">
        <v>20.404123405051699</v>
      </c>
      <c r="AO329" s="2">
        <v>20.143116149477901</v>
      </c>
      <c r="AP329" s="2">
        <v>19.915791751305999</v>
      </c>
      <c r="AQ329" s="2">
        <v>20.604383718958601</v>
      </c>
      <c r="AR329" s="2">
        <v>19.331690243202999</v>
      </c>
      <c r="AS329" s="2">
        <v>19.444670204732098</v>
      </c>
      <c r="AT329" s="2">
        <v>19.993768052006299</v>
      </c>
      <c r="AU329" s="2">
        <v>19.8430629725956</v>
      </c>
      <c r="AV329" s="2">
        <v>19.676384508416099</v>
      </c>
      <c r="AW329" s="2">
        <v>20.0153045972644</v>
      </c>
      <c r="AX329" s="2">
        <v>20.122056529996001</v>
      </c>
      <c r="AY329" s="2">
        <v>19.7738755017368</v>
      </c>
      <c r="AZ329" s="2">
        <v>20.009821976066799</v>
      </c>
      <c r="BA329" s="2">
        <v>20.148467210290399</v>
      </c>
      <c r="BB329" s="2">
        <v>20.301083764572599</v>
      </c>
      <c r="BC329" s="2">
        <v>21.258251399135801</v>
      </c>
      <c r="BD329" s="2">
        <v>20.135966368485601</v>
      </c>
      <c r="BE329" s="2">
        <v>21.093184567451001</v>
      </c>
      <c r="BF329" s="2">
        <v>20.085503294757</v>
      </c>
      <c r="BG329" s="2">
        <v>20.335474536201399</v>
      </c>
      <c r="BH329" s="2">
        <v>20.010779265193101</v>
      </c>
      <c r="BI329" s="2">
        <v>20.136764609657501</v>
      </c>
      <c r="BJ329" s="2">
        <v>20.264778504993298</v>
      </c>
      <c r="BK329" s="2">
        <v>19.874246276231901</v>
      </c>
      <c r="BL329" s="2">
        <v>19.869489457206001</v>
      </c>
      <c r="BM329" s="2">
        <v>20.526192022420901</v>
      </c>
      <c r="BN329" s="2">
        <v>20.2502870010597</v>
      </c>
      <c r="BO329" s="2">
        <v>20.0269911479011</v>
      </c>
      <c r="BP329" s="2">
        <v>19.878028574067201</v>
      </c>
      <c r="BQ329" s="2">
        <v>20.198837508550501</v>
      </c>
      <c r="BR329" s="2">
        <v>20.664457519088</v>
      </c>
      <c r="BS329" s="2">
        <v>20.3339536923657</v>
      </c>
      <c r="BT329" s="2">
        <v>19.619373173884199</v>
      </c>
      <c r="BU329" s="2">
        <v>19.9503804987461</v>
      </c>
      <c r="BV329" s="2">
        <v>20.367904502528901</v>
      </c>
      <c r="BW329" s="2">
        <v>19.477688769152099</v>
      </c>
      <c r="BX329" s="2">
        <v>19.950123186536199</v>
      </c>
      <c r="BY329" s="2">
        <v>20.912903169220701</v>
      </c>
      <c r="BZ329" s="2">
        <v>19.802828304857599</v>
      </c>
      <c r="CA329" s="2">
        <v>20.5503458746125</v>
      </c>
      <c r="CB329" s="2">
        <v>19.815988894075598</v>
      </c>
      <c r="CC329" s="2">
        <v>19.737395915878299</v>
      </c>
      <c r="CD329" s="2">
        <v>20.499190530343899</v>
      </c>
      <c r="CE329" s="2">
        <v>19.779038138596398</v>
      </c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</row>
    <row r="330" spans="1:97">
      <c r="A330" s="2" t="s">
        <v>3437</v>
      </c>
      <c r="B330" s="2">
        <v>528.26297999999997</v>
      </c>
      <c r="C330" s="2">
        <v>7.726</v>
      </c>
      <c r="D330" s="2" t="s">
        <v>146</v>
      </c>
      <c r="E330" s="2" t="s">
        <v>3438</v>
      </c>
      <c r="F330" s="2" t="s">
        <v>3439</v>
      </c>
      <c r="G330" s="2">
        <v>46729</v>
      </c>
      <c r="H330" s="3" t="str">
        <f>HYPERLINK("https://cloud.oebiotech.com/#/lm/network/46729", "https://cloud.oebiotech.com/#/lm/network/46729")</f>
        <v>https://cloud.oebiotech.com/#/lm/network/46729</v>
      </c>
      <c r="I330" s="2" t="s">
        <v>3440</v>
      </c>
      <c r="J330" s="2">
        <v>57984</v>
      </c>
      <c r="K330" s="2" t="s">
        <v>3441</v>
      </c>
      <c r="L330" s="2">
        <v>11954205</v>
      </c>
      <c r="M330" s="2" t="s">
        <v>3442</v>
      </c>
      <c r="N330" s="2"/>
      <c r="O330" s="2"/>
      <c r="P330" s="2">
        <v>15858</v>
      </c>
      <c r="Q330" s="2" t="s">
        <v>3443</v>
      </c>
      <c r="R330" s="2" t="s">
        <v>3444</v>
      </c>
      <c r="S330" s="2" t="s">
        <v>3445</v>
      </c>
      <c r="T330" s="2" t="s">
        <v>3446</v>
      </c>
      <c r="U330" s="2" t="s">
        <v>3447</v>
      </c>
      <c r="V330" s="2" t="s">
        <v>95</v>
      </c>
      <c r="W330" s="2" t="s">
        <v>152</v>
      </c>
      <c r="X330" s="2" t="s">
        <v>278</v>
      </c>
      <c r="Y330" s="2" t="s">
        <v>98</v>
      </c>
      <c r="Z330" s="2" t="s">
        <v>154</v>
      </c>
      <c r="AA330" s="2" t="s">
        <v>279</v>
      </c>
      <c r="AB330" s="2" t="s">
        <v>101</v>
      </c>
      <c r="AC330" s="2">
        <v>67.05</v>
      </c>
      <c r="AD330" s="2">
        <v>92.89</v>
      </c>
      <c r="AE330" s="2">
        <v>72.760000000000005</v>
      </c>
      <c r="AF330" s="2" t="s">
        <v>3448</v>
      </c>
      <c r="AG330" s="2" t="s">
        <v>194</v>
      </c>
      <c r="AH330" s="2" t="s">
        <v>3449</v>
      </c>
      <c r="AI330" s="2">
        <v>1.33</v>
      </c>
      <c r="AJ330" s="2">
        <v>21.198200882547301</v>
      </c>
      <c r="AK330" s="2">
        <v>21.214599879605899</v>
      </c>
      <c r="AL330" s="2">
        <v>21.165411483233001</v>
      </c>
      <c r="AM330" s="2">
        <v>21.2392245327624</v>
      </c>
      <c r="AN330" s="2">
        <v>21.011000785826099</v>
      </c>
      <c r="AO330" s="2">
        <v>21.161556699831198</v>
      </c>
      <c r="AP330" s="2">
        <v>21.245422668954099</v>
      </c>
      <c r="AQ330" s="2">
        <v>21.168005750413698</v>
      </c>
      <c r="AR330" s="2">
        <v>20.644740449991598</v>
      </c>
      <c r="AS330" s="2">
        <v>17.716268795685199</v>
      </c>
      <c r="AT330" s="2">
        <v>21.5295871955765</v>
      </c>
      <c r="AU330" s="2">
        <v>20.224256640438401</v>
      </c>
      <c r="AV330" s="2">
        <v>20.5316897252046</v>
      </c>
      <c r="AW330" s="2">
        <v>21.777611417311199</v>
      </c>
      <c r="AX330" s="2">
        <v>21.298881042470398</v>
      </c>
      <c r="AY330" s="2">
        <v>22.313414378021101</v>
      </c>
      <c r="AZ330" s="2">
        <v>18.384539003285902</v>
      </c>
      <c r="BA330" s="2">
        <v>20.479718974392402</v>
      </c>
      <c r="BB330" s="2">
        <v>23.538691453894099</v>
      </c>
      <c r="BC330" s="2">
        <v>22.671137019090299</v>
      </c>
      <c r="BD330" s="2">
        <v>20.474023059915101</v>
      </c>
      <c r="BE330" s="2">
        <v>20.544986961521001</v>
      </c>
      <c r="BF330" s="2">
        <v>21.571043705492499</v>
      </c>
      <c r="BG330" s="2">
        <v>20.3322676455014</v>
      </c>
      <c r="BH330" s="2">
        <v>21.895471187769999</v>
      </c>
      <c r="BI330" s="2">
        <v>18.088751496058698</v>
      </c>
      <c r="BJ330" s="2">
        <v>20.758197029784899</v>
      </c>
      <c r="BK330" s="2">
        <v>21.188106497693699</v>
      </c>
      <c r="BL330" s="2">
        <v>20.046283771529001</v>
      </c>
      <c r="BM330" s="2">
        <v>20.321859608394401</v>
      </c>
      <c r="BN330" s="2">
        <v>22.626235882613699</v>
      </c>
      <c r="BO330" s="2">
        <v>18.297772973703999</v>
      </c>
      <c r="BP330" s="2">
        <v>20.002930673856302</v>
      </c>
      <c r="BQ330" s="2">
        <v>21.719031024200302</v>
      </c>
      <c r="BR330" s="2">
        <v>21.37500320629</v>
      </c>
      <c r="BS330" s="2">
        <v>21.557498619382301</v>
      </c>
      <c r="BT330" s="2">
        <v>21.430368950480698</v>
      </c>
      <c r="BU330" s="2">
        <v>21.415216343270799</v>
      </c>
      <c r="BV330" s="2">
        <v>22.921411136853202</v>
      </c>
      <c r="BW330" s="2">
        <v>22.452019183659299</v>
      </c>
      <c r="BX330" s="2">
        <v>20.446068050294599</v>
      </c>
      <c r="BY330" s="2">
        <v>20.574379250517701</v>
      </c>
      <c r="BZ330" s="2">
        <v>21.610717238222598</v>
      </c>
      <c r="CA330" s="2">
        <v>21.7391687740283</v>
      </c>
      <c r="CB330" s="2">
        <v>21.201575690977901</v>
      </c>
      <c r="CC330" s="2">
        <v>19.737430164198699</v>
      </c>
      <c r="CD330" s="2">
        <v>20.850870624379201</v>
      </c>
      <c r="CE330" s="2">
        <v>20.8950570609904</v>
      </c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</row>
    <row r="331" spans="1:97">
      <c r="A331" s="2" t="s">
        <v>3450</v>
      </c>
      <c r="B331" s="2">
        <v>447.27456000000001</v>
      </c>
      <c r="C331" s="2">
        <v>10.220000000000001</v>
      </c>
      <c r="D331" s="2" t="s">
        <v>146</v>
      </c>
      <c r="E331" s="2" t="s">
        <v>3451</v>
      </c>
      <c r="F331" s="2" t="s">
        <v>3452</v>
      </c>
      <c r="G331" s="2">
        <v>45197</v>
      </c>
      <c r="H331" s="3" t="str">
        <f>HYPERLINK("https://cloud.oebiotech.com/#/lm/network/45197", "https://cloud.oebiotech.com/#/lm/network/45197")</f>
        <v>https://cloud.oebiotech.com/#/lm/network/45197</v>
      </c>
      <c r="I331" s="2"/>
      <c r="J331" s="2"/>
      <c r="K331" s="2" t="s">
        <v>3453</v>
      </c>
      <c r="L331" s="2">
        <v>9547285</v>
      </c>
      <c r="M331" s="2"/>
      <c r="N331" s="2"/>
      <c r="O331" s="2"/>
      <c r="P331" s="2"/>
      <c r="Q331" s="2"/>
      <c r="R331" s="2"/>
      <c r="S331" s="2"/>
      <c r="T331" s="2" t="s">
        <v>3454</v>
      </c>
      <c r="U331" s="2" t="s">
        <v>3455</v>
      </c>
      <c r="V331" s="2" t="s">
        <v>95</v>
      </c>
      <c r="W331" s="2" t="s">
        <v>152</v>
      </c>
      <c r="X331" s="2" t="s">
        <v>1484</v>
      </c>
      <c r="Y331" s="2" t="s">
        <v>98</v>
      </c>
      <c r="Z331" s="2" t="s">
        <v>154</v>
      </c>
      <c r="AA331" s="2" t="s">
        <v>1485</v>
      </c>
      <c r="AB331" s="2" t="s">
        <v>101</v>
      </c>
      <c r="AC331" s="2">
        <v>67.05</v>
      </c>
      <c r="AD331" s="2">
        <v>95.1</v>
      </c>
      <c r="AE331" s="2">
        <v>54.42</v>
      </c>
      <c r="AF331" s="2" t="s">
        <v>3456</v>
      </c>
      <c r="AG331" s="2" t="s">
        <v>157</v>
      </c>
      <c r="AH331" s="2" t="s">
        <v>3457</v>
      </c>
      <c r="AI331" s="2">
        <v>1.34</v>
      </c>
      <c r="AJ331" s="2">
        <v>20.437358547508602</v>
      </c>
      <c r="AK331" s="2">
        <v>20.087262799824099</v>
      </c>
      <c r="AL331" s="2">
        <v>20.189829287311401</v>
      </c>
      <c r="AM331" s="2">
        <v>20.072532048346599</v>
      </c>
      <c r="AN331" s="2">
        <v>20.2053101403455</v>
      </c>
      <c r="AO331" s="2">
        <v>20.180391563518299</v>
      </c>
      <c r="AP331" s="2">
        <v>20.233932627561401</v>
      </c>
      <c r="AQ331" s="2">
        <v>20.083007281178201</v>
      </c>
      <c r="AR331" s="2">
        <v>19.501608655879402</v>
      </c>
      <c r="AS331" s="2">
        <v>19.3811988007749</v>
      </c>
      <c r="AT331" s="2">
        <v>20.255219079113701</v>
      </c>
      <c r="AU331" s="2">
        <v>18.841065325305799</v>
      </c>
      <c r="AV331" s="2">
        <v>20.5517005460711</v>
      </c>
      <c r="AW331" s="2">
        <v>19.3216769178152</v>
      </c>
      <c r="AX331" s="2">
        <v>19.510476279232002</v>
      </c>
      <c r="AY331" s="2">
        <v>20.177679427735701</v>
      </c>
      <c r="AZ331" s="2">
        <v>20.9230472778898</v>
      </c>
      <c r="BA331" s="2">
        <v>19.9838513871541</v>
      </c>
      <c r="BB331" s="2">
        <v>20.371372009889701</v>
      </c>
      <c r="BC331" s="2">
        <v>20.748026821327901</v>
      </c>
      <c r="BD331" s="2">
        <v>20.546047780497702</v>
      </c>
      <c r="BE331" s="2">
        <v>21.3396013996962</v>
      </c>
      <c r="BF331" s="2">
        <v>18.932305136768498</v>
      </c>
      <c r="BG331" s="2">
        <v>19.509639134560398</v>
      </c>
      <c r="BH331" s="2">
        <v>19.0476823497801</v>
      </c>
      <c r="BI331" s="2">
        <v>20.238632428391298</v>
      </c>
      <c r="BJ331" s="2">
        <v>20.628913830574799</v>
      </c>
      <c r="BK331" s="2">
        <v>19.211564904470102</v>
      </c>
      <c r="BL331" s="2">
        <v>19.822783446753601</v>
      </c>
      <c r="BM331" s="2">
        <v>19.7675587069918</v>
      </c>
      <c r="BN331" s="2">
        <v>20.249349065204601</v>
      </c>
      <c r="BO331" s="2">
        <v>19.0892155233343</v>
      </c>
      <c r="BP331" s="2">
        <v>20.2881735174143</v>
      </c>
      <c r="BQ331" s="2">
        <v>19.148833810530501</v>
      </c>
      <c r="BR331" s="2">
        <v>19.495830673709602</v>
      </c>
      <c r="BS331" s="2">
        <v>20.116065813528301</v>
      </c>
      <c r="BT331" s="2">
        <v>20.6170213251254</v>
      </c>
      <c r="BU331" s="2">
        <v>19.903374058887501</v>
      </c>
      <c r="BV331" s="2">
        <v>20.3017136621718</v>
      </c>
      <c r="BW331" s="2">
        <v>19.5340387903099</v>
      </c>
      <c r="BX331" s="2">
        <v>20.5395599363465</v>
      </c>
      <c r="BY331" s="2">
        <v>21.409864910764</v>
      </c>
      <c r="BZ331" s="2">
        <v>18.460231057640001</v>
      </c>
      <c r="CA331" s="2">
        <v>19.030267098417099</v>
      </c>
      <c r="CB331" s="2">
        <v>19.025152569363499</v>
      </c>
      <c r="CC331" s="2">
        <v>19.7170288111767</v>
      </c>
      <c r="CD331" s="2">
        <v>20.906714724144202</v>
      </c>
      <c r="CE331" s="2">
        <v>19.2551661540626</v>
      </c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</row>
    <row r="332" spans="1:97">
      <c r="A332" s="2" t="s">
        <v>3458</v>
      </c>
      <c r="B332" s="2">
        <v>243.08777000000001</v>
      </c>
      <c r="C332" s="2">
        <v>5.2640000000000002</v>
      </c>
      <c r="D332" s="2" t="s">
        <v>84</v>
      </c>
      <c r="E332" s="2" t="s">
        <v>3459</v>
      </c>
      <c r="F332" s="2" t="s">
        <v>3460</v>
      </c>
      <c r="G332" s="2">
        <v>208376</v>
      </c>
      <c r="H332" s="3" t="str">
        <f>HYPERLINK("https://cloud.oebiotech.com/#/lm/network/208376", "https://cloud.oebiotech.com/#/lm/network/208376")</f>
        <v>https://cloud.oebiotech.com/#/lm/network/208376</v>
      </c>
      <c r="I332" s="2" t="s">
        <v>3461</v>
      </c>
      <c r="J332" s="2">
        <v>64742</v>
      </c>
      <c r="K332" s="2"/>
      <c r="L332" s="2">
        <v>506</v>
      </c>
      <c r="M332" s="2" t="s">
        <v>3462</v>
      </c>
      <c r="N332" s="2" t="s">
        <v>3463</v>
      </c>
      <c r="O332" s="2" t="s">
        <v>3464</v>
      </c>
      <c r="P332" s="2">
        <v>17781</v>
      </c>
      <c r="Q332" s="2"/>
      <c r="R332" s="2"/>
      <c r="S332" s="2" t="s">
        <v>3465</v>
      </c>
      <c r="T332" s="2" t="s">
        <v>3466</v>
      </c>
      <c r="U332" s="2" t="s">
        <v>3467</v>
      </c>
      <c r="V332" s="2" t="s">
        <v>553</v>
      </c>
      <c r="W332" s="2" t="s">
        <v>3468</v>
      </c>
      <c r="X332" s="2" t="s">
        <v>3469</v>
      </c>
      <c r="Y332" s="2" t="s">
        <v>556</v>
      </c>
      <c r="Z332" s="2" t="s">
        <v>3470</v>
      </c>
      <c r="AA332" s="2" t="s">
        <v>3471</v>
      </c>
      <c r="AB332" s="2" t="s">
        <v>101</v>
      </c>
      <c r="AC332" s="2">
        <v>67.010000000000005</v>
      </c>
      <c r="AD332" s="2">
        <v>92.54</v>
      </c>
      <c r="AE332" s="2">
        <v>61.86</v>
      </c>
      <c r="AF332" s="2" t="s">
        <v>3472</v>
      </c>
      <c r="AG332" s="2" t="s">
        <v>103</v>
      </c>
      <c r="AH332" s="2" t="s">
        <v>3473</v>
      </c>
      <c r="AI332" s="2">
        <v>-0.82</v>
      </c>
      <c r="AJ332" s="2">
        <v>18.422626566512601</v>
      </c>
      <c r="AK332" s="2">
        <v>18.613525286173601</v>
      </c>
      <c r="AL332" s="2">
        <v>18.436505379323499</v>
      </c>
      <c r="AM332" s="2">
        <v>18.5006736984576</v>
      </c>
      <c r="AN332" s="2">
        <v>18.5362171592284</v>
      </c>
      <c r="AO332" s="2">
        <v>18.6084247803424</v>
      </c>
      <c r="AP332" s="2">
        <v>18.4223412994839</v>
      </c>
      <c r="AQ332" s="2">
        <v>18.6469531783024</v>
      </c>
      <c r="AR332" s="2">
        <v>17.027084832817799</v>
      </c>
      <c r="AS332" s="2">
        <v>16.176065013066601</v>
      </c>
      <c r="AT332" s="2">
        <v>17.024507833870899</v>
      </c>
      <c r="AU332" s="2">
        <v>17.0995598591537</v>
      </c>
      <c r="AV332" s="2">
        <v>17.942932985645498</v>
      </c>
      <c r="AW332" s="2">
        <v>16.615815823644201</v>
      </c>
      <c r="AX332" s="2">
        <v>18.748634613856002</v>
      </c>
      <c r="AY332" s="2">
        <v>17.363055034805299</v>
      </c>
      <c r="AZ332" s="2">
        <v>18.505171388075102</v>
      </c>
      <c r="BA332" s="2">
        <v>20.712136171700401</v>
      </c>
      <c r="BB332" s="2">
        <v>17.7921751473204</v>
      </c>
      <c r="BC332" s="2">
        <v>17.907668147535901</v>
      </c>
      <c r="BD332" s="2">
        <v>18.808536106612301</v>
      </c>
      <c r="BE332" s="2">
        <v>17.993351567430999</v>
      </c>
      <c r="BF332" s="2">
        <v>17.147622012951299</v>
      </c>
      <c r="BG332" s="2">
        <v>18.814156499835899</v>
      </c>
      <c r="BH332" s="2">
        <v>17.611107093840001</v>
      </c>
      <c r="BI332" s="2">
        <v>18.133924550693902</v>
      </c>
      <c r="BJ332" s="2">
        <v>16.870470923692501</v>
      </c>
      <c r="BK332" s="2">
        <v>17.414777548161499</v>
      </c>
      <c r="BL332" s="2">
        <v>17.8697734099113</v>
      </c>
      <c r="BM332" s="2">
        <v>17.9299746653036</v>
      </c>
      <c r="BN332" s="2">
        <v>16.969415190573901</v>
      </c>
      <c r="BO332" s="2">
        <v>17.878054565935201</v>
      </c>
      <c r="BP332" s="2">
        <v>17.642612597466002</v>
      </c>
      <c r="BQ332" s="2">
        <v>16.650879110350601</v>
      </c>
      <c r="BR332" s="2">
        <v>18.2408366951164</v>
      </c>
      <c r="BS332" s="2">
        <v>17.847423761817002</v>
      </c>
      <c r="BT332" s="2">
        <v>18.492000434368698</v>
      </c>
      <c r="BU332" s="2">
        <v>20.289885131994598</v>
      </c>
      <c r="BV332" s="2">
        <v>17.898528114829499</v>
      </c>
      <c r="BW332" s="2">
        <v>17.298372555569099</v>
      </c>
      <c r="BX332" s="2">
        <v>18.017701699044</v>
      </c>
      <c r="BY332" s="2">
        <v>18.3296284449052</v>
      </c>
      <c r="BZ332" s="2">
        <v>17.9677683161303</v>
      </c>
      <c r="CA332" s="2">
        <v>18.373420728300701</v>
      </c>
      <c r="CB332" s="2">
        <v>16.0085176934838</v>
      </c>
      <c r="CC332" s="2">
        <v>17.094309894027099</v>
      </c>
      <c r="CD332" s="2">
        <v>16.7952913920684</v>
      </c>
      <c r="CE332" s="2">
        <v>17.586023028232098</v>
      </c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</row>
    <row r="333" spans="1:97">
      <c r="A333" s="2" t="s">
        <v>3474</v>
      </c>
      <c r="B333" s="2">
        <v>139.03975</v>
      </c>
      <c r="C333" s="2">
        <v>4.7789999999999999</v>
      </c>
      <c r="D333" s="2" t="s">
        <v>146</v>
      </c>
      <c r="E333" s="2" t="s">
        <v>3475</v>
      </c>
      <c r="F333" s="2" t="s">
        <v>3476</v>
      </c>
      <c r="G333" s="2">
        <v>7854</v>
      </c>
      <c r="H333" s="3" t="str">
        <f>HYPERLINK("https://cloud.oebiotech.com/#/lm/network/7854", "https://cloud.oebiotech.com/#/lm/network/7854")</f>
        <v>https://cloud.oebiotech.com/#/lm/network/7854</v>
      </c>
      <c r="I333" s="2"/>
      <c r="J333" s="2"/>
      <c r="K333" s="2" t="s">
        <v>3477</v>
      </c>
      <c r="L333" s="2">
        <v>11062468</v>
      </c>
      <c r="M333" s="2"/>
      <c r="N333" s="2"/>
      <c r="O333" s="2"/>
      <c r="P333" s="2"/>
      <c r="Q333" s="2"/>
      <c r="R333" s="2"/>
      <c r="S333" s="2"/>
      <c r="T333" s="2" t="s">
        <v>3478</v>
      </c>
      <c r="U333" s="2" t="s">
        <v>3479</v>
      </c>
      <c r="V333" s="2" t="s">
        <v>553</v>
      </c>
      <c r="W333" s="2" t="s">
        <v>3480</v>
      </c>
      <c r="X333" s="2" t="s">
        <v>3481</v>
      </c>
      <c r="Y333" s="2" t="s">
        <v>556</v>
      </c>
      <c r="Z333" s="2" t="s">
        <v>3482</v>
      </c>
      <c r="AA333" s="2" t="s">
        <v>3483</v>
      </c>
      <c r="AB333" s="2" t="s">
        <v>101</v>
      </c>
      <c r="AC333" s="2">
        <v>67</v>
      </c>
      <c r="AD333" s="2">
        <v>99.07</v>
      </c>
      <c r="AE333" s="2">
        <v>62</v>
      </c>
      <c r="AF333" s="2" t="s">
        <v>3484</v>
      </c>
      <c r="AG333" s="2" t="s">
        <v>194</v>
      </c>
      <c r="AH333" s="2" t="s">
        <v>3485</v>
      </c>
      <c r="AI333" s="2">
        <v>2.88</v>
      </c>
      <c r="AJ333" s="2">
        <v>20.4363241289299</v>
      </c>
      <c r="AK333" s="2">
        <v>20.676458511167699</v>
      </c>
      <c r="AL333" s="2">
        <v>20.553926946919599</v>
      </c>
      <c r="AM333" s="2">
        <v>20.615058248720899</v>
      </c>
      <c r="AN333" s="2">
        <v>20.4678061625055</v>
      </c>
      <c r="AO333" s="2">
        <v>20.5074399376801</v>
      </c>
      <c r="AP333" s="2">
        <v>20.603975001117199</v>
      </c>
      <c r="AQ333" s="2">
        <v>20.661407766519002</v>
      </c>
      <c r="AR333" s="2">
        <v>19.066742043698198</v>
      </c>
      <c r="AS333" s="2">
        <v>19.252989092526999</v>
      </c>
      <c r="AT333" s="2">
        <v>20.205771036372202</v>
      </c>
      <c r="AU333" s="2">
        <v>19.895278506575099</v>
      </c>
      <c r="AV333" s="2">
        <v>20.5020593727549</v>
      </c>
      <c r="AW333" s="2">
        <v>18.918801844813899</v>
      </c>
      <c r="AX333" s="2">
        <v>22.012689703294601</v>
      </c>
      <c r="AY333" s="2">
        <v>20.617989401513</v>
      </c>
      <c r="AZ333" s="2">
        <v>19.527047175792099</v>
      </c>
      <c r="BA333" s="2">
        <v>21.7553860403473</v>
      </c>
      <c r="BB333" s="2">
        <v>19.834957194343399</v>
      </c>
      <c r="BC333" s="2">
        <v>19.002735478874399</v>
      </c>
      <c r="BD333" s="2">
        <v>19.983793575476501</v>
      </c>
      <c r="BE333" s="2">
        <v>21.138331735787499</v>
      </c>
      <c r="BF333" s="2">
        <v>21.384940378274699</v>
      </c>
      <c r="BG333" s="2">
        <v>20.332057927357202</v>
      </c>
      <c r="BH333" s="2">
        <v>18.267286835719698</v>
      </c>
      <c r="BI333" s="2">
        <v>22.8087621150149</v>
      </c>
      <c r="BJ333" s="2">
        <v>19.251170897363799</v>
      </c>
      <c r="BK333" s="2">
        <v>18.316221329796399</v>
      </c>
      <c r="BL333" s="2">
        <v>18.585478521481399</v>
      </c>
      <c r="BM333" s="2">
        <v>19.690859162021599</v>
      </c>
      <c r="BN333" s="2">
        <v>19.478934213300299</v>
      </c>
      <c r="BO333" s="2">
        <v>21.810067867604602</v>
      </c>
      <c r="BP333" s="2">
        <v>19.049757660415299</v>
      </c>
      <c r="BQ333" s="2">
        <v>20.412370656643599</v>
      </c>
      <c r="BR333" s="2">
        <v>22.098126208882</v>
      </c>
      <c r="BS333" s="2">
        <v>20.881667150753401</v>
      </c>
      <c r="BT333" s="2">
        <v>18.638720844143599</v>
      </c>
      <c r="BU333" s="2">
        <v>21.351796149608798</v>
      </c>
      <c r="BV333" s="2">
        <v>21.2439650420459</v>
      </c>
      <c r="BW333" s="2">
        <v>19.438245777065401</v>
      </c>
      <c r="BX333" s="2">
        <v>19.114495314333499</v>
      </c>
      <c r="BY333" s="2">
        <v>20.672044332422399</v>
      </c>
      <c r="BZ333" s="2">
        <v>19.839449429425098</v>
      </c>
      <c r="CA333" s="2">
        <v>20.640334895292298</v>
      </c>
      <c r="CB333" s="2">
        <v>18.495430855968301</v>
      </c>
      <c r="CC333" s="2">
        <v>21.4873939988241</v>
      </c>
      <c r="CD333" s="2">
        <v>18.363634425918899</v>
      </c>
      <c r="CE333" s="2">
        <v>17.607526532363</v>
      </c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</row>
    <row r="334" spans="1:97">
      <c r="A334" s="2" t="s">
        <v>3486</v>
      </c>
      <c r="B334" s="2">
        <v>267.19596999999999</v>
      </c>
      <c r="C334" s="2">
        <v>10.715</v>
      </c>
      <c r="D334" s="2" t="s">
        <v>146</v>
      </c>
      <c r="E334" s="2" t="s">
        <v>3487</v>
      </c>
      <c r="F334" s="2" t="s">
        <v>3488</v>
      </c>
      <c r="G334" s="2">
        <v>61641</v>
      </c>
      <c r="H334" s="3" t="str">
        <f>HYPERLINK("https://cloud.oebiotech.com/#/lm/network/61641", "https://cloud.oebiotech.com/#/lm/network/61641")</f>
        <v>https://cloud.oebiotech.com/#/lm/network/61641</v>
      </c>
      <c r="I334" s="2" t="s">
        <v>3489</v>
      </c>
      <c r="J334" s="2">
        <v>92944</v>
      </c>
      <c r="K334" s="2"/>
      <c r="L334" s="2">
        <v>14093951</v>
      </c>
      <c r="M334" s="2"/>
      <c r="N334" s="2"/>
      <c r="O334" s="2"/>
      <c r="P334" s="2"/>
      <c r="Q334" s="2"/>
      <c r="R334" s="2"/>
      <c r="S334" s="2" t="s">
        <v>3490</v>
      </c>
      <c r="T334" s="2" t="s">
        <v>3491</v>
      </c>
      <c r="U334" s="2" t="s">
        <v>3492</v>
      </c>
      <c r="V334" s="2" t="s">
        <v>95</v>
      </c>
      <c r="W334" s="2" t="s">
        <v>180</v>
      </c>
      <c r="X334" s="2" t="s">
        <v>181</v>
      </c>
      <c r="Y334" s="2" t="s">
        <v>98</v>
      </c>
      <c r="Z334" s="2" t="s">
        <v>182</v>
      </c>
      <c r="AA334" s="2" t="s">
        <v>183</v>
      </c>
      <c r="AB334" s="2" t="s">
        <v>101</v>
      </c>
      <c r="AC334" s="2">
        <v>66.989999999999995</v>
      </c>
      <c r="AD334" s="2">
        <v>95.39</v>
      </c>
      <c r="AE334" s="2">
        <v>59.34</v>
      </c>
      <c r="AF334" s="2" t="s">
        <v>3493</v>
      </c>
      <c r="AG334" s="2" t="s">
        <v>157</v>
      </c>
      <c r="AH334" s="2" t="s">
        <v>3494</v>
      </c>
      <c r="AI334" s="2">
        <v>2.25</v>
      </c>
      <c r="AJ334" s="2">
        <v>20.228853583381699</v>
      </c>
      <c r="AK334" s="2">
        <v>19.563690646376301</v>
      </c>
      <c r="AL334" s="2">
        <v>19.9687476399397</v>
      </c>
      <c r="AM334" s="2">
        <v>19.9155889099105</v>
      </c>
      <c r="AN334" s="2">
        <v>20.1281175141897</v>
      </c>
      <c r="AO334" s="2">
        <v>19.965515078575599</v>
      </c>
      <c r="AP334" s="2">
        <v>20.134041320711599</v>
      </c>
      <c r="AQ334" s="2">
        <v>20.339542744776601</v>
      </c>
      <c r="AR334" s="2">
        <v>17.8237059539548</v>
      </c>
      <c r="AS334" s="2">
        <v>19.383277958355102</v>
      </c>
      <c r="AT334" s="2">
        <v>20.718468208196001</v>
      </c>
      <c r="AU334" s="2">
        <v>18.902104530794201</v>
      </c>
      <c r="AV334" s="2">
        <v>17.9670355616013</v>
      </c>
      <c r="AW334" s="2">
        <v>19.373973995472898</v>
      </c>
      <c r="AX334" s="2">
        <v>19.857864135181501</v>
      </c>
      <c r="AY334" s="2">
        <v>18.863953085884301</v>
      </c>
      <c r="AZ334" s="2">
        <v>17.5708455642621</v>
      </c>
      <c r="BA334" s="2">
        <v>20.266264988602501</v>
      </c>
      <c r="BB334" s="2">
        <v>20.304699037930899</v>
      </c>
      <c r="BC334" s="2">
        <v>21.286970220773998</v>
      </c>
      <c r="BD334" s="2">
        <v>18.018711307229701</v>
      </c>
      <c r="BE334" s="2">
        <v>18.632985011991199</v>
      </c>
      <c r="BF334" s="2">
        <v>19.118209611749201</v>
      </c>
      <c r="BG334" s="2">
        <v>20.427061587003099</v>
      </c>
      <c r="BH334" s="2">
        <v>17.763923409402501</v>
      </c>
      <c r="BI334" s="2">
        <v>20.203681280360801</v>
      </c>
      <c r="BJ334" s="2">
        <v>19.321495283097899</v>
      </c>
      <c r="BK334" s="2">
        <v>18.0059210417629</v>
      </c>
      <c r="BL334" s="2">
        <v>20.686560232446698</v>
      </c>
      <c r="BM334" s="2">
        <v>18.1909551294778</v>
      </c>
      <c r="BN334" s="2">
        <v>19.091563355161099</v>
      </c>
      <c r="BO334" s="2">
        <v>20.360597695890899</v>
      </c>
      <c r="BP334" s="2">
        <v>20.119980306186701</v>
      </c>
      <c r="BQ334" s="2">
        <v>20.593786668003599</v>
      </c>
      <c r="BR334" s="2">
        <v>20.656258677224098</v>
      </c>
      <c r="BS334" s="2">
        <v>17.889639245377701</v>
      </c>
      <c r="BT334" s="2">
        <v>18.3686208300476</v>
      </c>
      <c r="BU334" s="2">
        <v>20.862007210659801</v>
      </c>
      <c r="BV334" s="2">
        <v>21.0686010155883</v>
      </c>
      <c r="BW334" s="2">
        <v>18.895161300151099</v>
      </c>
      <c r="BX334" s="2">
        <v>18.829051610629001</v>
      </c>
      <c r="BY334" s="2">
        <v>18.1417830030157</v>
      </c>
      <c r="BZ334" s="2">
        <v>19.648854827221701</v>
      </c>
      <c r="CA334" s="2">
        <v>18.623241119132899</v>
      </c>
      <c r="CB334" s="2">
        <v>20.587676043970198</v>
      </c>
      <c r="CC334" s="2">
        <v>21.272937860993199</v>
      </c>
      <c r="CD334" s="2">
        <v>19.148696624056701</v>
      </c>
      <c r="CE334" s="2">
        <v>20.9217309674743</v>
      </c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</row>
    <row r="335" spans="1:97">
      <c r="A335" s="2" t="s">
        <v>3495</v>
      </c>
      <c r="B335" s="2">
        <v>215.01589000000001</v>
      </c>
      <c r="C335" s="2">
        <v>0.79100000000000004</v>
      </c>
      <c r="D335" s="2" t="s">
        <v>84</v>
      </c>
      <c r="E335" s="2" t="s">
        <v>3496</v>
      </c>
      <c r="F335" s="2" t="s">
        <v>3497</v>
      </c>
      <c r="G335" s="2">
        <v>46922</v>
      </c>
      <c r="H335" s="3" t="str">
        <f>HYPERLINK("https://cloud.oebiotech.com/#/lm/network/46922", "https://cloud.oebiotech.com/#/lm/network/46922")</f>
        <v>https://cloud.oebiotech.com/#/lm/network/46922</v>
      </c>
      <c r="I335" s="2" t="s">
        <v>3498</v>
      </c>
      <c r="J335" s="2">
        <v>3328</v>
      </c>
      <c r="K335" s="2"/>
      <c r="L335" s="2">
        <v>1198</v>
      </c>
      <c r="M335" s="2" t="s">
        <v>3499</v>
      </c>
      <c r="N335" s="2" t="s">
        <v>3500</v>
      </c>
      <c r="O335" s="2" t="s">
        <v>3501</v>
      </c>
      <c r="P335" s="2">
        <v>30887</v>
      </c>
      <c r="Q335" s="2"/>
      <c r="R335" s="2"/>
      <c r="S335" s="2" t="s">
        <v>3502</v>
      </c>
      <c r="T335" s="2" t="s">
        <v>3503</v>
      </c>
      <c r="U335" s="2" t="s">
        <v>3504</v>
      </c>
      <c r="V335" s="2" t="s">
        <v>115</v>
      </c>
      <c r="W335" s="2" t="s">
        <v>116</v>
      </c>
      <c r="X335" s="2" t="s">
        <v>1642</v>
      </c>
      <c r="Y335" s="2" t="s">
        <v>118</v>
      </c>
      <c r="Z335" s="2" t="s">
        <v>119</v>
      </c>
      <c r="AA335" s="2" t="s">
        <v>1643</v>
      </c>
      <c r="AB335" s="2" t="s">
        <v>101</v>
      </c>
      <c r="AC335" s="2">
        <v>66.959999999999994</v>
      </c>
      <c r="AD335" s="2">
        <v>90.88</v>
      </c>
      <c r="AE335" s="2">
        <v>63.57</v>
      </c>
      <c r="AF335" s="2" t="s">
        <v>3505</v>
      </c>
      <c r="AG335" s="2" t="s">
        <v>1578</v>
      </c>
      <c r="AH335" s="2" t="s">
        <v>3165</v>
      </c>
      <c r="AI335" s="2">
        <v>1.4</v>
      </c>
      <c r="AJ335" s="2">
        <v>24.6461630571686</v>
      </c>
      <c r="AK335" s="2">
        <v>24.759853667132699</v>
      </c>
      <c r="AL335" s="2">
        <v>24.623378713160999</v>
      </c>
      <c r="AM335" s="2">
        <v>24.4672257375241</v>
      </c>
      <c r="AN335" s="2">
        <v>24.847866725580101</v>
      </c>
      <c r="AO335" s="2">
        <v>24.616992798720599</v>
      </c>
      <c r="AP335" s="2">
        <v>24.564522234276801</v>
      </c>
      <c r="AQ335" s="2">
        <v>24.794451311074202</v>
      </c>
      <c r="AR335" s="2">
        <v>24.171249274433499</v>
      </c>
      <c r="AS335" s="2">
        <v>24.0711073446416</v>
      </c>
      <c r="AT335" s="2">
        <v>24.433259911837801</v>
      </c>
      <c r="AU335" s="2">
        <v>23.673674716247699</v>
      </c>
      <c r="AV335" s="2">
        <v>24.785954130460599</v>
      </c>
      <c r="AW335" s="2">
        <v>24.718608836632299</v>
      </c>
      <c r="AX335" s="2">
        <v>24.581007862268699</v>
      </c>
      <c r="AY335" s="2">
        <v>24.269386455461699</v>
      </c>
      <c r="AZ335" s="2">
        <v>24.399971148459102</v>
      </c>
      <c r="BA335" s="2">
        <v>24.174142993107601</v>
      </c>
      <c r="BB335" s="2">
        <v>24.705349770246499</v>
      </c>
      <c r="BC335" s="2">
        <v>24.2265262872756</v>
      </c>
      <c r="BD335" s="2">
        <v>24.8813404331726</v>
      </c>
      <c r="BE335" s="2">
        <v>24.544174901090798</v>
      </c>
      <c r="BF335" s="2">
        <v>24.789279111887701</v>
      </c>
      <c r="BG335" s="2">
        <v>24.269117624571699</v>
      </c>
      <c r="BH335" s="2">
        <v>24.498393655373601</v>
      </c>
      <c r="BI335" s="2">
        <v>24.3060445916107</v>
      </c>
      <c r="BJ335" s="2">
        <v>24.948604942545899</v>
      </c>
      <c r="BK335" s="2">
        <v>24.276946380046201</v>
      </c>
      <c r="BL335" s="2">
        <v>24.276507132228701</v>
      </c>
      <c r="BM335" s="2">
        <v>24.702126315620198</v>
      </c>
      <c r="BN335" s="2">
        <v>24.771101168737399</v>
      </c>
      <c r="BO335" s="2">
        <v>24.098596504660001</v>
      </c>
      <c r="BP335" s="2">
        <v>24.8908198646245</v>
      </c>
      <c r="BQ335" s="2">
        <v>24.9590520338324</v>
      </c>
      <c r="BR335" s="2">
        <v>24.390666229019399</v>
      </c>
      <c r="BS335" s="2">
        <v>24.183601031997199</v>
      </c>
      <c r="BT335" s="2">
        <v>24.138831865756298</v>
      </c>
      <c r="BU335" s="2">
        <v>24.688200839453799</v>
      </c>
      <c r="BV335" s="2">
        <v>24.718415721425899</v>
      </c>
      <c r="BW335" s="2">
        <v>23.605527418571999</v>
      </c>
      <c r="BX335" s="2">
        <v>24.352767307172599</v>
      </c>
      <c r="BY335" s="2">
        <v>24.758897654833898</v>
      </c>
      <c r="BZ335" s="2">
        <v>24.433978937190499</v>
      </c>
      <c r="CA335" s="2">
        <v>24.095462600632398</v>
      </c>
      <c r="CB335" s="2">
        <v>24.606633636924801</v>
      </c>
      <c r="CC335" s="2">
        <v>24.187504827903499</v>
      </c>
      <c r="CD335" s="2">
        <v>24.896986587786198</v>
      </c>
      <c r="CE335" s="2">
        <v>24.3972823870991</v>
      </c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</row>
    <row r="336" spans="1:97">
      <c r="A336" s="2" t="s">
        <v>3506</v>
      </c>
      <c r="B336" s="2">
        <v>275.10336999999998</v>
      </c>
      <c r="C336" s="2">
        <v>5.0670000000000002</v>
      </c>
      <c r="D336" s="2" t="s">
        <v>146</v>
      </c>
      <c r="E336" s="2" t="s">
        <v>3507</v>
      </c>
      <c r="F336" s="2" t="s">
        <v>3508</v>
      </c>
      <c r="G336" s="2">
        <v>83448</v>
      </c>
      <c r="H336" s="3" t="str">
        <f>HYPERLINK("https://cloud.oebiotech.com/#/lm/network/83448", "https://cloud.oebiotech.com/#/lm/network/83448")</f>
        <v>https://cloud.oebiotech.com/#/lm/network/83448</v>
      </c>
      <c r="I336" s="2" t="s">
        <v>3509</v>
      </c>
      <c r="J336" s="2"/>
      <c r="K336" s="2"/>
      <c r="L336" s="2">
        <v>131770415</v>
      </c>
      <c r="M336" s="2"/>
      <c r="N336" s="2"/>
      <c r="O336" s="2"/>
      <c r="P336" s="2"/>
      <c r="Q336" s="2"/>
      <c r="R336" s="2"/>
      <c r="S336" s="2"/>
      <c r="T336" s="2" t="s">
        <v>3510</v>
      </c>
      <c r="U336" s="2" t="s">
        <v>3511</v>
      </c>
      <c r="V336" s="2" t="s">
        <v>115</v>
      </c>
      <c r="W336" s="2" t="s">
        <v>116</v>
      </c>
      <c r="X336" s="2" t="s">
        <v>117</v>
      </c>
      <c r="Y336" s="2" t="s">
        <v>118</v>
      </c>
      <c r="Z336" s="2" t="s">
        <v>119</v>
      </c>
      <c r="AA336" s="2" t="s">
        <v>120</v>
      </c>
      <c r="AB336" s="2" t="s">
        <v>101</v>
      </c>
      <c r="AC336" s="2">
        <v>66.959999999999994</v>
      </c>
      <c r="AD336" s="2">
        <v>90.5</v>
      </c>
      <c r="AE336" s="2">
        <v>68.52</v>
      </c>
      <c r="AF336" s="2" t="s">
        <v>3512</v>
      </c>
      <c r="AG336" s="2" t="s">
        <v>194</v>
      </c>
      <c r="AH336" s="2" t="s">
        <v>3513</v>
      </c>
      <c r="AI336" s="2">
        <v>1.0900000000000001</v>
      </c>
      <c r="AJ336" s="2">
        <v>16.7491858022922</v>
      </c>
      <c r="AK336" s="2">
        <v>16.8734402673742</v>
      </c>
      <c r="AL336" s="2">
        <v>16.852965290219199</v>
      </c>
      <c r="AM336" s="2">
        <v>16.817708062713301</v>
      </c>
      <c r="AN336" s="2">
        <v>16.9122192309894</v>
      </c>
      <c r="AO336" s="2">
        <v>17.168489674142499</v>
      </c>
      <c r="AP336" s="2">
        <v>17.0249360848353</v>
      </c>
      <c r="AQ336" s="2">
        <v>17.121427784089601</v>
      </c>
      <c r="AR336" s="2">
        <v>17.2046144129895</v>
      </c>
      <c r="AS336" s="2">
        <v>13.6412976471203</v>
      </c>
      <c r="AT336" s="2">
        <v>14.5800123648606</v>
      </c>
      <c r="AU336" s="2">
        <v>14.965877155166099</v>
      </c>
      <c r="AV336" s="2">
        <v>16.284867286466401</v>
      </c>
      <c r="AW336" s="2">
        <v>17.3838997510477</v>
      </c>
      <c r="AX336" s="2">
        <v>15.822685341818101</v>
      </c>
      <c r="AY336" s="2">
        <v>16.095697621625</v>
      </c>
      <c r="AZ336" s="2">
        <v>17.0709063493961</v>
      </c>
      <c r="BA336" s="2">
        <v>15.481768849737801</v>
      </c>
      <c r="BB336" s="2">
        <v>16.786553609859901</v>
      </c>
      <c r="BC336" s="2">
        <v>15.451914254287701</v>
      </c>
      <c r="BD336" s="2">
        <v>16.929646658685499</v>
      </c>
      <c r="BE336" s="2">
        <v>16.1569365000441</v>
      </c>
      <c r="BF336" s="2">
        <v>17.96660587965</v>
      </c>
      <c r="BG336" s="2">
        <v>16.891825820756399</v>
      </c>
      <c r="BH336" s="2">
        <v>16.6325255407307</v>
      </c>
      <c r="BI336" s="2">
        <v>16.746456324555801</v>
      </c>
      <c r="BJ336" s="2">
        <v>16.460490932946598</v>
      </c>
      <c r="BK336" s="2">
        <v>17.177196727650699</v>
      </c>
      <c r="BL336" s="2">
        <v>16.578486208312</v>
      </c>
      <c r="BM336" s="2">
        <v>17.2282777663121</v>
      </c>
      <c r="BN336" s="2">
        <v>17.031665022926902</v>
      </c>
      <c r="BO336" s="2">
        <v>14.8375584574546</v>
      </c>
      <c r="BP336" s="2">
        <v>16.266442878966298</v>
      </c>
      <c r="BQ336" s="2">
        <v>16.878220148293298</v>
      </c>
      <c r="BR336" s="2">
        <v>16.388499168627899</v>
      </c>
      <c r="BS336" s="2">
        <v>17.346299203588501</v>
      </c>
      <c r="BT336" s="2">
        <v>15.475397159745301</v>
      </c>
      <c r="BU336" s="2">
        <v>16.562295945830801</v>
      </c>
      <c r="BV336" s="2">
        <v>16.293034930399099</v>
      </c>
      <c r="BW336" s="2">
        <v>14.3674748167846</v>
      </c>
      <c r="BX336" s="2">
        <v>16.346699321396599</v>
      </c>
      <c r="BY336" s="2">
        <v>18.069359344404099</v>
      </c>
      <c r="BZ336" s="2">
        <v>17.146729653420699</v>
      </c>
      <c r="CA336" s="2">
        <v>18.1641217154685</v>
      </c>
      <c r="CB336" s="2">
        <v>15.1549466329017</v>
      </c>
      <c r="CC336" s="2">
        <v>16.333773815165301</v>
      </c>
      <c r="CD336" s="2">
        <v>16.804080842683302</v>
      </c>
      <c r="CE336" s="2">
        <v>16.651527828692402</v>
      </c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</row>
    <row r="337" spans="1:97">
      <c r="A337" s="2" t="s">
        <v>3514</v>
      </c>
      <c r="B337" s="2">
        <v>417.33553000000001</v>
      </c>
      <c r="C337" s="2">
        <v>11.273999999999999</v>
      </c>
      <c r="D337" s="2" t="s">
        <v>84</v>
      </c>
      <c r="E337" s="2" t="s">
        <v>3515</v>
      </c>
      <c r="F337" s="2" t="s">
        <v>3516</v>
      </c>
      <c r="G337" s="2">
        <v>46389</v>
      </c>
      <c r="H337" s="3" t="str">
        <f>HYPERLINK("https://cloud.oebiotech.com/#/lm/network/46389", "https://cloud.oebiotech.com/#/lm/network/46389")</f>
        <v>https://cloud.oebiotech.com/#/lm/network/46389</v>
      </c>
      <c r="I337" s="2" t="s">
        <v>3517</v>
      </c>
      <c r="J337" s="2">
        <v>5348</v>
      </c>
      <c r="K337" s="2" t="s">
        <v>3518</v>
      </c>
      <c r="L337" s="2">
        <v>5284239</v>
      </c>
      <c r="M337" s="2"/>
      <c r="N337" s="2"/>
      <c r="O337" s="2"/>
      <c r="P337" s="2">
        <v>16577</v>
      </c>
      <c r="Q337" s="2" t="s">
        <v>3203</v>
      </c>
      <c r="R337" s="2" t="s">
        <v>3204</v>
      </c>
      <c r="S337" s="2" t="s">
        <v>3519</v>
      </c>
      <c r="T337" s="2" t="s">
        <v>3520</v>
      </c>
      <c r="U337" s="2" t="s">
        <v>3521</v>
      </c>
      <c r="V337" s="2" t="s">
        <v>95</v>
      </c>
      <c r="W337" s="2" t="s">
        <v>152</v>
      </c>
      <c r="X337" s="2" t="s">
        <v>278</v>
      </c>
      <c r="Y337" s="2" t="s">
        <v>98</v>
      </c>
      <c r="Z337" s="2" t="s">
        <v>154</v>
      </c>
      <c r="AA337" s="2" t="s">
        <v>279</v>
      </c>
      <c r="AB337" s="2" t="s">
        <v>101</v>
      </c>
      <c r="AC337" s="2">
        <v>66.91</v>
      </c>
      <c r="AD337" s="2">
        <v>93.08</v>
      </c>
      <c r="AE337" s="2">
        <v>64.16</v>
      </c>
      <c r="AF337" s="2" t="s">
        <v>3522</v>
      </c>
      <c r="AG337" s="2" t="s">
        <v>1088</v>
      </c>
      <c r="AH337" s="2" t="s">
        <v>3523</v>
      </c>
      <c r="AI337" s="2">
        <v>3.35</v>
      </c>
      <c r="AJ337" s="2">
        <v>19.9432554384552</v>
      </c>
      <c r="AK337" s="2">
        <v>20.027928735528199</v>
      </c>
      <c r="AL337" s="2">
        <v>20.1335016645913</v>
      </c>
      <c r="AM337" s="2">
        <v>20.2687715835192</v>
      </c>
      <c r="AN337" s="2">
        <v>20.115067813109299</v>
      </c>
      <c r="AO337" s="2">
        <v>20.201234578855601</v>
      </c>
      <c r="AP337" s="2">
        <v>20.040652853759902</v>
      </c>
      <c r="AQ337" s="2">
        <v>20.143375042202699</v>
      </c>
      <c r="AR337" s="2">
        <v>19.956391557728299</v>
      </c>
      <c r="AS337" s="2">
        <v>19.341925870243099</v>
      </c>
      <c r="AT337" s="2">
        <v>20.040839321092399</v>
      </c>
      <c r="AU337" s="2">
        <v>20.1698205789701</v>
      </c>
      <c r="AV337" s="2">
        <v>19.568451178090399</v>
      </c>
      <c r="AW337" s="2">
        <v>19.865310650097999</v>
      </c>
      <c r="AX337" s="2">
        <v>20.258402249263401</v>
      </c>
      <c r="AY337" s="2">
        <v>20.131168629206101</v>
      </c>
      <c r="AZ337" s="2">
        <v>19.5172937270925</v>
      </c>
      <c r="BA337" s="2">
        <v>18.798444873091199</v>
      </c>
      <c r="BB337" s="2">
        <v>20.400214670219</v>
      </c>
      <c r="BC337" s="2">
        <v>21.389117197439599</v>
      </c>
      <c r="BD337" s="2">
        <v>19.648487755066501</v>
      </c>
      <c r="BE337" s="2">
        <v>19.892904633801699</v>
      </c>
      <c r="BF337" s="2">
        <v>19.6062879426898</v>
      </c>
      <c r="BG337" s="2">
        <v>20.7090118012351</v>
      </c>
      <c r="BH337" s="2">
        <v>19.811282442902598</v>
      </c>
      <c r="BI337" s="2">
        <v>20.476655696506199</v>
      </c>
      <c r="BJ337" s="2">
        <v>20.418169787383999</v>
      </c>
      <c r="BK337" s="2">
        <v>19.887736230618099</v>
      </c>
      <c r="BL337" s="2">
        <v>19.534404968152501</v>
      </c>
      <c r="BM337" s="2">
        <v>20.036990827736101</v>
      </c>
      <c r="BN337" s="2">
        <v>20.282370911318299</v>
      </c>
      <c r="BO337" s="2">
        <v>20.380058193344102</v>
      </c>
      <c r="BP337" s="2">
        <v>19.615355179710601</v>
      </c>
      <c r="BQ337" s="2">
        <v>20.469471062176801</v>
      </c>
      <c r="BR337" s="2">
        <v>21.020404155428999</v>
      </c>
      <c r="BS337" s="2">
        <v>20.3994193899692</v>
      </c>
      <c r="BT337" s="2">
        <v>20.062961501872401</v>
      </c>
      <c r="BU337" s="2">
        <v>20.2800491492983</v>
      </c>
      <c r="BV337" s="2">
        <v>20.284927557572001</v>
      </c>
      <c r="BW337" s="2">
        <v>18.897495496926599</v>
      </c>
      <c r="BX337" s="2">
        <v>19.474832791274199</v>
      </c>
      <c r="BY337" s="2">
        <v>20.4148897723773</v>
      </c>
      <c r="BZ337" s="2">
        <v>19.6017726741686</v>
      </c>
      <c r="CA337" s="2">
        <v>20.033475416906199</v>
      </c>
      <c r="CB337" s="2">
        <v>19.611650569056899</v>
      </c>
      <c r="CC337" s="2">
        <v>20.229459401605201</v>
      </c>
      <c r="CD337" s="2">
        <v>19.862995284162299</v>
      </c>
      <c r="CE337" s="2">
        <v>19.841419214080702</v>
      </c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</row>
    <row r="338" spans="1:97">
      <c r="A338" s="2" t="s">
        <v>3524</v>
      </c>
      <c r="B338" s="2">
        <v>573.45169999999996</v>
      </c>
      <c r="C338" s="2">
        <v>13.542999999999999</v>
      </c>
      <c r="D338" s="2" t="s">
        <v>146</v>
      </c>
      <c r="E338" s="2" t="s">
        <v>3525</v>
      </c>
      <c r="F338" s="2" t="s">
        <v>3526</v>
      </c>
      <c r="G338" s="2">
        <v>250755</v>
      </c>
      <c r="H338" s="3" t="str">
        <f>HYPERLINK("https://cloud.oebiotech.com/#/lm/network/250755", "https://cloud.oebiotech.com/#/lm/network/250755")</f>
        <v>https://cloud.oebiotech.com/#/lm/network/250755</v>
      </c>
      <c r="I338" s="2" t="s">
        <v>3527</v>
      </c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 t="s">
        <v>3528</v>
      </c>
      <c r="U338" s="2" t="s">
        <v>3529</v>
      </c>
      <c r="V338" s="2" t="s">
        <v>95</v>
      </c>
      <c r="W338" s="2" t="s">
        <v>96</v>
      </c>
      <c r="X338" s="2" t="s">
        <v>919</v>
      </c>
      <c r="Y338" s="2" t="s">
        <v>98</v>
      </c>
      <c r="Z338" s="2" t="s">
        <v>99</v>
      </c>
      <c r="AA338" s="2" t="s">
        <v>920</v>
      </c>
      <c r="AB338" s="2" t="s">
        <v>101</v>
      </c>
      <c r="AC338" s="2">
        <v>66.88</v>
      </c>
      <c r="AD338" s="2">
        <v>94.35</v>
      </c>
      <c r="AE338" s="2">
        <v>56.96</v>
      </c>
      <c r="AF338" s="2" t="s">
        <v>3530</v>
      </c>
      <c r="AG338" s="2" t="s">
        <v>993</v>
      </c>
      <c r="AH338" s="2" t="s">
        <v>3531</v>
      </c>
      <c r="AI338" s="2">
        <v>0.35</v>
      </c>
      <c r="AJ338" s="2">
        <v>20.082202289347599</v>
      </c>
      <c r="AK338" s="2">
        <v>19.5452167080918</v>
      </c>
      <c r="AL338" s="2">
        <v>19.423488205061801</v>
      </c>
      <c r="AM338" s="2">
        <v>19.588505776598101</v>
      </c>
      <c r="AN338" s="2">
        <v>20.136004294589899</v>
      </c>
      <c r="AO338" s="2">
        <v>20.103219655343501</v>
      </c>
      <c r="AP338" s="2">
        <v>19.9474626540873</v>
      </c>
      <c r="AQ338" s="2">
        <v>20.367798106021599</v>
      </c>
      <c r="AR338" s="2">
        <v>19.493000604628701</v>
      </c>
      <c r="AS338" s="2">
        <v>19.0262537440837</v>
      </c>
      <c r="AT338" s="2">
        <v>19.938684741852899</v>
      </c>
      <c r="AU338" s="2">
        <v>19.075213017319001</v>
      </c>
      <c r="AV338" s="2">
        <v>19.387140000212401</v>
      </c>
      <c r="AW338" s="2">
        <v>19.250658389738401</v>
      </c>
      <c r="AX338" s="2">
        <v>19.216080878470098</v>
      </c>
      <c r="AY338" s="2">
        <v>19.656743301776899</v>
      </c>
      <c r="AZ338" s="2">
        <v>19.852011505651401</v>
      </c>
      <c r="BA338" s="2">
        <v>19.813128496473201</v>
      </c>
      <c r="BB338" s="2">
        <v>19.295301921537899</v>
      </c>
      <c r="BC338" s="2">
        <v>21.241006566476099</v>
      </c>
      <c r="BD338" s="2">
        <v>19.231680131263602</v>
      </c>
      <c r="BE338" s="2">
        <v>20.039791897113702</v>
      </c>
      <c r="BF338" s="2">
        <v>18.795464499252301</v>
      </c>
      <c r="BG338" s="2">
        <v>20.048014748148699</v>
      </c>
      <c r="BH338" s="2">
        <v>18.540598825410299</v>
      </c>
      <c r="BI338" s="2">
        <v>19.1004516842379</v>
      </c>
      <c r="BJ338" s="2">
        <v>20.0363466397074</v>
      </c>
      <c r="BK338" s="2">
        <v>18.1703154730411</v>
      </c>
      <c r="BL338" s="2">
        <v>20.098799141166101</v>
      </c>
      <c r="BM338" s="2">
        <v>19.422723955840699</v>
      </c>
      <c r="BN338" s="2">
        <v>19.384854961677</v>
      </c>
      <c r="BO338" s="2">
        <v>19.4386503281217</v>
      </c>
      <c r="BP338" s="2">
        <v>19.359742269286599</v>
      </c>
      <c r="BQ338" s="2">
        <v>19.261704481801999</v>
      </c>
      <c r="BR338" s="2">
        <v>18.526941264219001</v>
      </c>
      <c r="BS338" s="2">
        <v>19.6136202628524</v>
      </c>
      <c r="BT338" s="2">
        <v>19.389236546267799</v>
      </c>
      <c r="BU338" s="2">
        <v>20.129234711614799</v>
      </c>
      <c r="BV338" s="2">
        <v>19.835224011156701</v>
      </c>
      <c r="BW338" s="2">
        <v>18.9054815542009</v>
      </c>
      <c r="BX338" s="2">
        <v>19.662947013448999</v>
      </c>
      <c r="BY338" s="2">
        <v>20.9429523520228</v>
      </c>
      <c r="BZ338" s="2">
        <v>19.368061113635399</v>
      </c>
      <c r="CA338" s="2">
        <v>18.864387546283599</v>
      </c>
      <c r="CB338" s="2">
        <v>18.606637266430401</v>
      </c>
      <c r="CC338" s="2">
        <v>19.1987086401518</v>
      </c>
      <c r="CD338" s="2">
        <v>20.3290838066582</v>
      </c>
      <c r="CE338" s="2">
        <v>19.7793866026656</v>
      </c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</row>
    <row r="339" spans="1:97">
      <c r="A339" s="2" t="s">
        <v>3532</v>
      </c>
      <c r="B339" s="2">
        <v>156.04194000000001</v>
      </c>
      <c r="C339" s="2">
        <v>0.71099999999999997</v>
      </c>
      <c r="D339" s="2" t="s">
        <v>84</v>
      </c>
      <c r="E339" s="2" t="s">
        <v>3533</v>
      </c>
      <c r="F339" s="2" t="s">
        <v>3534</v>
      </c>
      <c r="G339" s="2">
        <v>2483</v>
      </c>
      <c r="H339" s="3" t="str">
        <f>HYPERLINK("https://cloud.oebiotech.com/#/lm/network/2483", "https://cloud.oebiotech.com/#/lm/network/2483")</f>
        <v>https://cloud.oebiotech.com/#/lm/network/2483</v>
      </c>
      <c r="I339" s="2" t="s">
        <v>3535</v>
      </c>
      <c r="J339" s="2">
        <v>6902</v>
      </c>
      <c r="K339" s="2" t="s">
        <v>3536</v>
      </c>
      <c r="L339" s="2">
        <v>138</v>
      </c>
      <c r="M339" s="2" t="s">
        <v>3537</v>
      </c>
      <c r="N339" s="2" t="s">
        <v>3538</v>
      </c>
      <c r="O339" s="2" t="s">
        <v>3539</v>
      </c>
      <c r="P339" s="2">
        <v>15887</v>
      </c>
      <c r="Q339" s="2"/>
      <c r="R339" s="2"/>
      <c r="S339" s="2" t="s">
        <v>3540</v>
      </c>
      <c r="T339" s="2" t="s">
        <v>3541</v>
      </c>
      <c r="U339" s="2" t="s">
        <v>3542</v>
      </c>
      <c r="V339" s="2" t="s">
        <v>115</v>
      </c>
      <c r="W339" s="2" t="s">
        <v>116</v>
      </c>
      <c r="X339" s="2" t="s">
        <v>117</v>
      </c>
      <c r="Y339" s="2" t="s">
        <v>118</v>
      </c>
      <c r="Z339" s="2" t="s">
        <v>119</v>
      </c>
      <c r="AA339" s="2" t="s">
        <v>120</v>
      </c>
      <c r="AB339" s="2" t="s">
        <v>101</v>
      </c>
      <c r="AC339" s="2">
        <v>66.86</v>
      </c>
      <c r="AD339" s="2">
        <v>91.03</v>
      </c>
      <c r="AE339" s="2">
        <v>63.69</v>
      </c>
      <c r="AF339" s="2" t="s">
        <v>3543</v>
      </c>
      <c r="AG339" s="2" t="s">
        <v>3544</v>
      </c>
      <c r="AH339" s="2" t="s">
        <v>3545</v>
      </c>
      <c r="AI339" s="2">
        <v>1.28</v>
      </c>
      <c r="AJ339" s="2">
        <v>25.1964610513511</v>
      </c>
      <c r="AK339" s="2">
        <v>25.424967041597501</v>
      </c>
      <c r="AL339" s="2">
        <v>24.9492605704468</v>
      </c>
      <c r="AM339" s="2">
        <v>25.3597283545643</v>
      </c>
      <c r="AN339" s="2">
        <v>25.192172164884202</v>
      </c>
      <c r="AO339" s="2">
        <v>25.197983193385401</v>
      </c>
      <c r="AP339" s="2">
        <v>25.3113734227327</v>
      </c>
      <c r="AQ339" s="2">
        <v>25.279927717112599</v>
      </c>
      <c r="AR339" s="2">
        <v>23.7786023508908</v>
      </c>
      <c r="AS339" s="2">
        <v>23.1734647866251</v>
      </c>
      <c r="AT339" s="2">
        <v>24.044054440946699</v>
      </c>
      <c r="AU339" s="2">
        <v>24.247219508395101</v>
      </c>
      <c r="AV339" s="2">
        <v>25.016941195494098</v>
      </c>
      <c r="AW339" s="2">
        <v>24.454904553414899</v>
      </c>
      <c r="AX339" s="2">
        <v>23.997091664394599</v>
      </c>
      <c r="AY339" s="2">
        <v>24.484850718919301</v>
      </c>
      <c r="AZ339" s="2">
        <v>24.2619377308542</v>
      </c>
      <c r="BA339" s="2">
        <v>24.832991207862602</v>
      </c>
      <c r="BB339" s="2">
        <v>25.051386707517501</v>
      </c>
      <c r="BC339" s="2">
        <v>27.5329708355113</v>
      </c>
      <c r="BD339" s="2">
        <v>25.509590869809699</v>
      </c>
      <c r="BE339" s="2">
        <v>25.9797479632206</v>
      </c>
      <c r="BF339" s="2">
        <v>25.122320423357099</v>
      </c>
      <c r="BG339" s="2">
        <v>25.285427672775601</v>
      </c>
      <c r="BH339" s="2">
        <v>24.309106838631401</v>
      </c>
      <c r="BI339" s="2">
        <v>23.727436109583401</v>
      </c>
      <c r="BJ339" s="2">
        <v>25.012633300876701</v>
      </c>
      <c r="BK339" s="2">
        <v>24.704526073797901</v>
      </c>
      <c r="BL339" s="2">
        <v>24.861724513732302</v>
      </c>
      <c r="BM339" s="2">
        <v>25.573016691526799</v>
      </c>
      <c r="BN339" s="2">
        <v>25.023836041774398</v>
      </c>
      <c r="BO339" s="2">
        <v>23.8589004501078</v>
      </c>
      <c r="BP339" s="2">
        <v>24.276820597729198</v>
      </c>
      <c r="BQ339" s="2">
        <v>24.5133908500279</v>
      </c>
      <c r="BR339" s="2">
        <v>24.571830489185199</v>
      </c>
      <c r="BS339" s="2">
        <v>25.198526304669301</v>
      </c>
      <c r="BT339" s="2">
        <v>25.966002790095899</v>
      </c>
      <c r="BU339" s="2">
        <v>25.257134818154501</v>
      </c>
      <c r="BV339" s="2">
        <v>26.352070331873701</v>
      </c>
      <c r="BW339" s="2">
        <v>25.534853637481</v>
      </c>
      <c r="BX339" s="2">
        <v>24.8436809148692</v>
      </c>
      <c r="BY339" s="2">
        <v>26.976120648802699</v>
      </c>
      <c r="BZ339" s="2">
        <v>25.7039580979589</v>
      </c>
      <c r="CA339" s="2">
        <v>25.870186551960099</v>
      </c>
      <c r="CB339" s="2">
        <v>24.504275481564999</v>
      </c>
      <c r="CC339" s="2">
        <v>24.6460930750358</v>
      </c>
      <c r="CD339" s="2">
        <v>25.475844657791502</v>
      </c>
      <c r="CE339" s="2">
        <v>23.832711641319001</v>
      </c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</row>
    <row r="340" spans="1:97">
      <c r="A340" s="2" t="s">
        <v>3546</v>
      </c>
      <c r="B340" s="2">
        <v>243.19601</v>
      </c>
      <c r="C340" s="2">
        <v>11.196</v>
      </c>
      <c r="D340" s="2" t="s">
        <v>146</v>
      </c>
      <c r="E340" s="2" t="s">
        <v>3547</v>
      </c>
      <c r="F340" s="2" t="s">
        <v>3548</v>
      </c>
      <c r="G340" s="2">
        <v>1950</v>
      </c>
      <c r="H340" s="3" t="str">
        <f>HYPERLINK("https://cloud.oebiotech.com/#/lm/network/1950", "https://cloud.oebiotech.com/#/lm/network/1950")</f>
        <v>https://cloud.oebiotech.com/#/lm/network/1950</v>
      </c>
      <c r="I340" s="2" t="s">
        <v>3549</v>
      </c>
      <c r="J340" s="2">
        <v>6579</v>
      </c>
      <c r="K340" s="2" t="s">
        <v>3550</v>
      </c>
      <c r="L340" s="2">
        <v>1563</v>
      </c>
      <c r="M340" s="2"/>
      <c r="N340" s="2"/>
      <c r="O340" s="2"/>
      <c r="P340" s="2">
        <v>59270</v>
      </c>
      <c r="Q340" s="2"/>
      <c r="R340" s="2"/>
      <c r="S340" s="2" t="s">
        <v>3551</v>
      </c>
      <c r="T340" s="2" t="s">
        <v>3552</v>
      </c>
      <c r="U340" s="2" t="s">
        <v>3553</v>
      </c>
      <c r="V340" s="2" t="s">
        <v>95</v>
      </c>
      <c r="W340" s="2" t="s">
        <v>96</v>
      </c>
      <c r="X340" s="2" t="s">
        <v>141</v>
      </c>
      <c r="Y340" s="2" t="s">
        <v>98</v>
      </c>
      <c r="Z340" s="2" t="s">
        <v>99</v>
      </c>
      <c r="AA340" s="2" t="s">
        <v>142</v>
      </c>
      <c r="AB340" s="2" t="s">
        <v>101</v>
      </c>
      <c r="AC340" s="2">
        <v>66.77</v>
      </c>
      <c r="AD340" s="2">
        <v>91.3</v>
      </c>
      <c r="AE340" s="2">
        <v>60.98</v>
      </c>
      <c r="AF340" s="2" t="s">
        <v>3554</v>
      </c>
      <c r="AG340" s="2" t="s">
        <v>194</v>
      </c>
      <c r="AH340" s="2" t="s">
        <v>3555</v>
      </c>
      <c r="AI340" s="2">
        <v>2.4700000000000002</v>
      </c>
      <c r="AJ340" s="2">
        <v>19.262945132610501</v>
      </c>
      <c r="AK340" s="2">
        <v>19.327324266537602</v>
      </c>
      <c r="AL340" s="2">
        <v>19.400834939104801</v>
      </c>
      <c r="AM340" s="2">
        <v>19.444274194364301</v>
      </c>
      <c r="AN340" s="2">
        <v>19.028338501653099</v>
      </c>
      <c r="AO340" s="2">
        <v>19.577344421740101</v>
      </c>
      <c r="AP340" s="2">
        <v>19.449017909726098</v>
      </c>
      <c r="AQ340" s="2">
        <v>19.709887257427301</v>
      </c>
      <c r="AR340" s="2">
        <v>19.208163257477</v>
      </c>
      <c r="AS340" s="2">
        <v>18.349652447619</v>
      </c>
      <c r="AT340" s="2">
        <v>19.577446955289499</v>
      </c>
      <c r="AU340" s="2">
        <v>18.9169987284683</v>
      </c>
      <c r="AV340" s="2">
        <v>19.020849133411701</v>
      </c>
      <c r="AW340" s="2">
        <v>19.046998252488699</v>
      </c>
      <c r="AX340" s="2">
        <v>19.642778644439801</v>
      </c>
      <c r="AY340" s="2">
        <v>19.583438672921201</v>
      </c>
      <c r="AZ340" s="2">
        <v>18.784111004219302</v>
      </c>
      <c r="BA340" s="2">
        <v>18.8213774478826</v>
      </c>
      <c r="BB340" s="2">
        <v>19.3630865922214</v>
      </c>
      <c r="BC340" s="2">
        <v>19.542532827368401</v>
      </c>
      <c r="BD340" s="2">
        <v>19.066955629146999</v>
      </c>
      <c r="BE340" s="2">
        <v>19.194413392573701</v>
      </c>
      <c r="BF340" s="2">
        <v>18.900188027062502</v>
      </c>
      <c r="BG340" s="2">
        <v>19.552350234749799</v>
      </c>
      <c r="BH340" s="2">
        <v>18.9826573250648</v>
      </c>
      <c r="BI340" s="2">
        <v>19.4728260498736</v>
      </c>
      <c r="BJ340" s="2">
        <v>19.304856224698899</v>
      </c>
      <c r="BK340" s="2">
        <v>18.571626190350699</v>
      </c>
      <c r="BL340" s="2">
        <v>18.8584199286542</v>
      </c>
      <c r="BM340" s="2">
        <v>18.8744576707055</v>
      </c>
      <c r="BN340" s="2">
        <v>19.145180380521399</v>
      </c>
      <c r="BO340" s="2">
        <v>18.557018961139999</v>
      </c>
      <c r="BP340" s="2">
        <v>19.474002159011199</v>
      </c>
      <c r="BQ340" s="2">
        <v>18.9961480920451</v>
      </c>
      <c r="BR340" s="2">
        <v>19.932820227795698</v>
      </c>
      <c r="BS340" s="2">
        <v>18.839746628427001</v>
      </c>
      <c r="BT340" s="2">
        <v>19.070538096679201</v>
      </c>
      <c r="BU340" s="2">
        <v>19.6011915255798</v>
      </c>
      <c r="BV340" s="2">
        <v>19.292656422483699</v>
      </c>
      <c r="BW340" s="2">
        <v>18.5724922187147</v>
      </c>
      <c r="BX340" s="2">
        <v>18.632107932080299</v>
      </c>
      <c r="BY340" s="2">
        <v>19.146956299231402</v>
      </c>
      <c r="BZ340" s="2">
        <v>18.702899945120599</v>
      </c>
      <c r="CA340" s="2">
        <v>19.549937710080101</v>
      </c>
      <c r="CB340" s="2">
        <v>18.976594887753599</v>
      </c>
      <c r="CC340" s="2">
        <v>19.0277033138657</v>
      </c>
      <c r="CD340" s="2">
        <v>18.937318297251601</v>
      </c>
      <c r="CE340" s="2">
        <v>19.413205037222401</v>
      </c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</row>
    <row r="341" spans="1:97">
      <c r="A341" s="2" t="s">
        <v>3556</v>
      </c>
      <c r="B341" s="2">
        <v>341.26898</v>
      </c>
      <c r="C341" s="2">
        <v>11.679</v>
      </c>
      <c r="D341" s="2" t="s">
        <v>146</v>
      </c>
      <c r="E341" s="2" t="s">
        <v>3557</v>
      </c>
      <c r="F341" s="2" t="s">
        <v>3558</v>
      </c>
      <c r="G341" s="2">
        <v>208525</v>
      </c>
      <c r="H341" s="3" t="str">
        <f>HYPERLINK("https://cloud.oebiotech.com/#/lm/network/208525", "https://cloud.oebiotech.com/#/lm/network/208525")</f>
        <v>https://cloud.oebiotech.com/#/lm/network/208525</v>
      </c>
      <c r="I341" s="2" t="s">
        <v>3559</v>
      </c>
      <c r="J341" s="2">
        <v>62960</v>
      </c>
      <c r="K341" s="2"/>
      <c r="L341" s="2">
        <v>121871</v>
      </c>
      <c r="M341" s="2"/>
      <c r="N341" s="2"/>
      <c r="O341" s="2"/>
      <c r="P341" s="2">
        <v>149582</v>
      </c>
      <c r="Q341" s="2"/>
      <c r="R341" s="2"/>
      <c r="S341" s="2" t="s">
        <v>3560</v>
      </c>
      <c r="T341" s="2" t="s">
        <v>3561</v>
      </c>
      <c r="U341" s="2" t="s">
        <v>3562</v>
      </c>
      <c r="V341" s="2" t="s">
        <v>95</v>
      </c>
      <c r="W341" s="2" t="s">
        <v>96</v>
      </c>
      <c r="X341" s="2" t="s">
        <v>141</v>
      </c>
      <c r="Y341" s="2" t="s">
        <v>98</v>
      </c>
      <c r="Z341" s="2" t="s">
        <v>99</v>
      </c>
      <c r="AA341" s="2" t="s">
        <v>142</v>
      </c>
      <c r="AB341" s="2" t="s">
        <v>101</v>
      </c>
      <c r="AC341" s="2">
        <v>66.77</v>
      </c>
      <c r="AD341" s="2">
        <v>86.99</v>
      </c>
      <c r="AE341" s="2">
        <v>68.930000000000007</v>
      </c>
      <c r="AF341" s="2" t="s">
        <v>3563</v>
      </c>
      <c r="AG341" s="2" t="s">
        <v>194</v>
      </c>
      <c r="AH341" s="2" t="s">
        <v>3564</v>
      </c>
      <c r="AI341" s="2">
        <v>2.0499999999999998</v>
      </c>
      <c r="AJ341" s="2">
        <v>18.350726301697499</v>
      </c>
      <c r="AK341" s="2">
        <v>18.896511008917098</v>
      </c>
      <c r="AL341" s="2">
        <v>18.101738641395801</v>
      </c>
      <c r="AM341" s="2">
        <v>18.089062174899102</v>
      </c>
      <c r="AN341" s="2">
        <v>18.186524728107401</v>
      </c>
      <c r="AO341" s="2">
        <v>18.866632621198999</v>
      </c>
      <c r="AP341" s="2">
        <v>18.1150064521517</v>
      </c>
      <c r="AQ341" s="2">
        <v>18.851142423797299</v>
      </c>
      <c r="AR341" s="2">
        <v>19.0031466277369</v>
      </c>
      <c r="AS341" s="2">
        <v>19.719482726631501</v>
      </c>
      <c r="AT341" s="2">
        <v>18.875248545339101</v>
      </c>
      <c r="AU341" s="2">
        <v>17.569062486471999</v>
      </c>
      <c r="AV341" s="2">
        <v>19.724928547687401</v>
      </c>
      <c r="AW341" s="2">
        <v>17.595576124955699</v>
      </c>
      <c r="AX341" s="2">
        <v>18.458556605798101</v>
      </c>
      <c r="AY341" s="2">
        <v>18.817450602945399</v>
      </c>
      <c r="AZ341" s="2">
        <v>17.448230867060602</v>
      </c>
      <c r="BA341" s="2">
        <v>18.236660917629301</v>
      </c>
      <c r="BB341" s="2">
        <v>16.8221374744023</v>
      </c>
      <c r="BC341" s="2">
        <v>19.2416234967863</v>
      </c>
      <c r="BD341" s="2">
        <v>18.156023953899201</v>
      </c>
      <c r="BE341" s="2">
        <v>19.886702107331001</v>
      </c>
      <c r="BF341" s="2">
        <v>16.201936662424199</v>
      </c>
      <c r="BG341" s="2">
        <v>16.559102346406501</v>
      </c>
      <c r="BH341" s="2">
        <v>18.266998223389098</v>
      </c>
      <c r="BI341" s="2">
        <v>16.953208959953301</v>
      </c>
      <c r="BJ341" s="2">
        <v>19.582361908541699</v>
      </c>
      <c r="BK341" s="2">
        <v>17.736001178425798</v>
      </c>
      <c r="BL341" s="2">
        <v>18.179048152101</v>
      </c>
      <c r="BM341" s="2">
        <v>19.022265259039301</v>
      </c>
      <c r="BN341" s="2">
        <v>18.6900640133778</v>
      </c>
      <c r="BO341" s="2">
        <v>17.754988338055199</v>
      </c>
      <c r="BP341" s="2">
        <v>17.662643274430199</v>
      </c>
      <c r="BQ341" s="2">
        <v>17.844918911957201</v>
      </c>
      <c r="BR341" s="2">
        <v>18.299082510625201</v>
      </c>
      <c r="BS341" s="2">
        <v>19.517523091494699</v>
      </c>
      <c r="BT341" s="2">
        <v>17.582686903722902</v>
      </c>
      <c r="BU341" s="2">
        <v>19.195748573091802</v>
      </c>
      <c r="BV341" s="2">
        <v>18.958984349253502</v>
      </c>
      <c r="BW341" s="2">
        <v>18.200146111391099</v>
      </c>
      <c r="BX341" s="2">
        <v>18.508030802110301</v>
      </c>
      <c r="BY341" s="2">
        <v>20.211046818415099</v>
      </c>
      <c r="BZ341" s="2">
        <v>16.602312915669099</v>
      </c>
      <c r="CA341" s="2">
        <v>17.359215072645402</v>
      </c>
      <c r="CB341" s="2">
        <v>18.023242030246902</v>
      </c>
      <c r="CC341" s="2">
        <v>17.4828656892076</v>
      </c>
      <c r="CD341" s="2">
        <v>19.9745539447404</v>
      </c>
      <c r="CE341" s="2">
        <v>19.157477306562001</v>
      </c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</row>
    <row r="342" spans="1:97">
      <c r="A342" s="2" t="s">
        <v>3565</v>
      </c>
      <c r="B342" s="2">
        <v>498.28888000000001</v>
      </c>
      <c r="C342" s="2">
        <v>6.8890000000000002</v>
      </c>
      <c r="D342" s="2" t="s">
        <v>146</v>
      </c>
      <c r="E342" s="2" t="s">
        <v>3566</v>
      </c>
      <c r="F342" s="2" t="s">
        <v>3567</v>
      </c>
      <c r="G342" s="2">
        <v>46754</v>
      </c>
      <c r="H342" s="3" t="str">
        <f>HYPERLINK("https://cloud.oebiotech.com/#/lm/network/46754", "https://cloud.oebiotech.com/#/lm/network/46754")</f>
        <v>https://cloud.oebiotech.com/#/lm/network/46754</v>
      </c>
      <c r="I342" s="2" t="s">
        <v>3568</v>
      </c>
      <c r="J342" s="2">
        <v>205</v>
      </c>
      <c r="K342" s="2" t="s">
        <v>3569</v>
      </c>
      <c r="L342" s="2">
        <v>9848818</v>
      </c>
      <c r="M342" s="2" t="s">
        <v>3570</v>
      </c>
      <c r="N342" s="2"/>
      <c r="O342" s="2"/>
      <c r="P342" s="2">
        <v>80774</v>
      </c>
      <c r="Q342" s="2"/>
      <c r="R342" s="2"/>
      <c r="S342" s="2" t="s">
        <v>3571</v>
      </c>
      <c r="T342" s="2" t="s">
        <v>3572</v>
      </c>
      <c r="U342" s="2" t="s">
        <v>3573</v>
      </c>
      <c r="V342" s="2" t="s">
        <v>95</v>
      </c>
      <c r="W342" s="2" t="s">
        <v>152</v>
      </c>
      <c r="X342" s="2" t="s">
        <v>278</v>
      </c>
      <c r="Y342" s="2" t="s">
        <v>98</v>
      </c>
      <c r="Z342" s="2" t="s">
        <v>154</v>
      </c>
      <c r="AA342" s="2" t="s">
        <v>279</v>
      </c>
      <c r="AB342" s="2" t="s">
        <v>101</v>
      </c>
      <c r="AC342" s="2">
        <v>66.75</v>
      </c>
      <c r="AD342" s="2">
        <v>78.92</v>
      </c>
      <c r="AE342" s="2">
        <v>81.09</v>
      </c>
      <c r="AF342" s="2" t="s">
        <v>3574</v>
      </c>
      <c r="AG342" s="2" t="s">
        <v>194</v>
      </c>
      <c r="AH342" s="2" t="s">
        <v>3575</v>
      </c>
      <c r="AI342" s="2">
        <v>1.2</v>
      </c>
      <c r="AJ342" s="2">
        <v>18.310986098145701</v>
      </c>
      <c r="AK342" s="2">
        <v>18.2974773210263</v>
      </c>
      <c r="AL342" s="2">
        <v>18.227067185913199</v>
      </c>
      <c r="AM342" s="2">
        <v>18.479597650331002</v>
      </c>
      <c r="AN342" s="2">
        <v>18.2011673329053</v>
      </c>
      <c r="AO342" s="2">
        <v>18.312874581716802</v>
      </c>
      <c r="AP342" s="2">
        <v>18.111705377842799</v>
      </c>
      <c r="AQ342" s="2">
        <v>18.327132089111299</v>
      </c>
      <c r="AR342" s="2">
        <v>14.6790940829595</v>
      </c>
      <c r="AS342" s="2">
        <v>9.6233145402724691</v>
      </c>
      <c r="AT342" s="2">
        <v>14.230164577884301</v>
      </c>
      <c r="AU342" s="2">
        <v>18.513729716019402</v>
      </c>
      <c r="AV342" s="2">
        <v>15.092920623883201</v>
      </c>
      <c r="AW342" s="2">
        <v>20.821959179670799</v>
      </c>
      <c r="AX342" s="2">
        <v>15.9553524935498</v>
      </c>
      <c r="AY342" s="2">
        <v>18.570205005799401</v>
      </c>
      <c r="AZ342" s="2">
        <v>16.7463859907302</v>
      </c>
      <c r="BA342" s="2">
        <v>14.3789944908879</v>
      </c>
      <c r="BB342" s="2">
        <v>22.320687126127499</v>
      </c>
      <c r="BC342" s="2">
        <v>16.412762343251099</v>
      </c>
      <c r="BD342" s="2">
        <v>12.359955409654299</v>
      </c>
      <c r="BE342" s="2">
        <v>15.174876931439099</v>
      </c>
      <c r="BF342" s="2">
        <v>17.309673783635599</v>
      </c>
      <c r="BG342" s="2">
        <v>15.6416383146722</v>
      </c>
      <c r="BH342" s="2">
        <v>17.255675541931399</v>
      </c>
      <c r="BI342" s="2">
        <v>12.9238641246149</v>
      </c>
      <c r="BJ342" s="2">
        <v>16.128176016265702</v>
      </c>
      <c r="BK342" s="2">
        <v>16.973127816209001</v>
      </c>
      <c r="BL342" s="2">
        <v>12.2203904206457</v>
      </c>
      <c r="BM342" s="2">
        <v>19.048109180355699</v>
      </c>
      <c r="BN342" s="2">
        <v>15.504588738763101</v>
      </c>
      <c r="BO342" s="2">
        <v>17.374964571946101</v>
      </c>
      <c r="BP342" s="2">
        <v>9.6233145402724691</v>
      </c>
      <c r="BQ342" s="2">
        <v>16.3021280216261</v>
      </c>
      <c r="BR342" s="2">
        <v>17.468125150839299</v>
      </c>
      <c r="BS342" s="2">
        <v>15.570995906978499</v>
      </c>
      <c r="BT342" s="2">
        <v>17.847374087929801</v>
      </c>
      <c r="BU342" s="2">
        <v>9.6233145402724691</v>
      </c>
      <c r="BV342" s="2">
        <v>20.875891394811202</v>
      </c>
      <c r="BW342" s="2">
        <v>14.847784090992601</v>
      </c>
      <c r="BX342" s="2">
        <v>9.6233145402724691</v>
      </c>
      <c r="BY342" s="2">
        <v>15.1450811441083</v>
      </c>
      <c r="BZ342" s="2">
        <v>19.229822521737599</v>
      </c>
      <c r="CA342" s="2">
        <v>19.1095959830486</v>
      </c>
      <c r="CB342" s="2">
        <v>14.9291275428631</v>
      </c>
      <c r="CC342" s="2">
        <v>13.9473036186334</v>
      </c>
      <c r="CD342" s="2">
        <v>15.981155177359501</v>
      </c>
      <c r="CE342" s="2">
        <v>9.6233145402724691</v>
      </c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</row>
    <row r="343" spans="1:97">
      <c r="A343" s="2" t="s">
        <v>3576</v>
      </c>
      <c r="B343" s="2">
        <v>160.06120999999999</v>
      </c>
      <c r="C343" s="2">
        <v>0.82399999999999995</v>
      </c>
      <c r="D343" s="2" t="s">
        <v>146</v>
      </c>
      <c r="E343" s="2" t="s">
        <v>3577</v>
      </c>
      <c r="F343" s="2" t="s">
        <v>3578</v>
      </c>
      <c r="G343" s="2">
        <v>47068</v>
      </c>
      <c r="H343" s="3" t="str">
        <f>HYPERLINK("https://cloud.oebiotech.com/#/lm/network/47068", "https://cloud.oebiotech.com/#/lm/network/47068")</f>
        <v>https://cloud.oebiotech.com/#/lm/network/47068</v>
      </c>
      <c r="I343" s="2" t="s">
        <v>3579</v>
      </c>
      <c r="J343" s="2">
        <v>3271</v>
      </c>
      <c r="K343" s="2"/>
      <c r="L343" s="2">
        <v>92136</v>
      </c>
      <c r="M343" s="2" t="s">
        <v>3580</v>
      </c>
      <c r="N343" s="2" t="s">
        <v>1030</v>
      </c>
      <c r="O343" s="2" t="s">
        <v>1031</v>
      </c>
      <c r="P343" s="2">
        <v>37023</v>
      </c>
      <c r="Q343" s="2"/>
      <c r="R343" s="2"/>
      <c r="S343" s="2" t="s">
        <v>3581</v>
      </c>
      <c r="T343" s="2" t="s">
        <v>3582</v>
      </c>
      <c r="U343" s="2" t="s">
        <v>3583</v>
      </c>
      <c r="V343" s="2" t="s">
        <v>115</v>
      </c>
      <c r="W343" s="2" t="s">
        <v>116</v>
      </c>
      <c r="X343" s="2" t="s">
        <v>117</v>
      </c>
      <c r="Y343" s="2" t="s">
        <v>118</v>
      </c>
      <c r="Z343" s="2" t="s">
        <v>119</v>
      </c>
      <c r="AA343" s="2" t="s">
        <v>120</v>
      </c>
      <c r="AB343" s="2" t="s">
        <v>101</v>
      </c>
      <c r="AC343" s="2">
        <v>66.73</v>
      </c>
      <c r="AD343" s="2">
        <v>95.91</v>
      </c>
      <c r="AE343" s="2">
        <v>60.51</v>
      </c>
      <c r="AF343" s="2" t="s">
        <v>3584</v>
      </c>
      <c r="AG343" s="2" t="s">
        <v>194</v>
      </c>
      <c r="AH343" s="2" t="s">
        <v>3585</v>
      </c>
      <c r="AI343" s="2">
        <v>1.87</v>
      </c>
      <c r="AJ343" s="2">
        <v>21.4601933744345</v>
      </c>
      <c r="AK343" s="2">
        <v>21.400618446487002</v>
      </c>
      <c r="AL343" s="2">
        <v>21.449787005762602</v>
      </c>
      <c r="AM343" s="2">
        <v>21.2126309915513</v>
      </c>
      <c r="AN343" s="2">
        <v>21.279241436248</v>
      </c>
      <c r="AO343" s="2">
        <v>21.3604933311072</v>
      </c>
      <c r="AP343" s="2">
        <v>21.2781281077513</v>
      </c>
      <c r="AQ343" s="2">
        <v>21.1214920913181</v>
      </c>
      <c r="AR343" s="2">
        <v>20.2551930030188</v>
      </c>
      <c r="AS343" s="2">
        <v>20.3535900381811</v>
      </c>
      <c r="AT343" s="2">
        <v>20.382248423599702</v>
      </c>
      <c r="AU343" s="2">
        <v>20.507559242893599</v>
      </c>
      <c r="AV343" s="2">
        <v>20.726839763141999</v>
      </c>
      <c r="AW343" s="2">
        <v>21.013456637081099</v>
      </c>
      <c r="AX343" s="2">
        <v>20.9464622084887</v>
      </c>
      <c r="AY343" s="2">
        <v>20.949430089474099</v>
      </c>
      <c r="AZ343" s="2">
        <v>21.097081758155699</v>
      </c>
      <c r="BA343" s="2">
        <v>20.617507166339699</v>
      </c>
      <c r="BB343" s="2">
        <v>20.807676633294001</v>
      </c>
      <c r="BC343" s="2">
        <v>21.263319880253601</v>
      </c>
      <c r="BD343" s="2">
        <v>20.539768752624401</v>
      </c>
      <c r="BE343" s="2">
        <v>21.2817266017571</v>
      </c>
      <c r="BF343" s="2">
        <v>20.481812554897399</v>
      </c>
      <c r="BG343" s="2">
        <v>21.142768531527199</v>
      </c>
      <c r="BH343" s="2">
        <v>22.280840558493601</v>
      </c>
      <c r="BI343" s="2">
        <v>20.8107302664326</v>
      </c>
      <c r="BJ343" s="2">
        <v>21.081975916555798</v>
      </c>
      <c r="BK343" s="2">
        <v>20.8719204089968</v>
      </c>
      <c r="BL343" s="2">
        <v>20.7832338055862</v>
      </c>
      <c r="BM343" s="2">
        <v>21.694409148524599</v>
      </c>
      <c r="BN343" s="2">
        <v>21.259259991433598</v>
      </c>
      <c r="BO343" s="2">
        <v>21.342731759560799</v>
      </c>
      <c r="BP343" s="2">
        <v>21.362856132316001</v>
      </c>
      <c r="BQ343" s="2">
        <v>21.3542627495784</v>
      </c>
      <c r="BR343" s="2">
        <v>21.101171172554199</v>
      </c>
      <c r="BS343" s="2">
        <v>21.4915373401553</v>
      </c>
      <c r="BT343" s="2">
        <v>21.428621017199401</v>
      </c>
      <c r="BU343" s="2">
        <v>20.342967360194301</v>
      </c>
      <c r="BV343" s="2">
        <v>21.128317981259499</v>
      </c>
      <c r="BW343" s="2">
        <v>20.910435394029399</v>
      </c>
      <c r="BX343" s="2">
        <v>21.535523153360099</v>
      </c>
      <c r="BY343" s="2">
        <v>21.713280765204299</v>
      </c>
      <c r="BZ343" s="2">
        <v>21.3015740497931</v>
      </c>
      <c r="CA343" s="2">
        <v>20.686883840880402</v>
      </c>
      <c r="CB343" s="2">
        <v>20.868557389386702</v>
      </c>
      <c r="CC343" s="2">
        <v>20.816491836546099</v>
      </c>
      <c r="CD343" s="2">
        <v>21.415454104929498</v>
      </c>
      <c r="CE343" s="2">
        <v>21.3806079597048</v>
      </c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</row>
    <row r="344" spans="1:97">
      <c r="A344" s="2" t="s">
        <v>3586</v>
      </c>
      <c r="B344" s="2">
        <v>270.27855</v>
      </c>
      <c r="C344" s="2">
        <v>13.01</v>
      </c>
      <c r="D344" s="2" t="s">
        <v>84</v>
      </c>
      <c r="E344" s="2" t="s">
        <v>3587</v>
      </c>
      <c r="F344" s="2" t="s">
        <v>3588</v>
      </c>
      <c r="G344" s="2">
        <v>6689</v>
      </c>
      <c r="H344" s="3" t="str">
        <f>HYPERLINK("https://cloud.oebiotech.com/#/lm/network/6689", "https://cloud.oebiotech.com/#/lm/network/6689")</f>
        <v>https://cloud.oebiotech.com/#/lm/network/6689</v>
      </c>
      <c r="I344" s="2"/>
      <c r="J344" s="2">
        <v>46515</v>
      </c>
      <c r="K344" s="2" t="s">
        <v>3589</v>
      </c>
      <c r="L344" s="2">
        <v>44256586</v>
      </c>
      <c r="M344" s="2"/>
      <c r="N344" s="2"/>
      <c r="O344" s="2"/>
      <c r="P344" s="2"/>
      <c r="Q344" s="2"/>
      <c r="R344" s="2"/>
      <c r="S344" s="2"/>
      <c r="T344" s="2" t="s">
        <v>3590</v>
      </c>
      <c r="U344" s="2" t="s">
        <v>3591</v>
      </c>
      <c r="V344" s="2" t="s">
        <v>95</v>
      </c>
      <c r="W344" s="2" t="s">
        <v>96</v>
      </c>
      <c r="X344" s="2" t="s">
        <v>129</v>
      </c>
      <c r="Y344" s="2" t="s">
        <v>98</v>
      </c>
      <c r="Z344" s="2" t="s">
        <v>99</v>
      </c>
      <c r="AA344" s="2" t="s">
        <v>130</v>
      </c>
      <c r="AB344" s="2" t="s">
        <v>101</v>
      </c>
      <c r="AC344" s="2">
        <v>66.73</v>
      </c>
      <c r="AD344" s="2">
        <v>96.42</v>
      </c>
      <c r="AE344" s="2">
        <v>67.33</v>
      </c>
      <c r="AF344" s="2" t="s">
        <v>3592</v>
      </c>
      <c r="AG344" s="2" t="s">
        <v>132</v>
      </c>
      <c r="AH344" s="2" t="s">
        <v>3593</v>
      </c>
      <c r="AI344" s="2">
        <v>2.2200000000000002</v>
      </c>
      <c r="AJ344" s="2">
        <v>22.6104594920732</v>
      </c>
      <c r="AK344" s="2">
        <v>22.3447351737552</v>
      </c>
      <c r="AL344" s="2">
        <v>22.008028570682701</v>
      </c>
      <c r="AM344" s="2">
        <v>22.131161707047099</v>
      </c>
      <c r="AN344" s="2">
        <v>21.5805791698312</v>
      </c>
      <c r="AO344" s="2">
        <v>22.238001326345199</v>
      </c>
      <c r="AP344" s="2">
        <v>21.9593344542767</v>
      </c>
      <c r="AQ344" s="2">
        <v>21.570401210517701</v>
      </c>
      <c r="AR344" s="2">
        <v>21.8435613928126</v>
      </c>
      <c r="AS344" s="2">
        <v>21.547497186610901</v>
      </c>
      <c r="AT344" s="2">
        <v>22.3580475355866</v>
      </c>
      <c r="AU344" s="2">
        <v>22.181757130135601</v>
      </c>
      <c r="AV344" s="2">
        <v>21.7119047248427</v>
      </c>
      <c r="AW344" s="2">
        <v>21.470078002923302</v>
      </c>
      <c r="AX344" s="2">
        <v>21.687037131865502</v>
      </c>
      <c r="AY344" s="2">
        <v>21.816930019927199</v>
      </c>
      <c r="AZ344" s="2">
        <v>21.655243909011698</v>
      </c>
      <c r="BA344" s="2">
        <v>22.069003399481701</v>
      </c>
      <c r="BB344" s="2">
        <v>21.925037077406301</v>
      </c>
      <c r="BC344" s="2">
        <v>21.762648890485099</v>
      </c>
      <c r="BD344" s="2">
        <v>21.836418074145801</v>
      </c>
      <c r="BE344" s="2">
        <v>23.234128570439701</v>
      </c>
      <c r="BF344" s="2">
        <v>21.1718824284461</v>
      </c>
      <c r="BG344" s="2">
        <v>21.895174105734402</v>
      </c>
      <c r="BH344" s="2">
        <v>22.136862758608199</v>
      </c>
      <c r="BI344" s="2">
        <v>22.035445117233699</v>
      </c>
      <c r="BJ344" s="2">
        <v>21.852762721842701</v>
      </c>
      <c r="BK344" s="2">
        <v>21.934344808367101</v>
      </c>
      <c r="BL344" s="2">
        <v>21.632874323677498</v>
      </c>
      <c r="BM344" s="2">
        <v>21.976037143815201</v>
      </c>
      <c r="BN344" s="2">
        <v>22.3869882375242</v>
      </c>
      <c r="BO344" s="2">
        <v>22.127802522765901</v>
      </c>
      <c r="BP344" s="2">
        <v>22.197001906641098</v>
      </c>
      <c r="BQ344" s="2">
        <v>22.2775080276711</v>
      </c>
      <c r="BR344" s="2">
        <v>21.380609566067299</v>
      </c>
      <c r="BS344" s="2">
        <v>21.978612682323199</v>
      </c>
      <c r="BT344" s="2">
        <v>21.8485834086793</v>
      </c>
      <c r="BU344" s="2">
        <v>21.659553960035201</v>
      </c>
      <c r="BV344" s="2">
        <v>22.214471851284301</v>
      </c>
      <c r="BW344" s="2">
        <v>21.8688827964022</v>
      </c>
      <c r="BX344" s="2">
        <v>22.1326913813141</v>
      </c>
      <c r="BY344" s="2">
        <v>21.8347444405224</v>
      </c>
      <c r="BZ344" s="2">
        <v>21.541857003119201</v>
      </c>
      <c r="CA344" s="2">
        <v>21.7138562405685</v>
      </c>
      <c r="CB344" s="2">
        <v>22.2332490341261</v>
      </c>
      <c r="CC344" s="2">
        <v>21.248820208778799</v>
      </c>
      <c r="CD344" s="2">
        <v>21.575595504071298</v>
      </c>
      <c r="CE344" s="2">
        <v>21.938220305507301</v>
      </c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</row>
    <row r="345" spans="1:97">
      <c r="A345" s="2" t="s">
        <v>3594</v>
      </c>
      <c r="B345" s="2">
        <v>353.03305</v>
      </c>
      <c r="C345" s="2">
        <v>6.2759999999999998</v>
      </c>
      <c r="D345" s="2" t="s">
        <v>146</v>
      </c>
      <c r="E345" s="2" t="s">
        <v>3595</v>
      </c>
      <c r="F345" s="2" t="s">
        <v>3596</v>
      </c>
      <c r="G345" s="2">
        <v>197319</v>
      </c>
      <c r="H345" s="3" t="str">
        <f>HYPERLINK("https://cloud.oebiotech.com/#/lm/network/197319", "https://cloud.oebiotech.com/#/lm/network/197319")</f>
        <v>https://cloud.oebiotech.com/#/lm/network/197319</v>
      </c>
      <c r="I345" s="2" t="s">
        <v>3597</v>
      </c>
      <c r="J345" s="2"/>
      <c r="K345" s="2"/>
      <c r="L345" s="2">
        <v>54570501</v>
      </c>
      <c r="M345" s="2"/>
      <c r="N345" s="2"/>
      <c r="O345" s="2"/>
      <c r="P345" s="2"/>
      <c r="Q345" s="2"/>
      <c r="R345" s="2"/>
      <c r="S345" s="2"/>
      <c r="T345" s="2" t="s">
        <v>3598</v>
      </c>
      <c r="U345" s="2" t="s">
        <v>3599</v>
      </c>
      <c r="V345" s="2" t="s">
        <v>385</v>
      </c>
      <c r="W345" s="2" t="s">
        <v>386</v>
      </c>
      <c r="X345" s="2" t="s">
        <v>3600</v>
      </c>
      <c r="Y345" s="2" t="s">
        <v>388</v>
      </c>
      <c r="Z345" s="2" t="s">
        <v>389</v>
      </c>
      <c r="AA345" s="2" t="s">
        <v>3601</v>
      </c>
      <c r="AB345" s="2" t="s">
        <v>101</v>
      </c>
      <c r="AC345" s="2">
        <v>66.72</v>
      </c>
      <c r="AD345" s="2">
        <v>86.48</v>
      </c>
      <c r="AE345" s="2">
        <v>70.569999999999993</v>
      </c>
      <c r="AF345" s="2" t="s">
        <v>3602</v>
      </c>
      <c r="AG345" s="2" t="s">
        <v>157</v>
      </c>
      <c r="AH345" s="2" t="s">
        <v>3603</v>
      </c>
      <c r="AI345" s="2">
        <v>1.7</v>
      </c>
      <c r="AJ345" s="2">
        <v>18.4466351402688</v>
      </c>
      <c r="AK345" s="2">
        <v>18.2916721875925</v>
      </c>
      <c r="AL345" s="2">
        <v>18.518357826879701</v>
      </c>
      <c r="AM345" s="2">
        <v>18.5518683452723</v>
      </c>
      <c r="AN345" s="2">
        <v>18.4125577735776</v>
      </c>
      <c r="AO345" s="2">
        <v>18.3183133985744</v>
      </c>
      <c r="AP345" s="2">
        <v>18.261055569893401</v>
      </c>
      <c r="AQ345" s="2">
        <v>18.363082291895399</v>
      </c>
      <c r="AR345" s="2">
        <v>9.6233145402724691</v>
      </c>
      <c r="AS345" s="2">
        <v>19.578533842229302</v>
      </c>
      <c r="AT345" s="2">
        <v>15.9004498601787</v>
      </c>
      <c r="AU345" s="2">
        <v>13.500699992632899</v>
      </c>
      <c r="AV345" s="2">
        <v>18.9384181269692</v>
      </c>
      <c r="AW345" s="2">
        <v>16.474565327564001</v>
      </c>
      <c r="AX345" s="2">
        <v>9.6233145402724691</v>
      </c>
      <c r="AY345" s="2">
        <v>18.977622682749001</v>
      </c>
      <c r="AZ345" s="2">
        <v>9.6233145402724691</v>
      </c>
      <c r="BA345" s="2">
        <v>9.6233145402724691</v>
      </c>
      <c r="BB345" s="2">
        <v>9.6233145402724691</v>
      </c>
      <c r="BC345" s="2">
        <v>9.6233145402724691</v>
      </c>
      <c r="BD345" s="2">
        <v>12.7505081100269</v>
      </c>
      <c r="BE345" s="2">
        <v>14.399239199298201</v>
      </c>
      <c r="BF345" s="2">
        <v>11.540902952010599</v>
      </c>
      <c r="BG345" s="2">
        <v>20.150806777438799</v>
      </c>
      <c r="BH345" s="2">
        <v>9.6233145402724691</v>
      </c>
      <c r="BI345" s="2">
        <v>15.0260435594166</v>
      </c>
      <c r="BJ345" s="2">
        <v>9.6233145402724691</v>
      </c>
      <c r="BK345" s="2">
        <v>9.6233145402724691</v>
      </c>
      <c r="BL345" s="2">
        <v>19.103378614395101</v>
      </c>
      <c r="BM345" s="2">
        <v>19.636413467505601</v>
      </c>
      <c r="BN345" s="2">
        <v>11.6366653996638</v>
      </c>
      <c r="BO345" s="2">
        <v>15.8247845070849</v>
      </c>
      <c r="BP345" s="2">
        <v>9.6233145402724691</v>
      </c>
      <c r="BQ345" s="2">
        <v>14.9218028241376</v>
      </c>
      <c r="BR345" s="2">
        <v>16.691019782274701</v>
      </c>
      <c r="BS345" s="2">
        <v>18.851118383211102</v>
      </c>
      <c r="BT345" s="2">
        <v>15.4077978546187</v>
      </c>
      <c r="BU345" s="2">
        <v>17.040408420795899</v>
      </c>
      <c r="BV345" s="2">
        <v>11.7910326167557</v>
      </c>
      <c r="BW345" s="2">
        <v>9.6233145402724691</v>
      </c>
      <c r="BX345" s="2">
        <v>16.400727369064501</v>
      </c>
      <c r="BY345" s="2">
        <v>21.141149816012302</v>
      </c>
      <c r="BZ345" s="2">
        <v>9.6233145402724691</v>
      </c>
      <c r="CA345" s="2">
        <v>20.078072815347699</v>
      </c>
      <c r="CB345" s="2">
        <v>17.410678990635699</v>
      </c>
      <c r="CC345" s="2">
        <v>9.6233145402724691</v>
      </c>
      <c r="CD345" s="2">
        <v>17.8657484921319</v>
      </c>
      <c r="CE345" s="2">
        <v>9.6233145402724691</v>
      </c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</row>
    <row r="346" spans="1:97">
      <c r="A346" s="2" t="s">
        <v>3604</v>
      </c>
      <c r="B346" s="2">
        <v>432.31038000000001</v>
      </c>
      <c r="C346" s="2">
        <v>7.9459999999999997</v>
      </c>
      <c r="D346" s="2" t="s">
        <v>84</v>
      </c>
      <c r="E346" s="2" t="s">
        <v>3605</v>
      </c>
      <c r="F346" s="2" t="s">
        <v>3606</v>
      </c>
      <c r="G346" s="2">
        <v>46738</v>
      </c>
      <c r="H346" s="3" t="str">
        <f>HYPERLINK("https://cloud.oebiotech.com/#/lm/network/46738", "https://cloud.oebiotech.com/#/lm/network/46738")</f>
        <v>https://cloud.oebiotech.com/#/lm/network/46738</v>
      </c>
      <c r="I346" s="2" t="s">
        <v>3607</v>
      </c>
      <c r="J346" s="2">
        <v>57909</v>
      </c>
      <c r="K346" s="2" t="s">
        <v>3608</v>
      </c>
      <c r="L346" s="2">
        <v>12310288</v>
      </c>
      <c r="M346" s="2"/>
      <c r="N346" s="2"/>
      <c r="O346" s="2"/>
      <c r="P346" s="2">
        <v>89929</v>
      </c>
      <c r="Q346" s="2"/>
      <c r="R346" s="2"/>
      <c r="S346" s="2" t="s">
        <v>3609</v>
      </c>
      <c r="T346" s="2" t="s">
        <v>3610</v>
      </c>
      <c r="U346" s="2" t="s">
        <v>3611</v>
      </c>
      <c r="V346" s="2" t="s">
        <v>95</v>
      </c>
      <c r="W346" s="2" t="s">
        <v>152</v>
      </c>
      <c r="X346" s="2" t="s">
        <v>278</v>
      </c>
      <c r="Y346" s="2" t="s">
        <v>98</v>
      </c>
      <c r="Z346" s="2" t="s">
        <v>154</v>
      </c>
      <c r="AA346" s="2" t="s">
        <v>279</v>
      </c>
      <c r="AB346" s="2" t="s">
        <v>101</v>
      </c>
      <c r="AC346" s="2">
        <v>66.72</v>
      </c>
      <c r="AD346" s="2">
        <v>82.67</v>
      </c>
      <c r="AE346" s="2">
        <v>84.75</v>
      </c>
      <c r="AF346" s="2" t="s">
        <v>3612</v>
      </c>
      <c r="AG346" s="2" t="s">
        <v>1088</v>
      </c>
      <c r="AH346" s="2" t="s">
        <v>582</v>
      </c>
      <c r="AI346" s="2">
        <v>2.31</v>
      </c>
      <c r="AJ346" s="2">
        <v>19.962301512590699</v>
      </c>
      <c r="AK346" s="2">
        <v>19.9939646159456</v>
      </c>
      <c r="AL346" s="2">
        <v>19.8971043917347</v>
      </c>
      <c r="AM346" s="2">
        <v>19.982923170647901</v>
      </c>
      <c r="AN346" s="2">
        <v>20.204876695981099</v>
      </c>
      <c r="AO346" s="2">
        <v>20.085290622212401</v>
      </c>
      <c r="AP346" s="2">
        <v>19.5418416930648</v>
      </c>
      <c r="AQ346" s="2">
        <v>19.9956939175195</v>
      </c>
      <c r="AR346" s="2">
        <v>20.090727129907201</v>
      </c>
      <c r="AS346" s="2">
        <v>15.8813895552713</v>
      </c>
      <c r="AT346" s="2">
        <v>18.9660942898985</v>
      </c>
      <c r="AU346" s="2">
        <v>21.8791771405884</v>
      </c>
      <c r="AV346" s="2">
        <v>20.513410832584999</v>
      </c>
      <c r="AW346" s="2">
        <v>20.6453452695885</v>
      </c>
      <c r="AX346" s="2">
        <v>18.082606257640801</v>
      </c>
      <c r="AY346" s="2">
        <v>21.904200331123501</v>
      </c>
      <c r="AZ346" s="2">
        <v>18.436027879329501</v>
      </c>
      <c r="BA346" s="2">
        <v>18.313645189367399</v>
      </c>
      <c r="BB346" s="2">
        <v>19.4954014400268</v>
      </c>
      <c r="BC346" s="2">
        <v>17.4245557192896</v>
      </c>
      <c r="BD346" s="2">
        <v>20.947833889760702</v>
      </c>
      <c r="BE346" s="2">
        <v>21.8757004071282</v>
      </c>
      <c r="BF346" s="2">
        <v>20.2665689938468</v>
      </c>
      <c r="BG346" s="2">
        <v>15.753826276076</v>
      </c>
      <c r="BH346" s="2">
        <v>19.6746185255816</v>
      </c>
      <c r="BI346" s="2">
        <v>15.7293801681167</v>
      </c>
      <c r="BJ346" s="2">
        <v>20.913837527984601</v>
      </c>
      <c r="BK346" s="2">
        <v>17.5451179493664</v>
      </c>
      <c r="BL346" s="2">
        <v>18.7182988740044</v>
      </c>
      <c r="BM346" s="2">
        <v>19.8483693346835</v>
      </c>
      <c r="BN346" s="2">
        <v>19.837561167562999</v>
      </c>
      <c r="BO346" s="2">
        <v>17.4313055509799</v>
      </c>
      <c r="BP346" s="2">
        <v>20.594835529297999</v>
      </c>
      <c r="BQ346" s="2">
        <v>20.582982130885402</v>
      </c>
      <c r="BR346" s="2">
        <v>19.207310941561701</v>
      </c>
      <c r="BS346" s="2">
        <v>21.819560032074801</v>
      </c>
      <c r="BT346" s="2">
        <v>19.715485840284199</v>
      </c>
      <c r="BU346" s="2">
        <v>19.054164669234599</v>
      </c>
      <c r="BV346" s="2">
        <v>18.3761211912473</v>
      </c>
      <c r="BW346" s="2">
        <v>17.1853386986398</v>
      </c>
      <c r="BX346" s="2">
        <v>20.2832027325111</v>
      </c>
      <c r="BY346" s="2">
        <v>21.461644856523002</v>
      </c>
      <c r="BZ346" s="2">
        <v>20.5643365501986</v>
      </c>
      <c r="CA346" s="2">
        <v>16.489752803888301</v>
      </c>
      <c r="CB346" s="2">
        <v>19.860101291339401</v>
      </c>
      <c r="CC346" s="2">
        <v>17.243499616973299</v>
      </c>
      <c r="CD346" s="2">
        <v>20.180532434143799</v>
      </c>
      <c r="CE346" s="2">
        <v>15.030535239478599</v>
      </c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</row>
    <row r="347" spans="1:97">
      <c r="A347" s="2" t="s">
        <v>3613</v>
      </c>
      <c r="B347" s="2">
        <v>339.2534</v>
      </c>
      <c r="C347" s="2">
        <v>11.260999999999999</v>
      </c>
      <c r="D347" s="2" t="s">
        <v>146</v>
      </c>
      <c r="E347" s="2" t="s">
        <v>3614</v>
      </c>
      <c r="F347" s="2" t="s">
        <v>3615</v>
      </c>
      <c r="G347" s="2">
        <v>2266</v>
      </c>
      <c r="H347" s="3" t="str">
        <f>HYPERLINK("https://cloud.oebiotech.com/#/lm/network/2266", "https://cloud.oebiotech.com/#/lm/network/2266")</f>
        <v>https://cloud.oebiotech.com/#/lm/network/2266</v>
      </c>
      <c r="I347" s="2"/>
      <c r="J347" s="2">
        <v>74814</v>
      </c>
      <c r="K347" s="2" t="s">
        <v>3616</v>
      </c>
      <c r="L347" s="2">
        <v>5283023</v>
      </c>
      <c r="M347" s="2"/>
      <c r="N347" s="2"/>
      <c r="O347" s="2"/>
      <c r="P347" s="2"/>
      <c r="Q347" s="2"/>
      <c r="R347" s="2"/>
      <c r="S347" s="2"/>
      <c r="T347" s="2" t="s">
        <v>3617</v>
      </c>
      <c r="U347" s="2" t="s">
        <v>3618</v>
      </c>
      <c r="V347" s="2" t="s">
        <v>95</v>
      </c>
      <c r="W347" s="2" t="s">
        <v>96</v>
      </c>
      <c r="X347" s="2" t="s">
        <v>141</v>
      </c>
      <c r="Y347" s="2" t="s">
        <v>98</v>
      </c>
      <c r="Z347" s="2" t="s">
        <v>99</v>
      </c>
      <c r="AA347" s="2" t="s">
        <v>142</v>
      </c>
      <c r="AB347" s="2" t="s">
        <v>101</v>
      </c>
      <c r="AC347" s="2">
        <v>66.680000000000007</v>
      </c>
      <c r="AD347" s="2">
        <v>88.18</v>
      </c>
      <c r="AE347" s="2">
        <v>67.88</v>
      </c>
      <c r="AF347" s="2" t="s">
        <v>3619</v>
      </c>
      <c r="AG347" s="2" t="s">
        <v>993</v>
      </c>
      <c r="AH347" s="2" t="s">
        <v>3620</v>
      </c>
      <c r="AI347" s="2">
        <v>0.28999999999999998</v>
      </c>
      <c r="AJ347" s="2">
        <v>20.557216897111601</v>
      </c>
      <c r="AK347" s="2">
        <v>20.231535132635699</v>
      </c>
      <c r="AL347" s="2">
        <v>20.0056871252166</v>
      </c>
      <c r="AM347" s="2">
        <v>19.7628883686676</v>
      </c>
      <c r="AN347" s="2">
        <v>20.251260324155901</v>
      </c>
      <c r="AO347" s="2">
        <v>19.7762476007494</v>
      </c>
      <c r="AP347" s="2">
        <v>20.274688210447199</v>
      </c>
      <c r="AQ347" s="2">
        <v>20.279564550798501</v>
      </c>
      <c r="AR347" s="2">
        <v>20.474747658560901</v>
      </c>
      <c r="AS347" s="2">
        <v>19.132958908109501</v>
      </c>
      <c r="AT347" s="2">
        <v>20.0001745036814</v>
      </c>
      <c r="AU347" s="2">
        <v>19.7731293203604</v>
      </c>
      <c r="AV347" s="2">
        <v>20.543854459562301</v>
      </c>
      <c r="AW347" s="2">
        <v>19.988914790416299</v>
      </c>
      <c r="AX347" s="2">
        <v>19.782948329481901</v>
      </c>
      <c r="AY347" s="2">
        <v>20.138745816668301</v>
      </c>
      <c r="AZ347" s="2">
        <v>19.5136370854623</v>
      </c>
      <c r="BA347" s="2">
        <v>20.7514452051504</v>
      </c>
      <c r="BB347" s="2">
        <v>20.627779331425302</v>
      </c>
      <c r="BC347" s="2">
        <v>21.586086503668501</v>
      </c>
      <c r="BD347" s="2">
        <v>20.161730797998601</v>
      </c>
      <c r="BE347" s="2">
        <v>21.271802960396801</v>
      </c>
      <c r="BF347" s="2">
        <v>18.851523541702999</v>
      </c>
      <c r="BG347" s="2">
        <v>19.477874983535099</v>
      </c>
      <c r="BH347" s="2">
        <v>20.472745666608901</v>
      </c>
      <c r="BI347" s="2">
        <v>18.976625623469101</v>
      </c>
      <c r="BJ347" s="2">
        <v>21.634755314082501</v>
      </c>
      <c r="BK347" s="2">
        <v>19.717431035882498</v>
      </c>
      <c r="BL347" s="2">
        <v>19.194847539326901</v>
      </c>
      <c r="BM347" s="2">
        <v>20.567361651701699</v>
      </c>
      <c r="BN347" s="2">
        <v>20.078635702218602</v>
      </c>
      <c r="BO347" s="2">
        <v>19.577500008008101</v>
      </c>
      <c r="BP347" s="2">
        <v>19.799871349690601</v>
      </c>
      <c r="BQ347" s="2">
        <v>19.986303834587599</v>
      </c>
      <c r="BR347" s="2">
        <v>19.819710511070198</v>
      </c>
      <c r="BS347" s="2">
        <v>22.040003962652101</v>
      </c>
      <c r="BT347" s="2">
        <v>20.531911588183402</v>
      </c>
      <c r="BU347" s="2">
        <v>20.866912036880901</v>
      </c>
      <c r="BV347" s="2">
        <v>19.986738299256</v>
      </c>
      <c r="BW347" s="2">
        <v>20.147756917149501</v>
      </c>
      <c r="BX347" s="2">
        <v>20.005735816420099</v>
      </c>
      <c r="BY347" s="2">
        <v>21.347409647717399</v>
      </c>
      <c r="BZ347" s="2">
        <v>19.264473824376498</v>
      </c>
      <c r="CA347" s="2">
        <v>19.213872431357199</v>
      </c>
      <c r="CB347" s="2">
        <v>20.284097555412799</v>
      </c>
      <c r="CC347" s="2">
        <v>19.738974207403999</v>
      </c>
      <c r="CD347" s="2">
        <v>21.642224094325801</v>
      </c>
      <c r="CE347" s="2">
        <v>20.124234308315</v>
      </c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</row>
    <row r="348" spans="1:97">
      <c r="A348" s="2" t="s">
        <v>3621</v>
      </c>
      <c r="B348" s="2">
        <v>473.36158</v>
      </c>
      <c r="C348" s="2">
        <v>11.381</v>
      </c>
      <c r="D348" s="2" t="s">
        <v>84</v>
      </c>
      <c r="E348" s="2" t="s">
        <v>3622</v>
      </c>
      <c r="F348" s="2" t="s">
        <v>3623</v>
      </c>
      <c r="G348" s="2">
        <v>58528</v>
      </c>
      <c r="H348" s="3" t="str">
        <f>HYPERLINK("https://cloud.oebiotech.com/#/lm/network/58528", "https://cloud.oebiotech.com/#/lm/network/58528")</f>
        <v>https://cloud.oebiotech.com/#/lm/network/58528</v>
      </c>
      <c r="I348" s="2" t="s">
        <v>3624</v>
      </c>
      <c r="J348" s="2">
        <v>89999</v>
      </c>
      <c r="K348" s="2"/>
      <c r="L348" s="2">
        <v>12314516</v>
      </c>
      <c r="M348" s="2"/>
      <c r="N348" s="2"/>
      <c r="O348" s="2"/>
      <c r="P348" s="2">
        <v>169185</v>
      </c>
      <c r="Q348" s="2"/>
      <c r="R348" s="2"/>
      <c r="S348" s="2" t="s">
        <v>3625</v>
      </c>
      <c r="T348" s="2" t="s">
        <v>3626</v>
      </c>
      <c r="U348" s="2" t="s">
        <v>3627</v>
      </c>
      <c r="V348" s="2" t="s">
        <v>95</v>
      </c>
      <c r="W348" s="2" t="s">
        <v>180</v>
      </c>
      <c r="X348" s="2" t="s">
        <v>1790</v>
      </c>
      <c r="Y348" s="2" t="s">
        <v>98</v>
      </c>
      <c r="Z348" s="2" t="s">
        <v>182</v>
      </c>
      <c r="AA348" s="2" t="s">
        <v>1791</v>
      </c>
      <c r="AB348" s="2" t="s">
        <v>101</v>
      </c>
      <c r="AC348" s="2">
        <v>66.680000000000007</v>
      </c>
      <c r="AD348" s="2">
        <v>80</v>
      </c>
      <c r="AE348" s="2">
        <v>71.59</v>
      </c>
      <c r="AF348" s="2" t="s">
        <v>3628</v>
      </c>
      <c r="AG348" s="2" t="s">
        <v>103</v>
      </c>
      <c r="AH348" s="2" t="s">
        <v>3629</v>
      </c>
      <c r="AI348" s="2">
        <v>1.9</v>
      </c>
      <c r="AJ348" s="2">
        <v>19.694883762596799</v>
      </c>
      <c r="AK348" s="2">
        <v>19.680934878206699</v>
      </c>
      <c r="AL348" s="2">
        <v>19.319828059647602</v>
      </c>
      <c r="AM348" s="2">
        <v>19.7142922448249</v>
      </c>
      <c r="AN348" s="2">
        <v>19.777620454373899</v>
      </c>
      <c r="AO348" s="2">
        <v>19.261527808144201</v>
      </c>
      <c r="AP348" s="2">
        <v>19.315575326783701</v>
      </c>
      <c r="AQ348" s="2">
        <v>19.724583113156299</v>
      </c>
      <c r="AR348" s="2">
        <v>19.6629118716391</v>
      </c>
      <c r="AS348" s="2">
        <v>18.7061888136951</v>
      </c>
      <c r="AT348" s="2">
        <v>19.717668073492899</v>
      </c>
      <c r="AU348" s="2">
        <v>18.8494522309039</v>
      </c>
      <c r="AV348" s="2">
        <v>19.2663318530605</v>
      </c>
      <c r="AW348" s="2">
        <v>20.5015480630891</v>
      </c>
      <c r="AX348" s="2">
        <v>18.668208008297</v>
      </c>
      <c r="AY348" s="2">
        <v>21.147068689323302</v>
      </c>
      <c r="AZ348" s="2">
        <v>19.791953315503701</v>
      </c>
      <c r="BA348" s="2">
        <v>20.009378757257799</v>
      </c>
      <c r="BB348" s="2">
        <v>19.314458181918301</v>
      </c>
      <c r="BC348" s="2">
        <v>19.978284087162901</v>
      </c>
      <c r="BD348" s="2">
        <v>18.539038748167499</v>
      </c>
      <c r="BE348" s="2">
        <v>20.120225902429201</v>
      </c>
      <c r="BF348" s="2">
        <v>19.3120723990267</v>
      </c>
      <c r="BG348" s="2">
        <v>19.0797665587254</v>
      </c>
      <c r="BH348" s="2">
        <v>18.981381314232699</v>
      </c>
      <c r="BI348" s="2">
        <v>19.111263941571</v>
      </c>
      <c r="BJ348" s="2">
        <v>20.236703643268498</v>
      </c>
      <c r="BK348" s="2">
        <v>18.627868272596199</v>
      </c>
      <c r="BL348" s="2">
        <v>19.9149075648298</v>
      </c>
      <c r="BM348" s="2">
        <v>19.498212391604</v>
      </c>
      <c r="BN348" s="2">
        <v>19.689671947291199</v>
      </c>
      <c r="BO348" s="2">
        <v>19.403315348718401</v>
      </c>
      <c r="BP348" s="2">
        <v>19.245523205313798</v>
      </c>
      <c r="BQ348" s="2">
        <v>19.978553923698399</v>
      </c>
      <c r="BR348" s="2">
        <v>19.1408414760506</v>
      </c>
      <c r="BS348" s="2">
        <v>20.903064933615301</v>
      </c>
      <c r="BT348" s="2">
        <v>19.893429450478401</v>
      </c>
      <c r="BU348" s="2">
        <v>19.100527885888699</v>
      </c>
      <c r="BV348" s="2">
        <v>19.503175837048701</v>
      </c>
      <c r="BW348" s="2">
        <v>18.494674439532702</v>
      </c>
      <c r="BX348" s="2">
        <v>18.712598601431999</v>
      </c>
      <c r="BY348" s="2">
        <v>20.406913736645301</v>
      </c>
      <c r="BZ348" s="2">
        <v>19.1373079630952</v>
      </c>
      <c r="CA348" s="2">
        <v>18.888843383040001</v>
      </c>
      <c r="CB348" s="2">
        <v>16.5778517256642</v>
      </c>
      <c r="CC348" s="2">
        <v>18.916679244453</v>
      </c>
      <c r="CD348" s="2">
        <v>20.4708328242452</v>
      </c>
      <c r="CE348" s="2">
        <v>19.013729862567299</v>
      </c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</row>
    <row r="349" spans="1:97">
      <c r="A349" s="2" t="s">
        <v>3630</v>
      </c>
      <c r="B349" s="2">
        <v>540.33002999999997</v>
      </c>
      <c r="C349" s="2">
        <v>11.207000000000001</v>
      </c>
      <c r="D349" s="2" t="s">
        <v>146</v>
      </c>
      <c r="E349" s="2" t="s">
        <v>3631</v>
      </c>
      <c r="F349" s="2" t="s">
        <v>3632</v>
      </c>
      <c r="G349" s="2">
        <v>21253</v>
      </c>
      <c r="H349" s="3" t="str">
        <f>HYPERLINK("https://cloud.oebiotech.com/#/lm/network/21253", "https://cloud.oebiotech.com/#/lm/network/21253")</f>
        <v>https://cloud.oebiotech.com/#/lm/network/21253</v>
      </c>
      <c r="I349" s="2"/>
      <c r="J349" s="2"/>
      <c r="K349" s="2" t="s">
        <v>3633</v>
      </c>
      <c r="L349" s="2">
        <v>137323923</v>
      </c>
      <c r="M349" s="2"/>
      <c r="N349" s="2"/>
      <c r="O349" s="2"/>
      <c r="P349" s="2"/>
      <c r="Q349" s="2"/>
      <c r="R349" s="2"/>
      <c r="S349" s="2"/>
      <c r="T349" s="2" t="s">
        <v>3634</v>
      </c>
      <c r="U349" s="2" t="s">
        <v>3635</v>
      </c>
      <c r="V349" s="2" t="s">
        <v>95</v>
      </c>
      <c r="W349" s="2" t="s">
        <v>202</v>
      </c>
      <c r="X349" s="2" t="s">
        <v>327</v>
      </c>
      <c r="Y349" s="2" t="s">
        <v>98</v>
      </c>
      <c r="Z349" s="2" t="s">
        <v>204</v>
      </c>
      <c r="AA349" s="2" t="s">
        <v>328</v>
      </c>
      <c r="AB349" s="2" t="s">
        <v>101</v>
      </c>
      <c r="AC349" s="2">
        <v>66.66</v>
      </c>
      <c r="AD349" s="2">
        <v>83.3</v>
      </c>
      <c r="AE349" s="2">
        <v>82.04</v>
      </c>
      <c r="AF349" s="2" t="s">
        <v>3636</v>
      </c>
      <c r="AG349" s="2" t="s">
        <v>157</v>
      </c>
      <c r="AH349" s="2" t="s">
        <v>1348</v>
      </c>
      <c r="AI349" s="2">
        <v>1.3</v>
      </c>
      <c r="AJ349" s="2">
        <v>20.382366563419499</v>
      </c>
      <c r="AK349" s="2">
        <v>20.438077134938801</v>
      </c>
      <c r="AL349" s="2">
        <v>20.332013114170199</v>
      </c>
      <c r="AM349" s="2">
        <v>20.592094551395999</v>
      </c>
      <c r="AN349" s="2">
        <v>20.456129568117699</v>
      </c>
      <c r="AO349" s="2">
        <v>20.382499343056299</v>
      </c>
      <c r="AP349" s="2">
        <v>20.077769942298801</v>
      </c>
      <c r="AQ349" s="2">
        <v>20.665325862383501</v>
      </c>
      <c r="AR349" s="2">
        <v>19.279672942279699</v>
      </c>
      <c r="AS349" s="2">
        <v>19.095508003386801</v>
      </c>
      <c r="AT349" s="2">
        <v>19.423929404951402</v>
      </c>
      <c r="AU349" s="2">
        <v>19.9882611557647</v>
      </c>
      <c r="AV349" s="2">
        <v>19.7742341605293</v>
      </c>
      <c r="AW349" s="2">
        <v>20.0722172785587</v>
      </c>
      <c r="AX349" s="2">
        <v>19.9358832710342</v>
      </c>
      <c r="AY349" s="2">
        <v>19.9782222806353</v>
      </c>
      <c r="AZ349" s="2">
        <v>20.4506192097225</v>
      </c>
      <c r="BA349" s="2">
        <v>18.434996892245</v>
      </c>
      <c r="BB349" s="2">
        <v>20.003127064297701</v>
      </c>
      <c r="BC349" s="2">
        <v>20.987681001660601</v>
      </c>
      <c r="BD349" s="2">
        <v>20.036571546670999</v>
      </c>
      <c r="BE349" s="2">
        <v>20.5438206162003</v>
      </c>
      <c r="BF349" s="2">
        <v>20.084295871133001</v>
      </c>
      <c r="BG349" s="2">
        <v>20.423752803745099</v>
      </c>
      <c r="BH349" s="2">
        <v>19.679634329463699</v>
      </c>
      <c r="BI349" s="2">
        <v>19.553036448113701</v>
      </c>
      <c r="BJ349" s="2">
        <v>20.236064272926399</v>
      </c>
      <c r="BK349" s="2">
        <v>19.818416987155501</v>
      </c>
      <c r="BL349" s="2">
        <v>19.9131344959209</v>
      </c>
      <c r="BM349" s="2">
        <v>20.102769144196099</v>
      </c>
      <c r="BN349" s="2">
        <v>19.822200210851801</v>
      </c>
      <c r="BO349" s="2">
        <v>20.5605362306937</v>
      </c>
      <c r="BP349" s="2">
        <v>20.015008542908902</v>
      </c>
      <c r="BQ349" s="2">
        <v>19.740975028293001</v>
      </c>
      <c r="BR349" s="2">
        <v>20.8040710085013</v>
      </c>
      <c r="BS349" s="2">
        <v>20.464246663466401</v>
      </c>
      <c r="BT349" s="2">
        <v>19.348207746475602</v>
      </c>
      <c r="BU349" s="2">
        <v>19.6678356607732</v>
      </c>
      <c r="BV349" s="2">
        <v>19.3701783743997</v>
      </c>
      <c r="BW349" s="2">
        <v>16.854500262105201</v>
      </c>
      <c r="BX349" s="2">
        <v>18.041479327536901</v>
      </c>
      <c r="BY349" s="2">
        <v>20.345732176393799</v>
      </c>
      <c r="BZ349" s="2">
        <v>19.4347934971161</v>
      </c>
      <c r="CA349" s="2">
        <v>20.184338730254002</v>
      </c>
      <c r="CB349" s="2">
        <v>19.8452685638382</v>
      </c>
      <c r="CC349" s="2">
        <v>19.760044565509201</v>
      </c>
      <c r="CD349" s="2">
        <v>20.282105407943099</v>
      </c>
      <c r="CE349" s="2">
        <v>18.583997130412101</v>
      </c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</row>
    <row r="350" spans="1:97">
      <c r="A350" s="2" t="s">
        <v>3637</v>
      </c>
      <c r="B350" s="2">
        <v>349.23777000000001</v>
      </c>
      <c r="C350" s="2">
        <v>10.945</v>
      </c>
      <c r="D350" s="2" t="s">
        <v>146</v>
      </c>
      <c r="E350" s="2" t="s">
        <v>3638</v>
      </c>
      <c r="F350" s="2" t="s">
        <v>3639</v>
      </c>
      <c r="G350" s="2">
        <v>35984</v>
      </c>
      <c r="H350" s="3" t="str">
        <f>HYPERLINK("https://cloud.oebiotech.com/#/lm/network/35984", "https://cloud.oebiotech.com/#/lm/network/35984")</f>
        <v>https://cloud.oebiotech.com/#/lm/network/35984</v>
      </c>
      <c r="I350" s="2"/>
      <c r="J350" s="2">
        <v>53642</v>
      </c>
      <c r="K350" s="2" t="s">
        <v>3640</v>
      </c>
      <c r="L350" s="2">
        <v>42608226</v>
      </c>
      <c r="M350" s="2"/>
      <c r="N350" s="2"/>
      <c r="O350" s="2"/>
      <c r="P350" s="2"/>
      <c r="Q350" s="2"/>
      <c r="R350" s="2"/>
      <c r="S350" s="2"/>
      <c r="T350" s="2" t="s">
        <v>3641</v>
      </c>
      <c r="U350" s="2" t="s">
        <v>3642</v>
      </c>
      <c r="V350" s="2" t="s">
        <v>95</v>
      </c>
      <c r="W350" s="2" t="s">
        <v>180</v>
      </c>
      <c r="X350" s="2" t="s">
        <v>3643</v>
      </c>
      <c r="Y350" s="2" t="s">
        <v>98</v>
      </c>
      <c r="Z350" s="2" t="s">
        <v>182</v>
      </c>
      <c r="AA350" s="2" t="s">
        <v>3644</v>
      </c>
      <c r="AB350" s="2" t="s">
        <v>101</v>
      </c>
      <c r="AC350" s="2">
        <v>66.62</v>
      </c>
      <c r="AD350" s="2">
        <v>86.55</v>
      </c>
      <c r="AE350" s="2">
        <v>62.84</v>
      </c>
      <c r="AF350" s="2" t="s">
        <v>3645</v>
      </c>
      <c r="AG350" s="2" t="s">
        <v>157</v>
      </c>
      <c r="AH350" s="2" t="s">
        <v>220</v>
      </c>
      <c r="AI350" s="2">
        <v>1.72</v>
      </c>
      <c r="AJ350" s="2">
        <v>19.036447419534099</v>
      </c>
      <c r="AK350" s="2">
        <v>18.4630191627543</v>
      </c>
      <c r="AL350" s="2">
        <v>18.691763894150998</v>
      </c>
      <c r="AM350" s="2">
        <v>18.5488785259652</v>
      </c>
      <c r="AN350" s="2">
        <v>18.8683945829873</v>
      </c>
      <c r="AO350" s="2">
        <v>18.314826744005501</v>
      </c>
      <c r="AP350" s="2">
        <v>18.5898369862695</v>
      </c>
      <c r="AQ350" s="2">
        <v>18.5421387736132</v>
      </c>
      <c r="AR350" s="2">
        <v>18.1412057896516</v>
      </c>
      <c r="AS350" s="2">
        <v>18.300500524441802</v>
      </c>
      <c r="AT350" s="2">
        <v>17.856626618439801</v>
      </c>
      <c r="AU350" s="2">
        <v>18.386301593248401</v>
      </c>
      <c r="AV350" s="2">
        <v>19.136361857812702</v>
      </c>
      <c r="AW350" s="2">
        <v>19.031989020675699</v>
      </c>
      <c r="AX350" s="2">
        <v>18.589552109965201</v>
      </c>
      <c r="AY350" s="2">
        <v>20.2032357421547</v>
      </c>
      <c r="AZ350" s="2">
        <v>18.7471726550718</v>
      </c>
      <c r="BA350" s="2">
        <v>18.903769572012301</v>
      </c>
      <c r="BB350" s="2">
        <v>19.1410531280222</v>
      </c>
      <c r="BC350" s="2">
        <v>18.7789206715407</v>
      </c>
      <c r="BD350" s="2">
        <v>18.559011014893901</v>
      </c>
      <c r="BE350" s="2">
        <v>20.187052322380701</v>
      </c>
      <c r="BF350" s="2">
        <v>17.6740179494385</v>
      </c>
      <c r="BG350" s="2">
        <v>18.003208350364901</v>
      </c>
      <c r="BH350" s="2">
        <v>19.012272370887899</v>
      </c>
      <c r="BI350" s="2">
        <v>18.4780406474991</v>
      </c>
      <c r="BJ350" s="2">
        <v>19.048653748328199</v>
      </c>
      <c r="BK350" s="2">
        <v>17.796138116262401</v>
      </c>
      <c r="BL350" s="2">
        <v>17.759100879597</v>
      </c>
      <c r="BM350" s="2">
        <v>18.194018661534098</v>
      </c>
      <c r="BN350" s="2">
        <v>18.372012083844599</v>
      </c>
      <c r="BO350" s="2">
        <v>18.396065291779699</v>
      </c>
      <c r="BP350" s="2">
        <v>18.392266601501699</v>
      </c>
      <c r="BQ350" s="2">
        <v>18.709550368205601</v>
      </c>
      <c r="BR350" s="2">
        <v>18.2005488918205</v>
      </c>
      <c r="BS350" s="2">
        <v>20.512082863676198</v>
      </c>
      <c r="BT350" s="2">
        <v>18.567580138982098</v>
      </c>
      <c r="BU350" s="2">
        <v>19.0352500834375</v>
      </c>
      <c r="BV350" s="2">
        <v>19.049425370923899</v>
      </c>
      <c r="BW350" s="2">
        <v>18.088711647329401</v>
      </c>
      <c r="BX350" s="2">
        <v>18.549057655890898</v>
      </c>
      <c r="BY350" s="2">
        <v>20.272066008188901</v>
      </c>
      <c r="BZ350" s="2">
        <v>17.7686846495873</v>
      </c>
      <c r="CA350" s="2">
        <v>18.1040184488206</v>
      </c>
      <c r="CB350" s="2">
        <v>18.864461092286898</v>
      </c>
      <c r="CC350" s="2">
        <v>18.411483885918202</v>
      </c>
      <c r="CD350" s="2">
        <v>19.316012017858299</v>
      </c>
      <c r="CE350" s="2">
        <v>18.306067431779098</v>
      </c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</row>
    <row r="351" spans="1:97">
      <c r="A351" s="2" t="s">
        <v>3646</v>
      </c>
      <c r="B351" s="2">
        <v>314.23203999999998</v>
      </c>
      <c r="C351" s="2">
        <v>6.4930000000000003</v>
      </c>
      <c r="D351" s="2" t="s">
        <v>84</v>
      </c>
      <c r="E351" s="2" t="s">
        <v>3647</v>
      </c>
      <c r="F351" s="2" t="s">
        <v>3648</v>
      </c>
      <c r="G351" s="2">
        <v>205602</v>
      </c>
      <c r="H351" s="3" t="str">
        <f>HYPERLINK("https://cloud.oebiotech.com/#/lm/network/205602", "https://cloud.oebiotech.com/#/lm/network/205602")</f>
        <v>https://cloud.oebiotech.com/#/lm/network/205602</v>
      </c>
      <c r="I351" s="2" t="s">
        <v>3649</v>
      </c>
      <c r="J351" s="2"/>
      <c r="K351" s="2"/>
      <c r="L351" s="2">
        <v>129628702</v>
      </c>
      <c r="M351" s="2"/>
      <c r="N351" s="2"/>
      <c r="O351" s="2"/>
      <c r="P351" s="2"/>
      <c r="Q351" s="2"/>
      <c r="R351" s="2"/>
      <c r="S351" s="2"/>
      <c r="T351" s="2" t="s">
        <v>3650</v>
      </c>
      <c r="U351" s="2" t="s">
        <v>3651</v>
      </c>
      <c r="V351" s="2" t="s">
        <v>95</v>
      </c>
      <c r="W351" s="2" t="s">
        <v>96</v>
      </c>
      <c r="X351" s="2" t="s">
        <v>141</v>
      </c>
      <c r="Y351" s="2" t="s">
        <v>98</v>
      </c>
      <c r="Z351" s="2" t="s">
        <v>99</v>
      </c>
      <c r="AA351" s="2" t="s">
        <v>142</v>
      </c>
      <c r="AB351" s="2" t="s">
        <v>101</v>
      </c>
      <c r="AC351" s="2">
        <v>66.599999999999994</v>
      </c>
      <c r="AD351" s="2">
        <v>88.84</v>
      </c>
      <c r="AE351" s="2">
        <v>76.48</v>
      </c>
      <c r="AF351" s="2" t="s">
        <v>3652</v>
      </c>
      <c r="AG351" s="2" t="s">
        <v>103</v>
      </c>
      <c r="AH351" s="2" t="s">
        <v>540</v>
      </c>
      <c r="AI351" s="2">
        <v>1.91</v>
      </c>
      <c r="AJ351" s="2">
        <v>20.904471367339202</v>
      </c>
      <c r="AK351" s="2">
        <v>21.207913376247401</v>
      </c>
      <c r="AL351" s="2">
        <v>21.002270962419299</v>
      </c>
      <c r="AM351" s="2">
        <v>20.979624944065701</v>
      </c>
      <c r="AN351" s="2">
        <v>21.638402123410199</v>
      </c>
      <c r="AO351" s="2">
        <v>20.935337127282502</v>
      </c>
      <c r="AP351" s="2">
        <v>21.046462698056899</v>
      </c>
      <c r="AQ351" s="2">
        <v>21.034389751283001</v>
      </c>
      <c r="AR351" s="2">
        <v>18.878868371577202</v>
      </c>
      <c r="AS351" s="2">
        <v>20.089269998459901</v>
      </c>
      <c r="AT351" s="2">
        <v>20.467253256754901</v>
      </c>
      <c r="AU351" s="2">
        <v>21.022576542743799</v>
      </c>
      <c r="AV351" s="2">
        <v>19.698941139486401</v>
      </c>
      <c r="AW351" s="2">
        <v>21.949524713315299</v>
      </c>
      <c r="AX351" s="2">
        <v>20.949492386664701</v>
      </c>
      <c r="AY351" s="2">
        <v>22.623023138160299</v>
      </c>
      <c r="AZ351" s="2">
        <v>19.692616404059699</v>
      </c>
      <c r="BA351" s="2">
        <v>21.092145102235499</v>
      </c>
      <c r="BB351" s="2">
        <v>20.932559814656301</v>
      </c>
      <c r="BC351" s="2">
        <v>21.262746678832901</v>
      </c>
      <c r="BD351" s="2">
        <v>20.028016530184502</v>
      </c>
      <c r="BE351" s="2">
        <v>20.903098453588498</v>
      </c>
      <c r="BF351" s="2">
        <v>20.7757621716081</v>
      </c>
      <c r="BG351" s="2">
        <v>20.699708997385098</v>
      </c>
      <c r="BH351" s="2">
        <v>20.581738781078901</v>
      </c>
      <c r="BI351" s="2">
        <v>19.820204147517401</v>
      </c>
      <c r="BJ351" s="2">
        <v>21.194849047889001</v>
      </c>
      <c r="BK351" s="2">
        <v>19.6512473442675</v>
      </c>
      <c r="BL351" s="2">
        <v>18.998310554313299</v>
      </c>
      <c r="BM351" s="2">
        <v>20.3612150072079</v>
      </c>
      <c r="BN351" s="2">
        <v>21.235265421067002</v>
      </c>
      <c r="BO351" s="2">
        <v>20.414117215586501</v>
      </c>
      <c r="BP351" s="2">
        <v>20.182741488261499</v>
      </c>
      <c r="BQ351" s="2">
        <v>20.935843808353098</v>
      </c>
      <c r="BR351" s="2">
        <v>21.240235403699401</v>
      </c>
      <c r="BS351" s="2">
        <v>21.880034249395699</v>
      </c>
      <c r="BT351" s="2">
        <v>21.058497595788001</v>
      </c>
      <c r="BU351" s="2">
        <v>21.377128500411398</v>
      </c>
      <c r="BV351" s="2">
        <v>21.280127286332601</v>
      </c>
      <c r="BW351" s="2">
        <v>20.126506119388502</v>
      </c>
      <c r="BX351" s="2">
        <v>19.435081686027999</v>
      </c>
      <c r="BY351" s="2">
        <v>22.1274471706874</v>
      </c>
      <c r="BZ351" s="2">
        <v>21.0825529076143</v>
      </c>
      <c r="CA351" s="2">
        <v>19.840030638594602</v>
      </c>
      <c r="CB351" s="2">
        <v>20.1991059494128</v>
      </c>
      <c r="CC351" s="2">
        <v>20.539747713354199</v>
      </c>
      <c r="CD351" s="2">
        <v>20.819195277456799</v>
      </c>
      <c r="CE351" s="2">
        <v>20.159811926060598</v>
      </c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</row>
    <row r="352" spans="1:97">
      <c r="A352" s="2" t="s">
        <v>3653</v>
      </c>
      <c r="B352" s="2">
        <v>210.06056000000001</v>
      </c>
      <c r="C352" s="2">
        <v>1.0269999999999999</v>
      </c>
      <c r="D352" s="2" t="s">
        <v>84</v>
      </c>
      <c r="E352" s="2" t="s">
        <v>3654</v>
      </c>
      <c r="F352" s="2" t="s">
        <v>3655</v>
      </c>
      <c r="G352" s="2">
        <v>64895</v>
      </c>
      <c r="H352" s="3" t="str">
        <f>HYPERLINK("https://cloud.oebiotech.com/#/lm/network/64895", "https://cloud.oebiotech.com/#/lm/network/64895")</f>
        <v>https://cloud.oebiotech.com/#/lm/network/64895</v>
      </c>
      <c r="I352" s="2" t="s">
        <v>3656</v>
      </c>
      <c r="J352" s="2">
        <v>44758</v>
      </c>
      <c r="K352" s="2"/>
      <c r="L352" s="2">
        <v>122306</v>
      </c>
      <c r="M352" s="2"/>
      <c r="N352" s="2"/>
      <c r="O352" s="2"/>
      <c r="P352" s="2">
        <v>85805</v>
      </c>
      <c r="Q352" s="2"/>
      <c r="R352" s="2"/>
      <c r="S352" s="2" t="s">
        <v>3657</v>
      </c>
      <c r="T352" s="2" t="s">
        <v>3658</v>
      </c>
      <c r="U352" s="2" t="s">
        <v>3659</v>
      </c>
      <c r="V352" s="2" t="s">
        <v>553</v>
      </c>
      <c r="W352" s="2" t="s">
        <v>3480</v>
      </c>
      <c r="X352" s="2" t="s">
        <v>3481</v>
      </c>
      <c r="Y352" s="2" t="s">
        <v>556</v>
      </c>
      <c r="Z352" s="2" t="s">
        <v>3482</v>
      </c>
      <c r="AA352" s="2" t="s">
        <v>3483</v>
      </c>
      <c r="AB352" s="2" t="s">
        <v>101</v>
      </c>
      <c r="AC352" s="2">
        <v>66.59</v>
      </c>
      <c r="AD352" s="2">
        <v>95.42</v>
      </c>
      <c r="AE352" s="2">
        <v>64.459999999999994</v>
      </c>
      <c r="AF352" s="2" t="s">
        <v>3660</v>
      </c>
      <c r="AG352" s="2" t="s">
        <v>132</v>
      </c>
      <c r="AH352" s="2" t="s">
        <v>3165</v>
      </c>
      <c r="AI352" s="2">
        <v>0.95</v>
      </c>
      <c r="AJ352" s="2">
        <v>21.373387802948098</v>
      </c>
      <c r="AK352" s="2">
        <v>21.060441697132699</v>
      </c>
      <c r="AL352" s="2">
        <v>21.2267194386183</v>
      </c>
      <c r="AM352" s="2">
        <v>21.477672950492099</v>
      </c>
      <c r="AN352" s="2">
        <v>21.123991653522101</v>
      </c>
      <c r="AO352" s="2">
        <v>21.502335094991</v>
      </c>
      <c r="AP352" s="2">
        <v>21.534719425741098</v>
      </c>
      <c r="AQ352" s="2">
        <v>21.217514180874002</v>
      </c>
      <c r="AR352" s="2">
        <v>20.838938713998601</v>
      </c>
      <c r="AS352" s="2">
        <v>20.631478610186601</v>
      </c>
      <c r="AT352" s="2">
        <v>20.4264538150805</v>
      </c>
      <c r="AU352" s="2">
        <v>20.4652681573316</v>
      </c>
      <c r="AV352" s="2">
        <v>21.544318729961802</v>
      </c>
      <c r="AW352" s="2">
        <v>21.355224210815202</v>
      </c>
      <c r="AX352" s="2">
        <v>21.039375143121401</v>
      </c>
      <c r="AY352" s="2">
        <v>21.070288630992099</v>
      </c>
      <c r="AZ352" s="2">
        <v>21.247856911208601</v>
      </c>
      <c r="BA352" s="2">
        <v>20.6675757745362</v>
      </c>
      <c r="BB352" s="2">
        <v>20.907865197923801</v>
      </c>
      <c r="BC352" s="2">
        <v>20.516557740421099</v>
      </c>
      <c r="BD352" s="2">
        <v>21.16476017091</v>
      </c>
      <c r="BE352" s="2">
        <v>20.881895200458299</v>
      </c>
      <c r="BF352" s="2">
        <v>21.082741001200802</v>
      </c>
      <c r="BG352" s="2">
        <v>20.669127969964102</v>
      </c>
      <c r="BH352" s="2">
        <v>20.9367484744899</v>
      </c>
      <c r="BI352" s="2">
        <v>21.2217581474989</v>
      </c>
      <c r="BJ352" s="2">
        <v>21.720224912130199</v>
      </c>
      <c r="BK352" s="2">
        <v>20.69169759775</v>
      </c>
      <c r="BL352" s="2">
        <v>21.243281145186099</v>
      </c>
      <c r="BM352" s="2">
        <v>20.787331379019498</v>
      </c>
      <c r="BN352" s="2">
        <v>21.136816968274999</v>
      </c>
      <c r="BO352" s="2">
        <v>20.711160199565899</v>
      </c>
      <c r="BP352" s="2">
        <v>21.0074521211878</v>
      </c>
      <c r="BQ352" s="2">
        <v>21.449536856999</v>
      </c>
      <c r="BR352" s="2">
        <v>20.697136853713801</v>
      </c>
      <c r="BS352" s="2">
        <v>20.811066839184601</v>
      </c>
      <c r="BT352" s="2">
        <v>20.7826570704528</v>
      </c>
      <c r="BU352" s="2">
        <v>21.533850648852301</v>
      </c>
      <c r="BV352" s="2">
        <v>21.135661082753899</v>
      </c>
      <c r="BW352" s="2">
        <v>20.055498306662901</v>
      </c>
      <c r="BX352" s="2">
        <v>20.919683830372701</v>
      </c>
      <c r="BY352" s="2">
        <v>21.086260472170999</v>
      </c>
      <c r="BZ352" s="2">
        <v>20.662974047033298</v>
      </c>
      <c r="CA352" s="2">
        <v>20.256368091882699</v>
      </c>
      <c r="CB352" s="2">
        <v>20.256900740854601</v>
      </c>
      <c r="CC352" s="2">
        <v>20.893970861126899</v>
      </c>
      <c r="CD352" s="2">
        <v>21.220455200052601</v>
      </c>
      <c r="CE352" s="2">
        <v>21.2243707163491</v>
      </c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</row>
    <row r="353" spans="1:97">
      <c r="A353" s="2" t="s">
        <v>3661</v>
      </c>
      <c r="B353" s="2">
        <v>225.11279999999999</v>
      </c>
      <c r="C353" s="2">
        <v>6.4640000000000004</v>
      </c>
      <c r="D353" s="2" t="s">
        <v>146</v>
      </c>
      <c r="E353" s="2" t="s">
        <v>3662</v>
      </c>
      <c r="F353" s="2" t="s">
        <v>3663</v>
      </c>
      <c r="G353" s="2">
        <v>3365</v>
      </c>
      <c r="H353" s="3" t="str">
        <f>HYPERLINK("https://cloud.oebiotech.com/#/lm/network/3365", "https://cloud.oebiotech.com/#/lm/network/3365")</f>
        <v>https://cloud.oebiotech.com/#/lm/network/3365</v>
      </c>
      <c r="I353" s="2" t="s">
        <v>3664</v>
      </c>
      <c r="J353" s="2">
        <v>36075</v>
      </c>
      <c r="K353" s="2" t="s">
        <v>3665</v>
      </c>
      <c r="L353" s="2">
        <v>6443968</v>
      </c>
      <c r="M353" s="2"/>
      <c r="N353" s="2"/>
      <c r="O353" s="2"/>
      <c r="P353" s="2">
        <v>133220</v>
      </c>
      <c r="Q353" s="2"/>
      <c r="R353" s="2"/>
      <c r="S353" s="2"/>
      <c r="T353" s="2" t="s">
        <v>3666</v>
      </c>
      <c r="U353" s="2" t="s">
        <v>3667</v>
      </c>
      <c r="V353" s="2" t="s">
        <v>95</v>
      </c>
      <c r="W353" s="2" t="s">
        <v>96</v>
      </c>
      <c r="X353" s="2" t="s">
        <v>919</v>
      </c>
      <c r="Y353" s="2" t="s">
        <v>98</v>
      </c>
      <c r="Z353" s="2" t="s">
        <v>99</v>
      </c>
      <c r="AA353" s="2" t="s">
        <v>920</v>
      </c>
      <c r="AB353" s="2" t="s">
        <v>101</v>
      </c>
      <c r="AC353" s="2">
        <v>66.56</v>
      </c>
      <c r="AD353" s="2">
        <v>92.33</v>
      </c>
      <c r="AE353" s="2">
        <v>58.94</v>
      </c>
      <c r="AF353" s="2" t="s">
        <v>3668</v>
      </c>
      <c r="AG353" s="2" t="s">
        <v>194</v>
      </c>
      <c r="AH353" s="2" t="s">
        <v>3669</v>
      </c>
      <c r="AI353" s="2">
        <v>1.78</v>
      </c>
      <c r="AJ353" s="2">
        <v>19.4493547829201</v>
      </c>
      <c r="AK353" s="2">
        <v>19.4794184280527</v>
      </c>
      <c r="AL353" s="2">
        <v>19.564708393283901</v>
      </c>
      <c r="AM353" s="2">
        <v>19.4807982659114</v>
      </c>
      <c r="AN353" s="2">
        <v>19.4991928665664</v>
      </c>
      <c r="AO353" s="2">
        <v>19.4208505837445</v>
      </c>
      <c r="AP353" s="2">
        <v>19.1865185622115</v>
      </c>
      <c r="AQ353" s="2">
        <v>19.364181175152702</v>
      </c>
      <c r="AR353" s="2">
        <v>18.6968932439956</v>
      </c>
      <c r="AS353" s="2">
        <v>17.757457790375501</v>
      </c>
      <c r="AT353" s="2">
        <v>19.1253705601214</v>
      </c>
      <c r="AU353" s="2">
        <v>19.022134217759401</v>
      </c>
      <c r="AV353" s="2">
        <v>18.4251679902736</v>
      </c>
      <c r="AW353" s="2">
        <v>19.343728103499</v>
      </c>
      <c r="AX353" s="2">
        <v>19.019335098163701</v>
      </c>
      <c r="AY353" s="2">
        <v>20.143166920083399</v>
      </c>
      <c r="AZ353" s="2">
        <v>19.507644241960499</v>
      </c>
      <c r="BA353" s="2">
        <v>18.062583073512901</v>
      </c>
      <c r="BB353" s="2">
        <v>20.036507398434701</v>
      </c>
      <c r="BC353" s="2">
        <v>19.4804972343446</v>
      </c>
      <c r="BD353" s="2">
        <v>19.0592947859897</v>
      </c>
      <c r="BE353" s="2">
        <v>19.3896959688905</v>
      </c>
      <c r="BF353" s="2">
        <v>19.030108485903401</v>
      </c>
      <c r="BG353" s="2">
        <v>19.247455113095501</v>
      </c>
      <c r="BH353" s="2">
        <v>18.387252880109401</v>
      </c>
      <c r="BI353" s="2">
        <v>19.2099962065823</v>
      </c>
      <c r="BJ353" s="2">
        <v>19.147958740679201</v>
      </c>
      <c r="BK353" s="2">
        <v>19.168773833125002</v>
      </c>
      <c r="BL353" s="2">
        <v>18.4365990711654</v>
      </c>
      <c r="BM353" s="2">
        <v>18.267619827451998</v>
      </c>
      <c r="BN353" s="2">
        <v>18.8851839616697</v>
      </c>
      <c r="BO353" s="2">
        <v>19.736746116603101</v>
      </c>
      <c r="BP353" s="2">
        <v>18.9529952500659</v>
      </c>
      <c r="BQ353" s="2">
        <v>18.762279349710099</v>
      </c>
      <c r="BR353" s="2">
        <v>19.101497289708899</v>
      </c>
      <c r="BS353" s="2">
        <v>18.883213324851699</v>
      </c>
      <c r="BT353" s="2">
        <v>20.320003688217099</v>
      </c>
      <c r="BU353" s="2">
        <v>18.870279551966401</v>
      </c>
      <c r="BV353" s="2">
        <v>19.803146453659899</v>
      </c>
      <c r="BW353" s="2">
        <v>18.973737383320099</v>
      </c>
      <c r="BX353" s="2">
        <v>19.044339951102799</v>
      </c>
      <c r="BY353" s="2">
        <v>19.5673278632033</v>
      </c>
      <c r="BZ353" s="2">
        <v>20.044034823084999</v>
      </c>
      <c r="CA353" s="2">
        <v>18.257070164710701</v>
      </c>
      <c r="CB353" s="2">
        <v>18.229273828429498</v>
      </c>
      <c r="CC353" s="2">
        <v>18.726000240246901</v>
      </c>
      <c r="CD353" s="2">
        <v>19.674488361621599</v>
      </c>
      <c r="CE353" s="2">
        <v>19.846309894402399</v>
      </c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</row>
    <row r="354" spans="1:97">
      <c r="A354" s="2" t="s">
        <v>3670</v>
      </c>
      <c r="B354" s="2">
        <v>371.18912999999998</v>
      </c>
      <c r="C354" s="2">
        <v>7.3639999999999999</v>
      </c>
      <c r="D354" s="2" t="s">
        <v>146</v>
      </c>
      <c r="E354" s="2" t="s">
        <v>3671</v>
      </c>
      <c r="F354" s="2" t="s">
        <v>3672</v>
      </c>
      <c r="G354" s="2">
        <v>203162</v>
      </c>
      <c r="H354" s="3" t="str">
        <f>HYPERLINK("https://cloud.oebiotech.com/#/lm/network/203162", "https://cloud.oebiotech.com/#/lm/network/203162")</f>
        <v>https://cloud.oebiotech.com/#/lm/network/203162</v>
      </c>
      <c r="I354" s="2" t="s">
        <v>3673</v>
      </c>
      <c r="J354" s="2"/>
      <c r="K354" s="2"/>
      <c r="L354" s="2">
        <v>73744476</v>
      </c>
      <c r="M354" s="2"/>
      <c r="N354" s="2"/>
      <c r="O354" s="2"/>
      <c r="P354" s="2"/>
      <c r="Q354" s="2"/>
      <c r="R354" s="2"/>
      <c r="S354" s="2"/>
      <c r="T354" s="2" t="s">
        <v>3674</v>
      </c>
      <c r="U354" s="2" t="s">
        <v>3675</v>
      </c>
      <c r="V354" s="2" t="s">
        <v>95</v>
      </c>
      <c r="W354" s="2" t="s">
        <v>152</v>
      </c>
      <c r="X354" s="2" t="s">
        <v>1131</v>
      </c>
      <c r="Y354" s="2" t="s">
        <v>98</v>
      </c>
      <c r="Z354" s="2" t="s">
        <v>154</v>
      </c>
      <c r="AA354" s="2" t="s">
        <v>1132</v>
      </c>
      <c r="AB354" s="2" t="s">
        <v>101</v>
      </c>
      <c r="AC354" s="2">
        <v>66.56</v>
      </c>
      <c r="AD354" s="2">
        <v>84.49</v>
      </c>
      <c r="AE354" s="2">
        <v>64.290000000000006</v>
      </c>
      <c r="AF354" s="2" t="s">
        <v>3676</v>
      </c>
      <c r="AG354" s="2" t="s">
        <v>194</v>
      </c>
      <c r="AH354" s="2" t="s">
        <v>3677</v>
      </c>
      <c r="AI354" s="2">
        <v>1.89</v>
      </c>
      <c r="AJ354" s="2">
        <v>17.4876080009684</v>
      </c>
      <c r="AK354" s="2">
        <v>18.116919888564201</v>
      </c>
      <c r="AL354" s="2">
        <v>18.492420451067101</v>
      </c>
      <c r="AM354" s="2">
        <v>18.40917183837</v>
      </c>
      <c r="AN354" s="2">
        <v>18.572658560724999</v>
      </c>
      <c r="AO354" s="2">
        <v>17.9997621765479</v>
      </c>
      <c r="AP354" s="2">
        <v>18.188065182649598</v>
      </c>
      <c r="AQ354" s="2">
        <v>18.469195913728601</v>
      </c>
      <c r="AR354" s="2">
        <v>18.700523672865799</v>
      </c>
      <c r="AS354" s="2">
        <v>9.6233145402724691</v>
      </c>
      <c r="AT354" s="2">
        <v>17.6222588458721</v>
      </c>
      <c r="AU354" s="2">
        <v>17.7553438164027</v>
      </c>
      <c r="AV354" s="2">
        <v>18.985038706350601</v>
      </c>
      <c r="AW354" s="2">
        <v>19.6933235826104</v>
      </c>
      <c r="AX354" s="2">
        <v>19.329776808599298</v>
      </c>
      <c r="AY354" s="2">
        <v>19.6103249069238</v>
      </c>
      <c r="AZ354" s="2">
        <v>16.866113754686101</v>
      </c>
      <c r="BA354" s="2">
        <v>17.462676719768901</v>
      </c>
      <c r="BB354" s="2">
        <v>16.5006788328608</v>
      </c>
      <c r="BC354" s="2">
        <v>17.550887215893699</v>
      </c>
      <c r="BD354" s="2">
        <v>18.762015342161799</v>
      </c>
      <c r="BE354" s="2">
        <v>18.334473636005601</v>
      </c>
      <c r="BF354" s="2">
        <v>17.044448125486198</v>
      </c>
      <c r="BG354" s="2">
        <v>19.551534210564199</v>
      </c>
      <c r="BH354" s="2">
        <v>16.6842890771361</v>
      </c>
      <c r="BI354" s="2">
        <v>18.516535417359801</v>
      </c>
      <c r="BJ354" s="2">
        <v>17.743875413858198</v>
      </c>
      <c r="BK354" s="2">
        <v>18.621679097026799</v>
      </c>
      <c r="BL354" s="2">
        <v>18.847065943151701</v>
      </c>
      <c r="BM354" s="2">
        <v>9.6233145402724691</v>
      </c>
      <c r="BN354" s="2">
        <v>16.5975666722569</v>
      </c>
      <c r="BO354" s="2">
        <v>17.583105838447999</v>
      </c>
      <c r="BP354" s="2">
        <v>18.8786441081979</v>
      </c>
      <c r="BQ354" s="2">
        <v>18.9709466764063</v>
      </c>
      <c r="BR354" s="2">
        <v>19.173942542794901</v>
      </c>
      <c r="BS354" s="2">
        <v>18.9135636881065</v>
      </c>
      <c r="BT354" s="2">
        <v>15.681531072582199</v>
      </c>
      <c r="BU354" s="2">
        <v>15.9358710734627</v>
      </c>
      <c r="BV354" s="2">
        <v>12.146352287077001</v>
      </c>
      <c r="BW354" s="2">
        <v>17.6339497270375</v>
      </c>
      <c r="BX354" s="2">
        <v>18.5639002247798</v>
      </c>
      <c r="BY354" s="2">
        <v>18.944425853077998</v>
      </c>
      <c r="BZ354" s="2">
        <v>16.9548102931494</v>
      </c>
      <c r="CA354" s="2">
        <v>16.490804507235101</v>
      </c>
      <c r="CB354" s="2">
        <v>18.410313003229302</v>
      </c>
      <c r="CC354" s="2">
        <v>17.901527357494601</v>
      </c>
      <c r="CD354" s="2">
        <v>17.957805743895602</v>
      </c>
      <c r="CE354" s="2">
        <v>19.139115932206501</v>
      </c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</row>
    <row r="355" spans="1:97">
      <c r="A355" s="2" t="s">
        <v>3678</v>
      </c>
      <c r="B355" s="2">
        <v>387.25238999999999</v>
      </c>
      <c r="C355" s="2">
        <v>8.5660000000000007</v>
      </c>
      <c r="D355" s="2" t="s">
        <v>84</v>
      </c>
      <c r="E355" s="2" t="s">
        <v>3679</v>
      </c>
      <c r="F355" s="2" t="s">
        <v>3680</v>
      </c>
      <c r="G355" s="2">
        <v>46199</v>
      </c>
      <c r="H355" s="3" t="str">
        <f>HYPERLINK("https://cloud.oebiotech.com/#/lm/network/46199", "https://cloud.oebiotech.com/#/lm/network/46199")</f>
        <v>https://cloud.oebiotech.com/#/lm/network/46199</v>
      </c>
      <c r="I355" s="2"/>
      <c r="J355" s="2">
        <v>84651</v>
      </c>
      <c r="K355" s="2" t="s">
        <v>3681</v>
      </c>
      <c r="L355" s="2">
        <v>5284089</v>
      </c>
      <c r="M355" s="2"/>
      <c r="N355" s="2"/>
      <c r="O355" s="2"/>
      <c r="P355" s="2"/>
      <c r="Q355" s="2"/>
      <c r="R355" s="2"/>
      <c r="S355" s="2"/>
      <c r="T355" s="2" t="s">
        <v>3682</v>
      </c>
      <c r="U355" s="2" t="s">
        <v>3683</v>
      </c>
      <c r="V355" s="2" t="s">
        <v>95</v>
      </c>
      <c r="W355" s="2" t="s">
        <v>152</v>
      </c>
      <c r="X355" s="2" t="s">
        <v>153</v>
      </c>
      <c r="Y355" s="2" t="s">
        <v>98</v>
      </c>
      <c r="Z355" s="2" t="s">
        <v>154</v>
      </c>
      <c r="AA355" s="2" t="s">
        <v>155</v>
      </c>
      <c r="AB355" s="2" t="s">
        <v>101</v>
      </c>
      <c r="AC355" s="2">
        <v>66.540000000000006</v>
      </c>
      <c r="AD355" s="2">
        <v>97.18</v>
      </c>
      <c r="AE355" s="2">
        <v>49.68</v>
      </c>
      <c r="AF355" s="2" t="s">
        <v>3684</v>
      </c>
      <c r="AG355" s="2" t="s">
        <v>103</v>
      </c>
      <c r="AH355" s="2" t="s">
        <v>3685</v>
      </c>
      <c r="AI355" s="2">
        <v>1.55</v>
      </c>
      <c r="AJ355" s="2">
        <v>20.134259789295701</v>
      </c>
      <c r="AK355" s="2">
        <v>20.109139001635501</v>
      </c>
      <c r="AL355" s="2">
        <v>20.019401847099001</v>
      </c>
      <c r="AM355" s="2">
        <v>19.940929501947402</v>
      </c>
      <c r="AN355" s="2">
        <v>20.0237541502905</v>
      </c>
      <c r="AO355" s="2">
        <v>20.027774373468699</v>
      </c>
      <c r="AP355" s="2">
        <v>20.0537908319608</v>
      </c>
      <c r="AQ355" s="2">
        <v>20.0357581070047</v>
      </c>
      <c r="AR355" s="2">
        <v>19.317139269204102</v>
      </c>
      <c r="AS355" s="2">
        <v>16.848165546707499</v>
      </c>
      <c r="AT355" s="2">
        <v>20.734358804021898</v>
      </c>
      <c r="AU355" s="2">
        <v>19.6681901031785</v>
      </c>
      <c r="AV355" s="2">
        <v>19.901082766334099</v>
      </c>
      <c r="AW355" s="2">
        <v>19.1746094538025</v>
      </c>
      <c r="AX355" s="2">
        <v>20.489884014824</v>
      </c>
      <c r="AY355" s="2">
        <v>19.442357759823999</v>
      </c>
      <c r="AZ355" s="2">
        <v>17.379332165160001</v>
      </c>
      <c r="BA355" s="2">
        <v>19.414689632750498</v>
      </c>
      <c r="BB355" s="2">
        <v>19.368234165660098</v>
      </c>
      <c r="BC355" s="2">
        <v>21.683345771586598</v>
      </c>
      <c r="BD355" s="2">
        <v>17.5528382284655</v>
      </c>
      <c r="BE355" s="2">
        <v>19.742973686503099</v>
      </c>
      <c r="BF355" s="2">
        <v>18.353420777463199</v>
      </c>
      <c r="BG355" s="2">
        <v>20.289211417236899</v>
      </c>
      <c r="BH355" s="2">
        <v>18.682473511813001</v>
      </c>
      <c r="BI355" s="2">
        <v>21.2215639465058</v>
      </c>
      <c r="BJ355" s="2">
        <v>21.347290054066601</v>
      </c>
      <c r="BK355" s="2">
        <v>19.631221222497601</v>
      </c>
      <c r="BL355" s="2">
        <v>18.848820720440202</v>
      </c>
      <c r="BM355" s="2">
        <v>18.5396636478551</v>
      </c>
      <c r="BN355" s="2">
        <v>20.913686340034499</v>
      </c>
      <c r="BO355" s="2">
        <v>19.2315899277529</v>
      </c>
      <c r="BP355" s="2">
        <v>20.036530659542599</v>
      </c>
      <c r="BQ355" s="2">
        <v>19.976711520588701</v>
      </c>
      <c r="BR355" s="2">
        <v>20.715989857703001</v>
      </c>
      <c r="BS355" s="2">
        <v>19.681501647893398</v>
      </c>
      <c r="BT355" s="2">
        <v>17.7784986413543</v>
      </c>
      <c r="BU355" s="2">
        <v>19.856583354278101</v>
      </c>
      <c r="BV355" s="2">
        <v>19.908018712837301</v>
      </c>
      <c r="BW355" s="2">
        <v>20.0337319679732</v>
      </c>
      <c r="BX355" s="2">
        <v>17.778366515014699</v>
      </c>
      <c r="BY355" s="2">
        <v>20.811843476293099</v>
      </c>
      <c r="BZ355" s="2">
        <v>17.941448057321502</v>
      </c>
      <c r="CA355" s="2">
        <v>19.348229233030899</v>
      </c>
      <c r="CB355" s="2">
        <v>20.515888600708401</v>
      </c>
      <c r="CC355" s="2">
        <v>21.7586240192913</v>
      </c>
      <c r="CD355" s="2">
        <v>21.728855110173299</v>
      </c>
      <c r="CE355" s="2">
        <v>19.3945761543355</v>
      </c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</row>
    <row r="356" spans="1:97">
      <c r="A356" s="2" t="s">
        <v>3686</v>
      </c>
      <c r="B356" s="2">
        <v>293.17536000000001</v>
      </c>
      <c r="C356" s="2">
        <v>9.82</v>
      </c>
      <c r="D356" s="2" t="s">
        <v>146</v>
      </c>
      <c r="E356" s="2" t="s">
        <v>3687</v>
      </c>
      <c r="F356" s="2" t="s">
        <v>3688</v>
      </c>
      <c r="G356" s="2">
        <v>2532</v>
      </c>
      <c r="H356" s="3" t="str">
        <f>HYPERLINK("https://cloud.oebiotech.com/#/lm/network/2532", "https://cloud.oebiotech.com/#/lm/network/2532")</f>
        <v>https://cloud.oebiotech.com/#/lm/network/2532</v>
      </c>
      <c r="I356" s="2"/>
      <c r="J356" s="2">
        <v>45892</v>
      </c>
      <c r="K356" s="2" t="s">
        <v>3689</v>
      </c>
      <c r="L356" s="2">
        <v>42607291</v>
      </c>
      <c r="M356" s="2"/>
      <c r="N356" s="2"/>
      <c r="O356" s="2"/>
      <c r="P356" s="2"/>
      <c r="Q356" s="2"/>
      <c r="R356" s="2"/>
      <c r="S356" s="2"/>
      <c r="T356" s="2" t="s">
        <v>3690</v>
      </c>
      <c r="U356" s="2" t="s">
        <v>3691</v>
      </c>
      <c r="V356" s="2" t="s">
        <v>95</v>
      </c>
      <c r="W356" s="2" t="s">
        <v>96</v>
      </c>
      <c r="X356" s="2" t="s">
        <v>141</v>
      </c>
      <c r="Y356" s="2" t="s">
        <v>98</v>
      </c>
      <c r="Z356" s="2" t="s">
        <v>99</v>
      </c>
      <c r="AA356" s="2" t="s">
        <v>142</v>
      </c>
      <c r="AB356" s="2" t="s">
        <v>101</v>
      </c>
      <c r="AC356" s="2">
        <v>66.510000000000005</v>
      </c>
      <c r="AD356" s="2">
        <v>97.11</v>
      </c>
      <c r="AE356" s="2">
        <v>48.88</v>
      </c>
      <c r="AF356" s="2" t="s">
        <v>3692</v>
      </c>
      <c r="AG356" s="2" t="s">
        <v>157</v>
      </c>
      <c r="AH356" s="2" t="s">
        <v>2503</v>
      </c>
      <c r="AI356" s="2">
        <v>1.36</v>
      </c>
      <c r="AJ356" s="2">
        <v>21.457459407570099</v>
      </c>
      <c r="AK356" s="2">
        <v>21.665353003246899</v>
      </c>
      <c r="AL356" s="2">
        <v>21.940486054772201</v>
      </c>
      <c r="AM356" s="2">
        <v>22.038475136624001</v>
      </c>
      <c r="AN356" s="2">
        <v>22.0742662146329</v>
      </c>
      <c r="AO356" s="2">
        <v>21.610412046805401</v>
      </c>
      <c r="AP356" s="2">
        <v>21.758796561259999</v>
      </c>
      <c r="AQ356" s="2">
        <v>21.7237642156711</v>
      </c>
      <c r="AR356" s="2">
        <v>21.799546786354501</v>
      </c>
      <c r="AS356" s="2">
        <v>21.5224994574805</v>
      </c>
      <c r="AT356" s="2">
        <v>21.639477006014499</v>
      </c>
      <c r="AU356" s="2">
        <v>21.584693898438399</v>
      </c>
      <c r="AV356" s="2">
        <v>22.014744901966999</v>
      </c>
      <c r="AW356" s="2">
        <v>21.594459758211901</v>
      </c>
      <c r="AX356" s="2">
        <v>21.887235187726301</v>
      </c>
      <c r="AY356" s="2">
        <v>22.1304779582129</v>
      </c>
      <c r="AZ356" s="2">
        <v>21.294289747071701</v>
      </c>
      <c r="BA356" s="2">
        <v>21.819826562541699</v>
      </c>
      <c r="BB356" s="2">
        <v>21.8553011653459</v>
      </c>
      <c r="BC356" s="2">
        <v>21.606374093152802</v>
      </c>
      <c r="BD356" s="2">
        <v>21.017630678429601</v>
      </c>
      <c r="BE356" s="2">
        <v>22.0318541089622</v>
      </c>
      <c r="BF356" s="2">
        <v>21.6485219553647</v>
      </c>
      <c r="BG356" s="2">
        <v>21.7499954521851</v>
      </c>
      <c r="BH356" s="2">
        <v>21.702223416060502</v>
      </c>
      <c r="BI356" s="2">
        <v>21.6976187749083</v>
      </c>
      <c r="BJ356" s="2">
        <v>21.932817816978702</v>
      </c>
      <c r="BK356" s="2">
        <v>20.726016660182601</v>
      </c>
      <c r="BL356" s="2">
        <v>21.556598606635699</v>
      </c>
      <c r="BM356" s="2">
        <v>21.4877812294664</v>
      </c>
      <c r="BN356" s="2">
        <v>21.911794468852801</v>
      </c>
      <c r="BO356" s="2">
        <v>22.158348297226301</v>
      </c>
      <c r="BP356" s="2">
        <v>21.755997894119499</v>
      </c>
      <c r="BQ356" s="2">
        <v>21.697558460845201</v>
      </c>
      <c r="BR356" s="2">
        <v>21.845002411185401</v>
      </c>
      <c r="BS356" s="2">
        <v>22.203553967046201</v>
      </c>
      <c r="BT356" s="2">
        <v>21.627098396772599</v>
      </c>
      <c r="BU356" s="2">
        <v>21.890463874607001</v>
      </c>
      <c r="BV356" s="2">
        <v>21.926588641121899</v>
      </c>
      <c r="BW356" s="2">
        <v>21.949811250726299</v>
      </c>
      <c r="BX356" s="2">
        <v>21.940287996854</v>
      </c>
      <c r="BY356" s="2">
        <v>21.9875974933449</v>
      </c>
      <c r="BZ356" s="2">
        <v>21.761694994535102</v>
      </c>
      <c r="CA356" s="2">
        <v>21.995216812695698</v>
      </c>
      <c r="CB356" s="2">
        <v>21.9793661836759</v>
      </c>
      <c r="CC356" s="2">
        <v>21.872507157223001</v>
      </c>
      <c r="CD356" s="2">
        <v>21.7435307847175</v>
      </c>
      <c r="CE356" s="2">
        <v>22.043314987312201</v>
      </c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</row>
    <row r="357" spans="1:97">
      <c r="A357" s="2" t="s">
        <v>3693</v>
      </c>
      <c r="B357" s="2">
        <v>466.29311999999999</v>
      </c>
      <c r="C357" s="2">
        <v>11.045</v>
      </c>
      <c r="D357" s="2" t="s">
        <v>146</v>
      </c>
      <c r="E357" s="2" t="s">
        <v>3694</v>
      </c>
      <c r="F357" s="2" t="s">
        <v>3695</v>
      </c>
      <c r="G357" s="2">
        <v>21191</v>
      </c>
      <c r="H357" s="3" t="str">
        <f>HYPERLINK("https://cloud.oebiotech.com/#/lm/network/21191", "https://cloud.oebiotech.com/#/lm/network/21191")</f>
        <v>https://cloud.oebiotech.com/#/lm/network/21191</v>
      </c>
      <c r="I357" s="2" t="s">
        <v>3696</v>
      </c>
      <c r="J357" s="2">
        <v>77696</v>
      </c>
      <c r="K357" s="2" t="s">
        <v>3697</v>
      </c>
      <c r="L357" s="2">
        <v>52925149</v>
      </c>
      <c r="M357" s="2"/>
      <c r="N357" s="2"/>
      <c r="O357" s="2"/>
      <c r="P357" s="2">
        <v>84490</v>
      </c>
      <c r="Q357" s="2"/>
      <c r="R357" s="2"/>
      <c r="S357" s="2"/>
      <c r="T357" s="2" t="s">
        <v>3698</v>
      </c>
      <c r="U357" s="2" t="s">
        <v>3699</v>
      </c>
      <c r="V357" s="2" t="s">
        <v>95</v>
      </c>
      <c r="W357" s="2" t="s">
        <v>202</v>
      </c>
      <c r="X357" s="2" t="s">
        <v>327</v>
      </c>
      <c r="Y357" s="2" t="s">
        <v>98</v>
      </c>
      <c r="Z357" s="2" t="s">
        <v>204</v>
      </c>
      <c r="AA357" s="2" t="s">
        <v>328</v>
      </c>
      <c r="AB357" s="2" t="s">
        <v>101</v>
      </c>
      <c r="AC357" s="2">
        <v>66.489999999999995</v>
      </c>
      <c r="AD357" s="2">
        <v>97.28</v>
      </c>
      <c r="AE357" s="2">
        <v>66.75</v>
      </c>
      <c r="AF357" s="2" t="s">
        <v>3700</v>
      </c>
      <c r="AG357" s="2" t="s">
        <v>194</v>
      </c>
      <c r="AH357" s="2" t="s">
        <v>447</v>
      </c>
      <c r="AI357" s="2">
        <v>1.72</v>
      </c>
      <c r="AJ357" s="2">
        <v>18.976806360840602</v>
      </c>
      <c r="AK357" s="2">
        <v>18.427803096738899</v>
      </c>
      <c r="AL357" s="2">
        <v>18.622016740016701</v>
      </c>
      <c r="AM357" s="2">
        <v>18.6719290401306</v>
      </c>
      <c r="AN357" s="2">
        <v>18.477519230721398</v>
      </c>
      <c r="AO357" s="2">
        <v>18.4950453756359</v>
      </c>
      <c r="AP357" s="2">
        <v>18.426983555877602</v>
      </c>
      <c r="AQ357" s="2">
        <v>18.702863362617698</v>
      </c>
      <c r="AR357" s="2">
        <v>19.299898205386999</v>
      </c>
      <c r="AS357" s="2">
        <v>16.925500430516799</v>
      </c>
      <c r="AT357" s="2">
        <v>16.931236826741799</v>
      </c>
      <c r="AU357" s="2">
        <v>18.699426389829</v>
      </c>
      <c r="AV357" s="2">
        <v>17.9014858168524</v>
      </c>
      <c r="AW357" s="2">
        <v>18.1404447165257</v>
      </c>
      <c r="AX357" s="2">
        <v>18.4739654677823</v>
      </c>
      <c r="AY357" s="2">
        <v>18.3563561501763</v>
      </c>
      <c r="AZ357" s="2">
        <v>19.075959395113902</v>
      </c>
      <c r="BA357" s="2">
        <v>17.012971793953501</v>
      </c>
      <c r="BB357" s="2">
        <v>17.6568579028851</v>
      </c>
      <c r="BC357" s="2">
        <v>18.609119170613202</v>
      </c>
      <c r="BD357" s="2">
        <v>18.6035075449137</v>
      </c>
      <c r="BE357" s="2">
        <v>19.366437033549499</v>
      </c>
      <c r="BF357" s="2">
        <v>18.129660598190402</v>
      </c>
      <c r="BG357" s="2">
        <v>19.361374820150999</v>
      </c>
      <c r="BH357" s="2">
        <v>18.417836654578799</v>
      </c>
      <c r="BI357" s="2">
        <v>17.685770049046901</v>
      </c>
      <c r="BJ357" s="2">
        <v>18.099977341771201</v>
      </c>
      <c r="BK357" s="2">
        <v>17.599928964353602</v>
      </c>
      <c r="BL357" s="2">
        <v>18.397557447650598</v>
      </c>
      <c r="BM357" s="2">
        <v>18.6789227962777</v>
      </c>
      <c r="BN357" s="2">
        <v>18.231354092396199</v>
      </c>
      <c r="BO357" s="2">
        <v>18.730878630214001</v>
      </c>
      <c r="BP357" s="2">
        <v>18.861244237708298</v>
      </c>
      <c r="BQ357" s="2">
        <v>18.612435871507699</v>
      </c>
      <c r="BR357" s="2">
        <v>18.9321027869392</v>
      </c>
      <c r="BS357" s="2">
        <v>19.3366087191975</v>
      </c>
      <c r="BT357" s="2">
        <v>19.143242842165701</v>
      </c>
      <c r="BU357" s="2">
        <v>18.076237265590802</v>
      </c>
      <c r="BV357" s="2">
        <v>17.7680555162022</v>
      </c>
      <c r="BW357" s="2">
        <v>17.519650687092099</v>
      </c>
      <c r="BX357" s="2">
        <v>18.451392081422</v>
      </c>
      <c r="BY357" s="2">
        <v>18.8859690689705</v>
      </c>
      <c r="BZ357" s="2">
        <v>18.6058516753071</v>
      </c>
      <c r="CA357" s="2">
        <v>19.2011240564023</v>
      </c>
      <c r="CB357" s="2">
        <v>17.870226473951998</v>
      </c>
      <c r="CC357" s="2">
        <v>16.746931644079801</v>
      </c>
      <c r="CD357" s="2">
        <v>18.540667759834498</v>
      </c>
      <c r="CE357" s="2">
        <v>17.2473600488321</v>
      </c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</row>
    <row r="358" spans="1:97">
      <c r="A358" s="2" t="s">
        <v>3701</v>
      </c>
      <c r="B358" s="2">
        <v>450.29928000000001</v>
      </c>
      <c r="C358" s="2">
        <v>13.099</v>
      </c>
      <c r="D358" s="2" t="s">
        <v>84</v>
      </c>
      <c r="E358" s="2" t="s">
        <v>3702</v>
      </c>
      <c r="F358" s="2" t="s">
        <v>3703</v>
      </c>
      <c r="G358" s="2">
        <v>198583</v>
      </c>
      <c r="H358" s="3" t="str">
        <f>HYPERLINK("https://cloud.oebiotech.com/#/lm/network/198583", "https://cloud.oebiotech.com/#/lm/network/198583")</f>
        <v>https://cloud.oebiotech.com/#/lm/network/198583</v>
      </c>
      <c r="I358" s="2" t="s">
        <v>3704</v>
      </c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 t="s">
        <v>3705</v>
      </c>
      <c r="U358" s="2" t="s">
        <v>3706</v>
      </c>
      <c r="V358" s="2" t="s">
        <v>115</v>
      </c>
      <c r="W358" s="2" t="s">
        <v>116</v>
      </c>
      <c r="X358" s="2" t="s">
        <v>117</v>
      </c>
      <c r="Y358" s="2" t="s">
        <v>118</v>
      </c>
      <c r="Z358" s="2" t="s">
        <v>119</v>
      </c>
      <c r="AA358" s="2" t="s">
        <v>120</v>
      </c>
      <c r="AB358" s="2" t="s">
        <v>101</v>
      </c>
      <c r="AC358" s="2">
        <v>66.45</v>
      </c>
      <c r="AD358" s="2">
        <v>93.17</v>
      </c>
      <c r="AE358" s="2">
        <v>72.33</v>
      </c>
      <c r="AF358" s="2" t="s">
        <v>3707</v>
      </c>
      <c r="AG358" s="2" t="s">
        <v>103</v>
      </c>
      <c r="AH358" s="2" t="s">
        <v>3708</v>
      </c>
      <c r="AI358" s="2">
        <v>2.2200000000000002</v>
      </c>
      <c r="AJ358" s="2">
        <v>21.819568872521199</v>
      </c>
      <c r="AK358" s="2">
        <v>21.711525066052701</v>
      </c>
      <c r="AL358" s="2">
        <v>21.599456095176301</v>
      </c>
      <c r="AM358" s="2">
        <v>21.715760707973399</v>
      </c>
      <c r="AN358" s="2">
        <v>21.665964862311299</v>
      </c>
      <c r="AO358" s="2">
        <v>21.818529573584499</v>
      </c>
      <c r="AP358" s="2">
        <v>21.7155269679944</v>
      </c>
      <c r="AQ358" s="2">
        <v>21.784313118985501</v>
      </c>
      <c r="AR358" s="2">
        <v>20.9038075245676</v>
      </c>
      <c r="AS358" s="2">
        <v>20.083406479157901</v>
      </c>
      <c r="AT358" s="2">
        <v>21.358646243508701</v>
      </c>
      <c r="AU358" s="2">
        <v>20.2599389884641</v>
      </c>
      <c r="AV358" s="2">
        <v>21.2059606771208</v>
      </c>
      <c r="AW358" s="2">
        <v>21.115573554121799</v>
      </c>
      <c r="AX358" s="2">
        <v>21.2428853779363</v>
      </c>
      <c r="AY358" s="2">
        <v>21.7438027973588</v>
      </c>
      <c r="AZ358" s="2">
        <v>20.770760285604101</v>
      </c>
      <c r="BA358" s="2">
        <v>21.513872365274601</v>
      </c>
      <c r="BB358" s="2">
        <v>21.362823767414</v>
      </c>
      <c r="BC358" s="2">
        <v>21.524082559779199</v>
      </c>
      <c r="BD358" s="2">
        <v>22.031730477036799</v>
      </c>
      <c r="BE358" s="2">
        <v>20.6902324902535</v>
      </c>
      <c r="BF358" s="2">
        <v>20.627591699124299</v>
      </c>
      <c r="BG358" s="2">
        <v>21.3557017685965</v>
      </c>
      <c r="BH358" s="2">
        <v>20.9899616833229</v>
      </c>
      <c r="BI358" s="2">
        <v>21.180418778371799</v>
      </c>
      <c r="BJ358" s="2">
        <v>21.552189500826799</v>
      </c>
      <c r="BK358" s="2">
        <v>21.4768906738345</v>
      </c>
      <c r="BL358" s="2">
        <v>21.628909626647999</v>
      </c>
      <c r="BM358" s="2">
        <v>21.405685546348</v>
      </c>
      <c r="BN358" s="2">
        <v>21.920290806573998</v>
      </c>
      <c r="BO358" s="2">
        <v>20.672709265885899</v>
      </c>
      <c r="BP358" s="2">
        <v>21.802317617047301</v>
      </c>
      <c r="BQ358" s="2">
        <v>21.261498391038302</v>
      </c>
      <c r="BR358" s="2">
        <v>21.3077892336836</v>
      </c>
      <c r="BS358" s="2">
        <v>21.814852060497302</v>
      </c>
      <c r="BT358" s="2">
        <v>21.932405071857101</v>
      </c>
      <c r="BU358" s="2">
        <v>21.972677647399301</v>
      </c>
      <c r="BV358" s="2">
        <v>21.590906160171102</v>
      </c>
      <c r="BW358" s="2">
        <v>21.879846848716301</v>
      </c>
      <c r="BX358" s="2">
        <v>22.6832437345812</v>
      </c>
      <c r="BY358" s="2">
        <v>22.316875786216801</v>
      </c>
      <c r="BZ358" s="2">
        <v>21.334782373678699</v>
      </c>
      <c r="CA358" s="2">
        <v>21.544823603740198</v>
      </c>
      <c r="CB358" s="2">
        <v>20.2065284482713</v>
      </c>
      <c r="CC358" s="2">
        <v>21.505047076594899</v>
      </c>
      <c r="CD358" s="2">
        <v>21.7318348837637</v>
      </c>
      <c r="CE358" s="2">
        <v>22.279263073568799</v>
      </c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</row>
    <row r="359" spans="1:97">
      <c r="A359" s="2" t="s">
        <v>3709</v>
      </c>
      <c r="B359" s="2">
        <v>262.12826999999999</v>
      </c>
      <c r="C359" s="2">
        <v>1.0229999999999999</v>
      </c>
      <c r="D359" s="2" t="s">
        <v>84</v>
      </c>
      <c r="E359" s="2" t="s">
        <v>3710</v>
      </c>
      <c r="F359" s="2" t="s">
        <v>3711</v>
      </c>
      <c r="G359" s="2">
        <v>8363</v>
      </c>
      <c r="H359" s="3" t="str">
        <f>HYPERLINK("https://cloud.oebiotech.com/#/lm/network/8363", "https://cloud.oebiotech.com/#/lm/network/8363")</f>
        <v>https://cloud.oebiotech.com/#/lm/network/8363</v>
      </c>
      <c r="I359" s="2" t="s">
        <v>3712</v>
      </c>
      <c r="J359" s="2"/>
      <c r="K359" s="2" t="s">
        <v>3713</v>
      </c>
      <c r="L359" s="2">
        <v>53481628</v>
      </c>
      <c r="M359" s="2"/>
      <c r="N359" s="2"/>
      <c r="O359" s="2"/>
      <c r="P359" s="2"/>
      <c r="Q359" s="2"/>
      <c r="R359" s="2"/>
      <c r="S359" s="2"/>
      <c r="T359" s="2" t="s">
        <v>3714</v>
      </c>
      <c r="U359" s="2" t="s">
        <v>3715</v>
      </c>
      <c r="V359" s="2" t="s">
        <v>95</v>
      </c>
      <c r="W359" s="2" t="s">
        <v>96</v>
      </c>
      <c r="X359" s="2" t="s">
        <v>97</v>
      </c>
      <c r="Y359" s="2" t="s">
        <v>98</v>
      </c>
      <c r="Z359" s="2" t="s">
        <v>99</v>
      </c>
      <c r="AA359" s="2" t="s">
        <v>100</v>
      </c>
      <c r="AB359" s="2" t="s">
        <v>101</v>
      </c>
      <c r="AC359" s="2">
        <v>66.42</v>
      </c>
      <c r="AD359" s="2">
        <v>92.83</v>
      </c>
      <c r="AE359" s="2">
        <v>59.57</v>
      </c>
      <c r="AF359" s="2" t="s">
        <v>3716</v>
      </c>
      <c r="AG359" s="2" t="s">
        <v>103</v>
      </c>
      <c r="AH359" s="2" t="s">
        <v>3717</v>
      </c>
      <c r="AI359" s="2">
        <v>0.76</v>
      </c>
      <c r="AJ359" s="2">
        <v>18.962559867386801</v>
      </c>
      <c r="AK359" s="2">
        <v>18.5415840628552</v>
      </c>
      <c r="AL359" s="2">
        <v>18.8778391606591</v>
      </c>
      <c r="AM359" s="2">
        <v>18.654844618861102</v>
      </c>
      <c r="AN359" s="2">
        <v>18.879662126894001</v>
      </c>
      <c r="AO359" s="2">
        <v>19.1183701598992</v>
      </c>
      <c r="AP359" s="2">
        <v>19.057994233897301</v>
      </c>
      <c r="AQ359" s="2">
        <v>19.432409814214601</v>
      </c>
      <c r="AR359" s="2">
        <v>18.429005905427601</v>
      </c>
      <c r="AS359" s="2">
        <v>15.232549840549201</v>
      </c>
      <c r="AT359" s="2">
        <v>17.110142538086901</v>
      </c>
      <c r="AU359" s="2">
        <v>17.135747456905701</v>
      </c>
      <c r="AV359" s="2">
        <v>17.448781926681299</v>
      </c>
      <c r="AW359" s="2">
        <v>18.9318384723177</v>
      </c>
      <c r="AX359" s="2">
        <v>18.608524803826601</v>
      </c>
      <c r="AY359" s="2">
        <v>18.427358680667499</v>
      </c>
      <c r="AZ359" s="2">
        <v>17.742175072008699</v>
      </c>
      <c r="BA359" s="2">
        <v>18.361507639608099</v>
      </c>
      <c r="BB359" s="2">
        <v>18.624272459786699</v>
      </c>
      <c r="BC359" s="2">
        <v>18.584562271392699</v>
      </c>
      <c r="BD359" s="2">
        <v>18.323778970389402</v>
      </c>
      <c r="BE359" s="2">
        <v>17.8571837850028</v>
      </c>
      <c r="BF359" s="2">
        <v>18.110973168341602</v>
      </c>
      <c r="BG359" s="2">
        <v>18.946719353540502</v>
      </c>
      <c r="BH359" s="2">
        <v>18.098599534784601</v>
      </c>
      <c r="BI359" s="2">
        <v>19.7460519894783</v>
      </c>
      <c r="BJ359" s="2">
        <v>19.407225102919799</v>
      </c>
      <c r="BK359" s="2">
        <v>18.446315241768101</v>
      </c>
      <c r="BL359" s="2">
        <v>17.959942633331099</v>
      </c>
      <c r="BM359" s="2">
        <v>18.0201010930801</v>
      </c>
      <c r="BN359" s="2">
        <v>18.7874714791405</v>
      </c>
      <c r="BO359" s="2">
        <v>18.485170343843699</v>
      </c>
      <c r="BP359" s="2">
        <v>18.813990598482299</v>
      </c>
      <c r="BQ359" s="2">
        <v>19.0208241805712</v>
      </c>
      <c r="BR359" s="2">
        <v>18.3323277826122</v>
      </c>
      <c r="BS359" s="2">
        <v>18.6320467114713</v>
      </c>
      <c r="BT359" s="2">
        <v>18.697322045619199</v>
      </c>
      <c r="BU359" s="2">
        <v>18.674074448390201</v>
      </c>
      <c r="BV359" s="2">
        <v>18.498503789525</v>
      </c>
      <c r="BW359" s="2">
        <v>16.814788221521201</v>
      </c>
      <c r="BX359" s="2">
        <v>19.0298481360267</v>
      </c>
      <c r="BY359" s="2">
        <v>18.496658685245698</v>
      </c>
      <c r="BZ359" s="2">
        <v>18.3338196216833</v>
      </c>
      <c r="CA359" s="2">
        <v>18.764884999342701</v>
      </c>
      <c r="CB359" s="2">
        <v>17.114943538580299</v>
      </c>
      <c r="CC359" s="2">
        <v>19.2164839955107</v>
      </c>
      <c r="CD359" s="2">
        <v>19.230764733930702</v>
      </c>
      <c r="CE359" s="2">
        <v>18.6351987507201</v>
      </c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</row>
    <row r="360" spans="1:97">
      <c r="A360" s="2" t="s">
        <v>3718</v>
      </c>
      <c r="B360" s="2">
        <v>381.02803999999998</v>
      </c>
      <c r="C360" s="2">
        <v>5.93</v>
      </c>
      <c r="D360" s="2" t="s">
        <v>146</v>
      </c>
      <c r="E360" s="2" t="s">
        <v>3719</v>
      </c>
      <c r="F360" s="2" t="s">
        <v>3720</v>
      </c>
      <c r="G360" s="2">
        <v>197180</v>
      </c>
      <c r="H360" s="3" t="str">
        <f>HYPERLINK("https://cloud.oebiotech.com/#/lm/network/197180", "https://cloud.oebiotech.com/#/lm/network/197180")</f>
        <v>https://cloud.oebiotech.com/#/lm/network/197180</v>
      </c>
      <c r="I360" s="2" t="s">
        <v>3721</v>
      </c>
      <c r="J360" s="2"/>
      <c r="K360" s="2"/>
      <c r="L360" s="2">
        <v>125273135</v>
      </c>
      <c r="M360" s="2"/>
      <c r="N360" s="2"/>
      <c r="O360" s="2"/>
      <c r="P360" s="2"/>
      <c r="Q360" s="2"/>
      <c r="R360" s="2"/>
      <c r="S360" s="2"/>
      <c r="T360" s="2" t="s">
        <v>3722</v>
      </c>
      <c r="U360" s="2" t="s">
        <v>3723</v>
      </c>
      <c r="V360" s="2" t="s">
        <v>845</v>
      </c>
      <c r="W360" s="2" t="s">
        <v>1853</v>
      </c>
      <c r="X360" s="2" t="s">
        <v>1854</v>
      </c>
      <c r="Y360" s="2" t="s">
        <v>847</v>
      </c>
      <c r="Z360" s="2" t="s">
        <v>1855</v>
      </c>
      <c r="AA360" s="2" t="s">
        <v>1856</v>
      </c>
      <c r="AB360" s="2" t="s">
        <v>101</v>
      </c>
      <c r="AC360" s="2">
        <v>66.38</v>
      </c>
      <c r="AD360" s="2">
        <v>85.56</v>
      </c>
      <c r="AE360" s="2">
        <v>66.459999999999994</v>
      </c>
      <c r="AF360" s="2" t="s">
        <v>3724</v>
      </c>
      <c r="AG360" s="2" t="s">
        <v>194</v>
      </c>
      <c r="AH360" s="2" t="s">
        <v>3725</v>
      </c>
      <c r="AI360" s="2">
        <v>1.57</v>
      </c>
      <c r="AJ360" s="2">
        <v>18.890688482575701</v>
      </c>
      <c r="AK360" s="2">
        <v>18.903916729112002</v>
      </c>
      <c r="AL360" s="2">
        <v>18.8432024499098</v>
      </c>
      <c r="AM360" s="2">
        <v>18.903914552602298</v>
      </c>
      <c r="AN360" s="2">
        <v>18.8066709176044</v>
      </c>
      <c r="AO360" s="2">
        <v>18.854742369552898</v>
      </c>
      <c r="AP360" s="2">
        <v>18.743013491358798</v>
      </c>
      <c r="AQ360" s="2">
        <v>18.745706390683399</v>
      </c>
      <c r="AR360" s="2">
        <v>12.930561794059599</v>
      </c>
      <c r="AS360" s="2">
        <v>9.6233145402724691</v>
      </c>
      <c r="AT360" s="2">
        <v>9.6233145402724691</v>
      </c>
      <c r="AU360" s="2">
        <v>17.997684274119901</v>
      </c>
      <c r="AV360" s="2">
        <v>19.142745127201898</v>
      </c>
      <c r="AW360" s="2">
        <v>9.6233145402724691</v>
      </c>
      <c r="AX360" s="2">
        <v>16.261952573410198</v>
      </c>
      <c r="AY360" s="2">
        <v>9.6233145402724691</v>
      </c>
      <c r="AZ360" s="2">
        <v>17.786688689193401</v>
      </c>
      <c r="BA360" s="2">
        <v>9.6233145402724691</v>
      </c>
      <c r="BB360" s="2">
        <v>9.6233145402724691</v>
      </c>
      <c r="BC360" s="2">
        <v>9.6233145402724691</v>
      </c>
      <c r="BD360" s="2">
        <v>11.84838038454</v>
      </c>
      <c r="BE360" s="2">
        <v>9.6233145402724691</v>
      </c>
      <c r="BF360" s="2">
        <v>17.850466572030399</v>
      </c>
      <c r="BG360" s="2">
        <v>22.948713325108901</v>
      </c>
      <c r="BH360" s="2">
        <v>9.6233145402724691</v>
      </c>
      <c r="BI360" s="2">
        <v>9.6233145402724691</v>
      </c>
      <c r="BJ360" s="2">
        <v>9.6233145402724691</v>
      </c>
      <c r="BK360" s="2">
        <v>17.908714062191201</v>
      </c>
      <c r="BL360" s="2">
        <v>9.6233145402724691</v>
      </c>
      <c r="BM360" s="2">
        <v>9.6233145402724691</v>
      </c>
      <c r="BN360" s="2">
        <v>9.6233145402724691</v>
      </c>
      <c r="BO360" s="2">
        <v>18.517642132835402</v>
      </c>
      <c r="BP360" s="2">
        <v>20.737198151000001</v>
      </c>
      <c r="BQ360" s="2">
        <v>9.6233145402724691</v>
      </c>
      <c r="BR360" s="2">
        <v>9.6233145402724691</v>
      </c>
      <c r="BS360" s="2">
        <v>9.6233145402724691</v>
      </c>
      <c r="BT360" s="2">
        <v>14.816690696036501</v>
      </c>
      <c r="BU360" s="2">
        <v>9.6233145402724691</v>
      </c>
      <c r="BV360" s="2">
        <v>9.6233145402724691</v>
      </c>
      <c r="BW360" s="2">
        <v>9.6233145402724691</v>
      </c>
      <c r="BX360" s="2">
        <v>9.6233145402724691</v>
      </c>
      <c r="BY360" s="2">
        <v>19.872831644614301</v>
      </c>
      <c r="BZ360" s="2">
        <v>9.6233145402724691</v>
      </c>
      <c r="CA360" s="2">
        <v>14.161383860112</v>
      </c>
      <c r="CB360" s="2">
        <v>18.711586454180299</v>
      </c>
      <c r="CC360" s="2">
        <v>12.190266069634401</v>
      </c>
      <c r="CD360" s="2">
        <v>12.677301217022499</v>
      </c>
      <c r="CE360" s="2">
        <v>15.0257339284867</v>
      </c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</row>
    <row r="361" spans="1:97">
      <c r="A361" s="2" t="s">
        <v>3726</v>
      </c>
      <c r="B361" s="2">
        <v>508.33947000000001</v>
      </c>
      <c r="C361" s="2">
        <v>11.582000000000001</v>
      </c>
      <c r="D361" s="2" t="s">
        <v>146</v>
      </c>
      <c r="E361" s="2" t="s">
        <v>3727</v>
      </c>
      <c r="F361" s="2" t="s">
        <v>3728</v>
      </c>
      <c r="G361" s="2">
        <v>19833</v>
      </c>
      <c r="H361" s="3" t="str">
        <f>HYPERLINK("https://cloud.oebiotech.com/#/lm/network/19833", "https://cloud.oebiotech.com/#/lm/network/19833")</f>
        <v>https://cloud.oebiotech.com/#/lm/network/19833</v>
      </c>
      <c r="I361" s="2" t="s">
        <v>3729</v>
      </c>
      <c r="J361" s="2">
        <v>24068</v>
      </c>
      <c r="K361" s="2" t="s">
        <v>3730</v>
      </c>
      <c r="L361" s="2">
        <v>24779463</v>
      </c>
      <c r="M361" s="2" t="s">
        <v>264</v>
      </c>
      <c r="N361" s="2" t="s">
        <v>265</v>
      </c>
      <c r="O361" s="2" t="s">
        <v>266</v>
      </c>
      <c r="P361" s="2">
        <v>74340</v>
      </c>
      <c r="Q361" s="2"/>
      <c r="R361" s="2"/>
      <c r="S361" s="2" t="s">
        <v>3731</v>
      </c>
      <c r="T361" s="2" t="s">
        <v>3732</v>
      </c>
      <c r="U361" s="2" t="s">
        <v>3733</v>
      </c>
      <c r="V361" s="2" t="s">
        <v>95</v>
      </c>
      <c r="W361" s="2" t="s">
        <v>202</v>
      </c>
      <c r="X361" s="2" t="s">
        <v>203</v>
      </c>
      <c r="Y361" s="2" t="s">
        <v>98</v>
      </c>
      <c r="Z361" s="2" t="s">
        <v>204</v>
      </c>
      <c r="AA361" s="2" t="s">
        <v>205</v>
      </c>
      <c r="AB361" s="2" t="s">
        <v>101</v>
      </c>
      <c r="AC361" s="2">
        <v>66.349999999999994</v>
      </c>
      <c r="AD361" s="2">
        <v>94.91</v>
      </c>
      <c r="AE361" s="2">
        <v>76.69</v>
      </c>
      <c r="AF361" s="2" t="s">
        <v>3734</v>
      </c>
      <c r="AG361" s="2" t="s">
        <v>194</v>
      </c>
      <c r="AH361" s="2" t="s">
        <v>228</v>
      </c>
      <c r="AI361" s="2">
        <v>2.75</v>
      </c>
      <c r="AJ361" s="2">
        <v>21.9880571818811</v>
      </c>
      <c r="AK361" s="2">
        <v>21.779983977072</v>
      </c>
      <c r="AL361" s="2">
        <v>21.639546797008901</v>
      </c>
      <c r="AM361" s="2">
        <v>21.7074411516165</v>
      </c>
      <c r="AN361" s="2">
        <v>21.658843584358198</v>
      </c>
      <c r="AO361" s="2">
        <v>21.808776806593698</v>
      </c>
      <c r="AP361" s="2">
        <v>21.776447085049298</v>
      </c>
      <c r="AQ361" s="2">
        <v>21.835326217706498</v>
      </c>
      <c r="AR361" s="2">
        <v>22.345204683694501</v>
      </c>
      <c r="AS361" s="2">
        <v>20.461547761451602</v>
      </c>
      <c r="AT361" s="2">
        <v>21.161220947409401</v>
      </c>
      <c r="AU361" s="2">
        <v>21.634832085776701</v>
      </c>
      <c r="AV361" s="2">
        <v>21.304808007874801</v>
      </c>
      <c r="AW361" s="2">
        <v>20.789335926292399</v>
      </c>
      <c r="AX361" s="2">
        <v>21.769505414916701</v>
      </c>
      <c r="AY361" s="2">
        <v>21.405222092356599</v>
      </c>
      <c r="AZ361" s="2">
        <v>21.814689559639898</v>
      </c>
      <c r="BA361" s="2">
        <v>20.003987179420498</v>
      </c>
      <c r="BB361" s="2">
        <v>21.722473266485999</v>
      </c>
      <c r="BC361" s="2">
        <v>22.489819334281702</v>
      </c>
      <c r="BD361" s="2">
        <v>21.8152704322986</v>
      </c>
      <c r="BE361" s="2">
        <v>22.154702285661699</v>
      </c>
      <c r="BF361" s="2">
        <v>21.272557562311899</v>
      </c>
      <c r="BG361" s="2">
        <v>21.7960156029628</v>
      </c>
      <c r="BH361" s="2">
        <v>21.2642847109096</v>
      </c>
      <c r="BI361" s="2">
        <v>20.156997695183598</v>
      </c>
      <c r="BJ361" s="2">
        <v>21.513572393773</v>
      </c>
      <c r="BK361" s="2">
        <v>21.127529655079901</v>
      </c>
      <c r="BL361" s="2">
        <v>20.962726223669598</v>
      </c>
      <c r="BM361" s="2">
        <v>20.749923212628001</v>
      </c>
      <c r="BN361" s="2">
        <v>21.507383586804899</v>
      </c>
      <c r="BO361" s="2">
        <v>21.5716399146642</v>
      </c>
      <c r="BP361" s="2">
        <v>21.3552234471553</v>
      </c>
      <c r="BQ361" s="2">
        <v>21.531815259512701</v>
      </c>
      <c r="BR361" s="2">
        <v>20.965989227195699</v>
      </c>
      <c r="BS361" s="2">
        <v>21.833906437737401</v>
      </c>
      <c r="BT361" s="2">
        <v>21.578842300571502</v>
      </c>
      <c r="BU361" s="2">
        <v>21.411455671270001</v>
      </c>
      <c r="BV361" s="2">
        <v>22.0267330980856</v>
      </c>
      <c r="BW361" s="2">
        <v>20.914803305064499</v>
      </c>
      <c r="BX361" s="2">
        <v>21.651370971739201</v>
      </c>
      <c r="BY361" s="2">
        <v>21.663148771179799</v>
      </c>
      <c r="BZ361" s="2">
        <v>21.108957029683001</v>
      </c>
      <c r="CA361" s="2">
        <v>22.051729907395501</v>
      </c>
      <c r="CB361" s="2">
        <v>20.705153566475499</v>
      </c>
      <c r="CC361" s="2">
        <v>21.442994237982798</v>
      </c>
      <c r="CD361" s="2">
        <v>22.217698025018901</v>
      </c>
      <c r="CE361" s="2">
        <v>20.667272549399701</v>
      </c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</row>
    <row r="362" spans="1:97">
      <c r="A362" s="2" t="s">
        <v>3735</v>
      </c>
      <c r="B362" s="2">
        <v>300.28922999999998</v>
      </c>
      <c r="C362" s="2">
        <v>9.4269999999999996</v>
      </c>
      <c r="D362" s="2" t="s">
        <v>84</v>
      </c>
      <c r="E362" s="2" t="s">
        <v>3736</v>
      </c>
      <c r="F362" s="2" t="s">
        <v>3737</v>
      </c>
      <c r="G362" s="2">
        <v>38921</v>
      </c>
      <c r="H362" s="3" t="str">
        <f>HYPERLINK("https://cloud.oebiotech.com/#/lm/network/38921", "https://cloud.oebiotech.com/#/lm/network/38921")</f>
        <v>https://cloud.oebiotech.com/#/lm/network/38921</v>
      </c>
      <c r="I362" s="2" t="s">
        <v>3738</v>
      </c>
      <c r="J362" s="2"/>
      <c r="K362" s="2" t="s">
        <v>3739</v>
      </c>
      <c r="L362" s="2">
        <v>5280335</v>
      </c>
      <c r="M362" s="2" t="s">
        <v>3740</v>
      </c>
      <c r="N362" s="2" t="s">
        <v>3741</v>
      </c>
      <c r="O362" s="2" t="s">
        <v>3742</v>
      </c>
      <c r="P362" s="2">
        <v>16393</v>
      </c>
      <c r="Q362" s="2"/>
      <c r="R362" s="2"/>
      <c r="S362" s="2" t="s">
        <v>3743</v>
      </c>
      <c r="T362" s="2" t="s">
        <v>3744</v>
      </c>
      <c r="U362" s="2" t="s">
        <v>3745</v>
      </c>
      <c r="V362" s="2" t="s">
        <v>166</v>
      </c>
      <c r="W362" s="2" t="s">
        <v>167</v>
      </c>
      <c r="X362" s="2" t="s">
        <v>482</v>
      </c>
      <c r="Y362" s="2" t="s">
        <v>169</v>
      </c>
      <c r="Z362" s="2" t="s">
        <v>169</v>
      </c>
      <c r="AA362" s="2" t="s">
        <v>483</v>
      </c>
      <c r="AB362" s="2" t="s">
        <v>101</v>
      </c>
      <c r="AC362" s="2">
        <v>66.3</v>
      </c>
      <c r="AD362" s="2">
        <v>88.76</v>
      </c>
      <c r="AE362" s="2">
        <v>68.510000000000005</v>
      </c>
      <c r="AF362" s="2" t="s">
        <v>3746</v>
      </c>
      <c r="AG362" s="2" t="s">
        <v>103</v>
      </c>
      <c r="AH362" s="2" t="s">
        <v>3747</v>
      </c>
      <c r="AI362" s="2">
        <v>1.67</v>
      </c>
      <c r="AJ362" s="2">
        <v>20.3592702571549</v>
      </c>
      <c r="AK362" s="2">
        <v>20.453816055587101</v>
      </c>
      <c r="AL362" s="2">
        <v>20.247693789279499</v>
      </c>
      <c r="AM362" s="2">
        <v>20.3148453598887</v>
      </c>
      <c r="AN362" s="2">
        <v>20.429748459616899</v>
      </c>
      <c r="AO362" s="2">
        <v>20.4413025617405</v>
      </c>
      <c r="AP362" s="2">
        <v>20.5460264462419</v>
      </c>
      <c r="AQ362" s="2">
        <v>20.604508781202501</v>
      </c>
      <c r="AR362" s="2">
        <v>20.488575928020801</v>
      </c>
      <c r="AS362" s="2">
        <v>19.993641803653102</v>
      </c>
      <c r="AT362" s="2">
        <v>19.981016263462799</v>
      </c>
      <c r="AU362" s="2">
        <v>19.730343722020699</v>
      </c>
      <c r="AV362" s="2">
        <v>19.35643559228</v>
      </c>
      <c r="AW362" s="2">
        <v>19.9569648604047</v>
      </c>
      <c r="AX362" s="2">
        <v>20.416597322628601</v>
      </c>
      <c r="AY362" s="2">
        <v>18.976792211400699</v>
      </c>
      <c r="AZ362" s="2">
        <v>20.713323134838401</v>
      </c>
      <c r="BA362" s="2">
        <v>19.3626513171155</v>
      </c>
      <c r="BB362" s="2">
        <v>20.392238055679901</v>
      </c>
      <c r="BC362" s="2">
        <v>20.906373289129501</v>
      </c>
      <c r="BD362" s="2">
        <v>18.502217396873299</v>
      </c>
      <c r="BE362" s="2">
        <v>19.842038897793199</v>
      </c>
      <c r="BF362" s="2">
        <v>19.728968013114599</v>
      </c>
      <c r="BG362" s="2">
        <v>20.0917049599168</v>
      </c>
      <c r="BH362" s="2">
        <v>19.6737946051515</v>
      </c>
      <c r="BI362" s="2">
        <v>20.161176745023202</v>
      </c>
      <c r="BJ362" s="2">
        <v>20.582011325613799</v>
      </c>
      <c r="BK362" s="2">
        <v>19.562247959103502</v>
      </c>
      <c r="BL362" s="2">
        <v>19.296412572504199</v>
      </c>
      <c r="BM362" s="2">
        <v>19.0909581729649</v>
      </c>
      <c r="BN362" s="2">
        <v>19.6954409676969</v>
      </c>
      <c r="BO362" s="2">
        <v>19.382614106323899</v>
      </c>
      <c r="BP362" s="2">
        <v>20.559616151157599</v>
      </c>
      <c r="BQ362" s="2">
        <v>19.806607565121102</v>
      </c>
      <c r="BR362" s="2">
        <v>19.971205101950002</v>
      </c>
      <c r="BS362" s="2">
        <v>19.905043073442101</v>
      </c>
      <c r="BT362" s="2">
        <v>19.682122373026498</v>
      </c>
      <c r="BU362" s="2">
        <v>20.801357232298901</v>
      </c>
      <c r="BV362" s="2">
        <v>20.0234274854528</v>
      </c>
      <c r="BW362" s="2">
        <v>19.689630165432899</v>
      </c>
      <c r="BX362" s="2">
        <v>19.259053022279499</v>
      </c>
      <c r="BY362" s="2">
        <v>20.871488625120499</v>
      </c>
      <c r="BZ362" s="2">
        <v>19.6611954509623</v>
      </c>
      <c r="CA362" s="2">
        <v>19.369410271270102</v>
      </c>
      <c r="CB362" s="2">
        <v>19.917394633066301</v>
      </c>
      <c r="CC362" s="2">
        <v>20.377793064868101</v>
      </c>
      <c r="CD362" s="2">
        <v>21.0070742425501</v>
      </c>
      <c r="CE362" s="2">
        <v>19.785342738828401</v>
      </c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</row>
    <row r="363" spans="1:97">
      <c r="A363" s="2" t="s">
        <v>3748</v>
      </c>
      <c r="B363" s="2">
        <v>285.24295999999998</v>
      </c>
      <c r="C363" s="2">
        <v>12.864000000000001</v>
      </c>
      <c r="D363" s="2" t="s">
        <v>146</v>
      </c>
      <c r="E363" s="2" t="s">
        <v>3749</v>
      </c>
      <c r="F363" s="2" t="s">
        <v>3750</v>
      </c>
      <c r="G363" s="2">
        <v>6035</v>
      </c>
      <c r="H363" s="3" t="str">
        <f>HYPERLINK("https://cloud.oebiotech.com/#/lm/network/6035", "https://cloud.oebiotech.com/#/lm/network/6035")</f>
        <v>https://cloud.oebiotech.com/#/lm/network/6035</v>
      </c>
      <c r="I363" s="2"/>
      <c r="J363" s="2">
        <v>36512</v>
      </c>
      <c r="K363" s="2" t="s">
        <v>3751</v>
      </c>
      <c r="L363" s="2">
        <v>5283304</v>
      </c>
      <c r="M363" s="2"/>
      <c r="N363" s="2"/>
      <c r="O363" s="2"/>
      <c r="P363" s="2"/>
      <c r="Q363" s="2"/>
      <c r="R363" s="2"/>
      <c r="S363" s="2"/>
      <c r="T363" s="2" t="s">
        <v>3752</v>
      </c>
      <c r="U363" s="2" t="s">
        <v>3753</v>
      </c>
      <c r="V363" s="2" t="s">
        <v>95</v>
      </c>
      <c r="W363" s="2" t="s">
        <v>96</v>
      </c>
      <c r="X363" s="2" t="s">
        <v>353</v>
      </c>
      <c r="Y363" s="2" t="s">
        <v>98</v>
      </c>
      <c r="Z363" s="2" t="s">
        <v>99</v>
      </c>
      <c r="AA363" s="2" t="s">
        <v>354</v>
      </c>
      <c r="AB363" s="2" t="s">
        <v>101</v>
      </c>
      <c r="AC363" s="2">
        <v>66.290000000000006</v>
      </c>
      <c r="AD363" s="2">
        <v>89.47</v>
      </c>
      <c r="AE363" s="2">
        <v>57.67</v>
      </c>
      <c r="AF363" s="2" t="s">
        <v>3754</v>
      </c>
      <c r="AG363" s="2" t="s">
        <v>157</v>
      </c>
      <c r="AH363" s="2" t="s">
        <v>3755</v>
      </c>
      <c r="AI363" s="2">
        <v>1.75</v>
      </c>
      <c r="AJ363" s="2">
        <v>18.418574859728</v>
      </c>
      <c r="AK363" s="2">
        <v>18.576625689383899</v>
      </c>
      <c r="AL363" s="2">
        <v>18.718923129548902</v>
      </c>
      <c r="AM363" s="2">
        <v>18.911538632850501</v>
      </c>
      <c r="AN363" s="2">
        <v>18.7992367137015</v>
      </c>
      <c r="AO363" s="2">
        <v>18.6686228461142</v>
      </c>
      <c r="AP363" s="2">
        <v>18.7710761920283</v>
      </c>
      <c r="AQ363" s="2">
        <v>18.4796111093588</v>
      </c>
      <c r="AR363" s="2">
        <v>16.997373568241802</v>
      </c>
      <c r="AS363" s="2">
        <v>18.1862531135395</v>
      </c>
      <c r="AT363" s="2">
        <v>18.7433388273407</v>
      </c>
      <c r="AU363" s="2">
        <v>16.3403950154566</v>
      </c>
      <c r="AV363" s="2">
        <v>17.9774779360853</v>
      </c>
      <c r="AW363" s="2">
        <v>17.464801938687899</v>
      </c>
      <c r="AX363" s="2">
        <v>19.1508672913018</v>
      </c>
      <c r="AY363" s="2">
        <v>18.549896697433699</v>
      </c>
      <c r="AZ363" s="2">
        <v>17.951991202949301</v>
      </c>
      <c r="BA363" s="2">
        <v>18.110034487873499</v>
      </c>
      <c r="BB363" s="2">
        <v>18.738951817390301</v>
      </c>
      <c r="BC363" s="2">
        <v>19.574826560674801</v>
      </c>
      <c r="BD363" s="2">
        <v>18.346584629995402</v>
      </c>
      <c r="BE363" s="2">
        <v>19.376659139088101</v>
      </c>
      <c r="BF363" s="2">
        <v>18.6420084560053</v>
      </c>
      <c r="BG363" s="2">
        <v>19.117087557661101</v>
      </c>
      <c r="BH363" s="2">
        <v>18.3788642662964</v>
      </c>
      <c r="BI363" s="2">
        <v>18.761299819266402</v>
      </c>
      <c r="BJ363" s="2">
        <v>19.082789342631099</v>
      </c>
      <c r="BK363" s="2">
        <v>18.1257441477382</v>
      </c>
      <c r="BL363" s="2">
        <v>18.614173902235901</v>
      </c>
      <c r="BM363" s="2">
        <v>17.768119501828799</v>
      </c>
      <c r="BN363" s="2">
        <v>17.481569420754202</v>
      </c>
      <c r="BO363" s="2">
        <v>18.519871904599999</v>
      </c>
      <c r="BP363" s="2">
        <v>18.292762251177301</v>
      </c>
      <c r="BQ363" s="2">
        <v>17.612199852207699</v>
      </c>
      <c r="BR363" s="2">
        <v>18.670043125585099</v>
      </c>
      <c r="BS363" s="2">
        <v>17.975290071643499</v>
      </c>
      <c r="BT363" s="2">
        <v>17.914681302742601</v>
      </c>
      <c r="BU363" s="2">
        <v>18.838301513994001</v>
      </c>
      <c r="BV363" s="2">
        <v>18.047747413997801</v>
      </c>
      <c r="BW363" s="2">
        <v>17.089877362828201</v>
      </c>
      <c r="BX363" s="2">
        <v>16.766837632593599</v>
      </c>
      <c r="BY363" s="2">
        <v>19.473054802400998</v>
      </c>
      <c r="BZ363" s="2">
        <v>17.461930059233801</v>
      </c>
      <c r="CA363" s="2">
        <v>18.414589862189398</v>
      </c>
      <c r="CB363" s="2">
        <v>18.433207611668902</v>
      </c>
      <c r="CC363" s="2">
        <v>18.2117719204861</v>
      </c>
      <c r="CD363" s="2">
        <v>19.142275140833299</v>
      </c>
      <c r="CE363" s="2">
        <v>18.878937472270898</v>
      </c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</row>
    <row r="364" spans="1:97">
      <c r="A364" s="2" t="s">
        <v>3756</v>
      </c>
      <c r="B364" s="2">
        <v>439.16030000000001</v>
      </c>
      <c r="C364" s="2">
        <v>5.6539999999999999</v>
      </c>
      <c r="D364" s="2" t="s">
        <v>146</v>
      </c>
      <c r="E364" s="2" t="s">
        <v>3757</v>
      </c>
      <c r="F364" s="2" t="s">
        <v>3758</v>
      </c>
      <c r="G364" s="2">
        <v>58965</v>
      </c>
      <c r="H364" s="3" t="str">
        <f>HYPERLINK("https://cloud.oebiotech.com/#/lm/network/58965", "https://cloud.oebiotech.com/#/lm/network/58965")</f>
        <v>https://cloud.oebiotech.com/#/lm/network/58965</v>
      </c>
      <c r="I364" s="2" t="s">
        <v>3759</v>
      </c>
      <c r="J364" s="2"/>
      <c r="K364" s="2"/>
      <c r="L364" s="2">
        <v>25243967</v>
      </c>
      <c r="M364" s="2"/>
      <c r="N364" s="2"/>
      <c r="O364" s="2"/>
      <c r="P364" s="2"/>
      <c r="Q364" s="2"/>
      <c r="R364" s="2"/>
      <c r="S364" s="2" t="s">
        <v>3760</v>
      </c>
      <c r="T364" s="2" t="s">
        <v>3761</v>
      </c>
      <c r="U364" s="2" t="s">
        <v>3762</v>
      </c>
      <c r="V364" s="2" t="s">
        <v>95</v>
      </c>
      <c r="W364" s="2" t="s">
        <v>180</v>
      </c>
      <c r="X364" s="2" t="s">
        <v>3643</v>
      </c>
      <c r="Y364" s="2" t="s">
        <v>98</v>
      </c>
      <c r="Z364" s="2" t="s">
        <v>182</v>
      </c>
      <c r="AA364" s="2" t="s">
        <v>3644</v>
      </c>
      <c r="AB364" s="2" t="s">
        <v>101</v>
      </c>
      <c r="AC364" s="2">
        <v>66.290000000000006</v>
      </c>
      <c r="AD364" s="2">
        <v>85.56</v>
      </c>
      <c r="AE364" s="2">
        <v>76.3</v>
      </c>
      <c r="AF364" s="2" t="s">
        <v>3763</v>
      </c>
      <c r="AG364" s="2" t="s">
        <v>157</v>
      </c>
      <c r="AH364" s="2" t="s">
        <v>3764</v>
      </c>
      <c r="AI364" s="2">
        <v>1.59</v>
      </c>
      <c r="AJ364" s="2">
        <v>18.274736170716899</v>
      </c>
      <c r="AK364" s="2">
        <v>18.369528593760698</v>
      </c>
      <c r="AL364" s="2">
        <v>18.032982793233199</v>
      </c>
      <c r="AM364" s="2">
        <v>18.379887420929599</v>
      </c>
      <c r="AN364" s="2">
        <v>18.321833784774299</v>
      </c>
      <c r="AO364" s="2">
        <v>18.1924401976616</v>
      </c>
      <c r="AP364" s="2">
        <v>18.269451712911199</v>
      </c>
      <c r="AQ364" s="2">
        <v>18.145576660902101</v>
      </c>
      <c r="AR364" s="2">
        <v>19.355613576277399</v>
      </c>
      <c r="AS364" s="2">
        <v>14.112135655200399</v>
      </c>
      <c r="AT364" s="2">
        <v>17.6781261818162</v>
      </c>
      <c r="AU364" s="2">
        <v>17.902083768930499</v>
      </c>
      <c r="AV364" s="2">
        <v>18.581947574109201</v>
      </c>
      <c r="AW364" s="2">
        <v>18.611265043909899</v>
      </c>
      <c r="AX364" s="2">
        <v>16.713459013052301</v>
      </c>
      <c r="AY364" s="2">
        <v>17.040301602145899</v>
      </c>
      <c r="AZ364" s="2">
        <v>16.641459100263202</v>
      </c>
      <c r="BA364" s="2">
        <v>17.504417502250899</v>
      </c>
      <c r="BB364" s="2">
        <v>14.7291804547214</v>
      </c>
      <c r="BC364" s="2">
        <v>16.212842502327401</v>
      </c>
      <c r="BD364" s="2">
        <v>15.860592349147201</v>
      </c>
      <c r="BE364" s="2">
        <v>17.171165849144</v>
      </c>
      <c r="BF364" s="2">
        <v>14.7099518400466</v>
      </c>
      <c r="BG364" s="2">
        <v>15.8929869499833</v>
      </c>
      <c r="BH364" s="2">
        <v>13.4357522890987</v>
      </c>
      <c r="BI364" s="2">
        <v>17.774634133130199</v>
      </c>
      <c r="BJ364" s="2">
        <v>18.370039260701699</v>
      </c>
      <c r="BK364" s="2">
        <v>19.1031858529938</v>
      </c>
      <c r="BL364" s="2">
        <v>20.7786285500468</v>
      </c>
      <c r="BM364" s="2">
        <v>16.586942674808199</v>
      </c>
      <c r="BN364" s="2">
        <v>16.855083077231001</v>
      </c>
      <c r="BO364" s="2">
        <v>19.501532231770799</v>
      </c>
      <c r="BP364" s="2">
        <v>15.096748092355501</v>
      </c>
      <c r="BQ364" s="2">
        <v>19.544776173518699</v>
      </c>
      <c r="BR364" s="2">
        <v>14.9290577120985</v>
      </c>
      <c r="BS364" s="2">
        <v>18.364049264405001</v>
      </c>
      <c r="BT364" s="2">
        <v>16.887885656739201</v>
      </c>
      <c r="BU364" s="2">
        <v>17.327826631882299</v>
      </c>
      <c r="BV364" s="2">
        <v>15.207643149939001</v>
      </c>
      <c r="BW364" s="2">
        <v>9.6233145402724691</v>
      </c>
      <c r="BX364" s="2">
        <v>14.8457223139894</v>
      </c>
      <c r="BY364" s="2">
        <v>15.9525037507184</v>
      </c>
      <c r="BZ364" s="2">
        <v>15.1061298215684</v>
      </c>
      <c r="CA364" s="2">
        <v>15.4142303584558</v>
      </c>
      <c r="CB364" s="2">
        <v>17.5152667153213</v>
      </c>
      <c r="CC364" s="2">
        <v>15.465948326639699</v>
      </c>
      <c r="CD364" s="2">
        <v>16.712737494537201</v>
      </c>
      <c r="CE364" s="2">
        <v>20.257689983984999</v>
      </c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</row>
    <row r="365" spans="1:97">
      <c r="A365" s="2" t="s">
        <v>3765</v>
      </c>
      <c r="B365" s="2">
        <v>508.37560999999999</v>
      </c>
      <c r="C365" s="2">
        <v>11.135</v>
      </c>
      <c r="D365" s="2" t="s">
        <v>84</v>
      </c>
      <c r="E365" s="2" t="s">
        <v>3766</v>
      </c>
      <c r="F365" s="2" t="s">
        <v>3767</v>
      </c>
      <c r="G365" s="2">
        <v>19922</v>
      </c>
      <c r="H365" s="3" t="str">
        <f>HYPERLINK("https://cloud.oebiotech.com/#/lm/network/19922", "https://cloud.oebiotech.com/#/lm/network/19922")</f>
        <v>https://cloud.oebiotech.com/#/lm/network/19922</v>
      </c>
      <c r="I365" s="2" t="s">
        <v>3768</v>
      </c>
      <c r="J365" s="2">
        <v>40405</v>
      </c>
      <c r="K365" s="2" t="s">
        <v>3769</v>
      </c>
      <c r="L365" s="2">
        <v>24779527</v>
      </c>
      <c r="M365" s="2" t="s">
        <v>264</v>
      </c>
      <c r="N365" s="2" t="s">
        <v>265</v>
      </c>
      <c r="O365" s="2" t="s">
        <v>266</v>
      </c>
      <c r="P365" s="2">
        <v>133662</v>
      </c>
      <c r="Q365" s="2"/>
      <c r="R365" s="2"/>
      <c r="S365" s="2"/>
      <c r="T365" s="2" t="s">
        <v>3770</v>
      </c>
      <c r="U365" s="2" t="s">
        <v>3771</v>
      </c>
      <c r="V365" s="2" t="s">
        <v>95</v>
      </c>
      <c r="W365" s="2" t="s">
        <v>202</v>
      </c>
      <c r="X365" s="2" t="s">
        <v>203</v>
      </c>
      <c r="Y365" s="2" t="s">
        <v>98</v>
      </c>
      <c r="Z365" s="2" t="s">
        <v>204</v>
      </c>
      <c r="AA365" s="2" t="s">
        <v>205</v>
      </c>
      <c r="AB365" s="2" t="s">
        <v>101</v>
      </c>
      <c r="AC365" s="2">
        <v>66.28</v>
      </c>
      <c r="AD365" s="2">
        <v>98.25</v>
      </c>
      <c r="AE365" s="2">
        <v>66.489999999999995</v>
      </c>
      <c r="AF365" s="2" t="s">
        <v>3772</v>
      </c>
      <c r="AG365" s="2" t="s">
        <v>103</v>
      </c>
      <c r="AH365" s="2" t="s">
        <v>674</v>
      </c>
      <c r="AI365" s="2">
        <v>1.18</v>
      </c>
      <c r="AJ365" s="2">
        <v>25.195855442414398</v>
      </c>
      <c r="AK365" s="2">
        <v>25.249490493511001</v>
      </c>
      <c r="AL365" s="2">
        <v>25.285772195531202</v>
      </c>
      <c r="AM365" s="2">
        <v>25.202824740083202</v>
      </c>
      <c r="AN365" s="2">
        <v>25.270090193732202</v>
      </c>
      <c r="AO365" s="2">
        <v>25.217994237317701</v>
      </c>
      <c r="AP365" s="2">
        <v>25.303432915008401</v>
      </c>
      <c r="AQ365" s="2">
        <v>25.362555190292099</v>
      </c>
      <c r="AR365" s="2">
        <v>25.2017502831185</v>
      </c>
      <c r="AS365" s="2">
        <v>24.389727294158099</v>
      </c>
      <c r="AT365" s="2">
        <v>25.097239727683402</v>
      </c>
      <c r="AU365" s="2">
        <v>24.596906684521102</v>
      </c>
      <c r="AV365" s="2">
        <v>25.1785857944909</v>
      </c>
      <c r="AW365" s="2">
        <v>24.7791549231404</v>
      </c>
      <c r="AX365" s="2">
        <v>25.062980689124402</v>
      </c>
      <c r="AY365" s="2">
        <v>24.734450504077</v>
      </c>
      <c r="AZ365" s="2">
        <v>25.329203068911301</v>
      </c>
      <c r="BA365" s="2">
        <v>23.773076347079002</v>
      </c>
      <c r="BB365" s="2">
        <v>24.816980787331101</v>
      </c>
      <c r="BC365" s="2">
        <v>25.909862573768098</v>
      </c>
      <c r="BD365" s="2">
        <v>24.513893426971801</v>
      </c>
      <c r="BE365" s="2">
        <v>25.542584236372399</v>
      </c>
      <c r="BF365" s="2">
        <v>24.820204090048801</v>
      </c>
      <c r="BG365" s="2">
        <v>25.2530647306018</v>
      </c>
      <c r="BH365" s="2">
        <v>25.876595207408901</v>
      </c>
      <c r="BI365" s="2">
        <v>24.756169021441998</v>
      </c>
      <c r="BJ365" s="2">
        <v>24.8992412581207</v>
      </c>
      <c r="BK365" s="2">
        <v>24.570495241977099</v>
      </c>
      <c r="BL365" s="2">
        <v>25.153779689566299</v>
      </c>
      <c r="BM365" s="2">
        <v>25.169548137853901</v>
      </c>
      <c r="BN365" s="2">
        <v>25.3816960470811</v>
      </c>
      <c r="BO365" s="2">
        <v>25.167158224294699</v>
      </c>
      <c r="BP365" s="2">
        <v>25.3263610706516</v>
      </c>
      <c r="BQ365" s="2">
        <v>25.370150565440799</v>
      </c>
      <c r="BR365" s="2">
        <v>25.397653317120799</v>
      </c>
      <c r="BS365" s="2">
        <v>25.186745727096699</v>
      </c>
      <c r="BT365" s="2">
        <v>25.640006502876801</v>
      </c>
      <c r="BU365" s="2">
        <v>25.151234778648199</v>
      </c>
      <c r="BV365" s="2">
        <v>25.459344068681499</v>
      </c>
      <c r="BW365" s="2">
        <v>25.1145140733483</v>
      </c>
      <c r="BX365" s="2">
        <v>25.0488248413292</v>
      </c>
      <c r="BY365" s="2">
        <v>25.9101481560708</v>
      </c>
      <c r="BZ365" s="2">
        <v>24.8456337162431</v>
      </c>
      <c r="CA365" s="2">
        <v>24.9698654928442</v>
      </c>
      <c r="CB365" s="2">
        <v>24.660093521462301</v>
      </c>
      <c r="CC365" s="2">
        <v>24.282452749073201</v>
      </c>
      <c r="CD365" s="2">
        <v>25.389879301902202</v>
      </c>
      <c r="CE365" s="2">
        <v>24.5130651748571</v>
      </c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</row>
    <row r="366" spans="1:97">
      <c r="A366" s="2" t="s">
        <v>3773</v>
      </c>
      <c r="B366" s="2">
        <v>227.20117999999999</v>
      </c>
      <c r="C366" s="2">
        <v>12.358000000000001</v>
      </c>
      <c r="D366" s="2" t="s">
        <v>146</v>
      </c>
      <c r="E366" s="2" t="s">
        <v>3774</v>
      </c>
      <c r="F366" s="2" t="s">
        <v>3775</v>
      </c>
      <c r="G366" s="2">
        <v>61</v>
      </c>
      <c r="H366" s="3" t="str">
        <f>HYPERLINK("https://cloud.oebiotech.com/#/lm/network/61", "https://cloud.oebiotech.com/#/lm/network/61")</f>
        <v>https://cloud.oebiotech.com/#/lm/network/61</v>
      </c>
      <c r="I366" s="2" t="s">
        <v>3776</v>
      </c>
      <c r="J366" s="2">
        <v>196</v>
      </c>
      <c r="K366" s="2" t="s">
        <v>3777</v>
      </c>
      <c r="L366" s="2">
        <v>11005</v>
      </c>
      <c r="M366" s="2" t="s">
        <v>3778</v>
      </c>
      <c r="N366" s="2" t="s">
        <v>3779</v>
      </c>
      <c r="O366" s="2" t="s">
        <v>3780</v>
      </c>
      <c r="P366" s="2">
        <v>28875</v>
      </c>
      <c r="Q366" s="2" t="s">
        <v>3781</v>
      </c>
      <c r="R366" s="2" t="s">
        <v>3782</v>
      </c>
      <c r="S366" s="2" t="s">
        <v>3783</v>
      </c>
      <c r="T366" s="2" t="s">
        <v>3784</v>
      </c>
      <c r="U366" s="2" t="s">
        <v>3785</v>
      </c>
      <c r="V366" s="2" t="s">
        <v>95</v>
      </c>
      <c r="W366" s="2" t="s">
        <v>96</v>
      </c>
      <c r="X366" s="2" t="s">
        <v>141</v>
      </c>
      <c r="Y366" s="2" t="s">
        <v>98</v>
      </c>
      <c r="Z366" s="2" t="s">
        <v>99</v>
      </c>
      <c r="AA366" s="2" t="s">
        <v>142</v>
      </c>
      <c r="AB366" s="2" t="s">
        <v>101</v>
      </c>
      <c r="AC366" s="2">
        <v>66.25</v>
      </c>
      <c r="AD366" s="2">
        <v>91.46</v>
      </c>
      <c r="AE366" s="2">
        <v>56.3</v>
      </c>
      <c r="AF366" s="2" t="s">
        <v>3786</v>
      </c>
      <c r="AG366" s="2" t="s">
        <v>194</v>
      </c>
      <c r="AH366" s="2" t="s">
        <v>3787</v>
      </c>
      <c r="AI366" s="2">
        <v>2.2000000000000002</v>
      </c>
      <c r="AJ366" s="2">
        <v>17.052420628061199</v>
      </c>
      <c r="AK366" s="2">
        <v>17.332083677914898</v>
      </c>
      <c r="AL366" s="2">
        <v>17.321038375856901</v>
      </c>
      <c r="AM366" s="2">
        <v>17.283011190367201</v>
      </c>
      <c r="AN366" s="2">
        <v>17.393783256797601</v>
      </c>
      <c r="AO366" s="2">
        <v>17.546006138828101</v>
      </c>
      <c r="AP366" s="2">
        <v>17.8519990200524</v>
      </c>
      <c r="AQ366" s="2">
        <v>17.4213345916686</v>
      </c>
      <c r="AR366" s="2">
        <v>15.905704769110701</v>
      </c>
      <c r="AS366" s="2">
        <v>15.905985809785401</v>
      </c>
      <c r="AT366" s="2">
        <v>17.7504747432423</v>
      </c>
      <c r="AU366" s="2">
        <v>17.546970100546599</v>
      </c>
      <c r="AV366" s="2">
        <v>16.675315211674501</v>
      </c>
      <c r="AW366" s="2">
        <v>15.2311026516032</v>
      </c>
      <c r="AX366" s="2">
        <v>17.362456019039399</v>
      </c>
      <c r="AY366" s="2">
        <v>15.6536663360503</v>
      </c>
      <c r="AZ366" s="2">
        <v>15.4899558073935</v>
      </c>
      <c r="BA366" s="2">
        <v>17.561638193012001</v>
      </c>
      <c r="BB366" s="2">
        <v>16.4942108892118</v>
      </c>
      <c r="BC366" s="2">
        <v>17.711874569175801</v>
      </c>
      <c r="BD366" s="2">
        <v>15.088956725458001</v>
      </c>
      <c r="BE366" s="2">
        <v>16.066105592272901</v>
      </c>
      <c r="BF366" s="2">
        <v>16.238644136076999</v>
      </c>
      <c r="BG366" s="2">
        <v>17.3192870192706</v>
      </c>
      <c r="BH366" s="2">
        <v>14.627868415054399</v>
      </c>
      <c r="BI366" s="2">
        <v>18.110410614522799</v>
      </c>
      <c r="BJ366" s="2">
        <v>15.7360586055825</v>
      </c>
      <c r="BK366" s="2">
        <v>15.9922444297961</v>
      </c>
      <c r="BL366" s="2">
        <v>17.101671864032099</v>
      </c>
      <c r="BM366" s="2">
        <v>16.261646503459598</v>
      </c>
      <c r="BN366" s="2">
        <v>15.7951810289641</v>
      </c>
      <c r="BO366" s="2">
        <v>17.145296827787799</v>
      </c>
      <c r="BP366" s="2">
        <v>17.182523838630001</v>
      </c>
      <c r="BQ366" s="2">
        <v>17.311114478236</v>
      </c>
      <c r="BR366" s="2">
        <v>17.7552462006383</v>
      </c>
      <c r="BS366" s="2">
        <v>15.8095011150003</v>
      </c>
      <c r="BT366" s="2">
        <v>16.843545709449799</v>
      </c>
      <c r="BU366" s="2">
        <v>17.676672457287498</v>
      </c>
      <c r="BV366" s="2">
        <v>17.777737931037599</v>
      </c>
      <c r="BW366" s="2">
        <v>15.829110004569101</v>
      </c>
      <c r="BX366" s="2">
        <v>15.616408702581699</v>
      </c>
      <c r="BY366" s="2">
        <v>16.8628665134414</v>
      </c>
      <c r="BZ366" s="2">
        <v>18.5855071655524</v>
      </c>
      <c r="CA366" s="2">
        <v>15.2519357705015</v>
      </c>
      <c r="CB366" s="2">
        <v>17.638293427808701</v>
      </c>
      <c r="CC366" s="2">
        <v>18.0221556523313</v>
      </c>
      <c r="CD366" s="2">
        <v>16.858751544864301</v>
      </c>
      <c r="CE366" s="2">
        <v>18.156031362852701</v>
      </c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</row>
    <row r="367" spans="1:97">
      <c r="A367" s="2" t="s">
        <v>3788</v>
      </c>
      <c r="B367" s="2">
        <v>514.28366000000005</v>
      </c>
      <c r="C367" s="2">
        <v>5.8310000000000004</v>
      </c>
      <c r="D367" s="2" t="s">
        <v>146</v>
      </c>
      <c r="E367" s="2" t="s">
        <v>3789</v>
      </c>
      <c r="F367" s="2" t="s">
        <v>3790</v>
      </c>
      <c r="G367" s="2">
        <v>47305</v>
      </c>
      <c r="H367" s="3" t="str">
        <f>HYPERLINK("https://cloud.oebiotech.com/#/lm/network/47305", "https://cloud.oebiotech.com/#/lm/network/47305")</f>
        <v>https://cloud.oebiotech.com/#/lm/network/47305</v>
      </c>
      <c r="I367" s="2" t="s">
        <v>3791</v>
      </c>
      <c r="J367" s="2">
        <v>5881</v>
      </c>
      <c r="K367" s="2"/>
      <c r="L367" s="2">
        <v>168408</v>
      </c>
      <c r="M367" s="2"/>
      <c r="N367" s="2"/>
      <c r="O367" s="2"/>
      <c r="P367" s="2"/>
      <c r="Q367" s="2"/>
      <c r="R367" s="2"/>
      <c r="S367" s="2" t="s">
        <v>3792</v>
      </c>
      <c r="T367" s="2" t="s">
        <v>3793</v>
      </c>
      <c r="U367" s="2" t="s">
        <v>3794</v>
      </c>
      <c r="V367" s="2" t="s">
        <v>95</v>
      </c>
      <c r="W367" s="2" t="s">
        <v>152</v>
      </c>
      <c r="X367" s="2" t="s">
        <v>278</v>
      </c>
      <c r="Y367" s="2" t="s">
        <v>98</v>
      </c>
      <c r="Z367" s="2" t="s">
        <v>154</v>
      </c>
      <c r="AA367" s="2" t="s">
        <v>279</v>
      </c>
      <c r="AB367" s="2" t="s">
        <v>101</v>
      </c>
      <c r="AC367" s="2">
        <v>66.23</v>
      </c>
      <c r="AD367" s="2">
        <v>79.03</v>
      </c>
      <c r="AE367" s="2">
        <v>65.849999999999994</v>
      </c>
      <c r="AF367" s="2" t="s">
        <v>3795</v>
      </c>
      <c r="AG367" s="2" t="s">
        <v>194</v>
      </c>
      <c r="AH367" s="2" t="s">
        <v>2661</v>
      </c>
      <c r="AI367" s="2">
        <v>1.36</v>
      </c>
      <c r="AJ367" s="2">
        <v>16.004548793089398</v>
      </c>
      <c r="AK367" s="2">
        <v>16.6186749930602</v>
      </c>
      <c r="AL367" s="2">
        <v>15.7393402463887</v>
      </c>
      <c r="AM367" s="2">
        <v>16.305341800460599</v>
      </c>
      <c r="AN367" s="2">
        <v>15.6692881381547</v>
      </c>
      <c r="AO367" s="2">
        <v>16.299721743894601</v>
      </c>
      <c r="AP367" s="2">
        <v>16.550982556587599</v>
      </c>
      <c r="AQ367" s="2">
        <v>16.481498943999402</v>
      </c>
      <c r="AR367" s="2">
        <v>15.136947468613901</v>
      </c>
      <c r="AS367" s="2">
        <v>17.143982518282801</v>
      </c>
      <c r="AT367" s="2">
        <v>14.46832557169</v>
      </c>
      <c r="AU367" s="2">
        <v>16.2787969859302</v>
      </c>
      <c r="AV367" s="2">
        <v>14.1338590460114</v>
      </c>
      <c r="AW367" s="2">
        <v>16.091875623789701</v>
      </c>
      <c r="AX367" s="2">
        <v>9.6233145402724691</v>
      </c>
      <c r="AY367" s="2">
        <v>18.546036896674298</v>
      </c>
      <c r="AZ367" s="2">
        <v>16.165701964936702</v>
      </c>
      <c r="BA367" s="2">
        <v>15.898392364747099</v>
      </c>
      <c r="BB367" s="2">
        <v>17.6065285455904</v>
      </c>
      <c r="BC367" s="2">
        <v>9.6233145402724691</v>
      </c>
      <c r="BD367" s="2">
        <v>16.632173198058599</v>
      </c>
      <c r="BE367" s="2">
        <v>19.236698937555001</v>
      </c>
      <c r="BF367" s="2">
        <v>12.111507383724501</v>
      </c>
      <c r="BG367" s="2">
        <v>9.6233145402724691</v>
      </c>
      <c r="BH367" s="2">
        <v>17.9032651590068</v>
      </c>
      <c r="BI367" s="2">
        <v>9.6233145402724691</v>
      </c>
      <c r="BJ367" s="2">
        <v>9.6233145402724691</v>
      </c>
      <c r="BK367" s="2">
        <v>9.6233145402724691</v>
      </c>
      <c r="BL367" s="2">
        <v>14.3459845371324</v>
      </c>
      <c r="BM367" s="2">
        <v>19.5016736093018</v>
      </c>
      <c r="BN367" s="2">
        <v>16.0643857512189</v>
      </c>
      <c r="BO367" s="2">
        <v>14.570872018009901</v>
      </c>
      <c r="BP367" s="2">
        <v>9.6233145402724691</v>
      </c>
      <c r="BQ367" s="2">
        <v>14.3699080974549</v>
      </c>
      <c r="BR367" s="2">
        <v>9.6233145402724691</v>
      </c>
      <c r="BS367" s="2">
        <v>17.3593998064289</v>
      </c>
      <c r="BT367" s="2">
        <v>17.211063732385199</v>
      </c>
      <c r="BU367" s="2">
        <v>16.040596244030802</v>
      </c>
      <c r="BV367" s="2">
        <v>18.0886947242243</v>
      </c>
      <c r="BW367" s="2">
        <v>9.6233145402724691</v>
      </c>
      <c r="BX367" s="2">
        <v>15.9159087812883</v>
      </c>
      <c r="BY367" s="2">
        <v>16.811554442154101</v>
      </c>
      <c r="BZ367" s="2">
        <v>18.680605906555801</v>
      </c>
      <c r="CA367" s="2">
        <v>9.6233145402724691</v>
      </c>
      <c r="CB367" s="2">
        <v>15.448970619445801</v>
      </c>
      <c r="CC367" s="2">
        <v>9.6233145402724691</v>
      </c>
      <c r="CD367" s="2">
        <v>9.6233145402724691</v>
      </c>
      <c r="CE367" s="2">
        <v>9.6233145402724691</v>
      </c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</row>
    <row r="368" spans="1:97">
      <c r="A368" s="2" t="s">
        <v>3796</v>
      </c>
      <c r="B368" s="2">
        <v>183.02943999999999</v>
      </c>
      <c r="C368" s="2">
        <v>4.2220000000000004</v>
      </c>
      <c r="D368" s="2" t="s">
        <v>146</v>
      </c>
      <c r="E368" s="2" t="s">
        <v>3797</v>
      </c>
      <c r="F368" s="2" t="s">
        <v>3798</v>
      </c>
      <c r="G368" s="2">
        <v>81983</v>
      </c>
      <c r="H368" s="3" t="str">
        <f>HYPERLINK("https://cloud.oebiotech.com/#/lm/network/81983", "https://cloud.oebiotech.com/#/lm/network/81983")</f>
        <v>https://cloud.oebiotech.com/#/lm/network/81983</v>
      </c>
      <c r="I368" s="2" t="s">
        <v>3799</v>
      </c>
      <c r="J368" s="2">
        <v>63101</v>
      </c>
      <c r="K368" s="2"/>
      <c r="L368" s="2">
        <v>8768</v>
      </c>
      <c r="M368" s="2" t="s">
        <v>3800</v>
      </c>
      <c r="N368" s="2"/>
      <c r="O368" s="2"/>
      <c r="P368" s="2">
        <v>50205</v>
      </c>
      <c r="Q368" s="2"/>
      <c r="R368" s="2"/>
      <c r="S368" s="2" t="s">
        <v>3801</v>
      </c>
      <c r="T368" s="2" t="s">
        <v>3802</v>
      </c>
      <c r="U368" s="2" t="s">
        <v>3803</v>
      </c>
      <c r="V368" s="2" t="s">
        <v>338</v>
      </c>
      <c r="W368" s="2" t="s">
        <v>339</v>
      </c>
      <c r="X368" s="2" t="s">
        <v>340</v>
      </c>
      <c r="Y368" s="2" t="s">
        <v>341</v>
      </c>
      <c r="Z368" s="2" t="s">
        <v>341</v>
      </c>
      <c r="AA368" s="2" t="s">
        <v>342</v>
      </c>
      <c r="AB368" s="2" t="s">
        <v>3086</v>
      </c>
      <c r="AC368" s="2">
        <v>66.209999999999994</v>
      </c>
      <c r="AD368" s="2">
        <v>99.11</v>
      </c>
      <c r="AE368" s="2">
        <v>39.683571428571398</v>
      </c>
      <c r="AF368" s="2" t="s">
        <v>3804</v>
      </c>
      <c r="AG368" s="2" t="s">
        <v>157</v>
      </c>
      <c r="AH368" s="2" t="s">
        <v>2521</v>
      </c>
      <c r="AI368" s="2">
        <v>2.73</v>
      </c>
      <c r="AJ368" s="2">
        <v>22.492936256752301</v>
      </c>
      <c r="AK368" s="2">
        <v>22.592982156244901</v>
      </c>
      <c r="AL368" s="2">
        <v>22.7731732710686</v>
      </c>
      <c r="AM368" s="2">
        <v>22.4100688012646</v>
      </c>
      <c r="AN368" s="2">
        <v>22.443046137136701</v>
      </c>
      <c r="AO368" s="2">
        <v>22.525132023838001</v>
      </c>
      <c r="AP368" s="2">
        <v>22.527662112767899</v>
      </c>
      <c r="AQ368" s="2">
        <v>22.524912142195401</v>
      </c>
      <c r="AR368" s="2">
        <v>19.607575149418199</v>
      </c>
      <c r="AS368" s="2">
        <v>21.211302812663401</v>
      </c>
      <c r="AT368" s="2">
        <v>22.9135626929274</v>
      </c>
      <c r="AU368" s="2">
        <v>22.3489488261663</v>
      </c>
      <c r="AV368" s="2">
        <v>23.446732206914401</v>
      </c>
      <c r="AW368" s="2">
        <v>20.768011015434102</v>
      </c>
      <c r="AX368" s="2">
        <v>23.705285323038002</v>
      </c>
      <c r="AY368" s="2">
        <v>21.649919217237599</v>
      </c>
      <c r="AZ368" s="2">
        <v>22.654725418089999</v>
      </c>
      <c r="BA368" s="2">
        <v>23.818597129220802</v>
      </c>
      <c r="BB368" s="2">
        <v>22.080343025199799</v>
      </c>
      <c r="BC368" s="2">
        <v>20.6272230687511</v>
      </c>
      <c r="BD368" s="2">
        <v>21.378992311405</v>
      </c>
      <c r="BE368" s="2">
        <v>23.263249221968401</v>
      </c>
      <c r="BF368" s="2">
        <v>22.2608137057588</v>
      </c>
      <c r="BG368" s="2">
        <v>21.919583199274701</v>
      </c>
      <c r="BH368" s="2">
        <v>19.480730058628499</v>
      </c>
      <c r="BI368" s="2">
        <v>24.448299012935301</v>
      </c>
      <c r="BJ368" s="2">
        <v>22.047342675040898</v>
      </c>
      <c r="BK368" s="2">
        <v>17.599650504866201</v>
      </c>
      <c r="BL368" s="2">
        <v>19.9115623603203</v>
      </c>
      <c r="BM368" s="2">
        <v>22.218119544589602</v>
      </c>
      <c r="BN368" s="2">
        <v>21.992175883313799</v>
      </c>
      <c r="BO368" s="2">
        <v>24.0748603296223</v>
      </c>
      <c r="BP368" s="2">
        <v>21.1652050621543</v>
      </c>
      <c r="BQ368" s="2">
        <v>21.130145057954302</v>
      </c>
      <c r="BR368" s="2">
        <v>23.7083465786868</v>
      </c>
      <c r="BS368" s="2">
        <v>22.0520576521055</v>
      </c>
      <c r="BT368" s="2">
        <v>20.401663466045701</v>
      </c>
      <c r="BU368" s="2">
        <v>24.011467785398501</v>
      </c>
      <c r="BV368" s="2">
        <v>22.016756636825999</v>
      </c>
      <c r="BW368" s="2">
        <v>20.2683797099101</v>
      </c>
      <c r="BX368" s="2">
        <v>19.646511863851899</v>
      </c>
      <c r="BY368" s="2">
        <v>23.7896511385464</v>
      </c>
      <c r="BZ368" s="2">
        <v>19.582304402902199</v>
      </c>
      <c r="CA368" s="2">
        <v>21.429808794064201</v>
      </c>
      <c r="CB368" s="2">
        <v>20.113009615834301</v>
      </c>
      <c r="CC368" s="2">
        <v>23.985561278741901</v>
      </c>
      <c r="CD368" s="2">
        <v>20.374932382058201</v>
      </c>
      <c r="CE368" s="2">
        <v>17.649070115913201</v>
      </c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</row>
    <row r="369" spans="1:97">
      <c r="A369" s="2" t="s">
        <v>3805</v>
      </c>
      <c r="B369" s="2">
        <v>312.25387000000001</v>
      </c>
      <c r="C369" s="2">
        <v>12.103</v>
      </c>
      <c r="D369" s="2" t="s">
        <v>146</v>
      </c>
      <c r="E369" s="2" t="s">
        <v>3806</v>
      </c>
      <c r="F369" s="2" t="s">
        <v>3807</v>
      </c>
      <c r="G369" s="2">
        <v>8656</v>
      </c>
      <c r="H369" s="3" t="str">
        <f>HYPERLINK("https://cloud.oebiotech.com/#/lm/network/8656", "https://cloud.oebiotech.com/#/lm/network/8656")</f>
        <v>https://cloud.oebiotech.com/#/lm/network/8656</v>
      </c>
      <c r="I369" s="2" t="s">
        <v>3808</v>
      </c>
      <c r="J369" s="2">
        <v>45157</v>
      </c>
      <c r="K369" s="2" t="s">
        <v>3809</v>
      </c>
      <c r="L369" s="2">
        <v>151008</v>
      </c>
      <c r="M369" s="2"/>
      <c r="N369" s="2"/>
      <c r="O369" s="2"/>
      <c r="P369" s="2">
        <v>39540</v>
      </c>
      <c r="Q369" s="2"/>
      <c r="R369" s="2"/>
      <c r="S369" s="2" t="s">
        <v>3810</v>
      </c>
      <c r="T369" s="2" t="s">
        <v>3811</v>
      </c>
      <c r="U369" s="2" t="s">
        <v>3812</v>
      </c>
      <c r="V369" s="2" t="s">
        <v>115</v>
      </c>
      <c r="W369" s="2" t="s">
        <v>116</v>
      </c>
      <c r="X369" s="2" t="s">
        <v>117</v>
      </c>
      <c r="Y369" s="2" t="s">
        <v>118</v>
      </c>
      <c r="Z369" s="2" t="s">
        <v>119</v>
      </c>
      <c r="AA369" s="2" t="s">
        <v>120</v>
      </c>
      <c r="AB369" s="2" t="s">
        <v>101</v>
      </c>
      <c r="AC369" s="2">
        <v>66.180000000000007</v>
      </c>
      <c r="AD369" s="2">
        <v>88.66</v>
      </c>
      <c r="AE369" s="2">
        <v>61.7</v>
      </c>
      <c r="AF369" s="2" t="s">
        <v>3813</v>
      </c>
      <c r="AG369" s="2" t="s">
        <v>194</v>
      </c>
      <c r="AH369" s="2" t="s">
        <v>3814</v>
      </c>
      <c r="AI369" s="2">
        <v>1.6</v>
      </c>
      <c r="AJ369" s="2">
        <v>18.0738268217236</v>
      </c>
      <c r="AK369" s="2">
        <v>17.818783931483999</v>
      </c>
      <c r="AL369" s="2">
        <v>17.706962096334902</v>
      </c>
      <c r="AM369" s="2">
        <v>17.957676478852601</v>
      </c>
      <c r="AN369" s="2">
        <v>18.107725971547602</v>
      </c>
      <c r="AO369" s="2">
        <v>17.726463387065099</v>
      </c>
      <c r="AP369" s="2">
        <v>17.802620299941701</v>
      </c>
      <c r="AQ369" s="2">
        <v>17.635529595899602</v>
      </c>
      <c r="AR369" s="2">
        <v>16.9072833853627</v>
      </c>
      <c r="AS369" s="2">
        <v>16.8438251398854</v>
      </c>
      <c r="AT369" s="2">
        <v>17.061336909679898</v>
      </c>
      <c r="AU369" s="2">
        <v>17.391419736115601</v>
      </c>
      <c r="AV369" s="2">
        <v>17.392892266224599</v>
      </c>
      <c r="AW369" s="2">
        <v>17.159471966943901</v>
      </c>
      <c r="AX369" s="2">
        <v>17.711691236036899</v>
      </c>
      <c r="AY369" s="2">
        <v>17.397357437778599</v>
      </c>
      <c r="AZ369" s="2">
        <v>15.726036373840399</v>
      </c>
      <c r="BA369" s="2">
        <v>17.6401658389312</v>
      </c>
      <c r="BB369" s="2">
        <v>17.479234051191501</v>
      </c>
      <c r="BC369" s="2">
        <v>18.513988726209298</v>
      </c>
      <c r="BD369" s="2">
        <v>17.0977481190411</v>
      </c>
      <c r="BE369" s="2">
        <v>17.649356813439901</v>
      </c>
      <c r="BF369" s="2">
        <v>17.6413061859602</v>
      </c>
      <c r="BG369" s="2">
        <v>17.5422123208483</v>
      </c>
      <c r="BH369" s="2">
        <v>16.345879228902099</v>
      </c>
      <c r="BI369" s="2">
        <v>17.7747628703762</v>
      </c>
      <c r="BJ369" s="2">
        <v>17.726332528727699</v>
      </c>
      <c r="BK369" s="2">
        <v>16.772634561641102</v>
      </c>
      <c r="BL369" s="2">
        <v>17.962538856164301</v>
      </c>
      <c r="BM369" s="2">
        <v>17.048116233245899</v>
      </c>
      <c r="BN369" s="2">
        <v>17.180141196777399</v>
      </c>
      <c r="BO369" s="2">
        <v>17.643181882237901</v>
      </c>
      <c r="BP369" s="2">
        <v>18.646405632247301</v>
      </c>
      <c r="BQ369" s="2">
        <v>17.384430316658101</v>
      </c>
      <c r="BR369" s="2">
        <v>17.4431436403557</v>
      </c>
      <c r="BS369" s="2">
        <v>16.324978443231799</v>
      </c>
      <c r="BT369" s="2">
        <v>16.2763908865753</v>
      </c>
      <c r="BU369" s="2">
        <v>17.972621591213599</v>
      </c>
      <c r="BV369" s="2">
        <v>17.351797200790799</v>
      </c>
      <c r="BW369" s="2">
        <v>17.5986362227063</v>
      </c>
      <c r="BX369" s="2">
        <v>17.2248571160126</v>
      </c>
      <c r="BY369" s="2">
        <v>17.313506981559801</v>
      </c>
      <c r="BZ369" s="2">
        <v>18.123408564751099</v>
      </c>
      <c r="CA369" s="2">
        <v>17.564206960799201</v>
      </c>
      <c r="CB369" s="2">
        <v>16.882836339782099</v>
      </c>
      <c r="CC369" s="2">
        <v>17.534432459567199</v>
      </c>
      <c r="CD369" s="2">
        <v>17.476703096453502</v>
      </c>
      <c r="CE369" s="2">
        <v>17.725062313499599</v>
      </c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</row>
    <row r="370" spans="1:97">
      <c r="A370" s="2" t="s">
        <v>3815</v>
      </c>
      <c r="B370" s="2">
        <v>171.06594000000001</v>
      </c>
      <c r="C370" s="2">
        <v>5</v>
      </c>
      <c r="D370" s="2" t="s">
        <v>146</v>
      </c>
      <c r="E370" s="2" t="s">
        <v>3816</v>
      </c>
      <c r="F370" s="2" t="s">
        <v>3817</v>
      </c>
      <c r="G370" s="2">
        <v>56704</v>
      </c>
      <c r="H370" s="3" t="str">
        <f>HYPERLINK("https://cloud.oebiotech.com/#/lm/network/56704", "https://cloud.oebiotech.com/#/lm/network/56704")</f>
        <v>https://cloud.oebiotech.com/#/lm/network/56704</v>
      </c>
      <c r="I370" s="2" t="s">
        <v>3818</v>
      </c>
      <c r="J370" s="2">
        <v>88370</v>
      </c>
      <c r="K370" s="2"/>
      <c r="L370" s="2">
        <v>102550</v>
      </c>
      <c r="M370" s="2"/>
      <c r="N370" s="2"/>
      <c r="O370" s="2"/>
      <c r="P370" s="2">
        <v>52939</v>
      </c>
      <c r="Q370" s="2"/>
      <c r="R370" s="2"/>
      <c r="S370" s="2" t="s">
        <v>3819</v>
      </c>
      <c r="T370" s="2" t="s">
        <v>3820</v>
      </c>
      <c r="U370" s="2" t="s">
        <v>3821</v>
      </c>
      <c r="V370" s="2" t="s">
        <v>553</v>
      </c>
      <c r="W370" s="2" t="s">
        <v>3480</v>
      </c>
      <c r="X370" s="2" t="s">
        <v>3481</v>
      </c>
      <c r="Y370" s="2" t="s">
        <v>556</v>
      </c>
      <c r="Z370" s="2" t="s">
        <v>3482</v>
      </c>
      <c r="AA370" s="2" t="s">
        <v>3483</v>
      </c>
      <c r="AB370" s="2" t="s">
        <v>101</v>
      </c>
      <c r="AC370" s="2">
        <v>66.150000000000006</v>
      </c>
      <c r="AD370" s="2">
        <v>94.66</v>
      </c>
      <c r="AE370" s="2">
        <v>67.819999999999993</v>
      </c>
      <c r="AF370" s="2" t="s">
        <v>3822</v>
      </c>
      <c r="AG370" s="2" t="s">
        <v>157</v>
      </c>
      <c r="AH370" s="2" t="s">
        <v>2461</v>
      </c>
      <c r="AI370" s="2">
        <v>2.34</v>
      </c>
      <c r="AJ370" s="2">
        <v>20.962872874360698</v>
      </c>
      <c r="AK370" s="2">
        <v>21.258796508554401</v>
      </c>
      <c r="AL370" s="2">
        <v>21.126557402274798</v>
      </c>
      <c r="AM370" s="2">
        <v>21.199310866244002</v>
      </c>
      <c r="AN370" s="2">
        <v>21.134547016489002</v>
      </c>
      <c r="AO370" s="2">
        <v>20.7438965034662</v>
      </c>
      <c r="AP370" s="2">
        <v>21.2250297267998</v>
      </c>
      <c r="AQ370" s="2">
        <v>21.147231431307901</v>
      </c>
      <c r="AR370" s="2">
        <v>21.886158043370902</v>
      </c>
      <c r="AS370" s="2">
        <v>21.835711948651198</v>
      </c>
      <c r="AT370" s="2">
        <v>21.872963784836699</v>
      </c>
      <c r="AU370" s="2">
        <v>21.879409899615599</v>
      </c>
      <c r="AV370" s="2">
        <v>21.426345077163099</v>
      </c>
      <c r="AW370" s="2">
        <v>21.913324325039099</v>
      </c>
      <c r="AX370" s="2">
        <v>21.536124846498598</v>
      </c>
      <c r="AY370" s="2">
        <v>21.787669736422799</v>
      </c>
      <c r="AZ370" s="2">
        <v>21.9284378375919</v>
      </c>
      <c r="BA370" s="2">
        <v>21.365402246661102</v>
      </c>
      <c r="BB370" s="2">
        <v>21.6111470828913</v>
      </c>
      <c r="BC370" s="2">
        <v>21.855041980230698</v>
      </c>
      <c r="BD370" s="2">
        <v>21.5760488747637</v>
      </c>
      <c r="BE370" s="2">
        <v>21.722271768976199</v>
      </c>
      <c r="BF370" s="2">
        <v>21.475339132562802</v>
      </c>
      <c r="BG370" s="2">
        <v>21.8287457279453</v>
      </c>
      <c r="BH370" s="2">
        <v>21.790832673892801</v>
      </c>
      <c r="BI370" s="2">
        <v>21.855626131487998</v>
      </c>
      <c r="BJ370" s="2">
        <v>21.279843872121202</v>
      </c>
      <c r="BK370" s="2">
        <v>21.383129214866202</v>
      </c>
      <c r="BL370" s="2">
        <v>21.383174862814698</v>
      </c>
      <c r="BM370" s="2">
        <v>21.6298075029964</v>
      </c>
      <c r="BN370" s="2">
        <v>21.3059798250593</v>
      </c>
      <c r="BO370" s="2">
        <v>21.5772128140452</v>
      </c>
      <c r="BP370" s="2">
        <v>21.454781918108502</v>
      </c>
      <c r="BQ370" s="2">
        <v>21.6195716748297</v>
      </c>
      <c r="BR370" s="2">
        <v>21.836619868682199</v>
      </c>
      <c r="BS370" s="2">
        <v>21.5304685113645</v>
      </c>
      <c r="BT370" s="2">
        <v>21.561191931005801</v>
      </c>
      <c r="BU370" s="2">
        <v>21.626980431510201</v>
      </c>
      <c r="BV370" s="2">
        <v>21.408580953945201</v>
      </c>
      <c r="BW370" s="2">
        <v>21.180130771476701</v>
      </c>
      <c r="BX370" s="2">
        <v>21.098806008367699</v>
      </c>
      <c r="BY370" s="2">
        <v>21.606108001995501</v>
      </c>
      <c r="BZ370" s="2">
        <v>21.730689662257099</v>
      </c>
      <c r="CA370" s="2">
        <v>21.429467749202399</v>
      </c>
      <c r="CB370" s="2">
        <v>21.589711358730298</v>
      </c>
      <c r="CC370" s="2">
        <v>21.5483100116865</v>
      </c>
      <c r="CD370" s="2">
        <v>21.649286420788499</v>
      </c>
      <c r="CE370" s="2">
        <v>21.226043131434501</v>
      </c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</row>
    <row r="371" spans="1:97">
      <c r="A371" s="2" t="s">
        <v>3823</v>
      </c>
      <c r="B371" s="2">
        <v>445.29397</v>
      </c>
      <c r="C371" s="2">
        <v>11.393000000000001</v>
      </c>
      <c r="D371" s="2" t="s">
        <v>84</v>
      </c>
      <c r="E371" s="2" t="s">
        <v>3824</v>
      </c>
      <c r="F371" s="2" t="s">
        <v>3825</v>
      </c>
      <c r="G371" s="2">
        <v>45293</v>
      </c>
      <c r="H371" s="3" t="str">
        <f>HYPERLINK("https://cloud.oebiotech.com/#/lm/network/45293", "https://cloud.oebiotech.com/#/lm/network/45293")</f>
        <v>https://cloud.oebiotech.com/#/lm/network/45293</v>
      </c>
      <c r="I371" s="2"/>
      <c r="J371" s="2">
        <v>42060</v>
      </c>
      <c r="K371" s="2" t="s">
        <v>3826</v>
      </c>
      <c r="L371" s="2">
        <v>9547367</v>
      </c>
      <c r="M371" s="2"/>
      <c r="N371" s="2"/>
      <c r="O371" s="2"/>
      <c r="P371" s="2"/>
      <c r="Q371" s="2"/>
      <c r="R371" s="2"/>
      <c r="S371" s="2"/>
      <c r="T371" s="2" t="s">
        <v>3827</v>
      </c>
      <c r="U371" s="2" t="s">
        <v>3828</v>
      </c>
      <c r="V371" s="2" t="s">
        <v>95</v>
      </c>
      <c r="W371" s="2" t="s">
        <v>152</v>
      </c>
      <c r="X371" s="2" t="s">
        <v>1484</v>
      </c>
      <c r="Y371" s="2" t="s">
        <v>98</v>
      </c>
      <c r="Z371" s="2" t="s">
        <v>154</v>
      </c>
      <c r="AA371" s="2" t="s">
        <v>1485</v>
      </c>
      <c r="AB371" s="2" t="s">
        <v>101</v>
      </c>
      <c r="AC371" s="2">
        <v>66.14</v>
      </c>
      <c r="AD371" s="2">
        <v>83.1</v>
      </c>
      <c r="AE371" s="2">
        <v>69.09</v>
      </c>
      <c r="AF371" s="2" t="s">
        <v>3829</v>
      </c>
      <c r="AG371" s="2" t="s">
        <v>103</v>
      </c>
      <c r="AH371" s="2" t="s">
        <v>3830</v>
      </c>
      <c r="AI371" s="2">
        <v>2.02</v>
      </c>
      <c r="AJ371" s="2">
        <v>18.7381697295462</v>
      </c>
      <c r="AK371" s="2">
        <v>18.390548905332199</v>
      </c>
      <c r="AL371" s="2">
        <v>18.037586042867002</v>
      </c>
      <c r="AM371" s="2">
        <v>18.373268585643402</v>
      </c>
      <c r="AN371" s="2">
        <v>18.626110122413401</v>
      </c>
      <c r="AO371" s="2">
        <v>18.2210157619981</v>
      </c>
      <c r="AP371" s="2">
        <v>18.761176499112601</v>
      </c>
      <c r="AQ371" s="2">
        <v>18.753713021223799</v>
      </c>
      <c r="AR371" s="2">
        <v>9.6233145402724691</v>
      </c>
      <c r="AS371" s="2">
        <v>16.798971792366299</v>
      </c>
      <c r="AT371" s="2">
        <v>9.6233145402724691</v>
      </c>
      <c r="AU371" s="2">
        <v>18.722053607417202</v>
      </c>
      <c r="AV371" s="2">
        <v>17.585830023019799</v>
      </c>
      <c r="AW371" s="2">
        <v>18.585673040583899</v>
      </c>
      <c r="AX371" s="2">
        <v>9.6233145402724691</v>
      </c>
      <c r="AY371" s="2">
        <v>17.394755745770102</v>
      </c>
      <c r="AZ371" s="2">
        <v>20.638655970919601</v>
      </c>
      <c r="BA371" s="2">
        <v>15.146922226342999</v>
      </c>
      <c r="BB371" s="2">
        <v>9.6233145402724691</v>
      </c>
      <c r="BC371" s="2">
        <v>9.6233145402724691</v>
      </c>
      <c r="BD371" s="2">
        <v>17.2034115745357</v>
      </c>
      <c r="BE371" s="2">
        <v>19.5283685260449</v>
      </c>
      <c r="BF371" s="2">
        <v>16.026949583229602</v>
      </c>
      <c r="BG371" s="2">
        <v>18.388280070450801</v>
      </c>
      <c r="BH371" s="2">
        <v>20.966082964877501</v>
      </c>
      <c r="BI371" s="2">
        <v>9.6233145402724691</v>
      </c>
      <c r="BJ371" s="2">
        <v>9.6233145402724691</v>
      </c>
      <c r="BK371" s="2">
        <v>20.564015639998601</v>
      </c>
      <c r="BL371" s="2">
        <v>9.6233145402724691</v>
      </c>
      <c r="BM371" s="2">
        <v>17.398932281931799</v>
      </c>
      <c r="BN371" s="2">
        <v>18.746210567690198</v>
      </c>
      <c r="BO371" s="2">
        <v>17.397437328064001</v>
      </c>
      <c r="BP371" s="2">
        <v>9.6233145402724691</v>
      </c>
      <c r="BQ371" s="2">
        <v>18.509054652031399</v>
      </c>
      <c r="BR371" s="2">
        <v>9.6233145402724691</v>
      </c>
      <c r="BS371" s="2">
        <v>16.945958943647199</v>
      </c>
      <c r="BT371" s="2">
        <v>19.360540033111199</v>
      </c>
      <c r="BU371" s="2">
        <v>9.6233145402724691</v>
      </c>
      <c r="BV371" s="2">
        <v>15.0190320623331</v>
      </c>
      <c r="BW371" s="2">
        <v>9.6233145402724691</v>
      </c>
      <c r="BX371" s="2">
        <v>15.390712753493199</v>
      </c>
      <c r="BY371" s="2">
        <v>16.931028092242801</v>
      </c>
      <c r="BZ371" s="2">
        <v>9.6233145402724691</v>
      </c>
      <c r="CA371" s="2">
        <v>17.630500349457801</v>
      </c>
      <c r="CB371" s="2">
        <v>20.681713766737602</v>
      </c>
      <c r="CC371" s="2">
        <v>9.6233145402724691</v>
      </c>
      <c r="CD371" s="2">
        <v>9.6233145402724691</v>
      </c>
      <c r="CE371" s="2">
        <v>20.815811596432699</v>
      </c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</row>
    <row r="372" spans="1:97">
      <c r="A372" s="2" t="s">
        <v>3831</v>
      </c>
      <c r="B372" s="2">
        <v>295.22721000000001</v>
      </c>
      <c r="C372" s="2">
        <v>11.464</v>
      </c>
      <c r="D372" s="2" t="s">
        <v>146</v>
      </c>
      <c r="E372" s="2" t="s">
        <v>3832</v>
      </c>
      <c r="F372" s="2" t="s">
        <v>3833</v>
      </c>
      <c r="G372" s="2">
        <v>200271</v>
      </c>
      <c r="H372" s="3" t="str">
        <f>HYPERLINK("https://cloud.oebiotech.com/#/lm/network/200271", "https://cloud.oebiotech.com/#/lm/network/200271")</f>
        <v>https://cloud.oebiotech.com/#/lm/network/200271</v>
      </c>
      <c r="I372" s="2" t="s">
        <v>3834</v>
      </c>
      <c r="J372" s="2">
        <v>834289</v>
      </c>
      <c r="K372" s="2"/>
      <c r="L372" s="2">
        <v>54050040</v>
      </c>
      <c r="M372" s="2"/>
      <c r="N372" s="2"/>
      <c r="O372" s="2"/>
      <c r="P372" s="2"/>
      <c r="Q372" s="2"/>
      <c r="R372" s="2"/>
      <c r="S372" s="2"/>
      <c r="T372" s="2" t="s">
        <v>3835</v>
      </c>
      <c r="U372" s="2" t="s">
        <v>3836</v>
      </c>
      <c r="V372" s="2" t="s">
        <v>95</v>
      </c>
      <c r="W372" s="2" t="s">
        <v>96</v>
      </c>
      <c r="X372" s="2" t="s">
        <v>919</v>
      </c>
      <c r="Y372" s="2" t="s">
        <v>98</v>
      </c>
      <c r="Z372" s="2" t="s">
        <v>99</v>
      </c>
      <c r="AA372" s="2" t="s">
        <v>920</v>
      </c>
      <c r="AB372" s="2" t="s">
        <v>101</v>
      </c>
      <c r="AC372" s="2">
        <v>66.13</v>
      </c>
      <c r="AD372" s="2">
        <v>95.19</v>
      </c>
      <c r="AE372" s="2">
        <v>59.41</v>
      </c>
      <c r="AF372" s="2" t="s">
        <v>3837</v>
      </c>
      <c r="AG372" s="2" t="s">
        <v>194</v>
      </c>
      <c r="AH372" s="2" t="s">
        <v>3838</v>
      </c>
      <c r="AI372" s="2">
        <v>2.37</v>
      </c>
      <c r="AJ372" s="2">
        <v>20.7595727346982</v>
      </c>
      <c r="AK372" s="2">
        <v>20.443041203356302</v>
      </c>
      <c r="AL372" s="2">
        <v>20.671902147921099</v>
      </c>
      <c r="AM372" s="2">
        <v>20.504131361186101</v>
      </c>
      <c r="AN372" s="2">
        <v>20.432168590147299</v>
      </c>
      <c r="AO372" s="2">
        <v>20.5215375466327</v>
      </c>
      <c r="AP372" s="2">
        <v>20.727079341199801</v>
      </c>
      <c r="AQ372" s="2">
        <v>20.615556425333999</v>
      </c>
      <c r="AR372" s="2">
        <v>19.387519864300899</v>
      </c>
      <c r="AS372" s="2">
        <v>20.405598238429601</v>
      </c>
      <c r="AT372" s="2">
        <v>21.0553501767649</v>
      </c>
      <c r="AU372" s="2">
        <v>19.9307658180599</v>
      </c>
      <c r="AV372" s="2">
        <v>19.625645923524601</v>
      </c>
      <c r="AW372" s="2">
        <v>20.465466225246601</v>
      </c>
      <c r="AX372" s="2">
        <v>20.660554861199198</v>
      </c>
      <c r="AY372" s="2">
        <v>20.157478034377199</v>
      </c>
      <c r="AZ372" s="2">
        <v>18.922983131587401</v>
      </c>
      <c r="BA372" s="2">
        <v>20.905501429895601</v>
      </c>
      <c r="BB372" s="2">
        <v>20.966018696516901</v>
      </c>
      <c r="BC372" s="2">
        <v>21.517252208449499</v>
      </c>
      <c r="BD372" s="2">
        <v>19.162863829203499</v>
      </c>
      <c r="BE372" s="2">
        <v>19.819098940178701</v>
      </c>
      <c r="BF372" s="2">
        <v>19.9076717558459</v>
      </c>
      <c r="BG372" s="2">
        <v>20.7209506057821</v>
      </c>
      <c r="BH372" s="2">
        <v>18.2736800617221</v>
      </c>
      <c r="BI372" s="2">
        <v>20.567284017756101</v>
      </c>
      <c r="BJ372" s="2">
        <v>20.456656926984799</v>
      </c>
      <c r="BK372" s="2">
        <v>18.9218240594424</v>
      </c>
      <c r="BL372" s="2">
        <v>20.996389808515499</v>
      </c>
      <c r="BM372" s="2">
        <v>19.378470770181</v>
      </c>
      <c r="BN372" s="2">
        <v>19.782773649896299</v>
      </c>
      <c r="BO372" s="2">
        <v>20.625806721366601</v>
      </c>
      <c r="BP372" s="2">
        <v>20.533530003987298</v>
      </c>
      <c r="BQ372" s="2">
        <v>20.792666150106498</v>
      </c>
      <c r="BR372" s="2">
        <v>21.026709718987799</v>
      </c>
      <c r="BS372" s="2">
        <v>20.050876958997002</v>
      </c>
      <c r="BT372" s="2">
        <v>19.759654374385899</v>
      </c>
      <c r="BU372" s="2">
        <v>20.855765117996601</v>
      </c>
      <c r="BV372" s="2">
        <v>20.9939776032003</v>
      </c>
      <c r="BW372" s="2">
        <v>19.983077993762901</v>
      </c>
      <c r="BX372" s="2">
        <v>19.595105438052698</v>
      </c>
      <c r="BY372" s="2">
        <v>19.8683024253973</v>
      </c>
      <c r="BZ372" s="2">
        <v>19.9169898241014</v>
      </c>
      <c r="CA372" s="2">
        <v>19.667846330300002</v>
      </c>
      <c r="CB372" s="2">
        <v>20.6063068858397</v>
      </c>
      <c r="CC372" s="2">
        <v>20.710513522979401</v>
      </c>
      <c r="CD372" s="2">
        <v>20.2237318292363</v>
      </c>
      <c r="CE372" s="2">
        <v>20.9295947092786</v>
      </c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</row>
    <row r="373" spans="1:97">
      <c r="A373" s="2" t="s">
        <v>3839</v>
      </c>
      <c r="B373" s="2">
        <v>313.23790000000002</v>
      </c>
      <c r="C373" s="2">
        <v>12.401</v>
      </c>
      <c r="D373" s="2" t="s">
        <v>146</v>
      </c>
      <c r="E373" s="2" t="s">
        <v>3840</v>
      </c>
      <c r="F373" s="2" t="s">
        <v>3841</v>
      </c>
      <c r="G373" s="2">
        <v>7794</v>
      </c>
      <c r="H373" s="3" t="str">
        <f>HYPERLINK("https://cloud.oebiotech.com/#/lm/network/7794", "https://cloud.oebiotech.com/#/lm/network/7794")</f>
        <v>https://cloud.oebiotech.com/#/lm/network/7794</v>
      </c>
      <c r="I373" s="2"/>
      <c r="J373" s="2">
        <v>97406</v>
      </c>
      <c r="K373" s="2" t="s">
        <v>3842</v>
      </c>
      <c r="L373" s="2">
        <v>56936050</v>
      </c>
      <c r="M373" s="2"/>
      <c r="N373" s="2"/>
      <c r="O373" s="2"/>
      <c r="P373" s="2"/>
      <c r="Q373" s="2"/>
      <c r="R373" s="2"/>
      <c r="S373" s="2"/>
      <c r="T373" s="2" t="s">
        <v>3843</v>
      </c>
      <c r="U373" s="2" t="s">
        <v>3844</v>
      </c>
      <c r="V373" s="2" t="s">
        <v>845</v>
      </c>
      <c r="W373" s="2" t="s">
        <v>1982</v>
      </c>
      <c r="X373" s="2" t="s">
        <v>375</v>
      </c>
      <c r="Y373" s="2" t="s">
        <v>847</v>
      </c>
      <c r="Z373" s="2" t="s">
        <v>1983</v>
      </c>
      <c r="AA373" s="2"/>
      <c r="AB373" s="2" t="s">
        <v>101</v>
      </c>
      <c r="AC373" s="2">
        <v>66.13</v>
      </c>
      <c r="AD373" s="2">
        <v>96.85</v>
      </c>
      <c r="AE373" s="2">
        <v>53.82</v>
      </c>
      <c r="AF373" s="2" t="s">
        <v>3845</v>
      </c>
      <c r="AG373" s="2" t="s">
        <v>157</v>
      </c>
      <c r="AH373" s="2" t="s">
        <v>3846</v>
      </c>
      <c r="AI373" s="2">
        <v>1.6</v>
      </c>
      <c r="AJ373" s="2">
        <v>20.9419080145896</v>
      </c>
      <c r="AK373" s="2">
        <v>20.7860699211754</v>
      </c>
      <c r="AL373" s="2">
        <v>20.807765444214901</v>
      </c>
      <c r="AM373" s="2">
        <v>20.730530098415201</v>
      </c>
      <c r="AN373" s="2">
        <v>20.581787006366898</v>
      </c>
      <c r="AO373" s="2">
        <v>20.375709300985399</v>
      </c>
      <c r="AP373" s="2">
        <v>20.7597731199469</v>
      </c>
      <c r="AQ373" s="2">
        <v>20.828639719078399</v>
      </c>
      <c r="AR373" s="2">
        <v>17.441010494853</v>
      </c>
      <c r="AS373" s="2">
        <v>17.3443624056078</v>
      </c>
      <c r="AT373" s="2">
        <v>21.949487880467998</v>
      </c>
      <c r="AU373" s="2">
        <v>19.650198329326699</v>
      </c>
      <c r="AV373" s="2">
        <v>18.8879834415708</v>
      </c>
      <c r="AW373" s="2">
        <v>19.069987415613401</v>
      </c>
      <c r="AX373" s="2">
        <v>21.583679155068101</v>
      </c>
      <c r="AY373" s="2">
        <v>21.361493610715499</v>
      </c>
      <c r="AZ373" s="2">
        <v>19.804102181366702</v>
      </c>
      <c r="BA373" s="2">
        <v>21.9530603428326</v>
      </c>
      <c r="BB373" s="2">
        <v>19.022831992018901</v>
      </c>
      <c r="BC373" s="2">
        <v>21.690768275729901</v>
      </c>
      <c r="BD373" s="2">
        <v>19.424351502854499</v>
      </c>
      <c r="BE373" s="2">
        <v>22.032993652155099</v>
      </c>
      <c r="BF373" s="2">
        <v>19.0720643898993</v>
      </c>
      <c r="BG373" s="2">
        <v>20.328910211134399</v>
      </c>
      <c r="BH373" s="2">
        <v>18.533953118147501</v>
      </c>
      <c r="BI373" s="2">
        <v>19.715275026128499</v>
      </c>
      <c r="BJ373" s="2">
        <v>19.789131173965899</v>
      </c>
      <c r="BK373" s="2">
        <v>18.7053740073478</v>
      </c>
      <c r="BL373" s="2">
        <v>17.1202875987494</v>
      </c>
      <c r="BM373" s="2">
        <v>22.835533912821099</v>
      </c>
      <c r="BN373" s="2">
        <v>22.326313362163301</v>
      </c>
      <c r="BO373" s="2">
        <v>19.3678428342396</v>
      </c>
      <c r="BP373" s="2">
        <v>18.1708911805936</v>
      </c>
      <c r="BQ373" s="2">
        <v>19.4877008264382</v>
      </c>
      <c r="BR373" s="2">
        <v>20.155424529947901</v>
      </c>
      <c r="BS373" s="2">
        <v>22.034612112460799</v>
      </c>
      <c r="BT373" s="2">
        <v>19.864183998072999</v>
      </c>
      <c r="BU373" s="2">
        <v>21.108785127420798</v>
      </c>
      <c r="BV373" s="2">
        <v>19.6005156305363</v>
      </c>
      <c r="BW373" s="2">
        <v>19.275915171143801</v>
      </c>
      <c r="BX373" s="2">
        <v>20.0762342117862</v>
      </c>
      <c r="BY373" s="2">
        <v>21.6035558720077</v>
      </c>
      <c r="BZ373" s="2">
        <v>17.5496007402764</v>
      </c>
      <c r="CA373" s="2">
        <v>20.165854996320402</v>
      </c>
      <c r="CB373" s="2">
        <v>19.549906076688899</v>
      </c>
      <c r="CC373" s="2">
        <v>21.626988792693201</v>
      </c>
      <c r="CD373" s="2">
        <v>21.202690667813101</v>
      </c>
      <c r="CE373" s="2">
        <v>19.392243244918301</v>
      </c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</row>
    <row r="374" spans="1:97">
      <c r="A374" s="2" t="s">
        <v>3847</v>
      </c>
      <c r="B374" s="2">
        <v>333.00698999999997</v>
      </c>
      <c r="C374" s="2">
        <v>5.157</v>
      </c>
      <c r="D374" s="2" t="s">
        <v>146</v>
      </c>
      <c r="E374" s="2" t="s">
        <v>3848</v>
      </c>
      <c r="F374" s="2" t="s">
        <v>3849</v>
      </c>
      <c r="G374" s="2">
        <v>197298</v>
      </c>
      <c r="H374" s="3" t="str">
        <f>HYPERLINK("https://cloud.oebiotech.com/#/lm/network/197298", "https://cloud.oebiotech.com/#/lm/network/197298")</f>
        <v>https://cloud.oebiotech.com/#/lm/network/197298</v>
      </c>
      <c r="I374" s="2" t="s">
        <v>3850</v>
      </c>
      <c r="J374" s="2"/>
      <c r="K374" s="2"/>
      <c r="L374" s="2">
        <v>12114463</v>
      </c>
      <c r="M374" s="2"/>
      <c r="N374" s="2"/>
      <c r="O374" s="2"/>
      <c r="P374" s="2"/>
      <c r="Q374" s="2"/>
      <c r="R374" s="2"/>
      <c r="S374" s="2"/>
      <c r="T374" s="2" t="s">
        <v>3851</v>
      </c>
      <c r="U374" s="2" t="s">
        <v>3852</v>
      </c>
      <c r="V374" s="2" t="s">
        <v>845</v>
      </c>
      <c r="W374" s="2" t="s">
        <v>3853</v>
      </c>
      <c r="X374" s="2" t="s">
        <v>3854</v>
      </c>
      <c r="Y374" s="2" t="s">
        <v>847</v>
      </c>
      <c r="Z374" s="2" t="s">
        <v>3855</v>
      </c>
      <c r="AA374" s="2" t="s">
        <v>3856</v>
      </c>
      <c r="AB374" s="2" t="s">
        <v>101</v>
      </c>
      <c r="AC374" s="2">
        <v>66.13</v>
      </c>
      <c r="AD374" s="2">
        <v>86.51</v>
      </c>
      <c r="AE374" s="2">
        <v>68.13</v>
      </c>
      <c r="AF374" s="2" t="s">
        <v>3857</v>
      </c>
      <c r="AG374" s="2" t="s">
        <v>194</v>
      </c>
      <c r="AH374" s="2" t="s">
        <v>3858</v>
      </c>
      <c r="AI374" s="2">
        <v>1.2</v>
      </c>
      <c r="AJ374" s="2">
        <v>18.252423823623101</v>
      </c>
      <c r="AK374" s="2">
        <v>18.760409034232399</v>
      </c>
      <c r="AL374" s="2">
        <v>18.757923055873199</v>
      </c>
      <c r="AM374" s="2">
        <v>18.795441732356899</v>
      </c>
      <c r="AN374" s="2">
        <v>18.6543221598324</v>
      </c>
      <c r="AO374" s="2">
        <v>18.530206393475702</v>
      </c>
      <c r="AP374" s="2">
        <v>18.8067283052848</v>
      </c>
      <c r="AQ374" s="2">
        <v>18.966733586832198</v>
      </c>
      <c r="AR374" s="2">
        <v>9.6233145402724691</v>
      </c>
      <c r="AS374" s="2">
        <v>15.9713441637417</v>
      </c>
      <c r="AT374" s="2">
        <v>9.6233145402724691</v>
      </c>
      <c r="AU374" s="2">
        <v>16.4636661325506</v>
      </c>
      <c r="AV374" s="2">
        <v>18.892954083347501</v>
      </c>
      <c r="AW374" s="2">
        <v>21.938651256178499</v>
      </c>
      <c r="AX374" s="2">
        <v>9.6233145402724691</v>
      </c>
      <c r="AY374" s="2">
        <v>17.003140806783399</v>
      </c>
      <c r="AZ374" s="2">
        <v>9.6233145402724691</v>
      </c>
      <c r="BA374" s="2">
        <v>15.754385696412999</v>
      </c>
      <c r="BB374" s="2">
        <v>9.6233145402724691</v>
      </c>
      <c r="BC374" s="2">
        <v>17.915724189297102</v>
      </c>
      <c r="BD374" s="2">
        <v>19.942375657930899</v>
      </c>
      <c r="BE374" s="2">
        <v>14.578998839853501</v>
      </c>
      <c r="BF374" s="2">
        <v>18.594037185265201</v>
      </c>
      <c r="BG374" s="2">
        <v>15.201370820384801</v>
      </c>
      <c r="BH374" s="2">
        <v>11.9296726615793</v>
      </c>
      <c r="BI374" s="2">
        <v>15.900639010936001</v>
      </c>
      <c r="BJ374" s="2">
        <v>14.3942811404883</v>
      </c>
      <c r="BK374" s="2">
        <v>18.275518095098398</v>
      </c>
      <c r="BL374" s="2">
        <v>17.287488473938701</v>
      </c>
      <c r="BM374" s="2">
        <v>21.574462827991599</v>
      </c>
      <c r="BN374" s="2">
        <v>21.2881577597953</v>
      </c>
      <c r="BO374" s="2">
        <v>18.044011589239801</v>
      </c>
      <c r="BP374" s="2">
        <v>18.4967249150043</v>
      </c>
      <c r="BQ374" s="2">
        <v>12.643723185194901</v>
      </c>
      <c r="BR374" s="2">
        <v>12.0592329079261</v>
      </c>
      <c r="BS374" s="2">
        <v>18.326314489688301</v>
      </c>
      <c r="BT374" s="2">
        <v>13.866882871051001</v>
      </c>
      <c r="BU374" s="2">
        <v>18.144273910399701</v>
      </c>
      <c r="BV374" s="2">
        <v>19.974222725429598</v>
      </c>
      <c r="BW374" s="2">
        <v>18.476124382286201</v>
      </c>
      <c r="BX374" s="2">
        <v>18.863948368686</v>
      </c>
      <c r="BY374" s="2">
        <v>18.6992804810541</v>
      </c>
      <c r="BZ374" s="2">
        <v>12.611451362408401</v>
      </c>
      <c r="CA374" s="2">
        <v>20.721279611124</v>
      </c>
      <c r="CB374" s="2">
        <v>19.729273044704701</v>
      </c>
      <c r="CC374" s="2">
        <v>18.690487517445401</v>
      </c>
      <c r="CD374" s="2">
        <v>17.180382202412801</v>
      </c>
      <c r="CE374" s="2">
        <v>19.2968006694595</v>
      </c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</row>
    <row r="375" spans="1:97">
      <c r="A375" s="2" t="s">
        <v>3859</v>
      </c>
      <c r="B375" s="2">
        <v>167.03462999999999</v>
      </c>
      <c r="C375" s="2">
        <v>5.2009999999999996</v>
      </c>
      <c r="D375" s="2" t="s">
        <v>146</v>
      </c>
      <c r="E375" s="2" t="s">
        <v>3860</v>
      </c>
      <c r="F375" s="2" t="s">
        <v>3861</v>
      </c>
      <c r="G375" s="2">
        <v>205623</v>
      </c>
      <c r="H375" s="3" t="str">
        <f>HYPERLINK("https://cloud.oebiotech.com/#/lm/network/205623", "https://cloud.oebiotech.com/#/lm/network/205623")</f>
        <v>https://cloud.oebiotech.com/#/lm/network/205623</v>
      </c>
      <c r="I375" s="2" t="s">
        <v>3862</v>
      </c>
      <c r="J375" s="2"/>
      <c r="K375" s="2"/>
      <c r="L375" s="2">
        <v>122903</v>
      </c>
      <c r="M375" s="2"/>
      <c r="N375" s="2"/>
      <c r="O375" s="2"/>
      <c r="P375" s="2">
        <v>137426</v>
      </c>
      <c r="Q375" s="2"/>
      <c r="R375" s="2"/>
      <c r="S375" s="2"/>
      <c r="T375" s="2" t="s">
        <v>3863</v>
      </c>
      <c r="U375" s="2" t="s">
        <v>3864</v>
      </c>
      <c r="V375" s="2" t="s">
        <v>553</v>
      </c>
      <c r="W375" s="2" t="s">
        <v>3865</v>
      </c>
      <c r="X375" s="2" t="s">
        <v>3866</v>
      </c>
      <c r="Y375" s="2" t="s">
        <v>556</v>
      </c>
      <c r="Z375" s="2" t="s">
        <v>3867</v>
      </c>
      <c r="AA375" s="2" t="s">
        <v>3868</v>
      </c>
      <c r="AB375" s="2" t="s">
        <v>101</v>
      </c>
      <c r="AC375" s="2">
        <v>66.05</v>
      </c>
      <c r="AD375" s="2">
        <v>94.84</v>
      </c>
      <c r="AE375" s="2">
        <v>71.53</v>
      </c>
      <c r="AF375" s="2" t="s">
        <v>3869</v>
      </c>
      <c r="AG375" s="2" t="s">
        <v>194</v>
      </c>
      <c r="AH375" s="2" t="s">
        <v>3870</v>
      </c>
      <c r="AI375" s="2">
        <v>2.39</v>
      </c>
      <c r="AJ375" s="2">
        <v>19.679090972274899</v>
      </c>
      <c r="AK375" s="2">
        <v>19.454185935933399</v>
      </c>
      <c r="AL375" s="2">
        <v>19.6578489465447</v>
      </c>
      <c r="AM375" s="2">
        <v>19.7468358351259</v>
      </c>
      <c r="AN375" s="2">
        <v>19.546165443050398</v>
      </c>
      <c r="AO375" s="2">
        <v>19.611955494112699</v>
      </c>
      <c r="AP375" s="2">
        <v>19.4858992991553</v>
      </c>
      <c r="AQ375" s="2">
        <v>19.5466443051623</v>
      </c>
      <c r="AR375" s="2">
        <v>21.152682579949399</v>
      </c>
      <c r="AS375" s="2">
        <v>16.521957542287701</v>
      </c>
      <c r="AT375" s="2">
        <v>17.770866202878199</v>
      </c>
      <c r="AU375" s="2">
        <v>18.710814066523699</v>
      </c>
      <c r="AV375" s="2">
        <v>17.507702363225899</v>
      </c>
      <c r="AW375" s="2">
        <v>17.817671655788899</v>
      </c>
      <c r="AX375" s="2">
        <v>18.076609676878601</v>
      </c>
      <c r="AY375" s="2">
        <v>18.364896233610299</v>
      </c>
      <c r="AZ375" s="2">
        <v>18.371965858056701</v>
      </c>
      <c r="BA375" s="2">
        <v>17.602239469210701</v>
      </c>
      <c r="BB375" s="2">
        <v>18.468449557708102</v>
      </c>
      <c r="BC375" s="2">
        <v>17.801174258314902</v>
      </c>
      <c r="BD375" s="2">
        <v>18.309926948030601</v>
      </c>
      <c r="BE375" s="2">
        <v>19.0834997657131</v>
      </c>
      <c r="BF375" s="2">
        <v>19.4633863122062</v>
      </c>
      <c r="BG375" s="2">
        <v>19.178869495121901</v>
      </c>
      <c r="BH375" s="2">
        <v>17.198873277979398</v>
      </c>
      <c r="BI375" s="2">
        <v>19.682489508824599</v>
      </c>
      <c r="BJ375" s="2">
        <v>17.8439940844051</v>
      </c>
      <c r="BK375" s="2">
        <v>20.362772741735199</v>
      </c>
      <c r="BL375" s="2">
        <v>19.742304484838598</v>
      </c>
      <c r="BM375" s="2">
        <v>17.087215644179899</v>
      </c>
      <c r="BN375" s="2">
        <v>20.5274772828732</v>
      </c>
      <c r="BO375" s="2">
        <v>20.1459394326934</v>
      </c>
      <c r="BP375" s="2">
        <v>18.048467982345901</v>
      </c>
      <c r="BQ375" s="2">
        <v>18.7166107006624</v>
      </c>
      <c r="BR375" s="2">
        <v>18.545153101232401</v>
      </c>
      <c r="BS375" s="2">
        <v>19.765125782452799</v>
      </c>
      <c r="BT375" s="2">
        <v>19.456963124198399</v>
      </c>
      <c r="BU375" s="2">
        <v>19.932608810139399</v>
      </c>
      <c r="BV375" s="2">
        <v>18.975298385418199</v>
      </c>
      <c r="BW375" s="2">
        <v>16.772234404784999</v>
      </c>
      <c r="BX375" s="2">
        <v>18.049674262893799</v>
      </c>
      <c r="BY375" s="2">
        <v>20.467136622669202</v>
      </c>
      <c r="BZ375" s="2">
        <v>22.321297595315301</v>
      </c>
      <c r="CA375" s="2">
        <v>17.1046775771363</v>
      </c>
      <c r="CB375" s="2">
        <v>17.008497122196101</v>
      </c>
      <c r="CC375" s="2">
        <v>20.050595076956199</v>
      </c>
      <c r="CD375" s="2">
        <v>19.0137434362852</v>
      </c>
      <c r="CE375" s="2">
        <v>20.864399146729401</v>
      </c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</row>
    <row r="376" spans="1:97">
      <c r="A376" s="2" t="s">
        <v>3871</v>
      </c>
      <c r="B376" s="2">
        <v>331.19087000000002</v>
      </c>
      <c r="C376" s="2">
        <v>6.2249999999999996</v>
      </c>
      <c r="D376" s="2" t="s">
        <v>146</v>
      </c>
      <c r="E376" s="2" t="s">
        <v>3872</v>
      </c>
      <c r="F376" s="2" t="s">
        <v>3873</v>
      </c>
      <c r="G376" s="2">
        <v>200920</v>
      </c>
      <c r="H376" s="3" t="str">
        <f>HYPERLINK("https://cloud.oebiotech.com/#/lm/network/200920", "https://cloud.oebiotech.com/#/lm/network/200920")</f>
        <v>https://cloud.oebiotech.com/#/lm/network/200920</v>
      </c>
      <c r="I376" s="2" t="s">
        <v>3874</v>
      </c>
      <c r="J376" s="2"/>
      <c r="K376" s="2"/>
      <c r="L376" s="2">
        <v>123772</v>
      </c>
      <c r="M376" s="2"/>
      <c r="N376" s="2"/>
      <c r="O376" s="2"/>
      <c r="P376" s="2"/>
      <c r="Q376" s="2"/>
      <c r="R376" s="2"/>
      <c r="S376" s="2"/>
      <c r="T376" s="2" t="s">
        <v>3875</v>
      </c>
      <c r="U376" s="2" t="s">
        <v>3876</v>
      </c>
      <c r="V376" s="2" t="s">
        <v>338</v>
      </c>
      <c r="W376" s="2" t="s">
        <v>339</v>
      </c>
      <c r="X376" s="2" t="s">
        <v>3877</v>
      </c>
      <c r="Y376" s="2" t="s">
        <v>341</v>
      </c>
      <c r="Z376" s="2" t="s">
        <v>341</v>
      </c>
      <c r="AA376" s="2" t="s">
        <v>3878</v>
      </c>
      <c r="AB376" s="2" t="s">
        <v>101</v>
      </c>
      <c r="AC376" s="2">
        <v>65.95</v>
      </c>
      <c r="AD376" s="2">
        <v>87.22</v>
      </c>
      <c r="AE376" s="2">
        <v>66.790000000000006</v>
      </c>
      <c r="AF376" s="2" t="s">
        <v>3879</v>
      </c>
      <c r="AG376" s="2" t="s">
        <v>3880</v>
      </c>
      <c r="AH376" s="2" t="s">
        <v>3881</v>
      </c>
      <c r="AI376" s="2">
        <v>1.81</v>
      </c>
      <c r="AJ376" s="2">
        <v>17.2391287788755</v>
      </c>
      <c r="AK376" s="2">
        <v>17.123632917782199</v>
      </c>
      <c r="AL376" s="2">
        <v>17.0909117192808</v>
      </c>
      <c r="AM376" s="2">
        <v>17.082547736220899</v>
      </c>
      <c r="AN376" s="2">
        <v>17.4150761604607</v>
      </c>
      <c r="AO376" s="2">
        <v>17.084548798074</v>
      </c>
      <c r="AP376" s="2">
        <v>17.368078745979101</v>
      </c>
      <c r="AQ376" s="2">
        <v>17.0936595751642</v>
      </c>
      <c r="AR376" s="2">
        <v>15.0168509342914</v>
      </c>
      <c r="AS376" s="2">
        <v>14.767322710766701</v>
      </c>
      <c r="AT376" s="2">
        <v>17.153010543430099</v>
      </c>
      <c r="AU376" s="2">
        <v>14.932860184068</v>
      </c>
      <c r="AV376" s="2">
        <v>15.447722531214101</v>
      </c>
      <c r="AW376" s="2">
        <v>17.640745973308899</v>
      </c>
      <c r="AX376" s="2">
        <v>17.474714322869001</v>
      </c>
      <c r="AY376" s="2">
        <v>16.615958607947402</v>
      </c>
      <c r="AZ376" s="2">
        <v>17.1108310342455</v>
      </c>
      <c r="BA376" s="2">
        <v>14.9965551367478</v>
      </c>
      <c r="BB376" s="2">
        <v>18.751413756147802</v>
      </c>
      <c r="BC376" s="2">
        <v>18.266885433494199</v>
      </c>
      <c r="BD376" s="2">
        <v>16.420446149952198</v>
      </c>
      <c r="BE376" s="2">
        <v>17.987508123580799</v>
      </c>
      <c r="BF376" s="2">
        <v>12.7797973143731</v>
      </c>
      <c r="BG376" s="2">
        <v>17.7097380452125</v>
      </c>
      <c r="BH376" s="2">
        <v>16.097535700938799</v>
      </c>
      <c r="BI376" s="2">
        <v>9.6233145402724691</v>
      </c>
      <c r="BJ376" s="2">
        <v>17.626385946148002</v>
      </c>
      <c r="BK376" s="2">
        <v>17.326159096914701</v>
      </c>
      <c r="BL376" s="2">
        <v>18.355463329397001</v>
      </c>
      <c r="BM376" s="2">
        <v>17.490207445059301</v>
      </c>
      <c r="BN376" s="2">
        <v>16.989593406670199</v>
      </c>
      <c r="BO376" s="2">
        <v>16.3562824215829</v>
      </c>
      <c r="BP376" s="2">
        <v>17.173911516173899</v>
      </c>
      <c r="BQ376" s="2">
        <v>17.735650023431099</v>
      </c>
      <c r="BR376" s="2">
        <v>16.368886830781602</v>
      </c>
      <c r="BS376" s="2">
        <v>14.8880273355261</v>
      </c>
      <c r="BT376" s="2">
        <v>16.754743215008201</v>
      </c>
      <c r="BU376" s="2">
        <v>15.949179705151201</v>
      </c>
      <c r="BV376" s="2">
        <v>16.448363005047199</v>
      </c>
      <c r="BW376" s="2">
        <v>17.627330606436001</v>
      </c>
      <c r="BX376" s="2">
        <v>16.4143155969399</v>
      </c>
      <c r="BY376" s="2">
        <v>18.418089698365801</v>
      </c>
      <c r="BZ376" s="2">
        <v>16.716035297157099</v>
      </c>
      <c r="CA376" s="2">
        <v>9.6233145402724691</v>
      </c>
      <c r="CB376" s="2">
        <v>16.250569527006</v>
      </c>
      <c r="CC376" s="2">
        <v>16.939128416468002</v>
      </c>
      <c r="CD376" s="2">
        <v>17.719539962819301</v>
      </c>
      <c r="CE376" s="2">
        <v>17.959736087212502</v>
      </c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</row>
    <row r="377" spans="1:97">
      <c r="A377" s="2" t="s">
        <v>3882</v>
      </c>
      <c r="B377" s="2">
        <v>396.31036999999998</v>
      </c>
      <c r="C377" s="2">
        <v>9.39</v>
      </c>
      <c r="D377" s="2" t="s">
        <v>84</v>
      </c>
      <c r="E377" s="2" t="s">
        <v>3883</v>
      </c>
      <c r="F377" s="2" t="s">
        <v>3884</v>
      </c>
      <c r="G377" s="2">
        <v>198020</v>
      </c>
      <c r="H377" s="3" t="str">
        <f>HYPERLINK("https://cloud.oebiotech.com/#/lm/network/198020", "https://cloud.oebiotech.com/#/lm/network/198020")</f>
        <v>https://cloud.oebiotech.com/#/lm/network/198020</v>
      </c>
      <c r="I377" s="2" t="s">
        <v>3885</v>
      </c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 t="s">
        <v>3886</v>
      </c>
      <c r="U377" s="2" t="s">
        <v>3887</v>
      </c>
      <c r="V377" s="2" t="s">
        <v>95</v>
      </c>
      <c r="W377" s="2" t="s">
        <v>96</v>
      </c>
      <c r="X377" s="2" t="s">
        <v>97</v>
      </c>
      <c r="Y377" s="2" t="s">
        <v>98</v>
      </c>
      <c r="Z377" s="2" t="s">
        <v>99</v>
      </c>
      <c r="AA377" s="2" t="s">
        <v>100</v>
      </c>
      <c r="AB377" s="2" t="s">
        <v>101</v>
      </c>
      <c r="AC377" s="2">
        <v>65.92</v>
      </c>
      <c r="AD377" s="2">
        <v>96.58</v>
      </c>
      <c r="AE377" s="2">
        <v>70.89</v>
      </c>
      <c r="AF377" s="2" t="s">
        <v>3888</v>
      </c>
      <c r="AG377" s="2" t="s">
        <v>1088</v>
      </c>
      <c r="AH377" s="2" t="s">
        <v>3889</v>
      </c>
      <c r="AI377" s="2">
        <v>2.52</v>
      </c>
      <c r="AJ377" s="2">
        <v>20.0662116081619</v>
      </c>
      <c r="AK377" s="2">
        <v>19.9455913184816</v>
      </c>
      <c r="AL377" s="2">
        <v>20.0271024942681</v>
      </c>
      <c r="AM377" s="2">
        <v>20.039577544808701</v>
      </c>
      <c r="AN377" s="2">
        <v>19.9251423935535</v>
      </c>
      <c r="AO377" s="2">
        <v>19.878658999313199</v>
      </c>
      <c r="AP377" s="2">
        <v>19.7902913129934</v>
      </c>
      <c r="AQ377" s="2">
        <v>19.902717327666299</v>
      </c>
      <c r="AR377" s="2">
        <v>17.769566305721199</v>
      </c>
      <c r="AS377" s="2">
        <v>18.625005835926402</v>
      </c>
      <c r="AT377" s="2">
        <v>20.120960517288299</v>
      </c>
      <c r="AU377" s="2">
        <v>18.153556682618799</v>
      </c>
      <c r="AV377" s="2">
        <v>18.130141525277399</v>
      </c>
      <c r="AW377" s="2">
        <v>19.8320382698023</v>
      </c>
      <c r="AX377" s="2">
        <v>19.5765621053853</v>
      </c>
      <c r="AY377" s="2">
        <v>20.103825183946299</v>
      </c>
      <c r="AZ377" s="2">
        <v>18.157548852743101</v>
      </c>
      <c r="BA377" s="2">
        <v>19.948369869670799</v>
      </c>
      <c r="BB377" s="2">
        <v>20.881524965449</v>
      </c>
      <c r="BC377" s="2">
        <v>21.020342207734402</v>
      </c>
      <c r="BD377" s="2">
        <v>18.4188029910102</v>
      </c>
      <c r="BE377" s="2">
        <v>19.406860064620499</v>
      </c>
      <c r="BF377" s="2">
        <v>18.982234444308801</v>
      </c>
      <c r="BG377" s="2">
        <v>19.965870040753099</v>
      </c>
      <c r="BH377" s="2">
        <v>18.566114518455102</v>
      </c>
      <c r="BI377" s="2">
        <v>20.0613185943233</v>
      </c>
      <c r="BJ377" s="2">
        <v>19.8302460165681</v>
      </c>
      <c r="BK377" s="2">
        <v>17.935945580604201</v>
      </c>
      <c r="BL377" s="2">
        <v>20.282893855417399</v>
      </c>
      <c r="BM377" s="2">
        <v>18.067031098953301</v>
      </c>
      <c r="BN377" s="2">
        <v>18.810511544207099</v>
      </c>
      <c r="BO377" s="2">
        <v>20.112308196069598</v>
      </c>
      <c r="BP377" s="2">
        <v>19.929747763972699</v>
      </c>
      <c r="BQ377" s="2">
        <v>20.660074118954199</v>
      </c>
      <c r="BR377" s="2">
        <v>20.196038379601699</v>
      </c>
      <c r="BS377" s="2">
        <v>19.4315694238202</v>
      </c>
      <c r="BT377" s="2">
        <v>20.200886575028299</v>
      </c>
      <c r="BU377" s="2">
        <v>20.1903641513913</v>
      </c>
      <c r="BV377" s="2">
        <v>20.583511172972202</v>
      </c>
      <c r="BW377" s="2">
        <v>20.108170878538999</v>
      </c>
      <c r="BX377" s="2">
        <v>19.649863500581599</v>
      </c>
      <c r="BY377" s="2">
        <v>18.926360891662299</v>
      </c>
      <c r="BZ377" s="2">
        <v>19.0492944068884</v>
      </c>
      <c r="CA377" s="2">
        <v>19.048444487178401</v>
      </c>
      <c r="CB377" s="2">
        <v>19.620082332134999</v>
      </c>
      <c r="CC377" s="2">
        <v>20.251022179524501</v>
      </c>
      <c r="CD377" s="2">
        <v>19.246042041434801</v>
      </c>
      <c r="CE377" s="2">
        <v>19.640323534859601</v>
      </c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</row>
    <row r="378" spans="1:97">
      <c r="A378" s="2" t="s">
        <v>3890</v>
      </c>
      <c r="B378" s="2">
        <v>313.27427</v>
      </c>
      <c r="C378" s="2">
        <v>12.914999999999999</v>
      </c>
      <c r="D378" s="2" t="s">
        <v>146</v>
      </c>
      <c r="E378" s="2" t="s">
        <v>3891</v>
      </c>
      <c r="F378" s="2" t="s">
        <v>3892</v>
      </c>
      <c r="G378" s="2">
        <v>6072</v>
      </c>
      <c r="H378" s="3" t="str">
        <f>HYPERLINK("https://cloud.oebiotech.com/#/lm/network/6072", "https://cloud.oebiotech.com/#/lm/network/6072")</f>
        <v>https://cloud.oebiotech.com/#/lm/network/6072</v>
      </c>
      <c r="I378" s="2"/>
      <c r="J378" s="2">
        <v>46050</v>
      </c>
      <c r="K378" s="2" t="s">
        <v>3893</v>
      </c>
      <c r="L378" s="2">
        <v>11821627</v>
      </c>
      <c r="M378" s="2"/>
      <c r="N378" s="2"/>
      <c r="O378" s="2"/>
      <c r="P378" s="2">
        <v>50405</v>
      </c>
      <c r="Q378" s="2"/>
      <c r="R378" s="2"/>
      <c r="S378" s="2"/>
      <c r="T378" s="2" t="s">
        <v>3894</v>
      </c>
      <c r="U378" s="2" t="s">
        <v>3895</v>
      </c>
      <c r="V378" s="2" t="s">
        <v>95</v>
      </c>
      <c r="W378" s="2" t="s">
        <v>96</v>
      </c>
      <c r="X378" s="2" t="s">
        <v>353</v>
      </c>
      <c r="Y378" s="2" t="s">
        <v>98</v>
      </c>
      <c r="Z378" s="2" t="s">
        <v>99</v>
      </c>
      <c r="AA378" s="2" t="s">
        <v>354</v>
      </c>
      <c r="AB378" s="2" t="s">
        <v>101</v>
      </c>
      <c r="AC378" s="2">
        <v>65.89</v>
      </c>
      <c r="AD378" s="2">
        <v>70.06</v>
      </c>
      <c r="AE378" s="2">
        <v>81.93</v>
      </c>
      <c r="AF378" s="2" t="s">
        <v>3896</v>
      </c>
      <c r="AG378" s="2" t="s">
        <v>157</v>
      </c>
      <c r="AH378" s="2" t="s">
        <v>3897</v>
      </c>
      <c r="AI378" s="2">
        <v>1.6</v>
      </c>
      <c r="AJ378" s="2">
        <v>20.841729227393898</v>
      </c>
      <c r="AK378" s="2">
        <v>21.9932187095961</v>
      </c>
      <c r="AL378" s="2">
        <v>21.6139750482224</v>
      </c>
      <c r="AM378" s="2">
        <v>21.698117135809301</v>
      </c>
      <c r="AN378" s="2">
        <v>21.642600615999601</v>
      </c>
      <c r="AO378" s="2">
        <v>21.957127798782899</v>
      </c>
      <c r="AP378" s="2">
        <v>21.1947036597359</v>
      </c>
      <c r="AQ378" s="2">
        <v>20.843712609098599</v>
      </c>
      <c r="AR378" s="2">
        <v>12.914170206911599</v>
      </c>
      <c r="AS378" s="2">
        <v>10.8634351905588</v>
      </c>
      <c r="AT378" s="2">
        <v>12.4447819674009</v>
      </c>
      <c r="AU378" s="2">
        <v>9.6233145402724691</v>
      </c>
      <c r="AV378" s="2">
        <v>9.6233145402724691</v>
      </c>
      <c r="AW378" s="2">
        <v>12.039494855255599</v>
      </c>
      <c r="AX378" s="2">
        <v>13.806514379842501</v>
      </c>
      <c r="AY378" s="2">
        <v>13.1270560707818</v>
      </c>
      <c r="AZ378" s="2">
        <v>12.5612545269575</v>
      </c>
      <c r="BA378" s="2">
        <v>15.746781967465299</v>
      </c>
      <c r="BB378" s="2">
        <v>11.1603126532451</v>
      </c>
      <c r="BC378" s="2">
        <v>17.752162592332599</v>
      </c>
      <c r="BD378" s="2">
        <v>11.1278782818562</v>
      </c>
      <c r="BE378" s="2">
        <v>16.540896294371201</v>
      </c>
      <c r="BF378" s="2">
        <v>9.6233145402724691</v>
      </c>
      <c r="BG378" s="2">
        <v>9.6233145402724691</v>
      </c>
      <c r="BH378" s="2">
        <v>12.6465407101041</v>
      </c>
      <c r="BI378" s="2">
        <v>15.174152101364101</v>
      </c>
      <c r="BJ378" s="2">
        <v>16.072574165105301</v>
      </c>
      <c r="BK378" s="2">
        <v>10.8345263548677</v>
      </c>
      <c r="BL378" s="2">
        <v>11.9075216366587</v>
      </c>
      <c r="BM378" s="2">
        <v>11.7624858558616</v>
      </c>
      <c r="BN378" s="2">
        <v>10.8244735189321</v>
      </c>
      <c r="BO378" s="2">
        <v>13.1960042093163</v>
      </c>
      <c r="BP378" s="2">
        <v>15.184068714135201</v>
      </c>
      <c r="BQ378" s="2">
        <v>13.710243578163301</v>
      </c>
      <c r="BR378" s="2">
        <v>9.6233145402724691</v>
      </c>
      <c r="BS378" s="2">
        <v>12.667608325673701</v>
      </c>
      <c r="BT378" s="2">
        <v>15.964333421430601</v>
      </c>
      <c r="BU378" s="2">
        <v>15.211907301258901</v>
      </c>
      <c r="BV378" s="2">
        <v>12.622621553177799</v>
      </c>
      <c r="BW378" s="2">
        <v>9.6233145402724691</v>
      </c>
      <c r="BX378" s="2">
        <v>13.280225597467499</v>
      </c>
      <c r="BY378" s="2">
        <v>16.116796357156399</v>
      </c>
      <c r="BZ378" s="2">
        <v>9.6233145402724691</v>
      </c>
      <c r="CA378" s="2">
        <v>12.326713166783099</v>
      </c>
      <c r="CB378" s="2">
        <v>14.8774542978427</v>
      </c>
      <c r="CC378" s="2">
        <v>9.6233145402724691</v>
      </c>
      <c r="CD378" s="2">
        <v>13.719414491444001</v>
      </c>
      <c r="CE378" s="2">
        <v>16.360440240301902</v>
      </c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</row>
    <row r="379" spans="1:97">
      <c r="A379" s="2" t="s">
        <v>3898</v>
      </c>
      <c r="B379" s="2">
        <v>336.32535000000001</v>
      </c>
      <c r="C379" s="2">
        <v>11.999000000000001</v>
      </c>
      <c r="D379" s="2" t="s">
        <v>84</v>
      </c>
      <c r="E379" s="2" t="s">
        <v>3899</v>
      </c>
      <c r="F379" s="2" t="s">
        <v>3900</v>
      </c>
      <c r="G379" s="2">
        <v>38973</v>
      </c>
      <c r="H379" s="3" t="str">
        <f>HYPERLINK("https://cloud.oebiotech.com/#/lm/network/38973", "https://cloud.oebiotech.com/#/lm/network/38973")</f>
        <v>https://cloud.oebiotech.com/#/lm/network/38973</v>
      </c>
      <c r="I379" s="2"/>
      <c r="J379" s="2">
        <v>53931</v>
      </c>
      <c r="K379" s="2" t="s">
        <v>3901</v>
      </c>
      <c r="L379" s="2">
        <v>10236627</v>
      </c>
      <c r="M379" s="2"/>
      <c r="N379" s="2"/>
      <c r="O379" s="2"/>
      <c r="P379" s="2"/>
      <c r="Q379" s="2"/>
      <c r="R379" s="2"/>
      <c r="S379" s="2"/>
      <c r="T379" s="2" t="s">
        <v>3902</v>
      </c>
      <c r="U379" s="2" t="s">
        <v>3903</v>
      </c>
      <c r="V379" s="2" t="s">
        <v>166</v>
      </c>
      <c r="W379" s="2" t="s">
        <v>167</v>
      </c>
      <c r="X379" s="2" t="s">
        <v>482</v>
      </c>
      <c r="Y379" s="2" t="s">
        <v>169</v>
      </c>
      <c r="Z379" s="2" t="s">
        <v>169</v>
      </c>
      <c r="AA379" s="2" t="s">
        <v>483</v>
      </c>
      <c r="AB379" s="2" t="s">
        <v>101</v>
      </c>
      <c r="AC379" s="2">
        <v>65.88</v>
      </c>
      <c r="AD379" s="2">
        <v>89.52</v>
      </c>
      <c r="AE379" s="2">
        <v>71.83</v>
      </c>
      <c r="AF379" s="2" t="s">
        <v>3904</v>
      </c>
      <c r="AG379" s="2" t="s">
        <v>1578</v>
      </c>
      <c r="AH379" s="2" t="s">
        <v>3905</v>
      </c>
      <c r="AI379" s="2">
        <v>-5.05</v>
      </c>
      <c r="AJ379" s="2">
        <v>22.2297185943013</v>
      </c>
      <c r="AK379" s="2">
        <v>22.107166071377701</v>
      </c>
      <c r="AL379" s="2">
        <v>22.0857666864426</v>
      </c>
      <c r="AM379" s="2">
        <v>22.188132088032301</v>
      </c>
      <c r="AN379" s="2">
        <v>21.794768880546101</v>
      </c>
      <c r="AO379" s="2">
        <v>22.463547993301798</v>
      </c>
      <c r="AP379" s="2">
        <v>22.143675287615501</v>
      </c>
      <c r="AQ379" s="2">
        <v>22.1736435423133</v>
      </c>
      <c r="AR379" s="2">
        <v>22.311736722997601</v>
      </c>
      <c r="AS379" s="2">
        <v>21.793669013271501</v>
      </c>
      <c r="AT379" s="2">
        <v>21.759134815690601</v>
      </c>
      <c r="AU379" s="2">
        <v>21.030207196351899</v>
      </c>
      <c r="AV379" s="2">
        <v>21.276867427498701</v>
      </c>
      <c r="AW379" s="2">
        <v>21.3965023096058</v>
      </c>
      <c r="AX379" s="2">
        <v>20.782292563965299</v>
      </c>
      <c r="AY379" s="2">
        <v>21.304856759318501</v>
      </c>
      <c r="AZ379" s="2">
        <v>21.982639399993602</v>
      </c>
      <c r="BA379" s="2">
        <v>20.163548225583899</v>
      </c>
      <c r="BB379" s="2">
        <v>22.152455414638499</v>
      </c>
      <c r="BC379" s="2">
        <v>20.814052250278799</v>
      </c>
      <c r="BD379" s="2">
        <v>21.366807903212202</v>
      </c>
      <c r="BE379" s="2">
        <v>22.0620315941378</v>
      </c>
      <c r="BF379" s="2">
        <v>21.023543296560099</v>
      </c>
      <c r="BG379" s="2">
        <v>20.832196019292599</v>
      </c>
      <c r="BH379" s="2">
        <v>20.442380926525601</v>
      </c>
      <c r="BI379" s="2">
        <v>21.985520929101501</v>
      </c>
      <c r="BJ379" s="2">
        <v>20.4526963350357</v>
      </c>
      <c r="BK379" s="2">
        <v>20.420316940780399</v>
      </c>
      <c r="BL379" s="2">
        <v>20.4817363754346</v>
      </c>
      <c r="BM379" s="2">
        <v>20.768057277460699</v>
      </c>
      <c r="BN379" s="2">
        <v>22.338332578055901</v>
      </c>
      <c r="BO379" s="2">
        <v>21.675518555172399</v>
      </c>
      <c r="BP379" s="2">
        <v>21.310029791701201</v>
      </c>
      <c r="BQ379" s="2">
        <v>20.2716334401122</v>
      </c>
      <c r="BR379" s="2">
        <v>21.721573510800098</v>
      </c>
      <c r="BS379" s="2">
        <v>21.529471147103301</v>
      </c>
      <c r="BT379" s="2">
        <v>20.7989383100076</v>
      </c>
      <c r="BU379" s="2">
        <v>20.8818201411259</v>
      </c>
      <c r="BV379" s="2">
        <v>21.274096081968899</v>
      </c>
      <c r="BW379" s="2">
        <v>20.872426046516299</v>
      </c>
      <c r="BX379" s="2">
        <v>20.928324682563499</v>
      </c>
      <c r="BY379" s="2">
        <v>21.823052780975701</v>
      </c>
      <c r="BZ379" s="2">
        <v>22.086670111254399</v>
      </c>
      <c r="CA379" s="2">
        <v>20.138684342303701</v>
      </c>
      <c r="CB379" s="2">
        <v>21.7451193951762</v>
      </c>
      <c r="CC379" s="2">
        <v>20.625681913552</v>
      </c>
      <c r="CD379" s="2">
        <v>21.071827597753401</v>
      </c>
      <c r="CE379" s="2">
        <v>21.040912364614901</v>
      </c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</row>
    <row r="380" spans="1:97">
      <c r="A380" s="2" t="s">
        <v>3906</v>
      </c>
      <c r="B380" s="2">
        <v>481.33170999999999</v>
      </c>
      <c r="C380" s="2">
        <v>13.539</v>
      </c>
      <c r="D380" s="2" t="s">
        <v>146</v>
      </c>
      <c r="E380" s="2" t="s">
        <v>3907</v>
      </c>
      <c r="F380" s="2" t="s">
        <v>3908</v>
      </c>
      <c r="G380" s="2">
        <v>59792</v>
      </c>
      <c r="H380" s="3" t="str">
        <f>HYPERLINK("https://cloud.oebiotech.com/#/lm/network/59792", "https://cloud.oebiotech.com/#/lm/network/59792")</f>
        <v>https://cloud.oebiotech.com/#/lm/network/59792</v>
      </c>
      <c r="I380" s="2" t="s">
        <v>3909</v>
      </c>
      <c r="J380" s="2"/>
      <c r="K380" s="2"/>
      <c r="L380" s="2">
        <v>13934281</v>
      </c>
      <c r="M380" s="2"/>
      <c r="N380" s="2"/>
      <c r="O380" s="2"/>
      <c r="P380" s="2"/>
      <c r="Q380" s="2"/>
      <c r="R380" s="2"/>
      <c r="S380" s="2" t="s">
        <v>3910</v>
      </c>
      <c r="T380" s="2" t="s">
        <v>3911</v>
      </c>
      <c r="U380" s="2" t="s">
        <v>3912</v>
      </c>
      <c r="V380" s="2" t="s">
        <v>95</v>
      </c>
      <c r="W380" s="2" t="s">
        <v>180</v>
      </c>
      <c r="X380" s="2" t="s">
        <v>1790</v>
      </c>
      <c r="Y380" s="2" t="s">
        <v>98</v>
      </c>
      <c r="Z380" s="2" t="s">
        <v>182</v>
      </c>
      <c r="AA380" s="2" t="s">
        <v>1791</v>
      </c>
      <c r="AB380" s="2" t="s">
        <v>101</v>
      </c>
      <c r="AC380" s="2">
        <v>65.849999999999994</v>
      </c>
      <c r="AD380" s="2">
        <v>79.180000000000007</v>
      </c>
      <c r="AE380" s="2">
        <v>70.09</v>
      </c>
      <c r="AF380" s="2" t="s">
        <v>3913</v>
      </c>
      <c r="AG380" s="2" t="s">
        <v>157</v>
      </c>
      <c r="AH380" s="2" t="s">
        <v>3914</v>
      </c>
      <c r="AI380" s="2">
        <v>1.25</v>
      </c>
      <c r="AJ380" s="2">
        <v>18.855967227267602</v>
      </c>
      <c r="AK380" s="2">
        <v>18.710310348021999</v>
      </c>
      <c r="AL380" s="2">
        <v>18.973776110214502</v>
      </c>
      <c r="AM380" s="2">
        <v>19.060262120815601</v>
      </c>
      <c r="AN380" s="2">
        <v>19.101458535293499</v>
      </c>
      <c r="AO380" s="2">
        <v>18.5360133887608</v>
      </c>
      <c r="AP380" s="2">
        <v>18.517931189602098</v>
      </c>
      <c r="AQ380" s="2">
        <v>18.9890537777001</v>
      </c>
      <c r="AR380" s="2">
        <v>13.0350739973776</v>
      </c>
      <c r="AS380" s="2">
        <v>12.816915645446301</v>
      </c>
      <c r="AT380" s="2">
        <v>15.092525095412901</v>
      </c>
      <c r="AU380" s="2">
        <v>15.770685570341101</v>
      </c>
      <c r="AV380" s="2">
        <v>10.912859404487101</v>
      </c>
      <c r="AW380" s="2">
        <v>12.870846308211901</v>
      </c>
      <c r="AX380" s="2">
        <v>13.383144005508299</v>
      </c>
      <c r="AY380" s="2">
        <v>12.633735433187001</v>
      </c>
      <c r="AZ380" s="2">
        <v>11.370927109633801</v>
      </c>
      <c r="BA380" s="2">
        <v>13.540338759371901</v>
      </c>
      <c r="BB380" s="2">
        <v>14.573960139799601</v>
      </c>
      <c r="BC380" s="2">
        <v>15.9375556629796</v>
      </c>
      <c r="BD380" s="2">
        <v>12.790460502888401</v>
      </c>
      <c r="BE380" s="2">
        <v>15.962721395061299</v>
      </c>
      <c r="BF380" s="2">
        <v>11.3618889590526</v>
      </c>
      <c r="BG380" s="2">
        <v>14.8157650350925</v>
      </c>
      <c r="BH380" s="2">
        <v>13.777747432762499</v>
      </c>
      <c r="BI380" s="2">
        <v>14.391926237304199</v>
      </c>
      <c r="BJ380" s="2">
        <v>12.4338201338345</v>
      </c>
      <c r="BK380" s="2">
        <v>11.046223651391999</v>
      </c>
      <c r="BL380" s="2">
        <v>12.202993097954201</v>
      </c>
      <c r="BM380" s="2">
        <v>11.2227043543127</v>
      </c>
      <c r="BN380" s="2">
        <v>9.6233145402724691</v>
      </c>
      <c r="BO380" s="2">
        <v>15.1248668670928</v>
      </c>
      <c r="BP380" s="2">
        <v>9.6233145402724691</v>
      </c>
      <c r="BQ380" s="2">
        <v>16.205157502005701</v>
      </c>
      <c r="BR380" s="2">
        <v>13.6599535382765</v>
      </c>
      <c r="BS380" s="2">
        <v>9.6233145402724691</v>
      </c>
      <c r="BT380" s="2">
        <v>11.371308372978399</v>
      </c>
      <c r="BU380" s="2">
        <v>14.329676529025001</v>
      </c>
      <c r="BV380" s="2">
        <v>11.283672954463601</v>
      </c>
      <c r="BW380" s="2">
        <v>9.6233145402724691</v>
      </c>
      <c r="BX380" s="2">
        <v>9.6233145402724691</v>
      </c>
      <c r="BY380" s="2">
        <v>11.9794859315857</v>
      </c>
      <c r="BZ380" s="2">
        <v>16.748093765749999</v>
      </c>
      <c r="CA380" s="2">
        <v>10.812674700810099</v>
      </c>
      <c r="CB380" s="2">
        <v>14.569583890997899</v>
      </c>
      <c r="CC380" s="2">
        <v>9.6233145402724691</v>
      </c>
      <c r="CD380" s="2">
        <v>14.103729566127599</v>
      </c>
      <c r="CE380" s="2">
        <v>13.588234438006999</v>
      </c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</row>
    <row r="381" spans="1:97">
      <c r="A381" s="2" t="s">
        <v>3915</v>
      </c>
      <c r="B381" s="2">
        <v>315.25342000000001</v>
      </c>
      <c r="C381" s="2">
        <v>10.336</v>
      </c>
      <c r="D381" s="2" t="s">
        <v>146</v>
      </c>
      <c r="E381" s="2" t="s">
        <v>3916</v>
      </c>
      <c r="F381" s="2" t="s">
        <v>3917</v>
      </c>
      <c r="G381" s="2">
        <v>3192</v>
      </c>
      <c r="H381" s="3" t="str">
        <f>HYPERLINK("https://cloud.oebiotech.com/#/lm/network/3192", "https://cloud.oebiotech.com/#/lm/network/3192")</f>
        <v>https://cloud.oebiotech.com/#/lm/network/3192</v>
      </c>
      <c r="I381" s="2" t="s">
        <v>3918</v>
      </c>
      <c r="J381" s="2">
        <v>45832</v>
      </c>
      <c r="K381" s="2" t="s">
        <v>3919</v>
      </c>
      <c r="L381" s="2">
        <v>12235230</v>
      </c>
      <c r="M381" s="2" t="s">
        <v>3920</v>
      </c>
      <c r="N381" s="2"/>
      <c r="O381" s="2"/>
      <c r="P381" s="2">
        <v>49254</v>
      </c>
      <c r="Q381" s="2"/>
      <c r="R381" s="2"/>
      <c r="S381" s="2"/>
      <c r="T381" s="2" t="s">
        <v>3921</v>
      </c>
      <c r="U381" s="2" t="s">
        <v>3922</v>
      </c>
      <c r="V381" s="2" t="s">
        <v>95</v>
      </c>
      <c r="W381" s="2" t="s">
        <v>96</v>
      </c>
      <c r="X381" s="2" t="s">
        <v>141</v>
      </c>
      <c r="Y381" s="2" t="s">
        <v>98</v>
      </c>
      <c r="Z381" s="2" t="s">
        <v>99</v>
      </c>
      <c r="AA381" s="2" t="s">
        <v>142</v>
      </c>
      <c r="AB381" s="2" t="s">
        <v>101</v>
      </c>
      <c r="AC381" s="2">
        <v>65.8</v>
      </c>
      <c r="AD381" s="2">
        <v>88.14</v>
      </c>
      <c r="AE381" s="2">
        <v>57.27</v>
      </c>
      <c r="AF381" s="2" t="s">
        <v>3923</v>
      </c>
      <c r="AG381" s="2" t="s">
        <v>194</v>
      </c>
      <c r="AH381" s="2" t="s">
        <v>3924</v>
      </c>
      <c r="AI381" s="2">
        <v>2.2200000000000002</v>
      </c>
      <c r="AJ381" s="2">
        <v>19.168666952630801</v>
      </c>
      <c r="AK381" s="2">
        <v>19.002026183164801</v>
      </c>
      <c r="AL381" s="2">
        <v>19.192012841273399</v>
      </c>
      <c r="AM381" s="2">
        <v>19.544629223303001</v>
      </c>
      <c r="AN381" s="2">
        <v>19.164925188025499</v>
      </c>
      <c r="AO381" s="2">
        <v>19.288568117251501</v>
      </c>
      <c r="AP381" s="2">
        <v>19.8778317932479</v>
      </c>
      <c r="AQ381" s="2">
        <v>19.215115014358599</v>
      </c>
      <c r="AR381" s="2">
        <v>19.696866117124198</v>
      </c>
      <c r="AS381" s="2">
        <v>18.5651028223241</v>
      </c>
      <c r="AT381" s="2">
        <v>17.878327691789298</v>
      </c>
      <c r="AU381" s="2">
        <v>19.0524000365007</v>
      </c>
      <c r="AV381" s="2">
        <v>19.952902044107201</v>
      </c>
      <c r="AW381" s="2">
        <v>21.001117578082599</v>
      </c>
      <c r="AX381" s="2">
        <v>18.4803371187297</v>
      </c>
      <c r="AY381" s="2">
        <v>18.795327416817202</v>
      </c>
      <c r="AZ381" s="2">
        <v>18.364550888552898</v>
      </c>
      <c r="BA381" s="2">
        <v>18.987423158364201</v>
      </c>
      <c r="BB381" s="2">
        <v>18.739157996827501</v>
      </c>
      <c r="BC381" s="2">
        <v>19.571140084930502</v>
      </c>
      <c r="BD381" s="2">
        <v>18.521416870864002</v>
      </c>
      <c r="BE381" s="2">
        <v>19.7714777825041</v>
      </c>
      <c r="BF381" s="2">
        <v>18.904103690807801</v>
      </c>
      <c r="BG381" s="2">
        <v>18.803386044112301</v>
      </c>
      <c r="BH381" s="2">
        <v>18.2202307477421</v>
      </c>
      <c r="BI381" s="2">
        <v>19.5739362566549</v>
      </c>
      <c r="BJ381" s="2">
        <v>18.6409335703101</v>
      </c>
      <c r="BK381" s="2">
        <v>18.697312847681999</v>
      </c>
      <c r="BL381" s="2">
        <v>19.982970714987101</v>
      </c>
      <c r="BM381" s="2">
        <v>18.658700846704601</v>
      </c>
      <c r="BN381" s="2">
        <v>19.178569058446001</v>
      </c>
      <c r="BO381" s="2">
        <v>18.959323472324598</v>
      </c>
      <c r="BP381" s="2">
        <v>18.862830048254001</v>
      </c>
      <c r="BQ381" s="2">
        <v>19.148520722330801</v>
      </c>
      <c r="BR381" s="2">
        <v>19.9952542736387</v>
      </c>
      <c r="BS381" s="2">
        <v>19.241273368672601</v>
      </c>
      <c r="BT381" s="2">
        <v>19.1078936400611</v>
      </c>
      <c r="BU381" s="2">
        <v>19.608874416425401</v>
      </c>
      <c r="BV381" s="2">
        <v>19.267408624598399</v>
      </c>
      <c r="BW381" s="2">
        <v>18.346109667264201</v>
      </c>
      <c r="BX381" s="2">
        <v>18.954497597854999</v>
      </c>
      <c r="BY381" s="2">
        <v>19.789810762134401</v>
      </c>
      <c r="BZ381" s="2">
        <v>18.427145487500599</v>
      </c>
      <c r="CA381" s="2">
        <v>18.807410898867602</v>
      </c>
      <c r="CB381" s="2">
        <v>19.260312679736899</v>
      </c>
      <c r="CC381" s="2">
        <v>18.672590185545602</v>
      </c>
      <c r="CD381" s="2">
        <v>19.2579488001093</v>
      </c>
      <c r="CE381" s="2">
        <v>19.412011230192299</v>
      </c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</row>
    <row r="382" spans="1:97">
      <c r="A382" s="2" t="s">
        <v>3925</v>
      </c>
      <c r="B382" s="2">
        <v>130.0506</v>
      </c>
      <c r="C382" s="2">
        <v>0.8</v>
      </c>
      <c r="D382" s="2" t="s">
        <v>146</v>
      </c>
      <c r="E382" s="2" t="s">
        <v>3926</v>
      </c>
      <c r="F382" s="2" t="s">
        <v>3927</v>
      </c>
      <c r="G382" s="2">
        <v>47809</v>
      </c>
      <c r="H382" s="3" t="str">
        <f>HYPERLINK("https://cloud.oebiotech.com/#/lm/network/47809", "https://cloud.oebiotech.com/#/lm/network/47809")</f>
        <v>https://cloud.oebiotech.com/#/lm/network/47809</v>
      </c>
      <c r="I382" s="2" t="s">
        <v>3928</v>
      </c>
      <c r="J382" s="2">
        <v>63469</v>
      </c>
      <c r="K382" s="2"/>
      <c r="L382" s="2">
        <v>193305</v>
      </c>
      <c r="M382" s="2" t="s">
        <v>3929</v>
      </c>
      <c r="N382" s="2" t="s">
        <v>3930</v>
      </c>
      <c r="O382" s="2" t="s">
        <v>3931</v>
      </c>
      <c r="P382" s="2">
        <v>17232</v>
      </c>
      <c r="Q382" s="2"/>
      <c r="R382" s="2"/>
      <c r="S382" s="2" t="s">
        <v>3932</v>
      </c>
      <c r="T382" s="2" t="s">
        <v>3933</v>
      </c>
      <c r="U382" s="2" t="s">
        <v>3934</v>
      </c>
      <c r="V382" s="2" t="s">
        <v>115</v>
      </c>
      <c r="W382" s="2" t="s">
        <v>116</v>
      </c>
      <c r="X382" s="2" t="s">
        <v>117</v>
      </c>
      <c r="Y382" s="2" t="s">
        <v>118</v>
      </c>
      <c r="Z382" s="2" t="s">
        <v>119</v>
      </c>
      <c r="AA382" s="2" t="s">
        <v>120</v>
      </c>
      <c r="AB382" s="2" t="s">
        <v>101</v>
      </c>
      <c r="AC382" s="2">
        <v>65.75</v>
      </c>
      <c r="AD382" s="2">
        <v>96.56</v>
      </c>
      <c r="AE382" s="2">
        <v>51.83</v>
      </c>
      <c r="AF382" s="2" t="s">
        <v>3935</v>
      </c>
      <c r="AG382" s="2" t="s">
        <v>194</v>
      </c>
      <c r="AH382" s="2" t="s">
        <v>1813</v>
      </c>
      <c r="AI382" s="2">
        <v>2.77</v>
      </c>
      <c r="AJ382" s="2">
        <v>20.685665180916601</v>
      </c>
      <c r="AK382" s="2">
        <v>20.825975821432401</v>
      </c>
      <c r="AL382" s="2">
        <v>19.747784510945301</v>
      </c>
      <c r="AM382" s="2">
        <v>20.8073602525272</v>
      </c>
      <c r="AN382" s="2">
        <v>20.241648515985101</v>
      </c>
      <c r="AO382" s="2">
        <v>20.9088769690532</v>
      </c>
      <c r="AP382" s="2">
        <v>20.780421982061402</v>
      </c>
      <c r="AQ382" s="2">
        <v>20.6471881400002</v>
      </c>
      <c r="AR382" s="2">
        <v>20.378119216610099</v>
      </c>
      <c r="AS382" s="2">
        <v>20.544080074270401</v>
      </c>
      <c r="AT382" s="2">
        <v>20.460070057064499</v>
      </c>
      <c r="AU382" s="2">
        <v>20.5705585617917</v>
      </c>
      <c r="AV382" s="2">
        <v>20.351336008774499</v>
      </c>
      <c r="AW382" s="2">
        <v>19.407885444337602</v>
      </c>
      <c r="AX382" s="2">
        <v>20.401224477291201</v>
      </c>
      <c r="AY382" s="2">
        <v>20.274308361567901</v>
      </c>
      <c r="AZ382" s="2">
        <v>20.558441444610999</v>
      </c>
      <c r="BA382" s="2">
        <v>20.270229170250801</v>
      </c>
      <c r="BB382" s="2">
        <v>20.8141805539485</v>
      </c>
      <c r="BC382" s="2">
        <v>20.488132513952401</v>
      </c>
      <c r="BD382" s="2">
        <v>20.322578653488801</v>
      </c>
      <c r="BE382" s="2">
        <v>20.8169571947635</v>
      </c>
      <c r="BF382" s="2">
        <v>20.259616860994001</v>
      </c>
      <c r="BG382" s="2">
        <v>20.2623084679039</v>
      </c>
      <c r="BH382" s="2">
        <v>20.086490100008699</v>
      </c>
      <c r="BI382" s="2">
        <v>20.789206269647</v>
      </c>
      <c r="BJ382" s="2">
        <v>20.9604204196174</v>
      </c>
      <c r="BK382" s="2">
        <v>20.846490660841699</v>
      </c>
      <c r="BL382" s="2">
        <v>20.329126662884399</v>
      </c>
      <c r="BM382" s="2">
        <v>20.301163819102602</v>
      </c>
      <c r="BN382" s="2">
        <v>19.548904407513898</v>
      </c>
      <c r="BO382" s="2">
        <v>20.569308830755698</v>
      </c>
      <c r="BP382" s="2">
        <v>19.9699571707594</v>
      </c>
      <c r="BQ382" s="2">
        <v>19.5920320288885</v>
      </c>
      <c r="BR382" s="2">
        <v>21.134519235746101</v>
      </c>
      <c r="BS382" s="2">
        <v>20.252794651156499</v>
      </c>
      <c r="BT382" s="2">
        <v>20.587408990352699</v>
      </c>
      <c r="BU382" s="2">
        <v>20.198072556946201</v>
      </c>
      <c r="BV382" s="2">
        <v>20.446318897113098</v>
      </c>
      <c r="BW382" s="2">
        <v>20.303190312554801</v>
      </c>
      <c r="BX382" s="2">
        <v>19.396423308291599</v>
      </c>
      <c r="BY382" s="2">
        <v>20.623943691968002</v>
      </c>
      <c r="BZ382" s="2">
        <v>20.685481805890799</v>
      </c>
      <c r="CA382" s="2">
        <v>19.655252134196001</v>
      </c>
      <c r="CB382" s="2">
        <v>19.932328900051601</v>
      </c>
      <c r="CC382" s="2">
        <v>20.772070048960298</v>
      </c>
      <c r="CD382" s="2">
        <v>20.7227347259868</v>
      </c>
      <c r="CE382" s="2">
        <v>20.706600057411698</v>
      </c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</row>
    <row r="383" spans="1:97">
      <c r="A383" s="2" t="s">
        <v>3936</v>
      </c>
      <c r="B383" s="2">
        <v>271.22735999999998</v>
      </c>
      <c r="C383" s="2">
        <v>10.565</v>
      </c>
      <c r="D383" s="2" t="s">
        <v>146</v>
      </c>
      <c r="E383" s="2" t="s">
        <v>3937</v>
      </c>
      <c r="F383" s="2" t="s">
        <v>3938</v>
      </c>
      <c r="G383" s="2">
        <v>1695</v>
      </c>
      <c r="H383" s="3" t="str">
        <f>HYPERLINK("https://cloud.oebiotech.com/#/lm/network/1695", "https://cloud.oebiotech.com/#/lm/network/1695")</f>
        <v>https://cloud.oebiotech.com/#/lm/network/1695</v>
      </c>
      <c r="I383" s="2" t="s">
        <v>3939</v>
      </c>
      <c r="J383" s="2">
        <v>58386</v>
      </c>
      <c r="K383" s="2" t="s">
        <v>3940</v>
      </c>
      <c r="L383" s="2">
        <v>10466</v>
      </c>
      <c r="M383" s="2" t="s">
        <v>3941</v>
      </c>
      <c r="N383" s="2"/>
      <c r="O383" s="2"/>
      <c r="P383" s="2">
        <v>55328</v>
      </c>
      <c r="Q383" s="2"/>
      <c r="R383" s="2"/>
      <c r="S383" s="2" t="s">
        <v>3942</v>
      </c>
      <c r="T383" s="2" t="s">
        <v>3943</v>
      </c>
      <c r="U383" s="2" t="s">
        <v>3944</v>
      </c>
      <c r="V383" s="2" t="s">
        <v>95</v>
      </c>
      <c r="W383" s="2" t="s">
        <v>96</v>
      </c>
      <c r="X383" s="2" t="s">
        <v>141</v>
      </c>
      <c r="Y383" s="2" t="s">
        <v>98</v>
      </c>
      <c r="Z383" s="2" t="s">
        <v>99</v>
      </c>
      <c r="AA383" s="2" t="s">
        <v>142</v>
      </c>
      <c r="AB383" s="2" t="s">
        <v>101</v>
      </c>
      <c r="AC383" s="2">
        <v>65.73</v>
      </c>
      <c r="AD383" s="2">
        <v>96.22</v>
      </c>
      <c r="AE383" s="2">
        <v>58.47</v>
      </c>
      <c r="AF383" s="2" t="s">
        <v>3945</v>
      </c>
      <c r="AG383" s="2" t="s">
        <v>194</v>
      </c>
      <c r="AH383" s="2" t="s">
        <v>512</v>
      </c>
      <c r="AI383" s="2">
        <v>1.84</v>
      </c>
      <c r="AJ383" s="2">
        <v>21.503164125004702</v>
      </c>
      <c r="AK383" s="2">
        <v>21.716340776464399</v>
      </c>
      <c r="AL383" s="2">
        <v>21.802923806548598</v>
      </c>
      <c r="AM383" s="2">
        <v>21.526514894356001</v>
      </c>
      <c r="AN383" s="2">
        <v>21.6981608393003</v>
      </c>
      <c r="AO383" s="2">
        <v>21.913477106789301</v>
      </c>
      <c r="AP383" s="2">
        <v>21.737544927281998</v>
      </c>
      <c r="AQ383" s="2">
        <v>21.754248720646899</v>
      </c>
      <c r="AR383" s="2">
        <v>20.9622681327983</v>
      </c>
      <c r="AS383" s="2">
        <v>20.0943701826913</v>
      </c>
      <c r="AT383" s="2">
        <v>21.680327078513901</v>
      </c>
      <c r="AU383" s="2">
        <v>21.374334409722302</v>
      </c>
      <c r="AV383" s="2">
        <v>20.594996099711199</v>
      </c>
      <c r="AW383" s="2">
        <v>20.7459456374864</v>
      </c>
      <c r="AX383" s="2">
        <v>20.797506785916301</v>
      </c>
      <c r="AY383" s="2">
        <v>20.2874659619726</v>
      </c>
      <c r="AZ383" s="2">
        <v>19.752412172492701</v>
      </c>
      <c r="BA383" s="2">
        <v>21.1362256459511</v>
      </c>
      <c r="BB383" s="2">
        <v>20.577305656259</v>
      </c>
      <c r="BC383" s="2">
        <v>21.0665627966724</v>
      </c>
      <c r="BD383" s="2">
        <v>19.379956590845101</v>
      </c>
      <c r="BE383" s="2">
        <v>19.892419547187998</v>
      </c>
      <c r="BF383" s="2">
        <v>20.1040095261251</v>
      </c>
      <c r="BG383" s="2">
        <v>20.852006749245501</v>
      </c>
      <c r="BH383" s="2">
        <v>20.773515820115101</v>
      </c>
      <c r="BI383" s="2">
        <v>21.357073555128501</v>
      </c>
      <c r="BJ383" s="2">
        <v>20.780702176219201</v>
      </c>
      <c r="BK383" s="2">
        <v>20.250080302340599</v>
      </c>
      <c r="BL383" s="2">
        <v>21.928613383104</v>
      </c>
      <c r="BM383" s="2">
        <v>20.539790047119801</v>
      </c>
      <c r="BN383" s="2">
        <v>20.999166943862399</v>
      </c>
      <c r="BO383" s="2">
        <v>20.755915668393399</v>
      </c>
      <c r="BP383" s="2">
        <v>20.942689473848802</v>
      </c>
      <c r="BQ383" s="2">
        <v>21.093920663493702</v>
      </c>
      <c r="BR383" s="2">
        <v>20.7525833071223</v>
      </c>
      <c r="BS383" s="2">
        <v>20.339549475344501</v>
      </c>
      <c r="BT383" s="2">
        <v>20.457123519736001</v>
      </c>
      <c r="BU383" s="2">
        <v>21.902960542897201</v>
      </c>
      <c r="BV383" s="2">
        <v>21.289106115954201</v>
      </c>
      <c r="BW383" s="2">
        <v>20.349843311237201</v>
      </c>
      <c r="BX383" s="2">
        <v>20.310471232008201</v>
      </c>
      <c r="BY383" s="2">
        <v>20.9522769949672</v>
      </c>
      <c r="BZ383" s="2">
        <v>21.402704606928602</v>
      </c>
      <c r="CA383" s="2">
        <v>20.463752759690099</v>
      </c>
      <c r="CB383" s="2">
        <v>21.2368274167052</v>
      </c>
      <c r="CC383" s="2">
        <v>21.2480884251963</v>
      </c>
      <c r="CD383" s="2">
        <v>20.7433889281521</v>
      </c>
      <c r="CE383" s="2">
        <v>21.420810434271701</v>
      </c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</row>
    <row r="384" spans="1:97">
      <c r="A384" s="2" t="s">
        <v>3946</v>
      </c>
      <c r="B384" s="2">
        <v>195.13862</v>
      </c>
      <c r="C384" s="2">
        <v>9.6199999999999992</v>
      </c>
      <c r="D384" s="2" t="s">
        <v>146</v>
      </c>
      <c r="E384" s="2" t="s">
        <v>3947</v>
      </c>
      <c r="F384" s="2" t="s">
        <v>3948</v>
      </c>
      <c r="G384" s="2">
        <v>7774</v>
      </c>
      <c r="H384" s="3" t="str">
        <f>HYPERLINK("https://cloud.oebiotech.com/#/lm/network/7774", "https://cloud.oebiotech.com/#/lm/network/7774")</f>
        <v>https://cloud.oebiotech.com/#/lm/network/7774</v>
      </c>
      <c r="I384" s="2"/>
      <c r="J384" s="2">
        <v>97390</v>
      </c>
      <c r="K384" s="2" t="s">
        <v>3949</v>
      </c>
      <c r="L384" s="2">
        <v>10867249</v>
      </c>
      <c r="M384" s="2"/>
      <c r="N384" s="2"/>
      <c r="O384" s="2"/>
      <c r="P384" s="2"/>
      <c r="Q384" s="2"/>
      <c r="R384" s="2"/>
      <c r="S384" s="2"/>
      <c r="T384" s="2" t="s">
        <v>3950</v>
      </c>
      <c r="U384" s="2" t="s">
        <v>3951</v>
      </c>
      <c r="V384" s="2" t="s">
        <v>845</v>
      </c>
      <c r="W384" s="2" t="s">
        <v>1982</v>
      </c>
      <c r="X384" s="2" t="s">
        <v>375</v>
      </c>
      <c r="Y384" s="2" t="s">
        <v>847</v>
      </c>
      <c r="Z384" s="2" t="s">
        <v>1983</v>
      </c>
      <c r="AA384" s="2"/>
      <c r="AB384" s="2" t="s">
        <v>101</v>
      </c>
      <c r="AC384" s="2">
        <v>65.69</v>
      </c>
      <c r="AD384" s="2">
        <v>92.69</v>
      </c>
      <c r="AE384" s="2">
        <v>58.62</v>
      </c>
      <c r="AF384" s="2" t="s">
        <v>3952</v>
      </c>
      <c r="AG384" s="2" t="s">
        <v>194</v>
      </c>
      <c r="AH384" s="2" t="s">
        <v>3953</v>
      </c>
      <c r="AI384" s="2">
        <v>2.56</v>
      </c>
      <c r="AJ384" s="2">
        <v>18.059360781050799</v>
      </c>
      <c r="AK384" s="2">
        <v>18.407146997886599</v>
      </c>
      <c r="AL384" s="2">
        <v>18.077526072534599</v>
      </c>
      <c r="AM384" s="2">
        <v>18.3466980663325</v>
      </c>
      <c r="AN384" s="2">
        <v>18.138182489048301</v>
      </c>
      <c r="AO384" s="2">
        <v>18.496126669642699</v>
      </c>
      <c r="AP384" s="2">
        <v>18.604698905720099</v>
      </c>
      <c r="AQ384" s="2">
        <v>18.286236063009</v>
      </c>
      <c r="AR384" s="2">
        <v>19.269344571280101</v>
      </c>
      <c r="AS384" s="2">
        <v>20.1603526408792</v>
      </c>
      <c r="AT384" s="2">
        <v>20.277524188651</v>
      </c>
      <c r="AU384" s="2">
        <v>19.457014944240498</v>
      </c>
      <c r="AV384" s="2">
        <v>17.868713275648499</v>
      </c>
      <c r="AW384" s="2">
        <v>19.941817126418901</v>
      </c>
      <c r="AX384" s="2">
        <v>18.967131898666299</v>
      </c>
      <c r="AY384" s="2">
        <v>19.7579668275052</v>
      </c>
      <c r="AZ384" s="2">
        <v>19.117753575817201</v>
      </c>
      <c r="BA384" s="2">
        <v>18.808886079598398</v>
      </c>
      <c r="BB384" s="2">
        <v>19.934696228795399</v>
      </c>
      <c r="BC384" s="2">
        <v>20.904126746856399</v>
      </c>
      <c r="BD384" s="2">
        <v>19.883234822535201</v>
      </c>
      <c r="BE384" s="2">
        <v>19.867003227218699</v>
      </c>
      <c r="BF384" s="2">
        <v>20.232659070627498</v>
      </c>
      <c r="BG384" s="2">
        <v>20.731481540540099</v>
      </c>
      <c r="BH384" s="2">
        <v>19.621033453568799</v>
      </c>
      <c r="BI384" s="2">
        <v>20.641155346266</v>
      </c>
      <c r="BJ384" s="2">
        <v>18.8043553216948</v>
      </c>
      <c r="BK384" s="2">
        <v>19.280700233709201</v>
      </c>
      <c r="BL384" s="2">
        <v>19.223101806044401</v>
      </c>
      <c r="BM384" s="2">
        <v>18.335561416834299</v>
      </c>
      <c r="BN384" s="2">
        <v>18.891401949538501</v>
      </c>
      <c r="BO384" s="2">
        <v>19.309238611804801</v>
      </c>
      <c r="BP384" s="2">
        <v>18.5181607793306</v>
      </c>
      <c r="BQ384" s="2">
        <v>19.823533714871001</v>
      </c>
      <c r="BR384" s="2">
        <v>20.026894391381401</v>
      </c>
      <c r="BS384" s="2">
        <v>19.119685383537998</v>
      </c>
      <c r="BT384" s="2">
        <v>18.326879907879601</v>
      </c>
      <c r="BU384" s="2">
        <v>20.4508268887759</v>
      </c>
      <c r="BV384" s="2">
        <v>18.922147953506101</v>
      </c>
      <c r="BW384" s="2">
        <v>18.708302908993399</v>
      </c>
      <c r="BX384" s="2">
        <v>18.4624502298986</v>
      </c>
      <c r="BY384" s="2">
        <v>19.163564821244901</v>
      </c>
      <c r="BZ384" s="2">
        <v>19.9138122531966</v>
      </c>
      <c r="CA384" s="2">
        <v>18.675946595466101</v>
      </c>
      <c r="CB384" s="2">
        <v>19.510967654434801</v>
      </c>
      <c r="CC384" s="2">
        <v>18.844936039612399</v>
      </c>
      <c r="CD384" s="2">
        <v>19.878420348812401</v>
      </c>
      <c r="CE384" s="2">
        <v>19.2901083959263</v>
      </c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</row>
    <row r="385" spans="1:97">
      <c r="A385" s="2" t="s">
        <v>3954</v>
      </c>
      <c r="B385" s="2">
        <v>453.35791</v>
      </c>
      <c r="C385" s="2">
        <v>12.941000000000001</v>
      </c>
      <c r="D385" s="2" t="s">
        <v>146</v>
      </c>
      <c r="E385" s="2" t="s">
        <v>3955</v>
      </c>
      <c r="F385" s="2" t="s">
        <v>3956</v>
      </c>
      <c r="G385" s="2">
        <v>10281</v>
      </c>
      <c r="H385" s="3" t="str">
        <f>HYPERLINK("https://cloud.oebiotech.com/#/lm/network/10281", "https://cloud.oebiotech.com/#/lm/network/10281")</f>
        <v>https://cloud.oebiotech.com/#/lm/network/10281</v>
      </c>
      <c r="I385" s="2"/>
      <c r="J385" s="2"/>
      <c r="K385" s="2" t="s">
        <v>3957</v>
      </c>
      <c r="L385" s="2">
        <v>86289709</v>
      </c>
      <c r="M385" s="2"/>
      <c r="N385" s="2"/>
      <c r="O385" s="2"/>
      <c r="P385" s="2">
        <v>78976</v>
      </c>
      <c r="Q385" s="2"/>
      <c r="R385" s="2"/>
      <c r="S385" s="2"/>
      <c r="T385" s="2" t="s">
        <v>3958</v>
      </c>
      <c r="U385" s="2" t="s">
        <v>3959</v>
      </c>
      <c r="V385" s="2" t="s">
        <v>95</v>
      </c>
      <c r="W385" s="2" t="s">
        <v>96</v>
      </c>
      <c r="X385" s="2" t="s">
        <v>141</v>
      </c>
      <c r="Y385" s="2" t="s">
        <v>98</v>
      </c>
      <c r="Z385" s="2" t="s">
        <v>99</v>
      </c>
      <c r="AA385" s="2" t="s">
        <v>142</v>
      </c>
      <c r="AB385" s="2" t="s">
        <v>101</v>
      </c>
      <c r="AC385" s="2">
        <v>65.69</v>
      </c>
      <c r="AD385" s="2">
        <v>81.67</v>
      </c>
      <c r="AE385" s="2">
        <v>66.94</v>
      </c>
      <c r="AF385" s="2" t="s">
        <v>3960</v>
      </c>
      <c r="AG385" s="2" t="s">
        <v>993</v>
      </c>
      <c r="AH385" s="2" t="s">
        <v>3961</v>
      </c>
      <c r="AI385" s="2">
        <v>0.22</v>
      </c>
      <c r="AJ385" s="2">
        <v>18.804916188215302</v>
      </c>
      <c r="AK385" s="2">
        <v>18.6827879671579</v>
      </c>
      <c r="AL385" s="2">
        <v>18.713687526094699</v>
      </c>
      <c r="AM385" s="2">
        <v>18.498753434436999</v>
      </c>
      <c r="AN385" s="2">
        <v>18.814230992727701</v>
      </c>
      <c r="AO385" s="2">
        <v>18.2448633267738</v>
      </c>
      <c r="AP385" s="2">
        <v>18.239563662205999</v>
      </c>
      <c r="AQ385" s="2">
        <v>18.770998018099998</v>
      </c>
      <c r="AR385" s="2">
        <v>18.2892287565315</v>
      </c>
      <c r="AS385" s="2">
        <v>18.0607071182718</v>
      </c>
      <c r="AT385" s="2">
        <v>17.546268162613099</v>
      </c>
      <c r="AU385" s="2">
        <v>17.676545060989199</v>
      </c>
      <c r="AV385" s="2">
        <v>17.0917018999445</v>
      </c>
      <c r="AW385" s="2">
        <v>18.934573111450099</v>
      </c>
      <c r="AX385" s="2">
        <v>16.992886459621801</v>
      </c>
      <c r="AY385" s="2">
        <v>18.815837381561099</v>
      </c>
      <c r="AZ385" s="2">
        <v>18.901427392776299</v>
      </c>
      <c r="BA385" s="2">
        <v>18.555225143751802</v>
      </c>
      <c r="BB385" s="2">
        <v>18.306508678649301</v>
      </c>
      <c r="BC385" s="2">
        <v>19.627579944022401</v>
      </c>
      <c r="BD385" s="2">
        <v>17.718973483619401</v>
      </c>
      <c r="BE385" s="2">
        <v>19.739797977639402</v>
      </c>
      <c r="BF385" s="2">
        <v>18.449227895323698</v>
      </c>
      <c r="BG385" s="2">
        <v>19.1357974481075</v>
      </c>
      <c r="BH385" s="2">
        <v>18.134381295464099</v>
      </c>
      <c r="BI385" s="2">
        <v>17.967020865551302</v>
      </c>
      <c r="BJ385" s="2">
        <v>19.259736276723</v>
      </c>
      <c r="BK385" s="2">
        <v>17.2311748579944</v>
      </c>
      <c r="BL385" s="2">
        <v>18.708310184560499</v>
      </c>
      <c r="BM385" s="2">
        <v>19.276274943265602</v>
      </c>
      <c r="BN385" s="2">
        <v>17.720802424961601</v>
      </c>
      <c r="BO385" s="2">
        <v>18.0298782700212</v>
      </c>
      <c r="BP385" s="2">
        <v>16.922877153325299</v>
      </c>
      <c r="BQ385" s="2">
        <v>18.889379661551299</v>
      </c>
      <c r="BR385" s="2">
        <v>17.290097166035601</v>
      </c>
      <c r="BS385" s="2">
        <v>18.531218439865398</v>
      </c>
      <c r="BT385" s="2">
        <v>19.131897267628801</v>
      </c>
      <c r="BU385" s="2">
        <v>19.038786210797198</v>
      </c>
      <c r="BV385" s="2">
        <v>18.489361334052901</v>
      </c>
      <c r="BW385" s="2">
        <v>17.101628472475401</v>
      </c>
      <c r="BX385" s="2">
        <v>17.265104508300201</v>
      </c>
      <c r="BY385" s="2">
        <v>20.282959512599401</v>
      </c>
      <c r="BZ385" s="2">
        <v>18.072652559972799</v>
      </c>
      <c r="CA385" s="2">
        <v>18.180468162033701</v>
      </c>
      <c r="CB385" s="2">
        <v>18.265440110203802</v>
      </c>
      <c r="CC385" s="2">
        <v>18.156013927054801</v>
      </c>
      <c r="CD385" s="2">
        <v>19.130235132005598</v>
      </c>
      <c r="CE385" s="2">
        <v>18.012113704889099</v>
      </c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</row>
    <row r="386" spans="1:97">
      <c r="A386" s="2" t="s">
        <v>3962</v>
      </c>
      <c r="B386" s="2">
        <v>136.04799</v>
      </c>
      <c r="C386" s="2">
        <v>0.71499999999999997</v>
      </c>
      <c r="D386" s="2" t="s">
        <v>84</v>
      </c>
      <c r="E386" s="2" t="s">
        <v>3963</v>
      </c>
      <c r="F386" s="2" t="s">
        <v>3964</v>
      </c>
      <c r="G386" s="2">
        <v>47093</v>
      </c>
      <c r="H386" s="3" t="str">
        <f>HYPERLINK("https://cloud.oebiotech.com/#/lm/network/47093", "https://cloud.oebiotech.com/#/lm/network/47093")</f>
        <v>https://cloud.oebiotech.com/#/lm/network/47093</v>
      </c>
      <c r="I386" s="2" t="s">
        <v>3965</v>
      </c>
      <c r="J386" s="2">
        <v>8</v>
      </c>
      <c r="K386" s="2"/>
      <c r="L386" s="2">
        <v>588</v>
      </c>
      <c r="M386" s="2" t="s">
        <v>3966</v>
      </c>
      <c r="N386" s="2" t="s">
        <v>3930</v>
      </c>
      <c r="O386" s="2" t="s">
        <v>3931</v>
      </c>
      <c r="P386" s="2">
        <v>16737</v>
      </c>
      <c r="Q386" s="2" t="s">
        <v>3967</v>
      </c>
      <c r="R386" s="2" t="s">
        <v>3968</v>
      </c>
      <c r="S386" s="2" t="s">
        <v>3969</v>
      </c>
      <c r="T386" s="2" t="s">
        <v>3970</v>
      </c>
      <c r="U386" s="2" t="s">
        <v>3971</v>
      </c>
      <c r="V386" s="2" t="s">
        <v>115</v>
      </c>
      <c r="W386" s="2" t="s">
        <v>116</v>
      </c>
      <c r="X386" s="2" t="s">
        <v>117</v>
      </c>
      <c r="Y386" s="2" t="s">
        <v>118</v>
      </c>
      <c r="Z386" s="2" t="s">
        <v>119</v>
      </c>
      <c r="AA386" s="2" t="s">
        <v>120</v>
      </c>
      <c r="AB386" s="2" t="s">
        <v>101</v>
      </c>
      <c r="AC386" s="2">
        <v>65.66</v>
      </c>
      <c r="AD386" s="2">
        <v>90.74</v>
      </c>
      <c r="AE386" s="2">
        <v>51.31</v>
      </c>
      <c r="AF386" s="2" t="s">
        <v>3972</v>
      </c>
      <c r="AG386" s="2" t="s">
        <v>1578</v>
      </c>
      <c r="AH386" s="2" t="s">
        <v>3973</v>
      </c>
      <c r="AI386" s="2">
        <v>0.74</v>
      </c>
      <c r="AJ386" s="2">
        <v>24.347859054553702</v>
      </c>
      <c r="AK386" s="2">
        <v>24.474208948245199</v>
      </c>
      <c r="AL386" s="2">
        <v>24.1773465614157</v>
      </c>
      <c r="AM386" s="2">
        <v>24.417456789325598</v>
      </c>
      <c r="AN386" s="2">
        <v>24.420641693292399</v>
      </c>
      <c r="AO386" s="2">
        <v>24.4262397381288</v>
      </c>
      <c r="AP386" s="2">
        <v>24.423552603843198</v>
      </c>
      <c r="AQ386" s="2">
        <v>24.5055837868913</v>
      </c>
      <c r="AR386" s="2">
        <v>23.4554738760486</v>
      </c>
      <c r="AS386" s="2">
        <v>23.430160051410599</v>
      </c>
      <c r="AT386" s="2">
        <v>23.227041442354601</v>
      </c>
      <c r="AU386" s="2">
        <v>23.202136549159</v>
      </c>
      <c r="AV386" s="2">
        <v>24.046507167272299</v>
      </c>
      <c r="AW386" s="2">
        <v>24.527130883473401</v>
      </c>
      <c r="AX386" s="2">
        <v>23.653716874085799</v>
      </c>
      <c r="AY386" s="2">
        <v>23.871619884547801</v>
      </c>
      <c r="AZ386" s="2">
        <v>23.994461837268499</v>
      </c>
      <c r="BA386" s="2">
        <v>23.748039509836399</v>
      </c>
      <c r="BB386" s="2">
        <v>23.706104439517901</v>
      </c>
      <c r="BC386" s="2">
        <v>25.362505541977001</v>
      </c>
      <c r="BD386" s="2">
        <v>24.683521417547201</v>
      </c>
      <c r="BE386" s="2">
        <v>25.433343656748399</v>
      </c>
      <c r="BF386" s="2">
        <v>24.088226438771201</v>
      </c>
      <c r="BG386" s="2">
        <v>24.3575437594946</v>
      </c>
      <c r="BH386" s="2">
        <v>24.0292829177382</v>
      </c>
      <c r="BI386" s="2">
        <v>23.863454135922801</v>
      </c>
      <c r="BJ386" s="2">
        <v>24.976176207048901</v>
      </c>
      <c r="BK386" s="2">
        <v>24.491071548994601</v>
      </c>
      <c r="BL386" s="2">
        <v>23.748084924791499</v>
      </c>
      <c r="BM386" s="2">
        <v>24.214371315490901</v>
      </c>
      <c r="BN386" s="2">
        <v>24.358227886079899</v>
      </c>
      <c r="BO386" s="2">
        <v>23.567616402552002</v>
      </c>
      <c r="BP386" s="2">
        <v>24.154626170887799</v>
      </c>
      <c r="BQ386" s="2">
        <v>23.7246170477367</v>
      </c>
      <c r="BR386" s="2">
        <v>23.702276931246999</v>
      </c>
      <c r="BS386" s="2">
        <v>24.544714751351801</v>
      </c>
      <c r="BT386" s="2">
        <v>24.0179843537586</v>
      </c>
      <c r="BU386" s="2">
        <v>23.8466996163123</v>
      </c>
      <c r="BV386" s="2">
        <v>23.75286990195</v>
      </c>
      <c r="BW386" s="2">
        <v>23.880285422027502</v>
      </c>
      <c r="BX386" s="2">
        <v>24.033917391672901</v>
      </c>
      <c r="BY386" s="2">
        <v>26.023014913212201</v>
      </c>
      <c r="BZ386" s="2">
        <v>24.958357863732999</v>
      </c>
      <c r="CA386" s="2">
        <v>24.655833651176899</v>
      </c>
      <c r="CB386" s="2">
        <v>24.296387619062099</v>
      </c>
      <c r="CC386" s="2">
        <v>24.185160304696598</v>
      </c>
      <c r="CD386" s="2">
        <v>25.143300143546</v>
      </c>
      <c r="CE386" s="2">
        <v>24.3256656509494</v>
      </c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</row>
    <row r="387" spans="1:97">
      <c r="A387" s="2" t="s">
        <v>3974</v>
      </c>
      <c r="B387" s="2">
        <v>517.38896999999997</v>
      </c>
      <c r="C387" s="2">
        <v>12.079000000000001</v>
      </c>
      <c r="D387" s="2" t="s">
        <v>146</v>
      </c>
      <c r="E387" s="2" t="s">
        <v>3975</v>
      </c>
      <c r="F387" s="2" t="s">
        <v>3976</v>
      </c>
      <c r="G387" s="2">
        <v>44610</v>
      </c>
      <c r="H387" s="3" t="str">
        <f>HYPERLINK("https://cloud.oebiotech.com/#/lm/network/44610", "https://cloud.oebiotech.com/#/lm/network/44610")</f>
        <v>https://cloud.oebiotech.com/#/lm/network/44610</v>
      </c>
      <c r="I387" s="2"/>
      <c r="J387" s="2"/>
      <c r="K387" s="2" t="s">
        <v>3977</v>
      </c>
      <c r="L387" s="2"/>
      <c r="M387" s="2"/>
      <c r="N387" s="2"/>
      <c r="O387" s="2"/>
      <c r="P387" s="2"/>
      <c r="Q387" s="2"/>
      <c r="R387" s="2"/>
      <c r="S387" s="2"/>
      <c r="T387" s="2" t="s">
        <v>3978</v>
      </c>
      <c r="U387" s="2" t="s">
        <v>3979</v>
      </c>
      <c r="V387" s="2" t="s">
        <v>95</v>
      </c>
      <c r="W387" s="2" t="s">
        <v>152</v>
      </c>
      <c r="X387" s="2" t="s">
        <v>3980</v>
      </c>
      <c r="Y387" s="2" t="s">
        <v>98</v>
      </c>
      <c r="Z387" s="2" t="s">
        <v>154</v>
      </c>
      <c r="AA387" s="2" t="s">
        <v>3981</v>
      </c>
      <c r="AB387" s="2" t="s">
        <v>101</v>
      </c>
      <c r="AC387" s="2">
        <v>65.64</v>
      </c>
      <c r="AD387" s="2">
        <v>94.84</v>
      </c>
      <c r="AE387" s="2">
        <v>49.74</v>
      </c>
      <c r="AF387" s="2" t="s">
        <v>3982</v>
      </c>
      <c r="AG387" s="2" t="s">
        <v>157</v>
      </c>
      <c r="AH387" s="2" t="s">
        <v>3983</v>
      </c>
      <c r="AI387" s="2">
        <v>1.55</v>
      </c>
      <c r="AJ387" s="2">
        <v>20.3483814887473</v>
      </c>
      <c r="AK387" s="2">
        <v>20.0134031280841</v>
      </c>
      <c r="AL387" s="2">
        <v>19.8284607540675</v>
      </c>
      <c r="AM387" s="2">
        <v>19.334694927895999</v>
      </c>
      <c r="AN387" s="2">
        <v>19.612046271324601</v>
      </c>
      <c r="AO387" s="2">
        <v>19.8843571056195</v>
      </c>
      <c r="AP387" s="2">
        <v>19.917809043500501</v>
      </c>
      <c r="AQ387" s="2">
        <v>19.381202941799401</v>
      </c>
      <c r="AR387" s="2">
        <v>20.5315004014175</v>
      </c>
      <c r="AS387" s="2">
        <v>19.324542744240901</v>
      </c>
      <c r="AT387" s="2">
        <v>19.662388449337399</v>
      </c>
      <c r="AU387" s="2">
        <v>19.2374046464559</v>
      </c>
      <c r="AV387" s="2">
        <v>19.413369245863699</v>
      </c>
      <c r="AW387" s="2">
        <v>19.430322765346599</v>
      </c>
      <c r="AX387" s="2">
        <v>18.895282412305701</v>
      </c>
      <c r="AY387" s="2">
        <v>20.893500819806999</v>
      </c>
      <c r="AZ387" s="2">
        <v>20.3864620616528</v>
      </c>
      <c r="BA387" s="2">
        <v>19.980992048000601</v>
      </c>
      <c r="BB387" s="2">
        <v>19.867454718535701</v>
      </c>
      <c r="BC387" s="2">
        <v>20.600811396262301</v>
      </c>
      <c r="BD387" s="2">
        <v>19.476091226761501</v>
      </c>
      <c r="BE387" s="2">
        <v>20.321795147548599</v>
      </c>
      <c r="BF387" s="2">
        <v>19.7662496609213</v>
      </c>
      <c r="BG387" s="2">
        <v>19.368908757351399</v>
      </c>
      <c r="BH387" s="2">
        <v>18.469929248198898</v>
      </c>
      <c r="BI387" s="2">
        <v>18.771386943103298</v>
      </c>
      <c r="BJ387" s="2">
        <v>19.8217731257438</v>
      </c>
      <c r="BK387" s="2">
        <v>18.409696506828599</v>
      </c>
      <c r="BL387" s="2">
        <v>20.399838843586501</v>
      </c>
      <c r="BM387" s="2">
        <v>19.9354845238853</v>
      </c>
      <c r="BN387" s="2">
        <v>19.4655621801503</v>
      </c>
      <c r="BO387" s="2">
        <v>19.742363257164101</v>
      </c>
      <c r="BP387" s="2">
        <v>19.3234053434572</v>
      </c>
      <c r="BQ387" s="2">
        <v>18.967360778967599</v>
      </c>
      <c r="BR387" s="2">
        <v>19.2037868525228</v>
      </c>
      <c r="BS387" s="2">
        <v>20.176650239143399</v>
      </c>
      <c r="BT387" s="2">
        <v>20.446398353138299</v>
      </c>
      <c r="BU387" s="2">
        <v>19.8875571457469</v>
      </c>
      <c r="BV387" s="2">
        <v>19.350439794292601</v>
      </c>
      <c r="BW387" s="2">
        <v>19.4184703132359</v>
      </c>
      <c r="BX387" s="2">
        <v>19.6553835211182</v>
      </c>
      <c r="BY387" s="2">
        <v>20.485230429270601</v>
      </c>
      <c r="BZ387" s="2">
        <v>19.442426084323799</v>
      </c>
      <c r="CA387" s="2">
        <v>19.674569547382099</v>
      </c>
      <c r="CB387" s="2">
        <v>18.033444242157501</v>
      </c>
      <c r="CC387" s="2">
        <v>19.285946770845001</v>
      </c>
      <c r="CD387" s="2">
        <v>19.7972227903213</v>
      </c>
      <c r="CE387" s="2">
        <v>18.735206843376599</v>
      </c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</row>
    <row r="388" spans="1:97">
      <c r="A388" s="2" t="s">
        <v>3984</v>
      </c>
      <c r="B388" s="2">
        <v>349.00179000000003</v>
      </c>
      <c r="C388" s="2">
        <v>5.782</v>
      </c>
      <c r="D388" s="2" t="s">
        <v>146</v>
      </c>
      <c r="E388" s="2" t="s">
        <v>3985</v>
      </c>
      <c r="F388" s="2" t="s">
        <v>3986</v>
      </c>
      <c r="G388" s="2">
        <v>197177</v>
      </c>
      <c r="H388" s="3" t="str">
        <f>HYPERLINK("https://cloud.oebiotech.com/#/lm/network/197177", "https://cloud.oebiotech.com/#/lm/network/197177")</f>
        <v>https://cloud.oebiotech.com/#/lm/network/197177</v>
      </c>
      <c r="I388" s="2" t="s">
        <v>3987</v>
      </c>
      <c r="J388" s="2"/>
      <c r="K388" s="2"/>
      <c r="L388" s="2">
        <v>10291508</v>
      </c>
      <c r="M388" s="2"/>
      <c r="N388" s="2"/>
      <c r="O388" s="2"/>
      <c r="P388" s="2"/>
      <c r="Q388" s="2"/>
      <c r="R388" s="2"/>
      <c r="S388" s="2"/>
      <c r="T388" s="2" t="s">
        <v>3988</v>
      </c>
      <c r="U388" s="2" t="s">
        <v>3989</v>
      </c>
      <c r="V388" s="2" t="s">
        <v>845</v>
      </c>
      <c r="W388" s="2" t="s">
        <v>3853</v>
      </c>
      <c r="X388" s="2" t="s">
        <v>3854</v>
      </c>
      <c r="Y388" s="2" t="s">
        <v>847</v>
      </c>
      <c r="Z388" s="2" t="s">
        <v>3855</v>
      </c>
      <c r="AA388" s="2" t="s">
        <v>3856</v>
      </c>
      <c r="AB388" s="2" t="s">
        <v>101</v>
      </c>
      <c r="AC388" s="2">
        <v>65.63</v>
      </c>
      <c r="AD388" s="2">
        <v>86.81</v>
      </c>
      <c r="AE388" s="2">
        <v>74.150000000000006</v>
      </c>
      <c r="AF388" s="2" t="s">
        <v>3990</v>
      </c>
      <c r="AG388" s="2" t="s">
        <v>194</v>
      </c>
      <c r="AH388" s="2" t="s">
        <v>3991</v>
      </c>
      <c r="AI388" s="2">
        <v>1.43</v>
      </c>
      <c r="AJ388" s="2">
        <v>17.2569540628695</v>
      </c>
      <c r="AK388" s="2">
        <v>17.436224023240001</v>
      </c>
      <c r="AL388" s="2">
        <v>17.511618398447801</v>
      </c>
      <c r="AM388" s="2">
        <v>17.576874684359801</v>
      </c>
      <c r="AN388" s="2">
        <v>17.507345740855801</v>
      </c>
      <c r="AO388" s="2">
        <v>17.6766585475361</v>
      </c>
      <c r="AP388" s="2">
        <v>17.661171629304</v>
      </c>
      <c r="AQ388" s="2">
        <v>17.488855640998501</v>
      </c>
      <c r="AR388" s="2">
        <v>9.6233145402724691</v>
      </c>
      <c r="AS388" s="2">
        <v>9.6233145402724691</v>
      </c>
      <c r="AT388" s="2">
        <v>9.6233145402724691</v>
      </c>
      <c r="AU388" s="2">
        <v>9.6233145402724691</v>
      </c>
      <c r="AV388" s="2">
        <v>16.751778091016099</v>
      </c>
      <c r="AW388" s="2">
        <v>21.1742490594625</v>
      </c>
      <c r="AX388" s="2">
        <v>9.6233145402724691</v>
      </c>
      <c r="AY388" s="2">
        <v>11.4301702576279</v>
      </c>
      <c r="AZ388" s="2">
        <v>9.6233145402724691</v>
      </c>
      <c r="BA388" s="2">
        <v>14.599175968584699</v>
      </c>
      <c r="BB388" s="2">
        <v>9.6233145402724691</v>
      </c>
      <c r="BC388" s="2">
        <v>9.6233145402724691</v>
      </c>
      <c r="BD388" s="2">
        <v>17.631467757095201</v>
      </c>
      <c r="BE388" s="2">
        <v>9.6233145402724691</v>
      </c>
      <c r="BF388" s="2">
        <v>18.0344652513315</v>
      </c>
      <c r="BG388" s="2">
        <v>11.989774106488399</v>
      </c>
      <c r="BH388" s="2">
        <v>9.6233145402724691</v>
      </c>
      <c r="BI388" s="2">
        <v>13.693880029633601</v>
      </c>
      <c r="BJ388" s="2">
        <v>9.6233145402724691</v>
      </c>
      <c r="BK388" s="2">
        <v>17.9180543006863</v>
      </c>
      <c r="BL388" s="2">
        <v>9.6233145402724691</v>
      </c>
      <c r="BM388" s="2">
        <v>18.490726411980202</v>
      </c>
      <c r="BN388" s="2">
        <v>18.194162693635501</v>
      </c>
      <c r="BO388" s="2">
        <v>9.6233145402724691</v>
      </c>
      <c r="BP388" s="2">
        <v>19.0382112141587</v>
      </c>
      <c r="BQ388" s="2">
        <v>9.6233145402724691</v>
      </c>
      <c r="BR388" s="2">
        <v>9.6233145402724691</v>
      </c>
      <c r="BS388" s="2">
        <v>12.616130677294199</v>
      </c>
      <c r="BT388" s="2">
        <v>9.6233145402724691</v>
      </c>
      <c r="BU388" s="2">
        <v>14.4970833922354</v>
      </c>
      <c r="BV388" s="2">
        <v>9.6233145402724691</v>
      </c>
      <c r="BW388" s="2">
        <v>9.6233145402724691</v>
      </c>
      <c r="BX388" s="2">
        <v>9.6233145402724691</v>
      </c>
      <c r="BY388" s="2">
        <v>16.539079881265401</v>
      </c>
      <c r="BZ388" s="2">
        <v>9.6233145402724691</v>
      </c>
      <c r="CA388" s="2">
        <v>20.226874145051301</v>
      </c>
      <c r="CB388" s="2">
        <v>17.042090467003899</v>
      </c>
      <c r="CC388" s="2">
        <v>19.625973492408502</v>
      </c>
      <c r="CD388" s="2">
        <v>11.704932467317301</v>
      </c>
      <c r="CE388" s="2">
        <v>18.7784039916118</v>
      </c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</row>
    <row r="389" spans="1:97">
      <c r="A389" s="2" t="s">
        <v>3992</v>
      </c>
      <c r="B389" s="2">
        <v>129.05534</v>
      </c>
      <c r="C389" s="2">
        <v>4.3310000000000004</v>
      </c>
      <c r="D389" s="2" t="s">
        <v>146</v>
      </c>
      <c r="E389" s="2" t="s">
        <v>3993</v>
      </c>
      <c r="F389" s="2" t="s">
        <v>3994</v>
      </c>
      <c r="G389" s="2">
        <v>47163</v>
      </c>
      <c r="H389" s="3" t="str">
        <f>HYPERLINK("https://cloud.oebiotech.com/#/lm/network/47163", "https://cloud.oebiotech.com/#/lm/network/47163")</f>
        <v>https://cloud.oebiotech.com/#/lm/network/47163</v>
      </c>
      <c r="I389" s="2" t="s">
        <v>3995</v>
      </c>
      <c r="J389" s="2">
        <v>121</v>
      </c>
      <c r="K389" s="2"/>
      <c r="L389" s="2">
        <v>70</v>
      </c>
      <c r="M389" s="2" t="s">
        <v>3996</v>
      </c>
      <c r="N389" s="2" t="s">
        <v>3997</v>
      </c>
      <c r="O389" s="2" t="s">
        <v>3998</v>
      </c>
      <c r="P389" s="2">
        <v>48430</v>
      </c>
      <c r="Q389" s="2"/>
      <c r="R389" s="2"/>
      <c r="S389" s="2" t="s">
        <v>3999</v>
      </c>
      <c r="T389" s="2" t="s">
        <v>4000</v>
      </c>
      <c r="U389" s="2" t="s">
        <v>4001</v>
      </c>
      <c r="V389" s="2" t="s">
        <v>115</v>
      </c>
      <c r="W389" s="2" t="s">
        <v>403</v>
      </c>
      <c r="X389" s="2" t="s">
        <v>1905</v>
      </c>
      <c r="Y389" s="2" t="s">
        <v>118</v>
      </c>
      <c r="Z389" s="2" t="s">
        <v>405</v>
      </c>
      <c r="AA389" s="2" t="s">
        <v>1906</v>
      </c>
      <c r="AB389" s="2" t="s">
        <v>101</v>
      </c>
      <c r="AC389" s="2">
        <v>65.61</v>
      </c>
      <c r="AD389" s="2">
        <v>99.8</v>
      </c>
      <c r="AE389" s="2">
        <v>57.05</v>
      </c>
      <c r="AF389" s="2" t="s">
        <v>4002</v>
      </c>
      <c r="AG389" s="2" t="s">
        <v>194</v>
      </c>
      <c r="AH389" s="2" t="s">
        <v>3047</v>
      </c>
      <c r="AI389" s="2">
        <v>2.94</v>
      </c>
      <c r="AJ389" s="2">
        <v>28.396608145301499</v>
      </c>
      <c r="AK389" s="2">
        <v>28.4461626848225</v>
      </c>
      <c r="AL389" s="2">
        <v>28.471781286794901</v>
      </c>
      <c r="AM389" s="2">
        <v>28.5862853552259</v>
      </c>
      <c r="AN389" s="2">
        <v>28.472207759633999</v>
      </c>
      <c r="AO389" s="2">
        <v>28.416152350241902</v>
      </c>
      <c r="AP389" s="2">
        <v>28.391152514539701</v>
      </c>
      <c r="AQ389" s="2">
        <v>28.566429539836701</v>
      </c>
      <c r="AR389" s="2">
        <v>27.322757090192098</v>
      </c>
      <c r="AS389" s="2">
        <v>27.1711621062909</v>
      </c>
      <c r="AT389" s="2">
        <v>28.015591012310001</v>
      </c>
      <c r="AU389" s="2">
        <v>27.5420603846113</v>
      </c>
      <c r="AV389" s="2">
        <v>28.140043757730599</v>
      </c>
      <c r="AW389" s="2">
        <v>28.236522387085</v>
      </c>
      <c r="AX389" s="2">
        <v>28.435031368148</v>
      </c>
      <c r="AY389" s="2">
        <v>28.286840387500298</v>
      </c>
      <c r="AZ389" s="2">
        <v>27.4968151986</v>
      </c>
      <c r="BA389" s="2">
        <v>27.670830422632999</v>
      </c>
      <c r="BB389" s="2">
        <v>28.711983670747902</v>
      </c>
      <c r="BC389" s="2">
        <v>29.2871264219288</v>
      </c>
      <c r="BD389" s="2">
        <v>28.1947191313836</v>
      </c>
      <c r="BE389" s="2">
        <v>28.9632044942569</v>
      </c>
      <c r="BF389" s="2">
        <v>28.487656355812401</v>
      </c>
      <c r="BG389" s="2">
        <v>28.902969940856799</v>
      </c>
      <c r="BH389" s="2">
        <v>28.458135877217099</v>
      </c>
      <c r="BI389" s="2">
        <v>28.6203616017551</v>
      </c>
      <c r="BJ389" s="2">
        <v>28.368808855513901</v>
      </c>
      <c r="BK389" s="2">
        <v>27.896436781021201</v>
      </c>
      <c r="BL389" s="2">
        <v>28.1841838648382</v>
      </c>
      <c r="BM389" s="2">
        <v>28.846107150413101</v>
      </c>
      <c r="BN389" s="2">
        <v>28.383270781017998</v>
      </c>
      <c r="BO389" s="2">
        <v>28.123211245552898</v>
      </c>
      <c r="BP389" s="2">
        <v>28.225157106257999</v>
      </c>
      <c r="BQ389" s="2">
        <v>28.237707793482102</v>
      </c>
      <c r="BR389" s="2">
        <v>28.2682516548455</v>
      </c>
      <c r="BS389" s="2">
        <v>28.044621272055501</v>
      </c>
      <c r="BT389" s="2">
        <v>27.553713344632399</v>
      </c>
      <c r="BU389" s="2">
        <v>27.957451991021902</v>
      </c>
      <c r="BV389" s="2">
        <v>28.6804731847241</v>
      </c>
      <c r="BW389" s="2">
        <v>28.202925892786698</v>
      </c>
      <c r="BX389" s="2">
        <v>28.176042561768199</v>
      </c>
      <c r="BY389" s="2">
        <v>28.556982519491498</v>
      </c>
      <c r="BZ389" s="2">
        <v>28.3715028972087</v>
      </c>
      <c r="CA389" s="2">
        <v>29.052311989224201</v>
      </c>
      <c r="CB389" s="2">
        <v>28.249686688239699</v>
      </c>
      <c r="CC389" s="2">
        <v>28.5526095377631</v>
      </c>
      <c r="CD389" s="2">
        <v>28.5469765861267</v>
      </c>
      <c r="CE389" s="2">
        <v>28.636939096073998</v>
      </c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</row>
    <row r="390" spans="1:97">
      <c r="A390" s="2" t="s">
        <v>4003</v>
      </c>
      <c r="B390" s="2">
        <v>431.11883</v>
      </c>
      <c r="C390" s="2">
        <v>4.609</v>
      </c>
      <c r="D390" s="2" t="s">
        <v>146</v>
      </c>
      <c r="E390" s="2" t="s">
        <v>4004</v>
      </c>
      <c r="F390" s="2" t="s">
        <v>4005</v>
      </c>
      <c r="G390" s="2">
        <v>197110</v>
      </c>
      <c r="H390" s="3" t="str">
        <f>HYPERLINK("https://cloud.oebiotech.com/#/lm/network/197110", "https://cloud.oebiotech.com/#/lm/network/197110")</f>
        <v>https://cloud.oebiotech.com/#/lm/network/197110</v>
      </c>
      <c r="I390" s="2" t="s">
        <v>4006</v>
      </c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 t="s">
        <v>4007</v>
      </c>
      <c r="U390" s="2" t="s">
        <v>4008</v>
      </c>
      <c r="V390" s="2" t="s">
        <v>95</v>
      </c>
      <c r="W390" s="2" t="s">
        <v>4009</v>
      </c>
      <c r="X390" s="2" t="s">
        <v>375</v>
      </c>
      <c r="Y390" s="2" t="s">
        <v>98</v>
      </c>
      <c r="Z390" s="2" t="s">
        <v>4010</v>
      </c>
      <c r="AA390" s="2"/>
      <c r="AB390" s="2" t="s">
        <v>3086</v>
      </c>
      <c r="AC390" s="2">
        <v>65.599999999999994</v>
      </c>
      <c r="AD390" s="2">
        <v>86.91</v>
      </c>
      <c r="AE390" s="2">
        <v>40.92</v>
      </c>
      <c r="AF390" s="2" t="s">
        <v>4011</v>
      </c>
      <c r="AG390" s="2" t="s">
        <v>157</v>
      </c>
      <c r="AH390" s="2" t="s">
        <v>4012</v>
      </c>
      <c r="AI390" s="2">
        <v>1.62</v>
      </c>
      <c r="AJ390" s="2">
        <v>16.858717919309001</v>
      </c>
      <c r="AK390" s="2">
        <v>16.8471518191594</v>
      </c>
      <c r="AL390" s="2">
        <v>16.3924190599624</v>
      </c>
      <c r="AM390" s="2">
        <v>16.182016597514099</v>
      </c>
      <c r="AN390" s="2">
        <v>16.286222749485901</v>
      </c>
      <c r="AO390" s="2">
        <v>16.354345471162201</v>
      </c>
      <c r="AP390" s="2">
        <v>16.239407216276401</v>
      </c>
      <c r="AQ390" s="2">
        <v>16.2465383546891</v>
      </c>
      <c r="AR390" s="2">
        <v>19.051464747812599</v>
      </c>
      <c r="AS390" s="2">
        <v>15.5552856302743</v>
      </c>
      <c r="AT390" s="2">
        <v>16.925319380112899</v>
      </c>
      <c r="AU390" s="2">
        <v>13.802990857821101</v>
      </c>
      <c r="AV390" s="2">
        <v>15.726960766629899</v>
      </c>
      <c r="AW390" s="2">
        <v>9.6233145402724691</v>
      </c>
      <c r="AX390" s="2">
        <v>12.822325846746701</v>
      </c>
      <c r="AY390" s="2">
        <v>12.023823645345299</v>
      </c>
      <c r="AZ390" s="2">
        <v>18.191248226130298</v>
      </c>
      <c r="BA390" s="2">
        <v>16.984059809977801</v>
      </c>
      <c r="BB390" s="2">
        <v>14.7102328139674</v>
      </c>
      <c r="BC390" s="2">
        <v>18.994319733800701</v>
      </c>
      <c r="BD390" s="2">
        <v>16.756209418988501</v>
      </c>
      <c r="BE390" s="2">
        <v>15.548978701531301</v>
      </c>
      <c r="BF390" s="2">
        <v>14.900718720411099</v>
      </c>
      <c r="BG390" s="2">
        <v>14.6730705208362</v>
      </c>
      <c r="BH390" s="2">
        <v>18.168148276405301</v>
      </c>
      <c r="BI390" s="2">
        <v>9.6233145402724691</v>
      </c>
      <c r="BJ390" s="2">
        <v>18.266070486356899</v>
      </c>
      <c r="BK390" s="2">
        <v>15.585531518067</v>
      </c>
      <c r="BL390" s="2">
        <v>9.6233145402724691</v>
      </c>
      <c r="BM390" s="2">
        <v>18.0778256204405</v>
      </c>
      <c r="BN390" s="2">
        <v>16.819252792907399</v>
      </c>
      <c r="BO390" s="2">
        <v>15.5648678594732</v>
      </c>
      <c r="BP390" s="2">
        <v>9.6233145402724691</v>
      </c>
      <c r="BQ390" s="2">
        <v>13.7640401432754</v>
      </c>
      <c r="BR390" s="2">
        <v>9.6233145402724691</v>
      </c>
      <c r="BS390" s="2">
        <v>14.6589288576701</v>
      </c>
      <c r="BT390" s="2">
        <v>20.215347984748</v>
      </c>
      <c r="BU390" s="2">
        <v>17.399308219584899</v>
      </c>
      <c r="BV390" s="2">
        <v>13.9048048827493</v>
      </c>
      <c r="BW390" s="2">
        <v>15.7233332400954</v>
      </c>
      <c r="BX390" s="2">
        <v>16.557052440195498</v>
      </c>
      <c r="BY390" s="2">
        <v>12.904704233599199</v>
      </c>
      <c r="BZ390" s="2">
        <v>9.6233145402724691</v>
      </c>
      <c r="CA390" s="2">
        <v>14.9827021907261</v>
      </c>
      <c r="CB390" s="2">
        <v>13.104090903673301</v>
      </c>
      <c r="CC390" s="2">
        <v>9.6233145402724691</v>
      </c>
      <c r="CD390" s="2">
        <v>16.883731059943798</v>
      </c>
      <c r="CE390" s="2">
        <v>14.9155096968764</v>
      </c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</row>
    <row r="391" spans="1:97">
      <c r="A391" s="2" t="s">
        <v>4013</v>
      </c>
      <c r="B391" s="2">
        <v>221.15425999999999</v>
      </c>
      <c r="C391" s="2">
        <v>9.1590000000000007</v>
      </c>
      <c r="D391" s="2" t="s">
        <v>146</v>
      </c>
      <c r="E391" s="2" t="s">
        <v>4014</v>
      </c>
      <c r="F391" s="2" t="s">
        <v>4015</v>
      </c>
      <c r="G391" s="2">
        <v>60465</v>
      </c>
      <c r="H391" s="3" t="str">
        <f>HYPERLINK("https://cloud.oebiotech.com/#/lm/network/60465", "https://cloud.oebiotech.com/#/lm/network/60465")</f>
        <v>https://cloud.oebiotech.com/#/lm/network/60465</v>
      </c>
      <c r="I391" s="2" t="s">
        <v>4016</v>
      </c>
      <c r="J391" s="2"/>
      <c r="K391" s="2"/>
      <c r="L391" s="2">
        <v>3440569</v>
      </c>
      <c r="M391" s="2"/>
      <c r="N391" s="2"/>
      <c r="O391" s="2"/>
      <c r="P391" s="2"/>
      <c r="Q391" s="2"/>
      <c r="R391" s="2"/>
      <c r="S391" s="2" t="s">
        <v>4017</v>
      </c>
      <c r="T391" s="2" t="s">
        <v>4018</v>
      </c>
      <c r="U391" s="2" t="s">
        <v>4019</v>
      </c>
      <c r="V391" s="2" t="s">
        <v>338</v>
      </c>
      <c r="W391" s="2" t="s">
        <v>339</v>
      </c>
      <c r="X391" s="2" t="s">
        <v>340</v>
      </c>
      <c r="Y391" s="2" t="s">
        <v>341</v>
      </c>
      <c r="Z391" s="2" t="s">
        <v>341</v>
      </c>
      <c r="AA391" s="2" t="s">
        <v>342</v>
      </c>
      <c r="AB391" s="2" t="s">
        <v>101</v>
      </c>
      <c r="AC391" s="2">
        <v>65.55</v>
      </c>
      <c r="AD391" s="2">
        <v>91.1</v>
      </c>
      <c r="AE391" s="2">
        <v>54.59</v>
      </c>
      <c r="AF391" s="2" t="s">
        <v>4020</v>
      </c>
      <c r="AG391" s="2" t="s">
        <v>194</v>
      </c>
      <c r="AH391" s="2" t="s">
        <v>1384</v>
      </c>
      <c r="AI391" s="2">
        <v>1.81</v>
      </c>
      <c r="AJ391" s="2">
        <v>18.911060372383801</v>
      </c>
      <c r="AK391" s="2">
        <v>18.894675624987599</v>
      </c>
      <c r="AL391" s="2">
        <v>19.1464934008292</v>
      </c>
      <c r="AM391" s="2">
        <v>19.192145343964199</v>
      </c>
      <c r="AN391" s="2">
        <v>18.8166018001079</v>
      </c>
      <c r="AO391" s="2">
        <v>18.891459594322502</v>
      </c>
      <c r="AP391" s="2">
        <v>19.024421015863702</v>
      </c>
      <c r="AQ391" s="2">
        <v>18.9377433151876</v>
      </c>
      <c r="AR391" s="2">
        <v>17.6312133699324</v>
      </c>
      <c r="AS391" s="2">
        <v>18.1368443606856</v>
      </c>
      <c r="AT391" s="2">
        <v>17.909555615629898</v>
      </c>
      <c r="AU391" s="2">
        <v>17.166320025267002</v>
      </c>
      <c r="AV391" s="2">
        <v>16.613749328313201</v>
      </c>
      <c r="AW391" s="2">
        <v>18.500737527126802</v>
      </c>
      <c r="AX391" s="2">
        <v>16.841697628709401</v>
      </c>
      <c r="AY391" s="2">
        <v>18.2198354576655</v>
      </c>
      <c r="AZ391" s="2">
        <v>17.7993317142301</v>
      </c>
      <c r="BA391" s="2">
        <v>16.6228816052996</v>
      </c>
      <c r="BB391" s="2">
        <v>18.1104469626274</v>
      </c>
      <c r="BC391" s="2">
        <v>18.3092478504112</v>
      </c>
      <c r="BD391" s="2">
        <v>17.763978828382101</v>
      </c>
      <c r="BE391" s="2">
        <v>18.397118952334601</v>
      </c>
      <c r="BF391" s="2">
        <v>17.32065443195</v>
      </c>
      <c r="BG391" s="2">
        <v>18.066417559244901</v>
      </c>
      <c r="BH391" s="2">
        <v>18.121525271436902</v>
      </c>
      <c r="BI391" s="2">
        <v>18.503774893153299</v>
      </c>
      <c r="BJ391" s="2">
        <v>16.083950037826799</v>
      </c>
      <c r="BK391" s="2">
        <v>16.697905570486999</v>
      </c>
      <c r="BL391" s="2">
        <v>16.294936411580899</v>
      </c>
      <c r="BM391" s="2">
        <v>16.535317908276902</v>
      </c>
      <c r="BN391" s="2">
        <v>16.334011172364502</v>
      </c>
      <c r="BO391" s="2">
        <v>18.137685426149101</v>
      </c>
      <c r="BP391" s="2">
        <v>16.4921235762931</v>
      </c>
      <c r="BQ391" s="2">
        <v>17.624868548120901</v>
      </c>
      <c r="BR391" s="2">
        <v>17.727941853459399</v>
      </c>
      <c r="BS391" s="2">
        <v>15.7447581696914</v>
      </c>
      <c r="BT391" s="2">
        <v>15.527042592689901</v>
      </c>
      <c r="BU391" s="2">
        <v>17.853238698328699</v>
      </c>
      <c r="BV391" s="2">
        <v>17.049961255598099</v>
      </c>
      <c r="BW391" s="2">
        <v>16.469088491517699</v>
      </c>
      <c r="BX391" s="2">
        <v>16.766298034074399</v>
      </c>
      <c r="BY391" s="2">
        <v>16.765089869943001</v>
      </c>
      <c r="BZ391" s="2">
        <v>18.470893847286799</v>
      </c>
      <c r="CA391" s="2">
        <v>16.481467882680999</v>
      </c>
      <c r="CB391" s="2">
        <v>17.851295749379801</v>
      </c>
      <c r="CC391" s="2">
        <v>16.1843796799402</v>
      </c>
      <c r="CD391" s="2">
        <v>18.000185068978698</v>
      </c>
      <c r="CE391" s="2">
        <v>16.9349047211597</v>
      </c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</row>
    <row r="392" spans="1:97">
      <c r="A392" s="2" t="s">
        <v>4021</v>
      </c>
      <c r="B392" s="2">
        <v>239.16480999999999</v>
      </c>
      <c r="C392" s="2">
        <v>9.9559999999999995</v>
      </c>
      <c r="D392" s="2" t="s">
        <v>146</v>
      </c>
      <c r="E392" s="2" t="s">
        <v>4022</v>
      </c>
      <c r="F392" s="2" t="s">
        <v>4023</v>
      </c>
      <c r="G392" s="2">
        <v>60493</v>
      </c>
      <c r="H392" s="3" t="str">
        <f>HYPERLINK("https://cloud.oebiotech.com/#/lm/network/60493", "https://cloud.oebiotech.com/#/lm/network/60493")</f>
        <v>https://cloud.oebiotech.com/#/lm/network/60493</v>
      </c>
      <c r="I392" s="2" t="s">
        <v>4024</v>
      </c>
      <c r="J392" s="2">
        <v>91834</v>
      </c>
      <c r="K392" s="2"/>
      <c r="L392" s="2">
        <v>5373729</v>
      </c>
      <c r="M392" s="2"/>
      <c r="N392" s="2"/>
      <c r="O392" s="2"/>
      <c r="P392" s="2"/>
      <c r="Q392" s="2"/>
      <c r="R392" s="2"/>
      <c r="S392" s="2" t="s">
        <v>4025</v>
      </c>
      <c r="T392" s="2" t="s">
        <v>4026</v>
      </c>
      <c r="U392" s="2" t="s">
        <v>4027</v>
      </c>
      <c r="V392" s="2" t="s">
        <v>95</v>
      </c>
      <c r="W392" s="2" t="s">
        <v>180</v>
      </c>
      <c r="X392" s="2" t="s">
        <v>181</v>
      </c>
      <c r="Y392" s="2" t="s">
        <v>98</v>
      </c>
      <c r="Z392" s="2" t="s">
        <v>182</v>
      </c>
      <c r="AA392" s="2" t="s">
        <v>183</v>
      </c>
      <c r="AB392" s="2" t="s">
        <v>101</v>
      </c>
      <c r="AC392" s="2">
        <v>65.55</v>
      </c>
      <c r="AD392" s="2">
        <v>97.11</v>
      </c>
      <c r="AE392" s="2">
        <v>53.44</v>
      </c>
      <c r="AF392" s="2" t="s">
        <v>4028</v>
      </c>
      <c r="AG392" s="2" t="s">
        <v>157</v>
      </c>
      <c r="AH392" s="2" t="s">
        <v>4029</v>
      </c>
      <c r="AI392" s="2">
        <v>2.09</v>
      </c>
      <c r="AJ392" s="2">
        <v>21.096439965250902</v>
      </c>
      <c r="AK392" s="2">
        <v>20.957499542362601</v>
      </c>
      <c r="AL392" s="2">
        <v>20.961203493540701</v>
      </c>
      <c r="AM392" s="2">
        <v>21.015971364974501</v>
      </c>
      <c r="AN392" s="2">
        <v>21.045383192886199</v>
      </c>
      <c r="AO392" s="2">
        <v>20.914711021552399</v>
      </c>
      <c r="AP392" s="2">
        <v>20.877766181197099</v>
      </c>
      <c r="AQ392" s="2">
        <v>20.964316864419999</v>
      </c>
      <c r="AR392" s="2">
        <v>17.956131259039498</v>
      </c>
      <c r="AS392" s="2">
        <v>20.477066078586802</v>
      </c>
      <c r="AT392" s="2">
        <v>21.7740264408699</v>
      </c>
      <c r="AU392" s="2">
        <v>19.413073069935599</v>
      </c>
      <c r="AV392" s="2">
        <v>19.424429830246002</v>
      </c>
      <c r="AW392" s="2">
        <v>20.593859807642399</v>
      </c>
      <c r="AX392" s="2">
        <v>20.443003210152199</v>
      </c>
      <c r="AY392" s="2">
        <v>19.8632712302641</v>
      </c>
      <c r="AZ392" s="2">
        <v>17.316184995245401</v>
      </c>
      <c r="BA392" s="2">
        <v>21.312103168815799</v>
      </c>
      <c r="BB392" s="2">
        <v>21.469233014674899</v>
      </c>
      <c r="BC392" s="2">
        <v>22.026237365885599</v>
      </c>
      <c r="BD392" s="2">
        <v>17.811662556511401</v>
      </c>
      <c r="BE392" s="2">
        <v>20.016390254305101</v>
      </c>
      <c r="BF392" s="2">
        <v>20.134615880093399</v>
      </c>
      <c r="BG392" s="2">
        <v>21.377211775076901</v>
      </c>
      <c r="BH392" s="2">
        <v>19.614979824594201</v>
      </c>
      <c r="BI392" s="2">
        <v>20.932429947311299</v>
      </c>
      <c r="BJ392" s="2">
        <v>20.647344472923599</v>
      </c>
      <c r="BK392" s="2">
        <v>19.013439714248999</v>
      </c>
      <c r="BL392" s="2">
        <v>21.530930181243001</v>
      </c>
      <c r="BM392" s="2">
        <v>18.978356840877801</v>
      </c>
      <c r="BN392" s="2">
        <v>20.889483866095102</v>
      </c>
      <c r="BO392" s="2">
        <v>21.057315704203099</v>
      </c>
      <c r="BP392" s="2">
        <v>20.496351660069301</v>
      </c>
      <c r="BQ392" s="2">
        <v>21.6517116118976</v>
      </c>
      <c r="BR392" s="2">
        <v>21.512815639784598</v>
      </c>
      <c r="BS392" s="2">
        <v>19.009109867605201</v>
      </c>
      <c r="BT392" s="2">
        <v>19.521708986634199</v>
      </c>
      <c r="BU392" s="2">
        <v>21.545096172318001</v>
      </c>
      <c r="BV392" s="2">
        <v>21.669565163266299</v>
      </c>
      <c r="BW392" s="2">
        <v>20.354865703369502</v>
      </c>
      <c r="BX392" s="2">
        <v>19.450326666771399</v>
      </c>
      <c r="BY392" s="2">
        <v>20.331724549487799</v>
      </c>
      <c r="BZ392" s="2">
        <v>20.421618178031199</v>
      </c>
      <c r="CA392" s="2">
        <v>19.2773770163117</v>
      </c>
      <c r="CB392" s="2">
        <v>21.428912470336702</v>
      </c>
      <c r="CC392" s="2">
        <v>21.814859017539199</v>
      </c>
      <c r="CD392" s="2">
        <v>20.399096276329399</v>
      </c>
      <c r="CE392" s="2">
        <v>21.475452196076901</v>
      </c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</row>
    <row r="393" spans="1:97">
      <c r="A393" s="2" t="s">
        <v>4030</v>
      </c>
      <c r="B393" s="2">
        <v>409.22255999999999</v>
      </c>
      <c r="C393" s="2">
        <v>6.9539999999999997</v>
      </c>
      <c r="D393" s="2" t="s">
        <v>146</v>
      </c>
      <c r="E393" s="2" t="s">
        <v>4031</v>
      </c>
      <c r="F393" s="2" t="s">
        <v>4032</v>
      </c>
      <c r="G393" s="2">
        <v>201941</v>
      </c>
      <c r="H393" s="3" t="str">
        <f>HYPERLINK("https://cloud.oebiotech.com/#/lm/network/201941", "https://cloud.oebiotech.com/#/lm/network/201941")</f>
        <v>https://cloud.oebiotech.com/#/lm/network/201941</v>
      </c>
      <c r="I393" s="2" t="s">
        <v>4033</v>
      </c>
      <c r="J393" s="2"/>
      <c r="K393" s="2"/>
      <c r="L393" s="2">
        <v>225756</v>
      </c>
      <c r="M393" s="2"/>
      <c r="N393" s="2"/>
      <c r="O393" s="2"/>
      <c r="P393" s="2"/>
      <c r="Q393" s="2"/>
      <c r="R393" s="2"/>
      <c r="S393" s="2"/>
      <c r="T393" s="2" t="s">
        <v>4034</v>
      </c>
      <c r="U393" s="2" t="s">
        <v>4035</v>
      </c>
      <c r="V393" s="2" t="s">
        <v>95</v>
      </c>
      <c r="W393" s="2" t="s">
        <v>152</v>
      </c>
      <c r="X393" s="2" t="s">
        <v>153</v>
      </c>
      <c r="Y393" s="2" t="s">
        <v>98</v>
      </c>
      <c r="Z393" s="2" t="s">
        <v>154</v>
      </c>
      <c r="AA393" s="2" t="s">
        <v>155</v>
      </c>
      <c r="AB393" s="2" t="s">
        <v>101</v>
      </c>
      <c r="AC393" s="2">
        <v>65.489999999999995</v>
      </c>
      <c r="AD393" s="2">
        <v>85.97</v>
      </c>
      <c r="AE393" s="2">
        <v>54.9</v>
      </c>
      <c r="AF393" s="2" t="s">
        <v>4036</v>
      </c>
      <c r="AG393" s="2" t="s">
        <v>157</v>
      </c>
      <c r="AH393" s="2" t="s">
        <v>4037</v>
      </c>
      <c r="AI393" s="2">
        <v>1.47</v>
      </c>
      <c r="AJ393" s="2">
        <v>17.509124646212499</v>
      </c>
      <c r="AK393" s="2">
        <v>17.347626039604101</v>
      </c>
      <c r="AL393" s="2">
        <v>17.4501062865235</v>
      </c>
      <c r="AM393" s="2">
        <v>17.429795658999002</v>
      </c>
      <c r="AN393" s="2">
        <v>17.6868353371488</v>
      </c>
      <c r="AO393" s="2">
        <v>17.138169887033602</v>
      </c>
      <c r="AP393" s="2">
        <v>17.471696565739698</v>
      </c>
      <c r="AQ393" s="2">
        <v>17.4406163981417</v>
      </c>
      <c r="AR393" s="2">
        <v>15.633692868553799</v>
      </c>
      <c r="AS393" s="2">
        <v>13.6369587488061</v>
      </c>
      <c r="AT393" s="2">
        <v>17.673374367519799</v>
      </c>
      <c r="AU393" s="2">
        <v>16.360778684825199</v>
      </c>
      <c r="AV393" s="2">
        <v>16.8404760194774</v>
      </c>
      <c r="AW393" s="2">
        <v>17.418713076761101</v>
      </c>
      <c r="AX393" s="2">
        <v>16.693798783544299</v>
      </c>
      <c r="AY393" s="2">
        <v>17.757663588123101</v>
      </c>
      <c r="AZ393" s="2">
        <v>17.002175631555801</v>
      </c>
      <c r="BA393" s="2">
        <v>17.416470077430901</v>
      </c>
      <c r="BB393" s="2">
        <v>18.2501972709853</v>
      </c>
      <c r="BC393" s="2">
        <v>18.318360139968402</v>
      </c>
      <c r="BD393" s="2">
        <v>15.4398094615148</v>
      </c>
      <c r="BE393" s="2">
        <v>19.079037778710401</v>
      </c>
      <c r="BF393" s="2">
        <v>12.0810206628854</v>
      </c>
      <c r="BG393" s="2">
        <v>18.2177226994683</v>
      </c>
      <c r="BH393" s="2">
        <v>15.937015125001899</v>
      </c>
      <c r="BI393" s="2">
        <v>9.6233145402724691</v>
      </c>
      <c r="BJ393" s="2">
        <v>17.683754494138501</v>
      </c>
      <c r="BK393" s="2">
        <v>17.596929466095801</v>
      </c>
      <c r="BL393" s="2">
        <v>18.3463235756854</v>
      </c>
      <c r="BM393" s="2">
        <v>16.476455579187501</v>
      </c>
      <c r="BN393" s="2">
        <v>17.6548032667474</v>
      </c>
      <c r="BO393" s="2">
        <v>16.9040911333406</v>
      </c>
      <c r="BP393" s="2">
        <v>17.8576488980239</v>
      </c>
      <c r="BQ393" s="2">
        <v>18.080367708052002</v>
      </c>
      <c r="BR393" s="2">
        <v>17.775340148784998</v>
      </c>
      <c r="BS393" s="2">
        <v>15.121854817920999</v>
      </c>
      <c r="BT393" s="2">
        <v>16.4777275987312</v>
      </c>
      <c r="BU393" s="2">
        <v>16.145435258420299</v>
      </c>
      <c r="BV393" s="2">
        <v>17.1249871860573</v>
      </c>
      <c r="BW393" s="2">
        <v>17.8281276805929</v>
      </c>
      <c r="BX393" s="2">
        <v>16.647185618646098</v>
      </c>
      <c r="BY393" s="2">
        <v>18.297172067600599</v>
      </c>
      <c r="BZ393" s="2">
        <v>17.220472706703202</v>
      </c>
      <c r="CA393" s="2">
        <v>9.6233145402724691</v>
      </c>
      <c r="CB393" s="2">
        <v>15.2314379587598</v>
      </c>
      <c r="CC393" s="2">
        <v>18.8095775128456</v>
      </c>
      <c r="CD393" s="2">
        <v>16.978067564144499</v>
      </c>
      <c r="CE393" s="2">
        <v>18.442966855568901</v>
      </c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</row>
    <row r="394" spans="1:97">
      <c r="A394" s="2" t="s">
        <v>4038</v>
      </c>
      <c r="B394" s="2">
        <v>291.15960999999999</v>
      </c>
      <c r="C394" s="2">
        <v>10.513999999999999</v>
      </c>
      <c r="D394" s="2" t="s">
        <v>146</v>
      </c>
      <c r="E394" s="2" t="s">
        <v>4039</v>
      </c>
      <c r="F394" s="2" t="s">
        <v>4040</v>
      </c>
      <c r="G394" s="2">
        <v>60371</v>
      </c>
      <c r="H394" s="3" t="str">
        <f>HYPERLINK("https://cloud.oebiotech.com/#/lm/network/60371", "https://cloud.oebiotech.com/#/lm/network/60371")</f>
        <v>https://cloud.oebiotech.com/#/lm/network/60371</v>
      </c>
      <c r="I394" s="2" t="s">
        <v>4041</v>
      </c>
      <c r="J394" s="2"/>
      <c r="K394" s="2"/>
      <c r="L394" s="2">
        <v>131752039</v>
      </c>
      <c r="M394" s="2"/>
      <c r="N394" s="2"/>
      <c r="O394" s="2"/>
      <c r="P394" s="2"/>
      <c r="Q394" s="2"/>
      <c r="R394" s="2"/>
      <c r="S394" s="2"/>
      <c r="T394" s="2" t="s">
        <v>4042</v>
      </c>
      <c r="U394" s="2" t="s">
        <v>4043</v>
      </c>
      <c r="V394" s="2" t="s">
        <v>95</v>
      </c>
      <c r="W394" s="2" t="s">
        <v>180</v>
      </c>
      <c r="X394" s="2" t="s">
        <v>2949</v>
      </c>
      <c r="Y394" s="2" t="s">
        <v>98</v>
      </c>
      <c r="Z394" s="2" t="s">
        <v>182</v>
      </c>
      <c r="AA394" s="2" t="s">
        <v>2950</v>
      </c>
      <c r="AB394" s="2" t="s">
        <v>101</v>
      </c>
      <c r="AC394" s="2">
        <v>65.48</v>
      </c>
      <c r="AD394" s="2">
        <v>88.87</v>
      </c>
      <c r="AE394" s="2">
        <v>58.01</v>
      </c>
      <c r="AF394" s="2" t="s">
        <v>4044</v>
      </c>
      <c r="AG394" s="2" t="s">
        <v>194</v>
      </c>
      <c r="AH394" s="2" t="s">
        <v>4045</v>
      </c>
      <c r="AI394" s="2">
        <v>2.06</v>
      </c>
      <c r="AJ394" s="2">
        <v>20.401118394953301</v>
      </c>
      <c r="AK394" s="2">
        <v>19.768906002323501</v>
      </c>
      <c r="AL394" s="2">
        <v>20.129849012254098</v>
      </c>
      <c r="AM394" s="2">
        <v>19.7425068634289</v>
      </c>
      <c r="AN394" s="2">
        <v>19.759791768279701</v>
      </c>
      <c r="AO394" s="2">
        <v>19.604351211859299</v>
      </c>
      <c r="AP394" s="2">
        <v>19.787674203643</v>
      </c>
      <c r="AQ394" s="2">
        <v>19.466646495223301</v>
      </c>
      <c r="AR394" s="2">
        <v>20.1101879177833</v>
      </c>
      <c r="AS394" s="2">
        <v>19.870229800793599</v>
      </c>
      <c r="AT394" s="2">
        <v>20.005934812468801</v>
      </c>
      <c r="AU394" s="2">
        <v>19.855483154643</v>
      </c>
      <c r="AV394" s="2">
        <v>20.143874980670699</v>
      </c>
      <c r="AW394" s="2">
        <v>19.8367133945098</v>
      </c>
      <c r="AX394" s="2">
        <v>20.202909354599999</v>
      </c>
      <c r="AY394" s="2">
        <v>19.772457484980599</v>
      </c>
      <c r="AZ394" s="2">
        <v>19.975810346033001</v>
      </c>
      <c r="BA394" s="2">
        <v>19.635262867200801</v>
      </c>
      <c r="BB394" s="2">
        <v>19.842588651907501</v>
      </c>
      <c r="BC394" s="2">
        <v>19.6651875952473</v>
      </c>
      <c r="BD394" s="2">
        <v>20.026424371623701</v>
      </c>
      <c r="BE394" s="2">
        <v>19.7514573334287</v>
      </c>
      <c r="BF394" s="2">
        <v>19.960710301237601</v>
      </c>
      <c r="BG394" s="2">
        <v>19.687986320289099</v>
      </c>
      <c r="BH394" s="2">
        <v>20.053793403441698</v>
      </c>
      <c r="BI394" s="2">
        <v>19.836836632878001</v>
      </c>
      <c r="BJ394" s="2">
        <v>19.681869181809699</v>
      </c>
      <c r="BK394" s="2">
        <v>20.062581466218901</v>
      </c>
      <c r="BL394" s="2">
        <v>19.538148171491201</v>
      </c>
      <c r="BM394" s="2">
        <v>19.805219735861801</v>
      </c>
      <c r="BN394" s="2">
        <v>19.600569856069999</v>
      </c>
      <c r="BO394" s="2">
        <v>20.098996292009801</v>
      </c>
      <c r="BP394" s="2">
        <v>19.523493616010501</v>
      </c>
      <c r="BQ394" s="2">
        <v>19.786979063750699</v>
      </c>
      <c r="BR394" s="2">
        <v>19.6680552015725</v>
      </c>
      <c r="BS394" s="2">
        <v>20.0298659927854</v>
      </c>
      <c r="BT394" s="2">
        <v>19.827624918238101</v>
      </c>
      <c r="BU394" s="2">
        <v>19.519892074663499</v>
      </c>
      <c r="BV394" s="2">
        <v>19.864176152442401</v>
      </c>
      <c r="BW394" s="2">
        <v>19.408022304293802</v>
      </c>
      <c r="BX394" s="2">
        <v>19.544339561162001</v>
      </c>
      <c r="BY394" s="2">
        <v>19.940850206048999</v>
      </c>
      <c r="BZ394" s="2">
        <v>19.592207468393301</v>
      </c>
      <c r="CA394" s="2">
        <v>19.831569278219199</v>
      </c>
      <c r="CB394" s="2">
        <v>19.760122149141299</v>
      </c>
      <c r="CC394" s="2">
        <v>19.4720973409508</v>
      </c>
      <c r="CD394" s="2">
        <v>19.8131638906377</v>
      </c>
      <c r="CE394" s="2">
        <v>19.566563450466798</v>
      </c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</row>
    <row r="395" spans="1:97">
      <c r="A395" s="2" t="s">
        <v>4046</v>
      </c>
      <c r="B395" s="2">
        <v>173.09181000000001</v>
      </c>
      <c r="C395" s="2">
        <v>0.72799999999999998</v>
      </c>
      <c r="D395" s="2" t="s">
        <v>84</v>
      </c>
      <c r="E395" s="2" t="s">
        <v>4047</v>
      </c>
      <c r="F395" s="2" t="s">
        <v>4048</v>
      </c>
      <c r="G395" s="2">
        <v>51196</v>
      </c>
      <c r="H395" s="3" t="str">
        <f>HYPERLINK("https://cloud.oebiotech.com/#/lm/network/51196", "https://cloud.oebiotech.com/#/lm/network/51196")</f>
        <v>https://cloud.oebiotech.com/#/lm/network/51196</v>
      </c>
      <c r="I395" s="2" t="s">
        <v>4049</v>
      </c>
      <c r="J395" s="2"/>
      <c r="K395" s="2"/>
      <c r="L395" s="2">
        <v>6426709</v>
      </c>
      <c r="M395" s="2"/>
      <c r="N395" s="2"/>
      <c r="O395" s="2"/>
      <c r="P395" s="2">
        <v>61695</v>
      </c>
      <c r="Q395" s="2"/>
      <c r="R395" s="2"/>
      <c r="S395" s="2" t="s">
        <v>4050</v>
      </c>
      <c r="T395" s="2" t="s">
        <v>4051</v>
      </c>
      <c r="U395" s="2" t="s">
        <v>4052</v>
      </c>
      <c r="V395" s="2" t="s">
        <v>115</v>
      </c>
      <c r="W395" s="2" t="s">
        <v>116</v>
      </c>
      <c r="X395" s="2" t="s">
        <v>117</v>
      </c>
      <c r="Y395" s="2" t="s">
        <v>118</v>
      </c>
      <c r="Z395" s="2" t="s">
        <v>119</v>
      </c>
      <c r="AA395" s="2" t="s">
        <v>120</v>
      </c>
      <c r="AB395" s="2" t="s">
        <v>101</v>
      </c>
      <c r="AC395" s="2">
        <v>65.47</v>
      </c>
      <c r="AD395" s="2">
        <v>95.38</v>
      </c>
      <c r="AE395" s="2">
        <v>47.81</v>
      </c>
      <c r="AF395" s="2" t="s">
        <v>4053</v>
      </c>
      <c r="AG395" s="2" t="s">
        <v>103</v>
      </c>
      <c r="AH395" s="2" t="s">
        <v>4054</v>
      </c>
      <c r="AI395" s="2">
        <v>1.73</v>
      </c>
      <c r="AJ395" s="2">
        <v>22.7270926797096</v>
      </c>
      <c r="AK395" s="2">
        <v>22.7745994658809</v>
      </c>
      <c r="AL395" s="2">
        <v>22.656981779132099</v>
      </c>
      <c r="AM395" s="2">
        <v>22.8076976358922</v>
      </c>
      <c r="AN395" s="2">
        <v>22.662606323844201</v>
      </c>
      <c r="AO395" s="2">
        <v>22.803233856590399</v>
      </c>
      <c r="AP395" s="2">
        <v>22.717294242522801</v>
      </c>
      <c r="AQ395" s="2">
        <v>22.9314187358605</v>
      </c>
      <c r="AR395" s="2">
        <v>21.710197754088099</v>
      </c>
      <c r="AS395" s="2">
        <v>21.988532551402301</v>
      </c>
      <c r="AT395" s="2">
        <v>21.905052944545499</v>
      </c>
      <c r="AU395" s="2">
        <v>22.5362502184534</v>
      </c>
      <c r="AV395" s="2">
        <v>22.412545664070301</v>
      </c>
      <c r="AW395" s="2">
        <v>22.4508713828676</v>
      </c>
      <c r="AX395" s="2">
        <v>22.253229605299399</v>
      </c>
      <c r="AY395" s="2">
        <v>22.4267381012836</v>
      </c>
      <c r="AZ395" s="2">
        <v>22.4390998121462</v>
      </c>
      <c r="BA395" s="2">
        <v>21.943083905538</v>
      </c>
      <c r="BB395" s="2">
        <v>22.9140005273165</v>
      </c>
      <c r="BC395" s="2">
        <v>23.445364061525702</v>
      </c>
      <c r="BD395" s="2">
        <v>22.9641655349049</v>
      </c>
      <c r="BE395" s="2">
        <v>22.929787642924499</v>
      </c>
      <c r="BF395" s="2">
        <v>22.755820258680099</v>
      </c>
      <c r="BG395" s="2">
        <v>22.738893804534399</v>
      </c>
      <c r="BH395" s="2">
        <v>22.455894412041101</v>
      </c>
      <c r="BI395" s="2">
        <v>22.352734356225401</v>
      </c>
      <c r="BJ395" s="2">
        <v>22.2287906241218</v>
      </c>
      <c r="BK395" s="2">
        <v>22.1397168709114</v>
      </c>
      <c r="BL395" s="2">
        <v>21.886156349828301</v>
      </c>
      <c r="BM395" s="2">
        <v>23.3278648489466</v>
      </c>
      <c r="BN395" s="2">
        <v>22.4892398502882</v>
      </c>
      <c r="BO395" s="2">
        <v>20.2287348830715</v>
      </c>
      <c r="BP395" s="2">
        <v>22.105242076277001</v>
      </c>
      <c r="BQ395" s="2">
        <v>22.562132544488801</v>
      </c>
      <c r="BR395" s="2">
        <v>22.109860546490001</v>
      </c>
      <c r="BS395" s="2">
        <v>22.554169062778499</v>
      </c>
      <c r="BT395" s="2">
        <v>23.054999037362901</v>
      </c>
      <c r="BU395" s="2">
        <v>22.335256886405201</v>
      </c>
      <c r="BV395" s="2">
        <v>23.525492385053301</v>
      </c>
      <c r="BW395" s="2">
        <v>23.2220248819951</v>
      </c>
      <c r="BX395" s="2">
        <v>22.689742533533199</v>
      </c>
      <c r="BY395" s="2">
        <v>23.324450463189901</v>
      </c>
      <c r="BZ395" s="2">
        <v>23.5038447340036</v>
      </c>
      <c r="CA395" s="2">
        <v>23.289407576960599</v>
      </c>
      <c r="CB395" s="2">
        <v>22.730306526785899</v>
      </c>
      <c r="CC395" s="2">
        <v>22.496892418746601</v>
      </c>
      <c r="CD395" s="2">
        <v>22.388299596598099</v>
      </c>
      <c r="CE395" s="2">
        <v>22.0926152394097</v>
      </c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</row>
    <row r="396" spans="1:97">
      <c r="A396" s="2" t="s">
        <v>4055</v>
      </c>
      <c r="B396" s="2">
        <v>256.05878999999999</v>
      </c>
      <c r="C396" s="2">
        <v>0.74099999999999999</v>
      </c>
      <c r="D396" s="2" t="s">
        <v>146</v>
      </c>
      <c r="E396" s="2" t="s">
        <v>4056</v>
      </c>
      <c r="F396" s="2" t="s">
        <v>4057</v>
      </c>
      <c r="G396" s="2">
        <v>599861</v>
      </c>
      <c r="H396" s="3" t="str">
        <f>HYPERLINK("https://cloud.oebiotech.com/#/lm/network/599861", "https://cloud.oebiotech.com/#/lm/network/599861")</f>
        <v>https://cloud.oebiotech.com/#/lm/network/599861</v>
      </c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 t="s">
        <v>4058</v>
      </c>
      <c r="T396" s="2" t="s">
        <v>4059</v>
      </c>
      <c r="U396" s="2" t="s">
        <v>4060</v>
      </c>
      <c r="V396" s="2" t="s">
        <v>338</v>
      </c>
      <c r="W396" s="2" t="s">
        <v>339</v>
      </c>
      <c r="X396" s="2" t="s">
        <v>663</v>
      </c>
      <c r="Y396" s="2" t="s">
        <v>341</v>
      </c>
      <c r="Z396" s="2" t="s">
        <v>341</v>
      </c>
      <c r="AA396" s="2" t="s">
        <v>664</v>
      </c>
      <c r="AB396" s="2" t="s">
        <v>101</v>
      </c>
      <c r="AC396" s="2">
        <v>65.45</v>
      </c>
      <c r="AD396" s="2">
        <v>76.33</v>
      </c>
      <c r="AE396" s="2">
        <v>66.25</v>
      </c>
      <c r="AF396" s="2" t="s">
        <v>4061</v>
      </c>
      <c r="AG396" s="2" t="s">
        <v>4062</v>
      </c>
      <c r="AH396" s="2" t="s">
        <v>4063</v>
      </c>
      <c r="AI396" s="2">
        <v>1.95</v>
      </c>
      <c r="AJ396" s="2">
        <v>20.6572716024078</v>
      </c>
      <c r="AK396" s="2">
        <v>20.690056073834299</v>
      </c>
      <c r="AL396" s="2">
        <v>20.8655916735398</v>
      </c>
      <c r="AM396" s="2">
        <v>20.548741154130699</v>
      </c>
      <c r="AN396" s="2">
        <v>20.648409793086099</v>
      </c>
      <c r="AO396" s="2">
        <v>21.008605227598402</v>
      </c>
      <c r="AP396" s="2">
        <v>20.9168248939223</v>
      </c>
      <c r="AQ396" s="2">
        <v>20.0053270635422</v>
      </c>
      <c r="AR396" s="2">
        <v>21.0207578635878</v>
      </c>
      <c r="AS396" s="2">
        <v>20.187935203432801</v>
      </c>
      <c r="AT396" s="2">
        <v>20.3444925635843</v>
      </c>
      <c r="AU396" s="2">
        <v>20.644683952138799</v>
      </c>
      <c r="AV396" s="2">
        <v>20.794360485757998</v>
      </c>
      <c r="AW396" s="2">
        <v>20.4483966930541</v>
      </c>
      <c r="AX396" s="2">
        <v>20.817880101103899</v>
      </c>
      <c r="AY396" s="2">
        <v>19.985224189299402</v>
      </c>
      <c r="AZ396" s="2">
        <v>19.994644300205898</v>
      </c>
      <c r="BA396" s="2">
        <v>20.484525051650099</v>
      </c>
      <c r="BB396" s="2">
        <v>19.909447591571201</v>
      </c>
      <c r="BC396" s="2">
        <v>20.413603965438401</v>
      </c>
      <c r="BD396" s="2">
        <v>19.9100440400548</v>
      </c>
      <c r="BE396" s="2">
        <v>21.258778259146101</v>
      </c>
      <c r="BF396" s="2">
        <v>20.280781098873899</v>
      </c>
      <c r="BG396" s="2">
        <v>20.8415492991045</v>
      </c>
      <c r="BH396" s="2">
        <v>20.009171185254999</v>
      </c>
      <c r="BI396" s="2">
        <v>20.401099869855798</v>
      </c>
      <c r="BJ396" s="2">
        <v>20.589424857402499</v>
      </c>
      <c r="BK396" s="2">
        <v>20.466305908124198</v>
      </c>
      <c r="BL396" s="2">
        <v>20.848997445050099</v>
      </c>
      <c r="BM396" s="2">
        <v>19.2482581225246</v>
      </c>
      <c r="BN396" s="2">
        <v>20.847656539494398</v>
      </c>
      <c r="BO396" s="2">
        <v>20.8418800793097</v>
      </c>
      <c r="BP396" s="2">
        <v>20.921113552821101</v>
      </c>
      <c r="BQ396" s="2">
        <v>20.763149184617699</v>
      </c>
      <c r="BR396" s="2">
        <v>20.977588719314099</v>
      </c>
      <c r="BS396" s="2">
        <v>20.499752944588899</v>
      </c>
      <c r="BT396" s="2">
        <v>21.000276150188999</v>
      </c>
      <c r="BU396" s="2">
        <v>21.429806751293601</v>
      </c>
      <c r="BV396" s="2">
        <v>20.636600787941699</v>
      </c>
      <c r="BW396" s="2">
        <v>19.6837798472875</v>
      </c>
      <c r="BX396" s="2">
        <v>19.9439257178595</v>
      </c>
      <c r="BY396" s="2">
        <v>21.8490059007055</v>
      </c>
      <c r="BZ396" s="2">
        <v>20.775651397342301</v>
      </c>
      <c r="CA396" s="2">
        <v>20.156465387032199</v>
      </c>
      <c r="CB396" s="2">
        <v>20.1346903360681</v>
      </c>
      <c r="CC396" s="2">
        <v>20.734904179977001</v>
      </c>
      <c r="CD396" s="2">
        <v>20.6970805718449</v>
      </c>
      <c r="CE396" s="2">
        <v>21.130135409074501</v>
      </c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</row>
    <row r="397" spans="1:97">
      <c r="A397" s="2" t="s">
        <v>4064</v>
      </c>
      <c r="B397" s="2">
        <v>256.26292000000001</v>
      </c>
      <c r="C397" s="2">
        <v>12.551</v>
      </c>
      <c r="D397" s="2" t="s">
        <v>84</v>
      </c>
      <c r="E397" s="2" t="s">
        <v>4065</v>
      </c>
      <c r="F397" s="2" t="s">
        <v>4066</v>
      </c>
      <c r="G397" s="2">
        <v>5988</v>
      </c>
      <c r="H397" s="3" t="str">
        <f>HYPERLINK("https://cloud.oebiotech.com/#/lm/network/5988", "https://cloud.oebiotech.com/#/lm/network/5988")</f>
        <v>https://cloud.oebiotech.com/#/lm/network/5988</v>
      </c>
      <c r="I397" s="2"/>
      <c r="J397" s="2">
        <v>36465</v>
      </c>
      <c r="K397" s="2" t="s">
        <v>4067</v>
      </c>
      <c r="L397" s="2">
        <v>445128</v>
      </c>
      <c r="M397" s="2" t="s">
        <v>4068</v>
      </c>
      <c r="N397" s="2"/>
      <c r="O397" s="2"/>
      <c r="P397" s="2">
        <v>41200</v>
      </c>
      <c r="Q397" s="2"/>
      <c r="R397" s="2"/>
      <c r="S397" s="2" t="s">
        <v>4069</v>
      </c>
      <c r="T397" s="2" t="s">
        <v>4070</v>
      </c>
      <c r="U397" s="2" t="s">
        <v>4071</v>
      </c>
      <c r="V397" s="2" t="s">
        <v>95</v>
      </c>
      <c r="W397" s="2" t="s">
        <v>96</v>
      </c>
      <c r="X397" s="2" t="s">
        <v>353</v>
      </c>
      <c r="Y397" s="2" t="s">
        <v>98</v>
      </c>
      <c r="Z397" s="2" t="s">
        <v>99</v>
      </c>
      <c r="AA397" s="2" t="s">
        <v>354</v>
      </c>
      <c r="AB397" s="2" t="s">
        <v>101</v>
      </c>
      <c r="AC397" s="2">
        <v>65.41</v>
      </c>
      <c r="AD397" s="2">
        <v>98.18</v>
      </c>
      <c r="AE397" s="2">
        <v>50.2</v>
      </c>
      <c r="AF397" s="2" t="s">
        <v>4072</v>
      </c>
      <c r="AG397" s="2" t="s">
        <v>132</v>
      </c>
      <c r="AH397" s="2" t="s">
        <v>4073</v>
      </c>
      <c r="AI397" s="2">
        <v>2.34</v>
      </c>
      <c r="AJ397" s="2">
        <v>26.544107895751299</v>
      </c>
      <c r="AK397" s="2">
        <v>26.464906117472498</v>
      </c>
      <c r="AL397" s="2">
        <v>26.161784412995299</v>
      </c>
      <c r="AM397" s="2">
        <v>26.326363635101899</v>
      </c>
      <c r="AN397" s="2">
        <v>26.376759092544901</v>
      </c>
      <c r="AO397" s="2">
        <v>26.341642476851899</v>
      </c>
      <c r="AP397" s="2">
        <v>26.282741534423199</v>
      </c>
      <c r="AQ397" s="2">
        <v>26.425493580001099</v>
      </c>
      <c r="AR397" s="2">
        <v>27.072929760198299</v>
      </c>
      <c r="AS397" s="2">
        <v>27.5219166243274</v>
      </c>
      <c r="AT397" s="2">
        <v>27.200222337470301</v>
      </c>
      <c r="AU397" s="2">
        <v>25.976233124717702</v>
      </c>
      <c r="AV397" s="2">
        <v>24.985917187864501</v>
      </c>
      <c r="AW397" s="2">
        <v>27.522399233672999</v>
      </c>
      <c r="AX397" s="2">
        <v>25.675416534869001</v>
      </c>
      <c r="AY397" s="2">
        <v>26.2667788538987</v>
      </c>
      <c r="AZ397" s="2">
        <v>27.532834616133499</v>
      </c>
      <c r="BA397" s="2">
        <v>24.280767594763301</v>
      </c>
      <c r="BB397" s="2">
        <v>27.275083304421798</v>
      </c>
      <c r="BC397" s="2">
        <v>26.987579591385899</v>
      </c>
      <c r="BD397" s="2">
        <v>26.638401128485299</v>
      </c>
      <c r="BE397" s="2">
        <v>26.727160988287402</v>
      </c>
      <c r="BF397" s="2">
        <v>27.053823433261499</v>
      </c>
      <c r="BG397" s="2">
        <v>26.835207784193599</v>
      </c>
      <c r="BH397" s="2">
        <v>25.653265058076801</v>
      </c>
      <c r="BI397" s="2">
        <v>27.1388289442509</v>
      </c>
      <c r="BJ397" s="2">
        <v>24.813458173290801</v>
      </c>
      <c r="BK397" s="2">
        <v>24.2162974562595</v>
      </c>
      <c r="BL397" s="2">
        <v>26.460109271543502</v>
      </c>
      <c r="BM397" s="2">
        <v>24.578622702461299</v>
      </c>
      <c r="BN397" s="2">
        <v>24.5695365847088</v>
      </c>
      <c r="BO397" s="2">
        <v>27.342264921837401</v>
      </c>
      <c r="BP397" s="2">
        <v>24.566470618127099</v>
      </c>
      <c r="BQ397" s="2">
        <v>25.141187357749502</v>
      </c>
      <c r="BR397" s="2">
        <v>27.142760653114301</v>
      </c>
      <c r="BS397" s="2">
        <v>25.603870136047099</v>
      </c>
      <c r="BT397" s="2">
        <v>24.9193798209131</v>
      </c>
      <c r="BU397" s="2">
        <v>27.241165921028301</v>
      </c>
      <c r="BV397" s="2">
        <v>25.616810863599799</v>
      </c>
      <c r="BW397" s="2">
        <v>24.957730726173899</v>
      </c>
      <c r="BX397" s="2">
        <v>24.787128819614399</v>
      </c>
      <c r="BY397" s="2">
        <v>25.323697726665699</v>
      </c>
      <c r="BZ397" s="2">
        <v>26.383532143676799</v>
      </c>
      <c r="CA397" s="2">
        <v>24.427394096832501</v>
      </c>
      <c r="CB397" s="2">
        <v>26.843686930003098</v>
      </c>
      <c r="CC397" s="2">
        <v>24.762423105673999</v>
      </c>
      <c r="CD397" s="2">
        <v>26.696529663676099</v>
      </c>
      <c r="CE397" s="2">
        <v>25.6351270329207</v>
      </c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</row>
    <row r="398" spans="1:97">
      <c r="A398" s="2" t="s">
        <v>4074</v>
      </c>
      <c r="B398" s="2">
        <v>177.04006999999999</v>
      </c>
      <c r="C398" s="2">
        <v>0.78300000000000003</v>
      </c>
      <c r="D398" s="2" t="s">
        <v>146</v>
      </c>
      <c r="E398" s="2" t="s">
        <v>4075</v>
      </c>
      <c r="F398" s="2" t="s">
        <v>4076</v>
      </c>
      <c r="G398" s="2">
        <v>47095</v>
      </c>
      <c r="H398" s="3" t="str">
        <f>HYPERLINK("https://cloud.oebiotech.com/#/lm/network/47095", "https://cloud.oebiotech.com/#/lm/network/47095")</f>
        <v>https://cloud.oebiotech.com/#/lm/network/47095</v>
      </c>
      <c r="I398" s="2" t="s">
        <v>4077</v>
      </c>
      <c r="J398" s="2">
        <v>3336</v>
      </c>
      <c r="K398" s="2"/>
      <c r="L398" s="2">
        <v>128869</v>
      </c>
      <c r="M398" s="2" t="s">
        <v>4078</v>
      </c>
      <c r="N398" s="2" t="s">
        <v>4079</v>
      </c>
      <c r="O398" s="2" t="s">
        <v>4080</v>
      </c>
      <c r="P398" s="2">
        <v>16534</v>
      </c>
      <c r="Q398" s="2"/>
      <c r="R398" s="2"/>
      <c r="S398" s="2" t="s">
        <v>4081</v>
      </c>
      <c r="T398" s="2" t="s">
        <v>4082</v>
      </c>
      <c r="U398" s="2" t="s">
        <v>4083</v>
      </c>
      <c r="V398" s="2" t="s">
        <v>115</v>
      </c>
      <c r="W398" s="2" t="s">
        <v>832</v>
      </c>
      <c r="X398" s="2" t="s">
        <v>4084</v>
      </c>
      <c r="Y398" s="2" t="s">
        <v>118</v>
      </c>
      <c r="Z398" s="2" t="s">
        <v>834</v>
      </c>
      <c r="AA398" s="2" t="s">
        <v>4085</v>
      </c>
      <c r="AB398" s="2" t="s">
        <v>101</v>
      </c>
      <c r="AC398" s="2">
        <v>65.38</v>
      </c>
      <c r="AD398" s="2">
        <v>95.7</v>
      </c>
      <c r="AE398" s="2">
        <v>48.78</v>
      </c>
      <c r="AF398" s="2" t="s">
        <v>4086</v>
      </c>
      <c r="AG398" s="2" t="s">
        <v>993</v>
      </c>
      <c r="AH398" s="2" t="s">
        <v>666</v>
      </c>
      <c r="AI398" s="2">
        <v>-1.1299999999999999</v>
      </c>
      <c r="AJ398" s="2">
        <v>21.730059832177702</v>
      </c>
      <c r="AK398" s="2">
        <v>21.7298023683575</v>
      </c>
      <c r="AL398" s="2">
        <v>21.880170003613099</v>
      </c>
      <c r="AM398" s="2">
        <v>21.918782486289</v>
      </c>
      <c r="AN398" s="2">
        <v>20.282434442955601</v>
      </c>
      <c r="AO398" s="2">
        <v>21.521127322877302</v>
      </c>
      <c r="AP398" s="2">
        <v>21.947887040956498</v>
      </c>
      <c r="AQ398" s="2">
        <v>21.811806117691798</v>
      </c>
      <c r="AR398" s="2">
        <v>20.8548804332579</v>
      </c>
      <c r="AS398" s="2">
        <v>20.582658470026502</v>
      </c>
      <c r="AT398" s="2">
        <v>20.6989839747228</v>
      </c>
      <c r="AU398" s="2">
        <v>21.8912101446371</v>
      </c>
      <c r="AV398" s="2">
        <v>20.879920354760699</v>
      </c>
      <c r="AW398" s="2">
        <v>20.1903393120391</v>
      </c>
      <c r="AX398" s="2">
        <v>20.783526139173301</v>
      </c>
      <c r="AY398" s="2">
        <v>21.216034031518198</v>
      </c>
      <c r="AZ398" s="2">
        <v>21.477431874784301</v>
      </c>
      <c r="BA398" s="2">
        <v>19.9877780860133</v>
      </c>
      <c r="BB398" s="2">
        <v>20.8198629813783</v>
      </c>
      <c r="BC398" s="2">
        <v>21.905842377348598</v>
      </c>
      <c r="BD398" s="2">
        <v>21.8085243113361</v>
      </c>
      <c r="BE398" s="2">
        <v>21.451053263141802</v>
      </c>
      <c r="BF398" s="2">
        <v>20.872470235996399</v>
      </c>
      <c r="BG398" s="2">
        <v>21.650748035542598</v>
      </c>
      <c r="BH398" s="2">
        <v>20.0179175867674</v>
      </c>
      <c r="BI398" s="2">
        <v>20.943686179058101</v>
      </c>
      <c r="BJ398" s="2">
        <v>21.147575292818399</v>
      </c>
      <c r="BK398" s="2">
        <v>21.4813893986293</v>
      </c>
      <c r="BL398" s="2">
        <v>20.104015261235599</v>
      </c>
      <c r="BM398" s="2">
        <v>21.028472494709099</v>
      </c>
      <c r="BN398" s="2">
        <v>20.793375496922099</v>
      </c>
      <c r="BO398" s="2">
        <v>21.742040592591099</v>
      </c>
      <c r="BP398" s="2">
        <v>20.555792400201199</v>
      </c>
      <c r="BQ398" s="2">
        <v>21.065025486878501</v>
      </c>
      <c r="BR398" s="2">
        <v>20.781438496688398</v>
      </c>
      <c r="BS398" s="2">
        <v>21.933506869155501</v>
      </c>
      <c r="BT398" s="2">
        <v>21.6184649558103</v>
      </c>
      <c r="BU398" s="2">
        <v>20.643913723841099</v>
      </c>
      <c r="BV398" s="2">
        <v>21.590465261463901</v>
      </c>
      <c r="BW398" s="2">
        <v>21.1687829393884</v>
      </c>
      <c r="BX398" s="2">
        <v>20.210207931513601</v>
      </c>
      <c r="BY398" s="2">
        <v>21.379691042556701</v>
      </c>
      <c r="BZ398" s="2">
        <v>21.730306062357801</v>
      </c>
      <c r="CA398" s="2">
        <v>22.662940643842202</v>
      </c>
      <c r="CB398" s="2">
        <v>20.806728431132399</v>
      </c>
      <c r="CC398" s="2">
        <v>20.5523630694227</v>
      </c>
      <c r="CD398" s="2">
        <v>20.8855122686874</v>
      </c>
      <c r="CE398" s="2">
        <v>21.393606759589598</v>
      </c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</row>
    <row r="399" spans="1:97">
      <c r="A399" s="2" t="s">
        <v>4087</v>
      </c>
      <c r="B399" s="2">
        <v>584.35693000000003</v>
      </c>
      <c r="C399" s="2">
        <v>10.673999999999999</v>
      </c>
      <c r="D399" s="2" t="s">
        <v>146</v>
      </c>
      <c r="E399" s="2" t="s">
        <v>4088</v>
      </c>
      <c r="F399" s="2" t="s">
        <v>4089</v>
      </c>
      <c r="G399" s="2">
        <v>198866</v>
      </c>
      <c r="H399" s="3" t="str">
        <f>HYPERLINK("https://cloud.oebiotech.com/#/lm/network/198866", "https://cloud.oebiotech.com/#/lm/network/198866")</f>
        <v>https://cloud.oebiotech.com/#/lm/network/198866</v>
      </c>
      <c r="I399" s="2" t="s">
        <v>4090</v>
      </c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 t="s">
        <v>4091</v>
      </c>
      <c r="U399" s="2" t="s">
        <v>4092</v>
      </c>
      <c r="V399" s="2" t="s">
        <v>95</v>
      </c>
      <c r="W399" s="2" t="s">
        <v>152</v>
      </c>
      <c r="X399" s="2" t="s">
        <v>278</v>
      </c>
      <c r="Y399" s="2" t="s">
        <v>98</v>
      </c>
      <c r="Z399" s="2" t="s">
        <v>154</v>
      </c>
      <c r="AA399" s="2" t="s">
        <v>279</v>
      </c>
      <c r="AB399" s="2" t="s">
        <v>101</v>
      </c>
      <c r="AC399" s="2">
        <v>65.36</v>
      </c>
      <c r="AD399" s="2">
        <v>91.05</v>
      </c>
      <c r="AE399" s="2">
        <v>62.31</v>
      </c>
      <c r="AF399" s="2" t="s">
        <v>4093</v>
      </c>
      <c r="AG399" s="2" t="s">
        <v>157</v>
      </c>
      <c r="AH399" s="2" t="s">
        <v>2594</v>
      </c>
      <c r="AI399" s="2">
        <v>4.1100000000000003</v>
      </c>
      <c r="AJ399" s="2">
        <v>19.905230447563799</v>
      </c>
      <c r="AK399" s="2">
        <v>19.168454881814402</v>
      </c>
      <c r="AL399" s="2">
        <v>19.780411080116899</v>
      </c>
      <c r="AM399" s="2">
        <v>19.690686419468701</v>
      </c>
      <c r="AN399" s="2">
        <v>19.472332794065601</v>
      </c>
      <c r="AO399" s="2">
        <v>19.6108805868963</v>
      </c>
      <c r="AP399" s="2">
        <v>19.6580596189144</v>
      </c>
      <c r="AQ399" s="2">
        <v>19.669415969235899</v>
      </c>
      <c r="AR399" s="2">
        <v>20.0722349195219</v>
      </c>
      <c r="AS399" s="2">
        <v>19.433713895304798</v>
      </c>
      <c r="AT399" s="2">
        <v>19.5815187040116</v>
      </c>
      <c r="AU399" s="2">
        <v>19.780198583886499</v>
      </c>
      <c r="AV399" s="2">
        <v>19.588827360025501</v>
      </c>
      <c r="AW399" s="2">
        <v>19.891695637998101</v>
      </c>
      <c r="AX399" s="2">
        <v>19.637375062020499</v>
      </c>
      <c r="AY399" s="2">
        <v>19.5429287000144</v>
      </c>
      <c r="AZ399" s="2">
        <v>19.565185399925198</v>
      </c>
      <c r="BA399" s="2">
        <v>18.929421482915998</v>
      </c>
      <c r="BB399" s="2">
        <v>19.785593716618699</v>
      </c>
      <c r="BC399" s="2">
        <v>20.005468439925501</v>
      </c>
      <c r="BD399" s="2">
        <v>19.6383905356134</v>
      </c>
      <c r="BE399" s="2">
        <v>20.034019018270602</v>
      </c>
      <c r="BF399" s="2">
        <v>19.4886973132684</v>
      </c>
      <c r="BG399" s="2">
        <v>19.639948599216901</v>
      </c>
      <c r="BH399" s="2">
        <v>19.6388740150316</v>
      </c>
      <c r="BI399" s="2">
        <v>19.695170507487202</v>
      </c>
      <c r="BJ399" s="2">
        <v>19.865035078732401</v>
      </c>
      <c r="BK399" s="2">
        <v>19.577487819148001</v>
      </c>
      <c r="BL399" s="2">
        <v>19.500681147226</v>
      </c>
      <c r="BM399" s="2">
        <v>19.508343128979099</v>
      </c>
      <c r="BN399" s="2">
        <v>19.337925226106901</v>
      </c>
      <c r="BO399" s="2">
        <v>19.778930438108301</v>
      </c>
      <c r="BP399" s="2">
        <v>19.4835394643471</v>
      </c>
      <c r="BQ399" s="2">
        <v>19.527607178581999</v>
      </c>
      <c r="BR399" s="2">
        <v>19.580423225198299</v>
      </c>
      <c r="BS399" s="2">
        <v>19.677783702197999</v>
      </c>
      <c r="BT399" s="2">
        <v>19.306438299161801</v>
      </c>
      <c r="BU399" s="2">
        <v>19.816382958425098</v>
      </c>
      <c r="BV399" s="2">
        <v>19.644902433438101</v>
      </c>
      <c r="BW399" s="2">
        <v>19.387228663749799</v>
      </c>
      <c r="BX399" s="2">
        <v>19.1541100339693</v>
      </c>
      <c r="BY399" s="2">
        <v>19.9216596882871</v>
      </c>
      <c r="BZ399" s="2">
        <v>19.554694101806099</v>
      </c>
      <c r="CA399" s="2">
        <v>19.830489891754699</v>
      </c>
      <c r="CB399" s="2">
        <v>19.5406645818105</v>
      </c>
      <c r="CC399" s="2">
        <v>19.3951027878724</v>
      </c>
      <c r="CD399" s="2">
        <v>19.801397076889501</v>
      </c>
      <c r="CE399" s="2">
        <v>19.3525164393516</v>
      </c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</row>
    <row r="400" spans="1:97">
      <c r="A400" s="2" t="s">
        <v>4094</v>
      </c>
      <c r="B400" s="2">
        <v>188.07032000000001</v>
      </c>
      <c r="C400" s="2">
        <v>3.6829999999999998</v>
      </c>
      <c r="D400" s="2" t="s">
        <v>84</v>
      </c>
      <c r="E400" s="2" t="s">
        <v>4095</v>
      </c>
      <c r="F400" s="2" t="s">
        <v>4096</v>
      </c>
      <c r="G400" s="2">
        <v>63900</v>
      </c>
      <c r="H400" s="3" t="str">
        <f>HYPERLINK("https://cloud.oebiotech.com/#/lm/network/63900", "https://cloud.oebiotech.com/#/lm/network/63900")</f>
        <v>https://cloud.oebiotech.com/#/lm/network/63900</v>
      </c>
      <c r="I400" s="2" t="s">
        <v>4097</v>
      </c>
      <c r="J400" s="2">
        <v>95233</v>
      </c>
      <c r="K400" s="2"/>
      <c r="L400" s="2">
        <v>411955</v>
      </c>
      <c r="M400" s="2"/>
      <c r="N400" s="2"/>
      <c r="O400" s="2"/>
      <c r="P400" s="2"/>
      <c r="Q400" s="2"/>
      <c r="R400" s="2"/>
      <c r="S400" s="2" t="s">
        <v>4098</v>
      </c>
      <c r="T400" s="2" t="s">
        <v>4099</v>
      </c>
      <c r="U400" s="2" t="s">
        <v>4100</v>
      </c>
      <c r="V400" s="2" t="s">
        <v>385</v>
      </c>
      <c r="W400" s="2" t="s">
        <v>3319</v>
      </c>
      <c r="X400" s="2" t="s">
        <v>4101</v>
      </c>
      <c r="Y400" s="2" t="s">
        <v>388</v>
      </c>
      <c r="Z400" s="2" t="s">
        <v>3321</v>
      </c>
      <c r="AA400" s="2" t="s">
        <v>4102</v>
      </c>
      <c r="AB400" s="2" t="s">
        <v>3086</v>
      </c>
      <c r="AC400" s="2">
        <v>65.33</v>
      </c>
      <c r="AD400" s="2">
        <v>99.14</v>
      </c>
      <c r="AE400" s="2">
        <v>39.162857142857099</v>
      </c>
      <c r="AF400" s="2" t="s">
        <v>4103</v>
      </c>
      <c r="AG400" s="2" t="s">
        <v>4104</v>
      </c>
      <c r="AH400" s="2" t="s">
        <v>4105</v>
      </c>
      <c r="AI400" s="2">
        <v>1.6</v>
      </c>
      <c r="AJ400" s="2">
        <v>29.8809010413704</v>
      </c>
      <c r="AK400" s="2">
        <v>29.711080114523899</v>
      </c>
      <c r="AL400" s="2">
        <v>29.963090045241199</v>
      </c>
      <c r="AM400" s="2">
        <v>29.9165784892107</v>
      </c>
      <c r="AN400" s="2">
        <v>29.714307092479899</v>
      </c>
      <c r="AO400" s="2">
        <v>29.784996169114201</v>
      </c>
      <c r="AP400" s="2">
        <v>29.654232939200998</v>
      </c>
      <c r="AQ400" s="2">
        <v>30.0155401869734</v>
      </c>
      <c r="AR400" s="2">
        <v>28.908579808849399</v>
      </c>
      <c r="AS400" s="2">
        <v>28.785979507072199</v>
      </c>
      <c r="AT400" s="2">
        <v>29.4453731794531</v>
      </c>
      <c r="AU400" s="2">
        <v>29.143839901587199</v>
      </c>
      <c r="AV400" s="2">
        <v>29.5051332518977</v>
      </c>
      <c r="AW400" s="2">
        <v>29.733408470588099</v>
      </c>
      <c r="AX400" s="2">
        <v>29.339285765177699</v>
      </c>
      <c r="AY400" s="2">
        <v>29.599658586625299</v>
      </c>
      <c r="AZ400" s="2">
        <v>29.7233086532679</v>
      </c>
      <c r="BA400" s="2">
        <v>29.2426846941921</v>
      </c>
      <c r="BB400" s="2">
        <v>30.191481216862201</v>
      </c>
      <c r="BC400" s="2">
        <v>30.216175122467401</v>
      </c>
      <c r="BD400" s="2">
        <v>29.4617038208177</v>
      </c>
      <c r="BE400" s="2">
        <v>30.262806248832401</v>
      </c>
      <c r="BF400" s="2">
        <v>29.9764778967434</v>
      </c>
      <c r="BG400" s="2">
        <v>30.254684597584799</v>
      </c>
      <c r="BH400" s="2">
        <v>30.021372343573301</v>
      </c>
      <c r="BI400" s="2">
        <v>29.577356974145999</v>
      </c>
      <c r="BJ400" s="2">
        <v>30.080758844282801</v>
      </c>
      <c r="BK400" s="2">
        <v>29.736008024276899</v>
      </c>
      <c r="BL400" s="2">
        <v>29.350889620573199</v>
      </c>
      <c r="BM400" s="2">
        <v>30.0620181130475</v>
      </c>
      <c r="BN400" s="2">
        <v>29.927427633226198</v>
      </c>
      <c r="BO400" s="2">
        <v>29.8567862966147</v>
      </c>
      <c r="BP400" s="2">
        <v>29.634640735066899</v>
      </c>
      <c r="BQ400" s="2">
        <v>29.993306273814198</v>
      </c>
      <c r="BR400" s="2">
        <v>29.967478809467899</v>
      </c>
      <c r="BS400" s="2">
        <v>29.696385731903899</v>
      </c>
      <c r="BT400" s="2">
        <v>29.528658500263099</v>
      </c>
      <c r="BU400" s="2">
        <v>29.044983062016701</v>
      </c>
      <c r="BV400" s="2">
        <v>29.9935640864412</v>
      </c>
      <c r="BW400" s="2">
        <v>29.152171025683401</v>
      </c>
      <c r="BX400" s="2">
        <v>29.895979241303301</v>
      </c>
      <c r="BY400" s="2">
        <v>30.097033033080599</v>
      </c>
      <c r="BZ400" s="2">
        <v>30.004985609369299</v>
      </c>
      <c r="CA400" s="2">
        <v>30.259863974469699</v>
      </c>
      <c r="CB400" s="2">
        <v>29.7425754260457</v>
      </c>
      <c r="CC400" s="2">
        <v>29.3930713063497</v>
      </c>
      <c r="CD400" s="2">
        <v>30.265601485369402</v>
      </c>
      <c r="CE400" s="2">
        <v>29.785476509967399</v>
      </c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</row>
    <row r="401" spans="1:97">
      <c r="A401" s="2" t="s">
        <v>4106</v>
      </c>
      <c r="B401" s="2">
        <v>463.34239000000002</v>
      </c>
      <c r="C401" s="2">
        <v>12.827999999999999</v>
      </c>
      <c r="D401" s="2" t="s">
        <v>146</v>
      </c>
      <c r="E401" s="2" t="s">
        <v>4107</v>
      </c>
      <c r="F401" s="2" t="s">
        <v>4108</v>
      </c>
      <c r="G401" s="2">
        <v>43634</v>
      </c>
      <c r="H401" s="3" t="str">
        <f>HYPERLINK("https://cloud.oebiotech.com/#/lm/network/43634", "https://cloud.oebiotech.com/#/lm/network/43634")</f>
        <v>https://cloud.oebiotech.com/#/lm/network/43634</v>
      </c>
      <c r="I401" s="2"/>
      <c r="J401" s="2">
        <v>83909</v>
      </c>
      <c r="K401" s="2" t="s">
        <v>4109</v>
      </c>
      <c r="L401" s="2">
        <v>10047655</v>
      </c>
      <c r="M401" s="2"/>
      <c r="N401" s="2"/>
      <c r="O401" s="2"/>
      <c r="P401" s="2"/>
      <c r="Q401" s="2"/>
      <c r="R401" s="2"/>
      <c r="S401" s="2"/>
      <c r="T401" s="2" t="s">
        <v>4110</v>
      </c>
      <c r="U401" s="2" t="s">
        <v>4111</v>
      </c>
      <c r="V401" s="2" t="s">
        <v>95</v>
      </c>
      <c r="W401" s="2" t="s">
        <v>152</v>
      </c>
      <c r="X401" s="2" t="s">
        <v>1420</v>
      </c>
      <c r="Y401" s="2" t="s">
        <v>98</v>
      </c>
      <c r="Z401" s="2" t="s">
        <v>154</v>
      </c>
      <c r="AA401" s="2" t="s">
        <v>1421</v>
      </c>
      <c r="AB401" s="2" t="s">
        <v>101</v>
      </c>
      <c r="AC401" s="2">
        <v>65.319999999999993</v>
      </c>
      <c r="AD401" s="2">
        <v>81.790000000000006</v>
      </c>
      <c r="AE401" s="2">
        <v>56.64</v>
      </c>
      <c r="AF401" s="2" t="s">
        <v>4112</v>
      </c>
      <c r="AG401" s="2" t="s">
        <v>157</v>
      </c>
      <c r="AH401" s="2" t="s">
        <v>3208</v>
      </c>
      <c r="AI401" s="2">
        <v>1.08</v>
      </c>
      <c r="AJ401" s="2">
        <v>20.169742153188601</v>
      </c>
      <c r="AK401" s="2">
        <v>19.791869811835198</v>
      </c>
      <c r="AL401" s="2">
        <v>19.934493091059199</v>
      </c>
      <c r="AM401" s="2">
        <v>19.459236443275898</v>
      </c>
      <c r="AN401" s="2">
        <v>19.833492216361702</v>
      </c>
      <c r="AO401" s="2">
        <v>19.867456060881899</v>
      </c>
      <c r="AP401" s="2">
        <v>19.7972310561406</v>
      </c>
      <c r="AQ401" s="2">
        <v>19.570033116526599</v>
      </c>
      <c r="AR401" s="2">
        <v>19.633245047982498</v>
      </c>
      <c r="AS401" s="2">
        <v>19.197640279539801</v>
      </c>
      <c r="AT401" s="2">
        <v>19.288668974908699</v>
      </c>
      <c r="AU401" s="2">
        <v>18.6009530788455</v>
      </c>
      <c r="AV401" s="2">
        <v>19.115080161210201</v>
      </c>
      <c r="AW401" s="2">
        <v>19.658353322982698</v>
      </c>
      <c r="AX401" s="2">
        <v>18.575302099414799</v>
      </c>
      <c r="AY401" s="2">
        <v>20.191963423638601</v>
      </c>
      <c r="AZ401" s="2">
        <v>20.565121439894199</v>
      </c>
      <c r="BA401" s="2">
        <v>20.483888462718799</v>
      </c>
      <c r="BB401" s="2">
        <v>19.225365571441898</v>
      </c>
      <c r="BC401" s="2">
        <v>20.342922938844101</v>
      </c>
      <c r="BD401" s="2">
        <v>18.606034572224502</v>
      </c>
      <c r="BE401" s="2">
        <v>20.742536796733599</v>
      </c>
      <c r="BF401" s="2">
        <v>18.932873416096001</v>
      </c>
      <c r="BG401" s="2">
        <v>19.791885181068999</v>
      </c>
      <c r="BH401" s="2">
        <v>18.835987801813001</v>
      </c>
      <c r="BI401" s="2">
        <v>19.429946960350499</v>
      </c>
      <c r="BJ401" s="2">
        <v>19.947704391498998</v>
      </c>
      <c r="BK401" s="2">
        <v>18.563663874442401</v>
      </c>
      <c r="BL401" s="2">
        <v>19.9468399541358</v>
      </c>
      <c r="BM401" s="2">
        <v>19.765762797566001</v>
      </c>
      <c r="BN401" s="2">
        <v>19.311723795152901</v>
      </c>
      <c r="BO401" s="2">
        <v>19.674961274721799</v>
      </c>
      <c r="BP401" s="2">
        <v>19.140355015529199</v>
      </c>
      <c r="BQ401" s="2">
        <v>19.396867908727099</v>
      </c>
      <c r="BR401" s="2">
        <v>18.743608246657502</v>
      </c>
      <c r="BS401" s="2">
        <v>20.2608540943808</v>
      </c>
      <c r="BT401" s="2">
        <v>20.543972990008299</v>
      </c>
      <c r="BU401" s="2">
        <v>19.763680869607001</v>
      </c>
      <c r="BV401" s="2">
        <v>19.937456913810301</v>
      </c>
      <c r="BW401" s="2">
        <v>18.3971141880745</v>
      </c>
      <c r="BX401" s="2">
        <v>18.777183673174601</v>
      </c>
      <c r="BY401" s="2">
        <v>19.625579469806599</v>
      </c>
      <c r="BZ401" s="2">
        <v>18.8464916019953</v>
      </c>
      <c r="CA401" s="2">
        <v>19.0686104617361</v>
      </c>
      <c r="CB401" s="2">
        <v>19.678124083705299</v>
      </c>
      <c r="CC401" s="2">
        <v>19.150352637991599</v>
      </c>
      <c r="CD401" s="2">
        <v>19.651256490216198</v>
      </c>
      <c r="CE401" s="2">
        <v>19.4232004816262</v>
      </c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</row>
    <row r="402" spans="1:97">
      <c r="A402" s="2" t="s">
        <v>4113</v>
      </c>
      <c r="B402" s="2">
        <v>312.21641</v>
      </c>
      <c r="C402" s="2">
        <v>6.01</v>
      </c>
      <c r="D402" s="2" t="s">
        <v>84</v>
      </c>
      <c r="E402" s="2" t="s">
        <v>4114</v>
      </c>
      <c r="F402" s="2" t="s">
        <v>4115</v>
      </c>
      <c r="G402" s="2">
        <v>197655</v>
      </c>
      <c r="H402" s="3" t="str">
        <f>HYPERLINK("https://cloud.oebiotech.com/#/lm/network/197655", "https://cloud.oebiotech.com/#/lm/network/197655")</f>
        <v>https://cloud.oebiotech.com/#/lm/network/197655</v>
      </c>
      <c r="I402" s="2" t="s">
        <v>4116</v>
      </c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 t="s">
        <v>4117</v>
      </c>
      <c r="U402" s="2" t="s">
        <v>4118</v>
      </c>
      <c r="V402" s="2" t="s">
        <v>95</v>
      </c>
      <c r="W402" s="2" t="s">
        <v>96</v>
      </c>
      <c r="X402" s="2" t="s">
        <v>97</v>
      </c>
      <c r="Y402" s="2" t="s">
        <v>98</v>
      </c>
      <c r="Z402" s="2" t="s">
        <v>99</v>
      </c>
      <c r="AA402" s="2" t="s">
        <v>100</v>
      </c>
      <c r="AB402" s="2" t="s">
        <v>101</v>
      </c>
      <c r="AC402" s="2">
        <v>65.28</v>
      </c>
      <c r="AD402" s="2">
        <v>88.71</v>
      </c>
      <c r="AE402" s="2">
        <v>63.92</v>
      </c>
      <c r="AF402" s="2" t="s">
        <v>4119</v>
      </c>
      <c r="AG402" s="2" t="s">
        <v>103</v>
      </c>
      <c r="AH402" s="2" t="s">
        <v>4120</v>
      </c>
      <c r="AI402" s="2">
        <v>1.6</v>
      </c>
      <c r="AJ402" s="2">
        <v>19.4475309914184</v>
      </c>
      <c r="AK402" s="2">
        <v>19.1938829387704</v>
      </c>
      <c r="AL402" s="2">
        <v>19.436881634774501</v>
      </c>
      <c r="AM402" s="2">
        <v>19.293121979238201</v>
      </c>
      <c r="AN402" s="2">
        <v>19.168449201354701</v>
      </c>
      <c r="AO402" s="2">
        <v>19.471841075894101</v>
      </c>
      <c r="AP402" s="2">
        <v>19.129861322508201</v>
      </c>
      <c r="AQ402" s="2">
        <v>19.302371512635801</v>
      </c>
      <c r="AR402" s="2">
        <v>17.3119888800945</v>
      </c>
      <c r="AS402" s="2">
        <v>18.5631914300501</v>
      </c>
      <c r="AT402" s="2">
        <v>18.040182947109098</v>
      </c>
      <c r="AU402" s="2">
        <v>18.302250988495</v>
      </c>
      <c r="AV402" s="2">
        <v>17.625709271079099</v>
      </c>
      <c r="AW402" s="2">
        <v>19.928276018545301</v>
      </c>
      <c r="AX402" s="2">
        <v>18.464280541087199</v>
      </c>
      <c r="AY402" s="2">
        <v>21.164763294573099</v>
      </c>
      <c r="AZ402" s="2">
        <v>18.081331138181302</v>
      </c>
      <c r="BA402" s="2">
        <v>19.206863101800302</v>
      </c>
      <c r="BB402" s="2">
        <v>20.466910941436101</v>
      </c>
      <c r="BC402" s="2">
        <v>19.677459775005701</v>
      </c>
      <c r="BD402" s="2">
        <v>16.751913655275199</v>
      </c>
      <c r="BE402" s="2">
        <v>19.087633580378402</v>
      </c>
      <c r="BF402" s="2">
        <v>18.724842121884901</v>
      </c>
      <c r="BG402" s="2">
        <v>19.935612311055799</v>
      </c>
      <c r="BH402" s="2">
        <v>17.7803575865019</v>
      </c>
      <c r="BI402" s="2">
        <v>18.434078821982901</v>
      </c>
      <c r="BJ402" s="2">
        <v>19.079473767943099</v>
      </c>
      <c r="BK402" s="2">
        <v>15.8763380374501</v>
      </c>
      <c r="BL402" s="2">
        <v>18.788333096619901</v>
      </c>
      <c r="BM402" s="2">
        <v>18.623996481619201</v>
      </c>
      <c r="BN402" s="2">
        <v>17.1751841331108</v>
      </c>
      <c r="BO402" s="2">
        <v>19.931905067550399</v>
      </c>
      <c r="BP402" s="2">
        <v>18.892080427716099</v>
      </c>
      <c r="BQ402" s="2">
        <v>20.0130312160552</v>
      </c>
      <c r="BR402" s="2">
        <v>19.378736019348</v>
      </c>
      <c r="BS402" s="2">
        <v>19.050723385874399</v>
      </c>
      <c r="BT402" s="2">
        <v>20.320564831068602</v>
      </c>
      <c r="BU402" s="2">
        <v>19.389661522519201</v>
      </c>
      <c r="BV402" s="2">
        <v>20.3154807441862</v>
      </c>
      <c r="BW402" s="2">
        <v>17.454970982087701</v>
      </c>
      <c r="BX402" s="2">
        <v>18.7049002241999</v>
      </c>
      <c r="BY402" s="2">
        <v>18.620773425967201</v>
      </c>
      <c r="BZ402" s="2">
        <v>19.167723632584</v>
      </c>
      <c r="CA402" s="2">
        <v>18.1072690870473</v>
      </c>
      <c r="CB402" s="2">
        <v>18.956107629297101</v>
      </c>
      <c r="CC402" s="2">
        <v>19.2264781899861</v>
      </c>
      <c r="CD402" s="2">
        <v>18.540222844039199</v>
      </c>
      <c r="CE402" s="2">
        <v>19.2657454451411</v>
      </c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</row>
    <row r="403" spans="1:97">
      <c r="A403" s="2" t="s">
        <v>4121</v>
      </c>
      <c r="B403" s="2">
        <v>388.30515000000003</v>
      </c>
      <c r="C403" s="2">
        <v>8.6</v>
      </c>
      <c r="D403" s="2" t="s">
        <v>84</v>
      </c>
      <c r="E403" s="2" t="s">
        <v>4122</v>
      </c>
      <c r="F403" s="2" t="s">
        <v>4123</v>
      </c>
      <c r="G403" s="2">
        <v>8327</v>
      </c>
      <c r="H403" s="3" t="str">
        <f>HYPERLINK("https://cloud.oebiotech.com/#/lm/network/8327", "https://cloud.oebiotech.com/#/lm/network/8327")</f>
        <v>https://cloud.oebiotech.com/#/lm/network/8327</v>
      </c>
      <c r="I403" s="2" t="s">
        <v>4124</v>
      </c>
      <c r="J403" s="2"/>
      <c r="K403" s="2" t="s">
        <v>4125</v>
      </c>
      <c r="L403" s="2">
        <v>71464541</v>
      </c>
      <c r="M403" s="2"/>
      <c r="N403" s="2"/>
      <c r="O403" s="2"/>
      <c r="P403" s="2">
        <v>73063</v>
      </c>
      <c r="Q403" s="2"/>
      <c r="R403" s="2"/>
      <c r="S403" s="2" t="s">
        <v>4126</v>
      </c>
      <c r="T403" s="2" t="s">
        <v>4127</v>
      </c>
      <c r="U403" s="2" t="s">
        <v>4128</v>
      </c>
      <c r="V403" s="2" t="s">
        <v>95</v>
      </c>
      <c r="W403" s="2" t="s">
        <v>96</v>
      </c>
      <c r="X403" s="2" t="s">
        <v>97</v>
      </c>
      <c r="Y403" s="2" t="s">
        <v>98</v>
      </c>
      <c r="Z403" s="2" t="s">
        <v>99</v>
      </c>
      <c r="AA403" s="2" t="s">
        <v>100</v>
      </c>
      <c r="AB403" s="2" t="s">
        <v>101</v>
      </c>
      <c r="AC403" s="2">
        <v>65.260000000000005</v>
      </c>
      <c r="AD403" s="2">
        <v>92.47</v>
      </c>
      <c r="AE403" s="2">
        <v>62.27</v>
      </c>
      <c r="AF403" s="2" t="s">
        <v>4129</v>
      </c>
      <c r="AG403" s="2" t="s">
        <v>103</v>
      </c>
      <c r="AH403" s="2" t="s">
        <v>4130</v>
      </c>
      <c r="AI403" s="2">
        <v>1.55</v>
      </c>
      <c r="AJ403" s="2">
        <v>19.276952612771201</v>
      </c>
      <c r="AK403" s="2">
        <v>19.351213056857102</v>
      </c>
      <c r="AL403" s="2">
        <v>19.260457824199399</v>
      </c>
      <c r="AM403" s="2">
        <v>19.167784065678202</v>
      </c>
      <c r="AN403" s="2">
        <v>19.231444732549001</v>
      </c>
      <c r="AO403" s="2">
        <v>19.329916115575401</v>
      </c>
      <c r="AP403" s="2">
        <v>19.117817330624899</v>
      </c>
      <c r="AQ403" s="2">
        <v>19.262455281355798</v>
      </c>
      <c r="AR403" s="2">
        <v>16.982770475200201</v>
      </c>
      <c r="AS403" s="2">
        <v>18.3714135430805</v>
      </c>
      <c r="AT403" s="2">
        <v>19.449301679319898</v>
      </c>
      <c r="AU403" s="2">
        <v>17.9862645952254</v>
      </c>
      <c r="AV403" s="2">
        <v>18.131986240447201</v>
      </c>
      <c r="AW403" s="2">
        <v>19.083167729520898</v>
      </c>
      <c r="AX403" s="2">
        <v>18.377277434836699</v>
      </c>
      <c r="AY403" s="2">
        <v>19.0424013639043</v>
      </c>
      <c r="AZ403" s="2">
        <v>16.203041099375099</v>
      </c>
      <c r="BA403" s="2">
        <v>19.2904842880221</v>
      </c>
      <c r="BB403" s="2">
        <v>19.5205735457583</v>
      </c>
      <c r="BC403" s="2">
        <v>20.2881877819392</v>
      </c>
      <c r="BD403" s="2">
        <v>18.0064936277948</v>
      </c>
      <c r="BE403" s="2">
        <v>19.005220055683701</v>
      </c>
      <c r="BF403" s="2">
        <v>19.221915067913098</v>
      </c>
      <c r="BG403" s="2">
        <v>18.858653033125201</v>
      </c>
      <c r="BH403" s="2">
        <v>18.4226771096025</v>
      </c>
      <c r="BI403" s="2">
        <v>20.0083925788656</v>
      </c>
      <c r="BJ403" s="2">
        <v>19.273536355314601</v>
      </c>
      <c r="BK403" s="2">
        <v>17.811022782932898</v>
      </c>
      <c r="BL403" s="2">
        <v>19.360315703940099</v>
      </c>
      <c r="BM403" s="2">
        <v>17.845421749184499</v>
      </c>
      <c r="BN403" s="2">
        <v>18.935943797080501</v>
      </c>
      <c r="BO403" s="2">
        <v>19.528325922574101</v>
      </c>
      <c r="BP403" s="2">
        <v>19.050289462095598</v>
      </c>
      <c r="BQ403" s="2">
        <v>19.169655087260399</v>
      </c>
      <c r="BR403" s="2">
        <v>19.0053568368001</v>
      </c>
      <c r="BS403" s="2">
        <v>18.511695641174299</v>
      </c>
      <c r="BT403" s="2">
        <v>18.7503736568021</v>
      </c>
      <c r="BU403" s="2">
        <v>19.3644624446972</v>
      </c>
      <c r="BV403" s="2">
        <v>19.426713622618799</v>
      </c>
      <c r="BW403" s="2">
        <v>19.180346214406502</v>
      </c>
      <c r="BX403" s="2">
        <v>18.4931858698152</v>
      </c>
      <c r="BY403" s="2">
        <v>18.582152017494799</v>
      </c>
      <c r="BZ403" s="2">
        <v>19.154368135940899</v>
      </c>
      <c r="CA403" s="2">
        <v>19.7301377885336</v>
      </c>
      <c r="CB403" s="2">
        <v>18.1463446293467</v>
      </c>
      <c r="CC403" s="2">
        <v>19.174072471717899</v>
      </c>
      <c r="CD403" s="2">
        <v>18.559877590914201</v>
      </c>
      <c r="CE403" s="2">
        <v>19.076180964924198</v>
      </c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</row>
    <row r="404" spans="1:97">
      <c r="A404" s="2" t="s">
        <v>4131</v>
      </c>
      <c r="B404" s="2">
        <v>263.13869</v>
      </c>
      <c r="C404" s="2">
        <v>4.26</v>
      </c>
      <c r="D404" s="2" t="s">
        <v>84</v>
      </c>
      <c r="E404" s="2" t="s">
        <v>4132</v>
      </c>
      <c r="F404" s="2" t="s">
        <v>4133</v>
      </c>
      <c r="G404" s="2">
        <v>51197</v>
      </c>
      <c r="H404" s="3" t="str">
        <f>HYPERLINK("https://cloud.oebiotech.com/#/lm/network/51197", "https://cloud.oebiotech.com/#/lm/network/51197")</f>
        <v>https://cloud.oebiotech.com/#/lm/network/51197</v>
      </c>
      <c r="I404" s="2" t="s">
        <v>4134</v>
      </c>
      <c r="J404" s="2">
        <v>23690</v>
      </c>
      <c r="K404" s="2"/>
      <c r="L404" s="2">
        <v>6351946</v>
      </c>
      <c r="M404" s="2"/>
      <c r="N404" s="2"/>
      <c r="O404" s="2"/>
      <c r="P404" s="2">
        <v>74795</v>
      </c>
      <c r="Q404" s="2"/>
      <c r="R404" s="2"/>
      <c r="S404" s="2" t="s">
        <v>4135</v>
      </c>
      <c r="T404" s="2" t="s">
        <v>4136</v>
      </c>
      <c r="U404" s="2" t="s">
        <v>4137</v>
      </c>
      <c r="V404" s="2" t="s">
        <v>115</v>
      </c>
      <c r="W404" s="2" t="s">
        <v>116</v>
      </c>
      <c r="X404" s="2" t="s">
        <v>117</v>
      </c>
      <c r="Y404" s="2" t="s">
        <v>118</v>
      </c>
      <c r="Z404" s="2" t="s">
        <v>119</v>
      </c>
      <c r="AA404" s="2" t="s">
        <v>120</v>
      </c>
      <c r="AB404" s="2" t="s">
        <v>3086</v>
      </c>
      <c r="AC404" s="2">
        <v>65.209999999999994</v>
      </c>
      <c r="AD404" s="2">
        <v>97.66</v>
      </c>
      <c r="AE404" s="2">
        <v>42.18</v>
      </c>
      <c r="AF404" s="2" t="s">
        <v>4138</v>
      </c>
      <c r="AG404" s="2" t="s">
        <v>103</v>
      </c>
      <c r="AH404" s="2" t="s">
        <v>4139</v>
      </c>
      <c r="AI404" s="2">
        <v>1.1399999999999999</v>
      </c>
      <c r="AJ404" s="2">
        <v>20.6017220841529</v>
      </c>
      <c r="AK404" s="2">
        <v>20.589668416871302</v>
      </c>
      <c r="AL404" s="2">
        <v>20.605618563842299</v>
      </c>
      <c r="AM404" s="2">
        <v>20.898994322631602</v>
      </c>
      <c r="AN404" s="2">
        <v>20.556731345918902</v>
      </c>
      <c r="AO404" s="2">
        <v>20.735820687635101</v>
      </c>
      <c r="AP404" s="2">
        <v>20.615943723271801</v>
      </c>
      <c r="AQ404" s="2">
        <v>20.643014974174601</v>
      </c>
      <c r="AR404" s="2">
        <v>20.176256169680101</v>
      </c>
      <c r="AS404" s="2">
        <v>19.877172856774902</v>
      </c>
      <c r="AT404" s="2">
        <v>19.903210058596901</v>
      </c>
      <c r="AU404" s="2">
        <v>19.9613116541117</v>
      </c>
      <c r="AV404" s="2">
        <v>20.443187165276498</v>
      </c>
      <c r="AW404" s="2">
        <v>21.074281684120599</v>
      </c>
      <c r="AX404" s="2">
        <v>20.241266978429099</v>
      </c>
      <c r="AY404" s="2">
        <v>20.343741471400001</v>
      </c>
      <c r="AZ404" s="2">
        <v>20.4107488216147</v>
      </c>
      <c r="BA404" s="2">
        <v>19.860815147990898</v>
      </c>
      <c r="BB404" s="2">
        <v>21.529343392437202</v>
      </c>
      <c r="BC404" s="2">
        <v>20.234204560108601</v>
      </c>
      <c r="BD404" s="2">
        <v>19.880742090448699</v>
      </c>
      <c r="BE404" s="2">
        <v>20.869880289960101</v>
      </c>
      <c r="BF404" s="2">
        <v>20.230618740361599</v>
      </c>
      <c r="BG404" s="2">
        <v>20.355139178574198</v>
      </c>
      <c r="BH404" s="2">
        <v>20.6594301912173</v>
      </c>
      <c r="BI404" s="2">
        <v>20.756098656507199</v>
      </c>
      <c r="BJ404" s="2">
        <v>20.316597992679799</v>
      </c>
      <c r="BK404" s="2">
        <v>21.159395120156301</v>
      </c>
      <c r="BL404" s="2">
        <v>20.999265309456401</v>
      </c>
      <c r="BM404" s="2">
        <v>20.868378319424298</v>
      </c>
      <c r="BN404" s="2">
        <v>20.908131954079501</v>
      </c>
      <c r="BO404" s="2">
        <v>20.478704070917502</v>
      </c>
      <c r="BP404" s="2">
        <v>20.436041974757401</v>
      </c>
      <c r="BQ404" s="2">
        <v>20.608161585462501</v>
      </c>
      <c r="BR404" s="2">
        <v>20.423525966811301</v>
      </c>
      <c r="BS404" s="2">
        <v>20.293399642512501</v>
      </c>
      <c r="BT404" s="2">
        <v>19.952185563040999</v>
      </c>
      <c r="BU404" s="2">
        <v>20.0305544617047</v>
      </c>
      <c r="BV404" s="2">
        <v>20.203514681165199</v>
      </c>
      <c r="BW404" s="2">
        <v>19.5836942983405</v>
      </c>
      <c r="BX404" s="2">
        <v>20.976416704188502</v>
      </c>
      <c r="BY404" s="2">
        <v>21.576746682214601</v>
      </c>
      <c r="BZ404" s="2">
        <v>20.280177626730701</v>
      </c>
      <c r="CA404" s="2">
        <v>19.966240507092198</v>
      </c>
      <c r="CB404" s="2">
        <v>21.167756084759901</v>
      </c>
      <c r="CC404" s="2">
        <v>20.849191660555199</v>
      </c>
      <c r="CD404" s="2">
        <v>20.9769886902431</v>
      </c>
      <c r="CE404" s="2">
        <v>20.8760226066352</v>
      </c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</row>
    <row r="405" spans="1:97">
      <c r="A405" s="2" t="s">
        <v>4140</v>
      </c>
      <c r="B405" s="2">
        <v>257.21170999999998</v>
      </c>
      <c r="C405" s="2">
        <v>11.704000000000001</v>
      </c>
      <c r="D405" s="2" t="s">
        <v>146</v>
      </c>
      <c r="E405" s="2" t="s">
        <v>4141</v>
      </c>
      <c r="F405" s="2" t="s">
        <v>4142</v>
      </c>
      <c r="G405" s="2">
        <v>2283</v>
      </c>
      <c r="H405" s="3" t="str">
        <f>HYPERLINK("https://cloud.oebiotech.com/#/lm/network/2283", "https://cloud.oebiotech.com/#/lm/network/2283")</f>
        <v>https://cloud.oebiotech.com/#/lm/network/2283</v>
      </c>
      <c r="I405" s="2"/>
      <c r="J405" s="2"/>
      <c r="K405" s="2" t="s">
        <v>4143</v>
      </c>
      <c r="L405" s="2">
        <v>611552</v>
      </c>
      <c r="M405" s="2"/>
      <c r="N405" s="2"/>
      <c r="O405" s="2"/>
      <c r="P405" s="2"/>
      <c r="Q405" s="2"/>
      <c r="R405" s="2"/>
      <c r="S405" s="2"/>
      <c r="T405" s="2" t="s">
        <v>4144</v>
      </c>
      <c r="U405" s="2" t="s">
        <v>4145</v>
      </c>
      <c r="V405" s="2" t="s">
        <v>95</v>
      </c>
      <c r="W405" s="2" t="s">
        <v>96</v>
      </c>
      <c r="X405" s="2" t="s">
        <v>141</v>
      </c>
      <c r="Y405" s="2" t="s">
        <v>98</v>
      </c>
      <c r="Z405" s="2" t="s">
        <v>99</v>
      </c>
      <c r="AA405" s="2" t="s">
        <v>142</v>
      </c>
      <c r="AB405" s="2" t="s">
        <v>101</v>
      </c>
      <c r="AC405" s="2">
        <v>65.14</v>
      </c>
      <c r="AD405" s="2">
        <v>90.42</v>
      </c>
      <c r="AE405" s="2">
        <v>61.17</v>
      </c>
      <c r="AF405" s="2" t="s">
        <v>4146</v>
      </c>
      <c r="AG405" s="2" t="s">
        <v>194</v>
      </c>
      <c r="AH405" s="2" t="s">
        <v>4147</v>
      </c>
      <c r="AI405" s="2">
        <v>1.94</v>
      </c>
      <c r="AJ405" s="2">
        <v>18.324699387805602</v>
      </c>
      <c r="AK405" s="2">
        <v>18.692583561009901</v>
      </c>
      <c r="AL405" s="2">
        <v>18.354618894345901</v>
      </c>
      <c r="AM405" s="2">
        <v>18.8599445323458</v>
      </c>
      <c r="AN405" s="2">
        <v>18.891709253013001</v>
      </c>
      <c r="AO405" s="2">
        <v>19.005150111079899</v>
      </c>
      <c r="AP405" s="2">
        <v>19.050570646622599</v>
      </c>
      <c r="AQ405" s="2">
        <v>19.0973015933365</v>
      </c>
      <c r="AR405" s="2">
        <v>18.085384331674</v>
      </c>
      <c r="AS405" s="2">
        <v>18.258951682444</v>
      </c>
      <c r="AT405" s="2">
        <v>18.683271088815101</v>
      </c>
      <c r="AU405" s="2">
        <v>17.878343559165501</v>
      </c>
      <c r="AV405" s="2">
        <v>18.3480355614651</v>
      </c>
      <c r="AW405" s="2">
        <v>18.5464512721028</v>
      </c>
      <c r="AX405" s="2">
        <v>19.4268537436689</v>
      </c>
      <c r="AY405" s="2">
        <v>18.3308254291567</v>
      </c>
      <c r="AZ405" s="2">
        <v>18.293101767127599</v>
      </c>
      <c r="BA405" s="2">
        <v>18.4286431891069</v>
      </c>
      <c r="BB405" s="2">
        <v>18.9509350706603</v>
      </c>
      <c r="BC405" s="2">
        <v>19.380860062753701</v>
      </c>
      <c r="BD405" s="2">
        <v>18.536884515683699</v>
      </c>
      <c r="BE405" s="2">
        <v>18.9512905212564</v>
      </c>
      <c r="BF405" s="2">
        <v>18.9483944963285</v>
      </c>
      <c r="BG405" s="2">
        <v>19.130787647502601</v>
      </c>
      <c r="BH405" s="2">
        <v>18.0943961892937</v>
      </c>
      <c r="BI405" s="2">
        <v>18.789474072712402</v>
      </c>
      <c r="BJ405" s="2">
        <v>18.775468372934</v>
      </c>
      <c r="BK405" s="2">
        <v>18.519845573702799</v>
      </c>
      <c r="BL405" s="2">
        <v>18.612901064946399</v>
      </c>
      <c r="BM405" s="2">
        <v>18.231659391283099</v>
      </c>
      <c r="BN405" s="2">
        <v>18.372404539372202</v>
      </c>
      <c r="BO405" s="2">
        <v>18.747674550086298</v>
      </c>
      <c r="BP405" s="2">
        <v>18.7776165538369</v>
      </c>
      <c r="BQ405" s="2">
        <v>18.252195667094401</v>
      </c>
      <c r="BR405" s="2">
        <v>19.743979125423401</v>
      </c>
      <c r="BS405" s="2">
        <v>18.3290091639095</v>
      </c>
      <c r="BT405" s="2">
        <v>18.252044328310699</v>
      </c>
      <c r="BU405" s="2">
        <v>18.844466196297599</v>
      </c>
      <c r="BV405" s="2">
        <v>18.879946462093798</v>
      </c>
      <c r="BW405" s="2">
        <v>17.451075047680799</v>
      </c>
      <c r="BX405" s="2">
        <v>18.114528077516201</v>
      </c>
      <c r="BY405" s="2">
        <v>19.3203305072178</v>
      </c>
      <c r="BZ405" s="2">
        <v>18.297259225474601</v>
      </c>
      <c r="CA405" s="2">
        <v>18.486761934578102</v>
      </c>
      <c r="CB405" s="2">
        <v>18.138944006479999</v>
      </c>
      <c r="CC405" s="2">
        <v>18.167303127481301</v>
      </c>
      <c r="CD405" s="2">
        <v>18.805065056440402</v>
      </c>
      <c r="CE405" s="2">
        <v>18.907927512165799</v>
      </c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</row>
    <row r="406" spans="1:97">
      <c r="A406" s="2" t="s">
        <v>4148</v>
      </c>
      <c r="B406" s="2">
        <v>565.30121999999994</v>
      </c>
      <c r="C406" s="2">
        <v>7.17</v>
      </c>
      <c r="D406" s="2" t="s">
        <v>146</v>
      </c>
      <c r="E406" s="2" t="s">
        <v>4149</v>
      </c>
      <c r="F406" s="2" t="s">
        <v>4150</v>
      </c>
      <c r="G406" s="2">
        <v>46655</v>
      </c>
      <c r="H406" s="3" t="str">
        <f>HYPERLINK("https://cloud.oebiotech.com/#/lm/network/46655", "https://cloud.oebiotech.com/#/lm/network/46655")</f>
        <v>https://cloud.oebiotech.com/#/lm/network/46655</v>
      </c>
      <c r="I406" s="2" t="s">
        <v>4151</v>
      </c>
      <c r="J406" s="2">
        <v>57962</v>
      </c>
      <c r="K406" s="2" t="s">
        <v>4152</v>
      </c>
      <c r="L406" s="2">
        <v>21252309</v>
      </c>
      <c r="M406" s="2"/>
      <c r="N406" s="2"/>
      <c r="O406" s="2"/>
      <c r="P406" s="2"/>
      <c r="Q406" s="2"/>
      <c r="R406" s="2"/>
      <c r="S406" s="2" t="s">
        <v>4153</v>
      </c>
      <c r="T406" s="2" t="s">
        <v>4154</v>
      </c>
      <c r="U406" s="2" t="s">
        <v>4155</v>
      </c>
      <c r="V406" s="2" t="s">
        <v>95</v>
      </c>
      <c r="W406" s="2" t="s">
        <v>152</v>
      </c>
      <c r="X406" s="2" t="s">
        <v>2791</v>
      </c>
      <c r="Y406" s="2" t="s">
        <v>98</v>
      </c>
      <c r="Z406" s="2" t="s">
        <v>154</v>
      </c>
      <c r="AA406" s="2" t="s">
        <v>2792</v>
      </c>
      <c r="AB406" s="2" t="s">
        <v>101</v>
      </c>
      <c r="AC406" s="2">
        <v>65.12</v>
      </c>
      <c r="AD406" s="2">
        <v>95.13</v>
      </c>
      <c r="AE406" s="2">
        <v>64.349999999999994</v>
      </c>
      <c r="AF406" s="2" t="s">
        <v>4156</v>
      </c>
      <c r="AG406" s="2" t="s">
        <v>993</v>
      </c>
      <c r="AH406" s="2" t="s">
        <v>4157</v>
      </c>
      <c r="AI406" s="2">
        <v>0.18</v>
      </c>
      <c r="AJ406" s="2">
        <v>18.397047695748899</v>
      </c>
      <c r="AK406" s="2">
        <v>18.178515421559499</v>
      </c>
      <c r="AL406" s="2">
        <v>17.7664095935306</v>
      </c>
      <c r="AM406" s="2">
        <v>18.881313162520399</v>
      </c>
      <c r="AN406" s="2">
        <v>18.1709174325443</v>
      </c>
      <c r="AO406" s="2">
        <v>18.794928938117501</v>
      </c>
      <c r="AP406" s="2">
        <v>18.1237669774506</v>
      </c>
      <c r="AQ406" s="2">
        <v>18.032689766471002</v>
      </c>
      <c r="AR406" s="2">
        <v>18.014985381530401</v>
      </c>
      <c r="AS406" s="2">
        <v>16.173370296775701</v>
      </c>
      <c r="AT406" s="2">
        <v>17.686657342259402</v>
      </c>
      <c r="AU406" s="2">
        <v>17.112492042991899</v>
      </c>
      <c r="AV406" s="2">
        <v>18.204399632535502</v>
      </c>
      <c r="AW406" s="2">
        <v>18.598929921252498</v>
      </c>
      <c r="AX406" s="2">
        <v>16.607608739740101</v>
      </c>
      <c r="AY406" s="2">
        <v>17.340949729048202</v>
      </c>
      <c r="AZ406" s="2">
        <v>17.003462351819699</v>
      </c>
      <c r="BA406" s="2">
        <v>18.111606919023998</v>
      </c>
      <c r="BB406" s="2">
        <v>18.344405189660101</v>
      </c>
      <c r="BC406" s="2">
        <v>18.748334582696799</v>
      </c>
      <c r="BD406" s="2">
        <v>16.514984595723</v>
      </c>
      <c r="BE406" s="2">
        <v>17.890607356118799</v>
      </c>
      <c r="BF406" s="2">
        <v>16.963495121580799</v>
      </c>
      <c r="BG406" s="2">
        <v>18.881614736488601</v>
      </c>
      <c r="BH406" s="2">
        <v>16.276092591461801</v>
      </c>
      <c r="BI406" s="2">
        <v>18.3969604695538</v>
      </c>
      <c r="BJ406" s="2">
        <v>19.2767928103112</v>
      </c>
      <c r="BK406" s="2">
        <v>17.712324066876</v>
      </c>
      <c r="BL406" s="2">
        <v>18.966486723019599</v>
      </c>
      <c r="BM406" s="2">
        <v>16.723196963582101</v>
      </c>
      <c r="BN406" s="2">
        <v>18.045561577920299</v>
      </c>
      <c r="BO406" s="2">
        <v>17.600161118097699</v>
      </c>
      <c r="BP406" s="2">
        <v>17.726235990643101</v>
      </c>
      <c r="BQ406" s="2">
        <v>19.412509272915901</v>
      </c>
      <c r="BR406" s="2">
        <v>17.262407886068502</v>
      </c>
      <c r="BS406" s="2">
        <v>17.847947680458599</v>
      </c>
      <c r="BT406" s="2">
        <v>18.302771127294498</v>
      </c>
      <c r="BU406" s="2">
        <v>19.5859112027503</v>
      </c>
      <c r="BV406" s="2">
        <v>18.403418440191601</v>
      </c>
      <c r="BW406" s="2">
        <v>17.219477023150301</v>
      </c>
      <c r="BX406" s="2">
        <v>16.934466973331901</v>
      </c>
      <c r="BY406" s="2">
        <v>20.457290591569599</v>
      </c>
      <c r="BZ406" s="2">
        <v>18.1522915771919</v>
      </c>
      <c r="CA406" s="2">
        <v>18.651439607240299</v>
      </c>
      <c r="CB406" s="2">
        <v>18.1827782165809</v>
      </c>
      <c r="CC406" s="2">
        <v>19.546178314018299</v>
      </c>
      <c r="CD406" s="2">
        <v>19.328857588364301</v>
      </c>
      <c r="CE406" s="2">
        <v>19.680733373947799</v>
      </c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</row>
    <row r="407" spans="1:97">
      <c r="A407" s="2" t="s">
        <v>4158</v>
      </c>
      <c r="B407" s="2">
        <v>207.10221000000001</v>
      </c>
      <c r="C407" s="2">
        <v>6.3849999999999998</v>
      </c>
      <c r="D407" s="2" t="s">
        <v>146</v>
      </c>
      <c r="E407" s="2" t="s">
        <v>4159</v>
      </c>
      <c r="F407" s="2" t="s">
        <v>4160</v>
      </c>
      <c r="G407" s="2">
        <v>255244</v>
      </c>
      <c r="H407" s="3" t="str">
        <f>HYPERLINK("https://cloud.oebiotech.com/#/lm/network/255244", "https://cloud.oebiotech.com/#/lm/network/255244")</f>
        <v>https://cloud.oebiotech.com/#/lm/network/255244</v>
      </c>
      <c r="I407" s="2" t="s">
        <v>4161</v>
      </c>
      <c r="J407" s="2"/>
      <c r="K407" s="2"/>
      <c r="L407" s="2">
        <v>24121290</v>
      </c>
      <c r="M407" s="2"/>
      <c r="N407" s="2"/>
      <c r="O407" s="2"/>
      <c r="P407" s="2"/>
      <c r="Q407" s="2"/>
      <c r="R407" s="2"/>
      <c r="S407" s="2"/>
      <c r="T407" s="2" t="s">
        <v>4162</v>
      </c>
      <c r="U407" s="2" t="s">
        <v>4163</v>
      </c>
      <c r="V407" s="2" t="s">
        <v>553</v>
      </c>
      <c r="W407" s="2" t="s">
        <v>4164</v>
      </c>
      <c r="X407" s="2" t="s">
        <v>375</v>
      </c>
      <c r="Y407" s="2" t="s">
        <v>556</v>
      </c>
      <c r="Z407" s="2" t="s">
        <v>4165</v>
      </c>
      <c r="AA407" s="2"/>
      <c r="AB407" s="2" t="s">
        <v>101</v>
      </c>
      <c r="AC407" s="2">
        <v>65.11</v>
      </c>
      <c r="AD407" s="2">
        <v>92.54</v>
      </c>
      <c r="AE407" s="2">
        <v>63.82</v>
      </c>
      <c r="AF407" s="2" t="s">
        <v>4166</v>
      </c>
      <c r="AG407" s="2" t="s">
        <v>993</v>
      </c>
      <c r="AH407" s="2" t="s">
        <v>3669</v>
      </c>
      <c r="AI407" s="2">
        <v>-0.48</v>
      </c>
      <c r="AJ407" s="2">
        <v>17.159403866951301</v>
      </c>
      <c r="AK407" s="2">
        <v>17.434469007055199</v>
      </c>
      <c r="AL407" s="2">
        <v>17.615624392936802</v>
      </c>
      <c r="AM407" s="2">
        <v>17.5649328166154</v>
      </c>
      <c r="AN407" s="2">
        <v>17.267951416870101</v>
      </c>
      <c r="AO407" s="2">
        <v>17.100080294371299</v>
      </c>
      <c r="AP407" s="2">
        <v>17.401845405712201</v>
      </c>
      <c r="AQ407" s="2">
        <v>17.515476170572502</v>
      </c>
      <c r="AR407" s="2">
        <v>13.0552502321275</v>
      </c>
      <c r="AS407" s="2">
        <v>14.4259010207413</v>
      </c>
      <c r="AT407" s="2">
        <v>14.177427324534699</v>
      </c>
      <c r="AU407" s="2">
        <v>19.4409262109953</v>
      </c>
      <c r="AV407" s="2">
        <v>17.2744233823665</v>
      </c>
      <c r="AW407" s="2">
        <v>13.766064015912701</v>
      </c>
      <c r="AX407" s="2">
        <v>15.679600227456101</v>
      </c>
      <c r="AY407" s="2">
        <v>18.674946934808801</v>
      </c>
      <c r="AZ407" s="2">
        <v>15.029817785768101</v>
      </c>
      <c r="BA407" s="2">
        <v>17.983428369191799</v>
      </c>
      <c r="BB407" s="2">
        <v>15.1549521690565</v>
      </c>
      <c r="BC407" s="2">
        <v>16.467406064089499</v>
      </c>
      <c r="BD407" s="2">
        <v>17.740963782986199</v>
      </c>
      <c r="BE407" s="2">
        <v>17.756280643968498</v>
      </c>
      <c r="BF407" s="2">
        <v>19.251937180095499</v>
      </c>
      <c r="BG407" s="2">
        <v>14.2248578694822</v>
      </c>
      <c r="BH407" s="2">
        <v>14.5765038329686</v>
      </c>
      <c r="BI407" s="2">
        <v>14.642627121390399</v>
      </c>
      <c r="BJ407" s="2">
        <v>14.614893849605</v>
      </c>
      <c r="BK407" s="2">
        <v>15.431704239070401</v>
      </c>
      <c r="BL407" s="2">
        <v>16.3014118828841</v>
      </c>
      <c r="BM407" s="2">
        <v>19.0870213585846</v>
      </c>
      <c r="BN407" s="2">
        <v>16.853949243940999</v>
      </c>
      <c r="BO407" s="2">
        <v>20.239754278618001</v>
      </c>
      <c r="BP407" s="2">
        <v>17.772103765948199</v>
      </c>
      <c r="BQ407" s="2">
        <v>18.2000948037761</v>
      </c>
      <c r="BR407" s="2">
        <v>16.729552239401499</v>
      </c>
      <c r="BS407" s="2">
        <v>19.196641481033598</v>
      </c>
      <c r="BT407" s="2">
        <v>14.398730333588899</v>
      </c>
      <c r="BU407" s="2">
        <v>15.082474659072499</v>
      </c>
      <c r="BV407" s="2">
        <v>14.286401095363701</v>
      </c>
      <c r="BW407" s="2">
        <v>15.233280381853699</v>
      </c>
      <c r="BX407" s="2">
        <v>13.458914081931701</v>
      </c>
      <c r="BY407" s="2">
        <v>15.029043018084799</v>
      </c>
      <c r="BZ407" s="2">
        <v>14.547866336295799</v>
      </c>
      <c r="CA407" s="2">
        <v>15.011216333817</v>
      </c>
      <c r="CB407" s="2">
        <v>14.842379809923401</v>
      </c>
      <c r="CC407" s="2">
        <v>14.4870140906266</v>
      </c>
      <c r="CD407" s="2">
        <v>19.534741972564301</v>
      </c>
      <c r="CE407" s="2">
        <v>16.4743078565592</v>
      </c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</row>
    <row r="408" spans="1:97">
      <c r="A408" s="2" t="s">
        <v>4167</v>
      </c>
      <c r="B408" s="2">
        <v>283.11809</v>
      </c>
      <c r="C408" s="2">
        <v>5.6189999999999998</v>
      </c>
      <c r="D408" s="2" t="s">
        <v>146</v>
      </c>
      <c r="E408" s="2" t="s">
        <v>4168</v>
      </c>
      <c r="F408" s="2" t="s">
        <v>4169</v>
      </c>
      <c r="G408" s="2">
        <v>57768</v>
      </c>
      <c r="H408" s="3" t="str">
        <f>HYPERLINK("https://cloud.oebiotech.com/#/lm/network/57768", "https://cloud.oebiotech.com/#/lm/network/57768")</f>
        <v>https://cloud.oebiotech.com/#/lm/network/57768</v>
      </c>
      <c r="I408" s="2" t="s">
        <v>4170</v>
      </c>
      <c r="J408" s="2">
        <v>89361</v>
      </c>
      <c r="K408" s="2"/>
      <c r="L408" s="2">
        <v>61199</v>
      </c>
      <c r="M408" s="2"/>
      <c r="N408" s="2"/>
      <c r="O408" s="2"/>
      <c r="P408" s="2"/>
      <c r="Q408" s="2"/>
      <c r="R408" s="2"/>
      <c r="S408" s="2"/>
      <c r="T408" s="2" t="s">
        <v>4171</v>
      </c>
      <c r="U408" s="2" t="s">
        <v>4172</v>
      </c>
      <c r="V408" s="2" t="s">
        <v>553</v>
      </c>
      <c r="W408" s="2" t="s">
        <v>2261</v>
      </c>
      <c r="X408" s="2" t="s">
        <v>2262</v>
      </c>
      <c r="Y408" s="2" t="s">
        <v>556</v>
      </c>
      <c r="Z408" s="2" t="s">
        <v>2263</v>
      </c>
      <c r="AA408" s="2" t="s">
        <v>2264</v>
      </c>
      <c r="AB408" s="2" t="s">
        <v>101</v>
      </c>
      <c r="AC408" s="2">
        <v>65.099999999999994</v>
      </c>
      <c r="AD408" s="2">
        <v>91.18</v>
      </c>
      <c r="AE408" s="2">
        <v>52.15</v>
      </c>
      <c r="AF408" s="2" t="s">
        <v>4173</v>
      </c>
      <c r="AG408" s="2" t="s">
        <v>3880</v>
      </c>
      <c r="AH408" s="2" t="s">
        <v>4174</v>
      </c>
      <c r="AI408" s="2">
        <v>2.12</v>
      </c>
      <c r="AJ408" s="2">
        <v>17.989954063229501</v>
      </c>
      <c r="AK408" s="2">
        <v>17.983556683412701</v>
      </c>
      <c r="AL408" s="2">
        <v>17.7408408856625</v>
      </c>
      <c r="AM408" s="2">
        <v>17.366748231373801</v>
      </c>
      <c r="AN408" s="2">
        <v>18.0709762949988</v>
      </c>
      <c r="AO408" s="2">
        <v>18.089065693197</v>
      </c>
      <c r="AP408" s="2">
        <v>17.754035268316901</v>
      </c>
      <c r="AQ408" s="2">
        <v>17.8602775263243</v>
      </c>
      <c r="AR408" s="2">
        <v>17.5086012704705</v>
      </c>
      <c r="AS408" s="2">
        <v>17.978922460004799</v>
      </c>
      <c r="AT408" s="2">
        <v>17.784520597006999</v>
      </c>
      <c r="AU408" s="2">
        <v>17.447440690742699</v>
      </c>
      <c r="AV408" s="2">
        <v>17.9549089831137</v>
      </c>
      <c r="AW408" s="2">
        <v>16.988287371752602</v>
      </c>
      <c r="AX408" s="2">
        <v>16.563009129278502</v>
      </c>
      <c r="AY408" s="2">
        <v>17.123796980056198</v>
      </c>
      <c r="AZ408" s="2">
        <v>17.3650193069168</v>
      </c>
      <c r="BA408" s="2">
        <v>16.9225180872028</v>
      </c>
      <c r="BB408" s="2">
        <v>17.822870220345099</v>
      </c>
      <c r="BC408" s="2">
        <v>18.915923773974999</v>
      </c>
      <c r="BD408" s="2">
        <v>17.247292357218502</v>
      </c>
      <c r="BE408" s="2">
        <v>17.552314638575801</v>
      </c>
      <c r="BF408" s="2">
        <v>17.506940697997599</v>
      </c>
      <c r="BG408" s="2">
        <v>16.437349768779502</v>
      </c>
      <c r="BH408" s="2">
        <v>18.095009644178099</v>
      </c>
      <c r="BI408" s="2">
        <v>16.4848032307384</v>
      </c>
      <c r="BJ408" s="2">
        <v>17.434384951047601</v>
      </c>
      <c r="BK408" s="2">
        <v>16.7878060381917</v>
      </c>
      <c r="BL408" s="2">
        <v>17.354766345731399</v>
      </c>
      <c r="BM408" s="2">
        <v>18.714432618464201</v>
      </c>
      <c r="BN408" s="2">
        <v>18.3699890964266</v>
      </c>
      <c r="BO408" s="2">
        <v>18.8478171161549</v>
      </c>
      <c r="BP408" s="2">
        <v>16.100989552563298</v>
      </c>
      <c r="BQ408" s="2">
        <v>17.7694530529843</v>
      </c>
      <c r="BR408" s="2">
        <v>16.840645049314201</v>
      </c>
      <c r="BS408" s="2">
        <v>17.242615251304301</v>
      </c>
      <c r="BT408" s="2">
        <v>18.1569961773682</v>
      </c>
      <c r="BU408" s="2">
        <v>17.934758704814001</v>
      </c>
      <c r="BV408" s="2">
        <v>17.505223928582598</v>
      </c>
      <c r="BW408" s="2">
        <v>16.875673889163401</v>
      </c>
      <c r="BX408" s="2">
        <v>17.4713273572257</v>
      </c>
      <c r="BY408" s="2">
        <v>17.894317582742801</v>
      </c>
      <c r="BZ408" s="2">
        <v>17.437947981974599</v>
      </c>
      <c r="CA408" s="2">
        <v>16.805496643360801</v>
      </c>
      <c r="CB408" s="2">
        <v>16.2708657937185</v>
      </c>
      <c r="CC408" s="2">
        <v>17.0567186739409</v>
      </c>
      <c r="CD408" s="2">
        <v>17.928085858150599</v>
      </c>
      <c r="CE408" s="2">
        <v>17.756653133077801</v>
      </c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</row>
    <row r="409" spans="1:97">
      <c r="A409" s="2" t="s">
        <v>4175</v>
      </c>
      <c r="B409" s="2">
        <v>284.18525</v>
      </c>
      <c r="C409" s="2">
        <v>4.8339999999999996</v>
      </c>
      <c r="D409" s="2" t="s">
        <v>84</v>
      </c>
      <c r="E409" s="2" t="s">
        <v>4176</v>
      </c>
      <c r="F409" s="2" t="s">
        <v>4177</v>
      </c>
      <c r="G409" s="2">
        <v>198243</v>
      </c>
      <c r="H409" s="3" t="str">
        <f>HYPERLINK("https://cloud.oebiotech.com/#/lm/network/198243", "https://cloud.oebiotech.com/#/lm/network/198243")</f>
        <v>https://cloud.oebiotech.com/#/lm/network/198243</v>
      </c>
      <c r="I409" s="2" t="s">
        <v>4178</v>
      </c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 t="s">
        <v>4179</v>
      </c>
      <c r="U409" s="2" t="s">
        <v>4180</v>
      </c>
      <c r="V409" s="2" t="s">
        <v>95</v>
      </c>
      <c r="W409" s="2" t="s">
        <v>96</v>
      </c>
      <c r="X409" s="2" t="s">
        <v>97</v>
      </c>
      <c r="Y409" s="2" t="s">
        <v>98</v>
      </c>
      <c r="Z409" s="2" t="s">
        <v>99</v>
      </c>
      <c r="AA409" s="2" t="s">
        <v>100</v>
      </c>
      <c r="AB409" s="2" t="s">
        <v>101</v>
      </c>
      <c r="AC409" s="2">
        <v>65.09</v>
      </c>
      <c r="AD409" s="2">
        <v>90.17</v>
      </c>
      <c r="AE409" s="2">
        <v>68.09</v>
      </c>
      <c r="AF409" s="2" t="s">
        <v>4181</v>
      </c>
      <c r="AG409" s="2" t="s">
        <v>103</v>
      </c>
      <c r="AH409" s="2" t="s">
        <v>4182</v>
      </c>
      <c r="AI409" s="2">
        <v>1.41</v>
      </c>
      <c r="AJ409" s="2">
        <v>17.847559622173801</v>
      </c>
      <c r="AK409" s="2">
        <v>18.2232622694052</v>
      </c>
      <c r="AL409" s="2">
        <v>17.935996784053501</v>
      </c>
      <c r="AM409" s="2">
        <v>18.190226130819699</v>
      </c>
      <c r="AN409" s="2">
        <v>18.063990480929501</v>
      </c>
      <c r="AO409" s="2">
        <v>17.393110539407601</v>
      </c>
      <c r="AP409" s="2">
        <v>17.9394581199962</v>
      </c>
      <c r="AQ409" s="2">
        <v>17.7491807599921</v>
      </c>
      <c r="AR409" s="2">
        <v>16.348382893644299</v>
      </c>
      <c r="AS409" s="2">
        <v>16.7527458478475</v>
      </c>
      <c r="AT409" s="2">
        <v>16.317780907655699</v>
      </c>
      <c r="AU409" s="2">
        <v>17.791801737034898</v>
      </c>
      <c r="AV409" s="2">
        <v>17.6947442619329</v>
      </c>
      <c r="AW409" s="2">
        <v>17.825977001140402</v>
      </c>
      <c r="AX409" s="2">
        <v>17.280509265203801</v>
      </c>
      <c r="AY409" s="2">
        <v>19.033061621098302</v>
      </c>
      <c r="AZ409" s="2">
        <v>17.349232411233501</v>
      </c>
      <c r="BA409" s="2">
        <v>17.305489743636201</v>
      </c>
      <c r="BB409" s="2">
        <v>17.3659016230507</v>
      </c>
      <c r="BC409" s="2">
        <v>16.433057732139702</v>
      </c>
      <c r="BD409" s="2">
        <v>16.6811219898497</v>
      </c>
      <c r="BE409" s="2">
        <v>17.824338201998199</v>
      </c>
      <c r="BF409" s="2">
        <v>17.384025515523799</v>
      </c>
      <c r="BG409" s="2">
        <v>15.364752634815</v>
      </c>
      <c r="BH409" s="2">
        <v>14.146379337434899</v>
      </c>
      <c r="BI409" s="2">
        <v>16.268530669807099</v>
      </c>
      <c r="BJ409" s="2">
        <v>17.2029910898918</v>
      </c>
      <c r="BK409" s="2">
        <v>9.6233145402724691</v>
      </c>
      <c r="BL409" s="2">
        <v>14.4320968615931</v>
      </c>
      <c r="BM409" s="2">
        <v>17.859961603832499</v>
      </c>
      <c r="BN409" s="2">
        <v>17.048874124839401</v>
      </c>
      <c r="BO409" s="2">
        <v>18.111160586592302</v>
      </c>
      <c r="BP409" s="2">
        <v>9.6233145402724691</v>
      </c>
      <c r="BQ409" s="2">
        <v>17.452199164429899</v>
      </c>
      <c r="BR409" s="2">
        <v>17.6037260135979</v>
      </c>
      <c r="BS409" s="2">
        <v>19.693342863205501</v>
      </c>
      <c r="BT409" s="2">
        <v>19.212475272591298</v>
      </c>
      <c r="BU409" s="2">
        <v>18.6283860152075</v>
      </c>
      <c r="BV409" s="2">
        <v>18.677231249814501</v>
      </c>
      <c r="BW409" s="2">
        <v>14.2684966777943</v>
      </c>
      <c r="BX409" s="2">
        <v>15.908068878814399</v>
      </c>
      <c r="BY409" s="2">
        <v>18.847112874243201</v>
      </c>
      <c r="BZ409" s="2">
        <v>16.082573618988899</v>
      </c>
      <c r="CA409" s="2">
        <v>15.738714277187899</v>
      </c>
      <c r="CB409" s="2">
        <v>15.846824073912501</v>
      </c>
      <c r="CC409" s="2">
        <v>17.471741886697998</v>
      </c>
      <c r="CD409" s="2">
        <v>16.998833017981401</v>
      </c>
      <c r="CE409" s="2">
        <v>16.9215935336345</v>
      </c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</row>
    <row r="410" spans="1:97">
      <c r="A410" s="2" t="s">
        <v>4183</v>
      </c>
      <c r="B410" s="2">
        <v>435.31074000000001</v>
      </c>
      <c r="C410" s="2">
        <v>10.579000000000001</v>
      </c>
      <c r="D410" s="2" t="s">
        <v>146</v>
      </c>
      <c r="E410" s="2" t="s">
        <v>4184</v>
      </c>
      <c r="F410" s="2" t="s">
        <v>4185</v>
      </c>
      <c r="G410" s="2">
        <v>46312</v>
      </c>
      <c r="H410" s="3" t="str">
        <f>HYPERLINK("https://cloud.oebiotech.com/#/lm/network/46312", "https://cloud.oebiotech.com/#/lm/network/46312")</f>
        <v>https://cloud.oebiotech.com/#/lm/network/46312</v>
      </c>
      <c r="I410" s="2"/>
      <c r="J410" s="2"/>
      <c r="K410" s="2" t="s">
        <v>4186</v>
      </c>
      <c r="L410" s="2">
        <v>68921349</v>
      </c>
      <c r="M410" s="2"/>
      <c r="N410" s="2"/>
      <c r="O410" s="2"/>
      <c r="P410" s="2"/>
      <c r="Q410" s="2"/>
      <c r="R410" s="2"/>
      <c r="S410" s="2"/>
      <c r="T410" s="2" t="s">
        <v>4187</v>
      </c>
      <c r="U410" s="2" t="s">
        <v>4188</v>
      </c>
      <c r="V410" s="2" t="s">
        <v>95</v>
      </c>
      <c r="W410" s="2" t="s">
        <v>152</v>
      </c>
      <c r="X410" s="2" t="s">
        <v>153</v>
      </c>
      <c r="Y410" s="2" t="s">
        <v>98</v>
      </c>
      <c r="Z410" s="2" t="s">
        <v>154</v>
      </c>
      <c r="AA410" s="2" t="s">
        <v>155</v>
      </c>
      <c r="AB410" s="2" t="s">
        <v>101</v>
      </c>
      <c r="AC410" s="2">
        <v>65.06</v>
      </c>
      <c r="AD410" s="2">
        <v>82.71</v>
      </c>
      <c r="AE410" s="2">
        <v>65.540000000000006</v>
      </c>
      <c r="AF410" s="2" t="s">
        <v>4189</v>
      </c>
      <c r="AG410" s="2" t="s">
        <v>194</v>
      </c>
      <c r="AH410" s="2" t="s">
        <v>4190</v>
      </c>
      <c r="AI410" s="2">
        <v>2.0699999999999998</v>
      </c>
      <c r="AJ410" s="2">
        <v>17.829142282857401</v>
      </c>
      <c r="AK410" s="2">
        <v>17.733015189241101</v>
      </c>
      <c r="AL410" s="2">
        <v>17.913513902749202</v>
      </c>
      <c r="AM410" s="2">
        <v>17.4809600062279</v>
      </c>
      <c r="AN410" s="2">
        <v>17.827998720277801</v>
      </c>
      <c r="AO410" s="2">
        <v>17.714686229103801</v>
      </c>
      <c r="AP410" s="2">
        <v>17.868710020655101</v>
      </c>
      <c r="AQ410" s="2">
        <v>17.579474754946499</v>
      </c>
      <c r="AR410" s="2">
        <v>18.197663817803999</v>
      </c>
      <c r="AS410" s="2">
        <v>16.760911185429599</v>
      </c>
      <c r="AT410" s="2">
        <v>15.7131571820952</v>
      </c>
      <c r="AU410" s="2">
        <v>17.226596582238798</v>
      </c>
      <c r="AV410" s="2">
        <v>17.645122430067001</v>
      </c>
      <c r="AW410" s="2">
        <v>19.560944122101699</v>
      </c>
      <c r="AX410" s="2">
        <v>16.2977800027213</v>
      </c>
      <c r="AY410" s="2">
        <v>18.8331486876389</v>
      </c>
      <c r="AZ410" s="2">
        <v>18.274964065410298</v>
      </c>
      <c r="BA410" s="2">
        <v>18.361763648291401</v>
      </c>
      <c r="BB410" s="2">
        <v>17.268820574511398</v>
      </c>
      <c r="BC410" s="2">
        <v>17.6715322903272</v>
      </c>
      <c r="BD410" s="2">
        <v>16.383670883870298</v>
      </c>
      <c r="BE410" s="2">
        <v>18.350532252884999</v>
      </c>
      <c r="BF410" s="2">
        <v>17.739865832250999</v>
      </c>
      <c r="BG410" s="2">
        <v>17.5563136256213</v>
      </c>
      <c r="BH410" s="2">
        <v>17.0436078130721</v>
      </c>
      <c r="BI410" s="2">
        <v>17.195108791537699</v>
      </c>
      <c r="BJ410" s="2">
        <v>18.285982453122401</v>
      </c>
      <c r="BK410" s="2">
        <v>16.028972250188801</v>
      </c>
      <c r="BL410" s="2">
        <v>18.449934986208099</v>
      </c>
      <c r="BM410" s="2">
        <v>17.667042985259201</v>
      </c>
      <c r="BN410" s="2">
        <v>16.671683692755</v>
      </c>
      <c r="BO410" s="2">
        <v>16.4429907816839</v>
      </c>
      <c r="BP410" s="2">
        <v>15.922622030474599</v>
      </c>
      <c r="BQ410" s="2">
        <v>18.987906874181999</v>
      </c>
      <c r="BR410" s="2">
        <v>15.201946614357601</v>
      </c>
      <c r="BS410" s="2">
        <v>18.782919398937199</v>
      </c>
      <c r="BT410" s="2">
        <v>18.0026702203246</v>
      </c>
      <c r="BU410" s="2">
        <v>18.1516325979978</v>
      </c>
      <c r="BV410" s="2">
        <v>16.868035174289702</v>
      </c>
      <c r="BW410" s="2">
        <v>16.013536191496701</v>
      </c>
      <c r="BX410" s="2">
        <v>16.505449346357299</v>
      </c>
      <c r="BY410" s="2">
        <v>18.5429350460882</v>
      </c>
      <c r="BZ410" s="2">
        <v>16.128395752389601</v>
      </c>
      <c r="CA410" s="2">
        <v>14.4632989345582</v>
      </c>
      <c r="CB410" s="2">
        <v>16.900066411828298</v>
      </c>
      <c r="CC410" s="2">
        <v>17.021361086696999</v>
      </c>
      <c r="CD410" s="2">
        <v>18.3769633087005</v>
      </c>
      <c r="CE410" s="2">
        <v>13.9695978732758</v>
      </c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</row>
    <row r="411" spans="1:97">
      <c r="A411" s="2" t="s">
        <v>4191</v>
      </c>
      <c r="B411" s="2">
        <v>204.06612999999999</v>
      </c>
      <c r="C411" s="2">
        <v>5.2450000000000001</v>
      </c>
      <c r="D411" s="2" t="s">
        <v>146</v>
      </c>
      <c r="E411" s="2" t="s">
        <v>4192</v>
      </c>
      <c r="F411" s="2" t="s">
        <v>4193</v>
      </c>
      <c r="G411" s="2">
        <v>51420</v>
      </c>
      <c r="H411" s="3" t="str">
        <f>HYPERLINK("https://cloud.oebiotech.com/#/lm/network/51420", "https://cloud.oebiotech.com/#/lm/network/51420")</f>
        <v>https://cloud.oebiotech.com/#/lm/network/51420</v>
      </c>
      <c r="I411" s="2" t="s">
        <v>4194</v>
      </c>
      <c r="J411" s="2">
        <v>34534</v>
      </c>
      <c r="K411" s="2"/>
      <c r="L411" s="2">
        <v>709625</v>
      </c>
      <c r="M411" s="2"/>
      <c r="N411" s="2"/>
      <c r="O411" s="2"/>
      <c r="P411" s="2">
        <v>68616</v>
      </c>
      <c r="Q411" s="2"/>
      <c r="R411" s="2"/>
      <c r="S411" s="2" t="s">
        <v>4195</v>
      </c>
      <c r="T411" s="2" t="s">
        <v>4196</v>
      </c>
      <c r="U411" s="2" t="s">
        <v>4197</v>
      </c>
      <c r="V411" s="2" t="s">
        <v>115</v>
      </c>
      <c r="W411" s="2" t="s">
        <v>116</v>
      </c>
      <c r="X411" s="2" t="s">
        <v>117</v>
      </c>
      <c r="Y411" s="2" t="s">
        <v>118</v>
      </c>
      <c r="Z411" s="2" t="s">
        <v>119</v>
      </c>
      <c r="AA411" s="2" t="s">
        <v>120</v>
      </c>
      <c r="AB411" s="2" t="s">
        <v>101</v>
      </c>
      <c r="AC411" s="2">
        <v>65.05</v>
      </c>
      <c r="AD411" s="2">
        <v>93.22</v>
      </c>
      <c r="AE411" s="2">
        <v>60.1</v>
      </c>
      <c r="AF411" s="2" t="s">
        <v>4198</v>
      </c>
      <c r="AG411" s="2" t="s">
        <v>194</v>
      </c>
      <c r="AH411" s="2" t="s">
        <v>985</v>
      </c>
      <c r="AI411" s="2">
        <v>2.4500000000000002</v>
      </c>
      <c r="AJ411" s="2">
        <v>17.586349069187801</v>
      </c>
      <c r="AK411" s="2">
        <v>17.465597969794899</v>
      </c>
      <c r="AL411" s="2">
        <v>17.399935009637801</v>
      </c>
      <c r="AM411" s="2">
        <v>17.354983148506101</v>
      </c>
      <c r="AN411" s="2">
        <v>17.662718784969201</v>
      </c>
      <c r="AO411" s="2">
        <v>17.383651057691701</v>
      </c>
      <c r="AP411" s="2">
        <v>17.2152141709273</v>
      </c>
      <c r="AQ411" s="2">
        <v>17.328989448378799</v>
      </c>
      <c r="AR411" s="2">
        <v>16.8371994462752</v>
      </c>
      <c r="AS411" s="2">
        <v>15.4280597980843</v>
      </c>
      <c r="AT411" s="2">
        <v>15.297444004250201</v>
      </c>
      <c r="AU411" s="2">
        <v>15.5837600474013</v>
      </c>
      <c r="AV411" s="2">
        <v>19.583168877556702</v>
      </c>
      <c r="AW411" s="2">
        <v>15.7542215213328</v>
      </c>
      <c r="AX411" s="2">
        <v>15.5636961943227</v>
      </c>
      <c r="AY411" s="2">
        <v>19.001995379319801</v>
      </c>
      <c r="AZ411" s="2">
        <v>15.9484997858788</v>
      </c>
      <c r="BA411" s="2">
        <v>16.073711049181099</v>
      </c>
      <c r="BB411" s="2">
        <v>15.8422420488209</v>
      </c>
      <c r="BC411" s="2">
        <v>16.630642967528601</v>
      </c>
      <c r="BD411" s="2">
        <v>17.631431733483101</v>
      </c>
      <c r="BE411" s="2">
        <v>18.6800422025823</v>
      </c>
      <c r="BF411" s="2">
        <v>15.522332948980599</v>
      </c>
      <c r="BG411" s="2">
        <v>16.495008669008001</v>
      </c>
      <c r="BH411" s="2">
        <v>14.6294790026072</v>
      </c>
      <c r="BI411" s="2">
        <v>17.001049785308201</v>
      </c>
      <c r="BJ411" s="2">
        <v>17.8604297629226</v>
      </c>
      <c r="BK411" s="2">
        <v>15.3427358443199</v>
      </c>
      <c r="BL411" s="2">
        <v>18.599136332076</v>
      </c>
      <c r="BM411" s="2">
        <v>15.7539724824491</v>
      </c>
      <c r="BN411" s="2">
        <v>15.1656250322334</v>
      </c>
      <c r="BO411" s="2">
        <v>15.860803283831</v>
      </c>
      <c r="BP411" s="2">
        <v>15.951324789272601</v>
      </c>
      <c r="BQ411" s="2">
        <v>17.528446403387701</v>
      </c>
      <c r="BR411" s="2">
        <v>15.1339059930077</v>
      </c>
      <c r="BS411" s="2">
        <v>18.973258395343201</v>
      </c>
      <c r="BT411" s="2">
        <v>14.7497406095887</v>
      </c>
      <c r="BU411" s="2">
        <v>17.474764142959099</v>
      </c>
      <c r="BV411" s="2">
        <v>15.690895828582899</v>
      </c>
      <c r="BW411" s="2">
        <v>13.2405930970138</v>
      </c>
      <c r="BX411" s="2">
        <v>17.969144046801201</v>
      </c>
      <c r="BY411" s="2">
        <v>19.443590181513599</v>
      </c>
      <c r="BZ411" s="2">
        <v>15.0254026016929</v>
      </c>
      <c r="CA411" s="2">
        <v>15.6653087109338</v>
      </c>
      <c r="CB411" s="2">
        <v>15.595633377166701</v>
      </c>
      <c r="CC411" s="2">
        <v>15.4306136044183</v>
      </c>
      <c r="CD411" s="2">
        <v>17.745719026795101</v>
      </c>
      <c r="CE411" s="2">
        <v>15.372170949777299</v>
      </c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</row>
    <row r="412" spans="1:97">
      <c r="A412" s="2" t="s">
        <v>4199</v>
      </c>
      <c r="B412" s="2">
        <v>424.24653000000001</v>
      </c>
      <c r="C412" s="2">
        <v>9.7609999999999992</v>
      </c>
      <c r="D412" s="2" t="s">
        <v>146</v>
      </c>
      <c r="E412" s="2" t="s">
        <v>4200</v>
      </c>
      <c r="F412" s="2" t="s">
        <v>4201</v>
      </c>
      <c r="G412" s="2">
        <v>21165</v>
      </c>
      <c r="H412" s="3" t="str">
        <f>HYPERLINK("https://cloud.oebiotech.com/#/lm/network/21165", "https://cloud.oebiotech.com/#/lm/network/21165")</f>
        <v>https://cloud.oebiotech.com/#/lm/network/21165</v>
      </c>
      <c r="I412" s="2" t="s">
        <v>4202</v>
      </c>
      <c r="J412" s="2">
        <v>40777</v>
      </c>
      <c r="K412" s="2" t="s">
        <v>4203</v>
      </c>
      <c r="L412" s="2">
        <v>9547070</v>
      </c>
      <c r="M412" s="2"/>
      <c r="N412" s="2"/>
      <c r="O412" s="2"/>
      <c r="P412" s="2">
        <v>84299</v>
      </c>
      <c r="Q412" s="2"/>
      <c r="R412" s="2"/>
      <c r="S412" s="2"/>
      <c r="T412" s="2" t="s">
        <v>4204</v>
      </c>
      <c r="U412" s="2" t="s">
        <v>4205</v>
      </c>
      <c r="V412" s="2" t="s">
        <v>95</v>
      </c>
      <c r="W412" s="2" t="s">
        <v>202</v>
      </c>
      <c r="X412" s="2" t="s">
        <v>327</v>
      </c>
      <c r="Y412" s="2" t="s">
        <v>98</v>
      </c>
      <c r="Z412" s="2" t="s">
        <v>204</v>
      </c>
      <c r="AA412" s="2" t="s">
        <v>328</v>
      </c>
      <c r="AB412" s="2" t="s">
        <v>101</v>
      </c>
      <c r="AC412" s="2">
        <v>65.040000000000006</v>
      </c>
      <c r="AD412" s="2">
        <v>87.39</v>
      </c>
      <c r="AE412" s="2">
        <v>62.21</v>
      </c>
      <c r="AF412" s="2" t="s">
        <v>4206</v>
      </c>
      <c r="AG412" s="2" t="s">
        <v>194</v>
      </c>
      <c r="AH412" s="2" t="s">
        <v>4207</v>
      </c>
      <c r="AI412" s="2">
        <v>1.18</v>
      </c>
      <c r="AJ412" s="2">
        <v>17.696396391676998</v>
      </c>
      <c r="AK412" s="2">
        <v>17.5941331436761</v>
      </c>
      <c r="AL412" s="2">
        <v>17.337043251593499</v>
      </c>
      <c r="AM412" s="2">
        <v>17.473611979637699</v>
      </c>
      <c r="AN412" s="2">
        <v>17.897926146941501</v>
      </c>
      <c r="AO412" s="2">
        <v>17.4250911375721</v>
      </c>
      <c r="AP412" s="2">
        <v>17.286621740797798</v>
      </c>
      <c r="AQ412" s="2">
        <v>17.673894872023201</v>
      </c>
      <c r="AR412" s="2">
        <v>17.258242403304202</v>
      </c>
      <c r="AS412" s="2">
        <v>15.151173155429699</v>
      </c>
      <c r="AT412" s="2">
        <v>16.1609149111653</v>
      </c>
      <c r="AU412" s="2">
        <v>18.7105421180433</v>
      </c>
      <c r="AV412" s="2">
        <v>18.276325815874799</v>
      </c>
      <c r="AW412" s="2">
        <v>17.3177902683375</v>
      </c>
      <c r="AX412" s="2">
        <v>16.9258695314115</v>
      </c>
      <c r="AY412" s="2">
        <v>15.689600837223599</v>
      </c>
      <c r="AZ412" s="2">
        <v>17.876626895114001</v>
      </c>
      <c r="BA412" s="2">
        <v>16.4475122053076</v>
      </c>
      <c r="BB412" s="2">
        <v>16.571136825156501</v>
      </c>
      <c r="BC412" s="2">
        <v>16.730118363084699</v>
      </c>
      <c r="BD412" s="2">
        <v>15.9499146884048</v>
      </c>
      <c r="BE412" s="2">
        <v>16.5765185950447</v>
      </c>
      <c r="BF412" s="2">
        <v>16.788840786327398</v>
      </c>
      <c r="BG412" s="2">
        <v>17.693065796892899</v>
      </c>
      <c r="BH412" s="2">
        <v>17.617396149536201</v>
      </c>
      <c r="BI412" s="2">
        <v>18.0207128368226</v>
      </c>
      <c r="BJ412" s="2">
        <v>16.749298692814801</v>
      </c>
      <c r="BK412" s="2">
        <v>17.642357417875498</v>
      </c>
      <c r="BL412" s="2">
        <v>17.4165047143061</v>
      </c>
      <c r="BM412" s="2">
        <v>17.2388575631288</v>
      </c>
      <c r="BN412" s="2">
        <v>17.740517126896599</v>
      </c>
      <c r="BO412" s="2">
        <v>17.51253053281</v>
      </c>
      <c r="BP412" s="2">
        <v>17.1963632391383</v>
      </c>
      <c r="BQ412" s="2">
        <v>16.0176533692538</v>
      </c>
      <c r="BR412" s="2">
        <v>18.524600747222099</v>
      </c>
      <c r="BS412" s="2">
        <v>19.170451719478699</v>
      </c>
      <c r="BT412" s="2">
        <v>17.2048906146291</v>
      </c>
      <c r="BU412" s="2">
        <v>17.795318030173501</v>
      </c>
      <c r="BV412" s="2">
        <v>17.203871405032299</v>
      </c>
      <c r="BW412" s="2">
        <v>14.4848581306263</v>
      </c>
      <c r="BX412" s="2">
        <v>16.673098547539201</v>
      </c>
      <c r="BY412" s="2">
        <v>19.291422836784498</v>
      </c>
      <c r="BZ412" s="2">
        <v>17.9651293440822</v>
      </c>
      <c r="CA412" s="2">
        <v>17.545952311019398</v>
      </c>
      <c r="CB412" s="2">
        <v>16.964147926922799</v>
      </c>
      <c r="CC412" s="2">
        <v>17.0932141036301</v>
      </c>
      <c r="CD412" s="2">
        <v>17.2361390466091</v>
      </c>
      <c r="CE412" s="2">
        <v>17.057065740039999</v>
      </c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</row>
    <row r="413" spans="1:97">
      <c r="A413" s="2" t="s">
        <v>4208</v>
      </c>
      <c r="B413" s="2">
        <v>332.26123999999999</v>
      </c>
      <c r="C413" s="2">
        <v>9.56</v>
      </c>
      <c r="D413" s="2" t="s">
        <v>84</v>
      </c>
      <c r="E413" s="2" t="s">
        <v>4209</v>
      </c>
      <c r="F413" s="2" t="s">
        <v>4210</v>
      </c>
      <c r="G413" s="2">
        <v>201606</v>
      </c>
      <c r="H413" s="3" t="str">
        <f>HYPERLINK("https://cloud.oebiotech.com/#/lm/network/201606", "https://cloud.oebiotech.com/#/lm/network/201606")</f>
        <v>https://cloud.oebiotech.com/#/lm/network/201606</v>
      </c>
      <c r="I413" s="2" t="s">
        <v>4211</v>
      </c>
      <c r="J413" s="2"/>
      <c r="K413" s="2"/>
      <c r="L413" s="2">
        <v>4287521</v>
      </c>
      <c r="M413" s="2"/>
      <c r="N413" s="2"/>
      <c r="O413" s="2"/>
      <c r="P413" s="2"/>
      <c r="Q413" s="2"/>
      <c r="R413" s="2"/>
      <c r="S413" s="2"/>
      <c r="T413" s="2" t="s">
        <v>4212</v>
      </c>
      <c r="U413" s="2" t="s">
        <v>4213</v>
      </c>
      <c r="V413" s="2" t="s">
        <v>95</v>
      </c>
      <c r="W413" s="2" t="s">
        <v>152</v>
      </c>
      <c r="X413" s="2" t="s">
        <v>153</v>
      </c>
      <c r="Y413" s="2" t="s">
        <v>98</v>
      </c>
      <c r="Z413" s="2" t="s">
        <v>154</v>
      </c>
      <c r="AA413" s="2" t="s">
        <v>155</v>
      </c>
      <c r="AB413" s="2" t="s">
        <v>101</v>
      </c>
      <c r="AC413" s="2">
        <v>65.040000000000006</v>
      </c>
      <c r="AD413" s="2">
        <v>96.1</v>
      </c>
      <c r="AE413" s="2">
        <v>88.2</v>
      </c>
      <c r="AF413" s="2" t="s">
        <v>4214</v>
      </c>
      <c r="AG413" s="2" t="s">
        <v>132</v>
      </c>
      <c r="AH413" s="2" t="s">
        <v>4215</v>
      </c>
      <c r="AI413" s="2">
        <v>-8.43</v>
      </c>
      <c r="AJ413" s="2">
        <v>19.9425653043727</v>
      </c>
      <c r="AK413" s="2">
        <v>20.027727432683601</v>
      </c>
      <c r="AL413" s="2">
        <v>20.037836033993401</v>
      </c>
      <c r="AM413" s="2">
        <v>20.232162972159099</v>
      </c>
      <c r="AN413" s="2">
        <v>20.164480541908599</v>
      </c>
      <c r="AO413" s="2">
        <v>20.179032098184699</v>
      </c>
      <c r="AP413" s="2">
        <v>19.9137110619765</v>
      </c>
      <c r="AQ413" s="2">
        <v>19.985484128342101</v>
      </c>
      <c r="AR413" s="2">
        <v>18.505966580734501</v>
      </c>
      <c r="AS413" s="2">
        <v>19.9670288048153</v>
      </c>
      <c r="AT413" s="2">
        <v>19.349311771368399</v>
      </c>
      <c r="AU413" s="2">
        <v>18.133818417569898</v>
      </c>
      <c r="AV413" s="2">
        <v>19.457633453649901</v>
      </c>
      <c r="AW413" s="2">
        <v>19.639774119839299</v>
      </c>
      <c r="AX413" s="2">
        <v>19.3000802550809</v>
      </c>
      <c r="AY413" s="2">
        <v>20.913736331234102</v>
      </c>
      <c r="AZ413" s="2">
        <v>18.617684153168501</v>
      </c>
      <c r="BA413" s="2">
        <v>20.5280015187498</v>
      </c>
      <c r="BB413" s="2">
        <v>20.239864514211899</v>
      </c>
      <c r="BC413" s="2">
        <v>20.856013596047699</v>
      </c>
      <c r="BD413" s="2">
        <v>19.477186834894201</v>
      </c>
      <c r="BE413" s="2">
        <v>21.065732956959899</v>
      </c>
      <c r="BF413" s="2">
        <v>20.3410226377733</v>
      </c>
      <c r="BG413" s="2">
        <v>19.335627685968198</v>
      </c>
      <c r="BH413" s="2">
        <v>20.965992798199501</v>
      </c>
      <c r="BI413" s="2">
        <v>20.321755199311902</v>
      </c>
      <c r="BJ413" s="2">
        <v>19.971158024503598</v>
      </c>
      <c r="BK413" s="2">
        <v>19.690589086048501</v>
      </c>
      <c r="BL413" s="2">
        <v>19.4197108973427</v>
      </c>
      <c r="BM413" s="2">
        <v>20.276215854716298</v>
      </c>
      <c r="BN413" s="2">
        <v>20.2087654197706</v>
      </c>
      <c r="BO413" s="2">
        <v>19.209912773596098</v>
      </c>
      <c r="BP413" s="2">
        <v>18.975705281930502</v>
      </c>
      <c r="BQ413" s="2">
        <v>19.059916826021102</v>
      </c>
      <c r="BR413" s="2">
        <v>19.6623242578878</v>
      </c>
      <c r="BS413" s="2">
        <v>20.480542043021899</v>
      </c>
      <c r="BT413" s="2">
        <v>18.858465520538299</v>
      </c>
      <c r="BU413" s="2">
        <v>20.314787564695202</v>
      </c>
      <c r="BV413" s="2">
        <v>19.496654745688399</v>
      </c>
      <c r="BW413" s="2">
        <v>19.777169864577701</v>
      </c>
      <c r="BX413" s="2">
        <v>19.462583028923898</v>
      </c>
      <c r="BY413" s="2">
        <v>21.301694663983898</v>
      </c>
      <c r="BZ413" s="2">
        <v>19.684567114889699</v>
      </c>
      <c r="CA413" s="2">
        <v>19.888859328366799</v>
      </c>
      <c r="CB413" s="2">
        <v>18.997887387549898</v>
      </c>
      <c r="CC413" s="2">
        <v>20.763196778238498</v>
      </c>
      <c r="CD413" s="2">
        <v>20.076505479257499</v>
      </c>
      <c r="CE413" s="2">
        <v>19.799334133436201</v>
      </c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</row>
    <row r="414" spans="1:97">
      <c r="A414" s="2" t="s">
        <v>4216</v>
      </c>
      <c r="B414" s="2">
        <v>334.13927000000001</v>
      </c>
      <c r="C414" s="2">
        <v>4.2560000000000002</v>
      </c>
      <c r="D414" s="2" t="s">
        <v>84</v>
      </c>
      <c r="E414" s="2" t="s">
        <v>4217</v>
      </c>
      <c r="F414" s="2" t="s">
        <v>4218</v>
      </c>
      <c r="G414" s="2">
        <v>53862</v>
      </c>
      <c r="H414" s="3" t="str">
        <f>HYPERLINK("https://cloud.oebiotech.com/#/lm/network/53862", "https://cloud.oebiotech.com/#/lm/network/53862")</f>
        <v>https://cloud.oebiotech.com/#/lm/network/53862</v>
      </c>
      <c r="I414" s="2" t="s">
        <v>4219</v>
      </c>
      <c r="J414" s="2"/>
      <c r="K414" s="2"/>
      <c r="L414" s="2">
        <v>100094</v>
      </c>
      <c r="M414" s="2"/>
      <c r="N414" s="2"/>
      <c r="O414" s="2"/>
      <c r="P414" s="2">
        <v>73512</v>
      </c>
      <c r="Q414" s="2"/>
      <c r="R414" s="2"/>
      <c r="S414" s="2" t="s">
        <v>4220</v>
      </c>
      <c r="T414" s="2" t="s">
        <v>4221</v>
      </c>
      <c r="U414" s="2" t="s">
        <v>4222</v>
      </c>
      <c r="V414" s="2" t="s">
        <v>115</v>
      </c>
      <c r="W414" s="2" t="s">
        <v>116</v>
      </c>
      <c r="X414" s="2" t="s">
        <v>117</v>
      </c>
      <c r="Y414" s="2" t="s">
        <v>118</v>
      </c>
      <c r="Z414" s="2" t="s">
        <v>119</v>
      </c>
      <c r="AA414" s="2" t="s">
        <v>120</v>
      </c>
      <c r="AB414" s="2" t="s">
        <v>101</v>
      </c>
      <c r="AC414" s="2">
        <v>65.03</v>
      </c>
      <c r="AD414" s="2">
        <v>89.3</v>
      </c>
      <c r="AE414" s="2">
        <v>51.95</v>
      </c>
      <c r="AF414" s="2" t="s">
        <v>4223</v>
      </c>
      <c r="AG414" s="2" t="s">
        <v>103</v>
      </c>
      <c r="AH414" s="2" t="s">
        <v>4224</v>
      </c>
      <c r="AI414" s="2">
        <v>1.2</v>
      </c>
      <c r="AJ414" s="2">
        <v>18.812706377627698</v>
      </c>
      <c r="AK414" s="2">
        <v>18.992485542565099</v>
      </c>
      <c r="AL414" s="2">
        <v>18.970748439239799</v>
      </c>
      <c r="AM414" s="2">
        <v>19.103009155900299</v>
      </c>
      <c r="AN414" s="2">
        <v>18.692391970163801</v>
      </c>
      <c r="AO414" s="2">
        <v>18.929764996957601</v>
      </c>
      <c r="AP414" s="2">
        <v>18.791053036110998</v>
      </c>
      <c r="AQ414" s="2">
        <v>18.883038228388799</v>
      </c>
      <c r="AR414" s="2">
        <v>18.061822913497299</v>
      </c>
      <c r="AS414" s="2">
        <v>17.787097295768898</v>
      </c>
      <c r="AT414" s="2">
        <v>18.362640766344299</v>
      </c>
      <c r="AU414" s="2">
        <v>18.4613246018593</v>
      </c>
      <c r="AV414" s="2">
        <v>18.458661331011498</v>
      </c>
      <c r="AW414" s="2">
        <v>18.921953817503098</v>
      </c>
      <c r="AX414" s="2">
        <v>18.756477260096201</v>
      </c>
      <c r="AY414" s="2">
        <v>18.409070421347899</v>
      </c>
      <c r="AZ414" s="2">
        <v>18.459751943600001</v>
      </c>
      <c r="BA414" s="2">
        <v>18.720031415405099</v>
      </c>
      <c r="BB414" s="2">
        <v>18.996966368368</v>
      </c>
      <c r="BC414" s="2">
        <v>19.098785303880401</v>
      </c>
      <c r="BD414" s="2">
        <v>18.256663053374901</v>
      </c>
      <c r="BE414" s="2">
        <v>19.1517328957827</v>
      </c>
      <c r="BF414" s="2">
        <v>18.9502498261086</v>
      </c>
      <c r="BG414" s="2">
        <v>19.1402541732663</v>
      </c>
      <c r="BH414" s="2">
        <v>18.5630770384494</v>
      </c>
      <c r="BI414" s="2">
        <v>18.941137984070298</v>
      </c>
      <c r="BJ414" s="2">
        <v>19.104054164653299</v>
      </c>
      <c r="BK414" s="2">
        <v>18.297324926310999</v>
      </c>
      <c r="BL414" s="2">
        <v>18.667431061201398</v>
      </c>
      <c r="BM414" s="2">
        <v>19.071975465690599</v>
      </c>
      <c r="BN414" s="2">
        <v>18.779279184718899</v>
      </c>
      <c r="BO414" s="2">
        <v>18.631319784544999</v>
      </c>
      <c r="BP414" s="2">
        <v>18.7630897937482</v>
      </c>
      <c r="BQ414" s="2">
        <v>19.432725879250899</v>
      </c>
      <c r="BR414" s="2">
        <v>18.875248395326199</v>
      </c>
      <c r="BS414" s="2">
        <v>18.529314597936001</v>
      </c>
      <c r="BT414" s="2">
        <v>18.322767588218099</v>
      </c>
      <c r="BU414" s="2">
        <v>18.672984124752901</v>
      </c>
      <c r="BV414" s="2">
        <v>18.974775588122998</v>
      </c>
      <c r="BW414" s="2">
        <v>17.914586945842899</v>
      </c>
      <c r="BX414" s="2">
        <v>18.590060313358698</v>
      </c>
      <c r="BY414" s="2">
        <v>19.198313595778298</v>
      </c>
      <c r="BZ414" s="2">
        <v>19.405432249490801</v>
      </c>
      <c r="CA414" s="2">
        <v>18.985436305408999</v>
      </c>
      <c r="CB414" s="2">
        <v>18.729998486849802</v>
      </c>
      <c r="CC414" s="2">
        <v>18.192784562887699</v>
      </c>
      <c r="CD414" s="2">
        <v>19.494021828400701</v>
      </c>
      <c r="CE414" s="2">
        <v>18.9727432988293</v>
      </c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</row>
    <row r="415" spans="1:97">
      <c r="A415" s="2" t="s">
        <v>4225</v>
      </c>
      <c r="B415" s="2">
        <v>179.07016999999999</v>
      </c>
      <c r="C415" s="2">
        <v>4.9550000000000001</v>
      </c>
      <c r="D415" s="2" t="s">
        <v>84</v>
      </c>
      <c r="E415" s="2" t="s">
        <v>4226</v>
      </c>
      <c r="F415" s="2" t="s">
        <v>4227</v>
      </c>
      <c r="G415" s="2">
        <v>62704</v>
      </c>
      <c r="H415" s="3" t="str">
        <f>HYPERLINK("https://cloud.oebiotech.com/#/lm/network/62704", "https://cloud.oebiotech.com/#/lm/network/62704")</f>
        <v>https://cloud.oebiotech.com/#/lm/network/62704</v>
      </c>
      <c r="I415" s="2" t="s">
        <v>4228</v>
      </c>
      <c r="J415" s="2">
        <v>94001</v>
      </c>
      <c r="K415" s="2"/>
      <c r="L415" s="2">
        <v>14868260</v>
      </c>
      <c r="M415" s="2"/>
      <c r="N415" s="2"/>
      <c r="O415" s="2"/>
      <c r="P415" s="2">
        <v>173970</v>
      </c>
      <c r="Q415" s="2"/>
      <c r="R415" s="2"/>
      <c r="S415" s="2" t="s">
        <v>4229</v>
      </c>
      <c r="T415" s="2" t="s">
        <v>4230</v>
      </c>
      <c r="U415" s="2" t="s">
        <v>4231</v>
      </c>
      <c r="V415" s="2" t="s">
        <v>845</v>
      </c>
      <c r="W415" s="2" t="s">
        <v>4232</v>
      </c>
      <c r="X415" s="2" t="s">
        <v>375</v>
      </c>
      <c r="Y415" s="2" t="s">
        <v>847</v>
      </c>
      <c r="Z415" s="2" t="s">
        <v>4233</v>
      </c>
      <c r="AA415" s="2"/>
      <c r="AB415" s="2" t="s">
        <v>101</v>
      </c>
      <c r="AC415" s="2">
        <v>65.02</v>
      </c>
      <c r="AD415" s="2">
        <v>94.17</v>
      </c>
      <c r="AE415" s="2">
        <v>56.75</v>
      </c>
      <c r="AF415" s="2" t="s">
        <v>4234</v>
      </c>
      <c r="AG415" s="2" t="s">
        <v>1088</v>
      </c>
      <c r="AH415" s="2" t="s">
        <v>4235</v>
      </c>
      <c r="AI415" s="2">
        <v>3.91</v>
      </c>
      <c r="AJ415" s="2">
        <v>20.183284971926199</v>
      </c>
      <c r="AK415" s="2">
        <v>20.132629868045399</v>
      </c>
      <c r="AL415" s="2">
        <v>20.0250689947704</v>
      </c>
      <c r="AM415" s="2">
        <v>20.188834503850099</v>
      </c>
      <c r="AN415" s="2">
        <v>19.999127660451499</v>
      </c>
      <c r="AO415" s="2">
        <v>20.260110974067601</v>
      </c>
      <c r="AP415" s="2">
        <v>19.9269952996457</v>
      </c>
      <c r="AQ415" s="2">
        <v>20.097352690265801</v>
      </c>
      <c r="AR415" s="2">
        <v>19.0891581489219</v>
      </c>
      <c r="AS415" s="2">
        <v>18.670406812246998</v>
      </c>
      <c r="AT415" s="2">
        <v>18.4978506287808</v>
      </c>
      <c r="AU415" s="2">
        <v>20.579322061138601</v>
      </c>
      <c r="AV415" s="2">
        <v>19.5920163658914</v>
      </c>
      <c r="AW415" s="2">
        <v>19.770271320342001</v>
      </c>
      <c r="AX415" s="2">
        <v>17.814069826584099</v>
      </c>
      <c r="AY415" s="2">
        <v>18.676743071308501</v>
      </c>
      <c r="AZ415" s="2">
        <v>18.683541578627999</v>
      </c>
      <c r="BA415" s="2">
        <v>20.789395360964999</v>
      </c>
      <c r="BB415" s="2">
        <v>21.011624151926899</v>
      </c>
      <c r="BC415" s="2">
        <v>20.550732921919</v>
      </c>
      <c r="BD415" s="2">
        <v>20.743609725760901</v>
      </c>
      <c r="BE415" s="2">
        <v>19.027967856493799</v>
      </c>
      <c r="BF415" s="2">
        <v>19.695624746342599</v>
      </c>
      <c r="BG415" s="2">
        <v>20.416591354395202</v>
      </c>
      <c r="BH415" s="2">
        <v>20.465316819824601</v>
      </c>
      <c r="BI415" s="2">
        <v>18.217457606000501</v>
      </c>
      <c r="BJ415" s="2">
        <v>20.940633876084899</v>
      </c>
      <c r="BK415" s="2">
        <v>21.241671684540101</v>
      </c>
      <c r="BL415" s="2">
        <v>20.024418580880202</v>
      </c>
      <c r="BM415" s="2">
        <v>19.930516244537198</v>
      </c>
      <c r="BN415" s="2">
        <v>20.386360898639602</v>
      </c>
      <c r="BO415" s="2">
        <v>20.518089896343898</v>
      </c>
      <c r="BP415" s="2">
        <v>18.870931111361202</v>
      </c>
      <c r="BQ415" s="2">
        <v>19.083747158831802</v>
      </c>
      <c r="BR415" s="2">
        <v>19.038131916785701</v>
      </c>
      <c r="BS415" s="2">
        <v>19.2613872250014</v>
      </c>
      <c r="BT415" s="2">
        <v>21.712606762107502</v>
      </c>
      <c r="BU415" s="2">
        <v>20.783227585759501</v>
      </c>
      <c r="BV415" s="2">
        <v>20.437635304100301</v>
      </c>
      <c r="BW415" s="2">
        <v>19.8030615924513</v>
      </c>
      <c r="BX415" s="2">
        <v>20.3886652885414</v>
      </c>
      <c r="BY415" s="2">
        <v>19.813985245498301</v>
      </c>
      <c r="BZ415" s="2">
        <v>19.269559166171799</v>
      </c>
      <c r="CA415" s="2">
        <v>19.628262026719302</v>
      </c>
      <c r="CB415" s="2">
        <v>19.874762841886302</v>
      </c>
      <c r="CC415" s="2">
        <v>18.709120136669998</v>
      </c>
      <c r="CD415" s="2">
        <v>20.6643980466283</v>
      </c>
      <c r="CE415" s="2">
        <v>21.100636778736</v>
      </c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</row>
    <row r="416" spans="1:97">
      <c r="A416" s="2" t="s">
        <v>4236</v>
      </c>
      <c r="B416" s="2">
        <v>398.32602000000003</v>
      </c>
      <c r="C416" s="2">
        <v>9.7200000000000006</v>
      </c>
      <c r="D416" s="2" t="s">
        <v>84</v>
      </c>
      <c r="E416" s="2" t="s">
        <v>4237</v>
      </c>
      <c r="F416" s="2" t="s">
        <v>4238</v>
      </c>
      <c r="G416" s="2">
        <v>198011</v>
      </c>
      <c r="H416" s="3" t="str">
        <f>HYPERLINK("https://cloud.oebiotech.com/#/lm/network/198011", "https://cloud.oebiotech.com/#/lm/network/198011")</f>
        <v>https://cloud.oebiotech.com/#/lm/network/198011</v>
      </c>
      <c r="I416" s="2" t="s">
        <v>4239</v>
      </c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 t="s">
        <v>4240</v>
      </c>
      <c r="U416" s="2" t="s">
        <v>4241</v>
      </c>
      <c r="V416" s="2" t="s">
        <v>95</v>
      </c>
      <c r="W416" s="2" t="s">
        <v>96</v>
      </c>
      <c r="X416" s="2" t="s">
        <v>97</v>
      </c>
      <c r="Y416" s="2" t="s">
        <v>98</v>
      </c>
      <c r="Z416" s="2" t="s">
        <v>99</v>
      </c>
      <c r="AA416" s="2" t="s">
        <v>100</v>
      </c>
      <c r="AB416" s="2" t="s">
        <v>101</v>
      </c>
      <c r="AC416" s="2">
        <v>64.930000000000007</v>
      </c>
      <c r="AD416" s="2">
        <v>98.62</v>
      </c>
      <c r="AE416" s="2">
        <v>47.71</v>
      </c>
      <c r="AF416" s="2" t="s">
        <v>4242</v>
      </c>
      <c r="AG416" s="2" t="s">
        <v>1088</v>
      </c>
      <c r="AH416" s="2" t="s">
        <v>4243</v>
      </c>
      <c r="AI416" s="2">
        <v>2.76</v>
      </c>
      <c r="AJ416" s="2">
        <v>22.111173541399602</v>
      </c>
      <c r="AK416" s="2">
        <v>22.1752456039785</v>
      </c>
      <c r="AL416" s="2">
        <v>22.234320667972799</v>
      </c>
      <c r="AM416" s="2">
        <v>22.075224999545402</v>
      </c>
      <c r="AN416" s="2">
        <v>22.005981587355201</v>
      </c>
      <c r="AO416" s="2">
        <v>21.995242681729099</v>
      </c>
      <c r="AP416" s="2">
        <v>22.0441725970365</v>
      </c>
      <c r="AQ416" s="2">
        <v>22.003987484704801</v>
      </c>
      <c r="AR416" s="2">
        <v>20.7989222170056</v>
      </c>
      <c r="AS416" s="2">
        <v>20.700688333888699</v>
      </c>
      <c r="AT416" s="2">
        <v>22.609190267566198</v>
      </c>
      <c r="AU416" s="2">
        <v>20.809854589867399</v>
      </c>
      <c r="AV416" s="2">
        <v>21.081987004340299</v>
      </c>
      <c r="AW416" s="2">
        <v>21.5284758590821</v>
      </c>
      <c r="AX416" s="2">
        <v>22.032639430969599</v>
      </c>
      <c r="AY416" s="2">
        <v>21.5276873637054</v>
      </c>
      <c r="AZ416" s="2">
        <v>20.6233284201993</v>
      </c>
      <c r="BA416" s="2">
        <v>21.762555822785199</v>
      </c>
      <c r="BB416" s="2">
        <v>22.408977375217098</v>
      </c>
      <c r="BC416" s="2">
        <v>23.535206802365199</v>
      </c>
      <c r="BD416" s="2">
        <v>21.2460384798155</v>
      </c>
      <c r="BE416" s="2">
        <v>21.4654533959011</v>
      </c>
      <c r="BF416" s="2">
        <v>21.549762096525001</v>
      </c>
      <c r="BG416" s="2">
        <v>22.258364822901601</v>
      </c>
      <c r="BH416" s="2">
        <v>21.172921381262999</v>
      </c>
      <c r="BI416" s="2">
        <v>22.774954939579601</v>
      </c>
      <c r="BJ416" s="2">
        <v>21.791831562871</v>
      </c>
      <c r="BK416" s="2">
        <v>20.777417516142901</v>
      </c>
      <c r="BL416" s="2">
        <v>22.422831101654101</v>
      </c>
      <c r="BM416" s="2">
        <v>20.475356515726698</v>
      </c>
      <c r="BN416" s="2">
        <v>21.259633140315199</v>
      </c>
      <c r="BO416" s="2">
        <v>22.015095221170402</v>
      </c>
      <c r="BP416" s="2">
        <v>22.3838013422945</v>
      </c>
      <c r="BQ416" s="2">
        <v>22.535105629122601</v>
      </c>
      <c r="BR416" s="2">
        <v>22.233684719063501</v>
      </c>
      <c r="BS416" s="2">
        <v>21.133516997804701</v>
      </c>
      <c r="BT416" s="2">
        <v>22.025947262965701</v>
      </c>
      <c r="BU416" s="2">
        <v>22.721731951294501</v>
      </c>
      <c r="BV416" s="2">
        <v>22.152066696730699</v>
      </c>
      <c r="BW416" s="2">
        <v>22.217673719889099</v>
      </c>
      <c r="BX416" s="2">
        <v>21.930003085036699</v>
      </c>
      <c r="BY416" s="2">
        <v>21.2165169914527</v>
      </c>
      <c r="BZ416" s="2">
        <v>21.7284315862669</v>
      </c>
      <c r="CA416" s="2">
        <v>21.571161152894</v>
      </c>
      <c r="CB416" s="2">
        <v>21.736779975797301</v>
      </c>
      <c r="CC416" s="2">
        <v>22.4053004990555</v>
      </c>
      <c r="CD416" s="2">
        <v>21.615900284816501</v>
      </c>
      <c r="CE416" s="2">
        <v>22.033718631426002</v>
      </c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</row>
    <row r="417" spans="1:97">
      <c r="A417" s="2" t="s">
        <v>4244</v>
      </c>
      <c r="B417" s="2">
        <v>277.06635999999997</v>
      </c>
      <c r="C417" s="2">
        <v>5.306</v>
      </c>
      <c r="D417" s="2" t="s">
        <v>146</v>
      </c>
      <c r="E417" s="2" t="s">
        <v>4245</v>
      </c>
      <c r="F417" s="2" t="s">
        <v>4246</v>
      </c>
      <c r="G417" s="2">
        <v>208087</v>
      </c>
      <c r="H417" s="3" t="str">
        <f>HYPERLINK("https://cloud.oebiotech.com/#/lm/network/208087", "https://cloud.oebiotech.com/#/lm/network/208087")</f>
        <v>https://cloud.oebiotech.com/#/lm/network/208087</v>
      </c>
      <c r="I417" s="2" t="s">
        <v>4247</v>
      </c>
      <c r="J417" s="2"/>
      <c r="K417" s="2"/>
      <c r="L417" s="2">
        <v>3829</v>
      </c>
      <c r="M417" s="2"/>
      <c r="N417" s="2"/>
      <c r="O417" s="2"/>
      <c r="P417" s="2"/>
      <c r="Q417" s="2"/>
      <c r="R417" s="2"/>
      <c r="S417" s="2"/>
      <c r="T417" s="2" t="s">
        <v>4248</v>
      </c>
      <c r="U417" s="2" t="s">
        <v>4249</v>
      </c>
      <c r="V417" s="2" t="s">
        <v>115</v>
      </c>
      <c r="W417" s="2" t="s">
        <v>116</v>
      </c>
      <c r="X417" s="2" t="s">
        <v>117</v>
      </c>
      <c r="Y417" s="2" t="s">
        <v>118</v>
      </c>
      <c r="Z417" s="2" t="s">
        <v>119</v>
      </c>
      <c r="AA417" s="2" t="s">
        <v>120</v>
      </c>
      <c r="AB417" s="2" t="s">
        <v>101</v>
      </c>
      <c r="AC417" s="2">
        <v>64.91</v>
      </c>
      <c r="AD417" s="2">
        <v>93.43</v>
      </c>
      <c r="AE417" s="2">
        <v>62.84</v>
      </c>
      <c r="AF417" s="2" t="s">
        <v>4250</v>
      </c>
      <c r="AG417" s="2" t="s">
        <v>157</v>
      </c>
      <c r="AH417" s="2" t="s">
        <v>4251</v>
      </c>
      <c r="AI417" s="2">
        <v>4.6900000000000004</v>
      </c>
      <c r="AJ417" s="2">
        <v>18.497942368898801</v>
      </c>
      <c r="AK417" s="2">
        <v>18.4692695780012</v>
      </c>
      <c r="AL417" s="2">
        <v>18.607152386284898</v>
      </c>
      <c r="AM417" s="2">
        <v>18.222343990209101</v>
      </c>
      <c r="AN417" s="2">
        <v>18.372208452512002</v>
      </c>
      <c r="AO417" s="2">
        <v>18.561045347198402</v>
      </c>
      <c r="AP417" s="2">
        <v>18.5113271859083</v>
      </c>
      <c r="AQ417" s="2">
        <v>18.635170580378801</v>
      </c>
      <c r="AR417" s="2">
        <v>18.927939583892201</v>
      </c>
      <c r="AS417" s="2">
        <v>18.106800763104498</v>
      </c>
      <c r="AT417" s="2">
        <v>17.500700692767101</v>
      </c>
      <c r="AU417" s="2">
        <v>18.021822581102299</v>
      </c>
      <c r="AV417" s="2">
        <v>17.936126510500898</v>
      </c>
      <c r="AW417" s="2">
        <v>19.89850588434</v>
      </c>
      <c r="AX417" s="2">
        <v>17.750955477522101</v>
      </c>
      <c r="AY417" s="2">
        <v>18.5638698082006</v>
      </c>
      <c r="AZ417" s="2">
        <v>18.489106607990099</v>
      </c>
      <c r="BA417" s="2">
        <v>17.9389645124607</v>
      </c>
      <c r="BB417" s="2">
        <v>17.985237686378301</v>
      </c>
      <c r="BC417" s="2">
        <v>17.851842719870699</v>
      </c>
      <c r="BD417" s="2">
        <v>18.205426153776301</v>
      </c>
      <c r="BE417" s="2">
        <v>18.476809518195999</v>
      </c>
      <c r="BF417" s="2">
        <v>18.784875772992599</v>
      </c>
      <c r="BG417" s="2">
        <v>17.9288367517665</v>
      </c>
      <c r="BH417" s="2">
        <v>18.442194488830602</v>
      </c>
      <c r="BI417" s="2">
        <v>17.5462616804353</v>
      </c>
      <c r="BJ417" s="2">
        <v>18.563559202210701</v>
      </c>
      <c r="BK417" s="2">
        <v>17.648696235706598</v>
      </c>
      <c r="BL417" s="2">
        <v>17.907549684345799</v>
      </c>
      <c r="BM417" s="2">
        <v>18.590878810629</v>
      </c>
      <c r="BN417" s="2">
        <v>19.262811063341999</v>
      </c>
      <c r="BO417" s="2">
        <v>18.004218710359201</v>
      </c>
      <c r="BP417" s="2">
        <v>17.937683870207099</v>
      </c>
      <c r="BQ417" s="2">
        <v>17.9983390952784</v>
      </c>
      <c r="BR417" s="2">
        <v>18.6793840174347</v>
      </c>
      <c r="BS417" s="2">
        <v>19.9790118920311</v>
      </c>
      <c r="BT417" s="2">
        <v>17.852795747509798</v>
      </c>
      <c r="BU417" s="2">
        <v>17.862238396639899</v>
      </c>
      <c r="BV417" s="2">
        <v>17.094961259624501</v>
      </c>
      <c r="BW417" s="2">
        <v>18.045629137301301</v>
      </c>
      <c r="BX417" s="2">
        <v>18.603531921458</v>
      </c>
      <c r="BY417" s="2">
        <v>18.499691719146998</v>
      </c>
      <c r="BZ417" s="2">
        <v>18.313413403681601</v>
      </c>
      <c r="CA417" s="2">
        <v>18.428328191344701</v>
      </c>
      <c r="CB417" s="2">
        <v>17.540304095494999</v>
      </c>
      <c r="CC417" s="2">
        <v>17.6593280428045</v>
      </c>
      <c r="CD417" s="2">
        <v>17.816191620534099</v>
      </c>
      <c r="CE417" s="2">
        <v>17.838669113721</v>
      </c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</row>
    <row r="418" spans="1:97">
      <c r="A418" s="2" t="s">
        <v>4252</v>
      </c>
      <c r="B418" s="2">
        <v>295.22721999999999</v>
      </c>
      <c r="C418" s="2">
        <v>11.795</v>
      </c>
      <c r="D418" s="2" t="s">
        <v>146</v>
      </c>
      <c r="E418" s="2" t="s">
        <v>4253</v>
      </c>
      <c r="F418" s="2" t="s">
        <v>4254</v>
      </c>
      <c r="G418" s="2">
        <v>3171</v>
      </c>
      <c r="H418" s="3" t="str">
        <f>HYPERLINK("https://cloud.oebiotech.com/#/lm/network/3171", "https://cloud.oebiotech.com/#/lm/network/3171")</f>
        <v>https://cloud.oebiotech.com/#/lm/network/3171</v>
      </c>
      <c r="I418" s="2"/>
      <c r="J418" s="2">
        <v>74670</v>
      </c>
      <c r="K418" s="2" t="s">
        <v>4255</v>
      </c>
      <c r="L418" s="2">
        <v>5312857</v>
      </c>
      <c r="M418" s="2"/>
      <c r="N418" s="2"/>
      <c r="O418" s="2"/>
      <c r="P418" s="2"/>
      <c r="Q418" s="2"/>
      <c r="R418" s="2"/>
      <c r="S418" s="2"/>
      <c r="T418" s="2" t="s">
        <v>4256</v>
      </c>
      <c r="U418" s="2" t="s">
        <v>4257</v>
      </c>
      <c r="V418" s="2" t="s">
        <v>95</v>
      </c>
      <c r="W418" s="2" t="s">
        <v>96</v>
      </c>
      <c r="X418" s="2" t="s">
        <v>141</v>
      </c>
      <c r="Y418" s="2" t="s">
        <v>98</v>
      </c>
      <c r="Z418" s="2" t="s">
        <v>99</v>
      </c>
      <c r="AA418" s="2" t="s">
        <v>142</v>
      </c>
      <c r="AB418" s="2" t="s">
        <v>101</v>
      </c>
      <c r="AC418" s="2">
        <v>64.91</v>
      </c>
      <c r="AD418" s="2">
        <v>88.25</v>
      </c>
      <c r="AE418" s="2">
        <v>55.22</v>
      </c>
      <c r="AF418" s="2" t="s">
        <v>4258</v>
      </c>
      <c r="AG418" s="2" t="s">
        <v>194</v>
      </c>
      <c r="AH418" s="2" t="s">
        <v>3838</v>
      </c>
      <c r="AI418" s="2">
        <v>2.37</v>
      </c>
      <c r="AJ418" s="2">
        <v>19.5153088975879</v>
      </c>
      <c r="AK418" s="2">
        <v>19.287800065692601</v>
      </c>
      <c r="AL418" s="2">
        <v>19.1805776681434</v>
      </c>
      <c r="AM418" s="2">
        <v>19.088348973302502</v>
      </c>
      <c r="AN418" s="2">
        <v>19.718209005920698</v>
      </c>
      <c r="AO418" s="2">
        <v>19.4928093123251</v>
      </c>
      <c r="AP418" s="2">
        <v>19.446182188985102</v>
      </c>
      <c r="AQ418" s="2">
        <v>19.276856088387898</v>
      </c>
      <c r="AR418" s="2">
        <v>19.0794312661567</v>
      </c>
      <c r="AS418" s="2">
        <v>17.747964199430999</v>
      </c>
      <c r="AT418" s="2">
        <v>18.8816542545865</v>
      </c>
      <c r="AU418" s="2">
        <v>18.805535185124398</v>
      </c>
      <c r="AV418" s="2">
        <v>19.502086894890201</v>
      </c>
      <c r="AW418" s="2">
        <v>20.437853006494201</v>
      </c>
      <c r="AX418" s="2">
        <v>19.477363251207301</v>
      </c>
      <c r="AY418" s="2">
        <v>19.576856291639601</v>
      </c>
      <c r="AZ418" s="2">
        <v>18.230235329908101</v>
      </c>
      <c r="BA418" s="2">
        <v>18.4858230207914</v>
      </c>
      <c r="BB418" s="2">
        <v>19.085919523498301</v>
      </c>
      <c r="BC418" s="2">
        <v>19.444903970487601</v>
      </c>
      <c r="BD418" s="2">
        <v>18.498545666199401</v>
      </c>
      <c r="BE418" s="2">
        <v>20.007260678789699</v>
      </c>
      <c r="BF418" s="2">
        <v>19.4281079423973</v>
      </c>
      <c r="BG418" s="2">
        <v>18.573234226163699</v>
      </c>
      <c r="BH418" s="2">
        <v>19.023874908490502</v>
      </c>
      <c r="BI418" s="2">
        <v>18.9383657457828</v>
      </c>
      <c r="BJ418" s="2">
        <v>19.038127146476899</v>
      </c>
      <c r="BK418" s="2">
        <v>18.8205770724608</v>
      </c>
      <c r="BL418" s="2">
        <v>18.334747578190601</v>
      </c>
      <c r="BM418" s="2">
        <v>18.697181626443101</v>
      </c>
      <c r="BN418" s="2">
        <v>19.427461971229199</v>
      </c>
      <c r="BO418" s="2">
        <v>19.266081058177999</v>
      </c>
      <c r="BP418" s="2">
        <v>18.914952135824301</v>
      </c>
      <c r="BQ418" s="2">
        <v>18.517837790624</v>
      </c>
      <c r="BR418" s="2">
        <v>20.383409493897201</v>
      </c>
      <c r="BS418" s="2">
        <v>20.449506727015802</v>
      </c>
      <c r="BT418" s="2">
        <v>18.19009911997</v>
      </c>
      <c r="BU418" s="2">
        <v>18.423024129809701</v>
      </c>
      <c r="BV418" s="2">
        <v>19.2993355277437</v>
      </c>
      <c r="BW418" s="2">
        <v>18.371836400957999</v>
      </c>
      <c r="BX418" s="2">
        <v>18.413149862891299</v>
      </c>
      <c r="BY418" s="2">
        <v>20.396684901274998</v>
      </c>
      <c r="BZ418" s="2">
        <v>18.440379280073699</v>
      </c>
      <c r="CA418" s="2">
        <v>18.432324414617099</v>
      </c>
      <c r="CB418" s="2">
        <v>18.702011695138602</v>
      </c>
      <c r="CC418" s="2">
        <v>18.663205302077198</v>
      </c>
      <c r="CD418" s="2">
        <v>19.020724961637999</v>
      </c>
      <c r="CE418" s="2">
        <v>18.324650566232499</v>
      </c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</row>
    <row r="419" spans="1:97">
      <c r="A419" s="2" t="s">
        <v>4259</v>
      </c>
      <c r="B419" s="2">
        <v>391.28357999999997</v>
      </c>
      <c r="C419" s="2">
        <v>14.832000000000001</v>
      </c>
      <c r="D419" s="2" t="s">
        <v>84</v>
      </c>
      <c r="E419" s="2" t="s">
        <v>4260</v>
      </c>
      <c r="F419" s="2" t="s">
        <v>4261</v>
      </c>
      <c r="G419" s="2">
        <v>204222</v>
      </c>
      <c r="H419" s="3" t="str">
        <f>HYPERLINK("https://cloud.oebiotech.com/#/lm/network/204222", "https://cloud.oebiotech.com/#/lm/network/204222")</f>
        <v>https://cloud.oebiotech.com/#/lm/network/204222</v>
      </c>
      <c r="I419" s="2" t="s">
        <v>4262</v>
      </c>
      <c r="J419" s="2">
        <v>44750</v>
      </c>
      <c r="K419" s="2"/>
      <c r="L419" s="2">
        <v>8343</v>
      </c>
      <c r="M419" s="2" t="s">
        <v>4263</v>
      </c>
      <c r="N419" s="2" t="s">
        <v>4264</v>
      </c>
      <c r="O419" s="2" t="s">
        <v>4265</v>
      </c>
      <c r="P419" s="2">
        <v>17747</v>
      </c>
      <c r="Q419" s="2"/>
      <c r="R419" s="2"/>
      <c r="S419" s="2" t="s">
        <v>4266</v>
      </c>
      <c r="T419" s="2" t="s">
        <v>4267</v>
      </c>
      <c r="U419" s="2" t="s">
        <v>4268</v>
      </c>
      <c r="V419" s="2" t="s">
        <v>385</v>
      </c>
      <c r="W419" s="2" t="s">
        <v>386</v>
      </c>
      <c r="X419" s="2" t="s">
        <v>1059</v>
      </c>
      <c r="Y419" s="2" t="s">
        <v>388</v>
      </c>
      <c r="Z419" s="2" t="s">
        <v>389</v>
      </c>
      <c r="AA419" s="2" t="s">
        <v>1060</v>
      </c>
      <c r="AB419" s="2" t="s">
        <v>101</v>
      </c>
      <c r="AC419" s="2">
        <v>64.86</v>
      </c>
      <c r="AD419" s="2">
        <v>83.87</v>
      </c>
      <c r="AE419" s="2">
        <v>62.26</v>
      </c>
      <c r="AF419" s="2" t="s">
        <v>4269</v>
      </c>
      <c r="AG419" s="2" t="s">
        <v>103</v>
      </c>
      <c r="AH419" s="2" t="s">
        <v>1837</v>
      </c>
      <c r="AI419" s="2">
        <v>1.79</v>
      </c>
      <c r="AJ419" s="2">
        <v>23.3199872205026</v>
      </c>
      <c r="AK419" s="2">
        <v>23.129431416777901</v>
      </c>
      <c r="AL419" s="2">
        <v>23.111691730644502</v>
      </c>
      <c r="AM419" s="2">
        <v>23.128199349711501</v>
      </c>
      <c r="AN419" s="2">
        <v>22.967198045735799</v>
      </c>
      <c r="AO419" s="2">
        <v>22.9664499351885</v>
      </c>
      <c r="AP419" s="2">
        <v>22.642272281132499</v>
      </c>
      <c r="AQ419" s="2">
        <v>23.395407789467601</v>
      </c>
      <c r="AR419" s="2">
        <v>23.117029014929201</v>
      </c>
      <c r="AS419" s="2">
        <v>23.2884575968611</v>
      </c>
      <c r="AT419" s="2">
        <v>23.218571659600201</v>
      </c>
      <c r="AU419" s="2">
        <v>22.966801744329999</v>
      </c>
      <c r="AV419" s="2">
        <v>22.804102825541101</v>
      </c>
      <c r="AW419" s="2">
        <v>22.637159571235799</v>
      </c>
      <c r="AX419" s="2">
        <v>23.139707089139399</v>
      </c>
      <c r="AY419" s="2">
        <v>22.8561018275396</v>
      </c>
      <c r="AZ419" s="2">
        <v>22.992423551371601</v>
      </c>
      <c r="BA419" s="2">
        <v>22.773570487537299</v>
      </c>
      <c r="BB419" s="2">
        <v>23.063050176723198</v>
      </c>
      <c r="BC419" s="2">
        <v>23.907302004746999</v>
      </c>
      <c r="BD419" s="2">
        <v>23.20053172691</v>
      </c>
      <c r="BE419" s="2">
        <v>23.239612753467199</v>
      </c>
      <c r="BF419" s="2">
        <v>22.938854236350799</v>
      </c>
      <c r="BG419" s="2">
        <v>23.0836595977621</v>
      </c>
      <c r="BH419" s="2">
        <v>23.425261698918298</v>
      </c>
      <c r="BI419" s="2">
        <v>23.173756385257001</v>
      </c>
      <c r="BJ419" s="2">
        <v>23.1852004293745</v>
      </c>
      <c r="BK419" s="2">
        <v>22.337425156841899</v>
      </c>
      <c r="BL419" s="2">
        <v>22.656720702501801</v>
      </c>
      <c r="BM419" s="2">
        <v>22.7869687395177</v>
      </c>
      <c r="BN419" s="2">
        <v>22.673113816168101</v>
      </c>
      <c r="BO419" s="2">
        <v>22.620240441670099</v>
      </c>
      <c r="BP419" s="2">
        <v>21.898201265560299</v>
      </c>
      <c r="BQ419" s="2">
        <v>22.645578782652599</v>
      </c>
      <c r="BR419" s="2">
        <v>22.669956292904399</v>
      </c>
      <c r="BS419" s="2">
        <v>22.946358717532799</v>
      </c>
      <c r="BT419" s="2">
        <v>22.732239435455</v>
      </c>
      <c r="BU419" s="2">
        <v>22.581240406198798</v>
      </c>
      <c r="BV419" s="2">
        <v>22.8708372404048</v>
      </c>
      <c r="BW419" s="2">
        <v>21.702035080261901</v>
      </c>
      <c r="BX419" s="2">
        <v>22.849999379686999</v>
      </c>
      <c r="BY419" s="2">
        <v>23.098010557501599</v>
      </c>
      <c r="BZ419" s="2">
        <v>22.950026693307201</v>
      </c>
      <c r="CA419" s="2">
        <v>22.806085882942</v>
      </c>
      <c r="CB419" s="2">
        <v>22.443385199229699</v>
      </c>
      <c r="CC419" s="2">
        <v>22.402169057361899</v>
      </c>
      <c r="CD419" s="2">
        <v>23.016176792607499</v>
      </c>
      <c r="CE419" s="2">
        <v>22.5735958072264</v>
      </c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</row>
    <row r="420" spans="1:97">
      <c r="A420" s="2" t="s">
        <v>4270</v>
      </c>
      <c r="B420" s="2">
        <v>313.15402</v>
      </c>
      <c r="C420" s="2">
        <v>4.6559999999999997</v>
      </c>
      <c r="D420" s="2" t="s">
        <v>84</v>
      </c>
      <c r="E420" s="2" t="s">
        <v>4271</v>
      </c>
      <c r="F420" s="2" t="s">
        <v>4272</v>
      </c>
      <c r="G420" s="2">
        <v>52240</v>
      </c>
      <c r="H420" s="3" t="str">
        <f>HYPERLINK("https://cloud.oebiotech.com/#/lm/network/52240", "https://cloud.oebiotech.com/#/lm/network/52240")</f>
        <v>https://cloud.oebiotech.com/#/lm/network/52240</v>
      </c>
      <c r="I420" s="2" t="s">
        <v>4273</v>
      </c>
      <c r="J420" s="2"/>
      <c r="K420" s="2"/>
      <c r="L420" s="2">
        <v>6993089</v>
      </c>
      <c r="M420" s="2"/>
      <c r="N420" s="2"/>
      <c r="O420" s="2"/>
      <c r="P420" s="2">
        <v>72723</v>
      </c>
      <c r="Q420" s="2"/>
      <c r="R420" s="2"/>
      <c r="S420" s="2" t="s">
        <v>4274</v>
      </c>
      <c r="T420" s="2" t="s">
        <v>4275</v>
      </c>
      <c r="U420" s="2" t="s">
        <v>4276</v>
      </c>
      <c r="V420" s="2" t="s">
        <v>115</v>
      </c>
      <c r="W420" s="2" t="s">
        <v>116</v>
      </c>
      <c r="X420" s="2" t="s">
        <v>117</v>
      </c>
      <c r="Y420" s="2" t="s">
        <v>118</v>
      </c>
      <c r="Z420" s="2" t="s">
        <v>119</v>
      </c>
      <c r="AA420" s="2" t="s">
        <v>120</v>
      </c>
      <c r="AB420" s="2" t="s">
        <v>101</v>
      </c>
      <c r="AC420" s="2">
        <v>64.84</v>
      </c>
      <c r="AD420" s="2">
        <v>88.06</v>
      </c>
      <c r="AE420" s="2">
        <v>73.569999999999993</v>
      </c>
      <c r="AF420" s="2" t="s">
        <v>4277</v>
      </c>
      <c r="AG420" s="2" t="s">
        <v>103</v>
      </c>
      <c r="AH420" s="2" t="s">
        <v>4278</v>
      </c>
      <c r="AI420" s="2">
        <v>2.2400000000000002</v>
      </c>
      <c r="AJ420" s="2">
        <v>19.493762178636501</v>
      </c>
      <c r="AK420" s="2">
        <v>19.4487810799274</v>
      </c>
      <c r="AL420" s="2">
        <v>19.645230269304601</v>
      </c>
      <c r="AM420" s="2">
        <v>19.4377123955516</v>
      </c>
      <c r="AN420" s="2">
        <v>19.514858556002199</v>
      </c>
      <c r="AO420" s="2">
        <v>19.748202973844599</v>
      </c>
      <c r="AP420" s="2">
        <v>19.466177435200599</v>
      </c>
      <c r="AQ420" s="2">
        <v>19.6542110114964</v>
      </c>
      <c r="AR420" s="2">
        <v>18.873324007095199</v>
      </c>
      <c r="AS420" s="2">
        <v>18.511644995735502</v>
      </c>
      <c r="AT420" s="2">
        <v>18.808792491583901</v>
      </c>
      <c r="AU420" s="2">
        <v>19.023086570119698</v>
      </c>
      <c r="AV420" s="2">
        <v>19.295190358646401</v>
      </c>
      <c r="AW420" s="2">
        <v>19.785069888046401</v>
      </c>
      <c r="AX420" s="2">
        <v>18.636570954597701</v>
      </c>
      <c r="AY420" s="2">
        <v>19.169190116650501</v>
      </c>
      <c r="AZ420" s="2">
        <v>19.1110967662269</v>
      </c>
      <c r="BA420" s="2">
        <v>18.940529509164499</v>
      </c>
      <c r="BB420" s="2">
        <v>19.879583279525299</v>
      </c>
      <c r="BC420" s="2">
        <v>19.536245052554701</v>
      </c>
      <c r="BD420" s="2">
        <v>18.957005826179198</v>
      </c>
      <c r="BE420" s="2">
        <v>19.388358110384999</v>
      </c>
      <c r="BF420" s="2">
        <v>19.578382974595399</v>
      </c>
      <c r="BG420" s="2">
        <v>19.678743444237099</v>
      </c>
      <c r="BH420" s="2">
        <v>19.519477044245701</v>
      </c>
      <c r="BI420" s="2">
        <v>19.087029778169398</v>
      </c>
      <c r="BJ420" s="2">
        <v>18.9145766105847</v>
      </c>
      <c r="BK420" s="2">
        <v>19.276015712760302</v>
      </c>
      <c r="BL420" s="2">
        <v>19.528577957326199</v>
      </c>
      <c r="BM420" s="2">
        <v>19.398273570610399</v>
      </c>
      <c r="BN420" s="2">
        <v>19.887492547185001</v>
      </c>
      <c r="BO420" s="2">
        <v>19.091282247845399</v>
      </c>
      <c r="BP420" s="2">
        <v>19.4347728547347</v>
      </c>
      <c r="BQ420" s="2">
        <v>19.6483129535595</v>
      </c>
      <c r="BR420" s="2">
        <v>19.437179284210199</v>
      </c>
      <c r="BS420" s="2">
        <v>19.420190331708699</v>
      </c>
      <c r="BT420" s="2">
        <v>19.318630451188</v>
      </c>
      <c r="BU420" s="2">
        <v>19.069296742546602</v>
      </c>
      <c r="BV420" s="2">
        <v>20.3216137258839</v>
      </c>
      <c r="BW420" s="2">
        <v>18.557064597202199</v>
      </c>
      <c r="BX420" s="2">
        <v>19.490946293756998</v>
      </c>
      <c r="BY420" s="2">
        <v>20.382616069272601</v>
      </c>
      <c r="BZ420" s="2">
        <v>19.2634784654839</v>
      </c>
      <c r="CA420" s="2">
        <v>19.676480342803899</v>
      </c>
      <c r="CB420" s="2">
        <v>19.1532234366042</v>
      </c>
      <c r="CC420" s="2">
        <v>19.168377752972301</v>
      </c>
      <c r="CD420" s="2">
        <v>19.3282789837663</v>
      </c>
      <c r="CE420" s="2">
        <v>19.4417220897035</v>
      </c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</row>
    <row r="421" spans="1:97">
      <c r="A421" s="2" t="s">
        <v>4279</v>
      </c>
      <c r="B421" s="2">
        <v>471.24151000000001</v>
      </c>
      <c r="C421" s="2">
        <v>8.5950000000000006</v>
      </c>
      <c r="D421" s="2" t="s">
        <v>146</v>
      </c>
      <c r="E421" s="2" t="s">
        <v>4280</v>
      </c>
      <c r="F421" s="2" t="s">
        <v>4281</v>
      </c>
      <c r="G421" s="2">
        <v>212859</v>
      </c>
      <c r="H421" s="3" t="str">
        <f>HYPERLINK("https://cloud.oebiotech.com/#/lm/network/212859", "https://cloud.oebiotech.com/#/lm/network/212859")</f>
        <v>https://cloud.oebiotech.com/#/lm/network/212859</v>
      </c>
      <c r="I421" s="2" t="s">
        <v>4282</v>
      </c>
      <c r="J421" s="2"/>
      <c r="K421" s="2"/>
      <c r="L421" s="2">
        <v>20775485</v>
      </c>
      <c r="M421" s="2"/>
      <c r="N421" s="2"/>
      <c r="O421" s="2"/>
      <c r="P421" s="2"/>
      <c r="Q421" s="2"/>
      <c r="R421" s="2"/>
      <c r="S421" s="2"/>
      <c r="T421" s="2" t="s">
        <v>4283</v>
      </c>
      <c r="U421" s="2" t="s">
        <v>4284</v>
      </c>
      <c r="V421" s="2" t="s">
        <v>95</v>
      </c>
      <c r="W421" s="2" t="s">
        <v>152</v>
      </c>
      <c r="X421" s="2" t="s">
        <v>278</v>
      </c>
      <c r="Y421" s="2" t="s">
        <v>98</v>
      </c>
      <c r="Z421" s="2" t="s">
        <v>154</v>
      </c>
      <c r="AA421" s="2" t="s">
        <v>279</v>
      </c>
      <c r="AB421" s="2" t="s">
        <v>101</v>
      </c>
      <c r="AC421" s="2">
        <v>64.83</v>
      </c>
      <c r="AD421" s="2">
        <v>80.040000000000006</v>
      </c>
      <c r="AE421" s="2">
        <v>65.84</v>
      </c>
      <c r="AF421" s="2" t="s">
        <v>4285</v>
      </c>
      <c r="AG421" s="2" t="s">
        <v>194</v>
      </c>
      <c r="AH421" s="2" t="s">
        <v>4286</v>
      </c>
      <c r="AI421" s="2">
        <v>1.49</v>
      </c>
      <c r="AJ421" s="2">
        <v>19.782457791121701</v>
      </c>
      <c r="AK421" s="2">
        <v>19.507551045633502</v>
      </c>
      <c r="AL421" s="2">
        <v>19.613620478660501</v>
      </c>
      <c r="AM421" s="2">
        <v>19.727258659968701</v>
      </c>
      <c r="AN421" s="2">
        <v>19.7762550878833</v>
      </c>
      <c r="AO421" s="2">
        <v>19.8082896858864</v>
      </c>
      <c r="AP421" s="2">
        <v>19.757625536307</v>
      </c>
      <c r="AQ421" s="2">
        <v>19.692651068074799</v>
      </c>
      <c r="AR421" s="2">
        <v>18.562485342712399</v>
      </c>
      <c r="AS421" s="2">
        <v>13.3301017716199</v>
      </c>
      <c r="AT421" s="2">
        <v>16.462334515037501</v>
      </c>
      <c r="AU421" s="2">
        <v>18.4237614091832</v>
      </c>
      <c r="AV421" s="2">
        <v>19.2867955260812</v>
      </c>
      <c r="AW421" s="2">
        <v>19.966933939014002</v>
      </c>
      <c r="AX421" s="2">
        <v>11.610286657081</v>
      </c>
      <c r="AY421" s="2">
        <v>22.214660156204499</v>
      </c>
      <c r="AZ421" s="2">
        <v>18.1317787542438</v>
      </c>
      <c r="BA421" s="2">
        <v>18.443767699180601</v>
      </c>
      <c r="BB421" s="2">
        <v>17.006832940380502</v>
      </c>
      <c r="BC421" s="2">
        <v>17.865091475292701</v>
      </c>
      <c r="BD421" s="2">
        <v>17.259404816544201</v>
      </c>
      <c r="BE421" s="2">
        <v>22.769643387073799</v>
      </c>
      <c r="BF421" s="2">
        <v>17.6403676696833</v>
      </c>
      <c r="BG421" s="2">
        <v>16.9655031571614</v>
      </c>
      <c r="BH421" s="2">
        <v>15.644784907494</v>
      </c>
      <c r="BI421" s="2">
        <v>19.244416914030101</v>
      </c>
      <c r="BJ421" s="2">
        <v>21.7042881182245</v>
      </c>
      <c r="BK421" s="2">
        <v>19.360354394959199</v>
      </c>
      <c r="BL421" s="2">
        <v>19.610493125697701</v>
      </c>
      <c r="BM421" s="2">
        <v>16.731113617999799</v>
      </c>
      <c r="BN421" s="2">
        <v>17.998413640734402</v>
      </c>
      <c r="BO421" s="2">
        <v>18.272606094609699</v>
      </c>
      <c r="BP421" s="2">
        <v>19.695108710027601</v>
      </c>
      <c r="BQ421" s="2">
        <v>20.1626292454369</v>
      </c>
      <c r="BR421" s="2">
        <v>15.521544926793</v>
      </c>
      <c r="BS421" s="2">
        <v>22.934574079643699</v>
      </c>
      <c r="BT421" s="2">
        <v>16.104822724083501</v>
      </c>
      <c r="BU421" s="2">
        <v>19.2030661034667</v>
      </c>
      <c r="BV421" s="2">
        <v>17.2601324579019</v>
      </c>
      <c r="BW421" s="2">
        <v>16.8694578130855</v>
      </c>
      <c r="BX421" s="2">
        <v>17.592857746458801</v>
      </c>
      <c r="BY421" s="2">
        <v>23.031593360528799</v>
      </c>
      <c r="BZ421" s="2">
        <v>16.506366782952099</v>
      </c>
      <c r="CA421" s="2">
        <v>16.3681919972015</v>
      </c>
      <c r="CB421" s="2">
        <v>19.272049714737602</v>
      </c>
      <c r="CC421" s="2">
        <v>18.520681517813099</v>
      </c>
      <c r="CD421" s="2">
        <v>20.014676881717101</v>
      </c>
      <c r="CE421" s="2">
        <v>20.2447376456314</v>
      </c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</row>
    <row r="422" spans="1:97">
      <c r="A422" s="2" t="s">
        <v>4287</v>
      </c>
      <c r="B422" s="2">
        <v>466.31601000000001</v>
      </c>
      <c r="C422" s="2">
        <v>6.4390000000000001</v>
      </c>
      <c r="D422" s="2" t="s">
        <v>84</v>
      </c>
      <c r="E422" s="2" t="s">
        <v>4288</v>
      </c>
      <c r="F422" s="2" t="s">
        <v>4289</v>
      </c>
      <c r="G422" s="2">
        <v>197244</v>
      </c>
      <c r="H422" s="3" t="str">
        <f>HYPERLINK("https://cloud.oebiotech.com/#/lm/network/197244", "https://cloud.oebiotech.com/#/lm/network/197244")</f>
        <v>https://cloud.oebiotech.com/#/lm/network/197244</v>
      </c>
      <c r="I422" s="2" t="s">
        <v>4290</v>
      </c>
      <c r="J422" s="2"/>
      <c r="K422" s="2"/>
      <c r="L422" s="2">
        <v>71361462</v>
      </c>
      <c r="M422" s="2"/>
      <c r="N422" s="2"/>
      <c r="O422" s="2"/>
      <c r="P422" s="2">
        <v>133176</v>
      </c>
      <c r="Q422" s="2"/>
      <c r="R422" s="2"/>
      <c r="S422" s="2" t="s">
        <v>4291</v>
      </c>
      <c r="T422" s="2" t="s">
        <v>4292</v>
      </c>
      <c r="U422" s="2" t="s">
        <v>4293</v>
      </c>
      <c r="V422" s="2" t="s">
        <v>95</v>
      </c>
      <c r="W422" s="2" t="s">
        <v>152</v>
      </c>
      <c r="X422" s="2" t="s">
        <v>278</v>
      </c>
      <c r="Y422" s="2" t="s">
        <v>98</v>
      </c>
      <c r="Z422" s="2" t="s">
        <v>154</v>
      </c>
      <c r="AA422" s="2" t="s">
        <v>279</v>
      </c>
      <c r="AB422" s="2" t="s">
        <v>101</v>
      </c>
      <c r="AC422" s="2">
        <v>64.819999999999993</v>
      </c>
      <c r="AD422" s="2">
        <v>82.07</v>
      </c>
      <c r="AE422" s="2">
        <v>70.27</v>
      </c>
      <c r="AF422" s="2" t="s">
        <v>4294</v>
      </c>
      <c r="AG422" s="2" t="s">
        <v>103</v>
      </c>
      <c r="AH422" s="2" t="s">
        <v>281</v>
      </c>
      <c r="AI422" s="2">
        <v>0.64</v>
      </c>
      <c r="AJ422" s="2">
        <v>18.209394724488799</v>
      </c>
      <c r="AK422" s="2">
        <v>17.6665826205382</v>
      </c>
      <c r="AL422" s="2">
        <v>17.723215565684701</v>
      </c>
      <c r="AM422" s="2">
        <v>18.025220685633499</v>
      </c>
      <c r="AN422" s="2">
        <v>17.953978542168699</v>
      </c>
      <c r="AO422" s="2">
        <v>17.977832691910098</v>
      </c>
      <c r="AP422" s="2">
        <v>17.799850754450102</v>
      </c>
      <c r="AQ422" s="2">
        <v>17.6052938013705</v>
      </c>
      <c r="AR422" s="2">
        <v>17.808103636516201</v>
      </c>
      <c r="AS422" s="2">
        <v>16.433767820230401</v>
      </c>
      <c r="AT422" s="2">
        <v>16.0464598536857</v>
      </c>
      <c r="AU422" s="2">
        <v>19.054773479848699</v>
      </c>
      <c r="AV422" s="2">
        <v>17.8344617294212</v>
      </c>
      <c r="AW422" s="2">
        <v>19.103525454402401</v>
      </c>
      <c r="AX422" s="2">
        <v>9.6233145402724691</v>
      </c>
      <c r="AY422" s="2">
        <v>19.4664137767077</v>
      </c>
      <c r="AZ422" s="2">
        <v>15.969615634421601</v>
      </c>
      <c r="BA422" s="2">
        <v>16.7651574844575</v>
      </c>
      <c r="BB422" s="2">
        <v>17.4681786203396</v>
      </c>
      <c r="BC422" s="2">
        <v>9.6233145402724691</v>
      </c>
      <c r="BD422" s="2">
        <v>18.086640120117501</v>
      </c>
      <c r="BE422" s="2">
        <v>20.5721597084998</v>
      </c>
      <c r="BF422" s="2">
        <v>9.6233145402724691</v>
      </c>
      <c r="BG422" s="2">
        <v>9.6233145402724691</v>
      </c>
      <c r="BH422" s="2">
        <v>18.085631375934799</v>
      </c>
      <c r="BI422" s="2">
        <v>9.6233145402724691</v>
      </c>
      <c r="BJ422" s="2">
        <v>16.737617318971498</v>
      </c>
      <c r="BK422" s="2">
        <v>9.6233145402724691</v>
      </c>
      <c r="BL422" s="2">
        <v>17.566949868335101</v>
      </c>
      <c r="BM422" s="2">
        <v>20.011058070462699</v>
      </c>
      <c r="BN422" s="2">
        <v>18.520448185225401</v>
      </c>
      <c r="BO422" s="2">
        <v>13.7285678632886</v>
      </c>
      <c r="BP422" s="2">
        <v>15.6711858223485</v>
      </c>
      <c r="BQ422" s="2">
        <v>18.680437168759301</v>
      </c>
      <c r="BR422" s="2">
        <v>15.3791092582285</v>
      </c>
      <c r="BS422" s="2">
        <v>18.593211942014101</v>
      </c>
      <c r="BT422" s="2">
        <v>17.720242654817099</v>
      </c>
      <c r="BU422" s="2">
        <v>17.964023065760401</v>
      </c>
      <c r="BV422" s="2">
        <v>18.587183961114299</v>
      </c>
      <c r="BW422" s="2">
        <v>9.6233145402724691</v>
      </c>
      <c r="BX422" s="2">
        <v>17.703272310334999</v>
      </c>
      <c r="BY422" s="2">
        <v>17.893280434514999</v>
      </c>
      <c r="BZ422" s="2">
        <v>18.0442791628255</v>
      </c>
      <c r="CA422" s="2">
        <v>9.6233145402724691</v>
      </c>
      <c r="CB422" s="2">
        <v>17.719937628956298</v>
      </c>
      <c r="CC422" s="2">
        <v>9.6233145402724691</v>
      </c>
      <c r="CD422" s="2">
        <v>17.324784415134001</v>
      </c>
      <c r="CE422" s="2">
        <v>9.6233145402724691</v>
      </c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</row>
    <row r="423" spans="1:97">
      <c r="A423" s="2" t="s">
        <v>4295</v>
      </c>
      <c r="B423" s="2">
        <v>394.33152999999999</v>
      </c>
      <c r="C423" s="2">
        <v>13.532</v>
      </c>
      <c r="D423" s="2" t="s">
        <v>146</v>
      </c>
      <c r="E423" s="2" t="s">
        <v>4296</v>
      </c>
      <c r="F423" s="2" t="s">
        <v>4297</v>
      </c>
      <c r="G423" s="2">
        <v>198480</v>
      </c>
      <c r="H423" s="3" t="str">
        <f>HYPERLINK("https://cloud.oebiotech.com/#/lm/network/198480", "https://cloud.oebiotech.com/#/lm/network/198480")</f>
        <v>https://cloud.oebiotech.com/#/lm/network/198480</v>
      </c>
      <c r="I423" s="2" t="s">
        <v>4298</v>
      </c>
      <c r="J423" s="2"/>
      <c r="K423" s="2"/>
      <c r="L423" s="2">
        <v>75955260</v>
      </c>
      <c r="M423" s="2"/>
      <c r="N423" s="2"/>
      <c r="O423" s="2"/>
      <c r="P423" s="2"/>
      <c r="Q423" s="2"/>
      <c r="R423" s="2"/>
      <c r="S423" s="2"/>
      <c r="T423" s="2" t="s">
        <v>4299</v>
      </c>
      <c r="U423" s="2" t="s">
        <v>4300</v>
      </c>
      <c r="V423" s="2" t="s">
        <v>115</v>
      </c>
      <c r="W423" s="2" t="s">
        <v>116</v>
      </c>
      <c r="X423" s="2" t="s">
        <v>117</v>
      </c>
      <c r="Y423" s="2" t="s">
        <v>118</v>
      </c>
      <c r="Z423" s="2" t="s">
        <v>119</v>
      </c>
      <c r="AA423" s="2" t="s">
        <v>120</v>
      </c>
      <c r="AB423" s="2" t="s">
        <v>101</v>
      </c>
      <c r="AC423" s="2">
        <v>64.77</v>
      </c>
      <c r="AD423" s="2">
        <v>84.18</v>
      </c>
      <c r="AE423" s="2">
        <v>63.22</v>
      </c>
      <c r="AF423" s="2" t="s">
        <v>4301</v>
      </c>
      <c r="AG423" s="2" t="s">
        <v>194</v>
      </c>
      <c r="AH423" s="2" t="s">
        <v>4302</v>
      </c>
      <c r="AI423" s="2">
        <v>3.04</v>
      </c>
      <c r="AJ423" s="2">
        <v>17.453965622168099</v>
      </c>
      <c r="AK423" s="2">
        <v>17.5050831700045</v>
      </c>
      <c r="AL423" s="2">
        <v>17.0997419866138</v>
      </c>
      <c r="AM423" s="2">
        <v>17.206699230223901</v>
      </c>
      <c r="AN423" s="2">
        <v>17.450345879465601</v>
      </c>
      <c r="AO423" s="2">
        <v>17.192759476266001</v>
      </c>
      <c r="AP423" s="2">
        <v>16.807231513822401</v>
      </c>
      <c r="AQ423" s="2">
        <v>17.2656606427208</v>
      </c>
      <c r="AR423" s="2">
        <v>13.402798906647099</v>
      </c>
      <c r="AS423" s="2">
        <v>15.5082859621398</v>
      </c>
      <c r="AT423" s="2">
        <v>17.448727975366999</v>
      </c>
      <c r="AU423" s="2">
        <v>14.7448117681321</v>
      </c>
      <c r="AV423" s="2">
        <v>16.350798674876401</v>
      </c>
      <c r="AW423" s="2">
        <v>15.858293587290101</v>
      </c>
      <c r="AX423" s="2">
        <v>16.918042708708199</v>
      </c>
      <c r="AY423" s="2">
        <v>17.086979078572799</v>
      </c>
      <c r="AZ423" s="2">
        <v>14.5759823395317</v>
      </c>
      <c r="BA423" s="2">
        <v>17.022789223907399</v>
      </c>
      <c r="BB423" s="2">
        <v>16.627312008592401</v>
      </c>
      <c r="BC423" s="2">
        <v>18.960025781016</v>
      </c>
      <c r="BD423" s="2">
        <v>14.9927007285124</v>
      </c>
      <c r="BE423" s="2">
        <v>16.647847661004999</v>
      </c>
      <c r="BF423" s="2">
        <v>16.433710778313301</v>
      </c>
      <c r="BG423" s="2">
        <v>16.532416655286099</v>
      </c>
      <c r="BH423" s="2">
        <v>17.059991741053999</v>
      </c>
      <c r="BI423" s="2">
        <v>17.575402082062901</v>
      </c>
      <c r="BJ423" s="2">
        <v>16.086365775446701</v>
      </c>
      <c r="BK423" s="2">
        <v>14.0521723421805</v>
      </c>
      <c r="BL423" s="2">
        <v>16.621876163388301</v>
      </c>
      <c r="BM423" s="2">
        <v>15.9860122154775</v>
      </c>
      <c r="BN423" s="2">
        <v>16.413401167986098</v>
      </c>
      <c r="BO423" s="2">
        <v>15.1834857390701</v>
      </c>
      <c r="BP423" s="2">
        <v>15.6233845637662</v>
      </c>
      <c r="BQ423" s="2">
        <v>17.0236251797105</v>
      </c>
      <c r="BR423" s="2">
        <v>17.106313268807401</v>
      </c>
      <c r="BS423" s="2">
        <v>16.379092162197399</v>
      </c>
      <c r="BT423" s="2">
        <v>13.887767996861101</v>
      </c>
      <c r="BU423" s="2">
        <v>16.742706796256002</v>
      </c>
      <c r="BV423" s="2">
        <v>16.891628628895798</v>
      </c>
      <c r="BW423" s="2">
        <v>16.2809097489538</v>
      </c>
      <c r="BX423" s="2">
        <v>16.037821465435002</v>
      </c>
      <c r="BY423" s="2">
        <v>18.672081195341999</v>
      </c>
      <c r="BZ423" s="2">
        <v>17.414596963818902</v>
      </c>
      <c r="CA423" s="2">
        <v>15.300560983815201</v>
      </c>
      <c r="CB423" s="2">
        <v>15.897591185063099</v>
      </c>
      <c r="CC423" s="2">
        <v>17.637817711973302</v>
      </c>
      <c r="CD423" s="2">
        <v>16.784372085926599</v>
      </c>
      <c r="CE423" s="2">
        <v>17.472948757572201</v>
      </c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</row>
    <row r="424" spans="1:97">
      <c r="A424" s="2" t="s">
        <v>4303</v>
      </c>
      <c r="B424" s="2">
        <v>188.1755</v>
      </c>
      <c r="C424" s="2">
        <v>0.69399999999999995</v>
      </c>
      <c r="D424" s="2" t="s">
        <v>84</v>
      </c>
      <c r="E424" s="2" t="s">
        <v>4304</v>
      </c>
      <c r="F424" s="2" t="s">
        <v>4305</v>
      </c>
      <c r="G424" s="2">
        <v>47491</v>
      </c>
      <c r="H424" s="3" t="str">
        <f>HYPERLINK("https://cloud.oebiotech.com/#/lm/network/47491", "https://cloud.oebiotech.com/#/lm/network/47491")</f>
        <v>https://cloud.oebiotech.com/#/lm/network/47491</v>
      </c>
      <c r="I424" s="2" t="s">
        <v>4306</v>
      </c>
      <c r="J424" s="2">
        <v>3323</v>
      </c>
      <c r="K424" s="2"/>
      <c r="L424" s="2">
        <v>496</v>
      </c>
      <c r="M424" s="2" t="s">
        <v>4307</v>
      </c>
      <c r="N424" s="2"/>
      <c r="O424" s="2"/>
      <c r="P424" s="2">
        <v>17927</v>
      </c>
      <c r="Q424" s="2" t="s">
        <v>4308</v>
      </c>
      <c r="R424" s="2" t="s">
        <v>4309</v>
      </c>
      <c r="S424" s="2" t="s">
        <v>4310</v>
      </c>
      <c r="T424" s="2" t="s">
        <v>4311</v>
      </c>
      <c r="U424" s="2" t="s">
        <v>4312</v>
      </c>
      <c r="V424" s="2" t="s">
        <v>115</v>
      </c>
      <c r="W424" s="2" t="s">
        <v>4313</v>
      </c>
      <c r="X424" s="2" t="s">
        <v>4314</v>
      </c>
      <c r="Y424" s="2" t="s">
        <v>118</v>
      </c>
      <c r="Z424" s="2" t="s">
        <v>4315</v>
      </c>
      <c r="AA424" s="2" t="s">
        <v>4316</v>
      </c>
      <c r="AB424" s="2" t="s">
        <v>101</v>
      </c>
      <c r="AC424" s="2">
        <v>64.760000000000005</v>
      </c>
      <c r="AD424" s="2">
        <v>93.93</v>
      </c>
      <c r="AE424" s="2">
        <v>45.57</v>
      </c>
      <c r="AF424" s="2" t="s">
        <v>4317</v>
      </c>
      <c r="AG424" s="2" t="s">
        <v>103</v>
      </c>
      <c r="AH424" s="2" t="s">
        <v>4318</v>
      </c>
      <c r="AI424" s="2">
        <v>1.06</v>
      </c>
      <c r="AJ424" s="2">
        <v>20.803502489877602</v>
      </c>
      <c r="AK424" s="2">
        <v>20.8043228622081</v>
      </c>
      <c r="AL424" s="2">
        <v>20.8452794460174</v>
      </c>
      <c r="AM424" s="2">
        <v>20.4773091722641</v>
      </c>
      <c r="AN424" s="2">
        <v>20.6783683813366</v>
      </c>
      <c r="AO424" s="2">
        <v>20.703951709439</v>
      </c>
      <c r="AP424" s="2">
        <v>20.730320011724299</v>
      </c>
      <c r="AQ424" s="2">
        <v>20.421004131166999</v>
      </c>
      <c r="AR424" s="2">
        <v>19.412953057257699</v>
      </c>
      <c r="AS424" s="2">
        <v>18.929107715431702</v>
      </c>
      <c r="AT424" s="2">
        <v>19.6253557590307</v>
      </c>
      <c r="AU424" s="2">
        <v>9.6233145402724691</v>
      </c>
      <c r="AV424" s="2">
        <v>20.586807487746601</v>
      </c>
      <c r="AW424" s="2">
        <v>19.664072176327299</v>
      </c>
      <c r="AX424" s="2">
        <v>19.768473633572299</v>
      </c>
      <c r="AY424" s="2">
        <v>19.642279159163699</v>
      </c>
      <c r="AZ424" s="2">
        <v>19.882125446150098</v>
      </c>
      <c r="BA424" s="2">
        <v>19.8387032098194</v>
      </c>
      <c r="BB424" s="2">
        <v>20.432975479283801</v>
      </c>
      <c r="BC424" s="2">
        <v>21.078699926037299</v>
      </c>
      <c r="BD424" s="2">
        <v>20.761571067027599</v>
      </c>
      <c r="BE424" s="2">
        <v>21.374394039267901</v>
      </c>
      <c r="BF424" s="2">
        <v>17.5266751332856</v>
      </c>
      <c r="BG424" s="2">
        <v>19.9462956726036</v>
      </c>
      <c r="BH424" s="2">
        <v>20.282895585657101</v>
      </c>
      <c r="BI424" s="2">
        <v>20.241023650885001</v>
      </c>
      <c r="BJ424" s="2">
        <v>20.997032043979299</v>
      </c>
      <c r="BK424" s="2">
        <v>19.7272954933986</v>
      </c>
      <c r="BL424" s="2">
        <v>20.5675874544329</v>
      </c>
      <c r="BM424" s="2">
        <v>20.346605502345099</v>
      </c>
      <c r="BN424" s="2">
        <v>20.328628584668099</v>
      </c>
      <c r="BO424" s="2">
        <v>21.2431831086279</v>
      </c>
      <c r="BP424" s="2">
        <v>21.827639876365701</v>
      </c>
      <c r="BQ424" s="2">
        <v>20.09676435515</v>
      </c>
      <c r="BR424" s="2">
        <v>20.487085986885099</v>
      </c>
      <c r="BS424" s="2">
        <v>20.145077150122798</v>
      </c>
      <c r="BT424" s="2">
        <v>20.810651544998301</v>
      </c>
      <c r="BU424" s="2">
        <v>20.366151046290899</v>
      </c>
      <c r="BV424" s="2">
        <v>20.7797304786958</v>
      </c>
      <c r="BW424" s="2">
        <v>20.141221197148401</v>
      </c>
      <c r="BX424" s="2">
        <v>21.028374731257401</v>
      </c>
      <c r="BY424" s="2">
        <v>21.4781319669354</v>
      </c>
      <c r="BZ424" s="2">
        <v>20.187493715665902</v>
      </c>
      <c r="CA424" s="2">
        <v>19.6622589681505</v>
      </c>
      <c r="CB424" s="2">
        <v>19.6097138516473</v>
      </c>
      <c r="CC424" s="2">
        <v>19.251871297438299</v>
      </c>
      <c r="CD424" s="2">
        <v>21.4303257875649</v>
      </c>
      <c r="CE424" s="2">
        <v>20.148245246330099</v>
      </c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</row>
    <row r="425" spans="1:97">
      <c r="A425" s="2" t="s">
        <v>4319</v>
      </c>
      <c r="B425" s="2">
        <v>326.30464000000001</v>
      </c>
      <c r="C425" s="2">
        <v>12.329000000000001</v>
      </c>
      <c r="D425" s="2" t="s">
        <v>84</v>
      </c>
      <c r="E425" s="2" t="s">
        <v>4320</v>
      </c>
      <c r="F425" s="2" t="s">
        <v>4321</v>
      </c>
      <c r="G425" s="2">
        <v>9026</v>
      </c>
      <c r="H425" s="3" t="str">
        <f>HYPERLINK("https://cloud.oebiotech.com/#/lm/network/9026", "https://cloud.oebiotech.com/#/lm/network/9026")</f>
        <v>https://cloud.oebiotech.com/#/lm/network/9026</v>
      </c>
      <c r="I425" s="2" t="s">
        <v>4322</v>
      </c>
      <c r="J425" s="2">
        <v>24103</v>
      </c>
      <c r="K425" s="2" t="s">
        <v>4323</v>
      </c>
      <c r="L425" s="2">
        <v>5283454</v>
      </c>
      <c r="M425" s="2"/>
      <c r="N425" s="2"/>
      <c r="O425" s="2"/>
      <c r="P425" s="2">
        <v>71466</v>
      </c>
      <c r="Q425" s="2" t="s">
        <v>4324</v>
      </c>
      <c r="R425" s="2" t="s">
        <v>4325</v>
      </c>
      <c r="S425" s="2" t="s">
        <v>4326</v>
      </c>
      <c r="T425" s="2" t="s">
        <v>4327</v>
      </c>
      <c r="U425" s="2" t="s">
        <v>4328</v>
      </c>
      <c r="V425" s="2" t="s">
        <v>166</v>
      </c>
      <c r="W425" s="2" t="s">
        <v>167</v>
      </c>
      <c r="X425" s="2" t="s">
        <v>482</v>
      </c>
      <c r="Y425" s="2" t="s">
        <v>169</v>
      </c>
      <c r="Z425" s="2" t="s">
        <v>169</v>
      </c>
      <c r="AA425" s="2" t="s">
        <v>483</v>
      </c>
      <c r="AB425" s="2" t="s">
        <v>101</v>
      </c>
      <c r="AC425" s="2">
        <v>64.680000000000007</v>
      </c>
      <c r="AD425" s="2">
        <v>87.65</v>
      </c>
      <c r="AE425" s="2">
        <v>62.94</v>
      </c>
      <c r="AF425" s="2" t="s">
        <v>4329</v>
      </c>
      <c r="AG425" s="2" t="s">
        <v>103</v>
      </c>
      <c r="AH425" s="2" t="s">
        <v>4330</v>
      </c>
      <c r="AI425" s="2">
        <v>2.4500000000000002</v>
      </c>
      <c r="AJ425" s="2">
        <v>20.7053185606478</v>
      </c>
      <c r="AK425" s="2">
        <v>20.692407014677599</v>
      </c>
      <c r="AL425" s="2">
        <v>20.699273507228</v>
      </c>
      <c r="AM425" s="2">
        <v>20.000313208319799</v>
      </c>
      <c r="AN425" s="2">
        <v>20.561192285347801</v>
      </c>
      <c r="AO425" s="2">
        <v>20.3689525988372</v>
      </c>
      <c r="AP425" s="2">
        <v>20.350993831319801</v>
      </c>
      <c r="AQ425" s="2">
        <v>20.312065084663701</v>
      </c>
      <c r="AR425" s="2">
        <v>19.163311406446098</v>
      </c>
      <c r="AS425" s="2">
        <v>19.1986790527402</v>
      </c>
      <c r="AT425" s="2">
        <v>21.6586983541061</v>
      </c>
      <c r="AU425" s="2">
        <v>20.104316936869498</v>
      </c>
      <c r="AV425" s="2">
        <v>19.649490948666401</v>
      </c>
      <c r="AW425" s="2">
        <v>19.952083329910099</v>
      </c>
      <c r="AX425" s="2">
        <v>21.244613840627299</v>
      </c>
      <c r="AY425" s="2">
        <v>20.136400850017999</v>
      </c>
      <c r="AZ425" s="2">
        <v>19.9043643585536</v>
      </c>
      <c r="BA425" s="2">
        <v>20.2360410258269</v>
      </c>
      <c r="BB425" s="2">
        <v>21.303338755251801</v>
      </c>
      <c r="BC425" s="2">
        <v>22.280304954151202</v>
      </c>
      <c r="BD425" s="2">
        <v>19.015838444334701</v>
      </c>
      <c r="BE425" s="2">
        <v>19.885066677219701</v>
      </c>
      <c r="BF425" s="2">
        <v>20.507931477167102</v>
      </c>
      <c r="BG425" s="2">
        <v>20.707059266925501</v>
      </c>
      <c r="BH425" s="2">
        <v>20.332525978007698</v>
      </c>
      <c r="BI425" s="2">
        <v>20.203212772661502</v>
      </c>
      <c r="BJ425" s="2">
        <v>20.384194839525001</v>
      </c>
      <c r="BK425" s="2">
        <v>20.0918947558892</v>
      </c>
      <c r="BL425" s="2">
        <v>19.8791238839874</v>
      </c>
      <c r="BM425" s="2">
        <v>19.987529079602901</v>
      </c>
      <c r="BN425" s="2">
        <v>19.450562880559701</v>
      </c>
      <c r="BO425" s="2">
        <v>19.785688390683202</v>
      </c>
      <c r="BP425" s="2">
        <v>20.533489415760801</v>
      </c>
      <c r="BQ425" s="2">
        <v>20.028473445735401</v>
      </c>
      <c r="BR425" s="2">
        <v>21.007608447084401</v>
      </c>
      <c r="BS425" s="2">
        <v>20.495382232479301</v>
      </c>
      <c r="BT425" s="2">
        <v>19.5164634541533</v>
      </c>
      <c r="BU425" s="2">
        <v>21.329448060433101</v>
      </c>
      <c r="BV425" s="2">
        <v>20.5563467000215</v>
      </c>
      <c r="BW425" s="2">
        <v>20.124903458443701</v>
      </c>
      <c r="BX425" s="2">
        <v>21.327993803342199</v>
      </c>
      <c r="BY425" s="2">
        <v>20.664836319603399</v>
      </c>
      <c r="BZ425" s="2">
        <v>20.431576891217201</v>
      </c>
      <c r="CA425" s="2">
        <v>19.691628878992098</v>
      </c>
      <c r="CB425" s="2">
        <v>19.909985522205599</v>
      </c>
      <c r="CC425" s="2">
        <v>21.876616951229899</v>
      </c>
      <c r="CD425" s="2">
        <v>20.9008561381664</v>
      </c>
      <c r="CE425" s="2">
        <v>21.098498365498202</v>
      </c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</row>
    <row r="426" spans="1:97">
      <c r="A426" s="2" t="s">
        <v>4331</v>
      </c>
      <c r="B426" s="2">
        <v>333.20650000000001</v>
      </c>
      <c r="C426" s="2">
        <v>10.263</v>
      </c>
      <c r="D426" s="2" t="s">
        <v>146</v>
      </c>
      <c r="E426" s="2" t="s">
        <v>4332</v>
      </c>
      <c r="F426" s="2" t="s">
        <v>4333</v>
      </c>
      <c r="G426" s="2">
        <v>4834</v>
      </c>
      <c r="H426" s="3" t="str">
        <f>HYPERLINK("https://cloud.oebiotech.com/#/lm/network/4834", "https://cloud.oebiotech.com/#/lm/network/4834")</f>
        <v>https://cloud.oebiotech.com/#/lm/network/4834</v>
      </c>
      <c r="I426" s="2"/>
      <c r="J426" s="2"/>
      <c r="K426" s="2" t="s">
        <v>4334</v>
      </c>
      <c r="L426" s="2">
        <v>131840328</v>
      </c>
      <c r="M426" s="2"/>
      <c r="N426" s="2"/>
      <c r="O426" s="2"/>
      <c r="P426" s="2"/>
      <c r="Q426" s="2"/>
      <c r="R426" s="2"/>
      <c r="S426" s="2"/>
      <c r="T426" s="2" t="s">
        <v>4335</v>
      </c>
      <c r="U426" s="2" t="s">
        <v>4336</v>
      </c>
      <c r="V426" s="2" t="s">
        <v>115</v>
      </c>
      <c r="W426" s="2" t="s">
        <v>832</v>
      </c>
      <c r="X426" s="2" t="s">
        <v>4084</v>
      </c>
      <c r="Y426" s="2" t="s">
        <v>118</v>
      </c>
      <c r="Z426" s="2" t="s">
        <v>834</v>
      </c>
      <c r="AA426" s="2" t="s">
        <v>4085</v>
      </c>
      <c r="AB426" s="2" t="s">
        <v>101</v>
      </c>
      <c r="AC426" s="2">
        <v>64.67</v>
      </c>
      <c r="AD426" s="2">
        <v>86.81</v>
      </c>
      <c r="AE426" s="2">
        <v>62.1</v>
      </c>
      <c r="AF426" s="2" t="s">
        <v>4337</v>
      </c>
      <c r="AG426" s="2" t="s">
        <v>993</v>
      </c>
      <c r="AH426" s="2" t="s">
        <v>4338</v>
      </c>
      <c r="AI426" s="2">
        <v>0.3</v>
      </c>
      <c r="AJ426" s="2">
        <v>19.466491008526798</v>
      </c>
      <c r="AK426" s="2">
        <v>19.366173847086099</v>
      </c>
      <c r="AL426" s="2">
        <v>19.041975353485999</v>
      </c>
      <c r="AM426" s="2">
        <v>19.4064630039577</v>
      </c>
      <c r="AN426" s="2">
        <v>19.208690606712199</v>
      </c>
      <c r="AO426" s="2">
        <v>18.445960770679498</v>
      </c>
      <c r="AP426" s="2">
        <v>19.028230974439399</v>
      </c>
      <c r="AQ426" s="2">
        <v>19.323520045256501</v>
      </c>
      <c r="AR426" s="2">
        <v>18.694112787276499</v>
      </c>
      <c r="AS426" s="2">
        <v>16.156839944902199</v>
      </c>
      <c r="AT426" s="2">
        <v>18.929423707973601</v>
      </c>
      <c r="AU426" s="2">
        <v>18.9124895325279</v>
      </c>
      <c r="AV426" s="2">
        <v>19.375521574543701</v>
      </c>
      <c r="AW426" s="2">
        <v>20.251420101791599</v>
      </c>
      <c r="AX426" s="2">
        <v>19.3751888839058</v>
      </c>
      <c r="AY426" s="2">
        <v>19.965174264836602</v>
      </c>
      <c r="AZ426" s="2">
        <v>18.722479266032099</v>
      </c>
      <c r="BA426" s="2">
        <v>18.5597346725263</v>
      </c>
      <c r="BB426" s="2">
        <v>19.416547741218402</v>
      </c>
      <c r="BC426" s="2">
        <v>19.606537346933901</v>
      </c>
      <c r="BD426" s="2">
        <v>19.516779346115499</v>
      </c>
      <c r="BE426" s="2">
        <v>19.505288855149502</v>
      </c>
      <c r="BF426" s="2">
        <v>19.575854613560001</v>
      </c>
      <c r="BG426" s="2">
        <v>18.081569931875901</v>
      </c>
      <c r="BH426" s="2">
        <v>19.2181387946546</v>
      </c>
      <c r="BI426" s="2">
        <v>18.921059042708301</v>
      </c>
      <c r="BJ426" s="2">
        <v>19.7223895912717</v>
      </c>
      <c r="BK426" s="2">
        <v>18.7444308212925</v>
      </c>
      <c r="BL426" s="2">
        <v>18.272503492607701</v>
      </c>
      <c r="BM426" s="2">
        <v>18.3726380486453</v>
      </c>
      <c r="BN426" s="2">
        <v>18.559282340342602</v>
      </c>
      <c r="BO426" s="2">
        <v>18.108736386050101</v>
      </c>
      <c r="BP426" s="2">
        <v>18.906386362604199</v>
      </c>
      <c r="BQ426" s="2">
        <v>20.2092163708047</v>
      </c>
      <c r="BR426" s="2">
        <v>19.472130588387699</v>
      </c>
      <c r="BS426" s="2">
        <v>18.842468819682701</v>
      </c>
      <c r="BT426" s="2">
        <v>19.605190026189302</v>
      </c>
      <c r="BU426" s="2">
        <v>18.7028645797953</v>
      </c>
      <c r="BV426" s="2">
        <v>19.049369529844899</v>
      </c>
      <c r="BW426" s="2">
        <v>19.366873237977099</v>
      </c>
      <c r="BX426" s="2">
        <v>18.453994428779101</v>
      </c>
      <c r="BY426" s="2">
        <v>20.0091883427929</v>
      </c>
      <c r="BZ426" s="2">
        <v>19.010935674784001</v>
      </c>
      <c r="CA426" s="2">
        <v>18.780795794416299</v>
      </c>
      <c r="CB426" s="2">
        <v>19.463364657891798</v>
      </c>
      <c r="CC426" s="2">
        <v>18.225779774353001</v>
      </c>
      <c r="CD426" s="2">
        <v>18.862551066638201</v>
      </c>
      <c r="CE426" s="2">
        <v>18.687133974588502</v>
      </c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</row>
    <row r="427" spans="1:97">
      <c r="A427" s="2" t="s">
        <v>4339</v>
      </c>
      <c r="B427" s="2">
        <v>302.11410999999998</v>
      </c>
      <c r="C427" s="2">
        <v>4.468</v>
      </c>
      <c r="D427" s="2" t="s">
        <v>146</v>
      </c>
      <c r="E427" s="2" t="s">
        <v>4340</v>
      </c>
      <c r="F427" s="2" t="s">
        <v>4341</v>
      </c>
      <c r="G427" s="2">
        <v>52225</v>
      </c>
      <c r="H427" s="3" t="str">
        <f>HYPERLINK("https://cloud.oebiotech.com/#/lm/network/52225", "https://cloud.oebiotech.com/#/lm/network/52225")</f>
        <v>https://cloud.oebiotech.com/#/lm/network/52225</v>
      </c>
      <c r="I427" s="2" t="s">
        <v>4342</v>
      </c>
      <c r="J427" s="2"/>
      <c r="K427" s="2"/>
      <c r="L427" s="2">
        <v>25200879</v>
      </c>
      <c r="M427" s="2"/>
      <c r="N427" s="2"/>
      <c r="O427" s="2"/>
      <c r="P427" s="2">
        <v>70811</v>
      </c>
      <c r="Q427" s="2"/>
      <c r="R427" s="2"/>
      <c r="S427" s="2" t="s">
        <v>4343</v>
      </c>
      <c r="T427" s="2" t="s">
        <v>4344</v>
      </c>
      <c r="U427" s="2" t="s">
        <v>4345</v>
      </c>
      <c r="V427" s="2" t="s">
        <v>115</v>
      </c>
      <c r="W427" s="2" t="s">
        <v>116</v>
      </c>
      <c r="X427" s="2" t="s">
        <v>117</v>
      </c>
      <c r="Y427" s="2" t="s">
        <v>118</v>
      </c>
      <c r="Z427" s="2" t="s">
        <v>119</v>
      </c>
      <c r="AA427" s="2" t="s">
        <v>120</v>
      </c>
      <c r="AB427" s="2" t="s">
        <v>3086</v>
      </c>
      <c r="AC427" s="2">
        <v>64.62</v>
      </c>
      <c r="AD427" s="2">
        <v>89.73</v>
      </c>
      <c r="AE427" s="2">
        <v>36.820714285714303</v>
      </c>
      <c r="AF427" s="2" t="s">
        <v>4346</v>
      </c>
      <c r="AG427" s="2" t="s">
        <v>194</v>
      </c>
      <c r="AH427" s="2" t="s">
        <v>4347</v>
      </c>
      <c r="AI427" s="2">
        <v>1.66</v>
      </c>
      <c r="AJ427" s="2">
        <v>15.9967054011508</v>
      </c>
      <c r="AK427" s="2">
        <v>16.314996147432499</v>
      </c>
      <c r="AL427" s="2">
        <v>16.462982270985002</v>
      </c>
      <c r="AM427" s="2">
        <v>16.5215998263328</v>
      </c>
      <c r="AN427" s="2">
        <v>16.611571383160499</v>
      </c>
      <c r="AO427" s="2">
        <v>16.3984761674302</v>
      </c>
      <c r="AP427" s="2">
        <v>16.331916225487799</v>
      </c>
      <c r="AQ427" s="2">
        <v>16.169468803815001</v>
      </c>
      <c r="AR427" s="2">
        <v>15.357876698168401</v>
      </c>
      <c r="AS427" s="2">
        <v>13.49176668232</v>
      </c>
      <c r="AT427" s="2">
        <v>9.6233145402724691</v>
      </c>
      <c r="AU427" s="2">
        <v>15.7534839385553</v>
      </c>
      <c r="AV427" s="2">
        <v>14.491462939841099</v>
      </c>
      <c r="AW427" s="2">
        <v>16.367772036134401</v>
      </c>
      <c r="AX427" s="2">
        <v>11.610078987078699</v>
      </c>
      <c r="AY427" s="2">
        <v>14.4670418872351</v>
      </c>
      <c r="AZ427" s="2">
        <v>15.5835749655964</v>
      </c>
      <c r="BA427" s="2">
        <v>16.680817024204401</v>
      </c>
      <c r="BB427" s="2">
        <v>14.340499681603299</v>
      </c>
      <c r="BC427" s="2">
        <v>16.171918561027901</v>
      </c>
      <c r="BD427" s="2">
        <v>9.6233145402724691</v>
      </c>
      <c r="BE427" s="2">
        <v>15.901311215231001</v>
      </c>
      <c r="BF427" s="2">
        <v>15.8908739015884</v>
      </c>
      <c r="BG427" s="2">
        <v>16.938147585256502</v>
      </c>
      <c r="BH427" s="2">
        <v>15.1024576100841</v>
      </c>
      <c r="BI427" s="2">
        <v>16.743139557483399</v>
      </c>
      <c r="BJ427" s="2">
        <v>14.321288320680299</v>
      </c>
      <c r="BK427" s="2">
        <v>15.1497487069763</v>
      </c>
      <c r="BL427" s="2">
        <v>15.8423837387458</v>
      </c>
      <c r="BM427" s="2">
        <v>13.942215745632099</v>
      </c>
      <c r="BN427" s="2">
        <v>13.871422077179901</v>
      </c>
      <c r="BO427" s="2">
        <v>17.054734562448999</v>
      </c>
      <c r="BP427" s="2">
        <v>16.415389566717099</v>
      </c>
      <c r="BQ427" s="2">
        <v>16.398912330460199</v>
      </c>
      <c r="BR427" s="2">
        <v>14.9486086036227</v>
      </c>
      <c r="BS427" s="2">
        <v>15.4250457208245</v>
      </c>
      <c r="BT427" s="2">
        <v>16.282724304484901</v>
      </c>
      <c r="BU427" s="2">
        <v>15.823343851795499</v>
      </c>
      <c r="BV427" s="2">
        <v>12.94509263054</v>
      </c>
      <c r="BW427" s="2">
        <v>14.245985657764001</v>
      </c>
      <c r="BX427" s="2">
        <v>9.6233145402724691</v>
      </c>
      <c r="BY427" s="2">
        <v>16.342406162176999</v>
      </c>
      <c r="BZ427" s="2">
        <v>16.624572444477401</v>
      </c>
      <c r="CA427" s="2">
        <v>14.720954954727301</v>
      </c>
      <c r="CB427" s="2">
        <v>15.5321272896899</v>
      </c>
      <c r="CC427" s="2">
        <v>15.2507791621161</v>
      </c>
      <c r="CD427" s="2">
        <v>16.0579665582706</v>
      </c>
      <c r="CE427" s="2">
        <v>16.6719625467423</v>
      </c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</row>
    <row r="428" spans="1:97">
      <c r="A428" s="2" t="s">
        <v>4348</v>
      </c>
      <c r="B428" s="2">
        <v>468.34370000000001</v>
      </c>
      <c r="C428" s="2">
        <v>10.465</v>
      </c>
      <c r="D428" s="2" t="s">
        <v>84</v>
      </c>
      <c r="E428" s="2" t="s">
        <v>4349</v>
      </c>
      <c r="F428" s="2" t="s">
        <v>4350</v>
      </c>
      <c r="G428" s="2">
        <v>19897</v>
      </c>
      <c r="H428" s="3" t="str">
        <f>HYPERLINK("https://cloud.oebiotech.com/#/lm/network/19897", "https://cloud.oebiotech.com/#/lm/network/19897")</f>
        <v>https://cloud.oebiotech.com/#/lm/network/19897</v>
      </c>
      <c r="I428" s="2"/>
      <c r="J428" s="2">
        <v>40383</v>
      </c>
      <c r="K428" s="2" t="s">
        <v>4351</v>
      </c>
      <c r="L428" s="2">
        <v>15755667</v>
      </c>
      <c r="M428" s="2"/>
      <c r="N428" s="2"/>
      <c r="O428" s="2"/>
      <c r="P428" s="2"/>
      <c r="Q428" s="2"/>
      <c r="R428" s="2"/>
      <c r="S428" s="2"/>
      <c r="T428" s="2" t="s">
        <v>4352</v>
      </c>
      <c r="U428" s="2" t="s">
        <v>4353</v>
      </c>
      <c r="V428" s="2" t="s">
        <v>95</v>
      </c>
      <c r="W428" s="2" t="s">
        <v>202</v>
      </c>
      <c r="X428" s="2" t="s">
        <v>203</v>
      </c>
      <c r="Y428" s="2" t="s">
        <v>98</v>
      </c>
      <c r="Z428" s="2" t="s">
        <v>204</v>
      </c>
      <c r="AA428" s="2" t="s">
        <v>205</v>
      </c>
      <c r="AB428" s="2" t="s">
        <v>101</v>
      </c>
      <c r="AC428" s="2">
        <v>64.599999999999994</v>
      </c>
      <c r="AD428" s="2">
        <v>83.87</v>
      </c>
      <c r="AE428" s="2">
        <v>67.790000000000006</v>
      </c>
      <c r="AF428" s="2" t="s">
        <v>4354</v>
      </c>
      <c r="AG428" s="2" t="s">
        <v>103</v>
      </c>
      <c r="AH428" s="2" t="s">
        <v>4355</v>
      </c>
      <c r="AI428" s="2">
        <v>2.35</v>
      </c>
      <c r="AJ428" s="2">
        <v>19.190562248005399</v>
      </c>
      <c r="AK428" s="2">
        <v>19.599036073369199</v>
      </c>
      <c r="AL428" s="2">
        <v>19.541877378470499</v>
      </c>
      <c r="AM428" s="2">
        <v>19.4095230542016</v>
      </c>
      <c r="AN428" s="2">
        <v>19.4023730988193</v>
      </c>
      <c r="AO428" s="2">
        <v>19.332241231589599</v>
      </c>
      <c r="AP428" s="2">
        <v>19.578434629233101</v>
      </c>
      <c r="AQ428" s="2">
        <v>19.183668259047099</v>
      </c>
      <c r="AR428" s="2">
        <v>20.331418803407502</v>
      </c>
      <c r="AS428" s="2">
        <v>18.5264154488267</v>
      </c>
      <c r="AT428" s="2">
        <v>17.774260208856798</v>
      </c>
      <c r="AU428" s="2">
        <v>18.9170671051798</v>
      </c>
      <c r="AV428" s="2">
        <v>19.274426453709101</v>
      </c>
      <c r="AW428" s="2">
        <v>18.368101900095802</v>
      </c>
      <c r="AX428" s="2">
        <v>18.8493335631014</v>
      </c>
      <c r="AY428" s="2">
        <v>18.498693997235598</v>
      </c>
      <c r="AZ428" s="2">
        <v>19.3240689087418</v>
      </c>
      <c r="BA428" s="2">
        <v>15.153572218531099</v>
      </c>
      <c r="BB428" s="2">
        <v>18.6605052639364</v>
      </c>
      <c r="BC428" s="2">
        <v>19.269462054522698</v>
      </c>
      <c r="BD428" s="2">
        <v>18.947752126388799</v>
      </c>
      <c r="BE428" s="2">
        <v>20.242815348239699</v>
      </c>
      <c r="BF428" s="2">
        <v>17.555110418383901</v>
      </c>
      <c r="BG428" s="2">
        <v>19.419341741564001</v>
      </c>
      <c r="BH428" s="2">
        <v>21.020226431058699</v>
      </c>
      <c r="BI428" s="2">
        <v>17.714431612250198</v>
      </c>
      <c r="BJ428" s="2">
        <v>18.248348355517098</v>
      </c>
      <c r="BK428" s="2">
        <v>18.9667847791724</v>
      </c>
      <c r="BL428" s="2">
        <v>20.437404706081601</v>
      </c>
      <c r="BM428" s="2">
        <v>19.416676855485601</v>
      </c>
      <c r="BN428" s="2">
        <v>19.625819908615998</v>
      </c>
      <c r="BO428" s="2">
        <v>19.417588716773899</v>
      </c>
      <c r="BP428" s="2">
        <v>19.4439842152672</v>
      </c>
      <c r="BQ428" s="2">
        <v>18.968657569348299</v>
      </c>
      <c r="BR428" s="2">
        <v>18.9548072267247</v>
      </c>
      <c r="BS428" s="2">
        <v>19.8106122375806</v>
      </c>
      <c r="BT428" s="2">
        <v>19.183047892597401</v>
      </c>
      <c r="BU428" s="2">
        <v>18.863241279784301</v>
      </c>
      <c r="BV428" s="2">
        <v>19.314336937200899</v>
      </c>
      <c r="BW428" s="2">
        <v>18.204273720120401</v>
      </c>
      <c r="BX428" s="2">
        <v>19.012227951624201</v>
      </c>
      <c r="BY428" s="2">
        <v>20.644796171251802</v>
      </c>
      <c r="BZ428" s="2">
        <v>17.4382645826852</v>
      </c>
      <c r="CA428" s="2">
        <v>19.8481190167129</v>
      </c>
      <c r="CB428" s="2">
        <v>18.822945260203699</v>
      </c>
      <c r="CC428" s="2">
        <v>17.918468172297999</v>
      </c>
      <c r="CD428" s="2">
        <v>19.3367353623883</v>
      </c>
      <c r="CE428" s="2">
        <v>18.9510759291821</v>
      </c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</row>
    <row r="429" spans="1:97">
      <c r="A429" s="2" t="s">
        <v>4356</v>
      </c>
      <c r="B429" s="2">
        <v>370.29473999999999</v>
      </c>
      <c r="C429" s="2">
        <v>9.173</v>
      </c>
      <c r="D429" s="2" t="s">
        <v>84</v>
      </c>
      <c r="E429" s="2" t="s">
        <v>4357</v>
      </c>
      <c r="F429" s="2" t="s">
        <v>4358</v>
      </c>
      <c r="G429" s="2">
        <v>8315</v>
      </c>
      <c r="H429" s="3" t="str">
        <f>HYPERLINK("https://cloud.oebiotech.com/#/lm/network/8315", "https://cloud.oebiotech.com/#/lm/network/8315")</f>
        <v>https://cloud.oebiotech.com/#/lm/network/8315</v>
      </c>
      <c r="I429" s="2" t="s">
        <v>4359</v>
      </c>
      <c r="J429" s="2"/>
      <c r="K429" s="2" t="s">
        <v>4360</v>
      </c>
      <c r="L429" s="2">
        <v>53481642</v>
      </c>
      <c r="M429" s="2"/>
      <c r="N429" s="2"/>
      <c r="O429" s="2"/>
      <c r="P429" s="2"/>
      <c r="Q429" s="2"/>
      <c r="R429" s="2"/>
      <c r="S429" s="2"/>
      <c r="T429" s="2" t="s">
        <v>4361</v>
      </c>
      <c r="U429" s="2" t="s">
        <v>4362</v>
      </c>
      <c r="V429" s="2" t="s">
        <v>95</v>
      </c>
      <c r="W429" s="2" t="s">
        <v>96</v>
      </c>
      <c r="X429" s="2" t="s">
        <v>97</v>
      </c>
      <c r="Y429" s="2" t="s">
        <v>98</v>
      </c>
      <c r="Z429" s="2" t="s">
        <v>99</v>
      </c>
      <c r="AA429" s="2" t="s">
        <v>100</v>
      </c>
      <c r="AB429" s="2" t="s">
        <v>101</v>
      </c>
      <c r="AC429" s="2">
        <v>64.58</v>
      </c>
      <c r="AD429" s="2">
        <v>98.21</v>
      </c>
      <c r="AE429" s="2">
        <v>47.02</v>
      </c>
      <c r="AF429" s="2" t="s">
        <v>4363</v>
      </c>
      <c r="AG429" s="2" t="s">
        <v>1088</v>
      </c>
      <c r="AH429" s="2" t="s">
        <v>4130</v>
      </c>
      <c r="AI429" s="2">
        <v>2.97</v>
      </c>
      <c r="AJ429" s="2">
        <v>22.992969225120898</v>
      </c>
      <c r="AK429" s="2">
        <v>22.914985475604201</v>
      </c>
      <c r="AL429" s="2">
        <v>23.0130452871995</v>
      </c>
      <c r="AM429" s="2">
        <v>23.062296057516001</v>
      </c>
      <c r="AN429" s="2">
        <v>22.896850577575901</v>
      </c>
      <c r="AO429" s="2">
        <v>23.085427986001498</v>
      </c>
      <c r="AP429" s="2">
        <v>23.063394997348102</v>
      </c>
      <c r="AQ429" s="2">
        <v>23.043130987929199</v>
      </c>
      <c r="AR429" s="2">
        <v>20.9469307905057</v>
      </c>
      <c r="AS429" s="2">
        <v>21.682324060636201</v>
      </c>
      <c r="AT429" s="2">
        <v>23.292051597117801</v>
      </c>
      <c r="AU429" s="2">
        <v>21.209956584247301</v>
      </c>
      <c r="AV429" s="2">
        <v>21.201909120808299</v>
      </c>
      <c r="AW429" s="2">
        <v>22.423657535346099</v>
      </c>
      <c r="AX429" s="2">
        <v>22.4323315696784</v>
      </c>
      <c r="AY429" s="2">
        <v>22.773937817639599</v>
      </c>
      <c r="AZ429" s="2">
        <v>20.367204320832599</v>
      </c>
      <c r="BA429" s="2">
        <v>23.1880894211133</v>
      </c>
      <c r="BB429" s="2">
        <v>24.0393593692494</v>
      </c>
      <c r="BC429" s="2">
        <v>24.174730228795902</v>
      </c>
      <c r="BD429" s="2">
        <v>21.405787591037399</v>
      </c>
      <c r="BE429" s="2">
        <v>22.3499727705893</v>
      </c>
      <c r="BF429" s="2">
        <v>22.247113825637701</v>
      </c>
      <c r="BG429" s="2">
        <v>23.375279244909098</v>
      </c>
      <c r="BH429" s="2">
        <v>21.7531504665391</v>
      </c>
      <c r="BI429" s="2">
        <v>23.7325635509713</v>
      </c>
      <c r="BJ429" s="2">
        <v>22.775188993310501</v>
      </c>
      <c r="BK429" s="2">
        <v>21.136905275337899</v>
      </c>
      <c r="BL429" s="2">
        <v>23.7374941713047</v>
      </c>
      <c r="BM429" s="2">
        <v>21.518500062499001</v>
      </c>
      <c r="BN429" s="2">
        <v>22.4153605514345</v>
      </c>
      <c r="BO429" s="2">
        <v>23.267412403901599</v>
      </c>
      <c r="BP429" s="2">
        <v>22.932898526706701</v>
      </c>
      <c r="BQ429" s="2">
        <v>23.859274521648601</v>
      </c>
      <c r="BR429" s="2">
        <v>23.204456217296499</v>
      </c>
      <c r="BS429" s="2">
        <v>21.871556403249802</v>
      </c>
      <c r="BT429" s="2">
        <v>22.704077610115501</v>
      </c>
      <c r="BU429" s="2">
        <v>23.048895584744098</v>
      </c>
      <c r="BV429" s="2">
        <v>23.7441201405294</v>
      </c>
      <c r="BW429" s="2">
        <v>23.4037913609607</v>
      </c>
      <c r="BX429" s="2">
        <v>22.580405418246599</v>
      </c>
      <c r="BY429" s="2">
        <v>21.571890303763901</v>
      </c>
      <c r="BZ429" s="2">
        <v>22.8439820791891</v>
      </c>
      <c r="CA429" s="2">
        <v>22.4000981706799</v>
      </c>
      <c r="CB429" s="2">
        <v>23.095950783189402</v>
      </c>
      <c r="CC429" s="2">
        <v>23.509331077849101</v>
      </c>
      <c r="CD429" s="2">
        <v>22.0674145141619</v>
      </c>
      <c r="CE429" s="2">
        <v>23.2898091775273</v>
      </c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</row>
    <row r="430" spans="1:97">
      <c r="A430" s="2" t="s">
        <v>4364</v>
      </c>
      <c r="B430" s="2">
        <v>281.06614000000002</v>
      </c>
      <c r="C430" s="2">
        <v>5.92</v>
      </c>
      <c r="D430" s="2" t="s">
        <v>146</v>
      </c>
      <c r="E430" s="2" t="s">
        <v>4365</v>
      </c>
      <c r="F430" s="2" t="s">
        <v>4366</v>
      </c>
      <c r="G430" s="2">
        <v>55583</v>
      </c>
      <c r="H430" s="3" t="str">
        <f>HYPERLINK("https://cloud.oebiotech.com/#/lm/network/55583", "https://cloud.oebiotech.com/#/lm/network/55583")</f>
        <v>https://cloud.oebiotech.com/#/lm/network/55583</v>
      </c>
      <c r="I430" s="2" t="s">
        <v>4367</v>
      </c>
      <c r="J430" s="2">
        <v>87235</v>
      </c>
      <c r="K430" s="2"/>
      <c r="L430" s="2">
        <v>3520232</v>
      </c>
      <c r="M430" s="2"/>
      <c r="N430" s="2"/>
      <c r="O430" s="2"/>
      <c r="P430" s="2"/>
      <c r="Q430" s="2"/>
      <c r="R430" s="2"/>
      <c r="S430" s="2" t="s">
        <v>4368</v>
      </c>
      <c r="T430" s="2" t="s">
        <v>4369</v>
      </c>
      <c r="U430" s="2" t="s">
        <v>4370</v>
      </c>
      <c r="V430" s="2" t="s">
        <v>553</v>
      </c>
      <c r="W430" s="2" t="s">
        <v>4371</v>
      </c>
      <c r="X430" s="2" t="s">
        <v>375</v>
      </c>
      <c r="Y430" s="2" t="s">
        <v>556</v>
      </c>
      <c r="Z430" s="2" t="s">
        <v>4372</v>
      </c>
      <c r="AA430" s="2"/>
      <c r="AB430" s="2" t="s">
        <v>101</v>
      </c>
      <c r="AC430" s="2">
        <v>64.56</v>
      </c>
      <c r="AD430" s="2">
        <v>91.39</v>
      </c>
      <c r="AE430" s="2">
        <v>58.89</v>
      </c>
      <c r="AF430" s="2" t="s">
        <v>4373</v>
      </c>
      <c r="AG430" s="2" t="s">
        <v>157</v>
      </c>
      <c r="AH430" s="2" t="s">
        <v>4374</v>
      </c>
      <c r="AI430" s="2">
        <v>2.13</v>
      </c>
      <c r="AJ430" s="2">
        <v>18.597238209364999</v>
      </c>
      <c r="AK430" s="2">
        <v>18.810896237238602</v>
      </c>
      <c r="AL430" s="2">
        <v>18.872581703207</v>
      </c>
      <c r="AM430" s="2">
        <v>18.824587692434701</v>
      </c>
      <c r="AN430" s="2">
        <v>18.8256437884137</v>
      </c>
      <c r="AO430" s="2">
        <v>18.7593049800134</v>
      </c>
      <c r="AP430" s="2">
        <v>18.8248106372289</v>
      </c>
      <c r="AQ430" s="2">
        <v>18.603918957097999</v>
      </c>
      <c r="AR430" s="2">
        <v>18.694085335938698</v>
      </c>
      <c r="AS430" s="2">
        <v>18.672533524849499</v>
      </c>
      <c r="AT430" s="2">
        <v>18.3817156397727</v>
      </c>
      <c r="AU430" s="2">
        <v>18.6703181815829</v>
      </c>
      <c r="AV430" s="2">
        <v>18.741620737255801</v>
      </c>
      <c r="AW430" s="2">
        <v>18.6338193882445</v>
      </c>
      <c r="AX430" s="2">
        <v>18.737607252180901</v>
      </c>
      <c r="AY430" s="2">
        <v>18.757924683095201</v>
      </c>
      <c r="AZ430" s="2">
        <v>18.7737856983744</v>
      </c>
      <c r="BA430" s="2">
        <v>18.619936052013198</v>
      </c>
      <c r="BB430" s="2">
        <v>18.913654986013999</v>
      </c>
      <c r="BC430" s="2">
        <v>18.800469210578399</v>
      </c>
      <c r="BD430" s="2">
        <v>18.849927262535601</v>
      </c>
      <c r="BE430" s="2">
        <v>18.714630124692398</v>
      </c>
      <c r="BF430" s="2">
        <v>18.710768773358101</v>
      </c>
      <c r="BG430" s="2">
        <v>18.7493776585445</v>
      </c>
      <c r="BH430" s="2">
        <v>18.845149153141399</v>
      </c>
      <c r="BI430" s="2">
        <v>18.7262390512191</v>
      </c>
      <c r="BJ430" s="2">
        <v>18.475458712421599</v>
      </c>
      <c r="BK430" s="2">
        <v>18.700095381543498</v>
      </c>
      <c r="BL430" s="2">
        <v>18.570492393611602</v>
      </c>
      <c r="BM430" s="2">
        <v>18.638436196827499</v>
      </c>
      <c r="BN430" s="2">
        <v>18.600168596937198</v>
      </c>
      <c r="BO430" s="2">
        <v>18.636418370982199</v>
      </c>
      <c r="BP430" s="2">
        <v>18.6846922640459</v>
      </c>
      <c r="BQ430" s="2">
        <v>18.557209239017901</v>
      </c>
      <c r="BR430" s="2">
        <v>18.755049873184699</v>
      </c>
      <c r="BS430" s="2">
        <v>18.490701267071699</v>
      </c>
      <c r="BT430" s="2">
        <v>18.883937923033901</v>
      </c>
      <c r="BU430" s="2">
        <v>18.635038296439198</v>
      </c>
      <c r="BV430" s="2">
        <v>18.669093047615</v>
      </c>
      <c r="BW430" s="2">
        <v>18.893640185720301</v>
      </c>
      <c r="BX430" s="2">
        <v>18.434437690248799</v>
      </c>
      <c r="BY430" s="2">
        <v>18.677913569195901</v>
      </c>
      <c r="BZ430" s="2">
        <v>18.592031316937799</v>
      </c>
      <c r="CA430" s="2">
        <v>18.604578709980299</v>
      </c>
      <c r="CB430" s="2">
        <v>18.682509929189301</v>
      </c>
      <c r="CC430" s="2">
        <v>18.730445657757599</v>
      </c>
      <c r="CD430" s="2">
        <v>18.746035648336701</v>
      </c>
      <c r="CE430" s="2">
        <v>18.821047874836101</v>
      </c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</row>
    <row r="431" spans="1:97">
      <c r="A431" s="2" t="s">
        <v>4375</v>
      </c>
      <c r="B431" s="2">
        <v>313.11894000000001</v>
      </c>
      <c r="C431" s="2">
        <v>7.782</v>
      </c>
      <c r="D431" s="2" t="s">
        <v>146</v>
      </c>
      <c r="E431" s="2" t="s">
        <v>4376</v>
      </c>
      <c r="F431" s="2" t="s">
        <v>4377</v>
      </c>
      <c r="G431" s="2">
        <v>209415</v>
      </c>
      <c r="H431" s="3" t="str">
        <f>HYPERLINK("https://cloud.oebiotech.com/#/lm/network/209415", "https://cloud.oebiotech.com/#/lm/network/209415")</f>
        <v>https://cloud.oebiotech.com/#/lm/network/209415</v>
      </c>
      <c r="I431" s="2" t="s">
        <v>4378</v>
      </c>
      <c r="J431" s="2">
        <v>315926</v>
      </c>
      <c r="K431" s="2"/>
      <c r="L431" s="2">
        <v>42923</v>
      </c>
      <c r="M431" s="2"/>
      <c r="N431" s="2"/>
      <c r="O431" s="2"/>
      <c r="P431" s="2"/>
      <c r="Q431" s="2"/>
      <c r="R431" s="2"/>
      <c r="S431" s="2"/>
      <c r="T431" s="2" t="s">
        <v>4379</v>
      </c>
      <c r="U431" s="2" t="s">
        <v>4380</v>
      </c>
      <c r="V431" s="2" t="s">
        <v>385</v>
      </c>
      <c r="W431" s="2" t="s">
        <v>4381</v>
      </c>
      <c r="X431" s="2" t="s">
        <v>375</v>
      </c>
      <c r="Y431" s="2" t="s">
        <v>388</v>
      </c>
      <c r="Z431" s="2" t="s">
        <v>4382</v>
      </c>
      <c r="AA431" s="2"/>
      <c r="AB431" s="2" t="s">
        <v>101</v>
      </c>
      <c r="AC431" s="2">
        <v>64.510000000000005</v>
      </c>
      <c r="AD431" s="2">
        <v>89.17</v>
      </c>
      <c r="AE431" s="2">
        <v>50.46</v>
      </c>
      <c r="AF431" s="2" t="s">
        <v>4383</v>
      </c>
      <c r="AG431" s="2" t="s">
        <v>157</v>
      </c>
      <c r="AH431" s="2" t="s">
        <v>4384</v>
      </c>
      <c r="AI431" s="2">
        <v>1.6</v>
      </c>
      <c r="AJ431" s="2">
        <v>17.2651149498144</v>
      </c>
      <c r="AK431" s="2">
        <v>17.5824226646466</v>
      </c>
      <c r="AL431" s="2">
        <v>17.1441533466413</v>
      </c>
      <c r="AM431" s="2">
        <v>17.6010961080773</v>
      </c>
      <c r="AN431" s="2">
        <v>17.636617399121</v>
      </c>
      <c r="AO431" s="2">
        <v>17.707602126886702</v>
      </c>
      <c r="AP431" s="2">
        <v>17.464252338048301</v>
      </c>
      <c r="AQ431" s="2">
        <v>17.5579913328001</v>
      </c>
      <c r="AR431" s="2">
        <v>15.449135100696401</v>
      </c>
      <c r="AS431" s="2">
        <v>16.661056430636101</v>
      </c>
      <c r="AT431" s="2">
        <v>18.2927846244941</v>
      </c>
      <c r="AU431" s="2">
        <v>15.301709454016599</v>
      </c>
      <c r="AV431" s="2">
        <v>16.5314061347771</v>
      </c>
      <c r="AW431" s="2">
        <v>17.235335526001201</v>
      </c>
      <c r="AX431" s="2">
        <v>17.588950283849702</v>
      </c>
      <c r="AY431" s="2">
        <v>16.986220479184698</v>
      </c>
      <c r="AZ431" s="2">
        <v>15.646791003153901</v>
      </c>
      <c r="BA431" s="2">
        <v>17.3219326737462</v>
      </c>
      <c r="BB431" s="2">
        <v>16.580523424022001</v>
      </c>
      <c r="BC431" s="2">
        <v>18.391691592553698</v>
      </c>
      <c r="BD431" s="2">
        <v>15.7511036100379</v>
      </c>
      <c r="BE431" s="2">
        <v>18.5538641071998</v>
      </c>
      <c r="BF431" s="2">
        <v>15.992471933325801</v>
      </c>
      <c r="BG431" s="2">
        <v>17.890005815348999</v>
      </c>
      <c r="BH431" s="2">
        <v>17.436055948010999</v>
      </c>
      <c r="BI431" s="2">
        <v>17.580064863146202</v>
      </c>
      <c r="BJ431" s="2">
        <v>17.855901578688599</v>
      </c>
      <c r="BK431" s="2">
        <v>16.076548197800001</v>
      </c>
      <c r="BL431" s="2">
        <v>15.6694589461727</v>
      </c>
      <c r="BM431" s="2">
        <v>14.939932223721501</v>
      </c>
      <c r="BN431" s="2">
        <v>17.399139293469698</v>
      </c>
      <c r="BO431" s="2">
        <v>17.338205022032099</v>
      </c>
      <c r="BP431" s="2">
        <v>17.906467692958099</v>
      </c>
      <c r="BQ431" s="2">
        <v>16.925093556858901</v>
      </c>
      <c r="BR431" s="2">
        <v>17.739989998915199</v>
      </c>
      <c r="BS431" s="2">
        <v>16.925560350646101</v>
      </c>
      <c r="BT431" s="2">
        <v>16.2668496645408</v>
      </c>
      <c r="BU431" s="2">
        <v>17.331805250220899</v>
      </c>
      <c r="BV431" s="2">
        <v>17.5066522195659</v>
      </c>
      <c r="BW431" s="2">
        <v>17.0152685756855</v>
      </c>
      <c r="BX431" s="2">
        <v>15.577995515066601</v>
      </c>
      <c r="BY431" s="2">
        <v>18.114017253253301</v>
      </c>
      <c r="BZ431" s="2">
        <v>14.7565427711342</v>
      </c>
      <c r="CA431" s="2">
        <v>15.7642721570215</v>
      </c>
      <c r="CB431" s="2">
        <v>17.711081795069799</v>
      </c>
      <c r="CC431" s="2">
        <v>15.670403976703399</v>
      </c>
      <c r="CD431" s="2">
        <v>17.6862985505126</v>
      </c>
      <c r="CE431" s="2">
        <v>17.911122943859802</v>
      </c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</row>
    <row r="432" spans="1:97">
      <c r="A432" s="2" t="s">
        <v>4385</v>
      </c>
      <c r="B432" s="2">
        <v>325.23781000000002</v>
      </c>
      <c r="C432" s="2">
        <v>12.884</v>
      </c>
      <c r="D432" s="2" t="s">
        <v>146</v>
      </c>
      <c r="E432" s="2" t="s">
        <v>4386</v>
      </c>
      <c r="F432" s="2" t="s">
        <v>4387</v>
      </c>
      <c r="G432" s="2">
        <v>1056</v>
      </c>
      <c r="H432" s="3" t="str">
        <f>HYPERLINK("https://cloud.oebiotech.com/#/lm/network/1056", "https://cloud.oebiotech.com/#/lm/network/1056")</f>
        <v>https://cloud.oebiotech.com/#/lm/network/1056</v>
      </c>
      <c r="I432" s="2"/>
      <c r="J432" s="2">
        <v>74228</v>
      </c>
      <c r="K432" s="2" t="s">
        <v>4388</v>
      </c>
      <c r="L432" s="2">
        <v>3378049</v>
      </c>
      <c r="M432" s="2"/>
      <c r="N432" s="2"/>
      <c r="O432" s="2"/>
      <c r="P432" s="2"/>
      <c r="Q432" s="2"/>
      <c r="R432" s="2"/>
      <c r="S432" s="2"/>
      <c r="T432" s="2" t="s">
        <v>4389</v>
      </c>
      <c r="U432" s="2" t="s">
        <v>4390</v>
      </c>
      <c r="V432" s="2" t="s">
        <v>95</v>
      </c>
      <c r="W432" s="2" t="s">
        <v>96</v>
      </c>
      <c r="X432" s="2" t="s">
        <v>141</v>
      </c>
      <c r="Y432" s="2" t="s">
        <v>98</v>
      </c>
      <c r="Z432" s="2" t="s">
        <v>99</v>
      </c>
      <c r="AA432" s="2" t="s">
        <v>142</v>
      </c>
      <c r="AB432" s="2" t="s">
        <v>3086</v>
      </c>
      <c r="AC432" s="2">
        <v>64.48</v>
      </c>
      <c r="AD432" s="2">
        <v>95.6</v>
      </c>
      <c r="AE432" s="2">
        <v>44.82</v>
      </c>
      <c r="AF432" s="2" t="s">
        <v>4391</v>
      </c>
      <c r="AG432" s="2" t="s">
        <v>157</v>
      </c>
      <c r="AH432" s="2" t="s">
        <v>2123</v>
      </c>
      <c r="AI432" s="2">
        <v>1.84</v>
      </c>
      <c r="AJ432" s="2">
        <v>21.5931506900606</v>
      </c>
      <c r="AK432" s="2">
        <v>21.5002823020146</v>
      </c>
      <c r="AL432" s="2">
        <v>21.218376131875999</v>
      </c>
      <c r="AM432" s="2">
        <v>21.768454907317501</v>
      </c>
      <c r="AN432" s="2">
        <v>21.73115055621</v>
      </c>
      <c r="AO432" s="2">
        <v>21.3444296750483</v>
      </c>
      <c r="AP432" s="2">
        <v>20.7387075243801</v>
      </c>
      <c r="AQ432" s="2">
        <v>21.367530939328098</v>
      </c>
      <c r="AR432" s="2">
        <v>19.5098296385334</v>
      </c>
      <c r="AS432" s="2">
        <v>20.761866865365601</v>
      </c>
      <c r="AT432" s="2">
        <v>22.274859598243602</v>
      </c>
      <c r="AU432" s="2">
        <v>20.807426402173</v>
      </c>
      <c r="AV432" s="2">
        <v>20.110945930030699</v>
      </c>
      <c r="AW432" s="2">
        <v>21.072883546247901</v>
      </c>
      <c r="AX432" s="2">
        <v>22.043604659377301</v>
      </c>
      <c r="AY432" s="2">
        <v>20.6565763406788</v>
      </c>
      <c r="AZ432" s="2">
        <v>19.2471119389186</v>
      </c>
      <c r="BA432" s="2">
        <v>21.763680853399599</v>
      </c>
      <c r="BB432" s="2">
        <v>21.374421130731101</v>
      </c>
      <c r="BC432" s="2">
        <v>23.033738839489398</v>
      </c>
      <c r="BD432" s="2">
        <v>18.253585392998801</v>
      </c>
      <c r="BE432" s="2">
        <v>20.420322245904099</v>
      </c>
      <c r="BF432" s="2">
        <v>20.8710128929274</v>
      </c>
      <c r="BG432" s="2">
        <v>21.4798897639347</v>
      </c>
      <c r="BH432" s="2">
        <v>19.2312387154406</v>
      </c>
      <c r="BI432" s="2">
        <v>21.576660533924102</v>
      </c>
      <c r="BJ432" s="2">
        <v>20.701451133757601</v>
      </c>
      <c r="BK432" s="2">
        <v>19.374259795020802</v>
      </c>
      <c r="BL432" s="2">
        <v>22.106500264605799</v>
      </c>
      <c r="BM432" s="2">
        <v>20.245204087729501</v>
      </c>
      <c r="BN432" s="2">
        <v>19.983831963801901</v>
      </c>
      <c r="BO432" s="2">
        <v>21.678539725254801</v>
      </c>
      <c r="BP432" s="2">
        <v>21.587285381090101</v>
      </c>
      <c r="BQ432" s="2">
        <v>21.4574187209831</v>
      </c>
      <c r="BR432" s="2">
        <v>21.440971495430901</v>
      </c>
      <c r="BS432" s="2">
        <v>19.326743422947398</v>
      </c>
      <c r="BT432" s="2">
        <v>21.526339998041401</v>
      </c>
      <c r="BU432" s="2">
        <v>21.475505181962902</v>
      </c>
      <c r="BV432" s="2">
        <v>22.166447831996301</v>
      </c>
      <c r="BW432" s="2">
        <v>21.0826986280398</v>
      </c>
      <c r="BX432" s="2">
        <v>21.085168677973801</v>
      </c>
      <c r="BY432" s="2">
        <v>20.382714857021199</v>
      </c>
      <c r="BZ432" s="2">
        <v>21.456471046760601</v>
      </c>
      <c r="CA432" s="2">
        <v>19.952660010277398</v>
      </c>
      <c r="CB432" s="2">
        <v>21.253681040397201</v>
      </c>
      <c r="CC432" s="2">
        <v>22.205637739108798</v>
      </c>
      <c r="CD432" s="2">
        <v>21.068903064891</v>
      </c>
      <c r="CE432" s="2">
        <v>22.1291423168758</v>
      </c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</row>
    <row r="433" spans="1:97">
      <c r="A433" s="2" t="s">
        <v>4392</v>
      </c>
      <c r="B433" s="2">
        <v>483.36845</v>
      </c>
      <c r="C433" s="2">
        <v>11.839</v>
      </c>
      <c r="D433" s="2" t="s">
        <v>146</v>
      </c>
      <c r="E433" s="2" t="s">
        <v>4393</v>
      </c>
      <c r="F433" s="2" t="s">
        <v>4394</v>
      </c>
      <c r="G433" s="2">
        <v>10306</v>
      </c>
      <c r="H433" s="3" t="str">
        <f>HYPERLINK("https://cloud.oebiotech.com/#/lm/network/10306", "https://cloud.oebiotech.com/#/lm/network/10306")</f>
        <v>https://cloud.oebiotech.com/#/lm/network/10306</v>
      </c>
      <c r="I433" s="2"/>
      <c r="J433" s="2"/>
      <c r="K433" s="2" t="s">
        <v>4395</v>
      </c>
      <c r="L433" s="2">
        <v>86289829</v>
      </c>
      <c r="M433" s="2"/>
      <c r="N433" s="2"/>
      <c r="O433" s="2"/>
      <c r="P433" s="2">
        <v>79240</v>
      </c>
      <c r="Q433" s="2"/>
      <c r="R433" s="2"/>
      <c r="S433" s="2"/>
      <c r="T433" s="2" t="s">
        <v>4396</v>
      </c>
      <c r="U433" s="2" t="s">
        <v>4397</v>
      </c>
      <c r="V433" s="2" t="s">
        <v>95</v>
      </c>
      <c r="W433" s="2" t="s">
        <v>96</v>
      </c>
      <c r="X433" s="2" t="s">
        <v>141</v>
      </c>
      <c r="Y433" s="2" t="s">
        <v>98</v>
      </c>
      <c r="Z433" s="2" t="s">
        <v>99</v>
      </c>
      <c r="AA433" s="2" t="s">
        <v>142</v>
      </c>
      <c r="AB433" s="2" t="s">
        <v>101</v>
      </c>
      <c r="AC433" s="2">
        <v>64.459999999999994</v>
      </c>
      <c r="AD433" s="2">
        <v>81.22</v>
      </c>
      <c r="AE433" s="2">
        <v>55.94</v>
      </c>
      <c r="AF433" s="2" t="s">
        <v>4398</v>
      </c>
      <c r="AG433" s="2" t="s">
        <v>993</v>
      </c>
      <c r="AH433" s="2" t="s">
        <v>4399</v>
      </c>
      <c r="AI433" s="2">
        <v>0.41</v>
      </c>
      <c r="AJ433" s="2">
        <v>19.243756877762699</v>
      </c>
      <c r="AK433" s="2">
        <v>19.118793411305798</v>
      </c>
      <c r="AL433" s="2">
        <v>19.032419657885502</v>
      </c>
      <c r="AM433" s="2">
        <v>18.912919296581201</v>
      </c>
      <c r="AN433" s="2">
        <v>18.888583447876101</v>
      </c>
      <c r="AO433" s="2">
        <v>19.0042723758908</v>
      </c>
      <c r="AP433" s="2">
        <v>18.817995476550099</v>
      </c>
      <c r="AQ433" s="2">
        <v>19.284984393278201</v>
      </c>
      <c r="AR433" s="2">
        <v>16.8806733302035</v>
      </c>
      <c r="AS433" s="2">
        <v>18.308514307507799</v>
      </c>
      <c r="AT433" s="2">
        <v>18.898418376137101</v>
      </c>
      <c r="AU433" s="2">
        <v>18.234568043317601</v>
      </c>
      <c r="AV433" s="2">
        <v>17.966008223144101</v>
      </c>
      <c r="AW433" s="2">
        <v>19.553848942782899</v>
      </c>
      <c r="AX433" s="2">
        <v>18.223879063281</v>
      </c>
      <c r="AY433" s="2">
        <v>21.485395486677099</v>
      </c>
      <c r="AZ433" s="2">
        <v>19.617099494833202</v>
      </c>
      <c r="BA433" s="2">
        <v>19.182133019735002</v>
      </c>
      <c r="BB433" s="2">
        <v>19.633320303475301</v>
      </c>
      <c r="BC433" s="2">
        <v>19.8143187516871</v>
      </c>
      <c r="BD433" s="2">
        <v>18.7485839087458</v>
      </c>
      <c r="BE433" s="2">
        <v>20.011357339048701</v>
      </c>
      <c r="BF433" s="2">
        <v>19.0058046774754</v>
      </c>
      <c r="BG433" s="2">
        <v>18.1587574468412</v>
      </c>
      <c r="BH433" s="2">
        <v>18.476288447397302</v>
      </c>
      <c r="BI433" s="2">
        <v>17.680008780047299</v>
      </c>
      <c r="BJ433" s="2">
        <v>19.5689083990653</v>
      </c>
      <c r="BK433" s="2">
        <v>17.5561293307236</v>
      </c>
      <c r="BL433" s="2">
        <v>18.2934584468249</v>
      </c>
      <c r="BM433" s="2">
        <v>19.096698505140001</v>
      </c>
      <c r="BN433" s="2">
        <v>18.840825305496399</v>
      </c>
      <c r="BO433" s="2">
        <v>18.1714777513276</v>
      </c>
      <c r="BP433" s="2">
        <v>18.496696364032399</v>
      </c>
      <c r="BQ433" s="2">
        <v>19.032079932616298</v>
      </c>
      <c r="BR433" s="2">
        <v>17.9508121071229</v>
      </c>
      <c r="BS433" s="2">
        <v>19.7341386289723</v>
      </c>
      <c r="BT433" s="2">
        <v>18.658889225879399</v>
      </c>
      <c r="BU433" s="2">
        <v>18.821306313072999</v>
      </c>
      <c r="BV433" s="2">
        <v>19.064761365554499</v>
      </c>
      <c r="BW433" s="2">
        <v>18.273073861794401</v>
      </c>
      <c r="BX433" s="2">
        <v>18.1143851239272</v>
      </c>
      <c r="BY433" s="2">
        <v>20.050474980415899</v>
      </c>
      <c r="BZ433" s="2">
        <v>18.5449764280389</v>
      </c>
      <c r="CA433" s="2">
        <v>18.331662605169299</v>
      </c>
      <c r="CB433" s="2">
        <v>18.375446125005698</v>
      </c>
      <c r="CC433" s="2">
        <v>17.3906528920898</v>
      </c>
      <c r="CD433" s="2">
        <v>20.055821020412399</v>
      </c>
      <c r="CE433" s="2">
        <v>17.6269966638318</v>
      </c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</row>
    <row r="434" spans="1:97">
      <c r="A434" s="2" t="s">
        <v>4400</v>
      </c>
      <c r="B434" s="2">
        <v>222.07670999999999</v>
      </c>
      <c r="C434" s="2">
        <v>3.8570000000000002</v>
      </c>
      <c r="D434" s="2" t="s">
        <v>146</v>
      </c>
      <c r="E434" s="2" t="s">
        <v>4401</v>
      </c>
      <c r="F434" s="2" t="s">
        <v>4402</v>
      </c>
      <c r="G434" s="2">
        <v>47268</v>
      </c>
      <c r="H434" s="3" t="str">
        <f>HYPERLINK("https://cloud.oebiotech.com/#/lm/network/47268", "https://cloud.oebiotech.com/#/lm/network/47268")</f>
        <v>https://cloud.oebiotech.com/#/lm/network/47268</v>
      </c>
      <c r="I434" s="2" t="s">
        <v>4403</v>
      </c>
      <c r="J434" s="2">
        <v>5827</v>
      </c>
      <c r="K434" s="2"/>
      <c r="L434" s="2">
        <v>68310</v>
      </c>
      <c r="M434" s="2" t="s">
        <v>4404</v>
      </c>
      <c r="N434" s="2"/>
      <c r="O434" s="2"/>
      <c r="P434" s="2">
        <v>21563</v>
      </c>
      <c r="Q434" s="2"/>
      <c r="R434" s="2"/>
      <c r="S434" s="2" t="s">
        <v>4405</v>
      </c>
      <c r="T434" s="2" t="s">
        <v>4406</v>
      </c>
      <c r="U434" s="2" t="s">
        <v>4407</v>
      </c>
      <c r="V434" s="2" t="s">
        <v>115</v>
      </c>
      <c r="W434" s="2" t="s">
        <v>116</v>
      </c>
      <c r="X434" s="2" t="s">
        <v>117</v>
      </c>
      <c r="Y434" s="2" t="s">
        <v>118</v>
      </c>
      <c r="Z434" s="2" t="s">
        <v>119</v>
      </c>
      <c r="AA434" s="2" t="s">
        <v>120</v>
      </c>
      <c r="AB434" s="2" t="s">
        <v>101</v>
      </c>
      <c r="AC434" s="2">
        <v>64.430000000000007</v>
      </c>
      <c r="AD434" s="2">
        <v>93.03</v>
      </c>
      <c r="AE434" s="2">
        <v>53.93</v>
      </c>
      <c r="AF434" s="2" t="s">
        <v>4408</v>
      </c>
      <c r="AG434" s="2" t="s">
        <v>194</v>
      </c>
      <c r="AH434" s="2" t="s">
        <v>4409</v>
      </c>
      <c r="AI434" s="2">
        <v>2.25</v>
      </c>
      <c r="AJ434" s="2">
        <v>17.7004995943783</v>
      </c>
      <c r="AK434" s="2">
        <v>17.980691530547499</v>
      </c>
      <c r="AL434" s="2">
        <v>17.8204058618294</v>
      </c>
      <c r="AM434" s="2">
        <v>17.929531373544499</v>
      </c>
      <c r="AN434" s="2">
        <v>17.716618403309099</v>
      </c>
      <c r="AO434" s="2">
        <v>18.076155410952801</v>
      </c>
      <c r="AP434" s="2">
        <v>18.009260361212199</v>
      </c>
      <c r="AQ434" s="2">
        <v>18.2808947554682</v>
      </c>
      <c r="AR434" s="2">
        <v>16.777140352272699</v>
      </c>
      <c r="AS434" s="2">
        <v>16.917312867342002</v>
      </c>
      <c r="AT434" s="2">
        <v>17.325635027718501</v>
      </c>
      <c r="AU434" s="2">
        <v>17.596341703515801</v>
      </c>
      <c r="AV434" s="2">
        <v>17.5485335573293</v>
      </c>
      <c r="AW434" s="2">
        <v>17.715122045493398</v>
      </c>
      <c r="AX434" s="2">
        <v>17.4038909646642</v>
      </c>
      <c r="AY434" s="2">
        <v>17.840817500802601</v>
      </c>
      <c r="AZ434" s="2">
        <v>17.529237301329299</v>
      </c>
      <c r="BA434" s="2">
        <v>17.855818016102099</v>
      </c>
      <c r="BB434" s="2">
        <v>17.9959472446929</v>
      </c>
      <c r="BC434" s="2">
        <v>16.213632637535</v>
      </c>
      <c r="BD434" s="2">
        <v>17.283659662477501</v>
      </c>
      <c r="BE434" s="2">
        <v>18.210593347879001</v>
      </c>
      <c r="BF434" s="2">
        <v>17.825826176959499</v>
      </c>
      <c r="BG434" s="2">
        <v>18.047929173603599</v>
      </c>
      <c r="BH434" s="2">
        <v>17.918996376290099</v>
      </c>
      <c r="BI434" s="2">
        <v>17.592627042063999</v>
      </c>
      <c r="BJ434" s="2">
        <v>17.817482799639802</v>
      </c>
      <c r="BK434" s="2">
        <v>17.7037740991614</v>
      </c>
      <c r="BL434" s="2">
        <v>17.642088157645102</v>
      </c>
      <c r="BM434" s="2">
        <v>17.969277573066002</v>
      </c>
      <c r="BN434" s="2">
        <v>17.722360554600499</v>
      </c>
      <c r="BO434" s="2">
        <v>17.8080918180585</v>
      </c>
      <c r="BP434" s="2">
        <v>17.6805367175184</v>
      </c>
      <c r="BQ434" s="2">
        <v>18.077085607474999</v>
      </c>
      <c r="BR434" s="2">
        <v>17.4995531835884</v>
      </c>
      <c r="BS434" s="2">
        <v>17.855840822965099</v>
      </c>
      <c r="BT434" s="2">
        <v>16.770950834343399</v>
      </c>
      <c r="BU434" s="2">
        <v>17.548198931560599</v>
      </c>
      <c r="BV434" s="2">
        <v>17.573230601226001</v>
      </c>
      <c r="BW434" s="2">
        <v>17.014769789944701</v>
      </c>
      <c r="BX434" s="2">
        <v>17.013354081538701</v>
      </c>
      <c r="BY434" s="2">
        <v>17.894170065045099</v>
      </c>
      <c r="BZ434" s="2">
        <v>18.522217762092598</v>
      </c>
      <c r="CA434" s="2">
        <v>18.093388728769099</v>
      </c>
      <c r="CB434" s="2">
        <v>17.903491600331002</v>
      </c>
      <c r="CC434" s="2">
        <v>17.730074766846499</v>
      </c>
      <c r="CD434" s="2">
        <v>17.907083892992699</v>
      </c>
      <c r="CE434" s="2">
        <v>17.876349729574599</v>
      </c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</row>
    <row r="435" spans="1:97">
      <c r="A435" s="2" t="s">
        <v>4410</v>
      </c>
      <c r="B435" s="2">
        <v>183.01546999999999</v>
      </c>
      <c r="C435" s="2">
        <v>0.88800000000000001</v>
      </c>
      <c r="D435" s="2" t="s">
        <v>146</v>
      </c>
      <c r="E435" s="2" t="s">
        <v>4411</v>
      </c>
      <c r="F435" s="2" t="s">
        <v>4412</v>
      </c>
      <c r="G435" s="2">
        <v>54933</v>
      </c>
      <c r="H435" s="3" t="str">
        <f>HYPERLINK("https://cloud.oebiotech.com/#/lm/network/54933", "https://cloud.oebiotech.com/#/lm/network/54933")</f>
        <v>https://cloud.oebiotech.com/#/lm/network/54933</v>
      </c>
      <c r="I435" s="2" t="s">
        <v>4413</v>
      </c>
      <c r="J435" s="2"/>
      <c r="K435" s="2"/>
      <c r="L435" s="2">
        <v>101957720</v>
      </c>
      <c r="M435" s="2" t="s">
        <v>4414</v>
      </c>
      <c r="N435" s="2" t="s">
        <v>811</v>
      </c>
      <c r="O435" s="2" t="s">
        <v>812</v>
      </c>
      <c r="P435" s="2"/>
      <c r="Q435" s="2"/>
      <c r="R435" s="2"/>
      <c r="S435" s="2" t="s">
        <v>4415</v>
      </c>
      <c r="T435" s="2" t="s">
        <v>4416</v>
      </c>
      <c r="U435" s="2" t="s">
        <v>4417</v>
      </c>
      <c r="V435" s="2" t="s">
        <v>553</v>
      </c>
      <c r="W435" s="2" t="s">
        <v>949</v>
      </c>
      <c r="X435" s="2" t="s">
        <v>950</v>
      </c>
      <c r="Y435" s="2" t="s">
        <v>556</v>
      </c>
      <c r="Z435" s="2" t="s">
        <v>951</v>
      </c>
      <c r="AA435" s="2" t="s">
        <v>952</v>
      </c>
      <c r="AB435" s="2" t="s">
        <v>101</v>
      </c>
      <c r="AC435" s="2">
        <v>64.319999999999993</v>
      </c>
      <c r="AD435" s="2">
        <v>95.66</v>
      </c>
      <c r="AE435" s="2">
        <v>51.94</v>
      </c>
      <c r="AF435" s="2" t="s">
        <v>4418</v>
      </c>
      <c r="AG435" s="2" t="s">
        <v>194</v>
      </c>
      <c r="AH435" s="2" t="s">
        <v>4419</v>
      </c>
      <c r="AI435" s="2">
        <v>2.73</v>
      </c>
      <c r="AJ435" s="2">
        <v>21.968418568897199</v>
      </c>
      <c r="AK435" s="2">
        <v>22.019712300376</v>
      </c>
      <c r="AL435" s="2">
        <v>21.9758511369382</v>
      </c>
      <c r="AM435" s="2">
        <v>20.789421694216099</v>
      </c>
      <c r="AN435" s="2">
        <v>21.7845084160314</v>
      </c>
      <c r="AO435" s="2">
        <v>21.740955159603999</v>
      </c>
      <c r="AP435" s="2">
        <v>21.710952614600298</v>
      </c>
      <c r="AQ435" s="2">
        <v>21.572708880492801</v>
      </c>
      <c r="AR435" s="2">
        <v>21.361248083010199</v>
      </c>
      <c r="AS435" s="2">
        <v>21.2796278547703</v>
      </c>
      <c r="AT435" s="2">
        <v>21.854377340123499</v>
      </c>
      <c r="AU435" s="2">
        <v>21.303929949300599</v>
      </c>
      <c r="AV435" s="2">
        <v>21.536536908690501</v>
      </c>
      <c r="AW435" s="2">
        <v>22.0025866618628</v>
      </c>
      <c r="AX435" s="2">
        <v>22.1119785334105</v>
      </c>
      <c r="AY435" s="2">
        <v>21.782116892865499</v>
      </c>
      <c r="AZ435" s="2">
        <v>21.452568147452499</v>
      </c>
      <c r="BA435" s="2">
        <v>22.235567097611298</v>
      </c>
      <c r="BB435" s="2">
        <v>21.6090475807916</v>
      </c>
      <c r="BC435" s="2">
        <v>21.455553180638201</v>
      </c>
      <c r="BD435" s="2">
        <v>20.245478952769801</v>
      </c>
      <c r="BE435" s="2">
        <v>22.1125455540171</v>
      </c>
      <c r="BF435" s="2">
        <v>21.564888605338801</v>
      </c>
      <c r="BG435" s="2">
        <v>22.134212421305499</v>
      </c>
      <c r="BH435" s="2">
        <v>21.817700483217099</v>
      </c>
      <c r="BI435" s="2">
        <v>21.995737358445101</v>
      </c>
      <c r="BJ435" s="2">
        <v>21.5805240174654</v>
      </c>
      <c r="BK435" s="2">
        <v>22.277118653667898</v>
      </c>
      <c r="BL435" s="2">
        <v>21.4285481357694</v>
      </c>
      <c r="BM435" s="2">
        <v>20.067052599113499</v>
      </c>
      <c r="BN435" s="2">
        <v>21.844948356691301</v>
      </c>
      <c r="BO435" s="2">
        <v>22.186223145627999</v>
      </c>
      <c r="BP435" s="2">
        <v>21.617880273188501</v>
      </c>
      <c r="BQ435" s="2">
        <v>20.770108991596999</v>
      </c>
      <c r="BR435" s="2">
        <v>22.042392609655401</v>
      </c>
      <c r="BS435" s="2">
        <v>21.8993146853539</v>
      </c>
      <c r="BT435" s="2">
        <v>21.030306398533298</v>
      </c>
      <c r="BU435" s="2">
        <v>21.7182825165232</v>
      </c>
      <c r="BV435" s="2">
        <v>21.5689584509898</v>
      </c>
      <c r="BW435" s="2">
        <v>20.939294920714399</v>
      </c>
      <c r="BX435" s="2">
        <v>21.379239042869401</v>
      </c>
      <c r="BY435" s="2">
        <v>22.467411285923301</v>
      </c>
      <c r="BZ435" s="2">
        <v>21.142982143875201</v>
      </c>
      <c r="CA435" s="2">
        <v>21.466718298612399</v>
      </c>
      <c r="CB435" s="2">
        <v>20.644200963608199</v>
      </c>
      <c r="CC435" s="2">
        <v>22.277908925426001</v>
      </c>
      <c r="CD435" s="2">
        <v>21.9971453854555</v>
      </c>
      <c r="CE435" s="2">
        <v>21.605510530311101</v>
      </c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</row>
    <row r="436" spans="1:97">
      <c r="A436" s="2" t="s">
        <v>4420</v>
      </c>
      <c r="B436" s="2">
        <v>448.34086000000002</v>
      </c>
      <c r="C436" s="2">
        <v>9.8719999999999999</v>
      </c>
      <c r="D436" s="2" t="s">
        <v>84</v>
      </c>
      <c r="E436" s="2" t="s">
        <v>4421</v>
      </c>
      <c r="F436" s="2" t="s">
        <v>4422</v>
      </c>
      <c r="G436" s="2">
        <v>255086</v>
      </c>
      <c r="H436" s="3" t="str">
        <f>HYPERLINK("https://cloud.oebiotech.com/#/lm/network/255086", "https://cloud.oebiotech.com/#/lm/network/255086")</f>
        <v>https://cloud.oebiotech.com/#/lm/network/255086</v>
      </c>
      <c r="I436" s="2" t="s">
        <v>4423</v>
      </c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 t="s">
        <v>4424</v>
      </c>
      <c r="U436" s="2" t="s">
        <v>4425</v>
      </c>
      <c r="V436" s="2" t="s">
        <v>95</v>
      </c>
      <c r="W436" s="2" t="s">
        <v>180</v>
      </c>
      <c r="X436" s="2" t="s">
        <v>181</v>
      </c>
      <c r="Y436" s="2" t="s">
        <v>98</v>
      </c>
      <c r="Z436" s="2" t="s">
        <v>182</v>
      </c>
      <c r="AA436" s="2" t="s">
        <v>183</v>
      </c>
      <c r="AB436" s="2" t="s">
        <v>101</v>
      </c>
      <c r="AC436" s="2">
        <v>64.25</v>
      </c>
      <c r="AD436" s="2">
        <v>96.76</v>
      </c>
      <c r="AE436" s="2">
        <v>55.09</v>
      </c>
      <c r="AF436" s="2" t="s">
        <v>4426</v>
      </c>
      <c r="AG436" s="2" t="s">
        <v>132</v>
      </c>
      <c r="AH436" s="2" t="s">
        <v>1557</v>
      </c>
      <c r="AI436" s="2">
        <v>2.68</v>
      </c>
      <c r="AJ436" s="2">
        <v>19.4082325567826</v>
      </c>
      <c r="AK436" s="2">
        <v>19.851764959863701</v>
      </c>
      <c r="AL436" s="2">
        <v>19.969591704598901</v>
      </c>
      <c r="AM436" s="2">
        <v>19.8630686137321</v>
      </c>
      <c r="AN436" s="2">
        <v>19.697476772605999</v>
      </c>
      <c r="AO436" s="2">
        <v>19.7462181303165</v>
      </c>
      <c r="AP436" s="2">
        <v>19.8730272155072</v>
      </c>
      <c r="AQ436" s="2">
        <v>19.708167950675801</v>
      </c>
      <c r="AR436" s="2">
        <v>20.306848623526999</v>
      </c>
      <c r="AS436" s="2">
        <v>17.296032529285998</v>
      </c>
      <c r="AT436" s="2">
        <v>20.636695903603599</v>
      </c>
      <c r="AU436" s="2">
        <v>18.349751477872701</v>
      </c>
      <c r="AV436" s="2">
        <v>20.207274868279001</v>
      </c>
      <c r="AW436" s="2">
        <v>19.7447494991683</v>
      </c>
      <c r="AX436" s="2">
        <v>19.841117213739999</v>
      </c>
      <c r="AY436" s="2">
        <v>18.258366223352301</v>
      </c>
      <c r="AZ436" s="2">
        <v>17.711031164797902</v>
      </c>
      <c r="BA436" s="2">
        <v>9.6233145402724691</v>
      </c>
      <c r="BB436" s="2">
        <v>19.220424077249699</v>
      </c>
      <c r="BC436" s="2">
        <v>21.722254910223398</v>
      </c>
      <c r="BD436" s="2">
        <v>17.456146948602701</v>
      </c>
      <c r="BE436" s="2">
        <v>18.8304105699122</v>
      </c>
      <c r="BF436" s="2">
        <v>18.306283443301201</v>
      </c>
      <c r="BG436" s="2">
        <v>19.9160644030407</v>
      </c>
      <c r="BH436" s="2">
        <v>19.7396910152865</v>
      </c>
      <c r="BI436" s="2">
        <v>20.449678501299399</v>
      </c>
      <c r="BJ436" s="2">
        <v>19.276431009015099</v>
      </c>
      <c r="BK436" s="2">
        <v>17.4587921968069</v>
      </c>
      <c r="BL436" s="2">
        <v>19.956771256575401</v>
      </c>
      <c r="BM436" s="2">
        <v>9.6233145402724691</v>
      </c>
      <c r="BN436" s="2">
        <v>18.494496982907101</v>
      </c>
      <c r="BO436" s="2">
        <v>19.150765991422901</v>
      </c>
      <c r="BP436" s="2">
        <v>20.2204359454438</v>
      </c>
      <c r="BQ436" s="2">
        <v>19.7355685674505</v>
      </c>
      <c r="BR436" s="2">
        <v>20.2730847467699</v>
      </c>
      <c r="BS436" s="2">
        <v>19.434923350058199</v>
      </c>
      <c r="BT436" s="2">
        <v>17.641191860110801</v>
      </c>
      <c r="BU436" s="2">
        <v>20.0797354440638</v>
      </c>
      <c r="BV436" s="2">
        <v>18.6273438242978</v>
      </c>
      <c r="BW436" s="2">
        <v>19.840435695252399</v>
      </c>
      <c r="BX436" s="2">
        <v>19.180066924733101</v>
      </c>
      <c r="BY436" s="2">
        <v>19.956381078046601</v>
      </c>
      <c r="BZ436" s="2">
        <v>9.6233145402724691</v>
      </c>
      <c r="CA436" s="2">
        <v>18.559216866832099</v>
      </c>
      <c r="CB436" s="2">
        <v>18.422506750554501</v>
      </c>
      <c r="CC436" s="2">
        <v>19.4788346023185</v>
      </c>
      <c r="CD436" s="2">
        <v>19.6729298095843</v>
      </c>
      <c r="CE436" s="2">
        <v>18.463090627892001</v>
      </c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</row>
    <row r="437" spans="1:97">
      <c r="A437" s="2" t="s">
        <v>4427</v>
      </c>
      <c r="B437" s="2">
        <v>237.11187000000001</v>
      </c>
      <c r="C437" s="2">
        <v>6.6390000000000002</v>
      </c>
      <c r="D437" s="2" t="s">
        <v>84</v>
      </c>
      <c r="E437" s="2" t="s">
        <v>4428</v>
      </c>
      <c r="F437" s="2" t="s">
        <v>4429</v>
      </c>
      <c r="G437" s="2">
        <v>1727</v>
      </c>
      <c r="H437" s="3" t="str">
        <f>HYPERLINK("https://cloud.oebiotech.com/#/lm/network/1727", "https://cloud.oebiotech.com/#/lm/network/1727")</f>
        <v>https://cloud.oebiotech.com/#/lm/network/1727</v>
      </c>
      <c r="I437" s="2"/>
      <c r="J437" s="2">
        <v>74530</v>
      </c>
      <c r="K437" s="2" t="s">
        <v>4430</v>
      </c>
      <c r="L437" s="2">
        <v>5282976</v>
      </c>
      <c r="M437" s="2"/>
      <c r="N437" s="2"/>
      <c r="O437" s="2"/>
      <c r="P437" s="2"/>
      <c r="Q437" s="2"/>
      <c r="R437" s="2"/>
      <c r="S437" s="2"/>
      <c r="T437" s="2" t="s">
        <v>4431</v>
      </c>
      <c r="U437" s="2" t="s">
        <v>4432</v>
      </c>
      <c r="V437" s="2" t="s">
        <v>95</v>
      </c>
      <c r="W437" s="2" t="s">
        <v>96</v>
      </c>
      <c r="X437" s="2" t="s">
        <v>97</v>
      </c>
      <c r="Y437" s="2" t="s">
        <v>98</v>
      </c>
      <c r="Z437" s="2" t="s">
        <v>99</v>
      </c>
      <c r="AA437" s="2" t="s">
        <v>100</v>
      </c>
      <c r="AB437" s="2" t="s">
        <v>101</v>
      </c>
      <c r="AC437" s="2">
        <v>64.239999999999995</v>
      </c>
      <c r="AD437" s="2">
        <v>91.75</v>
      </c>
      <c r="AE437" s="2">
        <v>57.14</v>
      </c>
      <c r="AF437" s="2" t="s">
        <v>4433</v>
      </c>
      <c r="AG437" s="2" t="s">
        <v>1088</v>
      </c>
      <c r="AH437" s="2" t="s">
        <v>1731</v>
      </c>
      <c r="AI437" s="2">
        <v>3.37</v>
      </c>
      <c r="AJ437" s="2">
        <v>19.607650708484101</v>
      </c>
      <c r="AK437" s="2">
        <v>19.801322407841301</v>
      </c>
      <c r="AL437" s="2">
        <v>19.923274393826599</v>
      </c>
      <c r="AM437" s="2">
        <v>19.851757412345801</v>
      </c>
      <c r="AN437" s="2">
        <v>19.834319845734299</v>
      </c>
      <c r="AO437" s="2">
        <v>19.446273760021999</v>
      </c>
      <c r="AP437" s="2">
        <v>19.644577867482699</v>
      </c>
      <c r="AQ437" s="2">
        <v>20.018609891953801</v>
      </c>
      <c r="AR437" s="2">
        <v>19.782615857121801</v>
      </c>
      <c r="AS437" s="2">
        <v>18.462512497189199</v>
      </c>
      <c r="AT437" s="2">
        <v>19.405213775615</v>
      </c>
      <c r="AU437" s="2">
        <v>19.171273595464399</v>
      </c>
      <c r="AV437" s="2">
        <v>18.5368930505654</v>
      </c>
      <c r="AW437" s="2">
        <v>19.2834771339406</v>
      </c>
      <c r="AX437" s="2">
        <v>19.495980357292002</v>
      </c>
      <c r="AY437" s="2">
        <v>20.169910252134802</v>
      </c>
      <c r="AZ437" s="2">
        <v>19.847768510803999</v>
      </c>
      <c r="BA437" s="2">
        <v>18.912681905845702</v>
      </c>
      <c r="BB437" s="2">
        <v>21.1035977035231</v>
      </c>
      <c r="BC437" s="2">
        <v>21.465187366793401</v>
      </c>
      <c r="BD437" s="2">
        <v>19.608304732176499</v>
      </c>
      <c r="BE437" s="2">
        <v>19.765391908712299</v>
      </c>
      <c r="BF437" s="2">
        <v>18.9142985818727</v>
      </c>
      <c r="BG437" s="2">
        <v>20.443995633904699</v>
      </c>
      <c r="BH437" s="2">
        <v>20.325518847026501</v>
      </c>
      <c r="BI437" s="2">
        <v>18.6109387124168</v>
      </c>
      <c r="BJ437" s="2">
        <v>19.3388776555026</v>
      </c>
      <c r="BK437" s="2">
        <v>19.3645696324824</v>
      </c>
      <c r="BL437" s="2">
        <v>17.677149989983501</v>
      </c>
      <c r="BM437" s="2">
        <v>19.2245088060901</v>
      </c>
      <c r="BN437" s="2">
        <v>18.255564214420001</v>
      </c>
      <c r="BO437" s="2">
        <v>20.8851468717912</v>
      </c>
      <c r="BP437" s="2">
        <v>17.9878124139987</v>
      </c>
      <c r="BQ437" s="2">
        <v>19.159020091484098</v>
      </c>
      <c r="BR437" s="2">
        <v>19.469820907002699</v>
      </c>
      <c r="BS437" s="2">
        <v>20.348089521464601</v>
      </c>
      <c r="BT437" s="2">
        <v>20.144891000713201</v>
      </c>
      <c r="BU437" s="2">
        <v>19.048673116420598</v>
      </c>
      <c r="BV437" s="2">
        <v>19.1551752040514</v>
      </c>
      <c r="BW437" s="2">
        <v>19.895496915357999</v>
      </c>
      <c r="BX437" s="2">
        <v>19.1325578660148</v>
      </c>
      <c r="BY437" s="2">
        <v>19.986883605459902</v>
      </c>
      <c r="BZ437" s="2">
        <v>19.332521869701502</v>
      </c>
      <c r="CA437" s="2">
        <v>18.940928928601501</v>
      </c>
      <c r="CB437" s="2">
        <v>18.8888102732618</v>
      </c>
      <c r="CC437" s="2">
        <v>17.960084821732899</v>
      </c>
      <c r="CD437" s="2">
        <v>20.062983589601298</v>
      </c>
      <c r="CE437" s="2">
        <v>19.4178647292633</v>
      </c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</row>
    <row r="438" spans="1:97">
      <c r="A438" s="2" t="s">
        <v>4434</v>
      </c>
      <c r="B438" s="2">
        <v>445.29523</v>
      </c>
      <c r="C438" s="2">
        <v>9.641</v>
      </c>
      <c r="D438" s="2" t="s">
        <v>146</v>
      </c>
      <c r="E438" s="2" t="s">
        <v>4435</v>
      </c>
      <c r="F438" s="2" t="s">
        <v>4436</v>
      </c>
      <c r="G438" s="2">
        <v>58262</v>
      </c>
      <c r="H438" s="3" t="str">
        <f>HYPERLINK("https://cloud.oebiotech.com/#/lm/network/58262", "https://cloud.oebiotech.com/#/lm/network/58262")</f>
        <v>https://cloud.oebiotech.com/#/lm/network/58262</v>
      </c>
      <c r="I438" s="2" t="s">
        <v>4437</v>
      </c>
      <c r="J438" s="2">
        <v>89765</v>
      </c>
      <c r="K438" s="2"/>
      <c r="L438" s="2">
        <v>627910</v>
      </c>
      <c r="M438" s="2"/>
      <c r="N438" s="2"/>
      <c r="O438" s="2"/>
      <c r="P438" s="2"/>
      <c r="Q438" s="2"/>
      <c r="R438" s="2"/>
      <c r="S438" s="2"/>
      <c r="T438" s="2" t="s">
        <v>4438</v>
      </c>
      <c r="U438" s="2" t="s">
        <v>4439</v>
      </c>
      <c r="V438" s="2" t="s">
        <v>95</v>
      </c>
      <c r="W438" s="2" t="s">
        <v>152</v>
      </c>
      <c r="X438" s="2" t="s">
        <v>4440</v>
      </c>
      <c r="Y438" s="2" t="s">
        <v>98</v>
      </c>
      <c r="Z438" s="2" t="s">
        <v>154</v>
      </c>
      <c r="AA438" s="2" t="s">
        <v>4441</v>
      </c>
      <c r="AB438" s="2" t="s">
        <v>101</v>
      </c>
      <c r="AC438" s="2">
        <v>64.23</v>
      </c>
      <c r="AD438" s="2">
        <v>81.87</v>
      </c>
      <c r="AE438" s="2">
        <v>57.37</v>
      </c>
      <c r="AF438" s="2" t="s">
        <v>4442</v>
      </c>
      <c r="AG438" s="2" t="s">
        <v>194</v>
      </c>
      <c r="AH438" s="2" t="s">
        <v>4443</v>
      </c>
      <c r="AI438" s="2">
        <v>1.8</v>
      </c>
      <c r="AJ438" s="2">
        <v>17.670693657472501</v>
      </c>
      <c r="AK438" s="2">
        <v>17.250307671616401</v>
      </c>
      <c r="AL438" s="2">
        <v>17.401117259282</v>
      </c>
      <c r="AM438" s="2">
        <v>16.904115248286399</v>
      </c>
      <c r="AN438" s="2">
        <v>17.455745328697802</v>
      </c>
      <c r="AO438" s="2">
        <v>17.251827990257699</v>
      </c>
      <c r="AP438" s="2">
        <v>17.4939510390024</v>
      </c>
      <c r="AQ438" s="2">
        <v>16.991136829496099</v>
      </c>
      <c r="AR438" s="2">
        <v>16.758580694545898</v>
      </c>
      <c r="AS438" s="2">
        <v>15.057909672220701</v>
      </c>
      <c r="AT438" s="2">
        <v>17.511703091153599</v>
      </c>
      <c r="AU438" s="2">
        <v>17.377268325167101</v>
      </c>
      <c r="AV438" s="2">
        <v>16.928820678501602</v>
      </c>
      <c r="AW438" s="2">
        <v>16.5563416944679</v>
      </c>
      <c r="AX438" s="2">
        <v>18.302126771818301</v>
      </c>
      <c r="AY438" s="2">
        <v>17.5297117693</v>
      </c>
      <c r="AZ438" s="2">
        <v>16.055468226455599</v>
      </c>
      <c r="BA438" s="2">
        <v>15.383778531046</v>
      </c>
      <c r="BB438" s="2">
        <v>18.3048903954063</v>
      </c>
      <c r="BC438" s="2">
        <v>18.762449650478501</v>
      </c>
      <c r="BD438" s="2">
        <v>15.9665671850991</v>
      </c>
      <c r="BE438" s="2">
        <v>17.738212290043201</v>
      </c>
      <c r="BF438" s="2">
        <v>16.722140984425302</v>
      </c>
      <c r="BG438" s="2">
        <v>18.6060858428418</v>
      </c>
      <c r="BH438" s="2">
        <v>17.895441916857099</v>
      </c>
      <c r="BI438" s="2">
        <v>18.396603819630101</v>
      </c>
      <c r="BJ438" s="2">
        <v>18.454186016275099</v>
      </c>
      <c r="BK438" s="2">
        <v>16.398065098347701</v>
      </c>
      <c r="BL438" s="2">
        <v>15.3924089971943</v>
      </c>
      <c r="BM438" s="2">
        <v>16.132173761005902</v>
      </c>
      <c r="BN438" s="2">
        <v>17.4080566053909</v>
      </c>
      <c r="BO438" s="2">
        <v>17.615601405177401</v>
      </c>
      <c r="BP438" s="2">
        <v>16.210233560955501</v>
      </c>
      <c r="BQ438" s="2">
        <v>17.716448801607001</v>
      </c>
      <c r="BR438" s="2">
        <v>19.037616605470401</v>
      </c>
      <c r="BS438" s="2">
        <v>17.643655762406301</v>
      </c>
      <c r="BT438" s="2">
        <v>16.064096033801</v>
      </c>
      <c r="BU438" s="2">
        <v>16.7978127273647</v>
      </c>
      <c r="BV438" s="2">
        <v>17.5634908688553</v>
      </c>
      <c r="BW438" s="2">
        <v>16.1376245944559</v>
      </c>
      <c r="BX438" s="2">
        <v>15.399172763110199</v>
      </c>
      <c r="BY438" s="2">
        <v>17.6239861256079</v>
      </c>
      <c r="BZ438" s="2">
        <v>15.7404606675218</v>
      </c>
      <c r="CA438" s="2">
        <v>13.7611720180871</v>
      </c>
      <c r="CB438" s="2">
        <v>17.2035279080092</v>
      </c>
      <c r="CC438" s="2">
        <v>18.287737355991101</v>
      </c>
      <c r="CD438" s="2">
        <v>16.578831421864901</v>
      </c>
      <c r="CE438" s="2">
        <v>17.142715765328202</v>
      </c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</row>
    <row r="439" spans="1:97">
      <c r="A439" s="2" t="s">
        <v>4444</v>
      </c>
      <c r="B439" s="2">
        <v>464.28250000000003</v>
      </c>
      <c r="C439" s="2">
        <v>8.3170000000000002</v>
      </c>
      <c r="D439" s="2" t="s">
        <v>84</v>
      </c>
      <c r="E439" s="2" t="s">
        <v>4445</v>
      </c>
      <c r="F439" s="2" t="s">
        <v>4446</v>
      </c>
      <c r="G439" s="2">
        <v>205938</v>
      </c>
      <c r="H439" s="3" t="str">
        <f>HYPERLINK("https://cloud.oebiotech.com/#/lm/network/205938", "https://cloud.oebiotech.com/#/lm/network/205938")</f>
        <v>https://cloud.oebiotech.com/#/lm/network/205938</v>
      </c>
      <c r="I439" s="2" t="s">
        <v>4447</v>
      </c>
      <c r="J439" s="2"/>
      <c r="K439" s="2"/>
      <c r="L439" s="2">
        <v>3064</v>
      </c>
      <c r="M439" s="2"/>
      <c r="N439" s="2"/>
      <c r="O439" s="2"/>
      <c r="P439" s="2"/>
      <c r="Q439" s="2"/>
      <c r="R439" s="2"/>
      <c r="S439" s="2"/>
      <c r="T439" s="2" t="s">
        <v>4448</v>
      </c>
      <c r="U439" s="2" t="s">
        <v>4449</v>
      </c>
      <c r="V439" s="2" t="s">
        <v>374</v>
      </c>
      <c r="W439" s="2" t="s">
        <v>4450</v>
      </c>
      <c r="X439" s="2" t="s">
        <v>4451</v>
      </c>
      <c r="Y439" s="2" t="s">
        <v>376</v>
      </c>
      <c r="Z439" s="2" t="s">
        <v>4452</v>
      </c>
      <c r="AA439" s="2" t="s">
        <v>4452</v>
      </c>
      <c r="AB439" s="2" t="s">
        <v>101</v>
      </c>
      <c r="AC439" s="2">
        <v>64.209999999999994</v>
      </c>
      <c r="AD439" s="2">
        <v>95.17</v>
      </c>
      <c r="AE439" s="2">
        <v>70.94</v>
      </c>
      <c r="AF439" s="2" t="s">
        <v>4453</v>
      </c>
      <c r="AG439" s="2" t="s">
        <v>1088</v>
      </c>
      <c r="AH439" s="2" t="s">
        <v>4454</v>
      </c>
      <c r="AI439" s="2">
        <v>-5.17</v>
      </c>
      <c r="AJ439" s="2">
        <v>20.8577379045703</v>
      </c>
      <c r="AK439" s="2">
        <v>20.770020817216601</v>
      </c>
      <c r="AL439" s="2">
        <v>20.171965397082101</v>
      </c>
      <c r="AM439" s="2">
        <v>20.685906460299499</v>
      </c>
      <c r="AN439" s="2">
        <v>20.703851567197301</v>
      </c>
      <c r="AO439" s="2">
        <v>20.916019808062899</v>
      </c>
      <c r="AP439" s="2">
        <v>20.3419511087606</v>
      </c>
      <c r="AQ439" s="2">
        <v>20.708441854195499</v>
      </c>
      <c r="AR439" s="2">
        <v>19.393058342095301</v>
      </c>
      <c r="AS439" s="2">
        <v>13.9109555927408</v>
      </c>
      <c r="AT439" s="2">
        <v>19.6609361408807</v>
      </c>
      <c r="AU439" s="2">
        <v>19.862734614042299</v>
      </c>
      <c r="AV439" s="2">
        <v>18.405180986095399</v>
      </c>
      <c r="AW439" s="2">
        <v>23.0458586579295</v>
      </c>
      <c r="AX439" s="2">
        <v>18.019724172346098</v>
      </c>
      <c r="AY439" s="2">
        <v>21.091437123211801</v>
      </c>
      <c r="AZ439" s="2">
        <v>20.208214338501499</v>
      </c>
      <c r="BA439" s="2">
        <v>15.4656059406417</v>
      </c>
      <c r="BB439" s="2">
        <v>23.266023359862601</v>
      </c>
      <c r="BC439" s="2">
        <v>18.901300018320999</v>
      </c>
      <c r="BD439" s="2">
        <v>18.449521517535899</v>
      </c>
      <c r="BE439" s="2">
        <v>19.541461989541499</v>
      </c>
      <c r="BF439" s="2">
        <v>18.686136976178201</v>
      </c>
      <c r="BG439" s="2">
        <v>15.0730587006829</v>
      </c>
      <c r="BH439" s="2">
        <v>20.562840851255899</v>
      </c>
      <c r="BI439" s="2">
        <v>15.5827415095477</v>
      </c>
      <c r="BJ439" s="2">
        <v>18.262246510186198</v>
      </c>
      <c r="BK439" s="2">
        <v>20.850612652467699</v>
      </c>
      <c r="BL439" s="2">
        <v>9.6233145402724691</v>
      </c>
      <c r="BM439" s="2">
        <v>21.734251900788699</v>
      </c>
      <c r="BN439" s="2">
        <v>21.275445175704402</v>
      </c>
      <c r="BO439" s="2">
        <v>19.445411198627301</v>
      </c>
      <c r="BP439" s="2">
        <v>9.6233145402724691</v>
      </c>
      <c r="BQ439" s="2">
        <v>19.146059598612698</v>
      </c>
      <c r="BR439" s="2">
        <v>19.821793892992499</v>
      </c>
      <c r="BS439" s="2">
        <v>19.863736109041</v>
      </c>
      <c r="BT439" s="2">
        <v>19.364469177564199</v>
      </c>
      <c r="BU439" s="2">
        <v>15.0172077238336</v>
      </c>
      <c r="BV439" s="2">
        <v>22.488895342766</v>
      </c>
      <c r="BW439" s="2">
        <v>17.133349753498099</v>
      </c>
      <c r="BX439" s="2">
        <v>18.8847695496993</v>
      </c>
      <c r="BY439" s="2">
        <v>19.888525048908601</v>
      </c>
      <c r="BZ439" s="2">
        <v>19.569645799441499</v>
      </c>
      <c r="CA439" s="2">
        <v>20.035384530291399</v>
      </c>
      <c r="CB439" s="2">
        <v>18.755011361044801</v>
      </c>
      <c r="CC439" s="2">
        <v>15.448196983576</v>
      </c>
      <c r="CD439" s="2">
        <v>18.5646674635145</v>
      </c>
      <c r="CE439" s="2">
        <v>17.875062067275199</v>
      </c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</row>
    <row r="440" spans="1:97">
      <c r="A440" s="2" t="s">
        <v>4455</v>
      </c>
      <c r="B440" s="2">
        <v>477.32150000000001</v>
      </c>
      <c r="C440" s="2">
        <v>10.557</v>
      </c>
      <c r="D440" s="2" t="s">
        <v>146</v>
      </c>
      <c r="E440" s="2" t="s">
        <v>4456</v>
      </c>
      <c r="F440" s="2" t="s">
        <v>4457</v>
      </c>
      <c r="G440" s="2">
        <v>46454</v>
      </c>
      <c r="H440" s="3" t="str">
        <f>HYPERLINK("https://cloud.oebiotech.com/#/lm/network/46454", "https://cloud.oebiotech.com/#/lm/network/46454")</f>
        <v>https://cloud.oebiotech.com/#/lm/network/46454</v>
      </c>
      <c r="I440" s="2"/>
      <c r="J440" s="2"/>
      <c r="K440" s="2" t="s">
        <v>4458</v>
      </c>
      <c r="L440" s="2">
        <v>24779658</v>
      </c>
      <c r="M440" s="2"/>
      <c r="N440" s="2"/>
      <c r="O440" s="2"/>
      <c r="P440" s="2"/>
      <c r="Q440" s="2"/>
      <c r="R440" s="2"/>
      <c r="S440" s="2"/>
      <c r="T440" s="2" t="s">
        <v>4459</v>
      </c>
      <c r="U440" s="2" t="s">
        <v>4460</v>
      </c>
      <c r="V440" s="2" t="s">
        <v>95</v>
      </c>
      <c r="W440" s="2" t="s">
        <v>152</v>
      </c>
      <c r="X440" s="2" t="s">
        <v>278</v>
      </c>
      <c r="Y440" s="2" t="s">
        <v>98</v>
      </c>
      <c r="Z440" s="2" t="s">
        <v>154</v>
      </c>
      <c r="AA440" s="2" t="s">
        <v>279</v>
      </c>
      <c r="AB440" s="2" t="s">
        <v>101</v>
      </c>
      <c r="AC440" s="2">
        <v>64.180000000000007</v>
      </c>
      <c r="AD440" s="2">
        <v>94.36</v>
      </c>
      <c r="AE440" s="2">
        <v>49.89</v>
      </c>
      <c r="AF440" s="2" t="s">
        <v>4461</v>
      </c>
      <c r="AG440" s="2" t="s">
        <v>157</v>
      </c>
      <c r="AH440" s="2" t="s">
        <v>1709</v>
      </c>
      <c r="AI440" s="2">
        <v>1.47</v>
      </c>
      <c r="AJ440" s="2">
        <v>19.690505454874899</v>
      </c>
      <c r="AK440" s="2">
        <v>19.5675054598467</v>
      </c>
      <c r="AL440" s="2">
        <v>19.437810112619999</v>
      </c>
      <c r="AM440" s="2">
        <v>19.6288880729897</v>
      </c>
      <c r="AN440" s="2">
        <v>19.429444358884801</v>
      </c>
      <c r="AO440" s="2">
        <v>19.4728020781255</v>
      </c>
      <c r="AP440" s="2">
        <v>19.536848953132999</v>
      </c>
      <c r="AQ440" s="2">
        <v>19.7156200990512</v>
      </c>
      <c r="AR440" s="2">
        <v>18.312501487747198</v>
      </c>
      <c r="AS440" s="2">
        <v>18.684441715161299</v>
      </c>
      <c r="AT440" s="2">
        <v>19.6641663488939</v>
      </c>
      <c r="AU440" s="2">
        <v>18.837200000753999</v>
      </c>
      <c r="AV440" s="2">
        <v>19.2580402468842</v>
      </c>
      <c r="AW440" s="2">
        <v>19.293704886936599</v>
      </c>
      <c r="AX440" s="2">
        <v>19.139534715506201</v>
      </c>
      <c r="AY440" s="2">
        <v>18.224022500997201</v>
      </c>
      <c r="AZ440" s="2">
        <v>18.6349800352126</v>
      </c>
      <c r="BA440" s="2">
        <v>19.2442286551085</v>
      </c>
      <c r="BB440" s="2">
        <v>19.332659972301901</v>
      </c>
      <c r="BC440" s="2">
        <v>19.5933413870364</v>
      </c>
      <c r="BD440" s="2">
        <v>18.444374582277302</v>
      </c>
      <c r="BE440" s="2">
        <v>19.809189908197201</v>
      </c>
      <c r="BF440" s="2">
        <v>19.053663299311399</v>
      </c>
      <c r="BG440" s="2">
        <v>19.308000903312799</v>
      </c>
      <c r="BH440" s="2">
        <v>18.944286259986701</v>
      </c>
      <c r="BI440" s="2">
        <v>18.767572365431199</v>
      </c>
      <c r="BJ440" s="2">
        <v>19.6995469694983</v>
      </c>
      <c r="BK440" s="2">
        <v>18.653800910735701</v>
      </c>
      <c r="BL440" s="2">
        <v>19.5278421809669</v>
      </c>
      <c r="BM440" s="2">
        <v>19.733561933823299</v>
      </c>
      <c r="BN440" s="2">
        <v>19.947479220163999</v>
      </c>
      <c r="BO440" s="2">
        <v>19.357051721866998</v>
      </c>
      <c r="BP440" s="2">
        <v>20.0195517596248</v>
      </c>
      <c r="BQ440" s="2">
        <v>19.579865168035699</v>
      </c>
      <c r="BR440" s="2">
        <v>20.001199609816599</v>
      </c>
      <c r="BS440" s="2">
        <v>18.8203658141828</v>
      </c>
      <c r="BT440" s="2">
        <v>19.7913667326821</v>
      </c>
      <c r="BU440" s="2">
        <v>19.9220101817913</v>
      </c>
      <c r="BV440" s="2">
        <v>19.690957653352001</v>
      </c>
      <c r="BW440" s="2">
        <v>18.647341670746201</v>
      </c>
      <c r="BX440" s="2">
        <v>19.049548000984601</v>
      </c>
      <c r="BY440" s="2">
        <v>20.185363624237802</v>
      </c>
      <c r="BZ440" s="2">
        <v>19.046348579083599</v>
      </c>
      <c r="CA440" s="2">
        <v>19.5259644335319</v>
      </c>
      <c r="CB440" s="2">
        <v>19.1669708116214</v>
      </c>
      <c r="CC440" s="2">
        <v>18.9929049595202</v>
      </c>
      <c r="CD440" s="2">
        <v>19.651151991670599</v>
      </c>
      <c r="CE440" s="2">
        <v>19.595383027670401</v>
      </c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</row>
    <row r="441" spans="1:97">
      <c r="A441" s="2" t="s">
        <v>4462</v>
      </c>
      <c r="B441" s="2">
        <v>244.07886999999999</v>
      </c>
      <c r="C441" s="2">
        <v>0.72599999999999998</v>
      </c>
      <c r="D441" s="2" t="s">
        <v>84</v>
      </c>
      <c r="E441" s="2" t="s">
        <v>4463</v>
      </c>
      <c r="F441" s="2" t="s">
        <v>4464</v>
      </c>
      <c r="G441" s="2">
        <v>209321</v>
      </c>
      <c r="H441" s="3" t="str">
        <f>HYPERLINK("https://cloud.oebiotech.com/#/lm/network/209321", "https://cloud.oebiotech.com/#/lm/network/209321")</f>
        <v>https://cloud.oebiotech.com/#/lm/network/209321</v>
      </c>
      <c r="I441" s="2" t="s">
        <v>4465</v>
      </c>
      <c r="J441" s="2"/>
      <c r="K441" s="2"/>
      <c r="L441" s="2">
        <v>76090650</v>
      </c>
      <c r="M441" s="2"/>
      <c r="N441" s="2"/>
      <c r="O441" s="2"/>
      <c r="P441" s="2"/>
      <c r="Q441" s="2"/>
      <c r="R441" s="2"/>
      <c r="S441" s="2"/>
      <c r="T441" s="2" t="s">
        <v>4466</v>
      </c>
      <c r="U441" s="2" t="s">
        <v>4467</v>
      </c>
      <c r="V441" s="2" t="s">
        <v>338</v>
      </c>
      <c r="W441" s="2" t="s">
        <v>339</v>
      </c>
      <c r="X441" s="2" t="s">
        <v>663</v>
      </c>
      <c r="Y441" s="2" t="s">
        <v>341</v>
      </c>
      <c r="Z441" s="2" t="s">
        <v>341</v>
      </c>
      <c r="AA441" s="2" t="s">
        <v>664</v>
      </c>
      <c r="AB441" s="2" t="s">
        <v>101</v>
      </c>
      <c r="AC441" s="2">
        <v>64.12</v>
      </c>
      <c r="AD441" s="2">
        <v>73.13</v>
      </c>
      <c r="AE441" s="2">
        <v>61.64</v>
      </c>
      <c r="AF441" s="2" t="s">
        <v>4468</v>
      </c>
      <c r="AG441" s="2" t="s">
        <v>1578</v>
      </c>
      <c r="AH441" s="2" t="s">
        <v>4063</v>
      </c>
      <c r="AI441" s="2">
        <v>1.23</v>
      </c>
      <c r="AJ441" s="2">
        <v>20.889987061416502</v>
      </c>
      <c r="AK441" s="2">
        <v>20.9987997843171</v>
      </c>
      <c r="AL441" s="2">
        <v>21.010107005243601</v>
      </c>
      <c r="AM441" s="2">
        <v>20.9949701811795</v>
      </c>
      <c r="AN441" s="2">
        <v>21.144355152041701</v>
      </c>
      <c r="AO441" s="2">
        <v>21.391168034453699</v>
      </c>
      <c r="AP441" s="2">
        <v>21.1487844179529</v>
      </c>
      <c r="AQ441" s="2">
        <v>21.2043345640338</v>
      </c>
      <c r="AR441" s="2">
        <v>20.568461383840202</v>
      </c>
      <c r="AS441" s="2">
        <v>20.0865743764831</v>
      </c>
      <c r="AT441" s="2">
        <v>20.483447236747701</v>
      </c>
      <c r="AU441" s="2">
        <v>20.640413815611101</v>
      </c>
      <c r="AV441" s="2">
        <v>21.145192293160001</v>
      </c>
      <c r="AW441" s="2">
        <v>20.816797402974899</v>
      </c>
      <c r="AX441" s="2">
        <v>20.319865074149199</v>
      </c>
      <c r="AY441" s="2">
        <v>20.944438950855599</v>
      </c>
      <c r="AZ441" s="2">
        <v>21.241410862630399</v>
      </c>
      <c r="BA441" s="2">
        <v>20.764766503753801</v>
      </c>
      <c r="BB441" s="2">
        <v>20.5781495381745</v>
      </c>
      <c r="BC441" s="2">
        <v>20.509811163242698</v>
      </c>
      <c r="BD441" s="2">
        <v>21.751524866623399</v>
      </c>
      <c r="BE441" s="2">
        <v>21.3826728247743</v>
      </c>
      <c r="BF441" s="2">
        <v>21.0915899224449</v>
      </c>
      <c r="BG441" s="2">
        <v>20.440644185081901</v>
      </c>
      <c r="BH441" s="2">
        <v>20.376378425167999</v>
      </c>
      <c r="BI441" s="2">
        <v>21.0860544116459</v>
      </c>
      <c r="BJ441" s="2">
        <v>21.334987971209902</v>
      </c>
      <c r="BK441" s="2">
        <v>21.711545319004401</v>
      </c>
      <c r="BL441" s="2">
        <v>20.840133519681</v>
      </c>
      <c r="BM441" s="2">
        <v>20.870392197034001</v>
      </c>
      <c r="BN441" s="2">
        <v>21.141407733322801</v>
      </c>
      <c r="BO441" s="2">
        <v>20.600234915483998</v>
      </c>
      <c r="BP441" s="2">
        <v>21.144137123796899</v>
      </c>
      <c r="BQ441" s="2">
        <v>20.7663731952942</v>
      </c>
      <c r="BR441" s="2">
        <v>20.393894204500601</v>
      </c>
      <c r="BS441" s="2">
        <v>21.6541585203483</v>
      </c>
      <c r="BT441" s="2">
        <v>20.904365968375</v>
      </c>
      <c r="BU441" s="2">
        <v>20.7127675062506</v>
      </c>
      <c r="BV441" s="2">
        <v>20.933123187496399</v>
      </c>
      <c r="BW441" s="2">
        <v>20.979107788666401</v>
      </c>
      <c r="BX441" s="2">
        <v>21.025418681828501</v>
      </c>
      <c r="BY441" s="2">
        <v>21.317942442648199</v>
      </c>
      <c r="BZ441" s="2">
        <v>21.1987847937759</v>
      </c>
      <c r="CA441" s="2">
        <v>22.149374650990801</v>
      </c>
      <c r="CB441" s="2">
        <v>20.9400602988181</v>
      </c>
      <c r="CC441" s="2">
        <v>20.891281312289902</v>
      </c>
      <c r="CD441" s="2">
        <v>21.732082790876301</v>
      </c>
      <c r="CE441" s="2">
        <v>21.397522974352501</v>
      </c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</row>
    <row r="442" spans="1:97">
      <c r="A442" s="2" t="s">
        <v>4469</v>
      </c>
      <c r="B442" s="2">
        <v>473.36291</v>
      </c>
      <c r="C442" s="2">
        <v>13.497999999999999</v>
      </c>
      <c r="D442" s="2" t="s">
        <v>146</v>
      </c>
      <c r="E442" s="2" t="s">
        <v>4470</v>
      </c>
      <c r="F442" s="2" t="s">
        <v>4471</v>
      </c>
      <c r="G442" s="2">
        <v>45579</v>
      </c>
      <c r="H442" s="3" t="str">
        <f>HYPERLINK("https://cloud.oebiotech.com/#/lm/network/45579", "https://cloud.oebiotech.com/#/lm/network/45579")</f>
        <v>https://cloud.oebiotech.com/#/lm/network/45579</v>
      </c>
      <c r="I442" s="2"/>
      <c r="J442" s="2"/>
      <c r="K442" s="2" t="s">
        <v>4472</v>
      </c>
      <c r="L442" s="2">
        <v>9547522</v>
      </c>
      <c r="M442" s="2"/>
      <c r="N442" s="2"/>
      <c r="O442" s="2"/>
      <c r="P442" s="2"/>
      <c r="Q442" s="2"/>
      <c r="R442" s="2"/>
      <c r="S442" s="2"/>
      <c r="T442" s="2" t="s">
        <v>4473</v>
      </c>
      <c r="U442" s="2" t="s">
        <v>4474</v>
      </c>
      <c r="V442" s="2" t="s">
        <v>95</v>
      </c>
      <c r="W442" s="2" t="s">
        <v>152</v>
      </c>
      <c r="X442" s="2" t="s">
        <v>1484</v>
      </c>
      <c r="Y442" s="2" t="s">
        <v>98</v>
      </c>
      <c r="Z442" s="2" t="s">
        <v>154</v>
      </c>
      <c r="AA442" s="2" t="s">
        <v>1485</v>
      </c>
      <c r="AB442" s="2" t="s">
        <v>3086</v>
      </c>
      <c r="AC442" s="2">
        <v>64.09</v>
      </c>
      <c r="AD442" s="2">
        <v>95.01</v>
      </c>
      <c r="AE442" s="2">
        <v>42.33</v>
      </c>
      <c r="AF442" s="2" t="s">
        <v>4475</v>
      </c>
      <c r="AG442" s="2" t="s">
        <v>157</v>
      </c>
      <c r="AH442" s="2" t="s">
        <v>4476</v>
      </c>
      <c r="AI442" s="2">
        <v>1.48</v>
      </c>
      <c r="AJ442" s="2">
        <v>20.068459381553701</v>
      </c>
      <c r="AK442" s="2">
        <v>19.484666089871101</v>
      </c>
      <c r="AL442" s="2">
        <v>19.427817722783701</v>
      </c>
      <c r="AM442" s="2">
        <v>19.354409182705801</v>
      </c>
      <c r="AN442" s="2">
        <v>19.891628584399999</v>
      </c>
      <c r="AO442" s="2">
        <v>19.5386648225521</v>
      </c>
      <c r="AP442" s="2">
        <v>19.725432797527599</v>
      </c>
      <c r="AQ442" s="2">
        <v>19.532090734317499</v>
      </c>
      <c r="AR442" s="2">
        <v>18.7969774386065</v>
      </c>
      <c r="AS442" s="2">
        <v>18.2451163278851</v>
      </c>
      <c r="AT442" s="2">
        <v>19.521790904146599</v>
      </c>
      <c r="AU442" s="2">
        <v>19.3392690700359</v>
      </c>
      <c r="AV442" s="2">
        <v>18.936574566678999</v>
      </c>
      <c r="AW442" s="2">
        <v>18.521248157079</v>
      </c>
      <c r="AX442" s="2">
        <v>19.4378280503981</v>
      </c>
      <c r="AY442" s="2">
        <v>19.489640120695999</v>
      </c>
      <c r="AZ442" s="2">
        <v>19.524115142401602</v>
      </c>
      <c r="BA442" s="2">
        <v>19.217331100296001</v>
      </c>
      <c r="BB442" s="2">
        <v>19.195592997443899</v>
      </c>
      <c r="BC442" s="2">
        <v>21.193462813693401</v>
      </c>
      <c r="BD442" s="2">
        <v>18.663142988942901</v>
      </c>
      <c r="BE442" s="2">
        <v>19.093230690057698</v>
      </c>
      <c r="BF442" s="2">
        <v>17.874364668758702</v>
      </c>
      <c r="BG442" s="2">
        <v>19.133022370916802</v>
      </c>
      <c r="BH442" s="2">
        <v>18.670721419237498</v>
      </c>
      <c r="BI442" s="2">
        <v>19.458534037820499</v>
      </c>
      <c r="BJ442" s="2">
        <v>19.2752044757591</v>
      </c>
      <c r="BK442" s="2">
        <v>17.248384400803801</v>
      </c>
      <c r="BL442" s="2">
        <v>19.6430088683829</v>
      </c>
      <c r="BM442" s="2">
        <v>18.910061407508199</v>
      </c>
      <c r="BN442" s="2">
        <v>18.481541947842601</v>
      </c>
      <c r="BO442" s="2">
        <v>19.567945383466</v>
      </c>
      <c r="BP442" s="2">
        <v>18.775222010432898</v>
      </c>
      <c r="BQ442" s="2">
        <v>18.3658800564411</v>
      </c>
      <c r="BR442" s="2">
        <v>19.3665033509286</v>
      </c>
      <c r="BS442" s="2">
        <v>19.709513970779302</v>
      </c>
      <c r="BT442" s="2">
        <v>19.432831150927601</v>
      </c>
      <c r="BU442" s="2">
        <v>19.075940207154499</v>
      </c>
      <c r="BV442" s="2">
        <v>19.663030658636</v>
      </c>
      <c r="BW442" s="2">
        <v>18.264338407931401</v>
      </c>
      <c r="BX442" s="2">
        <v>19.191632921522199</v>
      </c>
      <c r="BY442" s="2">
        <v>19.586227848037801</v>
      </c>
      <c r="BZ442" s="2">
        <v>17.710227028178899</v>
      </c>
      <c r="CA442" s="2">
        <v>17.4321868429349</v>
      </c>
      <c r="CB442" s="2">
        <v>19.5805827487508</v>
      </c>
      <c r="CC442" s="2">
        <v>19.243873093743399</v>
      </c>
      <c r="CD442" s="2">
        <v>20.193838709443199</v>
      </c>
      <c r="CE442" s="2">
        <v>19.348323216736802</v>
      </c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</row>
    <row r="443" spans="1:97">
      <c r="A443" s="2" t="s">
        <v>4477</v>
      </c>
      <c r="B443" s="2">
        <v>229.14411999999999</v>
      </c>
      <c r="C443" s="2">
        <v>7.41</v>
      </c>
      <c r="D443" s="2" t="s">
        <v>146</v>
      </c>
      <c r="E443" s="2" t="s">
        <v>4478</v>
      </c>
      <c r="F443" s="2" t="s">
        <v>4479</v>
      </c>
      <c r="G443" s="2">
        <v>257474</v>
      </c>
      <c r="H443" s="3" t="str">
        <f>HYPERLINK("https://cloud.oebiotech.com/#/lm/network/257474", "https://cloud.oebiotech.com/#/lm/network/257474")</f>
        <v>https://cloud.oebiotech.com/#/lm/network/257474</v>
      </c>
      <c r="I443" s="2" t="s">
        <v>4480</v>
      </c>
      <c r="J443" s="2"/>
      <c r="K443" s="2"/>
      <c r="L443" s="2">
        <v>102328483</v>
      </c>
      <c r="M443" s="2"/>
      <c r="N443" s="2"/>
      <c r="O443" s="2"/>
      <c r="P443" s="2"/>
      <c r="Q443" s="2"/>
      <c r="R443" s="2"/>
      <c r="S443" s="2"/>
      <c r="T443" s="2" t="s">
        <v>4481</v>
      </c>
      <c r="U443" s="2" t="s">
        <v>4482</v>
      </c>
      <c r="V443" s="2" t="s">
        <v>553</v>
      </c>
      <c r="W443" s="2" t="s">
        <v>4483</v>
      </c>
      <c r="X443" s="2" t="s">
        <v>375</v>
      </c>
      <c r="Y443" s="2" t="s">
        <v>556</v>
      </c>
      <c r="Z443" s="2" t="s">
        <v>1467</v>
      </c>
      <c r="AA443" s="2"/>
      <c r="AB443" s="2" t="s">
        <v>101</v>
      </c>
      <c r="AC443" s="2">
        <v>64.08</v>
      </c>
      <c r="AD443" s="2">
        <v>92.12</v>
      </c>
      <c r="AE443" s="2">
        <v>54.45</v>
      </c>
      <c r="AF443" s="2" t="s">
        <v>4484</v>
      </c>
      <c r="AG443" s="2" t="s">
        <v>157</v>
      </c>
      <c r="AH443" s="2" t="s">
        <v>4485</v>
      </c>
      <c r="AI443" s="2">
        <v>1.75</v>
      </c>
      <c r="AJ443" s="2">
        <v>19.6838255503521</v>
      </c>
      <c r="AK443" s="2">
        <v>19.265699096257801</v>
      </c>
      <c r="AL443" s="2">
        <v>19.766122977052198</v>
      </c>
      <c r="AM443" s="2">
        <v>19.754969293264899</v>
      </c>
      <c r="AN443" s="2">
        <v>19.416245061815101</v>
      </c>
      <c r="AO443" s="2">
        <v>19.738902337195402</v>
      </c>
      <c r="AP443" s="2">
        <v>19.5860413411203</v>
      </c>
      <c r="AQ443" s="2">
        <v>19.6996680812581</v>
      </c>
      <c r="AR443" s="2">
        <v>18.5049342922009</v>
      </c>
      <c r="AS443" s="2">
        <v>17.8309592342992</v>
      </c>
      <c r="AT443" s="2">
        <v>17.8753511805023</v>
      </c>
      <c r="AU443" s="2">
        <v>17.848948199611399</v>
      </c>
      <c r="AV443" s="2">
        <v>19.987809416923401</v>
      </c>
      <c r="AW443" s="2">
        <v>17.884188171023101</v>
      </c>
      <c r="AX443" s="2">
        <v>19.120585258445001</v>
      </c>
      <c r="AY443" s="2">
        <v>18.701626889881801</v>
      </c>
      <c r="AZ443" s="2">
        <v>18.462558866401999</v>
      </c>
      <c r="BA443" s="2">
        <v>16.663881884875298</v>
      </c>
      <c r="BB443" s="2">
        <v>18.360350772409198</v>
      </c>
      <c r="BC443" s="2">
        <v>18.220606706730202</v>
      </c>
      <c r="BD443" s="2">
        <v>21.0735781594536</v>
      </c>
      <c r="BE443" s="2">
        <v>19.6077726890164</v>
      </c>
      <c r="BF443" s="2">
        <v>17.773900928913601</v>
      </c>
      <c r="BG443" s="2">
        <v>18.807098910538699</v>
      </c>
      <c r="BH443" s="2">
        <v>17.642201566193599</v>
      </c>
      <c r="BI443" s="2">
        <v>21.662172726397799</v>
      </c>
      <c r="BJ443" s="2">
        <v>18.173650788142002</v>
      </c>
      <c r="BK443" s="2">
        <v>18.335590550332899</v>
      </c>
      <c r="BL443" s="2">
        <v>20.319803533434701</v>
      </c>
      <c r="BM443" s="2">
        <v>20.421530647684801</v>
      </c>
      <c r="BN443" s="2">
        <v>19.297226620267701</v>
      </c>
      <c r="BO443" s="2">
        <v>17.585911642736399</v>
      </c>
      <c r="BP443" s="2">
        <v>20.746215243071202</v>
      </c>
      <c r="BQ443" s="2">
        <v>18.5395139419714</v>
      </c>
      <c r="BR443" s="2">
        <v>18.928996723028298</v>
      </c>
      <c r="BS443" s="2">
        <v>19.5755978167244</v>
      </c>
      <c r="BT443" s="2">
        <v>17.4035893623128</v>
      </c>
      <c r="BU443" s="2">
        <v>18.398342971158399</v>
      </c>
      <c r="BV443" s="2">
        <v>18.0119474620492</v>
      </c>
      <c r="BW443" s="2">
        <v>17.904223113622098</v>
      </c>
      <c r="BX443" s="2">
        <v>19.969403905645301</v>
      </c>
      <c r="BY443" s="2">
        <v>20.636873215446801</v>
      </c>
      <c r="BZ443" s="2">
        <v>18.462090113283601</v>
      </c>
      <c r="CA443" s="2">
        <v>18.699161607875698</v>
      </c>
      <c r="CB443" s="2">
        <v>19.631966257817201</v>
      </c>
      <c r="CC443" s="2">
        <v>18.1451910303627</v>
      </c>
      <c r="CD443" s="2">
        <v>19.503081710880402</v>
      </c>
      <c r="CE443" s="2">
        <v>18.4492693728338</v>
      </c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</row>
    <row r="444" spans="1:97">
      <c r="A444" s="2" t="s">
        <v>4486</v>
      </c>
      <c r="B444" s="2">
        <v>272.18524000000002</v>
      </c>
      <c r="C444" s="2">
        <v>4.7729999999999997</v>
      </c>
      <c r="D444" s="2" t="s">
        <v>84</v>
      </c>
      <c r="E444" s="2" t="s">
        <v>4487</v>
      </c>
      <c r="F444" s="2" t="s">
        <v>4488</v>
      </c>
      <c r="G444" s="2">
        <v>198206</v>
      </c>
      <c r="H444" s="3" t="str">
        <f>HYPERLINK("https://cloud.oebiotech.com/#/lm/network/198206", "https://cloud.oebiotech.com/#/lm/network/198206")</f>
        <v>https://cloud.oebiotech.com/#/lm/network/198206</v>
      </c>
      <c r="I444" s="2" t="s">
        <v>4489</v>
      </c>
      <c r="J444" s="2"/>
      <c r="K444" s="2"/>
      <c r="L444" s="2">
        <v>131770386</v>
      </c>
      <c r="M444" s="2"/>
      <c r="N444" s="2"/>
      <c r="O444" s="2"/>
      <c r="P444" s="2">
        <v>174063</v>
      </c>
      <c r="Q444" s="2"/>
      <c r="R444" s="2"/>
      <c r="S444" s="2"/>
      <c r="T444" s="2" t="s">
        <v>4490</v>
      </c>
      <c r="U444" s="2" t="s">
        <v>4491</v>
      </c>
      <c r="V444" s="2" t="s">
        <v>95</v>
      </c>
      <c r="W444" s="2" t="s">
        <v>96</v>
      </c>
      <c r="X444" s="2" t="s">
        <v>97</v>
      </c>
      <c r="Y444" s="2" t="s">
        <v>98</v>
      </c>
      <c r="Z444" s="2" t="s">
        <v>99</v>
      </c>
      <c r="AA444" s="2" t="s">
        <v>100</v>
      </c>
      <c r="AB444" s="2" t="s">
        <v>101</v>
      </c>
      <c r="AC444" s="2">
        <v>64.08</v>
      </c>
      <c r="AD444" s="2">
        <v>90.98</v>
      </c>
      <c r="AE444" s="2">
        <v>74.42</v>
      </c>
      <c r="AF444" s="2" t="s">
        <v>4492</v>
      </c>
      <c r="AG444" s="2" t="s">
        <v>1088</v>
      </c>
      <c r="AH444" s="2" t="s">
        <v>4493</v>
      </c>
      <c r="AI444" s="2">
        <v>3.67</v>
      </c>
      <c r="AJ444" s="2">
        <v>18.126547445799002</v>
      </c>
      <c r="AK444" s="2">
        <v>18.043888113958001</v>
      </c>
      <c r="AL444" s="2">
        <v>18.297319283411799</v>
      </c>
      <c r="AM444" s="2">
        <v>18.369053157543402</v>
      </c>
      <c r="AN444" s="2">
        <v>18.150500724056499</v>
      </c>
      <c r="AO444" s="2">
        <v>18.1760137186779</v>
      </c>
      <c r="AP444" s="2">
        <v>18.2899844121883</v>
      </c>
      <c r="AQ444" s="2">
        <v>17.542165154296299</v>
      </c>
      <c r="AR444" s="2">
        <v>16.978841259969698</v>
      </c>
      <c r="AS444" s="2">
        <v>16.5642142561532</v>
      </c>
      <c r="AT444" s="2">
        <v>16.700897938382699</v>
      </c>
      <c r="AU444" s="2">
        <v>17.425957225266899</v>
      </c>
      <c r="AV444" s="2">
        <v>17.2347629922976</v>
      </c>
      <c r="AW444" s="2">
        <v>17.692252398637802</v>
      </c>
      <c r="AX444" s="2">
        <v>16.900930353638199</v>
      </c>
      <c r="AY444" s="2">
        <v>18.218463339873299</v>
      </c>
      <c r="AZ444" s="2">
        <v>17.358337156667599</v>
      </c>
      <c r="BA444" s="2">
        <v>18.2343176299356</v>
      </c>
      <c r="BB444" s="2">
        <v>18.600957941056301</v>
      </c>
      <c r="BC444" s="2">
        <v>16.9737290885679</v>
      </c>
      <c r="BD444" s="2">
        <v>17.632015247897201</v>
      </c>
      <c r="BE444" s="2">
        <v>18.541365204549699</v>
      </c>
      <c r="BF444" s="2">
        <v>17.598876360793501</v>
      </c>
      <c r="BG444" s="2">
        <v>16.447350122063899</v>
      </c>
      <c r="BH444" s="2">
        <v>16.560675702252599</v>
      </c>
      <c r="BI444" s="2">
        <v>18.370717499529199</v>
      </c>
      <c r="BJ444" s="2">
        <v>18.0012668869295</v>
      </c>
      <c r="BK444" s="2">
        <v>16.9664338020408</v>
      </c>
      <c r="BL444" s="2">
        <v>17.8028414599315</v>
      </c>
      <c r="BM444" s="2">
        <v>17.6038355976631</v>
      </c>
      <c r="BN444" s="2">
        <v>16.567868607001099</v>
      </c>
      <c r="BO444" s="2">
        <v>17.647870913391301</v>
      </c>
      <c r="BP444" s="2">
        <v>17.1040714461904</v>
      </c>
      <c r="BQ444" s="2">
        <v>17.7407730439628</v>
      </c>
      <c r="BR444" s="2">
        <v>18.495503934516901</v>
      </c>
      <c r="BS444" s="2">
        <v>20.423173454589801</v>
      </c>
      <c r="BT444" s="2">
        <v>20.152095769855102</v>
      </c>
      <c r="BU444" s="2">
        <v>19.336535696021301</v>
      </c>
      <c r="BV444" s="2">
        <v>19.610097321649199</v>
      </c>
      <c r="BW444" s="2">
        <v>15.353541775378799</v>
      </c>
      <c r="BX444" s="2">
        <v>17.177203639279298</v>
      </c>
      <c r="BY444" s="2">
        <v>19.385120430412002</v>
      </c>
      <c r="BZ444" s="2">
        <v>18.125716505922</v>
      </c>
      <c r="CA444" s="2">
        <v>16.944765813424699</v>
      </c>
      <c r="CB444" s="2">
        <v>17.778177063617701</v>
      </c>
      <c r="CC444" s="2">
        <v>17.675195622475599</v>
      </c>
      <c r="CD444" s="2">
        <v>18.840786926890601</v>
      </c>
      <c r="CE444" s="2">
        <v>17.558773974239301</v>
      </c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</row>
    <row r="445" spans="1:97">
      <c r="A445" s="2" t="s">
        <v>4494</v>
      </c>
      <c r="B445" s="2">
        <v>386.32548000000003</v>
      </c>
      <c r="C445" s="2">
        <v>10.016999999999999</v>
      </c>
      <c r="D445" s="2" t="s">
        <v>84</v>
      </c>
      <c r="E445" s="2" t="s">
        <v>4495</v>
      </c>
      <c r="F445" s="2" t="s">
        <v>4496</v>
      </c>
      <c r="G445" s="2">
        <v>197395</v>
      </c>
      <c r="H445" s="3" t="str">
        <f>HYPERLINK("https://cloud.oebiotech.com/#/lm/network/197395", "https://cloud.oebiotech.com/#/lm/network/197395")</f>
        <v>https://cloud.oebiotech.com/#/lm/network/197395</v>
      </c>
      <c r="I445" s="2" t="s">
        <v>4497</v>
      </c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 t="s">
        <v>4498</v>
      </c>
      <c r="U445" s="2" t="s">
        <v>4499</v>
      </c>
      <c r="V445" s="2" t="s">
        <v>95</v>
      </c>
      <c r="W445" s="2" t="s">
        <v>96</v>
      </c>
      <c r="X445" s="2" t="s">
        <v>97</v>
      </c>
      <c r="Y445" s="2" t="s">
        <v>98</v>
      </c>
      <c r="Z445" s="2" t="s">
        <v>99</v>
      </c>
      <c r="AA445" s="2" t="s">
        <v>100</v>
      </c>
      <c r="AB445" s="2" t="s">
        <v>101</v>
      </c>
      <c r="AC445" s="2">
        <v>64.08</v>
      </c>
      <c r="AD445" s="2">
        <v>96.98</v>
      </c>
      <c r="AE445" s="2">
        <v>49.52</v>
      </c>
      <c r="AF445" s="2" t="s">
        <v>4500</v>
      </c>
      <c r="AG445" s="2" t="s">
        <v>103</v>
      </c>
      <c r="AH445" s="2" t="s">
        <v>4501</v>
      </c>
      <c r="AI445" s="2">
        <v>2.59</v>
      </c>
      <c r="AJ445" s="2">
        <v>24.4519291779383</v>
      </c>
      <c r="AK445" s="2">
        <v>24.299351774481899</v>
      </c>
      <c r="AL445" s="2">
        <v>24.1685106316163</v>
      </c>
      <c r="AM445" s="2">
        <v>24.206849772879401</v>
      </c>
      <c r="AN445" s="2">
        <v>24.040364055859399</v>
      </c>
      <c r="AO445" s="2">
        <v>23.6400456950036</v>
      </c>
      <c r="AP445" s="2">
        <v>23.514305070134899</v>
      </c>
      <c r="AQ445" s="2">
        <v>23.812427064624501</v>
      </c>
      <c r="AR445" s="2">
        <v>24.3590598998145</v>
      </c>
      <c r="AS445" s="2">
        <v>24.3752352147152</v>
      </c>
      <c r="AT445" s="2">
        <v>24.395013543630299</v>
      </c>
      <c r="AU445" s="2">
        <v>24.4395697759808</v>
      </c>
      <c r="AV445" s="2">
        <v>24.401633650668799</v>
      </c>
      <c r="AW445" s="2">
        <v>24.358642772256601</v>
      </c>
      <c r="AX445" s="2">
        <v>24.233991842998801</v>
      </c>
      <c r="AY445" s="2">
        <v>24.276447314827202</v>
      </c>
      <c r="AZ445" s="2">
        <v>24.228885188921598</v>
      </c>
      <c r="BA445" s="2">
        <v>24.318341896963801</v>
      </c>
      <c r="BB445" s="2">
        <v>24.414585682353099</v>
      </c>
      <c r="BC445" s="2">
        <v>24.576333043218</v>
      </c>
      <c r="BD445" s="2">
        <v>24.306695791729201</v>
      </c>
      <c r="BE445" s="2">
        <v>24.3644316841795</v>
      </c>
      <c r="BF445" s="2">
        <v>24.333896201207502</v>
      </c>
      <c r="BG445" s="2">
        <v>24.319298989781501</v>
      </c>
      <c r="BH445" s="2">
        <v>24.179537861092602</v>
      </c>
      <c r="BI445" s="2">
        <v>24.186798382717399</v>
      </c>
      <c r="BJ445" s="2">
        <v>23.1157875725028</v>
      </c>
      <c r="BK445" s="2">
        <v>24.241598784082999</v>
      </c>
      <c r="BL445" s="2">
        <v>22.972277869503699</v>
      </c>
      <c r="BM445" s="2">
        <v>24.151447534122699</v>
      </c>
      <c r="BN445" s="2">
        <v>24.052382955697599</v>
      </c>
      <c r="BO445" s="2">
        <v>23.9626052009164</v>
      </c>
      <c r="BP445" s="2">
        <v>24.2353085313881</v>
      </c>
      <c r="BQ445" s="2">
        <v>24.147896540794299</v>
      </c>
      <c r="BR445" s="2">
        <v>23.985239086814602</v>
      </c>
      <c r="BS445" s="2">
        <v>23.6112011917762</v>
      </c>
      <c r="BT445" s="2">
        <v>23.9415550245117</v>
      </c>
      <c r="BU445" s="2">
        <v>24.059033418603299</v>
      </c>
      <c r="BV445" s="2">
        <v>24.202716229405201</v>
      </c>
      <c r="BW445" s="2">
        <v>24.104602549286799</v>
      </c>
      <c r="BX445" s="2">
        <v>24.1764984102652</v>
      </c>
      <c r="BY445" s="2">
        <v>24.415052881325099</v>
      </c>
      <c r="BZ445" s="2">
        <v>24.1822105982565</v>
      </c>
      <c r="CA445" s="2">
        <v>24.298721355616401</v>
      </c>
      <c r="CB445" s="2">
        <v>24.183041823926398</v>
      </c>
      <c r="CC445" s="2">
        <v>23.7707135224877</v>
      </c>
      <c r="CD445" s="2">
        <v>24.0956403346221</v>
      </c>
      <c r="CE445" s="2">
        <v>24.024067373467101</v>
      </c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</row>
    <row r="446" spans="1:97">
      <c r="A446" s="2" t="s">
        <v>4502</v>
      </c>
      <c r="B446" s="2">
        <v>295.22719000000001</v>
      </c>
      <c r="C446" s="2">
        <v>10.507</v>
      </c>
      <c r="D446" s="2" t="s">
        <v>146</v>
      </c>
      <c r="E446" s="2" t="s">
        <v>4503</v>
      </c>
      <c r="F446" s="2" t="s">
        <v>4504</v>
      </c>
      <c r="G446" s="2">
        <v>3270</v>
      </c>
      <c r="H446" s="3" t="str">
        <f>HYPERLINK("https://cloud.oebiotech.com/#/lm/network/3270", "https://cloud.oebiotech.com/#/lm/network/3270")</f>
        <v>https://cloud.oebiotech.com/#/lm/network/3270</v>
      </c>
      <c r="I446" s="2" t="s">
        <v>4505</v>
      </c>
      <c r="J446" s="2"/>
      <c r="K446" s="2" t="s">
        <v>4506</v>
      </c>
      <c r="L446" s="2">
        <v>75536015</v>
      </c>
      <c r="M446" s="2"/>
      <c r="N446" s="2"/>
      <c r="O446" s="2"/>
      <c r="P446" s="2"/>
      <c r="Q446" s="2"/>
      <c r="R446" s="2"/>
      <c r="S446" s="2" t="s">
        <v>4507</v>
      </c>
      <c r="T446" s="2" t="s">
        <v>4508</v>
      </c>
      <c r="U446" s="2" t="s">
        <v>4509</v>
      </c>
      <c r="V446" s="2" t="s">
        <v>95</v>
      </c>
      <c r="W446" s="2" t="s">
        <v>96</v>
      </c>
      <c r="X446" s="2" t="s">
        <v>919</v>
      </c>
      <c r="Y446" s="2" t="s">
        <v>98</v>
      </c>
      <c r="Z446" s="2" t="s">
        <v>99</v>
      </c>
      <c r="AA446" s="2" t="s">
        <v>920</v>
      </c>
      <c r="AB446" s="2" t="s">
        <v>101</v>
      </c>
      <c r="AC446" s="2">
        <v>64.069999999999993</v>
      </c>
      <c r="AD446" s="2">
        <v>88.25</v>
      </c>
      <c r="AE446" s="2">
        <v>51.55</v>
      </c>
      <c r="AF446" s="2" t="s">
        <v>4510</v>
      </c>
      <c r="AG446" s="2" t="s">
        <v>194</v>
      </c>
      <c r="AH446" s="2" t="s">
        <v>3838</v>
      </c>
      <c r="AI446" s="2">
        <v>2.37</v>
      </c>
      <c r="AJ446" s="2">
        <v>19.124250731265999</v>
      </c>
      <c r="AK446" s="2">
        <v>19.550166472344099</v>
      </c>
      <c r="AL446" s="2">
        <v>19.190566805233701</v>
      </c>
      <c r="AM446" s="2">
        <v>19.319471027078102</v>
      </c>
      <c r="AN446" s="2">
        <v>19.233199525392099</v>
      </c>
      <c r="AO446" s="2">
        <v>19.127152447884502</v>
      </c>
      <c r="AP446" s="2">
        <v>19.0229863692071</v>
      </c>
      <c r="AQ446" s="2">
        <v>19.507571117708402</v>
      </c>
      <c r="AR446" s="2">
        <v>18.729236460917999</v>
      </c>
      <c r="AS446" s="2">
        <v>18.4600641159616</v>
      </c>
      <c r="AT446" s="2">
        <v>19.746116187371999</v>
      </c>
      <c r="AU446" s="2">
        <v>19.415541478631599</v>
      </c>
      <c r="AV446" s="2">
        <v>19.334919196520001</v>
      </c>
      <c r="AW446" s="2">
        <v>19.2833751213102</v>
      </c>
      <c r="AX446" s="2">
        <v>19.102810938365302</v>
      </c>
      <c r="AY446" s="2">
        <v>19.384142033991498</v>
      </c>
      <c r="AZ446" s="2">
        <v>18.659689075343099</v>
      </c>
      <c r="BA446" s="2">
        <v>19.017923593001601</v>
      </c>
      <c r="BB446" s="2">
        <v>19.170731287588399</v>
      </c>
      <c r="BC446" s="2">
        <v>19.422986570429899</v>
      </c>
      <c r="BD446" s="2">
        <v>17.391309216862599</v>
      </c>
      <c r="BE446" s="2">
        <v>18.682859105272701</v>
      </c>
      <c r="BF446" s="2">
        <v>18.025041775531498</v>
      </c>
      <c r="BG446" s="2">
        <v>19.267117521351899</v>
      </c>
      <c r="BH446" s="2">
        <v>19.240978596504402</v>
      </c>
      <c r="BI446" s="2">
        <v>19.217367479218598</v>
      </c>
      <c r="BJ446" s="2">
        <v>19.285617350824499</v>
      </c>
      <c r="BK446" s="2">
        <v>18.6491850123139</v>
      </c>
      <c r="BL446" s="2">
        <v>19.946577583558199</v>
      </c>
      <c r="BM446" s="2">
        <v>19.2268755675893</v>
      </c>
      <c r="BN446" s="2">
        <v>18.695746102856099</v>
      </c>
      <c r="BO446" s="2">
        <v>19.0207219779121</v>
      </c>
      <c r="BP446" s="2">
        <v>18.9580809814783</v>
      </c>
      <c r="BQ446" s="2">
        <v>19.607110366911101</v>
      </c>
      <c r="BR446" s="2">
        <v>20.120880743727199</v>
      </c>
      <c r="BS446" s="2">
        <v>19.667606454739499</v>
      </c>
      <c r="BT446" s="2">
        <v>18.572765201953199</v>
      </c>
      <c r="BU446" s="2">
        <v>20.347118354389099</v>
      </c>
      <c r="BV446" s="2">
        <v>18.626286475984202</v>
      </c>
      <c r="BW446" s="2">
        <v>18.337990254710299</v>
      </c>
      <c r="BX446" s="2">
        <v>18.840979547081702</v>
      </c>
      <c r="BY446" s="2">
        <v>19.1129280909642</v>
      </c>
      <c r="BZ446" s="2">
        <v>19.479477066048702</v>
      </c>
      <c r="CA446" s="2">
        <v>18.398600667684299</v>
      </c>
      <c r="CB446" s="2">
        <v>20.1548564202436</v>
      </c>
      <c r="CC446" s="2">
        <v>18.706727794657699</v>
      </c>
      <c r="CD446" s="2">
        <v>19.0869279367556</v>
      </c>
      <c r="CE446" s="2">
        <v>19.4441359574319</v>
      </c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</row>
    <row r="447" spans="1:97">
      <c r="A447" s="2" t="s">
        <v>4511</v>
      </c>
      <c r="B447" s="2">
        <v>508.33881000000002</v>
      </c>
      <c r="C447" s="2">
        <v>11.724</v>
      </c>
      <c r="D447" s="2" t="s">
        <v>84</v>
      </c>
      <c r="E447" s="2" t="s">
        <v>4512</v>
      </c>
      <c r="F447" s="2" t="s">
        <v>4513</v>
      </c>
      <c r="G447" s="2">
        <v>21181</v>
      </c>
      <c r="H447" s="3" t="str">
        <f>HYPERLINK("https://cloud.oebiotech.com/#/lm/network/21181", "https://cloud.oebiotech.com/#/lm/network/21181")</f>
        <v>https://cloud.oebiotech.com/#/lm/network/21181</v>
      </c>
      <c r="I447" s="2" t="s">
        <v>4514</v>
      </c>
      <c r="J447" s="2">
        <v>62297</v>
      </c>
      <c r="K447" s="2" t="s">
        <v>4515</v>
      </c>
      <c r="L447" s="2">
        <v>52925139</v>
      </c>
      <c r="M447" s="2"/>
      <c r="N447" s="2"/>
      <c r="O447" s="2"/>
      <c r="P447" s="2"/>
      <c r="Q447" s="2"/>
      <c r="R447" s="2"/>
      <c r="S447" s="2"/>
      <c r="T447" s="2" t="s">
        <v>4516</v>
      </c>
      <c r="U447" s="2" t="s">
        <v>4517</v>
      </c>
      <c r="V447" s="2" t="s">
        <v>95</v>
      </c>
      <c r="W447" s="2" t="s">
        <v>202</v>
      </c>
      <c r="X447" s="2" t="s">
        <v>327</v>
      </c>
      <c r="Y447" s="2" t="s">
        <v>98</v>
      </c>
      <c r="Z447" s="2" t="s">
        <v>204</v>
      </c>
      <c r="AA447" s="2" t="s">
        <v>328</v>
      </c>
      <c r="AB447" s="2" t="s">
        <v>101</v>
      </c>
      <c r="AC447" s="2">
        <v>64.05</v>
      </c>
      <c r="AD447" s="2">
        <v>83.26</v>
      </c>
      <c r="AE447" s="2">
        <v>59.11</v>
      </c>
      <c r="AF447" s="2" t="s">
        <v>4518</v>
      </c>
      <c r="AG447" s="2" t="s">
        <v>103</v>
      </c>
      <c r="AH447" s="2" t="s">
        <v>308</v>
      </c>
      <c r="AI447" s="2">
        <v>1.97</v>
      </c>
      <c r="AJ447" s="2">
        <v>19.504022754538401</v>
      </c>
      <c r="AK447" s="2">
        <v>19.880750190222699</v>
      </c>
      <c r="AL447" s="2">
        <v>19.870056569026701</v>
      </c>
      <c r="AM447" s="2">
        <v>19.656574699773401</v>
      </c>
      <c r="AN447" s="2">
        <v>19.836640223006999</v>
      </c>
      <c r="AO447" s="2">
        <v>19.703231951468801</v>
      </c>
      <c r="AP447" s="2">
        <v>19.2151921498922</v>
      </c>
      <c r="AQ447" s="2">
        <v>19.861790099933199</v>
      </c>
      <c r="AR447" s="2">
        <v>20.099288474321899</v>
      </c>
      <c r="AS447" s="2">
        <v>17.1751237898652</v>
      </c>
      <c r="AT447" s="2">
        <v>17.2650731833041</v>
      </c>
      <c r="AU447" s="2">
        <v>19.994161042591902</v>
      </c>
      <c r="AV447" s="2">
        <v>21.002557665735999</v>
      </c>
      <c r="AW447" s="2">
        <v>19.866946694112901</v>
      </c>
      <c r="AX447" s="2">
        <v>19.859338363655802</v>
      </c>
      <c r="AY447" s="2">
        <v>19.1475704176409</v>
      </c>
      <c r="AZ447" s="2">
        <v>20.0169647657229</v>
      </c>
      <c r="BA447" s="2">
        <v>18.534893864767501</v>
      </c>
      <c r="BB447" s="2">
        <v>18.6778273938572</v>
      </c>
      <c r="BC447" s="2">
        <v>19.192497533361099</v>
      </c>
      <c r="BD447" s="2">
        <v>18.915017369866199</v>
      </c>
      <c r="BE447" s="2">
        <v>20.031338986807601</v>
      </c>
      <c r="BF447" s="2">
        <v>19.286284329141399</v>
      </c>
      <c r="BG447" s="2">
        <v>19.078107484943999</v>
      </c>
      <c r="BH447" s="2">
        <v>20.9788379579802</v>
      </c>
      <c r="BI447" s="2">
        <v>19.568790526949201</v>
      </c>
      <c r="BJ447" s="2">
        <v>18.928309825427</v>
      </c>
      <c r="BK447" s="2">
        <v>18.537404861494799</v>
      </c>
      <c r="BL447" s="2">
        <v>19.2114773557023</v>
      </c>
      <c r="BM447" s="2">
        <v>20.256542081539799</v>
      </c>
      <c r="BN447" s="2">
        <v>20.2732128326241</v>
      </c>
      <c r="BO447" s="2">
        <v>19.3104309024042</v>
      </c>
      <c r="BP447" s="2">
        <v>19.558161111836299</v>
      </c>
      <c r="BQ447" s="2">
        <v>20.11348526383</v>
      </c>
      <c r="BR447" s="2">
        <v>20.235001053445799</v>
      </c>
      <c r="BS447" s="2">
        <v>20.167492716634701</v>
      </c>
      <c r="BT447" s="2">
        <v>19.566290034462298</v>
      </c>
      <c r="BU447" s="2">
        <v>18.925160478651801</v>
      </c>
      <c r="BV447" s="2">
        <v>19.086907235980799</v>
      </c>
      <c r="BW447" s="2">
        <v>18.599159874331601</v>
      </c>
      <c r="BX447" s="2">
        <v>20.732628133496899</v>
      </c>
      <c r="BY447" s="2">
        <v>20.584114005305</v>
      </c>
      <c r="BZ447" s="2">
        <v>18.901174960610199</v>
      </c>
      <c r="CA447" s="2">
        <v>19.4452428362825</v>
      </c>
      <c r="CB447" s="2">
        <v>19.3786178781601</v>
      </c>
      <c r="CC447" s="2">
        <v>19.242602901316399</v>
      </c>
      <c r="CD447" s="2">
        <v>19.142238513707099</v>
      </c>
      <c r="CE447" s="2">
        <v>18.075728835544702</v>
      </c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</row>
    <row r="448" spans="1:97">
      <c r="A448" s="2" t="s">
        <v>4519</v>
      </c>
      <c r="B448" s="2">
        <v>411.38362999999998</v>
      </c>
      <c r="C448" s="2">
        <v>15.246</v>
      </c>
      <c r="D448" s="2" t="s">
        <v>146</v>
      </c>
      <c r="E448" s="2" t="s">
        <v>4520</v>
      </c>
      <c r="F448" s="2" t="s">
        <v>4521</v>
      </c>
      <c r="G448" s="2">
        <v>403</v>
      </c>
      <c r="H448" s="3" t="str">
        <f>HYPERLINK("https://cloud.oebiotech.com/#/lm/network/403", "https://cloud.oebiotech.com/#/lm/network/403")</f>
        <v>https://cloud.oebiotech.com/#/lm/network/403</v>
      </c>
      <c r="I448" s="2"/>
      <c r="J448" s="2">
        <v>73745</v>
      </c>
      <c r="K448" s="2" t="s">
        <v>4522</v>
      </c>
      <c r="L448" s="2">
        <v>52921764</v>
      </c>
      <c r="M448" s="2"/>
      <c r="N448" s="2"/>
      <c r="O448" s="2"/>
      <c r="P448" s="2"/>
      <c r="Q448" s="2"/>
      <c r="R448" s="2"/>
      <c r="S448" s="2"/>
      <c r="T448" s="2" t="s">
        <v>4523</v>
      </c>
      <c r="U448" s="2" t="s">
        <v>4524</v>
      </c>
      <c r="V448" s="2" t="s">
        <v>95</v>
      </c>
      <c r="W448" s="2" t="s">
        <v>96</v>
      </c>
      <c r="X448" s="2" t="s">
        <v>141</v>
      </c>
      <c r="Y448" s="2" t="s">
        <v>98</v>
      </c>
      <c r="Z448" s="2" t="s">
        <v>99</v>
      </c>
      <c r="AA448" s="2" t="s">
        <v>142</v>
      </c>
      <c r="AB448" s="2" t="s">
        <v>101</v>
      </c>
      <c r="AC448" s="2">
        <v>63.97</v>
      </c>
      <c r="AD448" s="2">
        <v>82.89</v>
      </c>
      <c r="AE448" s="2">
        <v>56.57</v>
      </c>
      <c r="AF448" s="2" t="s">
        <v>4525</v>
      </c>
      <c r="AG448" s="2" t="s">
        <v>194</v>
      </c>
      <c r="AH448" s="2" t="s">
        <v>4526</v>
      </c>
      <c r="AI448" s="2">
        <v>1.94</v>
      </c>
      <c r="AJ448" s="2">
        <v>19.500840810012001</v>
      </c>
      <c r="AK448" s="2">
        <v>19.215882109002798</v>
      </c>
      <c r="AL448" s="2">
        <v>19.003304470960799</v>
      </c>
      <c r="AM448" s="2">
        <v>19.123398030768801</v>
      </c>
      <c r="AN448" s="2">
        <v>19.027289492538301</v>
      </c>
      <c r="AO448" s="2">
        <v>19.387247325741399</v>
      </c>
      <c r="AP448" s="2">
        <v>19.213952598929001</v>
      </c>
      <c r="AQ448" s="2">
        <v>19.177386761038601</v>
      </c>
      <c r="AR448" s="2">
        <v>19.180025560978802</v>
      </c>
      <c r="AS448" s="2">
        <v>19.445660422087698</v>
      </c>
      <c r="AT448" s="2">
        <v>18.757258703088599</v>
      </c>
      <c r="AU448" s="2">
        <v>17.524964413315999</v>
      </c>
      <c r="AV448" s="2">
        <v>18.996314261812898</v>
      </c>
      <c r="AW448" s="2">
        <v>19.009216423295101</v>
      </c>
      <c r="AX448" s="2">
        <v>18.538551955329201</v>
      </c>
      <c r="AY448" s="2">
        <v>18.957721108053601</v>
      </c>
      <c r="AZ448" s="2">
        <v>18.927715183023</v>
      </c>
      <c r="BA448" s="2">
        <v>18.814602085293899</v>
      </c>
      <c r="BB448" s="2">
        <v>18.7515426861641</v>
      </c>
      <c r="BC448" s="2">
        <v>19.536684879881001</v>
      </c>
      <c r="BD448" s="2">
        <v>19.382389067156002</v>
      </c>
      <c r="BE448" s="2">
        <v>19.8048950663309</v>
      </c>
      <c r="BF448" s="2">
        <v>17.071857004999799</v>
      </c>
      <c r="BG448" s="2">
        <v>19.483521279089899</v>
      </c>
      <c r="BH448" s="2">
        <v>17.891352135232399</v>
      </c>
      <c r="BI448" s="2">
        <v>17.8227575910098</v>
      </c>
      <c r="BJ448" s="2">
        <v>19.525060602910401</v>
      </c>
      <c r="BK448" s="2">
        <v>18.611837504007401</v>
      </c>
      <c r="BL448" s="2">
        <v>19.086280035277099</v>
      </c>
      <c r="BM448" s="2">
        <v>19.4693250920601</v>
      </c>
      <c r="BN448" s="2">
        <v>18.530989128767398</v>
      </c>
      <c r="BO448" s="2">
        <v>18.121254901120899</v>
      </c>
      <c r="BP448" s="2">
        <v>18.954266269901499</v>
      </c>
      <c r="BQ448" s="2">
        <v>18.7821674491009</v>
      </c>
      <c r="BR448" s="2">
        <v>17.672595640876001</v>
      </c>
      <c r="BS448" s="2">
        <v>19.436612652724399</v>
      </c>
      <c r="BT448" s="2">
        <v>17.640183918694401</v>
      </c>
      <c r="BU448" s="2">
        <v>19.159137669607201</v>
      </c>
      <c r="BV448" s="2">
        <v>18.573583287183698</v>
      </c>
      <c r="BW448" s="2">
        <v>18.8872921735862</v>
      </c>
      <c r="BX448" s="2">
        <v>19.374498289525199</v>
      </c>
      <c r="BY448" s="2">
        <v>19.840633233235799</v>
      </c>
      <c r="BZ448" s="2">
        <v>17.4408473551165</v>
      </c>
      <c r="CA448" s="2">
        <v>19.3062136982163</v>
      </c>
      <c r="CB448" s="2">
        <v>20.260177492494801</v>
      </c>
      <c r="CC448" s="2">
        <v>18.169846141037599</v>
      </c>
      <c r="CD448" s="2">
        <v>19.755719138680799</v>
      </c>
      <c r="CE448" s="2">
        <v>19.023909362579801</v>
      </c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</row>
    <row r="449" spans="1:97">
      <c r="A449" s="2" t="s">
        <v>4527</v>
      </c>
      <c r="B449" s="2">
        <v>500.27400999999998</v>
      </c>
      <c r="C449" s="2">
        <v>10.329000000000001</v>
      </c>
      <c r="D449" s="2" t="s">
        <v>84</v>
      </c>
      <c r="E449" s="2" t="s">
        <v>4528</v>
      </c>
      <c r="F449" s="2" t="s">
        <v>4529</v>
      </c>
      <c r="G449" s="2">
        <v>21188</v>
      </c>
      <c r="H449" s="3" t="str">
        <f>HYPERLINK("https://cloud.oebiotech.com/#/lm/network/21188", "https://cloud.oebiotech.com/#/lm/network/21188")</f>
        <v>https://cloud.oebiotech.com/#/lm/network/21188</v>
      </c>
      <c r="I449" s="2" t="s">
        <v>4530</v>
      </c>
      <c r="J449" s="2">
        <v>62303</v>
      </c>
      <c r="K449" s="2" t="s">
        <v>4531</v>
      </c>
      <c r="L449" s="2">
        <v>52925146</v>
      </c>
      <c r="M449" s="2"/>
      <c r="N449" s="2"/>
      <c r="O449" s="2"/>
      <c r="P449" s="2"/>
      <c r="Q449" s="2"/>
      <c r="R449" s="2"/>
      <c r="S449" s="2"/>
      <c r="T449" s="2" t="s">
        <v>4532</v>
      </c>
      <c r="U449" s="2" t="s">
        <v>4533</v>
      </c>
      <c r="V449" s="2" t="s">
        <v>95</v>
      </c>
      <c r="W449" s="2" t="s">
        <v>202</v>
      </c>
      <c r="X449" s="2" t="s">
        <v>327</v>
      </c>
      <c r="Y449" s="2" t="s">
        <v>98</v>
      </c>
      <c r="Z449" s="2" t="s">
        <v>204</v>
      </c>
      <c r="AA449" s="2" t="s">
        <v>328</v>
      </c>
      <c r="AB449" s="2" t="s">
        <v>101</v>
      </c>
      <c r="AC449" s="2">
        <v>63.95</v>
      </c>
      <c r="AD449" s="2">
        <v>95.79</v>
      </c>
      <c r="AE449" s="2">
        <v>76.040000000000006</v>
      </c>
      <c r="AF449" s="2" t="s">
        <v>4534</v>
      </c>
      <c r="AG449" s="2" t="s">
        <v>103</v>
      </c>
      <c r="AH449" s="2" t="s">
        <v>1822</v>
      </c>
      <c r="AI449" s="2">
        <v>6.4</v>
      </c>
      <c r="AJ449" s="2">
        <v>23.189212569670101</v>
      </c>
      <c r="AK449" s="2">
        <v>23.294392840601802</v>
      </c>
      <c r="AL449" s="2">
        <v>23.3531902545976</v>
      </c>
      <c r="AM449" s="2">
        <v>23.234091854288099</v>
      </c>
      <c r="AN449" s="2">
        <v>23.292736199079201</v>
      </c>
      <c r="AO449" s="2">
        <v>23.300301839409801</v>
      </c>
      <c r="AP449" s="2">
        <v>23.273309135734799</v>
      </c>
      <c r="AQ449" s="2">
        <v>22.708613837292301</v>
      </c>
      <c r="AR449" s="2">
        <v>23.714479360525701</v>
      </c>
      <c r="AS449" s="2">
        <v>21.913499940482101</v>
      </c>
      <c r="AT449" s="2">
        <v>22.529747651170499</v>
      </c>
      <c r="AU449" s="2">
        <v>23.999574034985599</v>
      </c>
      <c r="AV449" s="2">
        <v>23.458880775010901</v>
      </c>
      <c r="AW449" s="2">
        <v>23.617999491375802</v>
      </c>
      <c r="AX449" s="2">
        <v>22.608718879596999</v>
      </c>
      <c r="AY449" s="2">
        <v>23.331803707471199</v>
      </c>
      <c r="AZ449" s="2">
        <v>23.369373230928101</v>
      </c>
      <c r="BA449" s="2">
        <v>22.5472317892674</v>
      </c>
      <c r="BB449" s="2">
        <v>22.571941210296501</v>
      </c>
      <c r="BC449" s="2">
        <v>22.882063668419899</v>
      </c>
      <c r="BD449" s="2">
        <v>22.9578890466986</v>
      </c>
      <c r="BE449" s="2">
        <v>22.805493144164899</v>
      </c>
      <c r="BF449" s="2">
        <v>23.1406460225936</v>
      </c>
      <c r="BG449" s="2">
        <v>23.440485902103099</v>
      </c>
      <c r="BH449" s="2">
        <v>23.082768699310702</v>
      </c>
      <c r="BI449" s="2">
        <v>23.5060891055338</v>
      </c>
      <c r="BJ449" s="2">
        <v>22.768264384045398</v>
      </c>
      <c r="BK449" s="2">
        <v>22.867430671097001</v>
      </c>
      <c r="BL449" s="2">
        <v>23.4322082361317</v>
      </c>
      <c r="BM449" s="2">
        <v>24.012430892411</v>
      </c>
      <c r="BN449" s="2">
        <v>23.876394792084401</v>
      </c>
      <c r="BO449" s="2">
        <v>23.229944612465101</v>
      </c>
      <c r="BP449" s="2">
        <v>22.453839717068298</v>
      </c>
      <c r="BQ449" s="2">
        <v>23.334387055398999</v>
      </c>
      <c r="BR449" s="2">
        <v>23.445839990768501</v>
      </c>
      <c r="BS449" s="2">
        <v>23.4605879854374</v>
      </c>
      <c r="BT449" s="2">
        <v>22.6922812344792</v>
      </c>
      <c r="BU449" s="2">
        <v>22.728637665868</v>
      </c>
      <c r="BV449" s="2">
        <v>23.2685701690963</v>
      </c>
      <c r="BW449" s="2">
        <v>22.579355735642</v>
      </c>
      <c r="BX449" s="2">
        <v>23.5755628322568</v>
      </c>
      <c r="BY449" s="2">
        <v>23.9078713585229</v>
      </c>
      <c r="BZ449" s="2">
        <v>23.447396350537399</v>
      </c>
      <c r="CA449" s="2">
        <v>23.154477542726301</v>
      </c>
      <c r="CB449" s="2">
        <v>23.032324463832801</v>
      </c>
      <c r="CC449" s="2">
        <v>23.034257017119302</v>
      </c>
      <c r="CD449" s="2">
        <v>22.954000550225398</v>
      </c>
      <c r="CE449" s="2">
        <v>22.202273351311302</v>
      </c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</row>
    <row r="450" spans="1:97">
      <c r="A450" s="2" t="s">
        <v>4535</v>
      </c>
      <c r="B450" s="2">
        <v>159.10230000000001</v>
      </c>
      <c r="C450" s="2">
        <v>6.194</v>
      </c>
      <c r="D450" s="2" t="s">
        <v>146</v>
      </c>
      <c r="E450" s="2" t="s">
        <v>4536</v>
      </c>
      <c r="F450" s="2" t="s">
        <v>4537</v>
      </c>
      <c r="G450" s="2">
        <v>1790</v>
      </c>
      <c r="H450" s="3" t="str">
        <f>HYPERLINK("https://cloud.oebiotech.com/#/lm/network/1790", "https://cloud.oebiotech.com/#/lm/network/1790")</f>
        <v>https://cloud.oebiotech.com/#/lm/network/1790</v>
      </c>
      <c r="I450" s="2" t="s">
        <v>4538</v>
      </c>
      <c r="J450" s="2">
        <v>5473</v>
      </c>
      <c r="K450" s="2" t="s">
        <v>4539</v>
      </c>
      <c r="L450" s="2">
        <v>167627</v>
      </c>
      <c r="M450" s="2"/>
      <c r="N450" s="2"/>
      <c r="O450" s="2"/>
      <c r="P450" s="2"/>
      <c r="Q450" s="2"/>
      <c r="R450" s="2"/>
      <c r="S450" s="2" t="s">
        <v>4540</v>
      </c>
      <c r="T450" s="2" t="s">
        <v>4541</v>
      </c>
      <c r="U450" s="2" t="s">
        <v>4542</v>
      </c>
      <c r="V450" s="2" t="s">
        <v>115</v>
      </c>
      <c r="W450" s="2" t="s">
        <v>832</v>
      </c>
      <c r="X450" s="2" t="s">
        <v>4084</v>
      </c>
      <c r="Y450" s="2" t="s">
        <v>118</v>
      </c>
      <c r="Z450" s="2" t="s">
        <v>834</v>
      </c>
      <c r="AA450" s="2" t="s">
        <v>4085</v>
      </c>
      <c r="AB450" s="2" t="s">
        <v>101</v>
      </c>
      <c r="AC450" s="2">
        <v>63.92</v>
      </c>
      <c r="AD450" s="2">
        <v>94.68</v>
      </c>
      <c r="AE450" s="2">
        <v>49.75</v>
      </c>
      <c r="AF450" s="2" t="s">
        <v>4543</v>
      </c>
      <c r="AG450" s="2" t="s">
        <v>194</v>
      </c>
      <c r="AH450" s="2" t="s">
        <v>2044</v>
      </c>
      <c r="AI450" s="2">
        <v>2.5099999999999998</v>
      </c>
      <c r="AJ450" s="2">
        <v>22.7619923596836</v>
      </c>
      <c r="AK450" s="2">
        <v>21.732147228235402</v>
      </c>
      <c r="AL450" s="2">
        <v>22.574818346580201</v>
      </c>
      <c r="AM450" s="2">
        <v>21.6263648449637</v>
      </c>
      <c r="AN450" s="2">
        <v>22.673359297918498</v>
      </c>
      <c r="AO450" s="2">
        <v>22.6098353986728</v>
      </c>
      <c r="AP450" s="2">
        <v>22.574228153384901</v>
      </c>
      <c r="AQ450" s="2">
        <v>22.623658437753001</v>
      </c>
      <c r="AR450" s="2">
        <v>22.3003352005869</v>
      </c>
      <c r="AS450" s="2">
        <v>20.465429236563899</v>
      </c>
      <c r="AT450" s="2">
        <v>21.478146269337099</v>
      </c>
      <c r="AU450" s="2">
        <v>21.9842991474417</v>
      </c>
      <c r="AV450" s="2">
        <v>20.715977963637201</v>
      </c>
      <c r="AW450" s="2">
        <v>22.8800285715112</v>
      </c>
      <c r="AX450" s="2">
        <v>20.729801862285701</v>
      </c>
      <c r="AY450" s="2">
        <v>22.584116852716001</v>
      </c>
      <c r="AZ450" s="2">
        <v>21.9101486809219</v>
      </c>
      <c r="BA450" s="2">
        <v>20.6199016104663</v>
      </c>
      <c r="BB450" s="2">
        <v>22.659554944289699</v>
      </c>
      <c r="BC450" s="2">
        <v>22.599598805278301</v>
      </c>
      <c r="BD450" s="2">
        <v>21.717762170724701</v>
      </c>
      <c r="BE450" s="2">
        <v>21.458552710994802</v>
      </c>
      <c r="BF450" s="2">
        <v>20.637590628959799</v>
      </c>
      <c r="BG450" s="2">
        <v>22.0384206920819</v>
      </c>
      <c r="BH450" s="2">
        <v>22.387883648287101</v>
      </c>
      <c r="BI450" s="2">
        <v>22.602422724925599</v>
      </c>
      <c r="BJ450" s="2">
        <v>22.583288861454299</v>
      </c>
      <c r="BK450" s="2">
        <v>22.279043456983601</v>
      </c>
      <c r="BL450" s="2">
        <v>22.389136722766001</v>
      </c>
      <c r="BM450" s="2">
        <v>21.620005814441502</v>
      </c>
      <c r="BN450" s="2">
        <v>22.961923135969698</v>
      </c>
      <c r="BO450" s="2">
        <v>21.1075659903168</v>
      </c>
      <c r="BP450" s="2">
        <v>21.898285730861101</v>
      </c>
      <c r="BQ450" s="2">
        <v>23.036044189207399</v>
      </c>
      <c r="BR450" s="2">
        <v>22.0877780182416</v>
      </c>
      <c r="BS450" s="2">
        <v>22.463441950828201</v>
      </c>
      <c r="BT450" s="2">
        <v>22.077291596661698</v>
      </c>
      <c r="BU450" s="2">
        <v>22.288270124138101</v>
      </c>
      <c r="BV450" s="2">
        <v>22.135418078402701</v>
      </c>
      <c r="BW450" s="2">
        <v>22.091216063177999</v>
      </c>
      <c r="BX450" s="2">
        <v>21.3626220722428</v>
      </c>
      <c r="BY450" s="2">
        <v>22.4792351590824</v>
      </c>
      <c r="BZ450" s="2">
        <v>22.3165133377288</v>
      </c>
      <c r="CA450" s="2">
        <v>21.416133381201799</v>
      </c>
      <c r="CB450" s="2">
        <v>23.190449509288499</v>
      </c>
      <c r="CC450" s="2">
        <v>21.643258739793001</v>
      </c>
      <c r="CD450" s="2">
        <v>20.405893834265399</v>
      </c>
      <c r="CE450" s="2">
        <v>22.4043383172184</v>
      </c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</row>
    <row r="451" spans="1:97">
      <c r="A451" s="2" t="s">
        <v>4544</v>
      </c>
      <c r="B451" s="2">
        <v>504.30883999999998</v>
      </c>
      <c r="C451" s="2">
        <v>11.068</v>
      </c>
      <c r="D451" s="2" t="s">
        <v>146</v>
      </c>
      <c r="E451" s="2" t="s">
        <v>4545</v>
      </c>
      <c r="F451" s="2" t="s">
        <v>4546</v>
      </c>
      <c r="G451" s="2">
        <v>21208</v>
      </c>
      <c r="H451" s="3" t="str">
        <f>HYPERLINK("https://cloud.oebiotech.com/#/lm/network/21208", "https://cloud.oebiotech.com/#/lm/network/21208")</f>
        <v>https://cloud.oebiotech.com/#/lm/network/21208</v>
      </c>
      <c r="I451" s="2" t="s">
        <v>4547</v>
      </c>
      <c r="J451" s="2">
        <v>62271</v>
      </c>
      <c r="K451" s="2" t="s">
        <v>4548</v>
      </c>
      <c r="L451" s="2">
        <v>53480932</v>
      </c>
      <c r="M451" s="2"/>
      <c r="N451" s="2"/>
      <c r="O451" s="2"/>
      <c r="P451" s="2">
        <v>131692</v>
      </c>
      <c r="Q451" s="2"/>
      <c r="R451" s="2"/>
      <c r="S451" s="2"/>
      <c r="T451" s="2" t="s">
        <v>4549</v>
      </c>
      <c r="U451" s="2" t="s">
        <v>4550</v>
      </c>
      <c r="V451" s="2" t="s">
        <v>95</v>
      </c>
      <c r="W451" s="2" t="s">
        <v>202</v>
      </c>
      <c r="X451" s="2" t="s">
        <v>327</v>
      </c>
      <c r="Y451" s="2" t="s">
        <v>98</v>
      </c>
      <c r="Z451" s="2" t="s">
        <v>204</v>
      </c>
      <c r="AA451" s="2" t="s">
        <v>328</v>
      </c>
      <c r="AB451" s="2" t="s">
        <v>101</v>
      </c>
      <c r="AC451" s="2">
        <v>63.91</v>
      </c>
      <c r="AD451" s="2">
        <v>82.32</v>
      </c>
      <c r="AE451" s="2">
        <v>54.6</v>
      </c>
      <c r="AF451" s="2" t="s">
        <v>4551</v>
      </c>
      <c r="AG451" s="2" t="s">
        <v>194</v>
      </c>
      <c r="AH451" s="2" t="s">
        <v>1310</v>
      </c>
      <c r="AI451" s="2">
        <v>1.59</v>
      </c>
      <c r="AJ451" s="2">
        <v>18.3475586541208</v>
      </c>
      <c r="AK451" s="2">
        <v>18.102971364456501</v>
      </c>
      <c r="AL451" s="2">
        <v>17.771091316775301</v>
      </c>
      <c r="AM451" s="2">
        <v>18.1082617478557</v>
      </c>
      <c r="AN451" s="2">
        <v>17.7658583773635</v>
      </c>
      <c r="AO451" s="2">
        <v>18.037933614077598</v>
      </c>
      <c r="AP451" s="2">
        <v>18.073620474481899</v>
      </c>
      <c r="AQ451" s="2">
        <v>18.264136049944899</v>
      </c>
      <c r="AR451" s="2">
        <v>18.431597538572699</v>
      </c>
      <c r="AS451" s="2">
        <v>15.5077088661589</v>
      </c>
      <c r="AT451" s="2">
        <v>17.1960901079104</v>
      </c>
      <c r="AU451" s="2">
        <v>17.9745963045164</v>
      </c>
      <c r="AV451" s="2">
        <v>18.7031981492045</v>
      </c>
      <c r="AW451" s="2">
        <v>17.9250304869663</v>
      </c>
      <c r="AX451" s="2">
        <v>18.136252148246498</v>
      </c>
      <c r="AY451" s="2">
        <v>17.830887394685199</v>
      </c>
      <c r="AZ451" s="2">
        <v>17.955363619298701</v>
      </c>
      <c r="BA451" s="2">
        <v>16.229513571514701</v>
      </c>
      <c r="BB451" s="2">
        <v>16.803771412063401</v>
      </c>
      <c r="BC451" s="2">
        <v>17.681278841487799</v>
      </c>
      <c r="BD451" s="2">
        <v>16.670552247414498</v>
      </c>
      <c r="BE451" s="2">
        <v>18.3203147718786</v>
      </c>
      <c r="BF451" s="2">
        <v>18.027862487914099</v>
      </c>
      <c r="BG451" s="2">
        <v>18.077681069223001</v>
      </c>
      <c r="BH451" s="2">
        <v>18.996932836599601</v>
      </c>
      <c r="BI451" s="2">
        <v>17.891017305233699</v>
      </c>
      <c r="BJ451" s="2">
        <v>17.209413668884</v>
      </c>
      <c r="BK451" s="2">
        <v>17.6145363111868</v>
      </c>
      <c r="BL451" s="2">
        <v>17.6362289465952</v>
      </c>
      <c r="BM451" s="2">
        <v>18.5352194759658</v>
      </c>
      <c r="BN451" s="2">
        <v>18.202318566479601</v>
      </c>
      <c r="BO451" s="2">
        <v>17.772685974717</v>
      </c>
      <c r="BP451" s="2">
        <v>18.065937307099698</v>
      </c>
      <c r="BQ451" s="2">
        <v>17.6417758854327</v>
      </c>
      <c r="BR451" s="2">
        <v>18.3436858414691</v>
      </c>
      <c r="BS451" s="2">
        <v>18.7061333561346</v>
      </c>
      <c r="BT451" s="2">
        <v>18.089669678465501</v>
      </c>
      <c r="BU451" s="2">
        <v>17.466119728212099</v>
      </c>
      <c r="BV451" s="2">
        <v>17.292175658963401</v>
      </c>
      <c r="BW451" s="2">
        <v>16.809784203217401</v>
      </c>
      <c r="BX451" s="2">
        <v>17.846151216321601</v>
      </c>
      <c r="BY451" s="2">
        <v>18.985697901514399</v>
      </c>
      <c r="BZ451" s="2">
        <v>17.653462998468999</v>
      </c>
      <c r="CA451" s="2">
        <v>18.648618583392601</v>
      </c>
      <c r="CB451" s="2">
        <v>17.550273699216401</v>
      </c>
      <c r="CC451" s="2">
        <v>17.666865373987399</v>
      </c>
      <c r="CD451" s="2">
        <v>17.483152112112901</v>
      </c>
      <c r="CE451" s="2">
        <v>15.9796830834949</v>
      </c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</row>
    <row r="452" spans="1:97">
      <c r="A452" s="2" t="s">
        <v>4552</v>
      </c>
      <c r="B452" s="2">
        <v>241.18042</v>
      </c>
      <c r="C452" s="2">
        <v>10.484</v>
      </c>
      <c r="D452" s="2" t="s">
        <v>146</v>
      </c>
      <c r="E452" s="2" t="s">
        <v>4553</v>
      </c>
      <c r="F452" s="2" t="s">
        <v>4554</v>
      </c>
      <c r="G452" s="2">
        <v>9959</v>
      </c>
      <c r="H452" s="3" t="str">
        <f>HYPERLINK("https://cloud.oebiotech.com/#/lm/network/9959", "https://cloud.oebiotech.com/#/lm/network/9959")</f>
        <v>https://cloud.oebiotech.com/#/lm/network/9959</v>
      </c>
      <c r="I452" s="2"/>
      <c r="J452" s="2">
        <v>98167</v>
      </c>
      <c r="K452" s="2" t="s">
        <v>4555</v>
      </c>
      <c r="L452" s="2">
        <v>10888854</v>
      </c>
      <c r="M452" s="2"/>
      <c r="N452" s="2"/>
      <c r="O452" s="2"/>
      <c r="P452" s="2"/>
      <c r="Q452" s="2"/>
      <c r="R452" s="2"/>
      <c r="S452" s="2"/>
      <c r="T452" s="2" t="s">
        <v>4556</v>
      </c>
      <c r="U452" s="2" t="s">
        <v>4557</v>
      </c>
      <c r="V452" s="2" t="s">
        <v>338</v>
      </c>
      <c r="W452" s="2" t="s">
        <v>339</v>
      </c>
      <c r="X452" s="2" t="s">
        <v>340</v>
      </c>
      <c r="Y452" s="2" t="s">
        <v>341</v>
      </c>
      <c r="Z452" s="2" t="s">
        <v>341</v>
      </c>
      <c r="AA452" s="2" t="s">
        <v>342</v>
      </c>
      <c r="AB452" s="2" t="s">
        <v>3086</v>
      </c>
      <c r="AC452" s="2">
        <v>63.9</v>
      </c>
      <c r="AD452" s="2">
        <v>98.92</v>
      </c>
      <c r="AE452" s="2">
        <v>41.7</v>
      </c>
      <c r="AF452" s="2" t="s">
        <v>4558</v>
      </c>
      <c r="AG452" s="2" t="s">
        <v>157</v>
      </c>
      <c r="AH452" s="2" t="s">
        <v>4559</v>
      </c>
      <c r="AI452" s="2">
        <v>2.0699999999999998</v>
      </c>
      <c r="AJ452" s="2">
        <v>21.631795800570501</v>
      </c>
      <c r="AK452" s="2">
        <v>21.634696983826402</v>
      </c>
      <c r="AL452" s="2">
        <v>21.5572516993162</v>
      </c>
      <c r="AM452" s="2">
        <v>21.605940233866999</v>
      </c>
      <c r="AN452" s="2">
        <v>21.482263096038</v>
      </c>
      <c r="AO452" s="2">
        <v>21.633510846241599</v>
      </c>
      <c r="AP452" s="2">
        <v>21.5960040548363</v>
      </c>
      <c r="AQ452" s="2">
        <v>21.5193096873566</v>
      </c>
      <c r="AR452" s="2">
        <v>19.6549023105947</v>
      </c>
      <c r="AS452" s="2">
        <v>21.2270810449265</v>
      </c>
      <c r="AT452" s="2">
        <v>22.3607514243573</v>
      </c>
      <c r="AU452" s="2">
        <v>19.892832301341301</v>
      </c>
      <c r="AV452" s="2">
        <v>20.020888528186099</v>
      </c>
      <c r="AW452" s="2">
        <v>20.628662400865601</v>
      </c>
      <c r="AX452" s="2">
        <v>21.415184399379999</v>
      </c>
      <c r="AY452" s="2">
        <v>20.269961696612299</v>
      </c>
      <c r="AZ452" s="2">
        <v>18.339410878027401</v>
      </c>
      <c r="BA452" s="2">
        <v>21.987690579950701</v>
      </c>
      <c r="BB452" s="2">
        <v>22.143237195489299</v>
      </c>
      <c r="BC452" s="2">
        <v>22.678307480612101</v>
      </c>
      <c r="BD452" s="2">
        <v>18.875547849995101</v>
      </c>
      <c r="BE452" s="2">
        <v>20.764108349791702</v>
      </c>
      <c r="BF452" s="2">
        <v>20.785310958391399</v>
      </c>
      <c r="BG452" s="2">
        <v>22.119808117024601</v>
      </c>
      <c r="BH452" s="2">
        <v>20.195839231718899</v>
      </c>
      <c r="BI452" s="2">
        <v>21.7722527195398</v>
      </c>
      <c r="BJ452" s="2">
        <v>21.2116866476002</v>
      </c>
      <c r="BK452" s="2">
        <v>19.7554733247866</v>
      </c>
      <c r="BL452" s="2">
        <v>22.194353974563299</v>
      </c>
      <c r="BM452" s="2">
        <v>20.2103438039899</v>
      </c>
      <c r="BN452" s="2">
        <v>21.722216863677001</v>
      </c>
      <c r="BO452" s="2">
        <v>21.704301840119101</v>
      </c>
      <c r="BP452" s="2">
        <v>21.128996494881299</v>
      </c>
      <c r="BQ452" s="2">
        <v>22.273815056561101</v>
      </c>
      <c r="BR452" s="2">
        <v>21.908601760799101</v>
      </c>
      <c r="BS452" s="2">
        <v>18.903940817561399</v>
      </c>
      <c r="BT452" s="2">
        <v>20.0850125704149</v>
      </c>
      <c r="BU452" s="2">
        <v>22.0739936304042</v>
      </c>
      <c r="BV452" s="2">
        <v>22.120628725822201</v>
      </c>
      <c r="BW452" s="2">
        <v>21.362288282369398</v>
      </c>
      <c r="BX452" s="2">
        <v>20.2406816098581</v>
      </c>
      <c r="BY452" s="2">
        <v>20.7494581585437</v>
      </c>
      <c r="BZ452" s="2">
        <v>21.3198801695764</v>
      </c>
      <c r="CA452" s="2">
        <v>20.354416737502898</v>
      </c>
      <c r="CB452" s="2">
        <v>22.073927079173899</v>
      </c>
      <c r="CC452" s="2">
        <v>22.3711557786736</v>
      </c>
      <c r="CD452" s="2">
        <v>20.798637542855001</v>
      </c>
      <c r="CE452" s="2">
        <v>22.3092804654388</v>
      </c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</row>
    <row r="453" spans="1:97">
      <c r="A453" s="2" t="s">
        <v>4560</v>
      </c>
      <c r="B453" s="2">
        <v>321.14665000000002</v>
      </c>
      <c r="C453" s="2">
        <v>7.8490000000000002</v>
      </c>
      <c r="D453" s="2" t="s">
        <v>146</v>
      </c>
      <c r="E453" s="2" t="s">
        <v>4561</v>
      </c>
      <c r="F453" s="2" t="s">
        <v>4562</v>
      </c>
      <c r="G453" s="2">
        <v>202744</v>
      </c>
      <c r="H453" s="3" t="str">
        <f>HYPERLINK("https://cloud.oebiotech.com/#/lm/network/202744", "https://cloud.oebiotech.com/#/lm/network/202744")</f>
        <v>https://cloud.oebiotech.com/#/lm/network/202744</v>
      </c>
      <c r="I453" s="2" t="s">
        <v>4563</v>
      </c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 t="s">
        <v>4564</v>
      </c>
      <c r="U453" s="2" t="s">
        <v>4565</v>
      </c>
      <c r="V453" s="2" t="s">
        <v>115</v>
      </c>
      <c r="W453" s="2" t="s">
        <v>4566</v>
      </c>
      <c r="X453" s="2" t="s">
        <v>4567</v>
      </c>
      <c r="Y453" s="2" t="s">
        <v>118</v>
      </c>
      <c r="Z453" s="2" t="s">
        <v>4568</v>
      </c>
      <c r="AA453" s="2" t="s">
        <v>4569</v>
      </c>
      <c r="AB453" s="2" t="s">
        <v>3086</v>
      </c>
      <c r="AC453" s="2">
        <v>63.9</v>
      </c>
      <c r="AD453" s="2">
        <v>90.99</v>
      </c>
      <c r="AE453" s="2">
        <v>34.733571428571402</v>
      </c>
      <c r="AF453" s="2" t="s">
        <v>4570</v>
      </c>
      <c r="AG453" s="2" t="s">
        <v>194</v>
      </c>
      <c r="AH453" s="2" t="s">
        <v>4571</v>
      </c>
      <c r="AI453" s="2">
        <v>1.56</v>
      </c>
      <c r="AJ453" s="2">
        <v>19.308030998790802</v>
      </c>
      <c r="AK453" s="2">
        <v>19.367118482350001</v>
      </c>
      <c r="AL453" s="2">
        <v>19.346390044915498</v>
      </c>
      <c r="AM453" s="2">
        <v>19.392423567221201</v>
      </c>
      <c r="AN453" s="2">
        <v>19.408012391249201</v>
      </c>
      <c r="AO453" s="2">
        <v>19.3404475668092</v>
      </c>
      <c r="AP453" s="2">
        <v>19.331693129422799</v>
      </c>
      <c r="AQ453" s="2">
        <v>19.342101542876101</v>
      </c>
      <c r="AR453" s="2">
        <v>18.969776374087601</v>
      </c>
      <c r="AS453" s="2">
        <v>19.472123843742899</v>
      </c>
      <c r="AT453" s="2">
        <v>19.340249087395499</v>
      </c>
      <c r="AU453" s="2">
        <v>19.512831241699502</v>
      </c>
      <c r="AV453" s="2">
        <v>19.572445976299601</v>
      </c>
      <c r="AW453" s="2">
        <v>16.553886188105199</v>
      </c>
      <c r="AX453" s="2">
        <v>19.391276550382699</v>
      </c>
      <c r="AY453" s="2">
        <v>17.434891086387999</v>
      </c>
      <c r="AZ453" s="2">
        <v>18.843713950719</v>
      </c>
      <c r="BA453" s="2">
        <v>18.548861898329999</v>
      </c>
      <c r="BB453" s="2">
        <v>19.766291109856301</v>
      </c>
      <c r="BC453" s="2">
        <v>20.441035750673102</v>
      </c>
      <c r="BD453" s="2">
        <v>18.336896679079601</v>
      </c>
      <c r="BE453" s="2">
        <v>20.494321868109001</v>
      </c>
      <c r="BF453" s="2">
        <v>18.112860862558801</v>
      </c>
      <c r="BG453" s="2">
        <v>17.5589211719163</v>
      </c>
      <c r="BH453" s="2">
        <v>18.3475212836642</v>
      </c>
      <c r="BI453" s="2">
        <v>18.883022084308099</v>
      </c>
      <c r="BJ453" s="2">
        <v>18.386036552358799</v>
      </c>
      <c r="BK453" s="2">
        <v>17.799393568734999</v>
      </c>
      <c r="BL453" s="2">
        <v>19.6484567709064</v>
      </c>
      <c r="BM453" s="2">
        <v>20.473399052381801</v>
      </c>
      <c r="BN453" s="2">
        <v>19.327921318351901</v>
      </c>
      <c r="BO453" s="2">
        <v>18.441379558805799</v>
      </c>
      <c r="BP453" s="2">
        <v>19.198875555493402</v>
      </c>
      <c r="BQ453" s="2">
        <v>17.0904426547987</v>
      </c>
      <c r="BR453" s="2">
        <v>19.623862311950202</v>
      </c>
      <c r="BS453" s="2">
        <v>17.955873835683001</v>
      </c>
      <c r="BT453" s="2">
        <v>17.557947071837699</v>
      </c>
      <c r="BU453" s="2">
        <v>18.9275529573843</v>
      </c>
      <c r="BV453" s="2">
        <v>20.224604999464201</v>
      </c>
      <c r="BW453" s="2">
        <v>18.546433712085001</v>
      </c>
      <c r="BX453" s="2">
        <v>18.303936474721301</v>
      </c>
      <c r="BY453" s="2">
        <v>20.967394477406302</v>
      </c>
      <c r="BZ453" s="2">
        <v>18.404793024107601</v>
      </c>
      <c r="CA453" s="2">
        <v>16.849064302190001</v>
      </c>
      <c r="CB453" s="2">
        <v>19.0091621484139</v>
      </c>
      <c r="CC453" s="2">
        <v>18.5661054856051</v>
      </c>
      <c r="CD453" s="2">
        <v>19.054487416434</v>
      </c>
      <c r="CE453" s="2">
        <v>18.0816443550267</v>
      </c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</row>
    <row r="454" spans="1:97">
      <c r="A454" s="2" t="s">
        <v>4572</v>
      </c>
      <c r="B454" s="2">
        <v>318.18072999999998</v>
      </c>
      <c r="C454" s="2">
        <v>4.7380000000000004</v>
      </c>
      <c r="D454" s="2" t="s">
        <v>84</v>
      </c>
      <c r="E454" s="2" t="s">
        <v>4573</v>
      </c>
      <c r="F454" s="2" t="s">
        <v>4574</v>
      </c>
      <c r="G454" s="2">
        <v>266211</v>
      </c>
      <c r="H454" s="3" t="str">
        <f>HYPERLINK("https://cloud.oebiotech.com/#/lm/network/266211", "https://cloud.oebiotech.com/#/lm/network/266211")</f>
        <v>https://cloud.oebiotech.com/#/lm/network/266211</v>
      </c>
      <c r="I454" s="2"/>
      <c r="J454" s="2">
        <v>23951</v>
      </c>
      <c r="K454" s="2"/>
      <c r="L454" s="2">
        <v>6997510</v>
      </c>
      <c r="M454" s="2"/>
      <c r="N454" s="2"/>
      <c r="O454" s="2"/>
      <c r="P454" s="2"/>
      <c r="Q454" s="2"/>
      <c r="R454" s="2"/>
      <c r="S454" s="2"/>
      <c r="T454" s="2" t="s">
        <v>4575</v>
      </c>
      <c r="U454" s="2" t="s">
        <v>4576</v>
      </c>
      <c r="V454" s="2" t="s">
        <v>115</v>
      </c>
      <c r="W454" s="2" t="s">
        <v>116</v>
      </c>
      <c r="X454" s="2" t="s">
        <v>117</v>
      </c>
      <c r="Y454" s="2" t="s">
        <v>118</v>
      </c>
      <c r="Z454" s="2" t="s">
        <v>119</v>
      </c>
      <c r="AA454" s="2" t="s">
        <v>120</v>
      </c>
      <c r="AB454" s="2" t="s">
        <v>101</v>
      </c>
      <c r="AC454" s="2">
        <v>63.88</v>
      </c>
      <c r="AD454" s="2">
        <v>88.88</v>
      </c>
      <c r="AE454" s="2">
        <v>59.61</v>
      </c>
      <c r="AF454" s="2" t="s">
        <v>4577</v>
      </c>
      <c r="AG454" s="2" t="s">
        <v>103</v>
      </c>
      <c r="AH454" s="2" t="s">
        <v>4578</v>
      </c>
      <c r="AI454" s="2">
        <v>1.57</v>
      </c>
      <c r="AJ454" s="2">
        <v>18.801345429499399</v>
      </c>
      <c r="AK454" s="2">
        <v>19.0814776647222</v>
      </c>
      <c r="AL454" s="2">
        <v>19.0214675004935</v>
      </c>
      <c r="AM454" s="2">
        <v>18.710711541207498</v>
      </c>
      <c r="AN454" s="2">
        <v>18.764575468437101</v>
      </c>
      <c r="AO454" s="2">
        <v>18.907342012914999</v>
      </c>
      <c r="AP454" s="2">
        <v>19.0259889680061</v>
      </c>
      <c r="AQ454" s="2">
        <v>18.719633206986401</v>
      </c>
      <c r="AR454" s="2">
        <v>18.244367040816801</v>
      </c>
      <c r="AS454" s="2">
        <v>17.636693788613801</v>
      </c>
      <c r="AT454" s="2">
        <v>18.155501971454498</v>
      </c>
      <c r="AU454" s="2">
        <v>18.398658989560602</v>
      </c>
      <c r="AV454" s="2">
        <v>18.568854027713499</v>
      </c>
      <c r="AW454" s="2">
        <v>19.336369239049301</v>
      </c>
      <c r="AX454" s="2">
        <v>17.8783805624062</v>
      </c>
      <c r="AY454" s="2">
        <v>18.6519694504664</v>
      </c>
      <c r="AZ454" s="2">
        <v>18.386098921778899</v>
      </c>
      <c r="BA454" s="2">
        <v>18.444454418442799</v>
      </c>
      <c r="BB454" s="2">
        <v>19.5498120558252</v>
      </c>
      <c r="BC454" s="2">
        <v>18.884994889426299</v>
      </c>
      <c r="BD454" s="2">
        <v>18.490870536334</v>
      </c>
      <c r="BE454" s="2">
        <v>19.202814847625898</v>
      </c>
      <c r="BF454" s="2">
        <v>18.577960785708299</v>
      </c>
      <c r="BG454" s="2">
        <v>19.434454733354499</v>
      </c>
      <c r="BH454" s="2">
        <v>19.132083418712401</v>
      </c>
      <c r="BI454" s="2">
        <v>18.5811350655908</v>
      </c>
      <c r="BJ454" s="2">
        <v>18.704892323682198</v>
      </c>
      <c r="BK454" s="2">
        <v>18.818501386842801</v>
      </c>
      <c r="BL454" s="2">
        <v>18.790545360839001</v>
      </c>
      <c r="BM454" s="2">
        <v>18.979680236929099</v>
      </c>
      <c r="BN454" s="2">
        <v>19.413597086163101</v>
      </c>
      <c r="BO454" s="2">
        <v>18.409512757838801</v>
      </c>
      <c r="BP454" s="2">
        <v>18.5692270730422</v>
      </c>
      <c r="BQ454" s="2">
        <v>19.292421419532999</v>
      </c>
      <c r="BR454" s="2">
        <v>18.794090644527898</v>
      </c>
      <c r="BS454" s="2">
        <v>19.018422539482899</v>
      </c>
      <c r="BT454" s="2">
        <v>18.274665975538898</v>
      </c>
      <c r="BU454" s="2">
        <v>18.369083710490202</v>
      </c>
      <c r="BV454" s="2">
        <v>19.620903356159101</v>
      </c>
      <c r="BW454" s="2">
        <v>17.825150161789502</v>
      </c>
      <c r="BX454" s="2">
        <v>18.925829062398499</v>
      </c>
      <c r="BY454" s="2">
        <v>19.458778842472299</v>
      </c>
      <c r="BZ454" s="2">
        <v>18.573202008286302</v>
      </c>
      <c r="CA454" s="2">
        <v>19.187421911452098</v>
      </c>
      <c r="CB454" s="2">
        <v>18.281943425416401</v>
      </c>
      <c r="CC454" s="2">
        <v>18.9034961311486</v>
      </c>
      <c r="CD454" s="2">
        <v>18.8181772426436</v>
      </c>
      <c r="CE454" s="2">
        <v>18.970634988153201</v>
      </c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</row>
    <row r="455" spans="1:97">
      <c r="A455" s="2" t="s">
        <v>4579</v>
      </c>
      <c r="B455" s="2">
        <v>264.98784999999998</v>
      </c>
      <c r="C455" s="2">
        <v>0.90400000000000003</v>
      </c>
      <c r="D455" s="2" t="s">
        <v>146</v>
      </c>
      <c r="E455" s="2" t="s">
        <v>4580</v>
      </c>
      <c r="F455" s="2" t="s">
        <v>4581</v>
      </c>
      <c r="G455" s="2">
        <v>51897</v>
      </c>
      <c r="H455" s="3" t="str">
        <f>HYPERLINK("https://cloud.oebiotech.com/#/lm/network/51897", "https://cloud.oebiotech.com/#/lm/network/51897")</f>
        <v>https://cloud.oebiotech.com/#/lm/network/51897</v>
      </c>
      <c r="I455" s="2" t="s">
        <v>4582</v>
      </c>
      <c r="J455" s="2">
        <v>62847</v>
      </c>
      <c r="K455" s="2"/>
      <c r="L455" s="2">
        <v>440160</v>
      </c>
      <c r="M455" s="2" t="s">
        <v>4583</v>
      </c>
      <c r="N455" s="2" t="s">
        <v>4584</v>
      </c>
      <c r="O455" s="2" t="s">
        <v>4585</v>
      </c>
      <c r="P455" s="2">
        <v>15807</v>
      </c>
      <c r="Q455" s="2"/>
      <c r="R455" s="2"/>
      <c r="S455" s="2" t="s">
        <v>4586</v>
      </c>
      <c r="T455" s="2" t="s">
        <v>4587</v>
      </c>
      <c r="U455" s="2" t="s">
        <v>4588</v>
      </c>
      <c r="V455" s="2" t="s">
        <v>115</v>
      </c>
      <c r="W455" s="2" t="s">
        <v>4566</v>
      </c>
      <c r="X455" s="2" t="s">
        <v>4567</v>
      </c>
      <c r="Y455" s="2" t="s">
        <v>118</v>
      </c>
      <c r="Z455" s="2" t="s">
        <v>4568</v>
      </c>
      <c r="AA455" s="2" t="s">
        <v>4569</v>
      </c>
      <c r="AB455" s="2" t="s">
        <v>3086</v>
      </c>
      <c r="AC455" s="2">
        <v>63.83</v>
      </c>
      <c r="AD455" s="2">
        <v>78.84</v>
      </c>
      <c r="AE455" s="2">
        <v>42.503571428571398</v>
      </c>
      <c r="AF455" s="2" t="s">
        <v>4589</v>
      </c>
      <c r="AG455" s="2" t="s">
        <v>4062</v>
      </c>
      <c r="AH455" s="2" t="s">
        <v>4590</v>
      </c>
      <c r="AI455" s="2">
        <v>3.02</v>
      </c>
      <c r="AJ455" s="2">
        <v>21.853319813550399</v>
      </c>
      <c r="AK455" s="2">
        <v>21.808177531114001</v>
      </c>
      <c r="AL455" s="2">
        <v>21.730479063944902</v>
      </c>
      <c r="AM455" s="2">
        <v>21.811735665507801</v>
      </c>
      <c r="AN455" s="2">
        <v>21.687573118442401</v>
      </c>
      <c r="AO455" s="2">
        <v>21.5950995632858</v>
      </c>
      <c r="AP455" s="2">
        <v>21.7025863899567</v>
      </c>
      <c r="AQ455" s="2">
        <v>21.183165310144101</v>
      </c>
      <c r="AR455" s="2">
        <v>21.3515989774579</v>
      </c>
      <c r="AS455" s="2">
        <v>20.989089323020899</v>
      </c>
      <c r="AT455" s="2">
        <v>21.381547777705901</v>
      </c>
      <c r="AU455" s="2">
        <v>21.560263246832001</v>
      </c>
      <c r="AV455" s="2">
        <v>21.296127706353602</v>
      </c>
      <c r="AW455" s="2">
        <v>21.967884257864601</v>
      </c>
      <c r="AX455" s="2">
        <v>22.050912889320902</v>
      </c>
      <c r="AY455" s="2">
        <v>21.389255014224201</v>
      </c>
      <c r="AZ455" s="2">
        <v>21.603920102260901</v>
      </c>
      <c r="BA455" s="2">
        <v>21.664829177274299</v>
      </c>
      <c r="BB455" s="2">
        <v>21.667239579147999</v>
      </c>
      <c r="BC455" s="2">
        <v>20.333428156129401</v>
      </c>
      <c r="BD455" s="2">
        <v>21.1271014696087</v>
      </c>
      <c r="BE455" s="2">
        <v>21.272022528191702</v>
      </c>
      <c r="BF455" s="2">
        <v>21.327307132377999</v>
      </c>
      <c r="BG455" s="2">
        <v>21.903918821058301</v>
      </c>
      <c r="BH455" s="2">
        <v>21.851944365700799</v>
      </c>
      <c r="BI455" s="2">
        <v>22.587186037756201</v>
      </c>
      <c r="BJ455" s="2">
        <v>21.1328185284504</v>
      </c>
      <c r="BK455" s="2">
        <v>21.9450456830067</v>
      </c>
      <c r="BL455" s="2">
        <v>21.274323315586599</v>
      </c>
      <c r="BM455" s="2">
        <v>21.259155222973899</v>
      </c>
      <c r="BN455" s="2">
        <v>21.7158767889165</v>
      </c>
      <c r="BO455" s="2">
        <v>22.042553193743</v>
      </c>
      <c r="BP455" s="2">
        <v>21.198506869058502</v>
      </c>
      <c r="BQ455" s="2">
        <v>22.215605631169499</v>
      </c>
      <c r="BR455" s="2">
        <v>21.839737995327301</v>
      </c>
      <c r="BS455" s="2">
        <v>21.8686998073123</v>
      </c>
      <c r="BT455" s="2">
        <v>21.1163939312545</v>
      </c>
      <c r="BU455" s="2">
        <v>21.255967395889002</v>
      </c>
      <c r="BV455" s="2">
        <v>21.1695095049113</v>
      </c>
      <c r="BW455" s="2">
        <v>20.342044221501698</v>
      </c>
      <c r="BX455" s="2">
        <v>21.092948398148501</v>
      </c>
      <c r="BY455" s="2">
        <v>21.345422302642799</v>
      </c>
      <c r="BZ455" s="2">
        <v>20.904298927716599</v>
      </c>
      <c r="CA455" s="2">
        <v>20.632160326193802</v>
      </c>
      <c r="CB455" s="2">
        <v>21.041550941708302</v>
      </c>
      <c r="CC455" s="2">
        <v>21.944569235811201</v>
      </c>
      <c r="CD455" s="2">
        <v>20.840572845264202</v>
      </c>
      <c r="CE455" s="2">
        <v>21.978039534323099</v>
      </c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</row>
    <row r="456" spans="1:97">
      <c r="A456" s="2" t="s">
        <v>4591</v>
      </c>
      <c r="B456" s="2">
        <v>768.58835999999997</v>
      </c>
      <c r="C456" s="2">
        <v>11.246</v>
      </c>
      <c r="D456" s="2" t="s">
        <v>84</v>
      </c>
      <c r="E456" s="2" t="s">
        <v>4592</v>
      </c>
      <c r="F456" s="2" t="s">
        <v>4593</v>
      </c>
      <c r="G456" s="2">
        <v>49690</v>
      </c>
      <c r="H456" s="3" t="str">
        <f>HYPERLINK("https://cloud.oebiotech.com/#/lm/network/49690", "https://cloud.oebiotech.com/#/lm/network/49690")</f>
        <v>https://cloud.oebiotech.com/#/lm/network/49690</v>
      </c>
      <c r="I456" s="2" t="s">
        <v>4594</v>
      </c>
      <c r="J456" s="2">
        <v>59836</v>
      </c>
      <c r="K456" s="2"/>
      <c r="L456" s="2">
        <v>53479001</v>
      </c>
      <c r="M456" s="2" t="s">
        <v>4595</v>
      </c>
      <c r="N456" s="2" t="s">
        <v>4596</v>
      </c>
      <c r="O456" s="2" t="s">
        <v>4597</v>
      </c>
      <c r="P456" s="2">
        <v>89204</v>
      </c>
      <c r="Q456" s="2"/>
      <c r="R456" s="2"/>
      <c r="S456" s="2"/>
      <c r="T456" s="2" t="s">
        <v>4598</v>
      </c>
      <c r="U456" s="2" t="s">
        <v>4599</v>
      </c>
      <c r="V456" s="2" t="s">
        <v>95</v>
      </c>
      <c r="W456" s="2" t="s">
        <v>202</v>
      </c>
      <c r="X456" s="2" t="s">
        <v>203</v>
      </c>
      <c r="Y456" s="2" t="s">
        <v>98</v>
      </c>
      <c r="Z456" s="2" t="s">
        <v>204</v>
      </c>
      <c r="AA456" s="2" t="s">
        <v>205</v>
      </c>
      <c r="AB456" s="2" t="s">
        <v>101</v>
      </c>
      <c r="AC456" s="2">
        <v>63.81</v>
      </c>
      <c r="AD456" s="2">
        <v>67.19</v>
      </c>
      <c r="AE456" s="2">
        <v>72.97</v>
      </c>
      <c r="AF456" s="2" t="s">
        <v>4600</v>
      </c>
      <c r="AG456" s="2" t="s">
        <v>103</v>
      </c>
      <c r="AH456" s="2" t="s">
        <v>4601</v>
      </c>
      <c r="AI456" s="2">
        <v>2.21</v>
      </c>
      <c r="AJ456" s="2">
        <v>23.722307402927498</v>
      </c>
      <c r="AK456" s="2">
        <v>23.552755915371598</v>
      </c>
      <c r="AL456" s="2">
        <v>24.214652368704499</v>
      </c>
      <c r="AM456" s="2">
        <v>24.523583720820699</v>
      </c>
      <c r="AN456" s="2">
        <v>23.664225497731501</v>
      </c>
      <c r="AO456" s="2">
        <v>24.091367955189799</v>
      </c>
      <c r="AP456" s="2">
        <v>24.550822898805801</v>
      </c>
      <c r="AQ456" s="2">
        <v>24.440641681136601</v>
      </c>
      <c r="AR456" s="2">
        <v>22.918980535021301</v>
      </c>
      <c r="AS456" s="2">
        <v>9.6233145402724691</v>
      </c>
      <c r="AT456" s="2">
        <v>23.129555036011201</v>
      </c>
      <c r="AU456" s="2">
        <v>24.548286496904002</v>
      </c>
      <c r="AV456" s="2">
        <v>24.369710950877401</v>
      </c>
      <c r="AW456" s="2">
        <v>23.687101789471502</v>
      </c>
      <c r="AX456" s="2">
        <v>24.5115705261959</v>
      </c>
      <c r="AY456" s="2">
        <v>24.003830675886501</v>
      </c>
      <c r="AZ456" s="2">
        <v>24.046668918342199</v>
      </c>
      <c r="BA456" s="2">
        <v>24.021898280933598</v>
      </c>
      <c r="BB456" s="2">
        <v>24.252933968346699</v>
      </c>
      <c r="BC456" s="2">
        <v>23.909184075037899</v>
      </c>
      <c r="BD456" s="2">
        <v>24.487133503667799</v>
      </c>
      <c r="BE456" s="2">
        <v>24.264846454666198</v>
      </c>
      <c r="BF456" s="2">
        <v>23.9053565297292</v>
      </c>
      <c r="BG456" s="2">
        <v>24.488751411306598</v>
      </c>
      <c r="BH456" s="2">
        <v>23.255934346634699</v>
      </c>
      <c r="BI456" s="2">
        <v>24.663516107503899</v>
      </c>
      <c r="BJ456" s="2">
        <v>23.236730966463099</v>
      </c>
      <c r="BK456" s="2">
        <v>24.337126161106401</v>
      </c>
      <c r="BL456" s="2">
        <v>24.519922191896001</v>
      </c>
      <c r="BM456" s="2">
        <v>24.365454114573001</v>
      </c>
      <c r="BN456" s="2">
        <v>24.466499397629001</v>
      </c>
      <c r="BO456" s="2">
        <v>25.538895920145102</v>
      </c>
      <c r="BP456" s="2">
        <v>23.934320593184498</v>
      </c>
      <c r="BQ456" s="2">
        <v>23.071886303655599</v>
      </c>
      <c r="BR456" s="2">
        <v>24.282098180504001</v>
      </c>
      <c r="BS456" s="2">
        <v>24.115667567166401</v>
      </c>
      <c r="BT456" s="2">
        <v>24.301481987477601</v>
      </c>
      <c r="BU456" s="2">
        <v>24.238944199100398</v>
      </c>
      <c r="BV456" s="2">
        <v>24.359167173300399</v>
      </c>
      <c r="BW456" s="2">
        <v>24.601187271834998</v>
      </c>
      <c r="BX456" s="2">
        <v>23.907732459542199</v>
      </c>
      <c r="BY456" s="2">
        <v>24.296091009269698</v>
      </c>
      <c r="BZ456" s="2">
        <v>23.7583595361133</v>
      </c>
      <c r="CA456" s="2">
        <v>22.534704987136401</v>
      </c>
      <c r="CB456" s="2">
        <v>24.383692939514798</v>
      </c>
      <c r="CC456" s="2">
        <v>23.823554679330801</v>
      </c>
      <c r="CD456" s="2">
        <v>24.270754980094299</v>
      </c>
      <c r="CE456" s="2">
        <v>23.9083292224452</v>
      </c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</row>
    <row r="457" spans="1:97">
      <c r="A457" s="2" t="s">
        <v>4602</v>
      </c>
      <c r="B457" s="2">
        <v>363.25355000000002</v>
      </c>
      <c r="C457" s="2">
        <v>11.112</v>
      </c>
      <c r="D457" s="2" t="s">
        <v>146</v>
      </c>
      <c r="E457" s="2" t="s">
        <v>4603</v>
      </c>
      <c r="F457" s="2" t="s">
        <v>4604</v>
      </c>
      <c r="G457" s="2">
        <v>82309</v>
      </c>
      <c r="H457" s="3" t="str">
        <f>HYPERLINK("https://cloud.oebiotech.com/#/lm/network/82309", "https://cloud.oebiotech.com/#/lm/network/82309")</f>
        <v>https://cloud.oebiotech.com/#/lm/network/82309</v>
      </c>
      <c r="I457" s="2" t="s">
        <v>4605</v>
      </c>
      <c r="J457" s="2"/>
      <c r="K457" s="2"/>
      <c r="L457" s="2">
        <v>3080558</v>
      </c>
      <c r="M457" s="2" t="s">
        <v>4606</v>
      </c>
      <c r="N457" s="2" t="s">
        <v>1564</v>
      </c>
      <c r="O457" s="2" t="s">
        <v>1565</v>
      </c>
      <c r="P457" s="2">
        <v>81469</v>
      </c>
      <c r="Q457" s="2"/>
      <c r="R457" s="2"/>
      <c r="S457" s="2"/>
      <c r="T457" s="2" t="s">
        <v>4607</v>
      </c>
      <c r="U457" s="2" t="s">
        <v>4608</v>
      </c>
      <c r="V457" s="2" t="s">
        <v>95</v>
      </c>
      <c r="W457" s="2" t="s">
        <v>152</v>
      </c>
      <c r="X457" s="2" t="s">
        <v>4609</v>
      </c>
      <c r="Y457" s="2" t="s">
        <v>98</v>
      </c>
      <c r="Z457" s="2" t="s">
        <v>154</v>
      </c>
      <c r="AA457" s="2" t="s">
        <v>4610</v>
      </c>
      <c r="AB457" s="2" t="s">
        <v>101</v>
      </c>
      <c r="AC457" s="2">
        <v>63.76</v>
      </c>
      <c r="AD457" s="2">
        <v>85.2</v>
      </c>
      <c r="AE457" s="2">
        <v>49.71</v>
      </c>
      <c r="AF457" s="2" t="s">
        <v>4611</v>
      </c>
      <c r="AG457" s="2" t="s">
        <v>157</v>
      </c>
      <c r="AH457" s="2" t="s">
        <v>2547</v>
      </c>
      <c r="AI457" s="2">
        <v>1.38</v>
      </c>
      <c r="AJ457" s="2">
        <v>20.1207611953255</v>
      </c>
      <c r="AK457" s="2">
        <v>20.077873983460201</v>
      </c>
      <c r="AL457" s="2">
        <v>20.115820625370201</v>
      </c>
      <c r="AM457" s="2">
        <v>19.838662836012102</v>
      </c>
      <c r="AN457" s="2">
        <v>19.997765398904001</v>
      </c>
      <c r="AO457" s="2">
        <v>19.893596477018399</v>
      </c>
      <c r="AP457" s="2">
        <v>19.849423488839001</v>
      </c>
      <c r="AQ457" s="2">
        <v>19.218982044313201</v>
      </c>
      <c r="AR457" s="2">
        <v>19.397532630719201</v>
      </c>
      <c r="AS457" s="2">
        <v>18.056839521673101</v>
      </c>
      <c r="AT457" s="2">
        <v>19.374791455313702</v>
      </c>
      <c r="AU457" s="2">
        <v>18.784630021486802</v>
      </c>
      <c r="AV457" s="2">
        <v>20.284782267967099</v>
      </c>
      <c r="AW457" s="2">
        <v>20.5896068222821</v>
      </c>
      <c r="AX457" s="2">
        <v>19.080118823621</v>
      </c>
      <c r="AY457" s="2">
        <v>21.3345894797028</v>
      </c>
      <c r="AZ457" s="2">
        <v>19.841282175226699</v>
      </c>
      <c r="BA457" s="2">
        <v>18.615050810739302</v>
      </c>
      <c r="BB457" s="2">
        <v>20.070696335030998</v>
      </c>
      <c r="BC457" s="2">
        <v>20.495317658889501</v>
      </c>
      <c r="BD457" s="2">
        <v>18.652131674945899</v>
      </c>
      <c r="BE457" s="2">
        <v>20.918637551095301</v>
      </c>
      <c r="BF457" s="2">
        <v>19.3558962629583</v>
      </c>
      <c r="BG457" s="2">
        <v>18.948095354510201</v>
      </c>
      <c r="BH457" s="2">
        <v>19.882749039950099</v>
      </c>
      <c r="BI457" s="2">
        <v>19.785519917300501</v>
      </c>
      <c r="BJ457" s="2">
        <v>20.201239389711098</v>
      </c>
      <c r="BK457" s="2">
        <v>18.660799828214198</v>
      </c>
      <c r="BL457" s="2">
        <v>19.7710530531158</v>
      </c>
      <c r="BM457" s="2">
        <v>19.248861406388801</v>
      </c>
      <c r="BN457" s="2">
        <v>18.666775797479399</v>
      </c>
      <c r="BO457" s="2">
        <v>19.528717148019101</v>
      </c>
      <c r="BP457" s="2">
        <v>19.825896685656399</v>
      </c>
      <c r="BQ457" s="2">
        <v>19.7804108718497</v>
      </c>
      <c r="BR457" s="2">
        <v>19.525505955542101</v>
      </c>
      <c r="BS457" s="2">
        <v>21.160297029696501</v>
      </c>
      <c r="BT457" s="2">
        <v>20.116356590348602</v>
      </c>
      <c r="BU457" s="2">
        <v>19.7888200807974</v>
      </c>
      <c r="BV457" s="2">
        <v>19.749198751755198</v>
      </c>
      <c r="BW457" s="2">
        <v>18.6843528466575</v>
      </c>
      <c r="BX457" s="2">
        <v>19.017795282443199</v>
      </c>
      <c r="BY457" s="2">
        <v>21.1049243655944</v>
      </c>
      <c r="BZ457" s="2">
        <v>18.9427170894743</v>
      </c>
      <c r="CA457" s="2">
        <v>19.404153307430501</v>
      </c>
      <c r="CB457" s="2">
        <v>18.94941900337</v>
      </c>
      <c r="CC457" s="2">
        <v>19.212806127839801</v>
      </c>
      <c r="CD457" s="2">
        <v>20.427217032893399</v>
      </c>
      <c r="CE457" s="2">
        <v>19.393911199322499</v>
      </c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</row>
    <row r="458" spans="1:97">
      <c r="A458" s="2" t="s">
        <v>4612</v>
      </c>
      <c r="B458" s="2">
        <v>368.27908000000002</v>
      </c>
      <c r="C458" s="2">
        <v>8.57</v>
      </c>
      <c r="D458" s="2" t="s">
        <v>84</v>
      </c>
      <c r="E458" s="2" t="s">
        <v>4613</v>
      </c>
      <c r="F458" s="2" t="s">
        <v>4614</v>
      </c>
      <c r="G458" s="2">
        <v>197907</v>
      </c>
      <c r="H458" s="3" t="str">
        <f>HYPERLINK("https://cloud.oebiotech.com/#/lm/network/197907", "https://cloud.oebiotech.com/#/lm/network/197907")</f>
        <v>https://cloud.oebiotech.com/#/lm/network/197907</v>
      </c>
      <c r="I458" s="2" t="s">
        <v>4615</v>
      </c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 t="s">
        <v>4616</v>
      </c>
      <c r="U458" s="2" t="s">
        <v>4617</v>
      </c>
      <c r="V458" s="2" t="s">
        <v>95</v>
      </c>
      <c r="W458" s="2" t="s">
        <v>96</v>
      </c>
      <c r="X458" s="2" t="s">
        <v>97</v>
      </c>
      <c r="Y458" s="2" t="s">
        <v>98</v>
      </c>
      <c r="Z458" s="2" t="s">
        <v>99</v>
      </c>
      <c r="AA458" s="2" t="s">
        <v>100</v>
      </c>
      <c r="AB458" s="2" t="s">
        <v>101</v>
      </c>
      <c r="AC458" s="2">
        <v>63.7</v>
      </c>
      <c r="AD458" s="2">
        <v>97.22</v>
      </c>
      <c r="AE458" s="2">
        <v>48.56</v>
      </c>
      <c r="AF458" s="2" t="s">
        <v>4618</v>
      </c>
      <c r="AG458" s="2" t="s">
        <v>1088</v>
      </c>
      <c r="AH458" s="2" t="s">
        <v>4619</v>
      </c>
      <c r="AI458" s="2">
        <v>2.72</v>
      </c>
      <c r="AJ458" s="2">
        <v>22.140853692864798</v>
      </c>
      <c r="AK458" s="2">
        <v>22.0639401958265</v>
      </c>
      <c r="AL458" s="2">
        <v>22.058152367320002</v>
      </c>
      <c r="AM458" s="2">
        <v>22.111753086313001</v>
      </c>
      <c r="AN458" s="2">
        <v>21.983688270179101</v>
      </c>
      <c r="AO458" s="2">
        <v>22.047891295597999</v>
      </c>
      <c r="AP458" s="2">
        <v>22.069168615979901</v>
      </c>
      <c r="AQ458" s="2">
        <v>22.028546925797102</v>
      </c>
      <c r="AR458" s="2">
        <v>19.505560103762399</v>
      </c>
      <c r="AS458" s="2">
        <v>20.923240439720399</v>
      </c>
      <c r="AT458" s="2">
        <v>21.953934258703999</v>
      </c>
      <c r="AU458" s="2">
        <v>20.3331328626332</v>
      </c>
      <c r="AV458" s="2">
        <v>19.996575837647001</v>
      </c>
      <c r="AW458" s="2">
        <v>21.644940212000702</v>
      </c>
      <c r="AX458" s="2">
        <v>21.076413422630999</v>
      </c>
      <c r="AY458" s="2">
        <v>21.847919271497499</v>
      </c>
      <c r="AZ458" s="2">
        <v>19.543593375119901</v>
      </c>
      <c r="BA458" s="2">
        <v>22.1595201542467</v>
      </c>
      <c r="BB458" s="2">
        <v>22.7254607905227</v>
      </c>
      <c r="BC458" s="2">
        <v>23.037657488642498</v>
      </c>
      <c r="BD458" s="2">
        <v>19.674410464511901</v>
      </c>
      <c r="BE458" s="2">
        <v>21.5332731905436</v>
      </c>
      <c r="BF458" s="2">
        <v>20.554476577034499</v>
      </c>
      <c r="BG458" s="2">
        <v>22.4069959323318</v>
      </c>
      <c r="BH458" s="2">
        <v>20.390122216679199</v>
      </c>
      <c r="BI458" s="2">
        <v>22.459971077998599</v>
      </c>
      <c r="BJ458" s="2">
        <v>21.4440471329603</v>
      </c>
      <c r="BK458" s="2">
        <v>19.724842471527701</v>
      </c>
      <c r="BL458" s="2">
        <v>22.661431551657799</v>
      </c>
      <c r="BM458" s="2">
        <v>20.346416893633599</v>
      </c>
      <c r="BN458" s="2">
        <v>20.914396366667201</v>
      </c>
      <c r="BO458" s="2">
        <v>22.374127754321901</v>
      </c>
      <c r="BP458" s="2">
        <v>22.218556274535199</v>
      </c>
      <c r="BQ458" s="2">
        <v>22.6648241025541</v>
      </c>
      <c r="BR458" s="2">
        <v>22.4675717355267</v>
      </c>
      <c r="BS458" s="2">
        <v>21.033489888267201</v>
      </c>
      <c r="BT458" s="2">
        <v>22.081376275871602</v>
      </c>
      <c r="BU458" s="2">
        <v>21.6697645835707</v>
      </c>
      <c r="BV458" s="2">
        <v>22.895180613901001</v>
      </c>
      <c r="BW458" s="2">
        <v>21.880259148910898</v>
      </c>
      <c r="BX458" s="2">
        <v>21.369191173316</v>
      </c>
      <c r="BY458" s="2">
        <v>20.707128847464499</v>
      </c>
      <c r="BZ458" s="2">
        <v>21.4408895303714</v>
      </c>
      <c r="CA458" s="2">
        <v>21.0252141688925</v>
      </c>
      <c r="CB458" s="2">
        <v>21.969619414257402</v>
      </c>
      <c r="CC458" s="2">
        <v>22.8699090922367</v>
      </c>
      <c r="CD458" s="2">
        <v>20.755346938107198</v>
      </c>
      <c r="CE458" s="2">
        <v>22.1576314409959</v>
      </c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</row>
    <row r="459" spans="1:97">
      <c r="A459" s="2" t="s">
        <v>4620</v>
      </c>
      <c r="B459" s="2">
        <v>215.16476</v>
      </c>
      <c r="C459" s="2">
        <v>9.8320000000000007</v>
      </c>
      <c r="D459" s="2" t="s">
        <v>146</v>
      </c>
      <c r="E459" s="2" t="s">
        <v>4621</v>
      </c>
      <c r="F459" s="2" t="s">
        <v>4622</v>
      </c>
      <c r="G459" s="2">
        <v>1682</v>
      </c>
      <c r="H459" s="3" t="str">
        <f>HYPERLINK("https://cloud.oebiotech.com/#/lm/network/1682", "https://cloud.oebiotech.com/#/lm/network/1682")</f>
        <v>https://cloud.oebiotech.com/#/lm/network/1682</v>
      </c>
      <c r="I459" s="2" t="s">
        <v>4623</v>
      </c>
      <c r="J459" s="2">
        <v>5376</v>
      </c>
      <c r="K459" s="2" t="s">
        <v>4624</v>
      </c>
      <c r="L459" s="2">
        <v>94216</v>
      </c>
      <c r="M459" s="2"/>
      <c r="N459" s="2"/>
      <c r="O459" s="2"/>
      <c r="P459" s="2">
        <v>36206</v>
      </c>
      <c r="Q459" s="2"/>
      <c r="R459" s="2"/>
      <c r="S459" s="2" t="s">
        <v>4625</v>
      </c>
      <c r="T459" s="2" t="s">
        <v>4626</v>
      </c>
      <c r="U459" s="2" t="s">
        <v>4627</v>
      </c>
      <c r="V459" s="2" t="s">
        <v>115</v>
      </c>
      <c r="W459" s="2" t="s">
        <v>832</v>
      </c>
      <c r="X459" s="2" t="s">
        <v>4084</v>
      </c>
      <c r="Y459" s="2" t="s">
        <v>118</v>
      </c>
      <c r="Z459" s="2" t="s">
        <v>834</v>
      </c>
      <c r="AA459" s="2" t="s">
        <v>4085</v>
      </c>
      <c r="AB459" s="2" t="s">
        <v>3086</v>
      </c>
      <c r="AC459" s="2">
        <v>63.67</v>
      </c>
      <c r="AD459" s="2">
        <v>97.13</v>
      </c>
      <c r="AE459" s="2">
        <v>44.31</v>
      </c>
      <c r="AF459" s="2" t="s">
        <v>4628</v>
      </c>
      <c r="AG459" s="2" t="s">
        <v>194</v>
      </c>
      <c r="AH459" s="2" t="s">
        <v>4629</v>
      </c>
      <c r="AI459" s="2">
        <v>2.3199999999999998</v>
      </c>
      <c r="AJ459" s="2">
        <v>21.128389836468099</v>
      </c>
      <c r="AK459" s="2">
        <v>21.070025412569802</v>
      </c>
      <c r="AL459" s="2">
        <v>21.196230552864499</v>
      </c>
      <c r="AM459" s="2">
        <v>21.196123891848199</v>
      </c>
      <c r="AN459" s="2">
        <v>21.165528449633499</v>
      </c>
      <c r="AO459" s="2">
        <v>21.077103345521301</v>
      </c>
      <c r="AP459" s="2">
        <v>21.0518294524522</v>
      </c>
      <c r="AQ459" s="2">
        <v>21.251088083627</v>
      </c>
      <c r="AR459" s="2">
        <v>18.822334623576101</v>
      </c>
      <c r="AS459" s="2">
        <v>20.4759103119701</v>
      </c>
      <c r="AT459" s="2">
        <v>21.919027010496599</v>
      </c>
      <c r="AU459" s="2">
        <v>19.945843797646901</v>
      </c>
      <c r="AV459" s="2">
        <v>19.5437396380627</v>
      </c>
      <c r="AW459" s="2">
        <v>19.793372186515398</v>
      </c>
      <c r="AX459" s="2">
        <v>20.686864909661999</v>
      </c>
      <c r="AY459" s="2">
        <v>19.907007337294701</v>
      </c>
      <c r="AZ459" s="2">
        <v>18.676850621079598</v>
      </c>
      <c r="BA459" s="2">
        <v>21.811118598464201</v>
      </c>
      <c r="BB459" s="2">
        <v>21.468188859483</v>
      </c>
      <c r="BC459" s="2">
        <v>22.315429564178999</v>
      </c>
      <c r="BD459" s="2">
        <v>18.706566300247001</v>
      </c>
      <c r="BE459" s="2">
        <v>20.3033195220072</v>
      </c>
      <c r="BF459" s="2">
        <v>20.247959155007798</v>
      </c>
      <c r="BG459" s="2">
        <v>21.8789657183587</v>
      </c>
      <c r="BH459" s="2">
        <v>19.745050834965699</v>
      </c>
      <c r="BI459" s="2">
        <v>21.7312290255283</v>
      </c>
      <c r="BJ459" s="2">
        <v>20.961210758205301</v>
      </c>
      <c r="BK459" s="2">
        <v>19.3833278103656</v>
      </c>
      <c r="BL459" s="2">
        <v>21.9767605039873</v>
      </c>
      <c r="BM459" s="2">
        <v>19.4685970581532</v>
      </c>
      <c r="BN459" s="2">
        <v>20.171849788045101</v>
      </c>
      <c r="BO459" s="2">
        <v>21.642130554654798</v>
      </c>
      <c r="BP459" s="2">
        <v>20.727058187179999</v>
      </c>
      <c r="BQ459" s="2">
        <v>21.717901897659601</v>
      </c>
      <c r="BR459" s="2">
        <v>21.584956387298199</v>
      </c>
      <c r="BS459" s="2">
        <v>18.5939758589561</v>
      </c>
      <c r="BT459" s="2">
        <v>19.895137301397899</v>
      </c>
      <c r="BU459" s="2">
        <v>21.971065272245902</v>
      </c>
      <c r="BV459" s="2">
        <v>21.754653945597301</v>
      </c>
      <c r="BW459" s="2">
        <v>20.9252534075566</v>
      </c>
      <c r="BX459" s="2">
        <v>19.997387158888799</v>
      </c>
      <c r="BY459" s="2">
        <v>20.116827279065198</v>
      </c>
      <c r="BZ459" s="2">
        <v>21.127724228526201</v>
      </c>
      <c r="CA459" s="2">
        <v>20.215635575496801</v>
      </c>
      <c r="CB459" s="2">
        <v>21.823285585566499</v>
      </c>
      <c r="CC459" s="2">
        <v>22.410242584308001</v>
      </c>
      <c r="CD459" s="2">
        <v>20.274714175382101</v>
      </c>
      <c r="CE459" s="2">
        <v>22.0392134684482</v>
      </c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</row>
    <row r="460" spans="1:97">
      <c r="A460" s="2" t="s">
        <v>4630</v>
      </c>
      <c r="B460" s="2">
        <v>447.34721000000002</v>
      </c>
      <c r="C460" s="2">
        <v>14.002000000000001</v>
      </c>
      <c r="D460" s="2" t="s">
        <v>146</v>
      </c>
      <c r="E460" s="2" t="s">
        <v>4631</v>
      </c>
      <c r="F460" s="2" t="s">
        <v>4632</v>
      </c>
      <c r="G460" s="2">
        <v>204132</v>
      </c>
      <c r="H460" s="3" t="str">
        <f>HYPERLINK("https://cloud.oebiotech.com/#/lm/network/204132", "https://cloud.oebiotech.com/#/lm/network/204132")</f>
        <v>https://cloud.oebiotech.com/#/lm/network/204132</v>
      </c>
      <c r="I460" s="2" t="s">
        <v>4633</v>
      </c>
      <c r="J460" s="2"/>
      <c r="K460" s="2"/>
      <c r="L460" s="2">
        <v>14359647</v>
      </c>
      <c r="M460" s="2"/>
      <c r="N460" s="2"/>
      <c r="O460" s="2"/>
      <c r="P460" s="2"/>
      <c r="Q460" s="2"/>
      <c r="R460" s="2"/>
      <c r="S460" s="2"/>
      <c r="T460" s="2" t="s">
        <v>4634</v>
      </c>
      <c r="U460" s="2" t="s">
        <v>4635</v>
      </c>
      <c r="V460" s="2" t="s">
        <v>95</v>
      </c>
      <c r="W460" s="2" t="s">
        <v>152</v>
      </c>
      <c r="X460" s="2" t="s">
        <v>1420</v>
      </c>
      <c r="Y460" s="2" t="s">
        <v>98</v>
      </c>
      <c r="Z460" s="2" t="s">
        <v>154</v>
      </c>
      <c r="AA460" s="2" t="s">
        <v>1421</v>
      </c>
      <c r="AB460" s="2" t="s">
        <v>101</v>
      </c>
      <c r="AC460" s="2">
        <v>63.56</v>
      </c>
      <c r="AD460" s="2">
        <v>81.41</v>
      </c>
      <c r="AE460" s="2">
        <v>54.74</v>
      </c>
      <c r="AF460" s="2" t="s">
        <v>4636</v>
      </c>
      <c r="AG460" s="2" t="s">
        <v>157</v>
      </c>
      <c r="AH460" s="2" t="s">
        <v>504</v>
      </c>
      <c r="AI460" s="2">
        <v>1.79</v>
      </c>
      <c r="AJ460" s="2">
        <v>19.293893757693201</v>
      </c>
      <c r="AK460" s="2">
        <v>19.112053418945202</v>
      </c>
      <c r="AL460" s="2">
        <v>18.386346309360501</v>
      </c>
      <c r="AM460" s="2">
        <v>18.435562917437402</v>
      </c>
      <c r="AN460" s="2">
        <v>19.1381258791349</v>
      </c>
      <c r="AO460" s="2">
        <v>19.177983150964</v>
      </c>
      <c r="AP460" s="2">
        <v>19.171687057452601</v>
      </c>
      <c r="AQ460" s="2">
        <v>18.937031078485902</v>
      </c>
      <c r="AR460" s="2">
        <v>19.391004007163701</v>
      </c>
      <c r="AS460" s="2">
        <v>18.800697398425999</v>
      </c>
      <c r="AT460" s="2">
        <v>18.842278792540402</v>
      </c>
      <c r="AU460" s="2">
        <v>18.425903110015799</v>
      </c>
      <c r="AV460" s="2">
        <v>18.0251849919193</v>
      </c>
      <c r="AW460" s="2">
        <v>18.854472198752699</v>
      </c>
      <c r="AX460" s="2">
        <v>18.3031638292093</v>
      </c>
      <c r="AY460" s="2">
        <v>18.9292657492541</v>
      </c>
      <c r="AZ460" s="2">
        <v>19.378759151199699</v>
      </c>
      <c r="BA460" s="2">
        <v>19.4993600329305</v>
      </c>
      <c r="BB460" s="2">
        <v>18.812060139456499</v>
      </c>
      <c r="BC460" s="2">
        <v>18.523774306400199</v>
      </c>
      <c r="BD460" s="2">
        <v>19.1419356123745</v>
      </c>
      <c r="BE460" s="2">
        <v>19.635000253258799</v>
      </c>
      <c r="BF460" s="2">
        <v>18.178780571606499</v>
      </c>
      <c r="BG460" s="2">
        <v>18.965578826877799</v>
      </c>
      <c r="BH460" s="2">
        <v>19.515723819871798</v>
      </c>
      <c r="BI460" s="2">
        <v>19.566262716029499</v>
      </c>
      <c r="BJ460" s="2">
        <v>19.9122822639644</v>
      </c>
      <c r="BK460" s="2">
        <v>18.899942072949798</v>
      </c>
      <c r="BL460" s="2">
        <v>19.289519102456001</v>
      </c>
      <c r="BM460" s="2">
        <v>19.940656434519699</v>
      </c>
      <c r="BN460" s="2">
        <v>18.650018632013001</v>
      </c>
      <c r="BO460" s="2">
        <v>18.066172511849199</v>
      </c>
      <c r="BP460" s="2">
        <v>18.346867360292599</v>
      </c>
      <c r="BQ460" s="2">
        <v>15.9217774924214</v>
      </c>
      <c r="BR460" s="2">
        <v>18.451296527799201</v>
      </c>
      <c r="BS460" s="2">
        <v>19.3102179966656</v>
      </c>
      <c r="BT460" s="2">
        <v>19.318717690218801</v>
      </c>
      <c r="BU460" s="2">
        <v>18.532178058446799</v>
      </c>
      <c r="BV460" s="2">
        <v>18.763851102258201</v>
      </c>
      <c r="BW460" s="2">
        <v>18.649897418374099</v>
      </c>
      <c r="BX460" s="2">
        <v>19.3571583230583</v>
      </c>
      <c r="BY460" s="2">
        <v>19.203408754503499</v>
      </c>
      <c r="BZ460" s="2">
        <v>18.3096341311016</v>
      </c>
      <c r="CA460" s="2">
        <v>19.106514686232298</v>
      </c>
      <c r="CB460" s="2">
        <v>19.0026151217928</v>
      </c>
      <c r="CC460" s="2">
        <v>18.987454413710399</v>
      </c>
      <c r="CD460" s="2">
        <v>20.103266918385</v>
      </c>
      <c r="CE460" s="2">
        <v>19.089918937480501</v>
      </c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</row>
    <row r="461" spans="1:97">
      <c r="A461" s="2" t="s">
        <v>4637</v>
      </c>
      <c r="B461" s="2">
        <v>313.23791999999997</v>
      </c>
      <c r="C461" s="2">
        <v>13.528</v>
      </c>
      <c r="D461" s="2" t="s">
        <v>146</v>
      </c>
      <c r="E461" s="2" t="s">
        <v>4638</v>
      </c>
      <c r="F461" s="2" t="s">
        <v>4639</v>
      </c>
      <c r="G461" s="2">
        <v>207483</v>
      </c>
      <c r="H461" s="3" t="str">
        <f>HYPERLINK("https://cloud.oebiotech.com/#/lm/network/207483", "https://cloud.oebiotech.com/#/lm/network/207483")</f>
        <v>https://cloud.oebiotech.com/#/lm/network/207483</v>
      </c>
      <c r="I461" s="2" t="s">
        <v>4640</v>
      </c>
      <c r="J461" s="2"/>
      <c r="K461" s="2"/>
      <c r="L461" s="2">
        <v>117769</v>
      </c>
      <c r="M461" s="2"/>
      <c r="N461" s="2"/>
      <c r="O461" s="2"/>
      <c r="P461" s="2"/>
      <c r="Q461" s="2"/>
      <c r="R461" s="2"/>
      <c r="S461" s="2"/>
      <c r="T461" s="2" t="s">
        <v>4641</v>
      </c>
      <c r="U461" s="2" t="s">
        <v>4642</v>
      </c>
      <c r="V461" s="2" t="s">
        <v>95</v>
      </c>
      <c r="W461" s="2" t="s">
        <v>96</v>
      </c>
      <c r="X461" s="2" t="s">
        <v>141</v>
      </c>
      <c r="Y461" s="2" t="s">
        <v>98</v>
      </c>
      <c r="Z461" s="2" t="s">
        <v>99</v>
      </c>
      <c r="AA461" s="2" t="s">
        <v>142</v>
      </c>
      <c r="AB461" s="2" t="s">
        <v>3086</v>
      </c>
      <c r="AC461" s="2">
        <v>63.48</v>
      </c>
      <c r="AD461" s="2">
        <v>97.28</v>
      </c>
      <c r="AE461" s="2">
        <v>38.22</v>
      </c>
      <c r="AF461" s="2" t="s">
        <v>4643</v>
      </c>
      <c r="AG461" s="2" t="s">
        <v>157</v>
      </c>
      <c r="AH461" s="2" t="s">
        <v>3846</v>
      </c>
      <c r="AI461" s="2">
        <v>1.6</v>
      </c>
      <c r="AJ461" s="2">
        <v>20.283289178210101</v>
      </c>
      <c r="AK461" s="2">
        <v>19.888854736487399</v>
      </c>
      <c r="AL461" s="2">
        <v>20.220822759693501</v>
      </c>
      <c r="AM461" s="2">
        <v>20.083653148212001</v>
      </c>
      <c r="AN461" s="2">
        <v>19.829494152988101</v>
      </c>
      <c r="AO461" s="2">
        <v>19.8951552339195</v>
      </c>
      <c r="AP461" s="2">
        <v>19.613270467439101</v>
      </c>
      <c r="AQ461" s="2">
        <v>19.951291275502999</v>
      </c>
      <c r="AR461" s="2">
        <v>19.528449112421001</v>
      </c>
      <c r="AS461" s="2">
        <v>19.863712065696099</v>
      </c>
      <c r="AT461" s="2">
        <v>20.465458462883401</v>
      </c>
      <c r="AU461" s="2">
        <v>19.760317495184498</v>
      </c>
      <c r="AV461" s="2">
        <v>20.0717687487349</v>
      </c>
      <c r="AW461" s="2">
        <v>20.213759195079501</v>
      </c>
      <c r="AX461" s="2">
        <v>20.010662677536502</v>
      </c>
      <c r="AY461" s="2">
        <v>20.182710432101501</v>
      </c>
      <c r="AZ461" s="2">
        <v>19.804101156991099</v>
      </c>
      <c r="BA461" s="2">
        <v>19.948620579917101</v>
      </c>
      <c r="BB461" s="2">
        <v>19.776383776965002</v>
      </c>
      <c r="BC461" s="2">
        <v>20.409212214617799</v>
      </c>
      <c r="BD461" s="2">
        <v>20.024773828599798</v>
      </c>
      <c r="BE461" s="2">
        <v>19.9291334679173</v>
      </c>
      <c r="BF461" s="2">
        <v>20.1639401687742</v>
      </c>
      <c r="BG461" s="2">
        <v>19.734044530922301</v>
      </c>
      <c r="BH461" s="2">
        <v>19.689118841056501</v>
      </c>
      <c r="BI461" s="2">
        <v>19.955909754019899</v>
      </c>
      <c r="BJ461" s="2">
        <v>19.899675899822199</v>
      </c>
      <c r="BK461" s="2">
        <v>20.0496827836458</v>
      </c>
      <c r="BL461" s="2">
        <v>20.084083319042399</v>
      </c>
      <c r="BM461" s="2">
        <v>19.835390310952299</v>
      </c>
      <c r="BN461" s="2">
        <v>19.7122188270937</v>
      </c>
      <c r="BO461" s="2">
        <v>19.6759263920191</v>
      </c>
      <c r="BP461" s="2">
        <v>19.859524549583501</v>
      </c>
      <c r="BQ461" s="2">
        <v>19.952900210347099</v>
      </c>
      <c r="BR461" s="2">
        <v>19.868335104784499</v>
      </c>
      <c r="BS461" s="2">
        <v>19.059434378224498</v>
      </c>
      <c r="BT461" s="2">
        <v>19.792557214326699</v>
      </c>
      <c r="BU461" s="2">
        <v>20.018857910123099</v>
      </c>
      <c r="BV461" s="2">
        <v>19.904328868518402</v>
      </c>
      <c r="BW461" s="2">
        <v>19.752910484851501</v>
      </c>
      <c r="BX461" s="2">
        <v>19.8079390966452</v>
      </c>
      <c r="BY461" s="2">
        <v>19.693724848348602</v>
      </c>
      <c r="BZ461" s="2">
        <v>20.0983389706068</v>
      </c>
      <c r="CA461" s="2">
        <v>18.926723548065599</v>
      </c>
      <c r="CB461" s="2">
        <v>19.406060517710799</v>
      </c>
      <c r="CC461" s="2">
        <v>20.1180836552656</v>
      </c>
      <c r="CD461" s="2">
        <v>19.423059410107001</v>
      </c>
      <c r="CE461" s="2">
        <v>20.247814242309399</v>
      </c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</row>
    <row r="462" spans="1:97">
      <c r="A462" s="2" t="s">
        <v>4644</v>
      </c>
      <c r="B462" s="2">
        <v>295.19081999999997</v>
      </c>
      <c r="C462" s="2">
        <v>9.9819999999999993</v>
      </c>
      <c r="D462" s="2" t="s">
        <v>146</v>
      </c>
      <c r="E462" s="2" t="s">
        <v>4645</v>
      </c>
      <c r="F462" s="2" t="s">
        <v>4646</v>
      </c>
      <c r="G462" s="2">
        <v>7426</v>
      </c>
      <c r="H462" s="3" t="str">
        <f>HYPERLINK("https://cloud.oebiotech.com/#/lm/network/7426", "https://cloud.oebiotech.com/#/lm/network/7426")</f>
        <v>https://cloud.oebiotech.com/#/lm/network/7426</v>
      </c>
      <c r="I462" s="2"/>
      <c r="J462" s="2"/>
      <c r="K462" s="2" t="s">
        <v>4647</v>
      </c>
      <c r="L462" s="2">
        <v>73242181</v>
      </c>
      <c r="M462" s="2"/>
      <c r="N462" s="2"/>
      <c r="O462" s="2"/>
      <c r="P462" s="2"/>
      <c r="Q462" s="2"/>
      <c r="R462" s="2"/>
      <c r="S462" s="2"/>
      <c r="T462" s="2" t="s">
        <v>4648</v>
      </c>
      <c r="U462" s="2" t="s">
        <v>4649</v>
      </c>
      <c r="V462" s="2" t="s">
        <v>338</v>
      </c>
      <c r="W462" s="2" t="s">
        <v>339</v>
      </c>
      <c r="X462" s="2" t="s">
        <v>663</v>
      </c>
      <c r="Y462" s="2" t="s">
        <v>341</v>
      </c>
      <c r="Z462" s="2" t="s">
        <v>341</v>
      </c>
      <c r="AA462" s="2" t="s">
        <v>664</v>
      </c>
      <c r="AB462" s="2" t="s">
        <v>101</v>
      </c>
      <c r="AC462" s="2">
        <v>63.37</v>
      </c>
      <c r="AD462" s="2">
        <v>89.32</v>
      </c>
      <c r="AE462" s="2">
        <v>51.49</v>
      </c>
      <c r="AF462" s="2" t="s">
        <v>4650</v>
      </c>
      <c r="AG462" s="2" t="s">
        <v>993</v>
      </c>
      <c r="AH462" s="2" t="s">
        <v>4651</v>
      </c>
      <c r="AI462" s="2">
        <v>0.34</v>
      </c>
      <c r="AJ462" s="2">
        <v>17.998055478803298</v>
      </c>
      <c r="AK462" s="2">
        <v>18.944044335280701</v>
      </c>
      <c r="AL462" s="2">
        <v>18.4212078047292</v>
      </c>
      <c r="AM462" s="2">
        <v>18.612752327334402</v>
      </c>
      <c r="AN462" s="2">
        <v>18.563227149958301</v>
      </c>
      <c r="AO462" s="2">
        <v>18.840090342183299</v>
      </c>
      <c r="AP462" s="2">
        <v>18.699813205434602</v>
      </c>
      <c r="AQ462" s="2">
        <v>18.9891988370291</v>
      </c>
      <c r="AR462" s="2">
        <v>18.6665395231582</v>
      </c>
      <c r="AS462" s="2">
        <v>18.523933271154899</v>
      </c>
      <c r="AT462" s="2">
        <v>18.284368804255902</v>
      </c>
      <c r="AU462" s="2">
        <v>18.319806829341001</v>
      </c>
      <c r="AV462" s="2">
        <v>18.237322480155701</v>
      </c>
      <c r="AW462" s="2">
        <v>18.761499518411</v>
      </c>
      <c r="AX462" s="2">
        <v>17.8372203931015</v>
      </c>
      <c r="AY462" s="2">
        <v>20.1802755470856</v>
      </c>
      <c r="AZ462" s="2">
        <v>18.4196139010024</v>
      </c>
      <c r="BA462" s="2">
        <v>18.280232757818599</v>
      </c>
      <c r="BB462" s="2">
        <v>18.5292794774948</v>
      </c>
      <c r="BC462" s="2">
        <v>19.259416701696299</v>
      </c>
      <c r="BD462" s="2">
        <v>18.240837114274701</v>
      </c>
      <c r="BE462" s="2">
        <v>19.790819738897198</v>
      </c>
      <c r="BF462" s="2">
        <v>17.2173930882938</v>
      </c>
      <c r="BG462" s="2">
        <v>17.888853517927899</v>
      </c>
      <c r="BH462" s="2">
        <v>18.579040286069201</v>
      </c>
      <c r="BI462" s="2">
        <v>17.867113767406298</v>
      </c>
      <c r="BJ462" s="2">
        <v>19.331616555180702</v>
      </c>
      <c r="BK462" s="2">
        <v>18.5098792462239</v>
      </c>
      <c r="BL462" s="2">
        <v>18.509985490225102</v>
      </c>
      <c r="BM462" s="2">
        <v>19.129065202460399</v>
      </c>
      <c r="BN462" s="2">
        <v>18.548457509412401</v>
      </c>
      <c r="BO462" s="2">
        <v>18.767639346485701</v>
      </c>
      <c r="BP462" s="2">
        <v>17.8596255343266</v>
      </c>
      <c r="BQ462" s="2">
        <v>19.4773863764525</v>
      </c>
      <c r="BR462" s="2">
        <v>17.695547965193899</v>
      </c>
      <c r="BS462" s="2">
        <v>20.571541953069701</v>
      </c>
      <c r="BT462" s="2">
        <v>17.6722967412374</v>
      </c>
      <c r="BU462" s="2">
        <v>19.291877328433301</v>
      </c>
      <c r="BV462" s="2">
        <v>18.690347932070701</v>
      </c>
      <c r="BW462" s="2">
        <v>17.919204064920599</v>
      </c>
      <c r="BX462" s="2">
        <v>19.0556144379165</v>
      </c>
      <c r="BY462" s="2">
        <v>20.789681355091201</v>
      </c>
      <c r="BZ462" s="2">
        <v>15.7183720622627</v>
      </c>
      <c r="CA462" s="2">
        <v>17.351586215921301</v>
      </c>
      <c r="CB462" s="2">
        <v>19.1073451593656</v>
      </c>
      <c r="CC462" s="2">
        <v>18.4391072127599</v>
      </c>
      <c r="CD462" s="2">
        <v>19.502072283839599</v>
      </c>
      <c r="CE462" s="2">
        <v>18.9178656427726</v>
      </c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</row>
    <row r="463" spans="1:97">
      <c r="A463" s="2" t="s">
        <v>4652</v>
      </c>
      <c r="B463" s="2">
        <v>296.25565999999998</v>
      </c>
      <c r="C463" s="2">
        <v>7.8940000000000001</v>
      </c>
      <c r="D463" s="2" t="s">
        <v>84</v>
      </c>
      <c r="E463" s="2" t="s">
        <v>4653</v>
      </c>
      <c r="F463" s="2" t="s">
        <v>4654</v>
      </c>
      <c r="G463" s="2">
        <v>38928</v>
      </c>
      <c r="H463" s="3" t="str">
        <f>HYPERLINK("https://cloud.oebiotech.com/#/lm/network/38928", "https://cloud.oebiotech.com/#/lm/network/38928")</f>
        <v>https://cloud.oebiotech.com/#/lm/network/38928</v>
      </c>
      <c r="I463" s="2"/>
      <c r="J463" s="2">
        <v>41556</v>
      </c>
      <c r="K463" s="2" t="s">
        <v>4655</v>
      </c>
      <c r="L463" s="2">
        <v>656816</v>
      </c>
      <c r="M463" s="2" t="s">
        <v>4656</v>
      </c>
      <c r="N463" s="2"/>
      <c r="O463" s="2"/>
      <c r="P463" s="2">
        <v>71050</v>
      </c>
      <c r="Q463" s="2"/>
      <c r="R463" s="2"/>
      <c r="S463" s="2"/>
      <c r="T463" s="2" t="s">
        <v>4657</v>
      </c>
      <c r="U463" s="2" t="s">
        <v>4658</v>
      </c>
      <c r="V463" s="2" t="s">
        <v>166</v>
      </c>
      <c r="W463" s="2" t="s">
        <v>167</v>
      </c>
      <c r="X463" s="2" t="s">
        <v>482</v>
      </c>
      <c r="Y463" s="2" t="s">
        <v>169</v>
      </c>
      <c r="Z463" s="2" t="s">
        <v>169</v>
      </c>
      <c r="AA463" s="2" t="s">
        <v>483</v>
      </c>
      <c r="AB463" s="2" t="s">
        <v>101</v>
      </c>
      <c r="AC463" s="2">
        <v>63.37</v>
      </c>
      <c r="AD463" s="2">
        <v>89.43</v>
      </c>
      <c r="AE463" s="2">
        <v>62.44</v>
      </c>
      <c r="AF463" s="2" t="s">
        <v>4659</v>
      </c>
      <c r="AG463" s="2" t="s">
        <v>1578</v>
      </c>
      <c r="AH463" s="2" t="s">
        <v>4660</v>
      </c>
      <c r="AI463" s="2">
        <v>1.01</v>
      </c>
      <c r="AJ463" s="2">
        <v>22.3230057840928</v>
      </c>
      <c r="AK463" s="2">
        <v>22.265907771795199</v>
      </c>
      <c r="AL463" s="2">
        <v>22.240498027867801</v>
      </c>
      <c r="AM463" s="2">
        <v>22.3670994034748</v>
      </c>
      <c r="AN463" s="2">
        <v>22.434211972281101</v>
      </c>
      <c r="AO463" s="2">
        <v>22.3336048391979</v>
      </c>
      <c r="AP463" s="2">
        <v>22.393378319535099</v>
      </c>
      <c r="AQ463" s="2">
        <v>22.403145811724301</v>
      </c>
      <c r="AR463" s="2">
        <v>21.4880563928138</v>
      </c>
      <c r="AS463" s="2">
        <v>21.4779360255596</v>
      </c>
      <c r="AT463" s="2">
        <v>21.6530544480276</v>
      </c>
      <c r="AU463" s="2">
        <v>20.988414880079201</v>
      </c>
      <c r="AV463" s="2">
        <v>21.051025289905699</v>
      </c>
      <c r="AW463" s="2">
        <v>21.469786905898999</v>
      </c>
      <c r="AX463" s="2">
        <v>21.338757417734101</v>
      </c>
      <c r="AY463" s="2">
        <v>21.028112503090199</v>
      </c>
      <c r="AZ463" s="2">
        <v>20.665053488539598</v>
      </c>
      <c r="BA463" s="2">
        <v>20.8398773563014</v>
      </c>
      <c r="BB463" s="2">
        <v>21.7018177404711</v>
      </c>
      <c r="BC463" s="2">
        <v>21.221585369011201</v>
      </c>
      <c r="BD463" s="2">
        <v>21.7378381807066</v>
      </c>
      <c r="BE463" s="2">
        <v>22.452827235371998</v>
      </c>
      <c r="BF463" s="2">
        <v>22.2040609432885</v>
      </c>
      <c r="BG463" s="2">
        <v>22.243267754766102</v>
      </c>
      <c r="BH463" s="2">
        <v>21.609152869323498</v>
      </c>
      <c r="BI463" s="2">
        <v>20.997672801629601</v>
      </c>
      <c r="BJ463" s="2">
        <v>21.050401210410801</v>
      </c>
      <c r="BK463" s="2">
        <v>21.761560029813701</v>
      </c>
      <c r="BL463" s="2">
        <v>20.249560613684501</v>
      </c>
      <c r="BM463" s="2">
        <v>20.4125172117547</v>
      </c>
      <c r="BN463" s="2">
        <v>21.131010083331901</v>
      </c>
      <c r="BO463" s="2">
        <v>20.806435074004799</v>
      </c>
      <c r="BP463" s="2">
        <v>21.390483589671799</v>
      </c>
      <c r="BQ463" s="2">
        <v>20.8758822180835</v>
      </c>
      <c r="BR463" s="2">
        <v>21.069676763774101</v>
      </c>
      <c r="BS463" s="2">
        <v>20.963055152212998</v>
      </c>
      <c r="BT463" s="2">
        <v>21.058780784767201</v>
      </c>
      <c r="BU463" s="2">
        <v>20.862952914099399</v>
      </c>
      <c r="BV463" s="2">
        <v>20.716421855741299</v>
      </c>
      <c r="BW463" s="2">
        <v>20.38415937601</v>
      </c>
      <c r="BX463" s="2">
        <v>20.830968910097901</v>
      </c>
      <c r="BY463" s="2">
        <v>22.608481166230799</v>
      </c>
      <c r="BZ463" s="2">
        <v>21.322310693166401</v>
      </c>
      <c r="CA463" s="2">
        <v>21.047327546423698</v>
      </c>
      <c r="CB463" s="2">
        <v>21.557069908846799</v>
      </c>
      <c r="CC463" s="2">
        <v>21.1407898872591</v>
      </c>
      <c r="CD463" s="2">
        <v>21.200847318193102</v>
      </c>
      <c r="CE463" s="2">
        <v>21.068229772361999</v>
      </c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</row>
    <row r="464" spans="1:97">
      <c r="A464" s="2" t="s">
        <v>4661</v>
      </c>
      <c r="B464" s="2">
        <v>459.27222</v>
      </c>
      <c r="C464" s="2">
        <v>10.265000000000001</v>
      </c>
      <c r="D464" s="2" t="s">
        <v>146</v>
      </c>
      <c r="E464" s="2" t="s">
        <v>4662</v>
      </c>
      <c r="F464" s="2" t="s">
        <v>4663</v>
      </c>
      <c r="G464" s="2">
        <v>64457</v>
      </c>
      <c r="H464" s="3" t="str">
        <f>HYPERLINK("https://cloud.oebiotech.com/#/lm/network/64457", "https://cloud.oebiotech.com/#/lm/network/64457")</f>
        <v>https://cloud.oebiotech.com/#/lm/network/64457</v>
      </c>
      <c r="I464" s="2" t="s">
        <v>4664</v>
      </c>
      <c r="J464" s="2">
        <v>95770</v>
      </c>
      <c r="K464" s="2"/>
      <c r="L464" s="2">
        <v>85163499</v>
      </c>
      <c r="M464" s="2"/>
      <c r="N464" s="2"/>
      <c r="O464" s="2"/>
      <c r="P464" s="2">
        <v>169802</v>
      </c>
      <c r="Q464" s="2"/>
      <c r="R464" s="2"/>
      <c r="S464" s="2" t="s">
        <v>4665</v>
      </c>
      <c r="T464" s="2" t="s">
        <v>4666</v>
      </c>
      <c r="U464" s="2" t="s">
        <v>4667</v>
      </c>
      <c r="V464" s="2" t="s">
        <v>95</v>
      </c>
      <c r="W464" s="2" t="s">
        <v>180</v>
      </c>
      <c r="X464" s="2" t="s">
        <v>4668</v>
      </c>
      <c r="Y464" s="2" t="s">
        <v>98</v>
      </c>
      <c r="Z464" s="2" t="s">
        <v>182</v>
      </c>
      <c r="AA464" s="2" t="s">
        <v>4669</v>
      </c>
      <c r="AB464" s="2" t="s">
        <v>101</v>
      </c>
      <c r="AC464" s="2">
        <v>63.36</v>
      </c>
      <c r="AD464" s="2">
        <v>81.67</v>
      </c>
      <c r="AE464" s="2">
        <v>81.94</v>
      </c>
      <c r="AF464" s="2" t="s">
        <v>4670</v>
      </c>
      <c r="AG464" s="2" t="s">
        <v>993</v>
      </c>
      <c r="AH464" s="2" t="s">
        <v>4671</v>
      </c>
      <c r="AI464" s="2">
        <v>5.44</v>
      </c>
      <c r="AJ464" s="2">
        <v>20.1629076542586</v>
      </c>
      <c r="AK464" s="2">
        <v>19.813070031555402</v>
      </c>
      <c r="AL464" s="2">
        <v>19.886796504983199</v>
      </c>
      <c r="AM464" s="2">
        <v>19.989800599835299</v>
      </c>
      <c r="AN464" s="2">
        <v>19.883806072118901</v>
      </c>
      <c r="AO464" s="2">
        <v>19.835867096288698</v>
      </c>
      <c r="AP464" s="2">
        <v>20.0945184192</v>
      </c>
      <c r="AQ464" s="2">
        <v>19.942543556076501</v>
      </c>
      <c r="AR464" s="2">
        <v>18.956176843775399</v>
      </c>
      <c r="AS464" s="2">
        <v>17.139964265558099</v>
      </c>
      <c r="AT464" s="2">
        <v>14.0399899847247</v>
      </c>
      <c r="AU464" s="2">
        <v>20.7754886440386</v>
      </c>
      <c r="AV464" s="2">
        <v>20.361831883192099</v>
      </c>
      <c r="AW464" s="2">
        <v>20.976308089730502</v>
      </c>
      <c r="AX464" s="2">
        <v>17.7672901186248</v>
      </c>
      <c r="AY464" s="2">
        <v>20.748674975225502</v>
      </c>
      <c r="AZ464" s="2">
        <v>19.226036802769801</v>
      </c>
      <c r="BA464" s="2">
        <v>18.572939355809702</v>
      </c>
      <c r="BB464" s="2">
        <v>16.6024242745384</v>
      </c>
      <c r="BC464" s="2">
        <v>18.245098357353701</v>
      </c>
      <c r="BD464" s="2">
        <v>18.798561568053501</v>
      </c>
      <c r="BE464" s="2">
        <v>22.0941651194175</v>
      </c>
      <c r="BF464" s="2">
        <v>17.672071144266901</v>
      </c>
      <c r="BG464" s="2">
        <v>16.589615160608101</v>
      </c>
      <c r="BH464" s="2">
        <v>16.540292288394799</v>
      </c>
      <c r="BI464" s="2">
        <v>20.0913823747163</v>
      </c>
      <c r="BJ464" s="2">
        <v>20.2766504244901</v>
      </c>
      <c r="BK464" s="2">
        <v>18.230872410990099</v>
      </c>
      <c r="BL464" s="2">
        <v>20.553528034594301</v>
      </c>
      <c r="BM464" s="2">
        <v>19.890395153093198</v>
      </c>
      <c r="BN464" s="2">
        <v>19.2960517142429</v>
      </c>
      <c r="BO464" s="2">
        <v>18.983925585847601</v>
      </c>
      <c r="BP464" s="2">
        <v>20.909510086540799</v>
      </c>
      <c r="BQ464" s="2">
        <v>21.618238521146498</v>
      </c>
      <c r="BR464" s="2">
        <v>18.658215632670199</v>
      </c>
      <c r="BS464" s="2">
        <v>21.264199215399099</v>
      </c>
      <c r="BT464" s="2">
        <v>17.7707658901009</v>
      </c>
      <c r="BU464" s="2">
        <v>17.8715029360236</v>
      </c>
      <c r="BV464" s="2">
        <v>18.1530607814293</v>
      </c>
      <c r="BW464" s="2">
        <v>15.8399586036331</v>
      </c>
      <c r="BX464" s="2">
        <v>17.4497382799976</v>
      </c>
      <c r="BY464" s="2">
        <v>21.480523893900301</v>
      </c>
      <c r="BZ464" s="2">
        <v>18.646255702815601</v>
      </c>
      <c r="CA464" s="2">
        <v>19.150381820057799</v>
      </c>
      <c r="CB464" s="2">
        <v>20.913301200003701</v>
      </c>
      <c r="CC464" s="2">
        <v>19.541908980486799</v>
      </c>
      <c r="CD464" s="2">
        <v>20.586959400555401</v>
      </c>
      <c r="CE464" s="2">
        <v>17.415535475082599</v>
      </c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</row>
    <row r="465" spans="1:97">
      <c r="A465" s="2" t="s">
        <v>4672</v>
      </c>
      <c r="B465" s="2">
        <v>255.08702</v>
      </c>
      <c r="C465" s="2">
        <v>5.4450000000000003</v>
      </c>
      <c r="D465" s="2" t="s">
        <v>146</v>
      </c>
      <c r="E465" s="2" t="s">
        <v>4673</v>
      </c>
      <c r="F465" s="2" t="s">
        <v>4674</v>
      </c>
      <c r="G465" s="2">
        <v>54216</v>
      </c>
      <c r="H465" s="3" t="str">
        <f>HYPERLINK("https://cloud.oebiotech.com/#/lm/network/54216", "https://cloud.oebiotech.com/#/lm/network/54216")</f>
        <v>https://cloud.oebiotech.com/#/lm/network/54216</v>
      </c>
      <c r="I465" s="2" t="s">
        <v>4675</v>
      </c>
      <c r="J465" s="2">
        <v>86111</v>
      </c>
      <c r="K465" s="2"/>
      <c r="L465" s="2">
        <v>49831816</v>
      </c>
      <c r="M465" s="2"/>
      <c r="N465" s="2"/>
      <c r="O465" s="2"/>
      <c r="P465" s="2">
        <v>137503</v>
      </c>
      <c r="Q465" s="2"/>
      <c r="R465" s="2"/>
      <c r="S465" s="2"/>
      <c r="T465" s="2" t="s">
        <v>4676</v>
      </c>
      <c r="U465" s="2" t="s">
        <v>4677</v>
      </c>
      <c r="V465" s="2" t="s">
        <v>385</v>
      </c>
      <c r="W465" s="2" t="s">
        <v>3319</v>
      </c>
      <c r="X465" s="2" t="s">
        <v>4101</v>
      </c>
      <c r="Y465" s="2" t="s">
        <v>388</v>
      </c>
      <c r="Z465" s="2" t="s">
        <v>3321</v>
      </c>
      <c r="AA465" s="2" t="s">
        <v>4102</v>
      </c>
      <c r="AB465" s="2" t="s">
        <v>101</v>
      </c>
      <c r="AC465" s="2">
        <v>63.32</v>
      </c>
      <c r="AD465" s="2">
        <v>92.04</v>
      </c>
      <c r="AE465" s="2">
        <v>58.62</v>
      </c>
      <c r="AF465" s="2" t="s">
        <v>4678</v>
      </c>
      <c r="AG465" s="2" t="s">
        <v>157</v>
      </c>
      <c r="AH465" s="2" t="s">
        <v>4679</v>
      </c>
      <c r="AI465" s="2">
        <v>1.57</v>
      </c>
      <c r="AJ465" s="2">
        <v>17.937760065070901</v>
      </c>
      <c r="AK465" s="2">
        <v>17.702395856641601</v>
      </c>
      <c r="AL465" s="2">
        <v>17.904966071374702</v>
      </c>
      <c r="AM465" s="2">
        <v>17.4537349074708</v>
      </c>
      <c r="AN465" s="2">
        <v>17.739975434270601</v>
      </c>
      <c r="AO465" s="2">
        <v>17.660790777376899</v>
      </c>
      <c r="AP465" s="2">
        <v>18.107884039100501</v>
      </c>
      <c r="AQ465" s="2">
        <v>17.682471385723101</v>
      </c>
      <c r="AR465" s="2">
        <v>20.7682357835928</v>
      </c>
      <c r="AS465" s="2">
        <v>16.960473971718098</v>
      </c>
      <c r="AT465" s="2">
        <v>18.215327802659399</v>
      </c>
      <c r="AU465" s="2">
        <v>16.856348805596198</v>
      </c>
      <c r="AV465" s="2">
        <v>16.8015792885131</v>
      </c>
      <c r="AW465" s="2">
        <v>15.486727883654501</v>
      </c>
      <c r="AX465" s="2">
        <v>15.4677017010769</v>
      </c>
      <c r="AY465" s="2">
        <v>16.1493930696892</v>
      </c>
      <c r="AZ465" s="2">
        <v>19.191836288602602</v>
      </c>
      <c r="BA465" s="2">
        <v>18.296418644674201</v>
      </c>
      <c r="BB465" s="2">
        <v>16.707710568225199</v>
      </c>
      <c r="BC465" s="2">
        <v>19.617923221738799</v>
      </c>
      <c r="BD465" s="2">
        <v>18.006614647848401</v>
      </c>
      <c r="BE465" s="2">
        <v>17.337463279739701</v>
      </c>
      <c r="BF465" s="2">
        <v>17.1639164422342</v>
      </c>
      <c r="BG465" s="2">
        <v>16.848641032681801</v>
      </c>
      <c r="BH465" s="2">
        <v>18.660754294964701</v>
      </c>
      <c r="BI465" s="2">
        <v>15.016189770209101</v>
      </c>
      <c r="BJ465" s="2">
        <v>19.166157172441999</v>
      </c>
      <c r="BK465" s="2">
        <v>17.239373836462601</v>
      </c>
      <c r="BL465" s="2">
        <v>16.263022114754701</v>
      </c>
      <c r="BM465" s="2">
        <v>18.4721015465162</v>
      </c>
      <c r="BN465" s="2">
        <v>18.7044113572701</v>
      </c>
      <c r="BO465" s="2">
        <v>18.317037157517099</v>
      </c>
      <c r="BP465" s="2">
        <v>15.459366616486401</v>
      </c>
      <c r="BQ465" s="2">
        <v>16.498756355599401</v>
      </c>
      <c r="BR465" s="2">
        <v>14.8963347692921</v>
      </c>
      <c r="BS465" s="2">
        <v>15.4743070642698</v>
      </c>
      <c r="BT465" s="2">
        <v>21.442700013025799</v>
      </c>
      <c r="BU465" s="2">
        <v>19.162624328676198</v>
      </c>
      <c r="BV465" s="2">
        <v>17.295486726947299</v>
      </c>
      <c r="BW465" s="2">
        <v>15.436426566109199</v>
      </c>
      <c r="BX465" s="2">
        <v>17.894697944176301</v>
      </c>
      <c r="BY465" s="2">
        <v>15.8315217614354</v>
      </c>
      <c r="BZ465" s="2">
        <v>14.694991702306099</v>
      </c>
      <c r="CA465" s="2">
        <v>15.3553486873423</v>
      </c>
      <c r="CB465" s="2">
        <v>14.460589638896399</v>
      </c>
      <c r="CC465" s="2">
        <v>16.0531571668288</v>
      </c>
      <c r="CD465" s="2">
        <v>18.421215202652501</v>
      </c>
      <c r="CE465" s="2">
        <v>17.571542017876599</v>
      </c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</row>
    <row r="466" spans="1:97">
      <c r="A466" s="2" t="s">
        <v>4680</v>
      </c>
      <c r="B466" s="2">
        <v>541.26478999999995</v>
      </c>
      <c r="C466" s="2">
        <v>5.8360000000000003</v>
      </c>
      <c r="D466" s="2" t="s">
        <v>146</v>
      </c>
      <c r="E466" s="2" t="s">
        <v>4681</v>
      </c>
      <c r="F466" s="2" t="s">
        <v>4682</v>
      </c>
      <c r="G466" s="2">
        <v>50888</v>
      </c>
      <c r="H466" s="3" t="str">
        <f>HYPERLINK("https://cloud.oebiotech.com/#/lm/network/50888", "https://cloud.oebiotech.com/#/lm/network/50888")</f>
        <v>https://cloud.oebiotech.com/#/lm/network/50888</v>
      </c>
      <c r="I466" s="2" t="s">
        <v>4683</v>
      </c>
      <c r="J466" s="2">
        <v>61643</v>
      </c>
      <c r="K466" s="2"/>
      <c r="L466" s="2">
        <v>53480447</v>
      </c>
      <c r="M466" s="2" t="s">
        <v>2862</v>
      </c>
      <c r="N466" s="2" t="s">
        <v>2863</v>
      </c>
      <c r="O466" s="2" t="s">
        <v>2864</v>
      </c>
      <c r="P466" s="2">
        <v>88773</v>
      </c>
      <c r="Q466" s="2"/>
      <c r="R466" s="2"/>
      <c r="S466" s="2" t="s">
        <v>4684</v>
      </c>
      <c r="T466" s="2" t="s">
        <v>4685</v>
      </c>
      <c r="U466" s="2" t="s">
        <v>4686</v>
      </c>
      <c r="V466" s="2" t="s">
        <v>95</v>
      </c>
      <c r="W466" s="2" t="s">
        <v>152</v>
      </c>
      <c r="X466" s="2" t="s">
        <v>2791</v>
      </c>
      <c r="Y466" s="2" t="s">
        <v>98</v>
      </c>
      <c r="Z466" s="2" t="s">
        <v>154</v>
      </c>
      <c r="AA466" s="2" t="s">
        <v>2792</v>
      </c>
      <c r="AB466" s="2" t="s">
        <v>101</v>
      </c>
      <c r="AC466" s="2">
        <v>63.26</v>
      </c>
      <c r="AD466" s="2">
        <v>94.51</v>
      </c>
      <c r="AE466" s="2">
        <v>47.4</v>
      </c>
      <c r="AF466" s="2" t="s">
        <v>4687</v>
      </c>
      <c r="AG466" s="2" t="s">
        <v>194</v>
      </c>
      <c r="AH466" s="2" t="s">
        <v>4688</v>
      </c>
      <c r="AI466" s="2">
        <v>1.1100000000000001</v>
      </c>
      <c r="AJ466" s="2">
        <v>18.4010510762363</v>
      </c>
      <c r="AK466" s="2">
        <v>18.491809694287898</v>
      </c>
      <c r="AL466" s="2">
        <v>18.427381475615199</v>
      </c>
      <c r="AM466" s="2">
        <v>18.467238836002</v>
      </c>
      <c r="AN466" s="2">
        <v>18.141703237688699</v>
      </c>
      <c r="AO466" s="2">
        <v>18.340592649025901</v>
      </c>
      <c r="AP466" s="2">
        <v>18.391526974495399</v>
      </c>
      <c r="AQ466" s="2">
        <v>18.129959624731899</v>
      </c>
      <c r="AR466" s="2">
        <v>17.4628617672691</v>
      </c>
      <c r="AS466" s="2">
        <v>15.6135161136959</v>
      </c>
      <c r="AT466" s="2">
        <v>19.236223079146001</v>
      </c>
      <c r="AU466" s="2">
        <v>17.434956793593301</v>
      </c>
      <c r="AV466" s="2">
        <v>12.2516185075064</v>
      </c>
      <c r="AW466" s="2">
        <v>19.113471884637299</v>
      </c>
      <c r="AX466" s="2">
        <v>16.982798099974602</v>
      </c>
      <c r="AY466" s="2">
        <v>18.371273442215301</v>
      </c>
      <c r="AZ466" s="2">
        <v>17.906115032523498</v>
      </c>
      <c r="BA466" s="2">
        <v>18.021061459198101</v>
      </c>
      <c r="BB466" s="2">
        <v>18.596555764163998</v>
      </c>
      <c r="BC466" s="2">
        <v>18.844603040318798</v>
      </c>
      <c r="BD466" s="2">
        <v>16.236509808880001</v>
      </c>
      <c r="BE466" s="2">
        <v>18.729425378647999</v>
      </c>
      <c r="BF466" s="2">
        <v>14.2785118923433</v>
      </c>
      <c r="BG466" s="2">
        <v>19.088229053948599</v>
      </c>
      <c r="BH466" s="2">
        <v>16.9144088420556</v>
      </c>
      <c r="BI466" s="2">
        <v>14.164349156913</v>
      </c>
      <c r="BJ466" s="2">
        <v>18.6621536115819</v>
      </c>
      <c r="BK466" s="2">
        <v>17.6124352955467</v>
      </c>
      <c r="BL466" s="2">
        <v>19.387499733340899</v>
      </c>
      <c r="BM466" s="2">
        <v>17.016972992350901</v>
      </c>
      <c r="BN466" s="2">
        <v>18.100963382314799</v>
      </c>
      <c r="BO466" s="2">
        <v>18.260578743794401</v>
      </c>
      <c r="BP466" s="2">
        <v>12.1124395067816</v>
      </c>
      <c r="BQ466" s="2">
        <v>18.790143140189201</v>
      </c>
      <c r="BR466" s="2">
        <v>18.215734423799098</v>
      </c>
      <c r="BS466" s="2">
        <v>17.573714191028198</v>
      </c>
      <c r="BT466" s="2">
        <v>17.4388937594548</v>
      </c>
      <c r="BU466" s="2">
        <v>17.9326671383287</v>
      </c>
      <c r="BV466" s="2">
        <v>18.6078381443394</v>
      </c>
      <c r="BW466" s="2">
        <v>17.8480407499992</v>
      </c>
      <c r="BX466" s="2">
        <v>16.087423267702</v>
      </c>
      <c r="BY466" s="2">
        <v>18.8186791889201</v>
      </c>
      <c r="BZ466" s="2">
        <v>17.919038754649399</v>
      </c>
      <c r="CA466" s="2">
        <v>9.6233145402724691</v>
      </c>
      <c r="CB466" s="2">
        <v>18.673112905836199</v>
      </c>
      <c r="CC466" s="2">
        <v>19.218223385444201</v>
      </c>
      <c r="CD466" s="2">
        <v>18.2254710161933</v>
      </c>
      <c r="CE466" s="2">
        <v>18.9277297352786</v>
      </c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</row>
    <row r="467" spans="1:97">
      <c r="A467" s="2" t="s">
        <v>4689</v>
      </c>
      <c r="B467" s="2">
        <v>252.15665000000001</v>
      </c>
      <c r="C467" s="2">
        <v>6.5090000000000003</v>
      </c>
      <c r="D467" s="2" t="s">
        <v>84</v>
      </c>
      <c r="E467" s="2" t="s">
        <v>4690</v>
      </c>
      <c r="F467" s="2" t="s">
        <v>4691</v>
      </c>
      <c r="G467" s="2">
        <v>207690</v>
      </c>
      <c r="H467" s="3" t="str">
        <f>HYPERLINK("https://cloud.oebiotech.com/#/lm/network/207690", "https://cloud.oebiotech.com/#/lm/network/207690")</f>
        <v>https://cloud.oebiotech.com/#/lm/network/207690</v>
      </c>
      <c r="I467" s="2" t="s">
        <v>4692</v>
      </c>
      <c r="J467" s="2"/>
      <c r="K467" s="2"/>
      <c r="L467" s="2">
        <v>125098</v>
      </c>
      <c r="M467" s="2"/>
      <c r="N467" s="2"/>
      <c r="O467" s="2"/>
      <c r="P467" s="2"/>
      <c r="Q467" s="2"/>
      <c r="R467" s="2"/>
      <c r="S467" s="2"/>
      <c r="T467" s="2" t="s">
        <v>4693</v>
      </c>
      <c r="U467" s="2" t="s">
        <v>4694</v>
      </c>
      <c r="V467" s="2" t="s">
        <v>553</v>
      </c>
      <c r="W467" s="2" t="s">
        <v>3192</v>
      </c>
      <c r="X467" s="2" t="s">
        <v>4695</v>
      </c>
      <c r="Y467" s="2" t="s">
        <v>556</v>
      </c>
      <c r="Z467" s="2" t="s">
        <v>3194</v>
      </c>
      <c r="AA467" s="2" t="s">
        <v>4696</v>
      </c>
      <c r="AB467" s="2" t="s">
        <v>101</v>
      </c>
      <c r="AC467" s="2">
        <v>63.26</v>
      </c>
      <c r="AD467" s="2">
        <v>72.319999999999993</v>
      </c>
      <c r="AE467" s="2">
        <v>61.83</v>
      </c>
      <c r="AF467" s="2" t="s">
        <v>4697</v>
      </c>
      <c r="AG467" s="2" t="s">
        <v>1578</v>
      </c>
      <c r="AH467" s="2" t="s">
        <v>4698</v>
      </c>
      <c r="AI467" s="2">
        <v>1.19</v>
      </c>
      <c r="AJ467" s="2">
        <v>21.777803478826002</v>
      </c>
      <c r="AK467" s="2">
        <v>22.6938515510695</v>
      </c>
      <c r="AL467" s="2">
        <v>22.341708008203199</v>
      </c>
      <c r="AM467" s="2">
        <v>22.668974109734599</v>
      </c>
      <c r="AN467" s="2">
        <v>22.909541732193301</v>
      </c>
      <c r="AO467" s="2">
        <v>23.0211560824552</v>
      </c>
      <c r="AP467" s="2">
        <v>23.105112177885101</v>
      </c>
      <c r="AQ467" s="2">
        <v>22.710614536437902</v>
      </c>
      <c r="AR467" s="2">
        <v>22.443989962524501</v>
      </c>
      <c r="AS467" s="2">
        <v>22.4808289941219</v>
      </c>
      <c r="AT467" s="2">
        <v>22.026526731708099</v>
      </c>
      <c r="AU467" s="2">
        <v>21.407205955750101</v>
      </c>
      <c r="AV467" s="2">
        <v>22.8357308877092</v>
      </c>
      <c r="AW467" s="2">
        <v>22.656907736953201</v>
      </c>
      <c r="AX467" s="2">
        <v>22.616508259333699</v>
      </c>
      <c r="AY467" s="2">
        <v>22.749911582784801</v>
      </c>
      <c r="AZ467" s="2">
        <v>22.437799185803499</v>
      </c>
      <c r="BA467" s="2">
        <v>22.069822699228599</v>
      </c>
      <c r="BB467" s="2">
        <v>22.739569692566601</v>
      </c>
      <c r="BC467" s="2">
        <v>22.6757983506164</v>
      </c>
      <c r="BD467" s="2">
        <v>22.877422412284901</v>
      </c>
      <c r="BE467" s="2">
        <v>22.5720608474603</v>
      </c>
      <c r="BF467" s="2">
        <v>21.201236050835401</v>
      </c>
      <c r="BG467" s="2">
        <v>22.144061672100499</v>
      </c>
      <c r="BH467" s="2">
        <v>22.913961357822899</v>
      </c>
      <c r="BI467" s="2">
        <v>22.905800182360299</v>
      </c>
      <c r="BJ467" s="2">
        <v>22.751965922385398</v>
      </c>
      <c r="BK467" s="2">
        <v>22.901339595693699</v>
      </c>
      <c r="BL467" s="2">
        <v>22.828126640198999</v>
      </c>
      <c r="BM467" s="2">
        <v>22.8072185264888</v>
      </c>
      <c r="BN467" s="2">
        <v>23.128491950364602</v>
      </c>
      <c r="BO467" s="2">
        <v>22.9254045636374</v>
      </c>
      <c r="BP467" s="2">
        <v>23.0209203449532</v>
      </c>
      <c r="BQ467" s="2">
        <v>22.590860056618599</v>
      </c>
      <c r="BR467" s="2">
        <v>22.927848766061299</v>
      </c>
      <c r="BS467" s="2">
        <v>22.567557287242899</v>
      </c>
      <c r="BT467" s="2">
        <v>22.8241861748022</v>
      </c>
      <c r="BU467" s="2">
        <v>21.1364383203465</v>
      </c>
      <c r="BV467" s="2">
        <v>22.3612540248991</v>
      </c>
      <c r="BW467" s="2">
        <v>22.910244234496101</v>
      </c>
      <c r="BX467" s="2">
        <v>22.856795762857299</v>
      </c>
      <c r="BY467" s="2">
        <v>22.884683864576601</v>
      </c>
      <c r="BZ467" s="2">
        <v>22.992443336562701</v>
      </c>
      <c r="CA467" s="2">
        <v>22.4846089997165</v>
      </c>
      <c r="CB467" s="2">
        <v>22.993001570279201</v>
      </c>
      <c r="CC467" s="2">
        <v>22.844264377483299</v>
      </c>
      <c r="CD467" s="2">
        <v>23.058607597130202</v>
      </c>
      <c r="CE467" s="2">
        <v>21.5781838575028</v>
      </c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</row>
    <row r="468" spans="1:97">
      <c r="A468" s="2" t="s">
        <v>4699</v>
      </c>
      <c r="B468" s="2">
        <v>550.24501999999995</v>
      </c>
      <c r="C468" s="2">
        <v>6.4329999999999998</v>
      </c>
      <c r="D468" s="2" t="s">
        <v>146</v>
      </c>
      <c r="E468" s="2" t="s">
        <v>4700</v>
      </c>
      <c r="F468" s="2" t="s">
        <v>4701</v>
      </c>
      <c r="G468" s="2">
        <v>82501</v>
      </c>
      <c r="H468" s="3" t="str">
        <f>HYPERLINK("https://cloud.oebiotech.com/#/lm/network/82501", "https://cloud.oebiotech.com/#/lm/network/82501")</f>
        <v>https://cloud.oebiotech.com/#/lm/network/82501</v>
      </c>
      <c r="I468" s="2" t="s">
        <v>4702</v>
      </c>
      <c r="J468" s="2"/>
      <c r="K468" s="2"/>
      <c r="L468" s="2">
        <v>131769920</v>
      </c>
      <c r="M468" s="2"/>
      <c r="N468" s="2"/>
      <c r="O468" s="2"/>
      <c r="P468" s="2"/>
      <c r="Q468" s="2"/>
      <c r="R468" s="2"/>
      <c r="S468" s="2"/>
      <c r="T468" s="2" t="s">
        <v>4703</v>
      </c>
      <c r="U468" s="2" t="s">
        <v>4704</v>
      </c>
      <c r="V468" s="2" t="s">
        <v>845</v>
      </c>
      <c r="W468" s="2" t="s">
        <v>4705</v>
      </c>
      <c r="X468" s="2" t="s">
        <v>4706</v>
      </c>
      <c r="Y468" s="2" t="s">
        <v>847</v>
      </c>
      <c r="Z468" s="2" t="s">
        <v>4707</v>
      </c>
      <c r="AA468" s="2" t="s">
        <v>4708</v>
      </c>
      <c r="AB468" s="2" t="s">
        <v>101</v>
      </c>
      <c r="AC468" s="2">
        <v>63.17</v>
      </c>
      <c r="AD468" s="2">
        <v>78.319999999999993</v>
      </c>
      <c r="AE468" s="2">
        <v>49.13</v>
      </c>
      <c r="AF468" s="2" t="s">
        <v>4709</v>
      </c>
      <c r="AG468" s="2" t="s">
        <v>194</v>
      </c>
      <c r="AH468" s="2" t="s">
        <v>4710</v>
      </c>
      <c r="AI468" s="2">
        <v>-0.73</v>
      </c>
      <c r="AJ468" s="2">
        <v>18.3071106022972</v>
      </c>
      <c r="AK468" s="2">
        <v>18.124558705865599</v>
      </c>
      <c r="AL468" s="2">
        <v>18.049273930218298</v>
      </c>
      <c r="AM468" s="2">
        <v>17.928464592412599</v>
      </c>
      <c r="AN468" s="2">
        <v>18.1280639198249</v>
      </c>
      <c r="AO468" s="2">
        <v>18.127239244758101</v>
      </c>
      <c r="AP468" s="2">
        <v>18.090240531748002</v>
      </c>
      <c r="AQ468" s="2">
        <v>18.132300853343001</v>
      </c>
      <c r="AR468" s="2">
        <v>14.1393978660386</v>
      </c>
      <c r="AS468" s="2">
        <v>11.395207430331</v>
      </c>
      <c r="AT468" s="2">
        <v>15.880775908945299</v>
      </c>
      <c r="AU468" s="2">
        <v>17.858097162477598</v>
      </c>
      <c r="AV468" s="2">
        <v>17.148354929098801</v>
      </c>
      <c r="AW468" s="2">
        <v>19.089011960608801</v>
      </c>
      <c r="AX468" s="2">
        <v>17.527924495280399</v>
      </c>
      <c r="AY468" s="2">
        <v>17.0137738812885</v>
      </c>
      <c r="AZ468" s="2">
        <v>14.854330290882199</v>
      </c>
      <c r="BA468" s="2">
        <v>18.1624197028179</v>
      </c>
      <c r="BB468" s="2">
        <v>20.065025486878501</v>
      </c>
      <c r="BC468" s="2">
        <v>19.778764862594201</v>
      </c>
      <c r="BD468" s="2">
        <v>11.496264598222799</v>
      </c>
      <c r="BE468" s="2">
        <v>13.523054669404999</v>
      </c>
      <c r="BF468" s="2">
        <v>18.625175973310501</v>
      </c>
      <c r="BG468" s="2">
        <v>20.0561752367019</v>
      </c>
      <c r="BH468" s="2">
        <v>15.598490186995001</v>
      </c>
      <c r="BI468" s="2">
        <v>16.645651678202601</v>
      </c>
      <c r="BJ468" s="2">
        <v>18.858735157056199</v>
      </c>
      <c r="BK468" s="2">
        <v>17.270616447351198</v>
      </c>
      <c r="BL468" s="2">
        <v>15.7931048838122</v>
      </c>
      <c r="BM468" s="2">
        <v>16.673739699488898</v>
      </c>
      <c r="BN468" s="2">
        <v>16.013609465185802</v>
      </c>
      <c r="BO468" s="2">
        <v>15.8853014749397</v>
      </c>
      <c r="BP468" s="2">
        <v>17.7705840191196</v>
      </c>
      <c r="BQ468" s="2">
        <v>18.0427449454209</v>
      </c>
      <c r="BR468" s="2">
        <v>17.8647758195713</v>
      </c>
      <c r="BS468" s="2">
        <v>16.366884462007299</v>
      </c>
      <c r="BT468" s="2">
        <v>17.9224959619979</v>
      </c>
      <c r="BU468" s="2">
        <v>17.5056747289165</v>
      </c>
      <c r="BV468" s="2">
        <v>19.220637949571799</v>
      </c>
      <c r="BW468" s="2">
        <v>19.230851917325801</v>
      </c>
      <c r="BX468" s="2">
        <v>9.6233145402724691</v>
      </c>
      <c r="BY468" s="2">
        <v>15.688035255037899</v>
      </c>
      <c r="BZ468" s="2">
        <v>18.265604654369501</v>
      </c>
      <c r="CA468" s="2">
        <v>19.904569930711901</v>
      </c>
      <c r="CB468" s="2">
        <v>16.589698102384698</v>
      </c>
      <c r="CC468" s="2">
        <v>17.243410265697001</v>
      </c>
      <c r="CD468" s="2">
        <v>17.6360294398925</v>
      </c>
      <c r="CE468" s="2">
        <v>17.3913718203037</v>
      </c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</row>
    <row r="469" spans="1:97">
      <c r="A469" s="2" t="s">
        <v>4711</v>
      </c>
      <c r="B469" s="2">
        <v>439.16036000000003</v>
      </c>
      <c r="C469" s="2">
        <v>5.298</v>
      </c>
      <c r="D469" s="2" t="s">
        <v>146</v>
      </c>
      <c r="E469" s="2" t="s">
        <v>4712</v>
      </c>
      <c r="F469" s="2" t="s">
        <v>4713</v>
      </c>
      <c r="G469" s="2">
        <v>58964</v>
      </c>
      <c r="H469" s="3" t="str">
        <f>HYPERLINK("https://cloud.oebiotech.com/#/lm/network/58964", "https://cloud.oebiotech.com/#/lm/network/58964")</f>
        <v>https://cloud.oebiotech.com/#/lm/network/58964</v>
      </c>
      <c r="I469" s="2" t="s">
        <v>4714</v>
      </c>
      <c r="J469" s="2"/>
      <c r="K469" s="2"/>
      <c r="L469" s="2">
        <v>21596346</v>
      </c>
      <c r="M469" s="2"/>
      <c r="N469" s="2"/>
      <c r="O469" s="2"/>
      <c r="P469" s="2"/>
      <c r="Q469" s="2"/>
      <c r="R469" s="2"/>
      <c r="S469" s="2" t="s">
        <v>4715</v>
      </c>
      <c r="T469" s="2" t="s">
        <v>4716</v>
      </c>
      <c r="U469" s="2" t="s">
        <v>4717</v>
      </c>
      <c r="V469" s="2" t="s">
        <v>95</v>
      </c>
      <c r="W469" s="2" t="s">
        <v>180</v>
      </c>
      <c r="X469" s="2" t="s">
        <v>3643</v>
      </c>
      <c r="Y469" s="2" t="s">
        <v>98</v>
      </c>
      <c r="Z469" s="2" t="s">
        <v>182</v>
      </c>
      <c r="AA469" s="2" t="s">
        <v>3644</v>
      </c>
      <c r="AB469" s="2" t="s">
        <v>101</v>
      </c>
      <c r="AC469" s="2">
        <v>63.13</v>
      </c>
      <c r="AD469" s="2">
        <v>85.56</v>
      </c>
      <c r="AE469" s="2">
        <v>46.3</v>
      </c>
      <c r="AF469" s="2" t="s">
        <v>4718</v>
      </c>
      <c r="AG469" s="2" t="s">
        <v>157</v>
      </c>
      <c r="AH469" s="2" t="s">
        <v>3764</v>
      </c>
      <c r="AI469" s="2">
        <v>1.37</v>
      </c>
      <c r="AJ469" s="2">
        <v>16.420315378026999</v>
      </c>
      <c r="AK469" s="2">
        <v>17.222215576953801</v>
      </c>
      <c r="AL469" s="2">
        <v>17.264351970766999</v>
      </c>
      <c r="AM469" s="2">
        <v>16.812056691407999</v>
      </c>
      <c r="AN469" s="2">
        <v>17.027621277173498</v>
      </c>
      <c r="AO469" s="2">
        <v>16.863141742914699</v>
      </c>
      <c r="AP469" s="2">
        <v>17.074645331015901</v>
      </c>
      <c r="AQ469" s="2">
        <v>17.123402047332299</v>
      </c>
      <c r="AR469" s="2">
        <v>17.396906007975701</v>
      </c>
      <c r="AS469" s="2">
        <v>15.361712167510699</v>
      </c>
      <c r="AT469" s="2">
        <v>15.499370369471601</v>
      </c>
      <c r="AU469" s="2">
        <v>17.551058509085198</v>
      </c>
      <c r="AV469" s="2">
        <v>15.868722498089801</v>
      </c>
      <c r="AW469" s="2">
        <v>17.5051935289945</v>
      </c>
      <c r="AX469" s="2">
        <v>15.9418273113357</v>
      </c>
      <c r="AY469" s="2">
        <v>17.370652333309401</v>
      </c>
      <c r="AZ469" s="2">
        <v>18.000621425203502</v>
      </c>
      <c r="BA469" s="2">
        <v>15.7338208910818</v>
      </c>
      <c r="BB469" s="2">
        <v>16.915961634190399</v>
      </c>
      <c r="BC469" s="2">
        <v>14.4333872264805</v>
      </c>
      <c r="BD469" s="2">
        <v>15.3595066203271</v>
      </c>
      <c r="BE469" s="2">
        <v>16.7469363663145</v>
      </c>
      <c r="BF469" s="2">
        <v>16.207735029942</v>
      </c>
      <c r="BG469" s="2">
        <v>15.8246517673446</v>
      </c>
      <c r="BH469" s="2">
        <v>14.2820944210899</v>
      </c>
      <c r="BI469" s="2">
        <v>16.301448323463401</v>
      </c>
      <c r="BJ469" s="2">
        <v>16.872932618760601</v>
      </c>
      <c r="BK469" s="2">
        <v>14.8516480375174</v>
      </c>
      <c r="BL469" s="2">
        <v>16.9480264358574</v>
      </c>
      <c r="BM469" s="2">
        <v>18.036004268431501</v>
      </c>
      <c r="BN469" s="2">
        <v>17.1213123286952</v>
      </c>
      <c r="BO469" s="2">
        <v>15.7801362854599</v>
      </c>
      <c r="BP469" s="2">
        <v>15.73832109404</v>
      </c>
      <c r="BQ469" s="2">
        <v>17.992031998077699</v>
      </c>
      <c r="BR469" s="2">
        <v>15.6033716372242</v>
      </c>
      <c r="BS469" s="2">
        <v>17.8479341659197</v>
      </c>
      <c r="BT469" s="2">
        <v>19.158947583073498</v>
      </c>
      <c r="BU469" s="2">
        <v>16.128613642791599</v>
      </c>
      <c r="BV469" s="2">
        <v>17.875766566819099</v>
      </c>
      <c r="BW469" s="2">
        <v>12.2055825101328</v>
      </c>
      <c r="BX469" s="2">
        <v>15.658785522770801</v>
      </c>
      <c r="BY469" s="2">
        <v>17.624030405963101</v>
      </c>
      <c r="BZ469" s="2">
        <v>16.6376832298034</v>
      </c>
      <c r="CA469" s="2">
        <v>17.179397623823998</v>
      </c>
      <c r="CB469" s="2">
        <v>17.272619944409701</v>
      </c>
      <c r="CC469" s="2">
        <v>16.239499706027399</v>
      </c>
      <c r="CD469" s="2">
        <v>17.1152714924519</v>
      </c>
      <c r="CE469" s="2">
        <v>14.9137561519548</v>
      </c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</row>
    <row r="470" spans="1:97">
      <c r="A470" s="2" t="s">
        <v>4719</v>
      </c>
      <c r="B470" s="2">
        <v>457.35289</v>
      </c>
      <c r="C470" s="2">
        <v>12.016999999999999</v>
      </c>
      <c r="D470" s="2" t="s">
        <v>146</v>
      </c>
      <c r="E470" s="2" t="s">
        <v>4720</v>
      </c>
      <c r="F470" s="2" t="s">
        <v>4721</v>
      </c>
      <c r="G470" s="2">
        <v>10325</v>
      </c>
      <c r="H470" s="3" t="str">
        <f>HYPERLINK("https://cloud.oebiotech.com/#/lm/network/10325", "https://cloud.oebiotech.com/#/lm/network/10325")</f>
        <v>https://cloud.oebiotech.com/#/lm/network/10325</v>
      </c>
      <c r="I470" s="2"/>
      <c r="J470" s="2"/>
      <c r="K470" s="2" t="s">
        <v>4722</v>
      </c>
      <c r="L470" s="2">
        <v>86289796</v>
      </c>
      <c r="M470" s="2"/>
      <c r="N470" s="2"/>
      <c r="O470" s="2"/>
      <c r="P470" s="2">
        <v>79158</v>
      </c>
      <c r="Q470" s="2"/>
      <c r="R470" s="2"/>
      <c r="S470" s="2"/>
      <c r="T470" s="2" t="s">
        <v>4723</v>
      </c>
      <c r="U470" s="2" t="s">
        <v>4724</v>
      </c>
      <c r="V470" s="2" t="s">
        <v>95</v>
      </c>
      <c r="W470" s="2" t="s">
        <v>96</v>
      </c>
      <c r="X470" s="2" t="s">
        <v>141</v>
      </c>
      <c r="Y470" s="2" t="s">
        <v>98</v>
      </c>
      <c r="Z470" s="2" t="s">
        <v>99</v>
      </c>
      <c r="AA470" s="2" t="s">
        <v>142</v>
      </c>
      <c r="AB470" s="2" t="s">
        <v>3086</v>
      </c>
      <c r="AC470" s="2">
        <v>63.08</v>
      </c>
      <c r="AD470" s="2">
        <v>94.74</v>
      </c>
      <c r="AE470" s="2">
        <v>44.02</v>
      </c>
      <c r="AF470" s="2" t="s">
        <v>4725</v>
      </c>
      <c r="AG470" s="2" t="s">
        <v>194</v>
      </c>
      <c r="AH470" s="2" t="s">
        <v>3408</v>
      </c>
      <c r="AI470" s="2">
        <v>1.31</v>
      </c>
      <c r="AJ470" s="2">
        <v>20.0512988622223</v>
      </c>
      <c r="AK470" s="2">
        <v>18.624009444383699</v>
      </c>
      <c r="AL470" s="2">
        <v>19.479723473527098</v>
      </c>
      <c r="AM470" s="2">
        <v>19.437806882577298</v>
      </c>
      <c r="AN470" s="2">
        <v>19.247152860750401</v>
      </c>
      <c r="AO470" s="2">
        <v>19.633009268148999</v>
      </c>
      <c r="AP470" s="2">
        <v>19.337660858030301</v>
      </c>
      <c r="AQ470" s="2">
        <v>19.571301230822002</v>
      </c>
      <c r="AR470" s="2">
        <v>19.149346574351</v>
      </c>
      <c r="AS470" s="2">
        <v>19.2590868926182</v>
      </c>
      <c r="AT470" s="2">
        <v>18.703790588181398</v>
      </c>
      <c r="AU470" s="2">
        <v>18.457906739068999</v>
      </c>
      <c r="AV470" s="2">
        <v>19.3319618286882</v>
      </c>
      <c r="AW470" s="2">
        <v>19.739920222387699</v>
      </c>
      <c r="AX470" s="2">
        <v>18.150519961980901</v>
      </c>
      <c r="AY470" s="2">
        <v>20.777865765725199</v>
      </c>
      <c r="AZ470" s="2">
        <v>20.026002170128201</v>
      </c>
      <c r="BA470" s="2">
        <v>19.179200539957701</v>
      </c>
      <c r="BB470" s="2">
        <v>19.173875122463201</v>
      </c>
      <c r="BC470" s="2">
        <v>20.039064945821099</v>
      </c>
      <c r="BD470" s="2">
        <v>19.0559720930993</v>
      </c>
      <c r="BE470" s="2">
        <v>21.2834049831344</v>
      </c>
      <c r="BF470" s="2">
        <v>18.469190507028301</v>
      </c>
      <c r="BG470" s="2">
        <v>19.2697352471159</v>
      </c>
      <c r="BH470" s="2">
        <v>19.043466707685901</v>
      </c>
      <c r="BI470" s="2">
        <v>18.6305408754681</v>
      </c>
      <c r="BJ470" s="2">
        <v>20.439331268218201</v>
      </c>
      <c r="BK470" s="2">
        <v>18.600534250376999</v>
      </c>
      <c r="BL470" s="2">
        <v>19.341423157265599</v>
      </c>
      <c r="BM470" s="2">
        <v>19.897214378163198</v>
      </c>
      <c r="BN470" s="2">
        <v>19.0173774126506</v>
      </c>
      <c r="BO470" s="2">
        <v>18.420190928074302</v>
      </c>
      <c r="BP470" s="2">
        <v>18.6265865056297</v>
      </c>
      <c r="BQ470" s="2">
        <v>19.135254414810198</v>
      </c>
      <c r="BR470" s="2">
        <v>17.811196239782898</v>
      </c>
      <c r="BS470" s="2">
        <v>20.555233720632799</v>
      </c>
      <c r="BT470" s="2">
        <v>19.0389204088874</v>
      </c>
      <c r="BU470" s="2">
        <v>19.183814151812999</v>
      </c>
      <c r="BV470" s="2">
        <v>19.0270835095506</v>
      </c>
      <c r="BW470" s="2">
        <v>18.544699229309799</v>
      </c>
      <c r="BX470" s="2">
        <v>19.259102781281101</v>
      </c>
      <c r="BY470" s="2">
        <v>21.4445854873893</v>
      </c>
      <c r="BZ470" s="2">
        <v>18.3352917732132</v>
      </c>
      <c r="CA470" s="2">
        <v>18.4334786351899</v>
      </c>
      <c r="CB470" s="2">
        <v>19.180965267556601</v>
      </c>
      <c r="CC470" s="2">
        <v>18.880826269090601</v>
      </c>
      <c r="CD470" s="2">
        <v>20.269486492848699</v>
      </c>
      <c r="CE470" s="2">
        <v>18.693326118201998</v>
      </c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</row>
    <row r="471" spans="1:97">
      <c r="A471" s="2" t="s">
        <v>4726</v>
      </c>
      <c r="B471" s="2">
        <v>338.34097000000003</v>
      </c>
      <c r="C471" s="2">
        <v>14.779</v>
      </c>
      <c r="D471" s="2" t="s">
        <v>84</v>
      </c>
      <c r="E471" s="2" t="s">
        <v>4727</v>
      </c>
      <c r="F471" s="2" t="s">
        <v>4728</v>
      </c>
      <c r="G471" s="2">
        <v>8591</v>
      </c>
      <c r="H471" s="3" t="str">
        <f>HYPERLINK("https://cloud.oebiotech.com/#/lm/network/8591", "https://cloud.oebiotech.com/#/lm/network/8591")</f>
        <v>https://cloud.oebiotech.com/#/lm/network/8591</v>
      </c>
      <c r="I471" s="2"/>
      <c r="J471" s="2">
        <v>64926</v>
      </c>
      <c r="K471" s="2" t="s">
        <v>4729</v>
      </c>
      <c r="L471" s="2">
        <v>5365371</v>
      </c>
      <c r="M471" s="2"/>
      <c r="N471" s="2"/>
      <c r="O471" s="2"/>
      <c r="P471" s="2">
        <v>142245</v>
      </c>
      <c r="Q471" s="2"/>
      <c r="R471" s="2"/>
      <c r="S471" s="2" t="s">
        <v>4730</v>
      </c>
      <c r="T471" s="2" t="s">
        <v>4731</v>
      </c>
      <c r="U471" s="2" t="s">
        <v>4732</v>
      </c>
      <c r="V471" s="2" t="s">
        <v>95</v>
      </c>
      <c r="W471" s="2" t="s">
        <v>96</v>
      </c>
      <c r="X471" s="2" t="s">
        <v>315</v>
      </c>
      <c r="Y471" s="2" t="s">
        <v>98</v>
      </c>
      <c r="Z471" s="2" t="s">
        <v>99</v>
      </c>
      <c r="AA471" s="2" t="s">
        <v>316</v>
      </c>
      <c r="AB471" s="2" t="s">
        <v>101</v>
      </c>
      <c r="AC471" s="2">
        <v>63.02</v>
      </c>
      <c r="AD471" s="2">
        <v>85.86</v>
      </c>
      <c r="AE471" s="2">
        <v>60.42</v>
      </c>
      <c r="AF471" s="2" t="s">
        <v>4733</v>
      </c>
      <c r="AG471" s="2" t="s">
        <v>103</v>
      </c>
      <c r="AH471" s="2" t="s">
        <v>318</v>
      </c>
      <c r="AI471" s="2">
        <v>2.0699999999999998</v>
      </c>
      <c r="AJ471" s="2">
        <v>22.408173749724401</v>
      </c>
      <c r="AK471" s="2">
        <v>22.187505120886001</v>
      </c>
      <c r="AL471" s="2">
        <v>22.246234683518399</v>
      </c>
      <c r="AM471" s="2">
        <v>21.6239432098618</v>
      </c>
      <c r="AN471" s="2">
        <v>22.3266927396737</v>
      </c>
      <c r="AO471" s="2">
        <v>21.2150057517152</v>
      </c>
      <c r="AP471" s="2">
        <v>21.822166189389701</v>
      </c>
      <c r="AQ471" s="2">
        <v>22.4048381398168</v>
      </c>
      <c r="AR471" s="2">
        <v>22.6639594646266</v>
      </c>
      <c r="AS471" s="2">
        <v>22.5520346727603</v>
      </c>
      <c r="AT471" s="2">
        <v>22.325700969438401</v>
      </c>
      <c r="AU471" s="2">
        <v>22.3979950918716</v>
      </c>
      <c r="AV471" s="2">
        <v>22.398775519272299</v>
      </c>
      <c r="AW471" s="2">
        <v>22.3017554556303</v>
      </c>
      <c r="AX471" s="2">
        <v>22.356138930209301</v>
      </c>
      <c r="AY471" s="2">
        <v>22.928773044863899</v>
      </c>
      <c r="AZ471" s="2">
        <v>22.517941744651601</v>
      </c>
      <c r="BA471" s="2">
        <v>22.357595575135502</v>
      </c>
      <c r="BB471" s="2">
        <v>22.302598257506698</v>
      </c>
      <c r="BC471" s="2">
        <v>22.160559781981298</v>
      </c>
      <c r="BD471" s="2">
        <v>22.0890423616768</v>
      </c>
      <c r="BE471" s="2">
        <v>21.789817339617901</v>
      </c>
      <c r="BF471" s="2">
        <v>21.352205686014798</v>
      </c>
      <c r="BG471" s="2">
        <v>22.235655609683899</v>
      </c>
      <c r="BH471" s="2">
        <v>21.8537403500031</v>
      </c>
      <c r="BI471" s="2">
        <v>22.417817454619801</v>
      </c>
      <c r="BJ471" s="2">
        <v>22.5625371201888</v>
      </c>
      <c r="BK471" s="2">
        <v>22.3652661803998</v>
      </c>
      <c r="BL471" s="2">
        <v>22.257128004901901</v>
      </c>
      <c r="BM471" s="2">
        <v>22.203730035422101</v>
      </c>
      <c r="BN471" s="2">
        <v>21.632365583242802</v>
      </c>
      <c r="BO471" s="2">
        <v>22.4000689739457</v>
      </c>
      <c r="BP471" s="2">
        <v>21.3213194616349</v>
      </c>
      <c r="BQ471" s="2">
        <v>22.3286507811255</v>
      </c>
      <c r="BR471" s="2">
        <v>21.585739254162</v>
      </c>
      <c r="BS471" s="2">
        <v>22.4488844029174</v>
      </c>
      <c r="BT471" s="2">
        <v>21.884896700648401</v>
      </c>
      <c r="BU471" s="2">
        <v>21.449918301268099</v>
      </c>
      <c r="BV471" s="2">
        <v>22.275054505402899</v>
      </c>
      <c r="BW471" s="2">
        <v>21.182348897454801</v>
      </c>
      <c r="BX471" s="2">
        <v>22.529913196562202</v>
      </c>
      <c r="BY471" s="2">
        <v>22.232280690939401</v>
      </c>
      <c r="BZ471" s="2">
        <v>22.2292459587038</v>
      </c>
      <c r="CA471" s="2">
        <v>22.3421714873894</v>
      </c>
      <c r="CB471" s="2">
        <v>22.530044221398999</v>
      </c>
      <c r="CC471" s="2">
        <v>22.126401509377999</v>
      </c>
      <c r="CD471" s="2">
        <v>21.721894466077199</v>
      </c>
      <c r="CE471" s="2">
        <v>22.318323384764302</v>
      </c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</row>
    <row r="472" spans="1:97">
      <c r="A472" s="2" t="s">
        <v>4734</v>
      </c>
      <c r="B472" s="2">
        <v>130.08702</v>
      </c>
      <c r="C472" s="2">
        <v>1.385</v>
      </c>
      <c r="D472" s="2" t="s">
        <v>146</v>
      </c>
      <c r="E472" s="2" t="s">
        <v>4735</v>
      </c>
      <c r="F472" s="2" t="s">
        <v>4736</v>
      </c>
      <c r="G472" s="2">
        <v>2489</v>
      </c>
      <c r="H472" s="3" t="str">
        <f>HYPERLINK("https://cloud.oebiotech.com/#/lm/network/2489", "https://cloud.oebiotech.com/#/lm/network/2489")</f>
        <v>https://cloud.oebiotech.com/#/lm/network/2489</v>
      </c>
      <c r="I472" s="2" t="s">
        <v>4737</v>
      </c>
      <c r="J472" s="2">
        <v>23</v>
      </c>
      <c r="K472" s="2" t="s">
        <v>4738</v>
      </c>
      <c r="L472" s="2">
        <v>6306</v>
      </c>
      <c r="M472" s="2" t="s">
        <v>4739</v>
      </c>
      <c r="N472" s="2" t="s">
        <v>4740</v>
      </c>
      <c r="O472" s="2" t="s">
        <v>4741</v>
      </c>
      <c r="P472" s="2">
        <v>17191</v>
      </c>
      <c r="Q472" s="2"/>
      <c r="R472" s="2"/>
      <c r="S472" s="2" t="s">
        <v>4742</v>
      </c>
      <c r="T472" s="2" t="s">
        <v>4743</v>
      </c>
      <c r="U472" s="2" t="s">
        <v>4744</v>
      </c>
      <c r="V472" s="2" t="s">
        <v>115</v>
      </c>
      <c r="W472" s="2" t="s">
        <v>116</v>
      </c>
      <c r="X472" s="2" t="s">
        <v>117</v>
      </c>
      <c r="Y472" s="2" t="s">
        <v>118</v>
      </c>
      <c r="Z472" s="2" t="s">
        <v>119</v>
      </c>
      <c r="AA472" s="2" t="s">
        <v>120</v>
      </c>
      <c r="AB472" s="2" t="s">
        <v>3086</v>
      </c>
      <c r="AC472" s="2">
        <v>63.01</v>
      </c>
      <c r="AD472" s="2">
        <v>96.34</v>
      </c>
      <c r="AE472" s="2">
        <v>37.340000000000003</v>
      </c>
      <c r="AF472" s="2" t="s">
        <v>4745</v>
      </c>
      <c r="AG472" s="2" t="s">
        <v>194</v>
      </c>
      <c r="AH472" s="2" t="s">
        <v>1674</v>
      </c>
      <c r="AI472" s="2">
        <v>2.61</v>
      </c>
      <c r="AJ472" s="2">
        <v>22.4571101850246</v>
      </c>
      <c r="AK472" s="2">
        <v>22.0853911041708</v>
      </c>
      <c r="AL472" s="2">
        <v>22.5104394415591</v>
      </c>
      <c r="AM472" s="2">
        <v>22.3371603921494</v>
      </c>
      <c r="AN472" s="2">
        <v>22.1120053448455</v>
      </c>
      <c r="AO472" s="2">
        <v>22.219809070819199</v>
      </c>
      <c r="AP472" s="2">
        <v>22.512146532052402</v>
      </c>
      <c r="AQ472" s="2">
        <v>22.3834350506948</v>
      </c>
      <c r="AR472" s="2">
        <v>21.182806744021399</v>
      </c>
      <c r="AS472" s="2">
        <v>20.715224098636501</v>
      </c>
      <c r="AT472" s="2">
        <v>21.679395319265701</v>
      </c>
      <c r="AU472" s="2">
        <v>21.7413305027432</v>
      </c>
      <c r="AV472" s="2">
        <v>22.180748927774701</v>
      </c>
      <c r="AW472" s="2">
        <v>22.657520655758901</v>
      </c>
      <c r="AX472" s="2">
        <v>20.858529550116</v>
      </c>
      <c r="AY472" s="2">
        <v>21.979146528708501</v>
      </c>
      <c r="AZ472" s="2">
        <v>22.118304816575201</v>
      </c>
      <c r="BA472" s="2">
        <v>21.8867315933086</v>
      </c>
      <c r="BB472" s="2">
        <v>21.624625184356301</v>
      </c>
      <c r="BC472" s="2">
        <v>22.379150712088698</v>
      </c>
      <c r="BD472" s="2">
        <v>21.5973665797828</v>
      </c>
      <c r="BE472" s="2">
        <v>21.870171730499699</v>
      </c>
      <c r="BF472" s="2">
        <v>21.462978338202799</v>
      </c>
      <c r="BG472" s="2">
        <v>22.280260248931299</v>
      </c>
      <c r="BH472" s="2">
        <v>22.170290683461999</v>
      </c>
      <c r="BI472" s="2">
        <v>21.740291687946801</v>
      </c>
      <c r="BJ472" s="2">
        <v>22.7329282117472</v>
      </c>
      <c r="BK472" s="2">
        <v>21.808428551176601</v>
      </c>
      <c r="BL472" s="2">
        <v>19.776490061313702</v>
      </c>
      <c r="BM472" s="2">
        <v>23.5199370652673</v>
      </c>
      <c r="BN472" s="2">
        <v>22.1432352738079</v>
      </c>
      <c r="BO472" s="2">
        <v>22.185883844772398</v>
      </c>
      <c r="BP472" s="2">
        <v>21.0023707374617</v>
      </c>
      <c r="BQ472" s="2">
        <v>22.2869343853042</v>
      </c>
      <c r="BR472" s="2">
        <v>21.385491536952902</v>
      </c>
      <c r="BS472" s="2">
        <v>21.952115406548199</v>
      </c>
      <c r="BT472" s="2">
        <v>21.079375031400001</v>
      </c>
      <c r="BU472" s="2">
        <v>21.0573467838773</v>
      </c>
      <c r="BV472" s="2">
        <v>22.458243721475</v>
      </c>
      <c r="BW472" s="2">
        <v>21.809838943890099</v>
      </c>
      <c r="BX472" s="2">
        <v>22.6972746085811</v>
      </c>
      <c r="BY472" s="2">
        <v>22.9550052550427</v>
      </c>
      <c r="BZ472" s="2">
        <v>21.878470641570701</v>
      </c>
      <c r="CA472" s="2">
        <v>21.599322184641299</v>
      </c>
      <c r="CB472" s="2">
        <v>21.414696434568398</v>
      </c>
      <c r="CC472" s="2">
        <v>21.859803222408502</v>
      </c>
      <c r="CD472" s="2">
        <v>21.9835177832813</v>
      </c>
      <c r="CE472" s="2">
        <v>22.086724876914499</v>
      </c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</row>
    <row r="473" spans="1:97">
      <c r="A473" s="2" t="s">
        <v>4746</v>
      </c>
      <c r="B473" s="2">
        <v>449.36304000000001</v>
      </c>
      <c r="C473" s="2">
        <v>14.095000000000001</v>
      </c>
      <c r="D473" s="2" t="s">
        <v>146</v>
      </c>
      <c r="E473" s="2" t="s">
        <v>4747</v>
      </c>
      <c r="F473" s="2" t="s">
        <v>4748</v>
      </c>
      <c r="G473" s="2">
        <v>256791</v>
      </c>
      <c r="H473" s="3" t="str">
        <f>HYPERLINK("https://cloud.oebiotech.com/#/lm/network/256791", "https://cloud.oebiotech.com/#/lm/network/256791")</f>
        <v>https://cloud.oebiotech.com/#/lm/network/256791</v>
      </c>
      <c r="I473" s="2" t="s">
        <v>4749</v>
      </c>
      <c r="J473" s="2"/>
      <c r="K473" s="2"/>
      <c r="L473" s="2">
        <v>17896834</v>
      </c>
      <c r="M473" s="2"/>
      <c r="N473" s="2"/>
      <c r="O473" s="2"/>
      <c r="P473" s="2"/>
      <c r="Q473" s="2"/>
      <c r="R473" s="2"/>
      <c r="S473" s="2"/>
      <c r="T473" s="2" t="s">
        <v>4750</v>
      </c>
      <c r="U473" s="2" t="s">
        <v>4751</v>
      </c>
      <c r="V473" s="2" t="s">
        <v>95</v>
      </c>
      <c r="W473" s="2" t="s">
        <v>152</v>
      </c>
      <c r="X473" s="2" t="s">
        <v>278</v>
      </c>
      <c r="Y473" s="2" t="s">
        <v>98</v>
      </c>
      <c r="Z473" s="2" t="s">
        <v>154</v>
      </c>
      <c r="AA473" s="2" t="s">
        <v>279</v>
      </c>
      <c r="AB473" s="2" t="s">
        <v>101</v>
      </c>
      <c r="AC473" s="2">
        <v>63.01</v>
      </c>
      <c r="AD473" s="2">
        <v>82.03</v>
      </c>
      <c r="AE473" s="2">
        <v>57.19</v>
      </c>
      <c r="AF473" s="2" t="s">
        <v>4752</v>
      </c>
      <c r="AG473" s="2" t="s">
        <v>157</v>
      </c>
      <c r="AH473" s="2" t="s">
        <v>1423</v>
      </c>
      <c r="AI473" s="2">
        <v>1.34</v>
      </c>
      <c r="AJ473" s="2">
        <v>18.7722423638977</v>
      </c>
      <c r="AK473" s="2">
        <v>19.135466236639701</v>
      </c>
      <c r="AL473" s="2">
        <v>19.5171410856472</v>
      </c>
      <c r="AM473" s="2">
        <v>18.150618924156699</v>
      </c>
      <c r="AN473" s="2">
        <v>19.534560638259801</v>
      </c>
      <c r="AO473" s="2">
        <v>19.270698997357599</v>
      </c>
      <c r="AP473" s="2">
        <v>19.509795915151901</v>
      </c>
      <c r="AQ473" s="2">
        <v>19.5921211294865</v>
      </c>
      <c r="AR473" s="2">
        <v>18.075056344632699</v>
      </c>
      <c r="AS473" s="2">
        <v>19.170290750709199</v>
      </c>
      <c r="AT473" s="2">
        <v>19.2573408561774</v>
      </c>
      <c r="AU473" s="2">
        <v>18.740636758130702</v>
      </c>
      <c r="AV473" s="2">
        <v>19.109414942362399</v>
      </c>
      <c r="AW473" s="2">
        <v>18.887756277935299</v>
      </c>
      <c r="AX473" s="2">
        <v>19.166721818652402</v>
      </c>
      <c r="AY473" s="2">
        <v>19.6082291532034</v>
      </c>
      <c r="AZ473" s="2">
        <v>19.844422014207399</v>
      </c>
      <c r="BA473" s="2">
        <v>19.233702218025901</v>
      </c>
      <c r="BB473" s="2">
        <v>19.463956990792099</v>
      </c>
      <c r="BC473" s="2">
        <v>18.4977191270359</v>
      </c>
      <c r="BD473" s="2">
        <v>19.594247195362701</v>
      </c>
      <c r="BE473" s="2">
        <v>20.542117589348798</v>
      </c>
      <c r="BF473" s="2">
        <v>19.150873289261</v>
      </c>
      <c r="BG473" s="2">
        <v>19.539950805684501</v>
      </c>
      <c r="BH473" s="2">
        <v>19.1415451655987</v>
      </c>
      <c r="BI473" s="2">
        <v>18.074773151761601</v>
      </c>
      <c r="BJ473" s="2">
        <v>18.2106777639925</v>
      </c>
      <c r="BK473" s="2">
        <v>18.8617466874949</v>
      </c>
      <c r="BL473" s="2">
        <v>18.906423182040001</v>
      </c>
      <c r="BM473" s="2">
        <v>19.4109823432367</v>
      </c>
      <c r="BN473" s="2">
        <v>19.555406708059099</v>
      </c>
      <c r="BO473" s="2">
        <v>19.276888475877399</v>
      </c>
      <c r="BP473" s="2">
        <v>18.637781033045499</v>
      </c>
      <c r="BQ473" s="2">
        <v>18.8141834804788</v>
      </c>
      <c r="BR473" s="2">
        <v>19.270733439318299</v>
      </c>
      <c r="BS473" s="2">
        <v>18.014190561654701</v>
      </c>
      <c r="BT473" s="2">
        <v>19.6723290306305</v>
      </c>
      <c r="BU473" s="2">
        <v>19.5485011405605</v>
      </c>
      <c r="BV473" s="2">
        <v>18.973923498293502</v>
      </c>
      <c r="BW473" s="2">
        <v>18.747429131798299</v>
      </c>
      <c r="BX473" s="2">
        <v>19.2339597810067</v>
      </c>
      <c r="BY473" s="2">
        <v>19.092593613622199</v>
      </c>
      <c r="BZ473" s="2">
        <v>18.688676872575101</v>
      </c>
      <c r="CA473" s="2">
        <v>18.928578459312799</v>
      </c>
      <c r="CB473" s="2">
        <v>18.953221580297399</v>
      </c>
      <c r="CC473" s="2">
        <v>18.159289390617602</v>
      </c>
      <c r="CD473" s="2">
        <v>20.061977036274499</v>
      </c>
      <c r="CE473" s="2">
        <v>19.0086740749189</v>
      </c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</row>
    <row r="474" spans="1:97">
      <c r="A474" s="2" t="s">
        <v>4753</v>
      </c>
      <c r="B474" s="2">
        <v>425.14479</v>
      </c>
      <c r="C474" s="2">
        <v>5.0119999999999996</v>
      </c>
      <c r="D474" s="2" t="s">
        <v>146</v>
      </c>
      <c r="E474" s="2" t="s">
        <v>4754</v>
      </c>
      <c r="F474" s="2" t="s">
        <v>4755</v>
      </c>
      <c r="G474" s="2">
        <v>61726</v>
      </c>
      <c r="H474" s="3" t="str">
        <f>HYPERLINK("https://cloud.oebiotech.com/#/lm/network/61726", "https://cloud.oebiotech.com/#/lm/network/61726")</f>
        <v>https://cloud.oebiotech.com/#/lm/network/61726</v>
      </c>
      <c r="I474" s="2" t="s">
        <v>4756</v>
      </c>
      <c r="J474" s="2">
        <v>93049</v>
      </c>
      <c r="K474" s="2"/>
      <c r="L474" s="2">
        <v>85391088</v>
      </c>
      <c r="M474" s="2"/>
      <c r="N474" s="2"/>
      <c r="O474" s="2"/>
      <c r="P474" s="2">
        <v>168360</v>
      </c>
      <c r="Q474" s="2"/>
      <c r="R474" s="2"/>
      <c r="S474" s="2"/>
      <c r="T474" s="2" t="s">
        <v>4757</v>
      </c>
      <c r="U474" s="2" t="s">
        <v>4758</v>
      </c>
      <c r="V474" s="2" t="s">
        <v>338</v>
      </c>
      <c r="W474" s="2" t="s">
        <v>339</v>
      </c>
      <c r="X474" s="2" t="s">
        <v>663</v>
      </c>
      <c r="Y474" s="2" t="s">
        <v>341</v>
      </c>
      <c r="Z474" s="2" t="s">
        <v>341</v>
      </c>
      <c r="AA474" s="2" t="s">
        <v>664</v>
      </c>
      <c r="AB474" s="2" t="s">
        <v>101</v>
      </c>
      <c r="AC474" s="2">
        <v>62.88</v>
      </c>
      <c r="AD474" s="2">
        <v>86.54</v>
      </c>
      <c r="AE474" s="2">
        <v>53.53</v>
      </c>
      <c r="AF474" s="2" t="s">
        <v>4759</v>
      </c>
      <c r="AG474" s="2" t="s">
        <v>157</v>
      </c>
      <c r="AH474" s="2" t="s">
        <v>4760</v>
      </c>
      <c r="AI474" s="2">
        <v>1.18</v>
      </c>
      <c r="AJ474" s="2">
        <v>15.545910770259001</v>
      </c>
      <c r="AK474" s="2">
        <v>16.385736543461402</v>
      </c>
      <c r="AL474" s="2">
        <v>16.2678868785564</v>
      </c>
      <c r="AM474" s="2">
        <v>15.645471554375</v>
      </c>
      <c r="AN474" s="2">
        <v>15.585021789948501</v>
      </c>
      <c r="AO474" s="2">
        <v>16.289079226413602</v>
      </c>
      <c r="AP474" s="2">
        <v>16.110221467247701</v>
      </c>
      <c r="AQ474" s="2">
        <v>16.344857963960202</v>
      </c>
      <c r="AR474" s="2">
        <v>16.2632453557956</v>
      </c>
      <c r="AS474" s="2">
        <v>13.7999625310719</v>
      </c>
      <c r="AT474" s="2">
        <v>9.6233145402724691</v>
      </c>
      <c r="AU474" s="2">
        <v>16.3848124121774</v>
      </c>
      <c r="AV474" s="2">
        <v>9.6233145402724691</v>
      </c>
      <c r="AW474" s="2">
        <v>16.168709328780999</v>
      </c>
      <c r="AX474" s="2">
        <v>13.8548284593164</v>
      </c>
      <c r="AY474" s="2">
        <v>16.3837898352207</v>
      </c>
      <c r="AZ474" s="2">
        <v>16.9883879035694</v>
      </c>
      <c r="BA474" s="2">
        <v>14.5330230540053</v>
      </c>
      <c r="BB474" s="2">
        <v>14.4674049495652</v>
      </c>
      <c r="BC474" s="2">
        <v>12.7501018987205</v>
      </c>
      <c r="BD474" s="2">
        <v>13.5061178708439</v>
      </c>
      <c r="BE474" s="2">
        <v>15.2162335498875</v>
      </c>
      <c r="BF474" s="2">
        <v>15.314966241143599</v>
      </c>
      <c r="BG474" s="2">
        <v>14.9705512701334</v>
      </c>
      <c r="BH474" s="2">
        <v>9.6233145402724691</v>
      </c>
      <c r="BI474" s="2">
        <v>12.966395497194201</v>
      </c>
      <c r="BJ474" s="2">
        <v>15.728773506241501</v>
      </c>
      <c r="BK474" s="2">
        <v>13.8854761777873</v>
      </c>
      <c r="BL474" s="2">
        <v>17.619978344069501</v>
      </c>
      <c r="BM474" s="2">
        <v>17.198856783875701</v>
      </c>
      <c r="BN474" s="2">
        <v>16.038935488651099</v>
      </c>
      <c r="BO474" s="2">
        <v>15.1807526178634</v>
      </c>
      <c r="BP474" s="2">
        <v>12.239306142066599</v>
      </c>
      <c r="BQ474" s="2">
        <v>16.501342572871</v>
      </c>
      <c r="BR474" s="2">
        <v>13.8580567812655</v>
      </c>
      <c r="BS474" s="2">
        <v>17.0678950033994</v>
      </c>
      <c r="BT474" s="2">
        <v>18.353388857133101</v>
      </c>
      <c r="BU474" s="2">
        <v>16.220172354066101</v>
      </c>
      <c r="BV474" s="2">
        <v>14.957755025322999</v>
      </c>
      <c r="BW474" s="2">
        <v>9.6233145402724691</v>
      </c>
      <c r="BX474" s="2">
        <v>15.8063454573313</v>
      </c>
      <c r="BY474" s="2">
        <v>16.162906007463398</v>
      </c>
      <c r="BZ474" s="2">
        <v>15.826258737465199</v>
      </c>
      <c r="CA474" s="2">
        <v>16.085085052183199</v>
      </c>
      <c r="CB474" s="2">
        <v>15.6802498995817</v>
      </c>
      <c r="CC474" s="2">
        <v>15.994982268863099</v>
      </c>
      <c r="CD474" s="2">
        <v>14.611150474185701</v>
      </c>
      <c r="CE474" s="2">
        <v>14.023154838160799</v>
      </c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</row>
    <row r="475" spans="1:97">
      <c r="A475" s="2" t="s">
        <v>4761</v>
      </c>
      <c r="B475" s="2">
        <v>297.14609999999999</v>
      </c>
      <c r="C475" s="2">
        <v>10.513</v>
      </c>
      <c r="D475" s="2" t="s">
        <v>84</v>
      </c>
      <c r="E475" s="2" t="s">
        <v>4762</v>
      </c>
      <c r="F475" s="2" t="s">
        <v>4763</v>
      </c>
      <c r="G475" s="2">
        <v>278047</v>
      </c>
      <c r="H475" s="3" t="str">
        <f>HYPERLINK("https://cloud.oebiotech.com/#/lm/network/278047", "https://cloud.oebiotech.com/#/lm/network/278047")</f>
        <v>https://cloud.oebiotech.com/#/lm/network/278047</v>
      </c>
      <c r="I475" s="2"/>
      <c r="J475" s="2">
        <v>70241</v>
      </c>
      <c r="K475" s="2"/>
      <c r="L475" s="2">
        <v>15644</v>
      </c>
      <c r="M475" s="2" t="s">
        <v>4764</v>
      </c>
      <c r="N475" s="2"/>
      <c r="O475" s="2"/>
      <c r="P475" s="2"/>
      <c r="Q475" s="2"/>
      <c r="R475" s="2"/>
      <c r="S475" s="2" t="s">
        <v>4765</v>
      </c>
      <c r="T475" s="2" t="s">
        <v>4766</v>
      </c>
      <c r="U475" s="2" t="s">
        <v>4767</v>
      </c>
      <c r="V475" s="2" t="s">
        <v>385</v>
      </c>
      <c r="W475" s="2" t="s">
        <v>3055</v>
      </c>
      <c r="X475" s="2" t="s">
        <v>4768</v>
      </c>
      <c r="Y475" s="2" t="s">
        <v>388</v>
      </c>
      <c r="Z475" s="2" t="s">
        <v>3056</v>
      </c>
      <c r="AA475" s="2" t="s">
        <v>4769</v>
      </c>
      <c r="AB475" s="2" t="s">
        <v>101</v>
      </c>
      <c r="AC475" s="2">
        <v>62.88</v>
      </c>
      <c r="AD475" s="2">
        <v>72.11</v>
      </c>
      <c r="AE475" s="2">
        <v>71.78</v>
      </c>
      <c r="AF475" s="2" t="s">
        <v>4770</v>
      </c>
      <c r="AG475" s="2" t="s">
        <v>1578</v>
      </c>
      <c r="AH475" s="2" t="s">
        <v>4771</v>
      </c>
      <c r="AI475" s="2">
        <v>0</v>
      </c>
      <c r="AJ475" s="2">
        <v>23.553999096757</v>
      </c>
      <c r="AK475" s="2">
        <v>23.449906258328099</v>
      </c>
      <c r="AL475" s="2">
        <v>23.386132867708401</v>
      </c>
      <c r="AM475" s="2">
        <v>23.298936844641201</v>
      </c>
      <c r="AN475" s="2">
        <v>23.265284631000799</v>
      </c>
      <c r="AO475" s="2">
        <v>23.331849553353901</v>
      </c>
      <c r="AP475" s="2">
        <v>23.400387605006799</v>
      </c>
      <c r="AQ475" s="2">
        <v>23.494942511739101</v>
      </c>
      <c r="AR475" s="2">
        <v>23.652483788052301</v>
      </c>
      <c r="AS475" s="2">
        <v>22.909875322522499</v>
      </c>
      <c r="AT475" s="2">
        <v>23.181580467309999</v>
      </c>
      <c r="AU475" s="2">
        <v>23.3611976161332</v>
      </c>
      <c r="AV475" s="2">
        <v>22.9552379706906</v>
      </c>
      <c r="AW475" s="2">
        <v>23.191777658773699</v>
      </c>
      <c r="AX475" s="2">
        <v>23.146557110060701</v>
      </c>
      <c r="AY475" s="2">
        <v>23.0303745649225</v>
      </c>
      <c r="AZ475" s="2">
        <v>23.5296570560688</v>
      </c>
      <c r="BA475" s="2">
        <v>22.559887110836701</v>
      </c>
      <c r="BB475" s="2">
        <v>23.333610709063201</v>
      </c>
      <c r="BC475" s="2">
        <v>23.781069495695199</v>
      </c>
      <c r="BD475" s="2">
        <v>23.230620305787401</v>
      </c>
      <c r="BE475" s="2">
        <v>23.6788707056512</v>
      </c>
      <c r="BF475" s="2">
        <v>23.361996332850602</v>
      </c>
      <c r="BG475" s="2">
        <v>23.554542086861002</v>
      </c>
      <c r="BH475" s="2">
        <v>23.0545983068513</v>
      </c>
      <c r="BI475" s="2">
        <v>23.447137956851499</v>
      </c>
      <c r="BJ475" s="2">
        <v>23.4113614249143</v>
      </c>
      <c r="BK475" s="2">
        <v>23.213547130459201</v>
      </c>
      <c r="BL475" s="2">
        <v>23.3039993479494</v>
      </c>
      <c r="BM475" s="2">
        <v>23.1139050333915</v>
      </c>
      <c r="BN475" s="2">
        <v>23.150402513057699</v>
      </c>
      <c r="BO475" s="2">
        <v>23.5203911950947</v>
      </c>
      <c r="BP475" s="2">
        <v>23.396714158736401</v>
      </c>
      <c r="BQ475" s="2">
        <v>23.263562747270399</v>
      </c>
      <c r="BR475" s="2">
        <v>23.6738127976896</v>
      </c>
      <c r="BS475" s="2">
        <v>23.4689645343067</v>
      </c>
      <c r="BT475" s="2">
        <v>23.350230167703799</v>
      </c>
      <c r="BU475" s="2">
        <v>23.4505141193242</v>
      </c>
      <c r="BV475" s="2">
        <v>23.459272467745802</v>
      </c>
      <c r="BW475" s="2">
        <v>23.051011401754099</v>
      </c>
      <c r="BX475" s="2">
        <v>22.851895573318199</v>
      </c>
      <c r="BY475" s="2">
        <v>23.784329295890799</v>
      </c>
      <c r="BZ475" s="2">
        <v>23.138128404624499</v>
      </c>
      <c r="CA475" s="2">
        <v>23.477311891330999</v>
      </c>
      <c r="CB475" s="2">
        <v>23.1203874572725</v>
      </c>
      <c r="CC475" s="2">
        <v>23.238890103782499</v>
      </c>
      <c r="CD475" s="2">
        <v>23.679208276746401</v>
      </c>
      <c r="CE475" s="2">
        <v>22.9465468666771</v>
      </c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</row>
    <row r="476" spans="1:97">
      <c r="A476" s="2" t="s">
        <v>4772</v>
      </c>
      <c r="B476" s="2">
        <v>295.22721999999999</v>
      </c>
      <c r="C476" s="2">
        <v>11.228999999999999</v>
      </c>
      <c r="D476" s="2" t="s">
        <v>146</v>
      </c>
      <c r="E476" s="2" t="s">
        <v>4773</v>
      </c>
      <c r="F476" s="2" t="s">
        <v>4773</v>
      </c>
      <c r="G476" s="2">
        <v>3035</v>
      </c>
      <c r="H476" s="3" t="str">
        <f>HYPERLINK("https://cloud.oebiotech.com/#/lm/network/3035", "https://cloud.oebiotech.com/#/lm/network/3035")</f>
        <v>https://cloud.oebiotech.com/#/lm/network/3035</v>
      </c>
      <c r="I476" s="2"/>
      <c r="J476" s="2">
        <v>96899</v>
      </c>
      <c r="K476" s="2" t="s">
        <v>4774</v>
      </c>
      <c r="L476" s="2">
        <v>56935857</v>
      </c>
      <c r="M476" s="2"/>
      <c r="N476" s="2"/>
      <c r="O476" s="2"/>
      <c r="P476" s="2"/>
      <c r="Q476" s="2"/>
      <c r="R476" s="2"/>
      <c r="S476" s="2"/>
      <c r="T476" s="2" t="s">
        <v>4775</v>
      </c>
      <c r="U476" s="2" t="s">
        <v>4776</v>
      </c>
      <c r="V476" s="2" t="s">
        <v>95</v>
      </c>
      <c r="W476" s="2" t="s">
        <v>96</v>
      </c>
      <c r="X476" s="2" t="s">
        <v>141</v>
      </c>
      <c r="Y476" s="2" t="s">
        <v>98</v>
      </c>
      <c r="Z476" s="2" t="s">
        <v>99</v>
      </c>
      <c r="AA476" s="2" t="s">
        <v>142</v>
      </c>
      <c r="AB476" s="2" t="s">
        <v>3086</v>
      </c>
      <c r="AC476" s="2">
        <v>62.87</v>
      </c>
      <c r="AD476" s="2">
        <v>88.55</v>
      </c>
      <c r="AE476" s="2">
        <v>38.270000000000003</v>
      </c>
      <c r="AF476" s="2" t="s">
        <v>4777</v>
      </c>
      <c r="AG476" s="2" t="s">
        <v>993</v>
      </c>
      <c r="AH476" s="2" t="s">
        <v>1431</v>
      </c>
      <c r="AI476" s="2">
        <v>0.34</v>
      </c>
      <c r="AJ476" s="2">
        <v>19.391569703999799</v>
      </c>
      <c r="AK476" s="2">
        <v>19.168931985082502</v>
      </c>
      <c r="AL476" s="2">
        <v>19.281197471386101</v>
      </c>
      <c r="AM476" s="2">
        <v>19.027276369696001</v>
      </c>
      <c r="AN476" s="2">
        <v>19.520580854123601</v>
      </c>
      <c r="AO476" s="2">
        <v>19.254954641978699</v>
      </c>
      <c r="AP476" s="2">
        <v>18.989946249128302</v>
      </c>
      <c r="AQ476" s="2">
        <v>19.138244897403201</v>
      </c>
      <c r="AR476" s="2">
        <v>20.046444732461499</v>
      </c>
      <c r="AS476" s="2">
        <v>17.911620726479899</v>
      </c>
      <c r="AT476" s="2">
        <v>18.605534353089499</v>
      </c>
      <c r="AU476" s="2">
        <v>19.311873678983801</v>
      </c>
      <c r="AV476" s="2">
        <v>18.995940815129099</v>
      </c>
      <c r="AW476" s="2">
        <v>20.4183885010426</v>
      </c>
      <c r="AX476" s="2">
        <v>18.704449454117199</v>
      </c>
      <c r="AY476" s="2">
        <v>18.8630985072841</v>
      </c>
      <c r="AZ476" s="2">
        <v>18.002271738557901</v>
      </c>
      <c r="BA476" s="2">
        <v>18.225413587418299</v>
      </c>
      <c r="BB476" s="2">
        <v>17.9631074632916</v>
      </c>
      <c r="BC476" s="2">
        <v>19.056783940380999</v>
      </c>
      <c r="BD476" s="2">
        <v>17.068289362988299</v>
      </c>
      <c r="BE476" s="2">
        <v>17.3832663759021</v>
      </c>
      <c r="BF476" s="2">
        <v>17.901286051527201</v>
      </c>
      <c r="BG476" s="2">
        <v>19.0365897228275</v>
      </c>
      <c r="BH476" s="2">
        <v>18.6763496063129</v>
      </c>
      <c r="BI476" s="2">
        <v>19.328192847049301</v>
      </c>
      <c r="BJ476" s="2">
        <v>18.559315393439199</v>
      </c>
      <c r="BK476" s="2">
        <v>18.4431268817474</v>
      </c>
      <c r="BL476" s="2">
        <v>20.7464088725633</v>
      </c>
      <c r="BM476" s="2">
        <v>18.492038743707301</v>
      </c>
      <c r="BN476" s="2">
        <v>19.361799024202199</v>
      </c>
      <c r="BO476" s="2">
        <v>18.654939797624898</v>
      </c>
      <c r="BP476" s="2">
        <v>17.936283777388699</v>
      </c>
      <c r="BQ476" s="2">
        <v>18.673225765358399</v>
      </c>
      <c r="BR476" s="2">
        <v>19.748900573584901</v>
      </c>
      <c r="BS476" s="2">
        <v>19.5087619351496</v>
      </c>
      <c r="BT476" s="2">
        <v>17.5822332941657</v>
      </c>
      <c r="BU476" s="2">
        <v>19.0321450584301</v>
      </c>
      <c r="BV476" s="2">
        <v>18.455918668884099</v>
      </c>
      <c r="BW476" s="2">
        <v>17.042715720130801</v>
      </c>
      <c r="BX476" s="2">
        <v>19.00902446972</v>
      </c>
      <c r="BY476" s="2">
        <v>20.8908880214852</v>
      </c>
      <c r="BZ476" s="2">
        <v>19.461631998145901</v>
      </c>
      <c r="CA476" s="2">
        <v>18.043726026600599</v>
      </c>
      <c r="CB476" s="2">
        <v>20.369257960709799</v>
      </c>
      <c r="CC476" s="2">
        <v>19.859050680691901</v>
      </c>
      <c r="CD476" s="2">
        <v>18.934773445305002</v>
      </c>
      <c r="CE476" s="2">
        <v>19.035726404394001</v>
      </c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</row>
    <row r="477" spans="1:97">
      <c r="A477" s="2" t="s">
        <v>4778</v>
      </c>
      <c r="B477" s="2">
        <v>528.26301999999998</v>
      </c>
      <c r="C477" s="2">
        <v>6.4340000000000002</v>
      </c>
      <c r="D477" s="2" t="s">
        <v>146</v>
      </c>
      <c r="E477" s="2" t="s">
        <v>4779</v>
      </c>
      <c r="F477" s="2" t="s">
        <v>4780</v>
      </c>
      <c r="G477" s="2">
        <v>206467</v>
      </c>
      <c r="H477" s="3" t="str">
        <f>HYPERLINK("https://cloud.oebiotech.com/#/lm/network/206467", "https://cloud.oebiotech.com/#/lm/network/206467")</f>
        <v>https://cloud.oebiotech.com/#/lm/network/206467</v>
      </c>
      <c r="I477" s="2" t="s">
        <v>4781</v>
      </c>
      <c r="J477" s="2"/>
      <c r="K477" s="2"/>
      <c r="L477" s="2">
        <v>275306</v>
      </c>
      <c r="M477" s="2"/>
      <c r="N477" s="2"/>
      <c r="O477" s="2"/>
      <c r="P477" s="2"/>
      <c r="Q477" s="2"/>
      <c r="R477" s="2"/>
      <c r="S477" s="2"/>
      <c r="T477" s="2" t="s">
        <v>4782</v>
      </c>
      <c r="U477" s="2" t="s">
        <v>4783</v>
      </c>
      <c r="V477" s="2" t="s">
        <v>374</v>
      </c>
      <c r="W477" s="2" t="s">
        <v>4784</v>
      </c>
      <c r="X477" s="2" t="s">
        <v>4785</v>
      </c>
      <c r="Y477" s="2" t="s">
        <v>376</v>
      </c>
      <c r="Z477" s="2" t="s">
        <v>4786</v>
      </c>
      <c r="AA477" s="2" t="s">
        <v>4787</v>
      </c>
      <c r="AB477" s="2" t="s">
        <v>101</v>
      </c>
      <c r="AC477" s="2">
        <v>62.81</v>
      </c>
      <c r="AD477" s="2">
        <v>90.96</v>
      </c>
      <c r="AE477" s="2">
        <v>46.69</v>
      </c>
      <c r="AF477" s="2" t="s">
        <v>4788</v>
      </c>
      <c r="AG477" s="2" t="s">
        <v>993</v>
      </c>
      <c r="AH477" s="2" t="s">
        <v>4789</v>
      </c>
      <c r="AI477" s="2">
        <v>-3.6</v>
      </c>
      <c r="AJ477" s="2">
        <v>20.7640187060443</v>
      </c>
      <c r="AK477" s="2">
        <v>20.8027119229723</v>
      </c>
      <c r="AL477" s="2">
        <v>20.9494379123934</v>
      </c>
      <c r="AM477" s="2">
        <v>20.676152334153102</v>
      </c>
      <c r="AN477" s="2">
        <v>20.698489554652699</v>
      </c>
      <c r="AO477" s="2">
        <v>20.6739383280357</v>
      </c>
      <c r="AP477" s="2">
        <v>20.612835703978099</v>
      </c>
      <c r="AQ477" s="2">
        <v>20.622536577527001</v>
      </c>
      <c r="AR477" s="2">
        <v>14.9347113730004</v>
      </c>
      <c r="AS477" s="2">
        <v>15.213911863255801</v>
      </c>
      <c r="AT477" s="2">
        <v>18.646196662068</v>
      </c>
      <c r="AU477" s="2">
        <v>20.512615557752198</v>
      </c>
      <c r="AV477" s="2">
        <v>19.768688929675399</v>
      </c>
      <c r="AW477" s="2">
        <v>21.641703693284398</v>
      </c>
      <c r="AX477" s="2">
        <v>20.120474064079499</v>
      </c>
      <c r="AY477" s="2">
        <v>19.8961371578126</v>
      </c>
      <c r="AZ477" s="2">
        <v>17.148001828804201</v>
      </c>
      <c r="BA477" s="2">
        <v>20.585508210811899</v>
      </c>
      <c r="BB477" s="2">
        <v>22.6504074263534</v>
      </c>
      <c r="BC477" s="2">
        <v>22.352422577550001</v>
      </c>
      <c r="BD477" s="2">
        <v>16.8023067057402</v>
      </c>
      <c r="BE477" s="2">
        <v>17.016402755579801</v>
      </c>
      <c r="BF477" s="2">
        <v>21.201168487805301</v>
      </c>
      <c r="BG477" s="2">
        <v>22.444187143045902</v>
      </c>
      <c r="BH477" s="2">
        <v>18.4556715324231</v>
      </c>
      <c r="BI477" s="2">
        <v>19.470828168240999</v>
      </c>
      <c r="BJ477" s="2">
        <v>21.398969596286602</v>
      </c>
      <c r="BK477" s="2">
        <v>20.069744966487502</v>
      </c>
      <c r="BL477" s="2">
        <v>19.111659663836299</v>
      </c>
      <c r="BM477" s="2">
        <v>19.2551023324685</v>
      </c>
      <c r="BN477" s="2">
        <v>19.0154049791864</v>
      </c>
      <c r="BO477" s="2">
        <v>18.755698066368801</v>
      </c>
      <c r="BP477" s="2">
        <v>20.558062497020099</v>
      </c>
      <c r="BQ477" s="2">
        <v>20.632274145005301</v>
      </c>
      <c r="BR477" s="2">
        <v>20.4155428402578</v>
      </c>
      <c r="BS477" s="2">
        <v>19.3523612569557</v>
      </c>
      <c r="BT477" s="2">
        <v>20.6368867885766</v>
      </c>
      <c r="BU477" s="2">
        <v>21.031443792167298</v>
      </c>
      <c r="BV477" s="2">
        <v>21.682910326828601</v>
      </c>
      <c r="BW477" s="2">
        <v>21.840631423938301</v>
      </c>
      <c r="BX477" s="2">
        <v>15.3930565609413</v>
      </c>
      <c r="BY477" s="2">
        <v>18.640019780035999</v>
      </c>
      <c r="BZ477" s="2">
        <v>20.719416162684801</v>
      </c>
      <c r="CA477" s="2">
        <v>22.3823419244865</v>
      </c>
      <c r="CB477" s="2">
        <v>19.4152735227199</v>
      </c>
      <c r="CC477" s="2">
        <v>19.8803134847753</v>
      </c>
      <c r="CD477" s="2">
        <v>21.043125033982701</v>
      </c>
      <c r="CE477" s="2">
        <v>19.878197961958801</v>
      </c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</row>
    <row r="478" spans="1:97">
      <c r="A478" s="2" t="s">
        <v>4790</v>
      </c>
      <c r="B478" s="2">
        <v>187.13355999999999</v>
      </c>
      <c r="C478" s="2">
        <v>8.0679999999999996</v>
      </c>
      <c r="D478" s="2" t="s">
        <v>146</v>
      </c>
      <c r="E478" s="2" t="s">
        <v>4791</v>
      </c>
      <c r="F478" s="2" t="s">
        <v>4792</v>
      </c>
      <c r="G478" s="2">
        <v>1728</v>
      </c>
      <c r="H478" s="3" t="str">
        <f>HYPERLINK("https://cloud.oebiotech.com/#/lm/network/1728", "https://cloud.oebiotech.com/#/lm/network/1728")</f>
        <v>https://cloud.oebiotech.com/#/lm/network/1728</v>
      </c>
      <c r="I478" s="2" t="s">
        <v>4793</v>
      </c>
      <c r="J478" s="2">
        <v>6544</v>
      </c>
      <c r="K478" s="2" t="s">
        <v>4794</v>
      </c>
      <c r="L478" s="2">
        <v>26612</v>
      </c>
      <c r="M478" s="2"/>
      <c r="N478" s="2"/>
      <c r="O478" s="2"/>
      <c r="P478" s="2">
        <v>132983</v>
      </c>
      <c r="Q478" s="2"/>
      <c r="R478" s="2"/>
      <c r="S478" s="2" t="s">
        <v>4795</v>
      </c>
      <c r="T478" s="2" t="s">
        <v>4796</v>
      </c>
      <c r="U478" s="2" t="s">
        <v>4797</v>
      </c>
      <c r="V478" s="2" t="s">
        <v>115</v>
      </c>
      <c r="W478" s="2" t="s">
        <v>832</v>
      </c>
      <c r="X478" s="2" t="s">
        <v>4084</v>
      </c>
      <c r="Y478" s="2" t="s">
        <v>118</v>
      </c>
      <c r="Z478" s="2" t="s">
        <v>834</v>
      </c>
      <c r="AA478" s="2" t="s">
        <v>4085</v>
      </c>
      <c r="AB478" s="2" t="s">
        <v>3086</v>
      </c>
      <c r="AC478" s="2">
        <v>62.8</v>
      </c>
      <c r="AD478" s="2">
        <v>98.18</v>
      </c>
      <c r="AE478" s="2">
        <v>38.75</v>
      </c>
      <c r="AF478" s="2" t="s">
        <v>4798</v>
      </c>
      <c r="AG478" s="2" t="s">
        <v>194</v>
      </c>
      <c r="AH478" s="2" t="s">
        <v>3255</v>
      </c>
      <c r="AI478" s="2">
        <v>2.14</v>
      </c>
      <c r="AJ478" s="2">
        <v>21.284657452908199</v>
      </c>
      <c r="AK478" s="2">
        <v>21.663078244552601</v>
      </c>
      <c r="AL478" s="2">
        <v>21.515913464390799</v>
      </c>
      <c r="AM478" s="2">
        <v>21.422043504427801</v>
      </c>
      <c r="AN478" s="2">
        <v>21.6108745462843</v>
      </c>
      <c r="AO478" s="2">
        <v>21.542326418410401</v>
      </c>
      <c r="AP478" s="2">
        <v>21.398580737719499</v>
      </c>
      <c r="AQ478" s="2">
        <v>21.6022237081866</v>
      </c>
      <c r="AR478" s="2">
        <v>19.1182422653389</v>
      </c>
      <c r="AS478" s="2">
        <v>20.893729605954899</v>
      </c>
      <c r="AT478" s="2">
        <v>21.9612637933879</v>
      </c>
      <c r="AU478" s="2">
        <v>20.1424640961005</v>
      </c>
      <c r="AV478" s="2">
        <v>20.306938590949699</v>
      </c>
      <c r="AW478" s="2">
        <v>20.894940435889701</v>
      </c>
      <c r="AX478" s="2">
        <v>20.624130290669001</v>
      </c>
      <c r="AY478" s="2">
        <v>20.907400528055</v>
      </c>
      <c r="AZ478" s="2">
        <v>18.685173516335801</v>
      </c>
      <c r="BA478" s="2">
        <v>21.600023878140298</v>
      </c>
      <c r="BB478" s="2">
        <v>21.982432739064802</v>
      </c>
      <c r="BC478" s="2">
        <v>22.1758382937949</v>
      </c>
      <c r="BD478" s="2">
        <v>19.262133072831201</v>
      </c>
      <c r="BE478" s="2">
        <v>20.943530003233199</v>
      </c>
      <c r="BF478" s="2">
        <v>20.751015149287099</v>
      </c>
      <c r="BG478" s="2">
        <v>21.735870756926701</v>
      </c>
      <c r="BH478" s="2">
        <v>20.3399739052462</v>
      </c>
      <c r="BI478" s="2">
        <v>22.077707622860501</v>
      </c>
      <c r="BJ478" s="2">
        <v>21.3197985234222</v>
      </c>
      <c r="BK478" s="2">
        <v>20.13072954027</v>
      </c>
      <c r="BL478" s="2">
        <v>21.777010273367701</v>
      </c>
      <c r="BM478" s="2">
        <v>21.037494786855198</v>
      </c>
      <c r="BN478" s="2">
        <v>22.420471508772302</v>
      </c>
      <c r="BO478" s="2">
        <v>21.347803673716498</v>
      </c>
      <c r="BP478" s="2">
        <v>20.637455586095101</v>
      </c>
      <c r="BQ478" s="2">
        <v>22.058253346638999</v>
      </c>
      <c r="BR478" s="2">
        <v>22.039114605706601</v>
      </c>
      <c r="BS478" s="2">
        <v>18.974692810144798</v>
      </c>
      <c r="BT478" s="2">
        <v>19.900264915983001</v>
      </c>
      <c r="BU478" s="2">
        <v>21.763416170122799</v>
      </c>
      <c r="BV478" s="2">
        <v>21.756476490462202</v>
      </c>
      <c r="BW478" s="2">
        <v>20.913706884472699</v>
      </c>
      <c r="BX478" s="2">
        <v>20.241735451418901</v>
      </c>
      <c r="BY478" s="2">
        <v>21.326651056283499</v>
      </c>
      <c r="BZ478" s="2">
        <v>21.292645128164899</v>
      </c>
      <c r="CA478" s="2">
        <v>21.030936482313098</v>
      </c>
      <c r="CB478" s="2">
        <v>21.529555179521601</v>
      </c>
      <c r="CC478" s="2">
        <v>22.319495241962102</v>
      </c>
      <c r="CD478" s="2">
        <v>20.263501125643401</v>
      </c>
      <c r="CE478" s="2">
        <v>21.922544581834501</v>
      </c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</row>
    <row r="479" spans="1:97">
      <c r="A479" s="2" t="s">
        <v>4799</v>
      </c>
      <c r="B479" s="2">
        <v>301.14042999999998</v>
      </c>
      <c r="C479" s="2">
        <v>11.342000000000001</v>
      </c>
      <c r="D479" s="2" t="s">
        <v>84</v>
      </c>
      <c r="E479" s="2" t="s">
        <v>4800</v>
      </c>
      <c r="F479" s="2" t="s">
        <v>4801</v>
      </c>
      <c r="G479" s="2">
        <v>57495</v>
      </c>
      <c r="H479" s="3" t="str">
        <f>HYPERLINK("https://cloud.oebiotech.com/#/lm/network/57495", "https://cloud.oebiotech.com/#/lm/network/57495")</f>
        <v>https://cloud.oebiotech.com/#/lm/network/57495</v>
      </c>
      <c r="I479" s="2" t="s">
        <v>4802</v>
      </c>
      <c r="J479" s="2">
        <v>69881</v>
      </c>
      <c r="K479" s="2"/>
      <c r="L479" s="2">
        <v>3026</v>
      </c>
      <c r="M479" s="2" t="s">
        <v>4803</v>
      </c>
      <c r="N479" s="2"/>
      <c r="O479" s="2"/>
      <c r="P479" s="2">
        <v>34687</v>
      </c>
      <c r="Q479" s="2"/>
      <c r="R479" s="2"/>
      <c r="S479" s="2" t="s">
        <v>4804</v>
      </c>
      <c r="T479" s="2" t="s">
        <v>4805</v>
      </c>
      <c r="U479" s="2" t="s">
        <v>4806</v>
      </c>
      <c r="V479" s="2" t="s">
        <v>385</v>
      </c>
      <c r="W479" s="2" t="s">
        <v>386</v>
      </c>
      <c r="X479" s="2" t="s">
        <v>1059</v>
      </c>
      <c r="Y479" s="2" t="s">
        <v>388</v>
      </c>
      <c r="Z479" s="2" t="s">
        <v>389</v>
      </c>
      <c r="AA479" s="2" t="s">
        <v>1060</v>
      </c>
      <c r="AB479" s="2" t="s">
        <v>101</v>
      </c>
      <c r="AC479" s="2">
        <v>62.8</v>
      </c>
      <c r="AD479" s="2">
        <v>72.239999999999995</v>
      </c>
      <c r="AE479" s="2">
        <v>57.12</v>
      </c>
      <c r="AF479" s="2" t="s">
        <v>4807</v>
      </c>
      <c r="AG479" s="2" t="s">
        <v>1578</v>
      </c>
      <c r="AH479" s="2" t="s">
        <v>4808</v>
      </c>
      <c r="AI479" s="2">
        <v>1.99</v>
      </c>
      <c r="AJ479" s="2">
        <v>22.155008338818401</v>
      </c>
      <c r="AK479" s="2">
        <v>23.243995482509298</v>
      </c>
      <c r="AL479" s="2">
        <v>23.273610882179</v>
      </c>
      <c r="AM479" s="2">
        <v>23.161017049927199</v>
      </c>
      <c r="AN479" s="2">
        <v>23.184195357842398</v>
      </c>
      <c r="AO479" s="2">
        <v>23.147542753025601</v>
      </c>
      <c r="AP479" s="2">
        <v>22.261756585152501</v>
      </c>
      <c r="AQ479" s="2">
        <v>23.092811308314602</v>
      </c>
      <c r="AR479" s="2">
        <v>22.935709654495</v>
      </c>
      <c r="AS479" s="2">
        <v>23.281200965655</v>
      </c>
      <c r="AT479" s="2">
        <v>23.0953416065664</v>
      </c>
      <c r="AU479" s="2">
        <v>23.071047137661601</v>
      </c>
      <c r="AV479" s="2">
        <v>23.193727107663499</v>
      </c>
      <c r="AW479" s="2">
        <v>23.353509926375299</v>
      </c>
      <c r="AX479" s="2">
        <v>22.455726416003301</v>
      </c>
      <c r="AY479" s="2">
        <v>23.325598427198699</v>
      </c>
      <c r="AZ479" s="2">
        <v>22.978264550300999</v>
      </c>
      <c r="BA479" s="2">
        <v>23.329003521735501</v>
      </c>
      <c r="BB479" s="2">
        <v>23.1082184838485</v>
      </c>
      <c r="BC479" s="2">
        <v>23.114246420751201</v>
      </c>
      <c r="BD479" s="2">
        <v>23.142221309358199</v>
      </c>
      <c r="BE479" s="2">
        <v>23.065097016896399</v>
      </c>
      <c r="BF479" s="2">
        <v>23.178438977648</v>
      </c>
      <c r="BG479" s="2">
        <v>22.666086899077101</v>
      </c>
      <c r="BH479" s="2">
        <v>22.927690321977401</v>
      </c>
      <c r="BI479" s="2">
        <v>22.980835346918099</v>
      </c>
      <c r="BJ479" s="2">
        <v>22.859580471952601</v>
      </c>
      <c r="BK479" s="2">
        <v>22.348955302344301</v>
      </c>
      <c r="BL479" s="2">
        <v>22.675553638901601</v>
      </c>
      <c r="BM479" s="2">
        <v>22.942232724714401</v>
      </c>
      <c r="BN479" s="2">
        <v>23.273772994904501</v>
      </c>
      <c r="BO479" s="2">
        <v>22.471358535917201</v>
      </c>
      <c r="BP479" s="2">
        <v>22.8295437495389</v>
      </c>
      <c r="BQ479" s="2">
        <v>23.8317347697195</v>
      </c>
      <c r="BR479" s="2">
        <v>23.125447892765099</v>
      </c>
      <c r="BS479" s="2">
        <v>22.8024996276494</v>
      </c>
      <c r="BT479" s="2">
        <v>23.100050468398202</v>
      </c>
      <c r="BU479" s="2">
        <v>22.8963261263888</v>
      </c>
      <c r="BV479" s="2">
        <v>23.004961141217098</v>
      </c>
      <c r="BW479" s="2">
        <v>23.0408457993992</v>
      </c>
      <c r="BX479" s="2">
        <v>23.2185508071736</v>
      </c>
      <c r="BY479" s="2">
        <v>22.935088017758101</v>
      </c>
      <c r="BZ479" s="2">
        <v>23.1542970020908</v>
      </c>
      <c r="CA479" s="2">
        <v>22.709800228658299</v>
      </c>
      <c r="CB479" s="2">
        <v>22.759137943429099</v>
      </c>
      <c r="CC479" s="2">
        <v>23.137083715564501</v>
      </c>
      <c r="CD479" s="2">
        <v>21.992824725901102</v>
      </c>
      <c r="CE479" s="2">
        <v>23.334508814542001</v>
      </c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</row>
    <row r="480" spans="1:97">
      <c r="A480" s="2" t="s">
        <v>4809</v>
      </c>
      <c r="B480" s="2">
        <v>211.06075000000001</v>
      </c>
      <c r="C480" s="2">
        <v>6.9160000000000004</v>
      </c>
      <c r="D480" s="2" t="s">
        <v>146</v>
      </c>
      <c r="E480" s="2" t="s">
        <v>4810</v>
      </c>
      <c r="F480" s="2" t="s">
        <v>4811</v>
      </c>
      <c r="G480" s="2">
        <v>267051</v>
      </c>
      <c r="H480" s="3" t="str">
        <f>HYPERLINK("https://cloud.oebiotech.com/#/lm/network/267051", "https://cloud.oebiotech.com/#/lm/network/267051")</f>
        <v>https://cloud.oebiotech.com/#/lm/network/267051</v>
      </c>
      <c r="I480" s="2"/>
      <c r="J480" s="2">
        <v>44621</v>
      </c>
      <c r="K480" s="2"/>
      <c r="L480" s="2">
        <v>529402</v>
      </c>
      <c r="M480" s="2"/>
      <c r="N480" s="2"/>
      <c r="O480" s="2"/>
      <c r="P480" s="2"/>
      <c r="Q480" s="2"/>
      <c r="R480" s="2"/>
      <c r="S480" s="2" t="s">
        <v>4812</v>
      </c>
      <c r="T480" s="2" t="s">
        <v>4813</v>
      </c>
      <c r="U480" s="2" t="s">
        <v>4814</v>
      </c>
      <c r="V480" s="2" t="s">
        <v>338</v>
      </c>
      <c r="W480" s="2" t="s">
        <v>339</v>
      </c>
      <c r="X480" s="2" t="s">
        <v>340</v>
      </c>
      <c r="Y480" s="2" t="s">
        <v>341</v>
      </c>
      <c r="Z480" s="2" t="s">
        <v>341</v>
      </c>
      <c r="AA480" s="2" t="s">
        <v>342</v>
      </c>
      <c r="AB480" s="2" t="s">
        <v>3086</v>
      </c>
      <c r="AC480" s="2">
        <v>62.69</v>
      </c>
      <c r="AD480" s="2">
        <v>93.25</v>
      </c>
      <c r="AE480" s="2">
        <v>37.354285714285702</v>
      </c>
      <c r="AF480" s="2" t="s">
        <v>4815</v>
      </c>
      <c r="AG480" s="2" t="s">
        <v>157</v>
      </c>
      <c r="AH480" s="2" t="s">
        <v>1829</v>
      </c>
      <c r="AI480" s="2">
        <v>1.9</v>
      </c>
      <c r="AJ480" s="2">
        <v>17.716872299711099</v>
      </c>
      <c r="AK480" s="2">
        <v>17.740311306339699</v>
      </c>
      <c r="AL480" s="2">
        <v>18.022460416945801</v>
      </c>
      <c r="AM480" s="2">
        <v>17.6644462428604</v>
      </c>
      <c r="AN480" s="2">
        <v>17.769005120388702</v>
      </c>
      <c r="AO480" s="2">
        <v>17.142364373486</v>
      </c>
      <c r="AP480" s="2">
        <v>17.0021413414017</v>
      </c>
      <c r="AQ480" s="2">
        <v>16.847045842471399</v>
      </c>
      <c r="AR480" s="2">
        <v>14.624826292109301</v>
      </c>
      <c r="AS480" s="2">
        <v>15.229042215769899</v>
      </c>
      <c r="AT480" s="2">
        <v>15.9380840494218</v>
      </c>
      <c r="AU480" s="2">
        <v>15.095608004811201</v>
      </c>
      <c r="AV480" s="2">
        <v>15.567017852310601</v>
      </c>
      <c r="AW480" s="2">
        <v>14.6004867384558</v>
      </c>
      <c r="AX480" s="2">
        <v>15.2534460651238</v>
      </c>
      <c r="AY480" s="2">
        <v>15.652706353368</v>
      </c>
      <c r="AZ480" s="2">
        <v>14.9353902228741</v>
      </c>
      <c r="BA480" s="2">
        <v>14.7059800608868</v>
      </c>
      <c r="BB480" s="2">
        <v>15.3017566025125</v>
      </c>
      <c r="BC480" s="2">
        <v>14.8343396923885</v>
      </c>
      <c r="BD480" s="2">
        <v>14.3751256591306</v>
      </c>
      <c r="BE480" s="2">
        <v>15.648230610270099</v>
      </c>
      <c r="BF480" s="2">
        <v>15.4939873817716</v>
      </c>
      <c r="BG480" s="2">
        <v>16.015267595493899</v>
      </c>
      <c r="BH480" s="2">
        <v>15.145399233898001</v>
      </c>
      <c r="BI480" s="2">
        <v>14.3106575101923</v>
      </c>
      <c r="BJ480" s="2">
        <v>15.5203553327592</v>
      </c>
      <c r="BK480" s="2">
        <v>15.131676532082601</v>
      </c>
      <c r="BL480" s="2">
        <v>14.755902062099301</v>
      </c>
      <c r="BM480" s="2">
        <v>15.2010954759646</v>
      </c>
      <c r="BN480" s="2">
        <v>15.438790228506001</v>
      </c>
      <c r="BO480" s="2">
        <v>14.2476776006453</v>
      </c>
      <c r="BP480" s="2">
        <v>16.045736202042502</v>
      </c>
      <c r="BQ480" s="2">
        <v>14.715846728727</v>
      </c>
      <c r="BR480" s="2">
        <v>14.6683742347664</v>
      </c>
      <c r="BS480" s="2">
        <v>14.6985055446209</v>
      </c>
      <c r="BT480" s="2">
        <v>20.528277641571499</v>
      </c>
      <c r="BU480" s="2">
        <v>14.2038205642191</v>
      </c>
      <c r="BV480" s="2">
        <v>15.150985610072</v>
      </c>
      <c r="BW480" s="2">
        <v>15.066395326931699</v>
      </c>
      <c r="BX480" s="2">
        <v>14.4696736111205</v>
      </c>
      <c r="BY480" s="2">
        <v>15.545365125762499</v>
      </c>
      <c r="BZ480" s="2">
        <v>21.2633958795432</v>
      </c>
      <c r="CA480" s="2">
        <v>15.151974607333401</v>
      </c>
      <c r="CB480" s="2">
        <v>15.3102680414374</v>
      </c>
      <c r="CC480" s="2">
        <v>14.977990451138799</v>
      </c>
      <c r="CD480" s="2">
        <v>15.525048785130799</v>
      </c>
      <c r="CE480" s="2">
        <v>14.7154166951613</v>
      </c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</row>
    <row r="481" spans="1:97">
      <c r="A481" s="2" t="s">
        <v>4816</v>
      </c>
      <c r="B481" s="2">
        <v>432.31119999999999</v>
      </c>
      <c r="C481" s="2">
        <v>10.32</v>
      </c>
      <c r="D481" s="2" t="s">
        <v>146</v>
      </c>
      <c r="E481" s="2" t="s">
        <v>4817</v>
      </c>
      <c r="F481" s="2" t="s">
        <v>4818</v>
      </c>
      <c r="G481" s="2">
        <v>46733</v>
      </c>
      <c r="H481" s="3" t="str">
        <f>HYPERLINK("https://cloud.oebiotech.com/#/lm/network/46733", "https://cloud.oebiotech.com/#/lm/network/46733")</f>
        <v>https://cloud.oebiotech.com/#/lm/network/46733</v>
      </c>
      <c r="I481" s="2" t="s">
        <v>4819</v>
      </c>
      <c r="J481" s="2">
        <v>5666</v>
      </c>
      <c r="K481" s="2" t="s">
        <v>4820</v>
      </c>
      <c r="L481" s="2">
        <v>115245</v>
      </c>
      <c r="M481" s="2" t="s">
        <v>4821</v>
      </c>
      <c r="N481" s="2"/>
      <c r="O481" s="2"/>
      <c r="P481" s="2">
        <v>37998</v>
      </c>
      <c r="Q481" s="2"/>
      <c r="R481" s="2"/>
      <c r="S481" s="2" t="s">
        <v>4822</v>
      </c>
      <c r="T481" s="2" t="s">
        <v>4823</v>
      </c>
      <c r="U481" s="2" t="s">
        <v>4824</v>
      </c>
      <c r="V481" s="2" t="s">
        <v>95</v>
      </c>
      <c r="W481" s="2" t="s">
        <v>152</v>
      </c>
      <c r="X481" s="2" t="s">
        <v>278</v>
      </c>
      <c r="Y481" s="2" t="s">
        <v>98</v>
      </c>
      <c r="Z481" s="2" t="s">
        <v>154</v>
      </c>
      <c r="AA481" s="2" t="s">
        <v>279</v>
      </c>
      <c r="AB481" s="2" t="s">
        <v>101</v>
      </c>
      <c r="AC481" s="2">
        <v>62.59</v>
      </c>
      <c r="AD481" s="2">
        <v>82.31</v>
      </c>
      <c r="AE481" s="2">
        <v>51.67</v>
      </c>
      <c r="AF481" s="2" t="s">
        <v>4825</v>
      </c>
      <c r="AG481" s="2" t="s">
        <v>194</v>
      </c>
      <c r="AH481" s="2" t="s">
        <v>4826</v>
      </c>
      <c r="AI481" s="2">
        <v>1.62</v>
      </c>
      <c r="AJ481" s="2">
        <v>18.6037011333066</v>
      </c>
      <c r="AK481" s="2">
        <v>18.5594123448207</v>
      </c>
      <c r="AL481" s="2">
        <v>18.504948525257401</v>
      </c>
      <c r="AM481" s="2">
        <v>18.126719897370901</v>
      </c>
      <c r="AN481" s="2">
        <v>18.414437581629301</v>
      </c>
      <c r="AO481" s="2">
        <v>18.5953544515205</v>
      </c>
      <c r="AP481" s="2">
        <v>18.482111007220801</v>
      </c>
      <c r="AQ481" s="2">
        <v>18.6354637730375</v>
      </c>
      <c r="AR481" s="2">
        <v>19.027819031929599</v>
      </c>
      <c r="AS481" s="2">
        <v>9.6233145402724691</v>
      </c>
      <c r="AT481" s="2">
        <v>15.939602628536299</v>
      </c>
      <c r="AU481" s="2">
        <v>19.294145621718101</v>
      </c>
      <c r="AV481" s="2">
        <v>20.203454185029301</v>
      </c>
      <c r="AW481" s="2">
        <v>18.2363879294277</v>
      </c>
      <c r="AX481" s="2">
        <v>9.6233145402724691</v>
      </c>
      <c r="AY481" s="2">
        <v>20.632843477074299</v>
      </c>
      <c r="AZ481" s="2">
        <v>18.5211274762753</v>
      </c>
      <c r="BA481" s="2">
        <v>9.6233145402724691</v>
      </c>
      <c r="BB481" s="2">
        <v>13.574458711829999</v>
      </c>
      <c r="BC481" s="2">
        <v>9.6233145402724691</v>
      </c>
      <c r="BD481" s="2">
        <v>14.8906922523367</v>
      </c>
      <c r="BE481" s="2">
        <v>21.325383001904999</v>
      </c>
      <c r="BF481" s="2">
        <v>9.6233145402724691</v>
      </c>
      <c r="BG481" s="2">
        <v>9.6233145402724691</v>
      </c>
      <c r="BH481" s="2">
        <v>16.754073251787698</v>
      </c>
      <c r="BI481" s="2">
        <v>9.6233145402724691</v>
      </c>
      <c r="BJ481" s="2">
        <v>20.637185772058999</v>
      </c>
      <c r="BK481" s="2">
        <v>9.6233145402724691</v>
      </c>
      <c r="BL481" s="2">
        <v>14.8080420914655</v>
      </c>
      <c r="BM481" s="2">
        <v>19.637633335215799</v>
      </c>
      <c r="BN481" s="2">
        <v>17.3319912535739</v>
      </c>
      <c r="BO481" s="2">
        <v>19.194534012686798</v>
      </c>
      <c r="BP481" s="2">
        <v>16.688244297891298</v>
      </c>
      <c r="BQ481" s="2">
        <v>21.078285863789201</v>
      </c>
      <c r="BR481" s="2">
        <v>18.5738344346018</v>
      </c>
      <c r="BS481" s="2">
        <v>20.603907351522601</v>
      </c>
      <c r="BT481" s="2">
        <v>9.6233145402724691</v>
      </c>
      <c r="BU481" s="2">
        <v>9.6233145402724691</v>
      </c>
      <c r="BV481" s="2">
        <v>9.6233145402724691</v>
      </c>
      <c r="BW481" s="2">
        <v>9.6233145402724691</v>
      </c>
      <c r="BX481" s="2">
        <v>17.649358216959602</v>
      </c>
      <c r="BY481" s="2">
        <v>20.6130640271282</v>
      </c>
      <c r="BZ481" s="2">
        <v>9.6233145402724691</v>
      </c>
      <c r="CA481" s="2">
        <v>9.6233145402724691</v>
      </c>
      <c r="CB481" s="2">
        <v>15.9765956708373</v>
      </c>
      <c r="CC481" s="2">
        <v>15.831215686772801</v>
      </c>
      <c r="CD481" s="2">
        <v>16.768119954242302</v>
      </c>
      <c r="CE481" s="2">
        <v>9.6233145402724691</v>
      </c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</row>
    <row r="482" spans="1:97">
      <c r="A482" s="2" t="s">
        <v>4827</v>
      </c>
      <c r="B482" s="2">
        <v>185.12828999999999</v>
      </c>
      <c r="C482" s="2">
        <v>3.4449999999999998</v>
      </c>
      <c r="D482" s="2" t="s">
        <v>84</v>
      </c>
      <c r="E482" s="2" t="s">
        <v>4828</v>
      </c>
      <c r="F482" s="2" t="s">
        <v>4829</v>
      </c>
      <c r="G482" s="2">
        <v>63084</v>
      </c>
      <c r="H482" s="3" t="str">
        <f>HYPERLINK("https://cloud.oebiotech.com/#/lm/network/63084", "https://cloud.oebiotech.com/#/lm/network/63084")</f>
        <v>https://cloud.oebiotech.com/#/lm/network/63084</v>
      </c>
      <c r="I482" s="2" t="s">
        <v>4830</v>
      </c>
      <c r="J482" s="2">
        <v>94385</v>
      </c>
      <c r="K482" s="2"/>
      <c r="L482" s="2">
        <v>82413815</v>
      </c>
      <c r="M482" s="2"/>
      <c r="N482" s="2"/>
      <c r="O482" s="2"/>
      <c r="P482" s="2"/>
      <c r="Q482" s="2"/>
      <c r="R482" s="2"/>
      <c r="S482" s="2"/>
      <c r="T482" s="2" t="s">
        <v>4831</v>
      </c>
      <c r="U482" s="2" t="s">
        <v>4832</v>
      </c>
      <c r="V482" s="2" t="s">
        <v>166</v>
      </c>
      <c r="W482" s="2" t="s">
        <v>167</v>
      </c>
      <c r="X482" s="2" t="s">
        <v>482</v>
      </c>
      <c r="Y482" s="2" t="s">
        <v>169</v>
      </c>
      <c r="Z482" s="2" t="s">
        <v>169</v>
      </c>
      <c r="AA482" s="2" t="s">
        <v>483</v>
      </c>
      <c r="AB482" s="2" t="s">
        <v>3086</v>
      </c>
      <c r="AC482" s="2">
        <v>62.48</v>
      </c>
      <c r="AD482" s="2">
        <v>98.01</v>
      </c>
      <c r="AE482" s="2">
        <v>35.19</v>
      </c>
      <c r="AF482" s="2" t="s">
        <v>4833</v>
      </c>
      <c r="AG482" s="2" t="s">
        <v>132</v>
      </c>
      <c r="AH482" s="2" t="s">
        <v>4834</v>
      </c>
      <c r="AI482" s="2">
        <v>0.54</v>
      </c>
      <c r="AJ482" s="2">
        <v>24.459427025755101</v>
      </c>
      <c r="AK482" s="2">
        <v>23.480421913630501</v>
      </c>
      <c r="AL482" s="2">
        <v>24.568683434963901</v>
      </c>
      <c r="AM482" s="2">
        <v>24.707733758487301</v>
      </c>
      <c r="AN482" s="2">
        <v>24.673483862738902</v>
      </c>
      <c r="AO482" s="2">
        <v>24.542719438648401</v>
      </c>
      <c r="AP482" s="2">
        <v>24.4183262026094</v>
      </c>
      <c r="AQ482" s="2">
        <v>24.5736505328906</v>
      </c>
      <c r="AR482" s="2">
        <v>22.531149975981201</v>
      </c>
      <c r="AS482" s="2">
        <v>23.336508756759901</v>
      </c>
      <c r="AT482" s="2">
        <v>23.675831499420799</v>
      </c>
      <c r="AU482" s="2">
        <v>23.4542974785411</v>
      </c>
      <c r="AV482" s="2">
        <v>23.1121697608665</v>
      </c>
      <c r="AW482" s="2">
        <v>23.908025843375199</v>
      </c>
      <c r="AX482" s="2">
        <v>23.462811606826701</v>
      </c>
      <c r="AY482" s="2">
        <v>24.413371430847</v>
      </c>
      <c r="AZ482" s="2">
        <v>23.839656891252101</v>
      </c>
      <c r="BA482" s="2">
        <v>23.518458866712301</v>
      </c>
      <c r="BB482" s="2">
        <v>23.7302373636991</v>
      </c>
      <c r="BC482" s="2">
        <v>25.462460362495602</v>
      </c>
      <c r="BD482" s="2">
        <v>23.886227655557299</v>
      </c>
      <c r="BE482" s="2">
        <v>23.736552068319899</v>
      </c>
      <c r="BF482" s="2">
        <v>24.3296109774756</v>
      </c>
      <c r="BG482" s="2">
        <v>24.084778949040501</v>
      </c>
      <c r="BH482" s="2">
        <v>23.5079914892234</v>
      </c>
      <c r="BI482" s="2">
        <v>24.943168186159099</v>
      </c>
      <c r="BJ482" s="2">
        <v>24.618495858770899</v>
      </c>
      <c r="BK482" s="2">
        <v>24.4512174436103</v>
      </c>
      <c r="BL482" s="2">
        <v>24.071225921739799</v>
      </c>
      <c r="BM482" s="2">
        <v>23.5701008870222</v>
      </c>
      <c r="BN482" s="2">
        <v>24.306565568126299</v>
      </c>
      <c r="BO482" s="2">
        <v>24.463142290066202</v>
      </c>
      <c r="BP482" s="2">
        <v>24.495680902630401</v>
      </c>
      <c r="BQ482" s="2">
        <v>24.2598657089748</v>
      </c>
      <c r="BR482" s="2">
        <v>24.357965182340099</v>
      </c>
      <c r="BS482" s="2">
        <v>23.8242646701501</v>
      </c>
      <c r="BT482" s="2">
        <v>24.143404693517201</v>
      </c>
      <c r="BU482" s="2">
        <v>24.3845692912946</v>
      </c>
      <c r="BV482" s="2">
        <v>24.7015768393426</v>
      </c>
      <c r="BW482" s="2">
        <v>24.2689013360704</v>
      </c>
      <c r="BX482" s="2">
        <v>24.268917555210901</v>
      </c>
      <c r="BY482" s="2">
        <v>24.233135827107802</v>
      </c>
      <c r="BZ482" s="2">
        <v>23.993335806623801</v>
      </c>
      <c r="CA482" s="2">
        <v>23.0267725874387</v>
      </c>
      <c r="CB482" s="2">
        <v>23.942951979870202</v>
      </c>
      <c r="CC482" s="2">
        <v>24.817560336835399</v>
      </c>
      <c r="CD482" s="2">
        <v>24.7612663444921</v>
      </c>
      <c r="CE482" s="2">
        <v>24.793986071052601</v>
      </c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</row>
    <row r="483" spans="1:97">
      <c r="A483" s="2" t="s">
        <v>4835</v>
      </c>
      <c r="B483" s="2">
        <v>465.35786000000002</v>
      </c>
      <c r="C483" s="2">
        <v>11.805</v>
      </c>
      <c r="D483" s="2" t="s">
        <v>146</v>
      </c>
      <c r="E483" s="2" t="s">
        <v>4836</v>
      </c>
      <c r="F483" s="2" t="s">
        <v>4837</v>
      </c>
      <c r="G483" s="2">
        <v>204995</v>
      </c>
      <c r="H483" s="3" t="str">
        <f>HYPERLINK("https://cloud.oebiotech.com/#/lm/network/204995", "https://cloud.oebiotech.com/#/lm/network/204995")</f>
        <v>https://cloud.oebiotech.com/#/lm/network/204995</v>
      </c>
      <c r="I483" s="2" t="s">
        <v>4838</v>
      </c>
      <c r="J483" s="2"/>
      <c r="K483" s="2"/>
      <c r="L483" s="2">
        <v>537036</v>
      </c>
      <c r="M483" s="2"/>
      <c r="N483" s="2"/>
      <c r="O483" s="2"/>
      <c r="P483" s="2"/>
      <c r="Q483" s="2"/>
      <c r="R483" s="2"/>
      <c r="S483" s="2"/>
      <c r="T483" s="2" t="s">
        <v>4839</v>
      </c>
      <c r="U483" s="2" t="s">
        <v>4840</v>
      </c>
      <c r="V483" s="2" t="s">
        <v>95</v>
      </c>
      <c r="W483" s="2" t="s">
        <v>152</v>
      </c>
      <c r="X483" s="2" t="s">
        <v>1420</v>
      </c>
      <c r="Y483" s="2" t="s">
        <v>98</v>
      </c>
      <c r="Z483" s="2" t="s">
        <v>154</v>
      </c>
      <c r="AA483" s="2" t="s">
        <v>1421</v>
      </c>
      <c r="AB483" s="2" t="s">
        <v>101</v>
      </c>
      <c r="AC483" s="2">
        <v>62.48</v>
      </c>
      <c r="AD483" s="2">
        <v>81.06</v>
      </c>
      <c r="AE483" s="2">
        <v>49.95</v>
      </c>
      <c r="AF483" s="2" t="s">
        <v>4841</v>
      </c>
      <c r="AG483" s="2" t="s">
        <v>157</v>
      </c>
      <c r="AH483" s="2" t="s">
        <v>4842</v>
      </c>
      <c r="AI483" s="2">
        <v>1.5</v>
      </c>
      <c r="AJ483" s="2">
        <v>20.732547930957701</v>
      </c>
      <c r="AK483" s="2">
        <v>20.460914854812302</v>
      </c>
      <c r="AL483" s="2">
        <v>20.475967035140599</v>
      </c>
      <c r="AM483" s="2">
        <v>20.273165516187799</v>
      </c>
      <c r="AN483" s="2">
        <v>20.559125794699501</v>
      </c>
      <c r="AO483" s="2">
        <v>19.662680126291999</v>
      </c>
      <c r="AP483" s="2">
        <v>20.5539946757942</v>
      </c>
      <c r="AQ483" s="2">
        <v>19.495178800265499</v>
      </c>
      <c r="AR483" s="2">
        <v>20.190147504077</v>
      </c>
      <c r="AS483" s="2">
        <v>19.906841562750799</v>
      </c>
      <c r="AT483" s="2">
        <v>19.914072355676101</v>
      </c>
      <c r="AU483" s="2">
        <v>20.125298976944901</v>
      </c>
      <c r="AV483" s="2">
        <v>20.230466563481301</v>
      </c>
      <c r="AW483" s="2">
        <v>20.384098683304799</v>
      </c>
      <c r="AX483" s="2">
        <v>19.509459565836501</v>
      </c>
      <c r="AY483" s="2">
        <v>21.150490857083401</v>
      </c>
      <c r="AZ483" s="2">
        <v>21.066951064844002</v>
      </c>
      <c r="BA483" s="2">
        <v>20.153497196835001</v>
      </c>
      <c r="BB483" s="2">
        <v>20.370782630884399</v>
      </c>
      <c r="BC483" s="2">
        <v>20.952705278310798</v>
      </c>
      <c r="BD483" s="2">
        <v>20.107454292380702</v>
      </c>
      <c r="BE483" s="2">
        <v>21.4588101659001</v>
      </c>
      <c r="BF483" s="2">
        <v>19.809029858418501</v>
      </c>
      <c r="BG483" s="2">
        <v>20.1854255612743</v>
      </c>
      <c r="BH483" s="2">
        <v>19.523643194186601</v>
      </c>
      <c r="BI483" s="2">
        <v>18.684524756888699</v>
      </c>
      <c r="BJ483" s="2">
        <v>19.2308004474001</v>
      </c>
      <c r="BK483" s="2">
        <v>18.086697957526699</v>
      </c>
      <c r="BL483" s="2">
        <v>19.660350542249301</v>
      </c>
      <c r="BM483" s="2">
        <v>20.6961846120589</v>
      </c>
      <c r="BN483" s="2">
        <v>20.1904093434459</v>
      </c>
      <c r="BO483" s="2">
        <v>20.4209151144996</v>
      </c>
      <c r="BP483" s="2">
        <v>19.7878718951659</v>
      </c>
      <c r="BQ483" s="2">
        <v>19.640061575720001</v>
      </c>
      <c r="BR483" s="2">
        <v>19.497655554467201</v>
      </c>
      <c r="BS483" s="2">
        <v>19.988778978934398</v>
      </c>
      <c r="BT483" s="2">
        <v>21.0415418714895</v>
      </c>
      <c r="BU483" s="2">
        <v>19.7505785375789</v>
      </c>
      <c r="BV483" s="2">
        <v>20.253035424362601</v>
      </c>
      <c r="BW483" s="2">
        <v>18.904216644281899</v>
      </c>
      <c r="BX483" s="2">
        <v>20.023856774428701</v>
      </c>
      <c r="BY483" s="2">
        <v>21.913383671877799</v>
      </c>
      <c r="BZ483" s="2">
        <v>19.019237052944401</v>
      </c>
      <c r="CA483" s="2">
        <v>19.744503878387</v>
      </c>
      <c r="CB483" s="2">
        <v>19.6957226920205</v>
      </c>
      <c r="CC483" s="2">
        <v>19.821811203993899</v>
      </c>
      <c r="CD483" s="2">
        <v>20.610051574928899</v>
      </c>
      <c r="CE483" s="2">
        <v>20.341523307771698</v>
      </c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</row>
    <row r="484" spans="1:97">
      <c r="A484" s="2" t="s">
        <v>4843</v>
      </c>
      <c r="B484" s="2">
        <v>223.09717000000001</v>
      </c>
      <c r="C484" s="2">
        <v>6.8170000000000002</v>
      </c>
      <c r="D484" s="2" t="s">
        <v>146</v>
      </c>
      <c r="E484" s="2" t="s">
        <v>4844</v>
      </c>
      <c r="F484" s="2" t="s">
        <v>4845</v>
      </c>
      <c r="G484" s="2">
        <v>6337</v>
      </c>
      <c r="H484" s="3" t="str">
        <f>HYPERLINK("https://cloud.oebiotech.com/#/lm/network/6337", "https://cloud.oebiotech.com/#/lm/network/6337")</f>
        <v>https://cloud.oebiotech.com/#/lm/network/6337</v>
      </c>
      <c r="I484" s="2"/>
      <c r="J484" s="2"/>
      <c r="K484" s="2" t="s">
        <v>4846</v>
      </c>
      <c r="L484" s="2">
        <v>15316212</v>
      </c>
      <c r="M484" s="2"/>
      <c r="N484" s="2"/>
      <c r="O484" s="2"/>
      <c r="P484" s="2">
        <v>66037</v>
      </c>
      <c r="Q484" s="2"/>
      <c r="R484" s="2"/>
      <c r="S484" s="2"/>
      <c r="T484" s="2" t="s">
        <v>4847</v>
      </c>
      <c r="U484" s="2" t="s">
        <v>4848</v>
      </c>
      <c r="V484" s="2" t="s">
        <v>95</v>
      </c>
      <c r="W484" s="2" t="s">
        <v>96</v>
      </c>
      <c r="X484" s="2" t="s">
        <v>353</v>
      </c>
      <c r="Y484" s="2" t="s">
        <v>98</v>
      </c>
      <c r="Z484" s="2" t="s">
        <v>99</v>
      </c>
      <c r="AA484" s="2" t="s">
        <v>354</v>
      </c>
      <c r="AB484" s="2" t="s">
        <v>101</v>
      </c>
      <c r="AC484" s="2">
        <v>62.46</v>
      </c>
      <c r="AD484" s="2">
        <v>92.56</v>
      </c>
      <c r="AE484" s="2">
        <v>53.43</v>
      </c>
      <c r="AF484" s="2" t="s">
        <v>4849</v>
      </c>
      <c r="AG484" s="2" t="s">
        <v>157</v>
      </c>
      <c r="AH484" s="2" t="s">
        <v>4850</v>
      </c>
      <c r="AI484" s="2">
        <v>1.79</v>
      </c>
      <c r="AJ484" s="2">
        <v>19.1217875237156</v>
      </c>
      <c r="AK484" s="2">
        <v>19.1540980401798</v>
      </c>
      <c r="AL484" s="2">
        <v>19.135492364605302</v>
      </c>
      <c r="AM484" s="2">
        <v>19.365036185944</v>
      </c>
      <c r="AN484" s="2">
        <v>19.0802943642265</v>
      </c>
      <c r="AO484" s="2">
        <v>19.133506142282702</v>
      </c>
      <c r="AP484" s="2">
        <v>19.159725170194999</v>
      </c>
      <c r="AQ484" s="2">
        <v>19.0303289110762</v>
      </c>
      <c r="AR484" s="2">
        <v>18.197433553414001</v>
      </c>
      <c r="AS484" s="2">
        <v>15.9560936441652</v>
      </c>
      <c r="AT484" s="2">
        <v>18.936854028046799</v>
      </c>
      <c r="AU484" s="2">
        <v>18.2172067139003</v>
      </c>
      <c r="AV484" s="2">
        <v>17.652490626325299</v>
      </c>
      <c r="AW484" s="2">
        <v>17.9298670905868</v>
      </c>
      <c r="AX484" s="2">
        <v>17.854692612256901</v>
      </c>
      <c r="AY484" s="2">
        <v>18.271929297009201</v>
      </c>
      <c r="AZ484" s="2">
        <v>18.0884071045887</v>
      </c>
      <c r="BA484" s="2">
        <v>17.658175283797998</v>
      </c>
      <c r="BB484" s="2">
        <v>18.632211795210299</v>
      </c>
      <c r="BC484" s="2">
        <v>16.3629182708926</v>
      </c>
      <c r="BD484" s="2">
        <v>19.885097623242601</v>
      </c>
      <c r="BE484" s="2">
        <v>18.730632559931301</v>
      </c>
      <c r="BF484" s="2">
        <v>16.208864370867602</v>
      </c>
      <c r="BG484" s="2">
        <v>19.6517388480761</v>
      </c>
      <c r="BH484" s="2">
        <v>16.066839067428599</v>
      </c>
      <c r="BI484" s="2">
        <v>20.7147471014313</v>
      </c>
      <c r="BJ484" s="2">
        <v>18.366088918700001</v>
      </c>
      <c r="BK484" s="2">
        <v>18.811894717882399</v>
      </c>
      <c r="BL484" s="2">
        <v>17.500021791996399</v>
      </c>
      <c r="BM484" s="2">
        <v>18.052363045252999</v>
      </c>
      <c r="BN484" s="2">
        <v>18.221915822920899</v>
      </c>
      <c r="BO484" s="2">
        <v>18.753729699946099</v>
      </c>
      <c r="BP484" s="2">
        <v>17.425704697374499</v>
      </c>
      <c r="BQ484" s="2">
        <v>18.285756789049302</v>
      </c>
      <c r="BR484" s="2">
        <v>17.8523042535925</v>
      </c>
      <c r="BS484" s="2">
        <v>20.100965742788102</v>
      </c>
      <c r="BT484" s="2">
        <v>16.8770644480702</v>
      </c>
      <c r="BU484" s="2">
        <v>17.1502896354434</v>
      </c>
      <c r="BV484" s="2">
        <v>17.963613481400799</v>
      </c>
      <c r="BW484" s="2">
        <v>14.935242874197</v>
      </c>
      <c r="BX484" s="2">
        <v>19.7719533265061</v>
      </c>
      <c r="BY484" s="2">
        <v>18.827940312342299</v>
      </c>
      <c r="BZ484" s="2">
        <v>16.9731578689589</v>
      </c>
      <c r="CA484" s="2">
        <v>19.100334717525101</v>
      </c>
      <c r="CB484" s="2">
        <v>16.891261580938899</v>
      </c>
      <c r="CC484" s="2">
        <v>19.825683751921598</v>
      </c>
      <c r="CD484" s="2">
        <v>18.274157857149401</v>
      </c>
      <c r="CE484" s="2">
        <v>18.768129034798001</v>
      </c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</row>
    <row r="485" spans="1:97">
      <c r="A485" s="2" t="s">
        <v>4851</v>
      </c>
      <c r="B485" s="2">
        <v>391.28483</v>
      </c>
      <c r="C485" s="2">
        <v>11.891999999999999</v>
      </c>
      <c r="D485" s="2" t="s">
        <v>146</v>
      </c>
      <c r="E485" s="2" t="s">
        <v>4852</v>
      </c>
      <c r="F485" s="2" t="s">
        <v>4853</v>
      </c>
      <c r="G485" s="2">
        <v>255997</v>
      </c>
      <c r="H485" s="3" t="str">
        <f>HYPERLINK("https://cloud.oebiotech.com/#/lm/network/255997", "https://cloud.oebiotech.com/#/lm/network/255997")</f>
        <v>https://cloud.oebiotech.com/#/lm/network/255997</v>
      </c>
      <c r="I485" s="2" t="s">
        <v>4854</v>
      </c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 t="s">
        <v>4855</v>
      </c>
      <c r="U485" s="2" t="s">
        <v>4856</v>
      </c>
      <c r="V485" s="2" t="s">
        <v>385</v>
      </c>
      <c r="W485" s="2" t="s">
        <v>386</v>
      </c>
      <c r="X485" s="2" t="s">
        <v>4857</v>
      </c>
      <c r="Y485" s="2" t="s">
        <v>388</v>
      </c>
      <c r="Z485" s="2" t="s">
        <v>389</v>
      </c>
      <c r="AA485" s="2" t="s">
        <v>4858</v>
      </c>
      <c r="AB485" s="2" t="s">
        <v>101</v>
      </c>
      <c r="AC485" s="2">
        <v>62.45</v>
      </c>
      <c r="AD485" s="2">
        <v>95.04</v>
      </c>
      <c r="AE485" s="2">
        <v>47.76</v>
      </c>
      <c r="AF485" s="2" t="s">
        <v>4859</v>
      </c>
      <c r="AG485" s="2" t="s">
        <v>194</v>
      </c>
      <c r="AH485" s="2" t="s">
        <v>712</v>
      </c>
      <c r="AI485" s="2">
        <v>1.53</v>
      </c>
      <c r="AJ485" s="2">
        <v>20.5184558410952</v>
      </c>
      <c r="AK485" s="2">
        <v>19.6708133438595</v>
      </c>
      <c r="AL485" s="2">
        <v>19.926139575798</v>
      </c>
      <c r="AM485" s="2">
        <v>20.005648820680399</v>
      </c>
      <c r="AN485" s="2">
        <v>19.8309699387761</v>
      </c>
      <c r="AO485" s="2">
        <v>19.734311953162202</v>
      </c>
      <c r="AP485" s="2">
        <v>19.981688836392401</v>
      </c>
      <c r="AQ485" s="2">
        <v>19.8213468329369</v>
      </c>
      <c r="AR485" s="2">
        <v>19.739652634779901</v>
      </c>
      <c r="AS485" s="2">
        <v>19.191226245946702</v>
      </c>
      <c r="AT485" s="2">
        <v>19.395041915572001</v>
      </c>
      <c r="AU485" s="2">
        <v>19.616834899202502</v>
      </c>
      <c r="AV485" s="2">
        <v>19.7151724653584</v>
      </c>
      <c r="AW485" s="2">
        <v>19.7768267106072</v>
      </c>
      <c r="AX485" s="2">
        <v>19.093114968019499</v>
      </c>
      <c r="AY485" s="2">
        <v>21.1813802325876</v>
      </c>
      <c r="AZ485" s="2">
        <v>20.846728026348998</v>
      </c>
      <c r="BA485" s="2">
        <v>20.001935171154699</v>
      </c>
      <c r="BB485" s="2">
        <v>19.606958700392202</v>
      </c>
      <c r="BC485" s="2">
        <v>20.7766319329337</v>
      </c>
      <c r="BD485" s="2">
        <v>19.460756119895201</v>
      </c>
      <c r="BE485" s="2">
        <v>20.9508216379547</v>
      </c>
      <c r="BF485" s="2">
        <v>19.1188011913389</v>
      </c>
      <c r="BG485" s="2">
        <v>19.107409988820301</v>
      </c>
      <c r="BH485" s="2">
        <v>19.858203332347198</v>
      </c>
      <c r="BI485" s="2">
        <v>20.0106612571767</v>
      </c>
      <c r="BJ485" s="2">
        <v>19.8658724157651</v>
      </c>
      <c r="BK485" s="2">
        <v>18.939735129801999</v>
      </c>
      <c r="BL485" s="2">
        <v>19.735787161181499</v>
      </c>
      <c r="BM485" s="2">
        <v>19.8796753474649</v>
      </c>
      <c r="BN485" s="2">
        <v>19.320139776286801</v>
      </c>
      <c r="BO485" s="2">
        <v>19.7436364808352</v>
      </c>
      <c r="BP485" s="2">
        <v>19.501417451946999</v>
      </c>
      <c r="BQ485" s="2">
        <v>19.083438813293402</v>
      </c>
      <c r="BR485" s="2">
        <v>19.3859867096313</v>
      </c>
      <c r="BS485" s="2">
        <v>20.697323301421601</v>
      </c>
      <c r="BT485" s="2">
        <v>20.3953844222283</v>
      </c>
      <c r="BU485" s="2">
        <v>19.856224532381798</v>
      </c>
      <c r="BV485" s="2">
        <v>20.141745365704502</v>
      </c>
      <c r="BW485" s="2">
        <v>18.903628401215901</v>
      </c>
      <c r="BX485" s="2">
        <v>19.241012172047199</v>
      </c>
      <c r="BY485" s="2">
        <v>21.722545121814299</v>
      </c>
      <c r="BZ485" s="2">
        <v>18.671723769241002</v>
      </c>
      <c r="CA485" s="2">
        <v>19.273833313055199</v>
      </c>
      <c r="CB485" s="2">
        <v>19.437352004109101</v>
      </c>
      <c r="CC485" s="2">
        <v>20.1632032481156</v>
      </c>
      <c r="CD485" s="2">
        <v>20.3321339644998</v>
      </c>
      <c r="CE485" s="2">
        <v>19.1436476758673</v>
      </c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</row>
    <row r="486" spans="1:97">
      <c r="A486" s="2" t="s">
        <v>4860</v>
      </c>
      <c r="B486" s="2">
        <v>357.10059999999999</v>
      </c>
      <c r="C486" s="2">
        <v>6.0179999999999998</v>
      </c>
      <c r="D486" s="2" t="s">
        <v>146</v>
      </c>
      <c r="E486" s="2" t="s">
        <v>4861</v>
      </c>
      <c r="F486" s="2" t="s">
        <v>4862</v>
      </c>
      <c r="G486" s="2">
        <v>37474</v>
      </c>
      <c r="H486" s="3" t="str">
        <f>HYPERLINK("https://cloud.oebiotech.com/#/lm/network/37474", "https://cloud.oebiotech.com/#/lm/network/37474")</f>
        <v>https://cloud.oebiotech.com/#/lm/network/37474</v>
      </c>
      <c r="I486" s="2"/>
      <c r="J486" s="2"/>
      <c r="K486" s="2" t="s">
        <v>4863</v>
      </c>
      <c r="L486" s="2"/>
      <c r="M486" s="2"/>
      <c r="N486" s="2"/>
      <c r="O486" s="2"/>
      <c r="P486" s="2"/>
      <c r="Q486" s="2"/>
      <c r="R486" s="2"/>
      <c r="S486" s="2"/>
      <c r="T486" s="2" t="s">
        <v>4864</v>
      </c>
      <c r="U486" s="2" t="s">
        <v>4865</v>
      </c>
      <c r="V486" s="2" t="s">
        <v>553</v>
      </c>
      <c r="W486" s="2" t="s">
        <v>2193</v>
      </c>
      <c r="X486" s="2" t="s">
        <v>4866</v>
      </c>
      <c r="Y486" s="2" t="s">
        <v>556</v>
      </c>
      <c r="Z486" s="2" t="s">
        <v>2194</v>
      </c>
      <c r="AA486" s="2" t="s">
        <v>4867</v>
      </c>
      <c r="AB486" s="2" t="s">
        <v>101</v>
      </c>
      <c r="AC486" s="2">
        <v>62.42</v>
      </c>
      <c r="AD486" s="2">
        <v>86.5</v>
      </c>
      <c r="AE486" s="2">
        <v>45.3</v>
      </c>
      <c r="AF486" s="2" t="s">
        <v>4868</v>
      </c>
      <c r="AG486" s="2" t="s">
        <v>194</v>
      </c>
      <c r="AH486" s="2" t="s">
        <v>4869</v>
      </c>
      <c r="AI486" s="2">
        <v>1.96</v>
      </c>
      <c r="AJ486" s="2">
        <v>16.347700428138399</v>
      </c>
      <c r="AK486" s="2">
        <v>16.317757593995498</v>
      </c>
      <c r="AL486" s="2">
        <v>16.214756614271899</v>
      </c>
      <c r="AM486" s="2">
        <v>16.586418490926199</v>
      </c>
      <c r="AN486" s="2">
        <v>16.596985500302701</v>
      </c>
      <c r="AO486" s="2">
        <v>16.012327292816401</v>
      </c>
      <c r="AP486" s="2">
        <v>16.368464514157601</v>
      </c>
      <c r="AQ486" s="2">
        <v>16.382128521636101</v>
      </c>
      <c r="AR486" s="2">
        <v>17.264310182162099</v>
      </c>
      <c r="AS486" s="2">
        <v>13.866799821402299</v>
      </c>
      <c r="AT486" s="2">
        <v>15.2232158790115</v>
      </c>
      <c r="AU486" s="2">
        <v>18.136687782710901</v>
      </c>
      <c r="AV486" s="2">
        <v>15.6617463714905</v>
      </c>
      <c r="AW486" s="2">
        <v>16.731464619189399</v>
      </c>
      <c r="AX486" s="2">
        <v>15.5492389825384</v>
      </c>
      <c r="AY486" s="2">
        <v>15.6569451653667</v>
      </c>
      <c r="AZ486" s="2">
        <v>16.526972622188101</v>
      </c>
      <c r="BA486" s="2">
        <v>13.4488622450799</v>
      </c>
      <c r="BB486" s="2">
        <v>17.951372945275399</v>
      </c>
      <c r="BC486" s="2">
        <v>15.3972782116623</v>
      </c>
      <c r="BD486" s="2">
        <v>16.122286680455201</v>
      </c>
      <c r="BE486" s="2">
        <v>14.8723247437891</v>
      </c>
      <c r="BF486" s="2">
        <v>11.824926927718201</v>
      </c>
      <c r="BG486" s="2">
        <v>16.8845610768754</v>
      </c>
      <c r="BH486" s="2">
        <v>13.9598453056935</v>
      </c>
      <c r="BI486" s="2">
        <v>15.949945684432</v>
      </c>
      <c r="BJ486" s="2">
        <v>17.242825580251999</v>
      </c>
      <c r="BK486" s="2">
        <v>15.5927519233349</v>
      </c>
      <c r="BL486" s="2">
        <v>16.2272383747714</v>
      </c>
      <c r="BM486" s="2">
        <v>15.264604234594801</v>
      </c>
      <c r="BN486" s="2">
        <v>16.200645199509101</v>
      </c>
      <c r="BO486" s="2">
        <v>18.855459475242299</v>
      </c>
      <c r="BP486" s="2">
        <v>15.290979627444999</v>
      </c>
      <c r="BQ486" s="2">
        <v>17.941095475998701</v>
      </c>
      <c r="BR486" s="2">
        <v>15.3020344615901</v>
      </c>
      <c r="BS486" s="2">
        <v>17.1106429615172</v>
      </c>
      <c r="BT486" s="2">
        <v>18.4540162442816</v>
      </c>
      <c r="BU486" s="2">
        <v>14.8671401980348</v>
      </c>
      <c r="BV486" s="2">
        <v>15.226587175184299</v>
      </c>
      <c r="BW486" s="2">
        <v>9.6233145402724691</v>
      </c>
      <c r="BX486" s="2">
        <v>15.9466481704751</v>
      </c>
      <c r="BY486" s="2">
        <v>14.9523153636466</v>
      </c>
      <c r="BZ486" s="2">
        <v>14.600034262360801</v>
      </c>
      <c r="CA486" s="2">
        <v>16.4807405097946</v>
      </c>
      <c r="CB486" s="2">
        <v>15.3767663994148</v>
      </c>
      <c r="CC486" s="2">
        <v>13.962764993138199</v>
      </c>
      <c r="CD486" s="2">
        <v>17.1284506308453</v>
      </c>
      <c r="CE486" s="2">
        <v>13.2009644870163</v>
      </c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</row>
    <row r="487" spans="1:97">
      <c r="A487" s="2" t="s">
        <v>4870</v>
      </c>
      <c r="B487" s="2">
        <v>337.23784000000001</v>
      </c>
      <c r="C487" s="2">
        <v>10.933999999999999</v>
      </c>
      <c r="D487" s="2" t="s">
        <v>146</v>
      </c>
      <c r="E487" s="2" t="s">
        <v>4871</v>
      </c>
      <c r="F487" s="2" t="s">
        <v>4872</v>
      </c>
      <c r="G487" s="2">
        <v>3611</v>
      </c>
      <c r="H487" s="3" t="str">
        <f>HYPERLINK("https://cloud.oebiotech.com/#/lm/network/3611", "https://cloud.oebiotech.com/#/lm/network/3611")</f>
        <v>https://cloud.oebiotech.com/#/lm/network/3611</v>
      </c>
      <c r="I487" s="2"/>
      <c r="J487" s="2">
        <v>96921</v>
      </c>
      <c r="K487" s="2" t="s">
        <v>4873</v>
      </c>
      <c r="L487" s="2">
        <v>56935877</v>
      </c>
      <c r="M487" s="2"/>
      <c r="N487" s="2"/>
      <c r="O487" s="2"/>
      <c r="P487" s="2"/>
      <c r="Q487" s="2"/>
      <c r="R487" s="2"/>
      <c r="S487" s="2"/>
      <c r="T487" s="2" t="s">
        <v>4874</v>
      </c>
      <c r="U487" s="2" t="s">
        <v>4875</v>
      </c>
      <c r="V487" s="2" t="s">
        <v>95</v>
      </c>
      <c r="W487" s="2" t="s">
        <v>96</v>
      </c>
      <c r="X487" s="2" t="s">
        <v>141</v>
      </c>
      <c r="Y487" s="2" t="s">
        <v>98</v>
      </c>
      <c r="Z487" s="2" t="s">
        <v>99</v>
      </c>
      <c r="AA487" s="2" t="s">
        <v>142</v>
      </c>
      <c r="AB487" s="2" t="s">
        <v>3086</v>
      </c>
      <c r="AC487" s="2">
        <v>62.36</v>
      </c>
      <c r="AD487" s="2">
        <v>87.89</v>
      </c>
      <c r="AE487" s="2">
        <v>41.77</v>
      </c>
      <c r="AF487" s="2" t="s">
        <v>4876</v>
      </c>
      <c r="AG487" s="2" t="s">
        <v>194</v>
      </c>
      <c r="AH487" s="2" t="s">
        <v>4877</v>
      </c>
      <c r="AI487" s="2">
        <v>1.78</v>
      </c>
      <c r="AJ487" s="2">
        <v>20.135249316172299</v>
      </c>
      <c r="AK487" s="2">
        <v>20.157345627643501</v>
      </c>
      <c r="AL487" s="2">
        <v>19.849635161795302</v>
      </c>
      <c r="AM487" s="2">
        <v>19.741111973619301</v>
      </c>
      <c r="AN487" s="2">
        <v>19.691169784044298</v>
      </c>
      <c r="AO487" s="2">
        <v>19.790590221855499</v>
      </c>
      <c r="AP487" s="2">
        <v>19.6531039914959</v>
      </c>
      <c r="AQ487" s="2">
        <v>19.994122582763101</v>
      </c>
      <c r="AR487" s="2">
        <v>19.612190815313799</v>
      </c>
      <c r="AS487" s="2">
        <v>18.994714617906901</v>
      </c>
      <c r="AT487" s="2">
        <v>18.723373040542501</v>
      </c>
      <c r="AU487" s="2">
        <v>19.3662157756978</v>
      </c>
      <c r="AV487" s="2">
        <v>20.360468393461201</v>
      </c>
      <c r="AW487" s="2">
        <v>20.328897942883302</v>
      </c>
      <c r="AX487" s="2">
        <v>19.8134974927864</v>
      </c>
      <c r="AY487" s="2">
        <v>20.9684424091989</v>
      </c>
      <c r="AZ487" s="2">
        <v>19.891687451129901</v>
      </c>
      <c r="BA487" s="2">
        <v>19.649129056734001</v>
      </c>
      <c r="BB487" s="2">
        <v>19.618481270783001</v>
      </c>
      <c r="BC487" s="2">
        <v>20.077755054452201</v>
      </c>
      <c r="BD487" s="2">
        <v>19.844621106437501</v>
      </c>
      <c r="BE487" s="2">
        <v>21.083407823181599</v>
      </c>
      <c r="BF487" s="2">
        <v>18.901508355008801</v>
      </c>
      <c r="BG487" s="2">
        <v>18.8329330214968</v>
      </c>
      <c r="BH487" s="2">
        <v>19.933357858263602</v>
      </c>
      <c r="BI487" s="2">
        <v>19.5827798720271</v>
      </c>
      <c r="BJ487" s="2">
        <v>20.235984670499398</v>
      </c>
      <c r="BK487" s="2">
        <v>19.519148417003699</v>
      </c>
      <c r="BL487" s="2">
        <v>18.800110710256099</v>
      </c>
      <c r="BM487" s="2">
        <v>18.904950964379999</v>
      </c>
      <c r="BN487" s="2">
        <v>19.585796728476002</v>
      </c>
      <c r="BO487" s="2">
        <v>19.234029060338301</v>
      </c>
      <c r="BP487" s="2">
        <v>19.527010873404201</v>
      </c>
      <c r="BQ487" s="2">
        <v>20.077851249132099</v>
      </c>
      <c r="BR487" s="2">
        <v>19.402119427905099</v>
      </c>
      <c r="BS487" s="2">
        <v>20.950004106428999</v>
      </c>
      <c r="BT487" s="2">
        <v>19.836043125657</v>
      </c>
      <c r="BU487" s="2">
        <v>19.7398875984379</v>
      </c>
      <c r="BV487" s="2">
        <v>19.6018388918237</v>
      </c>
      <c r="BW487" s="2">
        <v>18.904312064108499</v>
      </c>
      <c r="BX487" s="2">
        <v>19.506850883896501</v>
      </c>
      <c r="BY487" s="2">
        <v>21.3676304241685</v>
      </c>
      <c r="BZ487" s="2">
        <v>18.307340422912699</v>
      </c>
      <c r="CA487" s="2">
        <v>18.756741729237302</v>
      </c>
      <c r="CB487" s="2">
        <v>20.410242633486199</v>
      </c>
      <c r="CC487" s="2">
        <v>19.585247899483601</v>
      </c>
      <c r="CD487" s="2">
        <v>20.679576999833799</v>
      </c>
      <c r="CE487" s="2">
        <v>19.822804868399601</v>
      </c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</row>
    <row r="488" spans="1:97">
      <c r="A488" s="2" t="s">
        <v>4878</v>
      </c>
      <c r="B488" s="2">
        <v>219.02629999999999</v>
      </c>
      <c r="C488" s="2">
        <v>0.71399999999999997</v>
      </c>
      <c r="D488" s="2" t="s">
        <v>84</v>
      </c>
      <c r="E488" s="2" t="s">
        <v>4879</v>
      </c>
      <c r="F488" s="2" t="s">
        <v>4880</v>
      </c>
      <c r="G488" s="2">
        <v>205477</v>
      </c>
      <c r="H488" s="3" t="str">
        <f>HYPERLINK("https://cloud.oebiotech.com/#/lm/network/205477", "https://cloud.oebiotech.com/#/lm/network/205477")</f>
        <v>https://cloud.oebiotech.com/#/lm/network/205477</v>
      </c>
      <c r="I488" s="2" t="s">
        <v>4881</v>
      </c>
      <c r="J488" s="2"/>
      <c r="K488" s="2"/>
      <c r="L488" s="2">
        <v>716</v>
      </c>
      <c r="M488" s="2"/>
      <c r="N488" s="2"/>
      <c r="O488" s="2"/>
      <c r="P488" s="2"/>
      <c r="Q488" s="2"/>
      <c r="R488" s="2"/>
      <c r="S488" s="2"/>
      <c r="T488" s="2" t="s">
        <v>4882</v>
      </c>
      <c r="U488" s="2" t="s">
        <v>4883</v>
      </c>
      <c r="V488" s="2" t="s">
        <v>338</v>
      </c>
      <c r="W488" s="2" t="s">
        <v>339</v>
      </c>
      <c r="X488" s="2" t="s">
        <v>663</v>
      </c>
      <c r="Y488" s="2" t="s">
        <v>341</v>
      </c>
      <c r="Z488" s="2" t="s">
        <v>341</v>
      </c>
      <c r="AA488" s="2" t="s">
        <v>664</v>
      </c>
      <c r="AB488" s="2" t="s">
        <v>3086</v>
      </c>
      <c r="AC488" s="2">
        <v>62.36</v>
      </c>
      <c r="AD488" s="2">
        <v>91.53</v>
      </c>
      <c r="AE488" s="2">
        <v>33.520714285714298</v>
      </c>
      <c r="AF488" s="2" t="s">
        <v>4884</v>
      </c>
      <c r="AG488" s="2" t="s">
        <v>3544</v>
      </c>
      <c r="AH488" s="2" t="s">
        <v>3400</v>
      </c>
      <c r="AI488" s="2">
        <v>0.91</v>
      </c>
      <c r="AJ488" s="2">
        <v>26.630173106042399</v>
      </c>
      <c r="AK488" s="2">
        <v>26.702488595020199</v>
      </c>
      <c r="AL488" s="2">
        <v>26.402474129123402</v>
      </c>
      <c r="AM488" s="2">
        <v>26.779471459067398</v>
      </c>
      <c r="AN488" s="2">
        <v>26.6442852866473</v>
      </c>
      <c r="AO488" s="2">
        <v>26.740608678120601</v>
      </c>
      <c r="AP488" s="2">
        <v>26.6672568385634</v>
      </c>
      <c r="AQ488" s="2">
        <v>26.733813462780301</v>
      </c>
      <c r="AR488" s="2">
        <v>25.740833459714398</v>
      </c>
      <c r="AS488" s="2">
        <v>25.391309491243799</v>
      </c>
      <c r="AT488" s="2">
        <v>25.907093886792001</v>
      </c>
      <c r="AU488" s="2">
        <v>25.964342543174499</v>
      </c>
      <c r="AV488" s="2">
        <v>26.4133416065721</v>
      </c>
      <c r="AW488" s="2">
        <v>26.105155467389402</v>
      </c>
      <c r="AX488" s="2">
        <v>25.830338084914001</v>
      </c>
      <c r="AY488" s="2">
        <v>26.344385104314799</v>
      </c>
      <c r="AZ488" s="2">
        <v>26.283231096840499</v>
      </c>
      <c r="BA488" s="2">
        <v>26.042381316270198</v>
      </c>
      <c r="BB488" s="2">
        <v>26.4283827829789</v>
      </c>
      <c r="BC488" s="2">
        <v>26.4303653915353</v>
      </c>
      <c r="BD488" s="2">
        <v>27.055567630890199</v>
      </c>
      <c r="BE488" s="2">
        <v>26.9626060560525</v>
      </c>
      <c r="BF488" s="2">
        <v>26.642134600252</v>
      </c>
      <c r="BG488" s="2">
        <v>26.427370376647499</v>
      </c>
      <c r="BH488" s="2">
        <v>26.0419171624313</v>
      </c>
      <c r="BI488" s="2">
        <v>26.229477246742899</v>
      </c>
      <c r="BJ488" s="2">
        <v>26.692551588225399</v>
      </c>
      <c r="BK488" s="2">
        <v>26.9286205927169</v>
      </c>
      <c r="BL488" s="2">
        <v>26.280004584875801</v>
      </c>
      <c r="BM488" s="2">
        <v>26.2302214663417</v>
      </c>
      <c r="BN488" s="2">
        <v>26.4886286095374</v>
      </c>
      <c r="BO488" s="2">
        <v>26.321295857014</v>
      </c>
      <c r="BP488" s="2">
        <v>26.272130647510402</v>
      </c>
      <c r="BQ488" s="2">
        <v>26.115311554219499</v>
      </c>
      <c r="BR488" s="2">
        <v>26.009268933068402</v>
      </c>
      <c r="BS488" s="2">
        <v>26.8884051878279</v>
      </c>
      <c r="BT488" s="2">
        <v>26.464224831638301</v>
      </c>
      <c r="BU488" s="2">
        <v>25.9487434122845</v>
      </c>
      <c r="BV488" s="2">
        <v>26.516126949585001</v>
      </c>
      <c r="BW488" s="2">
        <v>26.552923491204201</v>
      </c>
      <c r="BX488" s="2">
        <v>26.427105176582401</v>
      </c>
      <c r="BY488" s="2">
        <v>26.586080167735801</v>
      </c>
      <c r="BZ488" s="2">
        <v>26.620398476544398</v>
      </c>
      <c r="CA488" s="2">
        <v>27.433027137072202</v>
      </c>
      <c r="CB488" s="2">
        <v>26.402467846337199</v>
      </c>
      <c r="CC488" s="2">
        <v>26.561579080871802</v>
      </c>
      <c r="CD488" s="2">
        <v>26.732286755730399</v>
      </c>
      <c r="CE488" s="2">
        <v>26.450446708716999</v>
      </c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</row>
    <row r="489" spans="1:97">
      <c r="A489" s="2" t="s">
        <v>4885</v>
      </c>
      <c r="B489" s="2">
        <v>439.16034000000002</v>
      </c>
      <c r="C489" s="2">
        <v>4.8490000000000002</v>
      </c>
      <c r="D489" s="2" t="s">
        <v>146</v>
      </c>
      <c r="E489" s="2" t="s">
        <v>4886</v>
      </c>
      <c r="F489" s="2" t="s">
        <v>4887</v>
      </c>
      <c r="G489" s="2">
        <v>82988</v>
      </c>
      <c r="H489" s="3" t="str">
        <f>HYPERLINK("https://cloud.oebiotech.com/#/lm/network/82988", "https://cloud.oebiotech.com/#/lm/network/82988")</f>
        <v>https://cloud.oebiotech.com/#/lm/network/82988</v>
      </c>
      <c r="I489" s="2" t="s">
        <v>4888</v>
      </c>
      <c r="J489" s="2">
        <v>943702</v>
      </c>
      <c r="K489" s="2"/>
      <c r="L489" s="2">
        <v>71396710</v>
      </c>
      <c r="M489" s="2"/>
      <c r="N489" s="2"/>
      <c r="O489" s="2"/>
      <c r="P489" s="2"/>
      <c r="Q489" s="2"/>
      <c r="R489" s="2"/>
      <c r="S489" s="2"/>
      <c r="T489" s="2" t="s">
        <v>4889</v>
      </c>
      <c r="U489" s="2" t="s">
        <v>4890</v>
      </c>
      <c r="V489" s="2" t="s">
        <v>553</v>
      </c>
      <c r="W489" s="2" t="s">
        <v>4891</v>
      </c>
      <c r="X489" s="2" t="s">
        <v>4892</v>
      </c>
      <c r="Y489" s="2" t="s">
        <v>556</v>
      </c>
      <c r="Z489" s="2" t="s">
        <v>4893</v>
      </c>
      <c r="AA489" s="2" t="s">
        <v>4894</v>
      </c>
      <c r="AB489" s="2" t="s">
        <v>101</v>
      </c>
      <c r="AC489" s="2">
        <v>62.35</v>
      </c>
      <c r="AD489" s="2">
        <v>85.2</v>
      </c>
      <c r="AE489" s="2">
        <v>57.81</v>
      </c>
      <c r="AF489" s="2" t="s">
        <v>4895</v>
      </c>
      <c r="AG489" s="2" t="s">
        <v>3880</v>
      </c>
      <c r="AH489" s="2" t="s">
        <v>4896</v>
      </c>
      <c r="AI489" s="2">
        <v>4.55</v>
      </c>
      <c r="AJ489" s="2">
        <v>17.3832559959199</v>
      </c>
      <c r="AK489" s="2">
        <v>17.882631766323001</v>
      </c>
      <c r="AL489" s="2">
        <v>18.091809524435401</v>
      </c>
      <c r="AM489" s="2">
        <v>17.280898696369199</v>
      </c>
      <c r="AN489" s="2">
        <v>18.028708727913099</v>
      </c>
      <c r="AO489" s="2">
        <v>17.927545984195099</v>
      </c>
      <c r="AP489" s="2">
        <v>17.709163259854499</v>
      </c>
      <c r="AQ489" s="2">
        <v>17.698393221094399</v>
      </c>
      <c r="AR489" s="2">
        <v>17.940950084913499</v>
      </c>
      <c r="AS489" s="2">
        <v>16.878317871891799</v>
      </c>
      <c r="AT489" s="2">
        <v>17.2139522905095</v>
      </c>
      <c r="AU489" s="2">
        <v>18.4145226839996</v>
      </c>
      <c r="AV489" s="2">
        <v>17.546052049195701</v>
      </c>
      <c r="AW489" s="2">
        <v>16.943330395188799</v>
      </c>
      <c r="AX489" s="2">
        <v>15.3850265167902</v>
      </c>
      <c r="AY489" s="2">
        <v>17.6108286935664</v>
      </c>
      <c r="AZ489" s="2">
        <v>17.2718825310182</v>
      </c>
      <c r="BA489" s="2">
        <v>15.5592985121783</v>
      </c>
      <c r="BB489" s="2">
        <v>18.570115078792501</v>
      </c>
      <c r="BC489" s="2">
        <v>17.663330650017802</v>
      </c>
      <c r="BD489" s="2">
        <v>15.864476840861499</v>
      </c>
      <c r="BE489" s="2">
        <v>16.598892857917502</v>
      </c>
      <c r="BF489" s="2">
        <v>16.944004058229101</v>
      </c>
      <c r="BG489" s="2">
        <v>18.0289607608659</v>
      </c>
      <c r="BH489" s="2">
        <v>14.7956160897117</v>
      </c>
      <c r="BI489" s="2">
        <v>17.692244292311901</v>
      </c>
      <c r="BJ489" s="2">
        <v>17.889722000555299</v>
      </c>
      <c r="BK489" s="2">
        <v>15.6126220388695</v>
      </c>
      <c r="BL489" s="2">
        <v>16.741132107668001</v>
      </c>
      <c r="BM489" s="2">
        <v>16.955471807056199</v>
      </c>
      <c r="BN489" s="2">
        <v>18.623944022299899</v>
      </c>
      <c r="BO489" s="2">
        <v>18.512072878305901</v>
      </c>
      <c r="BP489" s="2">
        <v>17.6933594038107</v>
      </c>
      <c r="BQ489" s="2">
        <v>17.66184196567</v>
      </c>
      <c r="BR489" s="2">
        <v>17.661345280001701</v>
      </c>
      <c r="BS489" s="2">
        <v>18.189498742282701</v>
      </c>
      <c r="BT489" s="2">
        <v>14.303917706395101</v>
      </c>
      <c r="BU489" s="2">
        <v>16.662234572851201</v>
      </c>
      <c r="BV489" s="2">
        <v>19.0589948256162</v>
      </c>
      <c r="BW489" s="2">
        <v>16.490364549404799</v>
      </c>
      <c r="BX489" s="2">
        <v>16.936610221141901</v>
      </c>
      <c r="BY489" s="2">
        <v>18.442729799605001</v>
      </c>
      <c r="BZ489" s="2">
        <v>15.8218013809601</v>
      </c>
      <c r="CA489" s="2">
        <v>16.5510147110509</v>
      </c>
      <c r="CB489" s="2">
        <v>18.238803369827099</v>
      </c>
      <c r="CC489" s="2">
        <v>16.414805455384901</v>
      </c>
      <c r="CD489" s="2">
        <v>17.617365728059699</v>
      </c>
      <c r="CE489" s="2">
        <v>15.5542677707405</v>
      </c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</row>
    <row r="490" spans="1:97">
      <c r="A490" s="2" t="s">
        <v>4897</v>
      </c>
      <c r="B490" s="2">
        <v>185.11788999999999</v>
      </c>
      <c r="C490" s="2">
        <v>6.6920000000000002</v>
      </c>
      <c r="D490" s="2" t="s">
        <v>146</v>
      </c>
      <c r="E490" s="2" t="s">
        <v>4898</v>
      </c>
      <c r="F490" s="2" t="s">
        <v>4899</v>
      </c>
      <c r="G490" s="2">
        <v>1860</v>
      </c>
      <c r="H490" s="3" t="str">
        <f>HYPERLINK("https://cloud.oebiotech.com/#/lm/network/1860", "https://cloud.oebiotech.com/#/lm/network/1860")</f>
        <v>https://cloud.oebiotech.com/#/lm/network/1860</v>
      </c>
      <c r="I490" s="2"/>
      <c r="J490" s="2">
        <v>45834</v>
      </c>
      <c r="K490" s="2" t="s">
        <v>4900</v>
      </c>
      <c r="L490" s="2">
        <v>4488499</v>
      </c>
      <c r="M490" s="2"/>
      <c r="N490" s="2"/>
      <c r="O490" s="2"/>
      <c r="P490" s="2">
        <v>50452</v>
      </c>
      <c r="Q490" s="2"/>
      <c r="R490" s="2"/>
      <c r="S490" s="2"/>
      <c r="T490" s="2" t="s">
        <v>4901</v>
      </c>
      <c r="U490" s="2" t="s">
        <v>4902</v>
      </c>
      <c r="V490" s="2" t="s">
        <v>115</v>
      </c>
      <c r="W490" s="2" t="s">
        <v>832</v>
      </c>
      <c r="X490" s="2" t="s">
        <v>4084</v>
      </c>
      <c r="Y490" s="2" t="s">
        <v>118</v>
      </c>
      <c r="Z490" s="2" t="s">
        <v>834</v>
      </c>
      <c r="AA490" s="2" t="s">
        <v>4085</v>
      </c>
      <c r="AB490" s="2" t="s">
        <v>3086</v>
      </c>
      <c r="AC490" s="2">
        <v>62.3</v>
      </c>
      <c r="AD490" s="2">
        <v>93.69</v>
      </c>
      <c r="AE490" s="2">
        <v>42.3</v>
      </c>
      <c r="AF490" s="2" t="s">
        <v>4903</v>
      </c>
      <c r="AG490" s="2" t="s">
        <v>194</v>
      </c>
      <c r="AH490" s="2" t="s">
        <v>2034</v>
      </c>
      <c r="AI490" s="2">
        <v>2.16</v>
      </c>
      <c r="AJ490" s="2">
        <v>19.618189052033099</v>
      </c>
      <c r="AK490" s="2">
        <v>19.642313996186001</v>
      </c>
      <c r="AL490" s="2">
        <v>19.0179118251076</v>
      </c>
      <c r="AM490" s="2">
        <v>19.7106165415858</v>
      </c>
      <c r="AN490" s="2">
        <v>19.370302424229699</v>
      </c>
      <c r="AO490" s="2">
        <v>19.674606992322101</v>
      </c>
      <c r="AP490" s="2">
        <v>19.0092367655961</v>
      </c>
      <c r="AQ490" s="2">
        <v>18.9452535533323</v>
      </c>
      <c r="AR490" s="2">
        <v>18.779209438934</v>
      </c>
      <c r="AS490" s="2">
        <v>19.9165133093062</v>
      </c>
      <c r="AT490" s="2">
        <v>19.301882815381699</v>
      </c>
      <c r="AU490" s="2">
        <v>19.128421706634999</v>
      </c>
      <c r="AV490" s="2">
        <v>20.056094181202202</v>
      </c>
      <c r="AW490" s="2">
        <v>19.361899986392402</v>
      </c>
      <c r="AX490" s="2">
        <v>19.412384271793101</v>
      </c>
      <c r="AY490" s="2">
        <v>19.781350043439399</v>
      </c>
      <c r="AZ490" s="2">
        <v>20.470047534063401</v>
      </c>
      <c r="BA490" s="2">
        <v>19.273009962143998</v>
      </c>
      <c r="BB490" s="2">
        <v>19.149382326769299</v>
      </c>
      <c r="BC490" s="2">
        <v>19.9588878063241</v>
      </c>
      <c r="BD490" s="2">
        <v>19.046988743674</v>
      </c>
      <c r="BE490" s="2">
        <v>19.6496432785992</v>
      </c>
      <c r="BF490" s="2">
        <v>19.217109824735399</v>
      </c>
      <c r="BG490" s="2">
        <v>18.876153978933299</v>
      </c>
      <c r="BH490" s="2">
        <v>19.374221199146401</v>
      </c>
      <c r="BI490" s="2">
        <v>19.500953263461199</v>
      </c>
      <c r="BJ490" s="2">
        <v>19.450381766643002</v>
      </c>
      <c r="BK490" s="2">
        <v>19.340904843596601</v>
      </c>
      <c r="BL490" s="2">
        <v>19.0221545142205</v>
      </c>
      <c r="BM490" s="2">
        <v>19.570833726608601</v>
      </c>
      <c r="BN490" s="2">
        <v>19.505392743210301</v>
      </c>
      <c r="BO490" s="2">
        <v>19.210414845037398</v>
      </c>
      <c r="BP490" s="2">
        <v>19.5792302602846</v>
      </c>
      <c r="BQ490" s="2">
        <v>19.009521609705001</v>
      </c>
      <c r="BR490" s="2">
        <v>19.1969731063928</v>
      </c>
      <c r="BS490" s="2">
        <v>19.1964686157316</v>
      </c>
      <c r="BT490" s="2">
        <v>21.0285210771865</v>
      </c>
      <c r="BU490" s="2">
        <v>19.413048559805599</v>
      </c>
      <c r="BV490" s="2">
        <v>20.709962345593901</v>
      </c>
      <c r="BW490" s="2">
        <v>18.7648933553678</v>
      </c>
      <c r="BX490" s="2">
        <v>18.8437156679914</v>
      </c>
      <c r="BY490" s="2">
        <v>19.8907603289638</v>
      </c>
      <c r="BZ490" s="2">
        <v>19.287910150466399</v>
      </c>
      <c r="CA490" s="2">
        <v>19.266529831472599</v>
      </c>
      <c r="CB490" s="2">
        <v>19.4255126499033</v>
      </c>
      <c r="CC490" s="2">
        <v>19.076471188687499</v>
      </c>
      <c r="CD490" s="2">
        <v>18.7825246765413</v>
      </c>
      <c r="CE490" s="2">
        <v>19.492180095973598</v>
      </c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</row>
    <row r="491" spans="1:97">
      <c r="A491" s="2" t="s">
        <v>4904</v>
      </c>
      <c r="B491" s="2">
        <v>429.30058000000002</v>
      </c>
      <c r="C491" s="2">
        <v>10.047000000000001</v>
      </c>
      <c r="D491" s="2" t="s">
        <v>84</v>
      </c>
      <c r="E491" s="2" t="s">
        <v>4905</v>
      </c>
      <c r="F491" s="2" t="s">
        <v>4906</v>
      </c>
      <c r="G491" s="2">
        <v>43668</v>
      </c>
      <c r="H491" s="3" t="str">
        <f>HYPERLINK("https://cloud.oebiotech.com/#/lm/network/43668", "https://cloud.oebiotech.com/#/lm/network/43668")</f>
        <v>https://cloud.oebiotech.com/#/lm/network/43668</v>
      </c>
      <c r="I491" s="2"/>
      <c r="J491" s="2">
        <v>83943</v>
      </c>
      <c r="K491" s="2" t="s">
        <v>4907</v>
      </c>
      <c r="L491" s="2">
        <v>52931346</v>
      </c>
      <c r="M491" s="2"/>
      <c r="N491" s="2"/>
      <c r="O491" s="2"/>
      <c r="P491" s="2"/>
      <c r="Q491" s="2"/>
      <c r="R491" s="2"/>
      <c r="S491" s="2"/>
      <c r="T491" s="2" t="s">
        <v>4908</v>
      </c>
      <c r="U491" s="2" t="s">
        <v>4909</v>
      </c>
      <c r="V491" s="2" t="s">
        <v>95</v>
      </c>
      <c r="W491" s="2" t="s">
        <v>152</v>
      </c>
      <c r="X491" s="2" t="s">
        <v>1420</v>
      </c>
      <c r="Y491" s="2" t="s">
        <v>98</v>
      </c>
      <c r="Z491" s="2" t="s">
        <v>154</v>
      </c>
      <c r="AA491" s="2" t="s">
        <v>1421</v>
      </c>
      <c r="AB491" s="2" t="s">
        <v>101</v>
      </c>
      <c r="AC491" s="2">
        <v>62.28</v>
      </c>
      <c r="AD491" s="2">
        <v>82.33</v>
      </c>
      <c r="AE491" s="2">
        <v>50.79</v>
      </c>
      <c r="AF491" s="2" t="s">
        <v>4910</v>
      </c>
      <c r="AG491" s="2" t="s">
        <v>103</v>
      </c>
      <c r="AH491" s="2" t="s">
        <v>4911</v>
      </c>
      <c r="AI491" s="2">
        <v>-1.63</v>
      </c>
      <c r="AJ491" s="2">
        <v>21.332800317543501</v>
      </c>
      <c r="AK491" s="2">
        <v>21.427211538185698</v>
      </c>
      <c r="AL491" s="2">
        <v>21.297392969652101</v>
      </c>
      <c r="AM491" s="2">
        <v>21.300448268387399</v>
      </c>
      <c r="AN491" s="2">
        <v>21.366820354762499</v>
      </c>
      <c r="AO491" s="2">
        <v>21.253729265608101</v>
      </c>
      <c r="AP491" s="2">
        <v>20.270594548795</v>
      </c>
      <c r="AQ491" s="2">
        <v>21.705574111624198</v>
      </c>
      <c r="AR491" s="2">
        <v>21.896824848254099</v>
      </c>
      <c r="AS491" s="2">
        <v>18.918931787646301</v>
      </c>
      <c r="AT491" s="2">
        <v>22.433236886699699</v>
      </c>
      <c r="AU491" s="2">
        <v>20.428994960268</v>
      </c>
      <c r="AV491" s="2">
        <v>20.829442410030001</v>
      </c>
      <c r="AW491" s="2">
        <v>22.338695026674401</v>
      </c>
      <c r="AX491" s="2">
        <v>20.647836798640299</v>
      </c>
      <c r="AY491" s="2">
        <v>20.172326014304002</v>
      </c>
      <c r="AZ491" s="2">
        <v>19.947394975193099</v>
      </c>
      <c r="BA491" s="2">
        <v>20.848120025591999</v>
      </c>
      <c r="BB491" s="2">
        <v>21.746335460780301</v>
      </c>
      <c r="BC491" s="2">
        <v>21.654760331652501</v>
      </c>
      <c r="BD491" s="2">
        <v>21.043377999131799</v>
      </c>
      <c r="BE491" s="2">
        <v>18.936056758816601</v>
      </c>
      <c r="BF491" s="2">
        <v>20.541344094008799</v>
      </c>
      <c r="BG491" s="2">
        <v>18.500479783564501</v>
      </c>
      <c r="BH491" s="2">
        <v>20.998766811524501</v>
      </c>
      <c r="BI491" s="2">
        <v>21.513286824208802</v>
      </c>
      <c r="BJ491" s="2">
        <v>21.056812313297701</v>
      </c>
      <c r="BK491" s="2">
        <v>20.046864870320999</v>
      </c>
      <c r="BL491" s="2">
        <v>21.995801934385899</v>
      </c>
      <c r="BM491" s="2">
        <v>21.853407926274901</v>
      </c>
      <c r="BN491" s="2">
        <v>21.838806000986601</v>
      </c>
      <c r="BO491" s="2">
        <v>19.1524314922755</v>
      </c>
      <c r="BP491" s="2">
        <v>20.084944456544001</v>
      </c>
      <c r="BQ491" s="2">
        <v>22.903057241422001</v>
      </c>
      <c r="BR491" s="2">
        <v>18.936235115070001</v>
      </c>
      <c r="BS491" s="2">
        <v>17.675001915191199</v>
      </c>
      <c r="BT491" s="2">
        <v>19.318594111067199</v>
      </c>
      <c r="BU491" s="2">
        <v>20.819321814659101</v>
      </c>
      <c r="BV491" s="2">
        <v>22.867487660330902</v>
      </c>
      <c r="BW491" s="2">
        <v>19.8343702489117</v>
      </c>
      <c r="BX491" s="2">
        <v>21.5603188386292</v>
      </c>
      <c r="BY491" s="2">
        <v>20.672213009920199</v>
      </c>
      <c r="BZ491" s="2">
        <v>20.2856431649559</v>
      </c>
      <c r="CA491" s="2">
        <v>17.7747668590529</v>
      </c>
      <c r="CB491" s="2">
        <v>19.471228172401698</v>
      </c>
      <c r="CC491" s="2">
        <v>21.654999787953798</v>
      </c>
      <c r="CD491" s="2">
        <v>22.175607984853901</v>
      </c>
      <c r="CE491" s="2">
        <v>20.2451302583756</v>
      </c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</row>
    <row r="492" spans="1:97">
      <c r="A492" s="2" t="s">
        <v>4912</v>
      </c>
      <c r="B492" s="2">
        <v>431.31592999999998</v>
      </c>
      <c r="C492" s="2">
        <v>9.6690000000000005</v>
      </c>
      <c r="D492" s="2" t="s">
        <v>146</v>
      </c>
      <c r="E492" s="2" t="s">
        <v>4913</v>
      </c>
      <c r="F492" s="2" t="s">
        <v>4914</v>
      </c>
      <c r="G492" s="2">
        <v>46419</v>
      </c>
      <c r="H492" s="3" t="str">
        <f>HYPERLINK("https://cloud.oebiotech.com/#/lm/network/46419", "https://cloud.oebiotech.com/#/lm/network/46419")</f>
        <v>https://cloud.oebiotech.com/#/lm/network/46419</v>
      </c>
      <c r="I492" s="2"/>
      <c r="J492" s="2">
        <v>84839</v>
      </c>
      <c r="K492" s="2" t="s">
        <v>4915</v>
      </c>
      <c r="L492" s="2">
        <v>5284265</v>
      </c>
      <c r="M492" s="2"/>
      <c r="N492" s="2"/>
      <c r="O492" s="2"/>
      <c r="P492" s="2"/>
      <c r="Q492" s="2"/>
      <c r="R492" s="2"/>
      <c r="S492" s="2"/>
      <c r="T492" s="2" t="s">
        <v>4916</v>
      </c>
      <c r="U492" s="2" t="s">
        <v>4917</v>
      </c>
      <c r="V492" s="2" t="s">
        <v>95</v>
      </c>
      <c r="W492" s="2" t="s">
        <v>152</v>
      </c>
      <c r="X492" s="2" t="s">
        <v>1420</v>
      </c>
      <c r="Y492" s="2" t="s">
        <v>98</v>
      </c>
      <c r="Z492" s="2" t="s">
        <v>154</v>
      </c>
      <c r="AA492" s="2" t="s">
        <v>1421</v>
      </c>
      <c r="AB492" s="2" t="s">
        <v>101</v>
      </c>
      <c r="AC492" s="2">
        <v>62.22</v>
      </c>
      <c r="AD492" s="2">
        <v>82.2</v>
      </c>
      <c r="AE492" s="2">
        <v>53.65</v>
      </c>
      <c r="AF492" s="2" t="s">
        <v>4918</v>
      </c>
      <c r="AG492" s="2" t="s">
        <v>194</v>
      </c>
      <c r="AH492" s="2" t="s">
        <v>1709</v>
      </c>
      <c r="AI492" s="2">
        <v>1.85</v>
      </c>
      <c r="AJ492" s="2">
        <v>18.975967333278799</v>
      </c>
      <c r="AK492" s="2">
        <v>18.937890983272801</v>
      </c>
      <c r="AL492" s="2">
        <v>18.831936293801199</v>
      </c>
      <c r="AM492" s="2">
        <v>18.7355648820742</v>
      </c>
      <c r="AN492" s="2">
        <v>18.749339616721802</v>
      </c>
      <c r="AO492" s="2">
        <v>18.849951842044302</v>
      </c>
      <c r="AP492" s="2">
        <v>18.018805069611499</v>
      </c>
      <c r="AQ492" s="2">
        <v>18.489704282604801</v>
      </c>
      <c r="AR492" s="2">
        <v>17.760388079044599</v>
      </c>
      <c r="AS492" s="2">
        <v>16.724840756612</v>
      </c>
      <c r="AT492" s="2">
        <v>18.4413731146768</v>
      </c>
      <c r="AU492" s="2">
        <v>17.379366266713699</v>
      </c>
      <c r="AV492" s="2">
        <v>19.080733538631801</v>
      </c>
      <c r="AW492" s="2">
        <v>18.476060207060399</v>
      </c>
      <c r="AX492" s="2">
        <v>17.975067961354299</v>
      </c>
      <c r="AY492" s="2">
        <v>17.761644137746298</v>
      </c>
      <c r="AZ492" s="2">
        <v>18.8824753170002</v>
      </c>
      <c r="BA492" s="2">
        <v>18.329598752817802</v>
      </c>
      <c r="BB492" s="2">
        <v>17.607055230433399</v>
      </c>
      <c r="BC492" s="2">
        <v>19.2934757576033</v>
      </c>
      <c r="BD492" s="2">
        <v>17.802157426353499</v>
      </c>
      <c r="BE492" s="2">
        <v>20.390996305794999</v>
      </c>
      <c r="BF492" s="2">
        <v>19.000592104176999</v>
      </c>
      <c r="BG492" s="2">
        <v>18.730609244087599</v>
      </c>
      <c r="BH492" s="2">
        <v>19.398995473684</v>
      </c>
      <c r="BI492" s="2">
        <v>18.287091255815699</v>
      </c>
      <c r="BJ492" s="2">
        <v>19.5531618031061</v>
      </c>
      <c r="BK492" s="2">
        <v>18.2079308272933</v>
      </c>
      <c r="BL492" s="2">
        <v>18.101508395183401</v>
      </c>
      <c r="BM492" s="2">
        <v>17.6785381779119</v>
      </c>
      <c r="BN492" s="2">
        <v>18.518519541001901</v>
      </c>
      <c r="BO492" s="2">
        <v>18.173402701487198</v>
      </c>
      <c r="BP492" s="2">
        <v>18.382257269643301</v>
      </c>
      <c r="BQ492" s="2">
        <v>18.4934443332615</v>
      </c>
      <c r="BR492" s="2">
        <v>18.184524532246201</v>
      </c>
      <c r="BS492" s="2">
        <v>17.214518912032101</v>
      </c>
      <c r="BT492" s="2">
        <v>18.772793659200602</v>
      </c>
      <c r="BU492" s="2">
        <v>18.5470507845673</v>
      </c>
      <c r="BV492" s="2">
        <v>17.549092072470501</v>
      </c>
      <c r="BW492" s="2">
        <v>18.8742515753571</v>
      </c>
      <c r="BX492" s="2">
        <v>18.1902246837405</v>
      </c>
      <c r="BY492" s="2">
        <v>19.4604842736513</v>
      </c>
      <c r="BZ492" s="2">
        <v>18.9308555286722</v>
      </c>
      <c r="CA492" s="2">
        <v>18.2931096723424</v>
      </c>
      <c r="CB492" s="2">
        <v>18.177133304611601</v>
      </c>
      <c r="CC492" s="2">
        <v>18.268646117882099</v>
      </c>
      <c r="CD492" s="2">
        <v>18.7303830973358</v>
      </c>
      <c r="CE492" s="2">
        <v>18.334814953800599</v>
      </c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</row>
    <row r="493" spans="1:97">
      <c r="A493" s="2" t="s">
        <v>4919</v>
      </c>
      <c r="B493" s="2">
        <v>437.19281000000001</v>
      </c>
      <c r="C493" s="2">
        <v>10.154</v>
      </c>
      <c r="D493" s="2" t="s">
        <v>84</v>
      </c>
      <c r="E493" s="2" t="s">
        <v>4920</v>
      </c>
      <c r="F493" s="2" t="s">
        <v>4921</v>
      </c>
      <c r="G493" s="2">
        <v>60688</v>
      </c>
      <c r="H493" s="3" t="str">
        <f>HYPERLINK("https://cloud.oebiotech.com/#/lm/network/60688", "https://cloud.oebiotech.com/#/lm/network/60688")</f>
        <v>https://cloud.oebiotech.com/#/lm/network/60688</v>
      </c>
      <c r="I493" s="2" t="s">
        <v>4922</v>
      </c>
      <c r="J493" s="2"/>
      <c r="K493" s="2"/>
      <c r="L493" s="2">
        <v>78173000</v>
      </c>
      <c r="M493" s="2"/>
      <c r="N493" s="2"/>
      <c r="O493" s="2"/>
      <c r="P493" s="2"/>
      <c r="Q493" s="2"/>
      <c r="R493" s="2"/>
      <c r="S493" s="2" t="s">
        <v>4923</v>
      </c>
      <c r="T493" s="2" t="s">
        <v>4924</v>
      </c>
      <c r="U493" s="2" t="s">
        <v>4925</v>
      </c>
      <c r="V493" s="2" t="s">
        <v>95</v>
      </c>
      <c r="W493" s="2" t="s">
        <v>180</v>
      </c>
      <c r="X493" s="2" t="s">
        <v>181</v>
      </c>
      <c r="Y493" s="2" t="s">
        <v>98</v>
      </c>
      <c r="Z493" s="2" t="s">
        <v>182</v>
      </c>
      <c r="AA493" s="2" t="s">
        <v>183</v>
      </c>
      <c r="AB493" s="2" t="s">
        <v>101</v>
      </c>
      <c r="AC493" s="2">
        <v>62.18</v>
      </c>
      <c r="AD493" s="2">
        <v>75.55</v>
      </c>
      <c r="AE493" s="2">
        <v>63.1</v>
      </c>
      <c r="AF493" s="2" t="s">
        <v>4926</v>
      </c>
      <c r="AG493" s="2" t="s">
        <v>1578</v>
      </c>
      <c r="AH493" s="2" t="s">
        <v>185</v>
      </c>
      <c r="AI493" s="2">
        <v>1.6</v>
      </c>
      <c r="AJ493" s="2">
        <v>20.404803873830499</v>
      </c>
      <c r="AK493" s="2">
        <v>20.136786021358098</v>
      </c>
      <c r="AL493" s="2">
        <v>20.048118641866601</v>
      </c>
      <c r="AM493" s="2">
        <v>19.9959869942141</v>
      </c>
      <c r="AN493" s="2">
        <v>20.120131011022899</v>
      </c>
      <c r="AO493" s="2">
        <v>20.1283179372025</v>
      </c>
      <c r="AP493" s="2">
        <v>19.642142341666101</v>
      </c>
      <c r="AQ493" s="2">
        <v>20.074343135716401</v>
      </c>
      <c r="AR493" s="2">
        <v>17.5443541277285</v>
      </c>
      <c r="AS493" s="2">
        <v>18.208158088533999</v>
      </c>
      <c r="AT493" s="2">
        <v>17.790486657614501</v>
      </c>
      <c r="AU493" s="2">
        <v>16.316155997672201</v>
      </c>
      <c r="AV493" s="2">
        <v>15.874629369329</v>
      </c>
      <c r="AW493" s="2">
        <v>16.650485924699002</v>
      </c>
      <c r="AX493" s="2">
        <v>16.2343019571877</v>
      </c>
      <c r="AY493" s="2">
        <v>9.6233145402724691</v>
      </c>
      <c r="AZ493" s="2">
        <v>9.6233145402724691</v>
      </c>
      <c r="BA493" s="2">
        <v>15.5981598256997</v>
      </c>
      <c r="BB493" s="2">
        <v>17.169444727603501</v>
      </c>
      <c r="BC493" s="2">
        <v>16.374391539716399</v>
      </c>
      <c r="BD493" s="2">
        <v>18.566635465797201</v>
      </c>
      <c r="BE493" s="2">
        <v>23.016883758127499</v>
      </c>
      <c r="BF493" s="2">
        <v>19.043728322431399</v>
      </c>
      <c r="BG493" s="2">
        <v>18.600975539219501</v>
      </c>
      <c r="BH493" s="2">
        <v>17.184035191700598</v>
      </c>
      <c r="BI493" s="2">
        <v>9.6233145402724691</v>
      </c>
      <c r="BJ493" s="2">
        <v>9.6233145402724691</v>
      </c>
      <c r="BK493" s="2">
        <v>17.044164837634799</v>
      </c>
      <c r="BL493" s="2">
        <v>9.6233145402724691</v>
      </c>
      <c r="BM493" s="2">
        <v>9.6233145402724691</v>
      </c>
      <c r="BN493" s="2">
        <v>15.101981824378299</v>
      </c>
      <c r="BO493" s="2">
        <v>9.6233145402724691</v>
      </c>
      <c r="BP493" s="2">
        <v>14.966774445111501</v>
      </c>
      <c r="BQ493" s="2">
        <v>9.6233145402724691</v>
      </c>
      <c r="BR493" s="2">
        <v>9.6233145402724691</v>
      </c>
      <c r="BS493" s="2">
        <v>9.6233145402724691</v>
      </c>
      <c r="BT493" s="2">
        <v>16.3485426539313</v>
      </c>
      <c r="BU493" s="2">
        <v>14.4124004816137</v>
      </c>
      <c r="BV493" s="2">
        <v>15.118406612208901</v>
      </c>
      <c r="BW493" s="2">
        <v>9.6233145402724691</v>
      </c>
      <c r="BX493" s="2">
        <v>9.6233145402724691</v>
      </c>
      <c r="BY493" s="2">
        <v>22.866650394686101</v>
      </c>
      <c r="BZ493" s="2">
        <v>17.239691566058099</v>
      </c>
      <c r="CA493" s="2">
        <v>18.595452398518201</v>
      </c>
      <c r="CB493" s="2">
        <v>16.289849591130601</v>
      </c>
      <c r="CC493" s="2">
        <v>15.1635258561488</v>
      </c>
      <c r="CD493" s="2">
        <v>9.6233145402724691</v>
      </c>
      <c r="CE493" s="2">
        <v>15.591688298380101</v>
      </c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</row>
    <row r="494" spans="1:97">
      <c r="A494" s="2" t="s">
        <v>4927</v>
      </c>
      <c r="B494" s="2">
        <v>433.25887999999998</v>
      </c>
      <c r="C494" s="2">
        <v>9.3629999999999995</v>
      </c>
      <c r="D494" s="2" t="s">
        <v>146</v>
      </c>
      <c r="E494" s="2" t="s">
        <v>4928</v>
      </c>
      <c r="F494" s="2" t="s">
        <v>4929</v>
      </c>
      <c r="G494" s="2">
        <v>46224</v>
      </c>
      <c r="H494" s="3" t="str">
        <f>HYPERLINK("https://cloud.oebiotech.com/#/lm/network/46224", "https://cloud.oebiotech.com/#/lm/network/46224")</f>
        <v>https://cloud.oebiotech.com/#/lm/network/46224</v>
      </c>
      <c r="I494" s="2"/>
      <c r="J494" s="2">
        <v>84676</v>
      </c>
      <c r="K494" s="2" t="s">
        <v>4930</v>
      </c>
      <c r="L494" s="2">
        <v>5284114</v>
      </c>
      <c r="M494" s="2"/>
      <c r="N494" s="2"/>
      <c r="O494" s="2"/>
      <c r="P494" s="2"/>
      <c r="Q494" s="2"/>
      <c r="R494" s="2"/>
      <c r="S494" s="2"/>
      <c r="T494" s="2" t="s">
        <v>4931</v>
      </c>
      <c r="U494" s="2" t="s">
        <v>4932</v>
      </c>
      <c r="V494" s="2" t="s">
        <v>95</v>
      </c>
      <c r="W494" s="2" t="s">
        <v>152</v>
      </c>
      <c r="X494" s="2" t="s">
        <v>278</v>
      </c>
      <c r="Y494" s="2" t="s">
        <v>98</v>
      </c>
      <c r="Z494" s="2" t="s">
        <v>154</v>
      </c>
      <c r="AA494" s="2" t="s">
        <v>279</v>
      </c>
      <c r="AB494" s="2" t="s">
        <v>3086</v>
      </c>
      <c r="AC494" s="2">
        <v>62.17</v>
      </c>
      <c r="AD494" s="2">
        <v>82.89</v>
      </c>
      <c r="AE494" s="2">
        <v>42.23</v>
      </c>
      <c r="AF494" s="2" t="s">
        <v>4933</v>
      </c>
      <c r="AG494" s="2" t="s">
        <v>157</v>
      </c>
      <c r="AH494" s="2" t="s">
        <v>4934</v>
      </c>
      <c r="AI494" s="2">
        <v>1.62</v>
      </c>
      <c r="AJ494" s="2">
        <v>18.044753179451199</v>
      </c>
      <c r="AK494" s="2">
        <v>17.753522393558601</v>
      </c>
      <c r="AL494" s="2">
        <v>17.860813102453001</v>
      </c>
      <c r="AM494" s="2">
        <v>17.983990306587099</v>
      </c>
      <c r="AN494" s="2">
        <v>17.937229203181801</v>
      </c>
      <c r="AO494" s="2">
        <v>17.906048073095</v>
      </c>
      <c r="AP494" s="2">
        <v>18.009794235321198</v>
      </c>
      <c r="AQ494" s="2">
        <v>17.913723667447599</v>
      </c>
      <c r="AR494" s="2">
        <v>17.232900640202601</v>
      </c>
      <c r="AS494" s="2">
        <v>16.164661455989599</v>
      </c>
      <c r="AT494" s="2">
        <v>18.165131839343601</v>
      </c>
      <c r="AU494" s="2">
        <v>17.706134503088698</v>
      </c>
      <c r="AV494" s="2">
        <v>16.8335190539938</v>
      </c>
      <c r="AW494" s="2">
        <v>16.926013437789699</v>
      </c>
      <c r="AX494" s="2">
        <v>18.39645857615</v>
      </c>
      <c r="AY494" s="2">
        <v>16.9843354533824</v>
      </c>
      <c r="AZ494" s="2">
        <v>16.7369799030518</v>
      </c>
      <c r="BA494" s="2">
        <v>16.332861049649502</v>
      </c>
      <c r="BB494" s="2">
        <v>18.777576616868</v>
      </c>
      <c r="BC494" s="2">
        <v>19.620956785011799</v>
      </c>
      <c r="BD494" s="2">
        <v>16.288016034897002</v>
      </c>
      <c r="BE494" s="2">
        <v>18.338595857442101</v>
      </c>
      <c r="BF494" s="2">
        <v>15.661798135064</v>
      </c>
      <c r="BG494" s="2">
        <v>18.7577045032846</v>
      </c>
      <c r="BH494" s="2">
        <v>17.594564877559201</v>
      </c>
      <c r="BI494" s="2">
        <v>17.7695229814653</v>
      </c>
      <c r="BJ494" s="2">
        <v>18.468460495969499</v>
      </c>
      <c r="BK494" s="2">
        <v>17.583057271475301</v>
      </c>
      <c r="BL494" s="2">
        <v>16.599358042753099</v>
      </c>
      <c r="BM494" s="2">
        <v>17.157569773162798</v>
      </c>
      <c r="BN494" s="2">
        <v>18.528217452617501</v>
      </c>
      <c r="BO494" s="2">
        <v>18.036326837092801</v>
      </c>
      <c r="BP494" s="2">
        <v>17.421365166818902</v>
      </c>
      <c r="BQ494" s="2">
        <v>17.922648102221</v>
      </c>
      <c r="BR494" s="2">
        <v>19.600911604247301</v>
      </c>
      <c r="BS494" s="2">
        <v>17.286652420926</v>
      </c>
      <c r="BT494" s="2">
        <v>17.448328317980501</v>
      </c>
      <c r="BU494" s="2">
        <v>18.624766617660502</v>
      </c>
      <c r="BV494" s="2">
        <v>18.7253158268656</v>
      </c>
      <c r="BW494" s="2">
        <v>16.889215295708102</v>
      </c>
      <c r="BX494" s="2">
        <v>16.422726747680699</v>
      </c>
      <c r="BY494" s="2">
        <v>17.8680263695977</v>
      </c>
      <c r="BZ494" s="2">
        <v>16.454460116103601</v>
      </c>
      <c r="CA494" s="2">
        <v>15.9506912117056</v>
      </c>
      <c r="CB494" s="2">
        <v>17.543808573585501</v>
      </c>
      <c r="CC494" s="2">
        <v>18.068612770785101</v>
      </c>
      <c r="CD494" s="2">
        <v>18.0675346202923</v>
      </c>
      <c r="CE494" s="2">
        <v>17.2515511078679</v>
      </c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</row>
    <row r="495" spans="1:97">
      <c r="A495" s="2" t="s">
        <v>4935</v>
      </c>
      <c r="B495" s="2">
        <v>171.11254</v>
      </c>
      <c r="C495" s="2">
        <v>0.79500000000000004</v>
      </c>
      <c r="D495" s="2" t="s">
        <v>84</v>
      </c>
      <c r="E495" s="2" t="s">
        <v>4936</v>
      </c>
      <c r="F495" s="2" t="s">
        <v>4937</v>
      </c>
      <c r="G495" s="2">
        <v>46928</v>
      </c>
      <c r="H495" s="3" t="str">
        <f>HYPERLINK("https://cloud.oebiotech.com/#/lm/network/46928", "https://cloud.oebiotech.com/#/lm/network/46928")</f>
        <v>https://cloud.oebiotech.com/#/lm/network/46928</v>
      </c>
      <c r="I495" s="2" t="s">
        <v>4938</v>
      </c>
      <c r="J495" s="2">
        <v>5216</v>
      </c>
      <c r="K495" s="2"/>
      <c r="L495" s="2">
        <v>92832</v>
      </c>
      <c r="M495" s="2" t="s">
        <v>4939</v>
      </c>
      <c r="N495" s="2" t="s">
        <v>1030</v>
      </c>
      <c r="O495" s="2" t="s">
        <v>1031</v>
      </c>
      <c r="P495" s="2">
        <v>17752</v>
      </c>
      <c r="Q495" s="2"/>
      <c r="R495" s="2"/>
      <c r="S495" s="2" t="s">
        <v>4940</v>
      </c>
      <c r="T495" s="2" t="s">
        <v>4941</v>
      </c>
      <c r="U495" s="2" t="s">
        <v>4942</v>
      </c>
      <c r="V495" s="2" t="s">
        <v>115</v>
      </c>
      <c r="W495" s="2" t="s">
        <v>116</v>
      </c>
      <c r="X495" s="2" t="s">
        <v>117</v>
      </c>
      <c r="Y495" s="2" t="s">
        <v>118</v>
      </c>
      <c r="Z495" s="2" t="s">
        <v>119</v>
      </c>
      <c r="AA495" s="2" t="s">
        <v>120</v>
      </c>
      <c r="AB495" s="2" t="s">
        <v>101</v>
      </c>
      <c r="AC495" s="2">
        <v>62.14</v>
      </c>
      <c r="AD495" s="2">
        <v>98.53</v>
      </c>
      <c r="AE495" s="2">
        <v>47.29</v>
      </c>
      <c r="AF495" s="2" t="s">
        <v>4943</v>
      </c>
      <c r="AG495" s="2" t="s">
        <v>1088</v>
      </c>
      <c r="AH495" s="2" t="s">
        <v>4944</v>
      </c>
      <c r="AI495" s="2">
        <v>5.26</v>
      </c>
      <c r="AJ495" s="2">
        <v>24.444132936195199</v>
      </c>
      <c r="AK495" s="2">
        <v>24.288377832571399</v>
      </c>
      <c r="AL495" s="2">
        <v>24.4798111717841</v>
      </c>
      <c r="AM495" s="2">
        <v>24.570002094484799</v>
      </c>
      <c r="AN495" s="2">
        <v>24.634246237173301</v>
      </c>
      <c r="AO495" s="2">
        <v>24.7455168772719</v>
      </c>
      <c r="AP495" s="2">
        <v>24.677592467351701</v>
      </c>
      <c r="AQ495" s="2">
        <v>24.700106405838898</v>
      </c>
      <c r="AR495" s="2">
        <v>24.269896640525801</v>
      </c>
      <c r="AS495" s="2">
        <v>24.455209287480599</v>
      </c>
      <c r="AT495" s="2">
        <v>24.488559661974602</v>
      </c>
      <c r="AU495" s="2">
        <v>23.523896508763102</v>
      </c>
      <c r="AV495" s="2">
        <v>24.6285033026927</v>
      </c>
      <c r="AW495" s="2">
        <v>24.732385478380699</v>
      </c>
      <c r="AX495" s="2">
        <v>25.065125713394199</v>
      </c>
      <c r="AY495" s="2">
        <v>25.065621370679999</v>
      </c>
      <c r="AZ495" s="2">
        <v>25.4045055744878</v>
      </c>
      <c r="BA495" s="2">
        <v>24.062722667408899</v>
      </c>
      <c r="BB495" s="2">
        <v>25.218130573858499</v>
      </c>
      <c r="BC495" s="2">
        <v>22.380610242429899</v>
      </c>
      <c r="BD495" s="2">
        <v>24.131650530362499</v>
      </c>
      <c r="BE495" s="2">
        <v>24.779210008638401</v>
      </c>
      <c r="BF495" s="2">
        <v>24.5319353142871</v>
      </c>
      <c r="BG495" s="2">
        <v>25.418619846307099</v>
      </c>
      <c r="BH495" s="2">
        <v>25.352057096169698</v>
      </c>
      <c r="BI495" s="2">
        <v>24.6595162916548</v>
      </c>
      <c r="BJ495" s="2">
        <v>25.008173217396902</v>
      </c>
      <c r="BK495" s="2">
        <v>24.737610605378901</v>
      </c>
      <c r="BL495" s="2">
        <v>24.216309094204</v>
      </c>
      <c r="BM495" s="2">
        <v>24.327926453007901</v>
      </c>
      <c r="BN495" s="2">
        <v>24.966825164366899</v>
      </c>
      <c r="BO495" s="2">
        <v>24.784499193866299</v>
      </c>
      <c r="BP495" s="2">
        <v>25.130110184177799</v>
      </c>
      <c r="BQ495" s="2">
        <v>24.7245210432291</v>
      </c>
      <c r="BR495" s="2">
        <v>24.795267609612299</v>
      </c>
      <c r="BS495" s="2">
        <v>24.174503074113598</v>
      </c>
      <c r="BT495" s="2">
        <v>24.238256107314601</v>
      </c>
      <c r="BU495" s="2">
        <v>24.236437863905401</v>
      </c>
      <c r="BV495" s="2">
        <v>23.6932335002729</v>
      </c>
      <c r="BW495" s="2">
        <v>24.4089749050789</v>
      </c>
      <c r="BX495" s="2">
        <v>24.836194186018499</v>
      </c>
      <c r="BY495" s="2">
        <v>25.5579006409348</v>
      </c>
      <c r="BZ495" s="2">
        <v>24.5131837573296</v>
      </c>
      <c r="CA495" s="2">
        <v>24.730336772348501</v>
      </c>
      <c r="CB495" s="2">
        <v>25.355662652871601</v>
      </c>
      <c r="CC495" s="2">
        <v>24.750334470100299</v>
      </c>
      <c r="CD495" s="2">
        <v>25.712696773100699</v>
      </c>
      <c r="CE495" s="2">
        <v>24.896523067136499</v>
      </c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</row>
    <row r="496" spans="1:97">
      <c r="A496" s="2" t="s">
        <v>4945</v>
      </c>
      <c r="B496" s="2">
        <v>314.23208</v>
      </c>
      <c r="C496" s="2">
        <v>6.2190000000000003</v>
      </c>
      <c r="D496" s="2" t="s">
        <v>84</v>
      </c>
      <c r="E496" s="2" t="s">
        <v>4946</v>
      </c>
      <c r="F496" s="2" t="s">
        <v>4947</v>
      </c>
      <c r="G496" s="2">
        <v>197613</v>
      </c>
      <c r="H496" s="3" t="str">
        <f>HYPERLINK("https://cloud.oebiotech.com/#/lm/network/197613", "https://cloud.oebiotech.com/#/lm/network/197613")</f>
        <v>https://cloud.oebiotech.com/#/lm/network/197613</v>
      </c>
      <c r="I496" s="2" t="s">
        <v>4948</v>
      </c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 t="s">
        <v>4949</v>
      </c>
      <c r="U496" s="2" t="s">
        <v>4950</v>
      </c>
      <c r="V496" s="2" t="s">
        <v>95</v>
      </c>
      <c r="W496" s="2" t="s">
        <v>96</v>
      </c>
      <c r="X496" s="2" t="s">
        <v>97</v>
      </c>
      <c r="Y496" s="2" t="s">
        <v>98</v>
      </c>
      <c r="Z496" s="2" t="s">
        <v>99</v>
      </c>
      <c r="AA496" s="2" t="s">
        <v>100</v>
      </c>
      <c r="AB496" s="2" t="s">
        <v>101</v>
      </c>
      <c r="AC496" s="2">
        <v>62.11</v>
      </c>
      <c r="AD496" s="2">
        <v>88.88</v>
      </c>
      <c r="AE496" s="2">
        <v>45.32</v>
      </c>
      <c r="AF496" s="2" t="s">
        <v>4951</v>
      </c>
      <c r="AG496" s="2" t="s">
        <v>1088</v>
      </c>
      <c r="AH496" s="2" t="s">
        <v>4952</v>
      </c>
      <c r="AI496" s="2">
        <v>3.5</v>
      </c>
      <c r="AJ496" s="2">
        <v>18.6658884678303</v>
      </c>
      <c r="AK496" s="2">
        <v>18.98992266802</v>
      </c>
      <c r="AL496" s="2">
        <v>18.6223710710916</v>
      </c>
      <c r="AM496" s="2">
        <v>18.592086482950201</v>
      </c>
      <c r="AN496" s="2">
        <v>19.1269035928348</v>
      </c>
      <c r="AO496" s="2">
        <v>18.950833916192501</v>
      </c>
      <c r="AP496" s="2">
        <v>18.977072210287101</v>
      </c>
      <c r="AQ496" s="2">
        <v>18.863922181907402</v>
      </c>
      <c r="AR496" s="2">
        <v>18.967486083361798</v>
      </c>
      <c r="AS496" s="2">
        <v>19.4197256673691</v>
      </c>
      <c r="AT496" s="2">
        <v>17.630539169132799</v>
      </c>
      <c r="AU496" s="2">
        <v>17.4032142058076</v>
      </c>
      <c r="AV496" s="2">
        <v>19.246202340006199</v>
      </c>
      <c r="AW496" s="2">
        <v>18.506014286884799</v>
      </c>
      <c r="AX496" s="2">
        <v>19.732639742043499</v>
      </c>
      <c r="AY496" s="2">
        <v>18.614192993799399</v>
      </c>
      <c r="AZ496" s="2">
        <v>20.864736418193601</v>
      </c>
      <c r="BA496" s="2">
        <v>16.962691124118901</v>
      </c>
      <c r="BB496" s="2">
        <v>17.715023145028599</v>
      </c>
      <c r="BC496" s="2">
        <v>18.049610083131501</v>
      </c>
      <c r="BD496" s="2">
        <v>17.328680711839102</v>
      </c>
      <c r="BE496" s="2">
        <v>19.032943364237401</v>
      </c>
      <c r="BF496" s="2">
        <v>17.601357965037401</v>
      </c>
      <c r="BG496" s="2">
        <v>18.326826114042099</v>
      </c>
      <c r="BH496" s="2">
        <v>16.712247682301498</v>
      </c>
      <c r="BI496" s="2">
        <v>19.089686357409899</v>
      </c>
      <c r="BJ496" s="2">
        <v>18.197639439737301</v>
      </c>
      <c r="BK496" s="2">
        <v>16.916970834735899</v>
      </c>
      <c r="BL496" s="2">
        <v>17.700565970107899</v>
      </c>
      <c r="BM496" s="2">
        <v>18.226611257121402</v>
      </c>
      <c r="BN496" s="2">
        <v>17.9351918166719</v>
      </c>
      <c r="BO496" s="2">
        <v>18.197330263240101</v>
      </c>
      <c r="BP496" s="2">
        <v>19.1915413355376</v>
      </c>
      <c r="BQ496" s="2">
        <v>18.730856246849399</v>
      </c>
      <c r="BR496" s="2">
        <v>18.727485463169501</v>
      </c>
      <c r="BS496" s="2">
        <v>18.003360119689798</v>
      </c>
      <c r="BT496" s="2">
        <v>20.183529814440998</v>
      </c>
      <c r="BU496" s="2">
        <v>17.886129517148198</v>
      </c>
      <c r="BV496" s="2">
        <v>17.211779381252601</v>
      </c>
      <c r="BW496" s="2">
        <v>17.176015131368199</v>
      </c>
      <c r="BX496" s="2">
        <v>18.3785423152157</v>
      </c>
      <c r="BY496" s="2">
        <v>19.004137467481399</v>
      </c>
      <c r="BZ496" s="2">
        <v>17.742901620643099</v>
      </c>
      <c r="CA496" s="2">
        <v>17.0438412407639</v>
      </c>
      <c r="CB496" s="2">
        <v>17.907387199692899</v>
      </c>
      <c r="CC496" s="2">
        <v>17.917755209502399</v>
      </c>
      <c r="CD496" s="2">
        <v>17.724686971999599</v>
      </c>
      <c r="CE496" s="2">
        <v>18.718117292220001</v>
      </c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</row>
    <row r="497" spans="1:97">
      <c r="A497" s="2" t="s">
        <v>4953</v>
      </c>
      <c r="B497" s="2">
        <v>331.12947000000003</v>
      </c>
      <c r="C497" s="2">
        <v>5.7110000000000003</v>
      </c>
      <c r="D497" s="2" t="s">
        <v>146</v>
      </c>
      <c r="E497" s="2" t="s">
        <v>4954</v>
      </c>
      <c r="F497" s="2" t="s">
        <v>4955</v>
      </c>
      <c r="G497" s="2">
        <v>205304</v>
      </c>
      <c r="H497" s="3" t="str">
        <f>HYPERLINK("https://cloud.oebiotech.com/#/lm/network/205304", "https://cloud.oebiotech.com/#/lm/network/205304")</f>
        <v>https://cloud.oebiotech.com/#/lm/network/205304</v>
      </c>
      <c r="I497" s="2" t="s">
        <v>4956</v>
      </c>
      <c r="J497" s="2"/>
      <c r="K497" s="2"/>
      <c r="L497" s="2">
        <v>443423</v>
      </c>
      <c r="M497" s="2" t="s">
        <v>4957</v>
      </c>
      <c r="N497" s="2"/>
      <c r="O497" s="2"/>
      <c r="P497" s="2"/>
      <c r="Q497" s="2"/>
      <c r="R497" s="2"/>
      <c r="S497" s="2"/>
      <c r="T497" s="2" t="s">
        <v>4958</v>
      </c>
      <c r="U497" s="2" t="s">
        <v>4959</v>
      </c>
      <c r="V497" s="2" t="s">
        <v>553</v>
      </c>
      <c r="W497" s="2" t="s">
        <v>2193</v>
      </c>
      <c r="X497" s="2" t="s">
        <v>4866</v>
      </c>
      <c r="Y497" s="2" t="s">
        <v>556</v>
      </c>
      <c r="Z497" s="2" t="s">
        <v>2194</v>
      </c>
      <c r="AA497" s="2" t="s">
        <v>4867</v>
      </c>
      <c r="AB497" s="2" t="s">
        <v>101</v>
      </c>
      <c r="AC497" s="2">
        <v>62.07</v>
      </c>
      <c r="AD497" s="2">
        <v>88.71</v>
      </c>
      <c r="AE497" s="2">
        <v>49.39</v>
      </c>
      <c r="AF497" s="2" t="s">
        <v>4960</v>
      </c>
      <c r="AG497" s="2" t="s">
        <v>157</v>
      </c>
      <c r="AH497" s="2" t="s">
        <v>4961</v>
      </c>
      <c r="AI497" s="2">
        <v>1.21</v>
      </c>
      <c r="AJ497" s="2">
        <v>17.791376463054402</v>
      </c>
      <c r="AK497" s="2">
        <v>18.312452827763401</v>
      </c>
      <c r="AL497" s="2">
        <v>18.1236124592015</v>
      </c>
      <c r="AM497" s="2">
        <v>18.119192014317001</v>
      </c>
      <c r="AN497" s="2">
        <v>18.365975459555901</v>
      </c>
      <c r="AO497" s="2">
        <v>18.481956587327399</v>
      </c>
      <c r="AP497" s="2">
        <v>18.039348982381401</v>
      </c>
      <c r="AQ497" s="2">
        <v>18.377232521489901</v>
      </c>
      <c r="AR497" s="2">
        <v>15.725038141678599</v>
      </c>
      <c r="AS497" s="2">
        <v>17.102112373447099</v>
      </c>
      <c r="AT497" s="2">
        <v>17.8952097699053</v>
      </c>
      <c r="AU497" s="2">
        <v>14.689852231773401</v>
      </c>
      <c r="AV497" s="2">
        <v>17.074478091353001</v>
      </c>
      <c r="AW497" s="2">
        <v>17.552127204696799</v>
      </c>
      <c r="AX497" s="2">
        <v>18.1227539476358</v>
      </c>
      <c r="AY497" s="2">
        <v>17.542796559349799</v>
      </c>
      <c r="AZ497" s="2">
        <v>15.8125308147598</v>
      </c>
      <c r="BA497" s="2">
        <v>17.073131628557</v>
      </c>
      <c r="BB497" s="2">
        <v>17.7400829851032</v>
      </c>
      <c r="BC497" s="2">
        <v>17.8647164639886</v>
      </c>
      <c r="BD497" s="2">
        <v>16.749291097210001</v>
      </c>
      <c r="BE497" s="2">
        <v>19.747455488320899</v>
      </c>
      <c r="BF497" s="2">
        <v>16.2028881012311</v>
      </c>
      <c r="BG497" s="2">
        <v>19.2172809919761</v>
      </c>
      <c r="BH497" s="2">
        <v>18.021118027127201</v>
      </c>
      <c r="BI497" s="2">
        <v>17.8079840015935</v>
      </c>
      <c r="BJ497" s="2">
        <v>18.134769725640801</v>
      </c>
      <c r="BK497" s="2">
        <v>17.0304231608525</v>
      </c>
      <c r="BL497" s="2">
        <v>17.399495817899101</v>
      </c>
      <c r="BM497" s="2">
        <v>16.122257961058299</v>
      </c>
      <c r="BN497" s="2">
        <v>17.362464238143399</v>
      </c>
      <c r="BO497" s="2">
        <v>17.9956070179432</v>
      </c>
      <c r="BP497" s="2">
        <v>18.340930262925099</v>
      </c>
      <c r="BQ497" s="2">
        <v>17.1045577021805</v>
      </c>
      <c r="BR497" s="2">
        <v>18.139087895717299</v>
      </c>
      <c r="BS497" s="2">
        <v>16.733691426536701</v>
      </c>
      <c r="BT497" s="2">
        <v>16.554705304553899</v>
      </c>
      <c r="BU497" s="2">
        <v>17.418063007903299</v>
      </c>
      <c r="BV497" s="2">
        <v>17.964784872259798</v>
      </c>
      <c r="BW497" s="2">
        <v>17.676959987256499</v>
      </c>
      <c r="BX497" s="2">
        <v>16.2436604539194</v>
      </c>
      <c r="BY497" s="2">
        <v>19.063079272845599</v>
      </c>
      <c r="BZ497" s="2">
        <v>16.193647594775101</v>
      </c>
      <c r="CA497" s="2">
        <v>17.457622953969199</v>
      </c>
      <c r="CB497" s="2">
        <v>18.4670008379268</v>
      </c>
      <c r="CC497" s="2">
        <v>17.027826643569298</v>
      </c>
      <c r="CD497" s="2">
        <v>18.805162099164299</v>
      </c>
      <c r="CE497" s="2">
        <v>17.624920938146499</v>
      </c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</row>
    <row r="498" spans="1:97">
      <c r="A498" s="2" t="s">
        <v>4962</v>
      </c>
      <c r="B498" s="2">
        <v>241.01141000000001</v>
      </c>
      <c r="C498" s="2">
        <v>0.89</v>
      </c>
      <c r="D498" s="2" t="s">
        <v>146</v>
      </c>
      <c r="E498" s="2" t="s">
        <v>4963</v>
      </c>
      <c r="F498" s="2" t="s">
        <v>4964</v>
      </c>
      <c r="G498" s="2">
        <v>47139</v>
      </c>
      <c r="H498" s="3" t="str">
        <f>HYPERLINK("https://cloud.oebiotech.com/#/lm/network/47139", "https://cloud.oebiotech.com/#/lm/network/47139")</f>
        <v>https://cloud.oebiotech.com/#/lm/network/47139</v>
      </c>
      <c r="I498" s="2" t="s">
        <v>4965</v>
      </c>
      <c r="J498" s="2">
        <v>5618</v>
      </c>
      <c r="K498" s="2"/>
      <c r="L498" s="2">
        <v>123912</v>
      </c>
      <c r="M498" s="2" t="s">
        <v>4966</v>
      </c>
      <c r="N498" s="2" t="s">
        <v>4967</v>
      </c>
      <c r="O498" s="2" t="s">
        <v>4968</v>
      </c>
      <c r="P498" s="2">
        <v>17973</v>
      </c>
      <c r="Q498" s="2" t="s">
        <v>4969</v>
      </c>
      <c r="R498" s="2" t="s">
        <v>4970</v>
      </c>
      <c r="S498" s="2" t="s">
        <v>4971</v>
      </c>
      <c r="T498" s="2" t="s">
        <v>4972</v>
      </c>
      <c r="U498" s="2" t="s">
        <v>4973</v>
      </c>
      <c r="V498" s="2" t="s">
        <v>338</v>
      </c>
      <c r="W498" s="2" t="s">
        <v>339</v>
      </c>
      <c r="X498" s="2" t="s">
        <v>663</v>
      </c>
      <c r="Y498" s="2" t="s">
        <v>341</v>
      </c>
      <c r="Z498" s="2" t="s">
        <v>341</v>
      </c>
      <c r="AA498" s="2" t="s">
        <v>664</v>
      </c>
      <c r="AB498" s="2" t="s">
        <v>3086</v>
      </c>
      <c r="AC498" s="2">
        <v>62.02</v>
      </c>
      <c r="AD498" s="2">
        <v>95.7</v>
      </c>
      <c r="AE498" s="2">
        <v>41.5</v>
      </c>
      <c r="AF498" s="2" t="s">
        <v>4974</v>
      </c>
      <c r="AG498" s="2" t="s">
        <v>993</v>
      </c>
      <c r="AH498" s="2" t="s">
        <v>4975</v>
      </c>
      <c r="AI498" s="2">
        <v>-0.41</v>
      </c>
      <c r="AJ498" s="2">
        <v>19.4249775315336</v>
      </c>
      <c r="AK498" s="2">
        <v>19.659879154268101</v>
      </c>
      <c r="AL498" s="2">
        <v>19.368214552576799</v>
      </c>
      <c r="AM498" s="2">
        <v>18.973553822755399</v>
      </c>
      <c r="AN498" s="2">
        <v>18.238111270174102</v>
      </c>
      <c r="AO498" s="2">
        <v>18.9507271169368</v>
      </c>
      <c r="AP498" s="2">
        <v>18.8961420666405</v>
      </c>
      <c r="AQ498" s="2">
        <v>19.204562690933201</v>
      </c>
      <c r="AR498" s="2">
        <v>16.329743791552801</v>
      </c>
      <c r="AS498" s="2">
        <v>9.6233145402724691</v>
      </c>
      <c r="AT498" s="2">
        <v>19.093814524301099</v>
      </c>
      <c r="AU498" s="2">
        <v>19.657108262245099</v>
      </c>
      <c r="AV498" s="2">
        <v>19.195670054537398</v>
      </c>
      <c r="AW498" s="2">
        <v>18.941070452118101</v>
      </c>
      <c r="AX498" s="2">
        <v>19.14377505665</v>
      </c>
      <c r="AY498" s="2">
        <v>19.4417609675451</v>
      </c>
      <c r="AZ498" s="2">
        <v>19.8379536175791</v>
      </c>
      <c r="BA498" s="2">
        <v>19.109084965460799</v>
      </c>
      <c r="BB498" s="2">
        <v>19.7294034872351</v>
      </c>
      <c r="BC498" s="2">
        <v>9.6233145402724691</v>
      </c>
      <c r="BD498" s="2">
        <v>19.870249716521901</v>
      </c>
      <c r="BE498" s="2">
        <v>19.750826511368</v>
      </c>
      <c r="BF498" s="2">
        <v>18.382923290590199</v>
      </c>
      <c r="BG498" s="2">
        <v>19.5497341014547</v>
      </c>
      <c r="BH498" s="2">
        <v>19.910433337130701</v>
      </c>
      <c r="BI498" s="2">
        <v>19.637402234091098</v>
      </c>
      <c r="BJ498" s="2">
        <v>18.617324758501098</v>
      </c>
      <c r="BK498" s="2">
        <v>18.4352563056276</v>
      </c>
      <c r="BL498" s="2">
        <v>20.780123674828602</v>
      </c>
      <c r="BM498" s="2">
        <v>19.781131728818199</v>
      </c>
      <c r="BN498" s="2">
        <v>21.207405643043099</v>
      </c>
      <c r="BO498" s="2">
        <v>20.255362431578199</v>
      </c>
      <c r="BP498" s="2">
        <v>20.542319857088501</v>
      </c>
      <c r="BQ498" s="2">
        <v>19.256177538423401</v>
      </c>
      <c r="BR498" s="2">
        <v>9.6233145402724691</v>
      </c>
      <c r="BS498" s="2">
        <v>20.3372586935639</v>
      </c>
      <c r="BT498" s="2">
        <v>21.1970368454495</v>
      </c>
      <c r="BU498" s="2">
        <v>9.6233145402724691</v>
      </c>
      <c r="BV498" s="2">
        <v>20.6184832334066</v>
      </c>
      <c r="BW498" s="2">
        <v>20.213476296885698</v>
      </c>
      <c r="BX498" s="2">
        <v>20.4620263095414</v>
      </c>
      <c r="BY498" s="2">
        <v>20.1267756334849</v>
      </c>
      <c r="BZ498" s="2">
        <v>19.601763734914901</v>
      </c>
      <c r="CA498" s="2">
        <v>20.237028335461101</v>
      </c>
      <c r="CB498" s="2">
        <v>19.776004890526</v>
      </c>
      <c r="CC498" s="2">
        <v>19.984553986037199</v>
      </c>
      <c r="CD498" s="2">
        <v>20.086801253206101</v>
      </c>
      <c r="CE498" s="2">
        <v>9.6233145402724691</v>
      </c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</row>
    <row r="499" spans="1:97">
      <c r="A499" s="2" t="s">
        <v>4976</v>
      </c>
      <c r="B499" s="2">
        <v>524.29889000000003</v>
      </c>
      <c r="C499" s="2">
        <v>10.667</v>
      </c>
      <c r="D499" s="2" t="s">
        <v>84</v>
      </c>
      <c r="E499" s="2" t="s">
        <v>4977</v>
      </c>
      <c r="F499" s="2" t="s">
        <v>4978</v>
      </c>
      <c r="G499" s="2">
        <v>23694</v>
      </c>
      <c r="H499" s="3" t="str">
        <f>HYPERLINK("https://cloud.oebiotech.com/#/lm/network/23694", "https://cloud.oebiotech.com/#/lm/network/23694")</f>
        <v>https://cloud.oebiotech.com/#/lm/network/23694</v>
      </c>
      <c r="I499" s="2"/>
      <c r="J499" s="2">
        <v>80020</v>
      </c>
      <c r="K499" s="2" t="s">
        <v>4979</v>
      </c>
      <c r="L499" s="2">
        <v>52927455</v>
      </c>
      <c r="M499" s="2"/>
      <c r="N499" s="2"/>
      <c r="O499" s="2"/>
      <c r="P499" s="2"/>
      <c r="Q499" s="2"/>
      <c r="R499" s="2"/>
      <c r="S499" s="2"/>
      <c r="T499" s="2" t="s">
        <v>4980</v>
      </c>
      <c r="U499" s="2" t="s">
        <v>4981</v>
      </c>
      <c r="V499" s="2" t="s">
        <v>95</v>
      </c>
      <c r="W499" s="2" t="s">
        <v>202</v>
      </c>
      <c r="X499" s="2" t="s">
        <v>4982</v>
      </c>
      <c r="Y499" s="2" t="s">
        <v>98</v>
      </c>
      <c r="Z499" s="2" t="s">
        <v>204</v>
      </c>
      <c r="AA499" s="2" t="s">
        <v>4983</v>
      </c>
      <c r="AB499" s="2" t="s">
        <v>3086</v>
      </c>
      <c r="AC499" s="2">
        <v>62.01</v>
      </c>
      <c r="AD499" s="2">
        <v>88.11</v>
      </c>
      <c r="AE499" s="2">
        <v>40.61</v>
      </c>
      <c r="AF499" s="2" t="s">
        <v>4984</v>
      </c>
      <c r="AG499" s="2" t="s">
        <v>132</v>
      </c>
      <c r="AH499" s="2" t="s">
        <v>4985</v>
      </c>
      <c r="AI499" s="2">
        <v>-1.1399999999999999</v>
      </c>
      <c r="AJ499" s="2">
        <v>23.624704357483701</v>
      </c>
      <c r="AK499" s="2">
        <v>23.684237482807799</v>
      </c>
      <c r="AL499" s="2">
        <v>23.603301456328801</v>
      </c>
      <c r="AM499" s="2">
        <v>23.579248344198</v>
      </c>
      <c r="AN499" s="2">
        <v>23.651464567880399</v>
      </c>
      <c r="AO499" s="2">
        <v>23.910072350836799</v>
      </c>
      <c r="AP499" s="2">
        <v>23.6078362134499</v>
      </c>
      <c r="AQ499" s="2">
        <v>23.598588765220299</v>
      </c>
      <c r="AR499" s="2">
        <v>23.9569787369823</v>
      </c>
      <c r="AS499" s="2">
        <v>23.086481202683501</v>
      </c>
      <c r="AT499" s="2">
        <v>23.532527327086299</v>
      </c>
      <c r="AU499" s="2">
        <v>23.524890313792501</v>
      </c>
      <c r="AV499" s="2">
        <v>23.356252517975499</v>
      </c>
      <c r="AW499" s="2">
        <v>23.5083589159619</v>
      </c>
      <c r="AX499" s="2">
        <v>23.503996603319798</v>
      </c>
      <c r="AY499" s="2">
        <v>23.578979416135301</v>
      </c>
      <c r="AZ499" s="2">
        <v>23.793823515592699</v>
      </c>
      <c r="BA499" s="2">
        <v>22.7270597456891</v>
      </c>
      <c r="BB499" s="2">
        <v>23.560924225275102</v>
      </c>
      <c r="BC499" s="2">
        <v>24.120230175465501</v>
      </c>
      <c r="BD499" s="2">
        <v>23.2746645552796</v>
      </c>
      <c r="BE499" s="2">
        <v>24.151338783081101</v>
      </c>
      <c r="BF499" s="2">
        <v>23.5976857704587</v>
      </c>
      <c r="BG499" s="2">
        <v>23.853128106662599</v>
      </c>
      <c r="BH499" s="2">
        <v>23.354616642754898</v>
      </c>
      <c r="BI499" s="2">
        <v>23.6845238676398</v>
      </c>
      <c r="BJ499" s="2">
        <v>23.672835165220398</v>
      </c>
      <c r="BK499" s="2">
        <v>23.435893154769801</v>
      </c>
      <c r="BL499" s="2">
        <v>23.616389796253401</v>
      </c>
      <c r="BM499" s="2">
        <v>23.783633518120499</v>
      </c>
      <c r="BN499" s="2">
        <v>23.410047848661801</v>
      </c>
      <c r="BO499" s="2">
        <v>23.6336970984704</v>
      </c>
      <c r="BP499" s="2">
        <v>23.527134564650002</v>
      </c>
      <c r="BQ499" s="2">
        <v>23.395975635223301</v>
      </c>
      <c r="BR499" s="2">
        <v>23.7776931731796</v>
      </c>
      <c r="BS499" s="2">
        <v>23.9736400054224</v>
      </c>
      <c r="BT499" s="2">
        <v>23.696899017726501</v>
      </c>
      <c r="BU499" s="2">
        <v>23.5115618425978</v>
      </c>
      <c r="BV499" s="2">
        <v>23.639476015694701</v>
      </c>
      <c r="BW499" s="2">
        <v>23.072558288055902</v>
      </c>
      <c r="BX499" s="2">
        <v>23.457983362143601</v>
      </c>
      <c r="BY499" s="2">
        <v>24.3794181261853</v>
      </c>
      <c r="BZ499" s="2">
        <v>23.539330719013702</v>
      </c>
      <c r="CA499" s="2">
        <v>23.8189710878152</v>
      </c>
      <c r="CB499" s="2">
        <v>23.321801157851699</v>
      </c>
      <c r="CC499" s="2">
        <v>23.199941115532202</v>
      </c>
      <c r="CD499" s="2">
        <v>23.785232150903699</v>
      </c>
      <c r="CE499" s="2">
        <v>23.033011767546299</v>
      </c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</row>
    <row r="500" spans="1:97">
      <c r="A500" s="2" t="s">
        <v>4986</v>
      </c>
      <c r="B500" s="2">
        <v>607.34834999999998</v>
      </c>
      <c r="C500" s="2">
        <v>9.0779999999999994</v>
      </c>
      <c r="D500" s="2" t="s">
        <v>146</v>
      </c>
      <c r="E500" s="2" t="s">
        <v>4987</v>
      </c>
      <c r="F500" s="2" t="s">
        <v>4988</v>
      </c>
      <c r="G500" s="2">
        <v>202280</v>
      </c>
      <c r="H500" s="3" t="str">
        <f>HYPERLINK("https://cloud.oebiotech.com/#/lm/network/202280", "https://cloud.oebiotech.com/#/lm/network/202280")</f>
        <v>https://cloud.oebiotech.com/#/lm/network/202280</v>
      </c>
      <c r="I500" s="2" t="s">
        <v>4989</v>
      </c>
      <c r="J500" s="2"/>
      <c r="K500" s="2"/>
      <c r="L500" s="2">
        <v>14165743</v>
      </c>
      <c r="M500" s="2"/>
      <c r="N500" s="2"/>
      <c r="O500" s="2"/>
      <c r="P500" s="2"/>
      <c r="Q500" s="2"/>
      <c r="R500" s="2"/>
      <c r="S500" s="2"/>
      <c r="T500" s="2" t="s">
        <v>4990</v>
      </c>
      <c r="U500" s="2" t="s">
        <v>4991</v>
      </c>
      <c r="V500" s="2" t="s">
        <v>95</v>
      </c>
      <c r="W500" s="2" t="s">
        <v>152</v>
      </c>
      <c r="X500" s="2" t="s">
        <v>4992</v>
      </c>
      <c r="Y500" s="2" t="s">
        <v>98</v>
      </c>
      <c r="Z500" s="2" t="s">
        <v>154</v>
      </c>
      <c r="AA500" s="2" t="s">
        <v>4993</v>
      </c>
      <c r="AB500" s="2" t="s">
        <v>101</v>
      </c>
      <c r="AC500" s="2">
        <v>61.92</v>
      </c>
      <c r="AD500" s="2">
        <v>76.39</v>
      </c>
      <c r="AE500" s="2">
        <v>46.37</v>
      </c>
      <c r="AF500" s="2" t="s">
        <v>4994</v>
      </c>
      <c r="AG500" s="2" t="s">
        <v>157</v>
      </c>
      <c r="AH500" s="2" t="s">
        <v>4995</v>
      </c>
      <c r="AI500" s="2">
        <v>0.82</v>
      </c>
      <c r="AJ500" s="2">
        <v>16.918485584219901</v>
      </c>
      <c r="AK500" s="2">
        <v>16.6815693666721</v>
      </c>
      <c r="AL500" s="2">
        <v>17.029003535205099</v>
      </c>
      <c r="AM500" s="2">
        <v>17.0809270077559</v>
      </c>
      <c r="AN500" s="2">
        <v>16.6964770840904</v>
      </c>
      <c r="AO500" s="2">
        <v>16.964394345080301</v>
      </c>
      <c r="AP500" s="2">
        <v>17.1151222100202</v>
      </c>
      <c r="AQ500" s="2">
        <v>16.923177970783701</v>
      </c>
      <c r="AR500" s="2">
        <v>15.6051368604498</v>
      </c>
      <c r="AS500" s="2">
        <v>9.6233145402724691</v>
      </c>
      <c r="AT500" s="2">
        <v>17.433545995993601</v>
      </c>
      <c r="AU500" s="2">
        <v>15.0689898308807</v>
      </c>
      <c r="AV500" s="2">
        <v>17.168054966882899</v>
      </c>
      <c r="AW500" s="2">
        <v>16.1589660185961</v>
      </c>
      <c r="AX500" s="2">
        <v>16.718816196550499</v>
      </c>
      <c r="AY500" s="2">
        <v>17.210184656493599</v>
      </c>
      <c r="AZ500" s="2">
        <v>14.094286386178201</v>
      </c>
      <c r="BA500" s="2">
        <v>16.725342424044399</v>
      </c>
      <c r="BB500" s="2">
        <v>15.627483441701299</v>
      </c>
      <c r="BC500" s="2">
        <v>16.727701396675599</v>
      </c>
      <c r="BD500" s="2">
        <v>14.395473888030599</v>
      </c>
      <c r="BE500" s="2">
        <v>17.090919263584802</v>
      </c>
      <c r="BF500" s="2">
        <v>15.346547320864801</v>
      </c>
      <c r="BG500" s="2">
        <v>15.9545023688699</v>
      </c>
      <c r="BH500" s="2">
        <v>13.176185618327899</v>
      </c>
      <c r="BI500" s="2">
        <v>16.896209871812701</v>
      </c>
      <c r="BJ500" s="2">
        <v>17.6015412874128</v>
      </c>
      <c r="BK500" s="2">
        <v>14.725135625554399</v>
      </c>
      <c r="BL500" s="2">
        <v>16.051745517555201</v>
      </c>
      <c r="BM500" s="2">
        <v>13.5661729889929</v>
      </c>
      <c r="BN500" s="2">
        <v>16.6283420107499</v>
      </c>
      <c r="BO500" s="2">
        <v>14.1821553329211</v>
      </c>
      <c r="BP500" s="2">
        <v>16.849780998165599</v>
      </c>
      <c r="BQ500" s="2">
        <v>16.185082157753001</v>
      </c>
      <c r="BR500" s="2">
        <v>16.748182233789301</v>
      </c>
      <c r="BS500" s="2">
        <v>17.224131907433701</v>
      </c>
      <c r="BT500" s="2">
        <v>16.797314994278398</v>
      </c>
      <c r="BU500" s="2">
        <v>17.991775145781499</v>
      </c>
      <c r="BV500" s="2">
        <v>15.671162597102599</v>
      </c>
      <c r="BW500" s="2">
        <v>17.068570892459402</v>
      </c>
      <c r="BX500" s="2">
        <v>15.1479867294809</v>
      </c>
      <c r="BY500" s="2">
        <v>19.8370946459683</v>
      </c>
      <c r="BZ500" s="2">
        <v>14.8067983063547</v>
      </c>
      <c r="CA500" s="2">
        <v>16.7178960714431</v>
      </c>
      <c r="CB500" s="2">
        <v>16.869546372703802</v>
      </c>
      <c r="CC500" s="2">
        <v>16.988826233629201</v>
      </c>
      <c r="CD500" s="2">
        <v>17.417140647962899</v>
      </c>
      <c r="CE500" s="2">
        <v>18.026379440311199</v>
      </c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</row>
    <row r="501" spans="1:97">
      <c r="A501" s="2" t="s">
        <v>4996</v>
      </c>
      <c r="B501" s="2">
        <v>357.27929</v>
      </c>
      <c r="C501" s="2">
        <v>13.845000000000001</v>
      </c>
      <c r="D501" s="2" t="s">
        <v>146</v>
      </c>
      <c r="E501" s="2" t="s">
        <v>4997</v>
      </c>
      <c r="F501" s="2" t="s">
        <v>4998</v>
      </c>
      <c r="G501" s="2">
        <v>1231</v>
      </c>
      <c r="H501" s="3" t="str">
        <f>HYPERLINK("https://cloud.oebiotech.com/#/lm/network/1231", "https://cloud.oebiotech.com/#/lm/network/1231")</f>
        <v>https://cloud.oebiotech.com/#/lm/network/1231</v>
      </c>
      <c r="I501" s="2" t="s">
        <v>4999</v>
      </c>
      <c r="J501" s="2">
        <v>74356</v>
      </c>
      <c r="K501" s="2" t="s">
        <v>5000</v>
      </c>
      <c r="L501" s="2">
        <v>14505435</v>
      </c>
      <c r="M501" s="2"/>
      <c r="N501" s="2"/>
      <c r="O501" s="2"/>
      <c r="P501" s="2">
        <v>77527</v>
      </c>
      <c r="Q501" s="2"/>
      <c r="R501" s="2"/>
      <c r="S501" s="2"/>
      <c r="T501" s="2" t="s">
        <v>5001</v>
      </c>
      <c r="U501" s="2" t="s">
        <v>5002</v>
      </c>
      <c r="V501" s="2" t="s">
        <v>95</v>
      </c>
      <c r="W501" s="2" t="s">
        <v>96</v>
      </c>
      <c r="X501" s="2" t="s">
        <v>141</v>
      </c>
      <c r="Y501" s="2" t="s">
        <v>98</v>
      </c>
      <c r="Z501" s="2" t="s">
        <v>99</v>
      </c>
      <c r="AA501" s="2" t="s">
        <v>142</v>
      </c>
      <c r="AB501" s="2" t="s">
        <v>3086</v>
      </c>
      <c r="AC501" s="2">
        <v>61.91</v>
      </c>
      <c r="AD501" s="2">
        <v>84.83</v>
      </c>
      <c r="AE501" s="2">
        <v>38.99</v>
      </c>
      <c r="AF501" s="2" t="s">
        <v>5003</v>
      </c>
      <c r="AG501" s="2" t="s">
        <v>194</v>
      </c>
      <c r="AH501" s="2" t="s">
        <v>5004</v>
      </c>
      <c r="AI501" s="2">
        <v>1.68</v>
      </c>
      <c r="AJ501" s="2">
        <v>17.510987717651201</v>
      </c>
      <c r="AK501" s="2">
        <v>17.243963857002701</v>
      </c>
      <c r="AL501" s="2">
        <v>17.0934254051006</v>
      </c>
      <c r="AM501" s="2">
        <v>16.645049864098201</v>
      </c>
      <c r="AN501" s="2">
        <v>17.2087253231206</v>
      </c>
      <c r="AO501" s="2">
        <v>16.8582567938276</v>
      </c>
      <c r="AP501" s="2">
        <v>17.232052579930698</v>
      </c>
      <c r="AQ501" s="2">
        <v>17.228107499510301</v>
      </c>
      <c r="AR501" s="2">
        <v>15.574600031276001</v>
      </c>
      <c r="AS501" s="2">
        <v>14.6877988498278</v>
      </c>
      <c r="AT501" s="2">
        <v>17.969095861868301</v>
      </c>
      <c r="AU501" s="2">
        <v>16.022145192516799</v>
      </c>
      <c r="AV501" s="2">
        <v>16.751361513981799</v>
      </c>
      <c r="AW501" s="2">
        <v>15.4625418924876</v>
      </c>
      <c r="AX501" s="2">
        <v>16.541362859999701</v>
      </c>
      <c r="AY501" s="2">
        <v>15.991259421420301</v>
      </c>
      <c r="AZ501" s="2">
        <v>15.3268121606637</v>
      </c>
      <c r="BA501" s="2">
        <v>17.405399942790002</v>
      </c>
      <c r="BB501" s="2">
        <v>17.149244795440499</v>
      </c>
      <c r="BC501" s="2">
        <v>17.992707532069002</v>
      </c>
      <c r="BD501" s="2">
        <v>14.2056245077321</v>
      </c>
      <c r="BE501" s="2">
        <v>14.0336578677635</v>
      </c>
      <c r="BF501" s="2">
        <v>16.268935040219301</v>
      </c>
      <c r="BG501" s="2">
        <v>17.4870829634663</v>
      </c>
      <c r="BH501" s="2">
        <v>15.944920883539501</v>
      </c>
      <c r="BI501" s="2">
        <v>18.4106975380402</v>
      </c>
      <c r="BJ501" s="2">
        <v>16.9383593128744</v>
      </c>
      <c r="BK501" s="2">
        <v>16.653556344192999</v>
      </c>
      <c r="BL501" s="2">
        <v>16.4992968635697</v>
      </c>
      <c r="BM501" s="2">
        <v>16.514998460382799</v>
      </c>
      <c r="BN501" s="2">
        <v>15.380846918174701</v>
      </c>
      <c r="BO501" s="2">
        <v>16.918507130454401</v>
      </c>
      <c r="BP501" s="2">
        <v>17.218504774980701</v>
      </c>
      <c r="BQ501" s="2">
        <v>17.919574547240099</v>
      </c>
      <c r="BR501" s="2">
        <v>17.921135684705099</v>
      </c>
      <c r="BS501" s="2">
        <v>16.744549405802399</v>
      </c>
      <c r="BT501" s="2">
        <v>16.8732118235672</v>
      </c>
      <c r="BU501" s="2">
        <v>17.557683945283301</v>
      </c>
      <c r="BV501" s="2">
        <v>17.245379359270999</v>
      </c>
      <c r="BW501" s="2">
        <v>16.0052607157665</v>
      </c>
      <c r="BX501" s="2">
        <v>15.945094002604099</v>
      </c>
      <c r="BY501" s="2">
        <v>14.972711050115301</v>
      </c>
      <c r="BZ501" s="2">
        <v>17.133425717315799</v>
      </c>
      <c r="CA501" s="2">
        <v>16.6458067355472</v>
      </c>
      <c r="CB501" s="2">
        <v>18.0561049138736</v>
      </c>
      <c r="CC501" s="2">
        <v>17.864812265832001</v>
      </c>
      <c r="CD501" s="2">
        <v>16.206756836554501</v>
      </c>
      <c r="CE501" s="2">
        <v>18.929147312217399</v>
      </c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</row>
    <row r="502" spans="1:97">
      <c r="A502" s="2" t="s">
        <v>5005</v>
      </c>
      <c r="B502" s="2">
        <v>523.28734999999995</v>
      </c>
      <c r="C502" s="2">
        <v>7.82</v>
      </c>
      <c r="D502" s="2" t="s">
        <v>84</v>
      </c>
      <c r="E502" s="2" t="s">
        <v>5006</v>
      </c>
      <c r="F502" s="2" t="s">
        <v>5007</v>
      </c>
      <c r="G502" s="2">
        <v>52771</v>
      </c>
      <c r="H502" s="3" t="str">
        <f>HYPERLINK("https://cloud.oebiotech.com/#/lm/network/52771", "https://cloud.oebiotech.com/#/lm/network/52771")</f>
        <v>https://cloud.oebiotech.com/#/lm/network/52771</v>
      </c>
      <c r="I502" s="2" t="s">
        <v>5008</v>
      </c>
      <c r="J502" s="2">
        <v>43266</v>
      </c>
      <c r="K502" s="2"/>
      <c r="L502" s="2">
        <v>446596</v>
      </c>
      <c r="M502" s="2" t="s">
        <v>5009</v>
      </c>
      <c r="N502" s="2"/>
      <c r="O502" s="2"/>
      <c r="P502" s="2">
        <v>7025</v>
      </c>
      <c r="Q502" s="2"/>
      <c r="R502" s="2"/>
      <c r="S502" s="2" t="s">
        <v>5010</v>
      </c>
      <c r="T502" s="2" t="s">
        <v>5011</v>
      </c>
      <c r="U502" s="2" t="s">
        <v>5012</v>
      </c>
      <c r="V502" s="2" t="s">
        <v>95</v>
      </c>
      <c r="W502" s="2" t="s">
        <v>96</v>
      </c>
      <c r="X502" s="2" t="s">
        <v>141</v>
      </c>
      <c r="Y502" s="2" t="s">
        <v>98</v>
      </c>
      <c r="Z502" s="2" t="s">
        <v>99</v>
      </c>
      <c r="AA502" s="2" t="s">
        <v>142</v>
      </c>
      <c r="AB502" s="2" t="s">
        <v>101</v>
      </c>
      <c r="AC502" s="2">
        <v>61.89</v>
      </c>
      <c r="AD502" s="2">
        <v>75.7</v>
      </c>
      <c r="AE502" s="2">
        <v>56.61</v>
      </c>
      <c r="AF502" s="2" t="s">
        <v>5013</v>
      </c>
      <c r="AG502" s="2" t="s">
        <v>1578</v>
      </c>
      <c r="AH502" s="2" t="s">
        <v>5014</v>
      </c>
      <c r="AI502" s="2">
        <v>0.96</v>
      </c>
      <c r="AJ502" s="2">
        <v>17.296588879097602</v>
      </c>
      <c r="AK502" s="2">
        <v>17.289107872540001</v>
      </c>
      <c r="AL502" s="2">
        <v>17.4829284598292</v>
      </c>
      <c r="AM502" s="2">
        <v>17.520742434347898</v>
      </c>
      <c r="AN502" s="2">
        <v>17.643306762124201</v>
      </c>
      <c r="AO502" s="2">
        <v>17.6692229378652</v>
      </c>
      <c r="AP502" s="2">
        <v>17.264300926188898</v>
      </c>
      <c r="AQ502" s="2">
        <v>17.468098892769799</v>
      </c>
      <c r="AR502" s="2">
        <v>14.998895366043</v>
      </c>
      <c r="AS502" s="2">
        <v>15.796491901526799</v>
      </c>
      <c r="AT502" s="2">
        <v>17.4880303576779</v>
      </c>
      <c r="AU502" s="2">
        <v>16.380674970979701</v>
      </c>
      <c r="AV502" s="2">
        <v>15.9292089307471</v>
      </c>
      <c r="AW502" s="2">
        <v>15.7024900801618</v>
      </c>
      <c r="AX502" s="2">
        <v>15.5315757969699</v>
      </c>
      <c r="AY502" s="2">
        <v>16.7763653017102</v>
      </c>
      <c r="AZ502" s="2">
        <v>15.7519200606</v>
      </c>
      <c r="BA502" s="2">
        <v>17.700159540194701</v>
      </c>
      <c r="BB502" s="2">
        <v>17.763764335383598</v>
      </c>
      <c r="BC502" s="2">
        <v>17.7109381026651</v>
      </c>
      <c r="BD502" s="2">
        <v>15.209027211122001</v>
      </c>
      <c r="BE502" s="2">
        <v>17.712418719018402</v>
      </c>
      <c r="BF502" s="2">
        <v>14.866312532678499</v>
      </c>
      <c r="BG502" s="2">
        <v>16.7575389801491</v>
      </c>
      <c r="BH502" s="2">
        <v>17.280261217596799</v>
      </c>
      <c r="BI502" s="2">
        <v>18.0850742605687</v>
      </c>
      <c r="BJ502" s="2">
        <v>17.8240656648839</v>
      </c>
      <c r="BK502" s="2">
        <v>15.551578199347301</v>
      </c>
      <c r="BL502" s="2">
        <v>15.4601586106046</v>
      </c>
      <c r="BM502" s="2">
        <v>18.416653396016301</v>
      </c>
      <c r="BN502" s="2">
        <v>17.823501030968899</v>
      </c>
      <c r="BO502" s="2">
        <v>17.475967381368601</v>
      </c>
      <c r="BP502" s="2">
        <v>16.102487956607401</v>
      </c>
      <c r="BQ502" s="2">
        <v>16.982255198496301</v>
      </c>
      <c r="BR502" s="2">
        <v>17.2550234046779</v>
      </c>
      <c r="BS502" s="2">
        <v>18.7105170963424</v>
      </c>
      <c r="BT502" s="2">
        <v>16.000347775792399</v>
      </c>
      <c r="BU502" s="2">
        <v>17.148476284264898</v>
      </c>
      <c r="BV502" s="2">
        <v>20.6531320063165</v>
      </c>
      <c r="BW502" s="2">
        <v>14.5993096565687</v>
      </c>
      <c r="BX502" s="2">
        <v>16.287364107000101</v>
      </c>
      <c r="BY502" s="2">
        <v>19.378598829051501</v>
      </c>
      <c r="BZ502" s="2">
        <v>15.9281743617718</v>
      </c>
      <c r="CA502" s="2">
        <v>16.738100970245601</v>
      </c>
      <c r="CB502" s="2">
        <v>18.136220350441199</v>
      </c>
      <c r="CC502" s="2">
        <v>18.462330161069701</v>
      </c>
      <c r="CD502" s="2">
        <v>18.047261704301501</v>
      </c>
      <c r="CE502" s="2">
        <v>18.6598733197245</v>
      </c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</row>
    <row r="503" spans="1:97">
      <c r="A503" s="2" t="s">
        <v>5015</v>
      </c>
      <c r="B503" s="2">
        <v>288.21652999999998</v>
      </c>
      <c r="C503" s="2">
        <v>5.8140000000000001</v>
      </c>
      <c r="D503" s="2" t="s">
        <v>84</v>
      </c>
      <c r="E503" s="2" t="s">
        <v>5016</v>
      </c>
      <c r="F503" s="2" t="s">
        <v>5017</v>
      </c>
      <c r="G503" s="2">
        <v>47224</v>
      </c>
      <c r="H503" s="3" t="str">
        <f>HYPERLINK("https://cloud.oebiotech.com/#/lm/network/47224", "https://cloud.oebiotech.com/#/lm/network/47224")</f>
        <v>https://cloud.oebiotech.com/#/lm/network/47224</v>
      </c>
      <c r="I503" s="2" t="s">
        <v>5018</v>
      </c>
      <c r="J503" s="2"/>
      <c r="K503" s="2"/>
      <c r="L503" s="2">
        <v>11953814</v>
      </c>
      <c r="M503" s="2" t="s">
        <v>5019</v>
      </c>
      <c r="N503" s="2"/>
      <c r="O503" s="2"/>
      <c r="P503" s="2">
        <v>18102</v>
      </c>
      <c r="Q503" s="2"/>
      <c r="R503" s="2"/>
      <c r="S503" s="2" t="s">
        <v>5020</v>
      </c>
      <c r="T503" s="2" t="s">
        <v>5021</v>
      </c>
      <c r="U503" s="2" t="s">
        <v>5022</v>
      </c>
      <c r="V503" s="2" t="s">
        <v>95</v>
      </c>
      <c r="W503" s="2" t="s">
        <v>96</v>
      </c>
      <c r="X503" s="2" t="s">
        <v>97</v>
      </c>
      <c r="Y503" s="2" t="s">
        <v>98</v>
      </c>
      <c r="Z503" s="2" t="s">
        <v>99</v>
      </c>
      <c r="AA503" s="2" t="s">
        <v>100</v>
      </c>
      <c r="AB503" s="2" t="s">
        <v>3086</v>
      </c>
      <c r="AC503" s="2">
        <v>61.87</v>
      </c>
      <c r="AD503" s="2">
        <v>98.38</v>
      </c>
      <c r="AE503" s="2">
        <v>33.147857142857099</v>
      </c>
      <c r="AF503" s="2" t="s">
        <v>5023</v>
      </c>
      <c r="AG503" s="2" t="s">
        <v>4104</v>
      </c>
      <c r="AH503" s="2" t="s">
        <v>5024</v>
      </c>
      <c r="AI503" s="2">
        <v>1.39</v>
      </c>
      <c r="AJ503" s="2">
        <v>24.0664626198541</v>
      </c>
      <c r="AK503" s="2">
        <v>24.1190939819917</v>
      </c>
      <c r="AL503" s="2">
        <v>23.935681078118801</v>
      </c>
      <c r="AM503" s="2">
        <v>23.891177706704301</v>
      </c>
      <c r="AN503" s="2">
        <v>23.983700531030301</v>
      </c>
      <c r="AO503" s="2">
        <v>23.877506833519298</v>
      </c>
      <c r="AP503" s="2">
        <v>23.981890479398299</v>
      </c>
      <c r="AQ503" s="2">
        <v>24.0523010706804</v>
      </c>
      <c r="AR503" s="2">
        <v>21.699271909937501</v>
      </c>
      <c r="AS503" s="2">
        <v>23.089214854022401</v>
      </c>
      <c r="AT503" s="2">
        <v>22.9545932157096</v>
      </c>
      <c r="AU503" s="2">
        <v>22.430842603520901</v>
      </c>
      <c r="AV503" s="2">
        <v>22.000906369927101</v>
      </c>
      <c r="AW503" s="2">
        <v>22.857722370768599</v>
      </c>
      <c r="AX503" s="2">
        <v>23.275305643861</v>
      </c>
      <c r="AY503" s="2">
        <v>23.675743144340501</v>
      </c>
      <c r="AZ503" s="2">
        <v>21.607580165442101</v>
      </c>
      <c r="BA503" s="2">
        <v>23.932748988977199</v>
      </c>
      <c r="BB503" s="2">
        <v>26.1861259761451</v>
      </c>
      <c r="BC503" s="2">
        <v>24.661073848064198</v>
      </c>
      <c r="BD503" s="2">
        <v>21.607404883217601</v>
      </c>
      <c r="BE503" s="2">
        <v>23.390458080022899</v>
      </c>
      <c r="BF503" s="2">
        <v>23.452210550916199</v>
      </c>
      <c r="BG503" s="2">
        <v>24.765761341507002</v>
      </c>
      <c r="BH503" s="2">
        <v>22.281769416798198</v>
      </c>
      <c r="BI503" s="2">
        <v>24.249487231906901</v>
      </c>
      <c r="BJ503" s="2">
        <v>23.092316798139301</v>
      </c>
      <c r="BK503" s="2">
        <v>21.580274271247902</v>
      </c>
      <c r="BL503" s="2">
        <v>23.942948546399901</v>
      </c>
      <c r="BM503" s="2">
        <v>22.642845436340298</v>
      </c>
      <c r="BN503" s="2">
        <v>22.568136357873399</v>
      </c>
      <c r="BO503" s="2">
        <v>24.394022269375501</v>
      </c>
      <c r="BP503" s="2">
        <v>24.358983623975298</v>
      </c>
      <c r="BQ503" s="2">
        <v>24.894981450981899</v>
      </c>
      <c r="BR503" s="2">
        <v>24.0943295383817</v>
      </c>
      <c r="BS503" s="2">
        <v>22.116954230218202</v>
      </c>
      <c r="BT503" s="2">
        <v>23.545297399484099</v>
      </c>
      <c r="BU503" s="2">
        <v>23.859378653083599</v>
      </c>
      <c r="BV503" s="2">
        <v>25.710101699561498</v>
      </c>
      <c r="BW503" s="2">
        <v>23.2915649215545</v>
      </c>
      <c r="BX503" s="2">
        <v>23.6421670394183</v>
      </c>
      <c r="BY503" s="2">
        <v>22.2514051540917</v>
      </c>
      <c r="BZ503" s="2">
        <v>24.644975751961301</v>
      </c>
      <c r="CA503" s="2">
        <v>23.117034995064699</v>
      </c>
      <c r="CB503" s="2">
        <v>23.054929917070901</v>
      </c>
      <c r="CC503" s="2">
        <v>24.455478088336701</v>
      </c>
      <c r="CD503" s="2">
        <v>22.6488695385268</v>
      </c>
      <c r="CE503" s="2">
        <v>24.0454003809288</v>
      </c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</row>
    <row r="504" spans="1:97">
      <c r="A504" s="2" t="s">
        <v>5025</v>
      </c>
      <c r="B504" s="2">
        <v>366.26343000000003</v>
      </c>
      <c r="C504" s="2">
        <v>7.9130000000000003</v>
      </c>
      <c r="D504" s="2" t="s">
        <v>84</v>
      </c>
      <c r="E504" s="2" t="s">
        <v>5026</v>
      </c>
      <c r="F504" s="2" t="s">
        <v>5027</v>
      </c>
      <c r="G504" s="2">
        <v>197932</v>
      </c>
      <c r="H504" s="3" t="str">
        <f>HYPERLINK("https://cloud.oebiotech.com/#/lm/network/197932", "https://cloud.oebiotech.com/#/lm/network/197932")</f>
        <v>https://cloud.oebiotech.com/#/lm/network/197932</v>
      </c>
      <c r="I504" s="2" t="s">
        <v>5028</v>
      </c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 t="s">
        <v>5029</v>
      </c>
      <c r="U504" s="2" t="s">
        <v>5030</v>
      </c>
      <c r="V504" s="2" t="s">
        <v>95</v>
      </c>
      <c r="W504" s="2" t="s">
        <v>96</v>
      </c>
      <c r="X504" s="2" t="s">
        <v>97</v>
      </c>
      <c r="Y504" s="2" t="s">
        <v>98</v>
      </c>
      <c r="Z504" s="2" t="s">
        <v>99</v>
      </c>
      <c r="AA504" s="2" t="s">
        <v>100</v>
      </c>
      <c r="AB504" s="2" t="s">
        <v>101</v>
      </c>
      <c r="AC504" s="2">
        <v>61.86</v>
      </c>
      <c r="AD504" s="2">
        <v>86.25</v>
      </c>
      <c r="AE504" s="2">
        <v>51.22</v>
      </c>
      <c r="AF504" s="2" t="s">
        <v>5031</v>
      </c>
      <c r="AG504" s="2" t="s">
        <v>1088</v>
      </c>
      <c r="AH504" s="2" t="s">
        <v>5032</v>
      </c>
      <c r="AI504" s="2">
        <v>3</v>
      </c>
      <c r="AJ504" s="2">
        <v>17.938701653079299</v>
      </c>
      <c r="AK504" s="2">
        <v>18.212226149047801</v>
      </c>
      <c r="AL504" s="2">
        <v>17.937852975986399</v>
      </c>
      <c r="AM504" s="2">
        <v>18.249613015692098</v>
      </c>
      <c r="AN504" s="2">
        <v>17.892072984399501</v>
      </c>
      <c r="AO504" s="2">
        <v>18.094481654667199</v>
      </c>
      <c r="AP504" s="2">
        <v>18.4144517863526</v>
      </c>
      <c r="AQ504" s="2">
        <v>17.732840616377899</v>
      </c>
      <c r="AR504" s="2">
        <v>9.6233145402724691</v>
      </c>
      <c r="AS504" s="2">
        <v>16.248025390337901</v>
      </c>
      <c r="AT504" s="2">
        <v>18.010959706883298</v>
      </c>
      <c r="AU504" s="2">
        <v>15.9229794452652</v>
      </c>
      <c r="AV504" s="2">
        <v>15.6050989431624</v>
      </c>
      <c r="AW504" s="2">
        <v>17.7812884991922</v>
      </c>
      <c r="AX504" s="2">
        <v>16.927479607005999</v>
      </c>
      <c r="AY504" s="2">
        <v>18.124106414972601</v>
      </c>
      <c r="AZ504" s="2">
        <v>9.6233145402724691</v>
      </c>
      <c r="BA504" s="2">
        <v>18.6167971804602</v>
      </c>
      <c r="BB504" s="2">
        <v>19.133024001992101</v>
      </c>
      <c r="BC504" s="2">
        <v>18.824438432227598</v>
      </c>
      <c r="BD504" s="2">
        <v>15.3713995889127</v>
      </c>
      <c r="BE504" s="2">
        <v>17.311932222779699</v>
      </c>
      <c r="BF504" s="2">
        <v>16.414892971578599</v>
      </c>
      <c r="BG504" s="2">
        <v>18.963194719482999</v>
      </c>
      <c r="BH504" s="2">
        <v>16.787951263806999</v>
      </c>
      <c r="BI504" s="2">
        <v>18.230078338298402</v>
      </c>
      <c r="BJ504" s="2">
        <v>17.705911909441699</v>
      </c>
      <c r="BK504" s="2">
        <v>13.9459503733645</v>
      </c>
      <c r="BL504" s="2">
        <v>18.2023750087106</v>
      </c>
      <c r="BM504" s="2">
        <v>16.3560619441608</v>
      </c>
      <c r="BN504" s="2">
        <v>15.1289460535594</v>
      </c>
      <c r="BO504" s="2">
        <v>18.669666407805199</v>
      </c>
      <c r="BP504" s="2">
        <v>18.080434489853602</v>
      </c>
      <c r="BQ504" s="2">
        <v>18.835890189901999</v>
      </c>
      <c r="BR504" s="2">
        <v>18.319664051272401</v>
      </c>
      <c r="BS504" s="2">
        <v>17.573131244796901</v>
      </c>
      <c r="BT504" s="2">
        <v>19.420048821560801</v>
      </c>
      <c r="BU504" s="2">
        <v>18.358534365195901</v>
      </c>
      <c r="BV504" s="2">
        <v>18.685220167842001</v>
      </c>
      <c r="BW504" s="2">
        <v>17.010585798548199</v>
      </c>
      <c r="BX504" s="2">
        <v>16.1471641736387</v>
      </c>
      <c r="BY504" s="2">
        <v>16.347737793955002</v>
      </c>
      <c r="BZ504" s="2">
        <v>17.515120540663698</v>
      </c>
      <c r="CA504" s="2">
        <v>17.096313046027898</v>
      </c>
      <c r="CB504" s="2">
        <v>18.268017551934399</v>
      </c>
      <c r="CC504" s="2">
        <v>18.413892452298501</v>
      </c>
      <c r="CD504" s="2">
        <v>14.9105649727324</v>
      </c>
      <c r="CE504" s="2">
        <v>18.5072797258523</v>
      </c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</row>
    <row r="505" spans="1:97">
      <c r="A505" s="2" t="s">
        <v>5033</v>
      </c>
      <c r="B505" s="2">
        <v>133.05031</v>
      </c>
      <c r="C505" s="2">
        <v>1.0940000000000001</v>
      </c>
      <c r="D505" s="2" t="s">
        <v>146</v>
      </c>
      <c r="E505" s="2" t="s">
        <v>5034</v>
      </c>
      <c r="F505" s="2" t="s">
        <v>5035</v>
      </c>
      <c r="G505" s="2">
        <v>202097</v>
      </c>
      <c r="H505" s="3" t="str">
        <f>HYPERLINK("https://cloud.oebiotech.com/#/lm/network/202097", "https://cloud.oebiotech.com/#/lm/network/202097")</f>
        <v>https://cloud.oebiotech.com/#/lm/network/202097</v>
      </c>
      <c r="I505" s="2" t="s">
        <v>5036</v>
      </c>
      <c r="J505" s="2"/>
      <c r="K505" s="2"/>
      <c r="L505" s="2">
        <v>13420529</v>
      </c>
      <c r="M505" s="2"/>
      <c r="N505" s="2"/>
      <c r="O505" s="2"/>
      <c r="P505" s="2"/>
      <c r="Q505" s="2"/>
      <c r="R505" s="2"/>
      <c r="S505" s="2"/>
      <c r="T505" s="2" t="s">
        <v>5037</v>
      </c>
      <c r="U505" s="2" t="s">
        <v>5038</v>
      </c>
      <c r="V505" s="2" t="s">
        <v>338</v>
      </c>
      <c r="W505" s="2" t="s">
        <v>339</v>
      </c>
      <c r="X505" s="2" t="s">
        <v>663</v>
      </c>
      <c r="Y505" s="2" t="s">
        <v>341</v>
      </c>
      <c r="Z505" s="2" t="s">
        <v>341</v>
      </c>
      <c r="AA505" s="2" t="s">
        <v>664</v>
      </c>
      <c r="AB505" s="2" t="s">
        <v>101</v>
      </c>
      <c r="AC505" s="2">
        <v>61.83</v>
      </c>
      <c r="AD505" s="2">
        <v>96.69</v>
      </c>
      <c r="AE505" s="2">
        <v>53.13</v>
      </c>
      <c r="AF505" s="2" t="s">
        <v>5039</v>
      </c>
      <c r="AG505" s="2" t="s">
        <v>194</v>
      </c>
      <c r="AH505" s="2" t="s">
        <v>5040</v>
      </c>
      <c r="AI505" s="2">
        <v>2.25</v>
      </c>
      <c r="AJ505" s="2">
        <v>19.966058793266701</v>
      </c>
      <c r="AK505" s="2">
        <v>20.034299159444299</v>
      </c>
      <c r="AL505" s="2">
        <v>20.213821479097899</v>
      </c>
      <c r="AM505" s="2">
        <v>20.457729059344899</v>
      </c>
      <c r="AN505" s="2">
        <v>20.466747449051699</v>
      </c>
      <c r="AO505" s="2">
        <v>20.021416721080101</v>
      </c>
      <c r="AP505" s="2">
        <v>20.1979327410066</v>
      </c>
      <c r="AQ505" s="2">
        <v>20.297698282683101</v>
      </c>
      <c r="AR505" s="2">
        <v>19.985671082591502</v>
      </c>
      <c r="AS505" s="2">
        <v>18.653730599039999</v>
      </c>
      <c r="AT505" s="2">
        <v>18.361379425448899</v>
      </c>
      <c r="AU505" s="2">
        <v>20.355084857714498</v>
      </c>
      <c r="AV505" s="2">
        <v>19.933744502622702</v>
      </c>
      <c r="AW505" s="2">
        <v>20.210803760715599</v>
      </c>
      <c r="AX505" s="2">
        <v>18.556242290868301</v>
      </c>
      <c r="AY505" s="2">
        <v>21.214116063863401</v>
      </c>
      <c r="AZ505" s="2">
        <v>19.858282764887999</v>
      </c>
      <c r="BA505" s="2">
        <v>18.970383033055398</v>
      </c>
      <c r="BB505" s="2">
        <v>19.157518310359102</v>
      </c>
      <c r="BC505" s="2">
        <v>20.011538104278198</v>
      </c>
      <c r="BD505" s="2">
        <v>19.777604771903999</v>
      </c>
      <c r="BE505" s="2">
        <v>19.207793190581299</v>
      </c>
      <c r="BF505" s="2">
        <v>21.616713067881701</v>
      </c>
      <c r="BG505" s="2">
        <v>19.713221299602498</v>
      </c>
      <c r="BH505" s="2">
        <v>19.207779561997899</v>
      </c>
      <c r="BI505" s="2">
        <v>20.168618675106998</v>
      </c>
      <c r="BJ505" s="2">
        <v>19.7304974687362</v>
      </c>
      <c r="BK505" s="2">
        <v>21.041375629745101</v>
      </c>
      <c r="BL505" s="2">
        <v>19.4232887828326</v>
      </c>
      <c r="BM505" s="2">
        <v>20.336853737135399</v>
      </c>
      <c r="BN505" s="2">
        <v>19.4649959041048</v>
      </c>
      <c r="BO505" s="2">
        <v>19.971385705641101</v>
      </c>
      <c r="BP505" s="2">
        <v>20.0340717076147</v>
      </c>
      <c r="BQ505" s="2">
        <v>19.741875537209602</v>
      </c>
      <c r="BR505" s="2">
        <v>19.138547874599599</v>
      </c>
      <c r="BS505" s="2">
        <v>20.915464515781999</v>
      </c>
      <c r="BT505" s="2">
        <v>19.373567438786399</v>
      </c>
      <c r="BU505" s="2">
        <v>19.542509759625499</v>
      </c>
      <c r="BV505" s="2">
        <v>21.789325923417501</v>
      </c>
      <c r="BW505" s="2">
        <v>19.354486343088499</v>
      </c>
      <c r="BX505" s="2">
        <v>19.310791754023999</v>
      </c>
      <c r="BY505" s="2">
        <v>20.998183463025999</v>
      </c>
      <c r="BZ505" s="2">
        <v>19.707556244108801</v>
      </c>
      <c r="CA505" s="2">
        <v>20.378739278569999</v>
      </c>
      <c r="CB505" s="2">
        <v>19.3675983954695</v>
      </c>
      <c r="CC505" s="2">
        <v>19.742861894915698</v>
      </c>
      <c r="CD505" s="2">
        <v>19.2545381448497</v>
      </c>
      <c r="CE505" s="2">
        <v>18.938518518927399</v>
      </c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</row>
    <row r="506" spans="1:97">
      <c r="A506" s="2" t="s">
        <v>5041</v>
      </c>
      <c r="B506" s="2">
        <v>201.14917</v>
      </c>
      <c r="C506" s="2">
        <v>8.8520000000000003</v>
      </c>
      <c r="D506" s="2" t="s">
        <v>146</v>
      </c>
      <c r="E506" s="2" t="s">
        <v>5042</v>
      </c>
      <c r="F506" s="2" t="s">
        <v>5043</v>
      </c>
      <c r="G506" s="2">
        <v>60843</v>
      </c>
      <c r="H506" s="3" t="str">
        <f>HYPERLINK("https://cloud.oebiotech.com/#/lm/network/60843", "https://cloud.oebiotech.com/#/lm/network/60843")</f>
        <v>https://cloud.oebiotech.com/#/lm/network/60843</v>
      </c>
      <c r="I506" s="2" t="s">
        <v>5044</v>
      </c>
      <c r="J506" s="2">
        <v>92188</v>
      </c>
      <c r="K506" s="2"/>
      <c r="L506" s="2">
        <v>86850</v>
      </c>
      <c r="M506" s="2"/>
      <c r="N506" s="2"/>
      <c r="O506" s="2"/>
      <c r="P506" s="2"/>
      <c r="Q506" s="2"/>
      <c r="R506" s="2"/>
      <c r="S506" s="2" t="s">
        <v>5045</v>
      </c>
      <c r="T506" s="2" t="s">
        <v>5046</v>
      </c>
      <c r="U506" s="2" t="s">
        <v>5047</v>
      </c>
      <c r="V506" s="2" t="s">
        <v>95</v>
      </c>
      <c r="W506" s="2" t="s">
        <v>180</v>
      </c>
      <c r="X506" s="2" t="s">
        <v>5048</v>
      </c>
      <c r="Y506" s="2" t="s">
        <v>98</v>
      </c>
      <c r="Z506" s="2" t="s">
        <v>182</v>
      </c>
      <c r="AA506" s="2" t="s">
        <v>5049</v>
      </c>
      <c r="AB506" s="2" t="s">
        <v>3086</v>
      </c>
      <c r="AC506" s="2">
        <v>61.76</v>
      </c>
      <c r="AD506" s="2">
        <v>93.47</v>
      </c>
      <c r="AE506" s="2">
        <v>31</v>
      </c>
      <c r="AF506" s="2" t="s">
        <v>5050</v>
      </c>
      <c r="AG506" s="2" t="s">
        <v>157</v>
      </c>
      <c r="AH506" s="2" t="s">
        <v>5051</v>
      </c>
      <c r="AI506" s="2">
        <v>1.99</v>
      </c>
      <c r="AJ506" s="2">
        <v>18.687575390795299</v>
      </c>
      <c r="AK506" s="2">
        <v>18.661202811409801</v>
      </c>
      <c r="AL506" s="2">
        <v>18.987672432835701</v>
      </c>
      <c r="AM506" s="2">
        <v>18.945219140801701</v>
      </c>
      <c r="AN506" s="2">
        <v>19.054448146841999</v>
      </c>
      <c r="AO506" s="2">
        <v>19.0362379903099</v>
      </c>
      <c r="AP506" s="2">
        <v>18.666872514909301</v>
      </c>
      <c r="AQ506" s="2">
        <v>18.528465862527799</v>
      </c>
      <c r="AR506" s="2">
        <v>17.937577156155999</v>
      </c>
      <c r="AS506" s="2">
        <v>18.321942139610201</v>
      </c>
      <c r="AT506" s="2">
        <v>18.993768438915101</v>
      </c>
      <c r="AU506" s="2">
        <v>18.634061897637199</v>
      </c>
      <c r="AV506" s="2">
        <v>19.528410975632202</v>
      </c>
      <c r="AW506" s="2">
        <v>18.338402477009701</v>
      </c>
      <c r="AX506" s="2">
        <v>18.4577048654814</v>
      </c>
      <c r="AY506" s="2">
        <v>18.504787609853601</v>
      </c>
      <c r="AZ506" s="2">
        <v>18.405758413151801</v>
      </c>
      <c r="BA506" s="2">
        <v>18.954726361619201</v>
      </c>
      <c r="BB506" s="2">
        <v>18.662205430099799</v>
      </c>
      <c r="BC506" s="2">
        <v>19.3908287121541</v>
      </c>
      <c r="BD506" s="2">
        <v>18.179587586215799</v>
      </c>
      <c r="BE506" s="2">
        <v>19.078640301361801</v>
      </c>
      <c r="BF506" s="2">
        <v>18.330444256476799</v>
      </c>
      <c r="BG506" s="2">
        <v>18.753029843912302</v>
      </c>
      <c r="BH506" s="2">
        <v>19.2104033341042</v>
      </c>
      <c r="BI506" s="2">
        <v>18.452161069707099</v>
      </c>
      <c r="BJ506" s="2">
        <v>19.4633180351493</v>
      </c>
      <c r="BK506" s="2">
        <v>18.322708184366999</v>
      </c>
      <c r="BL506" s="2">
        <v>18.340507592108001</v>
      </c>
      <c r="BM506" s="2">
        <v>19.428721242958702</v>
      </c>
      <c r="BN506" s="2">
        <v>18.319641208997801</v>
      </c>
      <c r="BO506" s="2">
        <v>18.367912477419502</v>
      </c>
      <c r="BP506" s="2">
        <v>18.457635216947601</v>
      </c>
      <c r="BQ506" s="2">
        <v>18.808792208831498</v>
      </c>
      <c r="BR506" s="2">
        <v>18.798096788856999</v>
      </c>
      <c r="BS506" s="2">
        <v>19.036064225501399</v>
      </c>
      <c r="BT506" s="2">
        <v>19.3345307024913</v>
      </c>
      <c r="BU506" s="2">
        <v>18.392174347084399</v>
      </c>
      <c r="BV506" s="2">
        <v>18.732621641943702</v>
      </c>
      <c r="BW506" s="2">
        <v>18.620703239828099</v>
      </c>
      <c r="BX506" s="2">
        <v>18.330991039400399</v>
      </c>
      <c r="BY506" s="2">
        <v>19.6277688511605</v>
      </c>
      <c r="BZ506" s="2">
        <v>18.7427376463</v>
      </c>
      <c r="CA506" s="2">
        <v>18.0429571983654</v>
      </c>
      <c r="CB506" s="2">
        <v>18.804674803826401</v>
      </c>
      <c r="CC506" s="2">
        <v>18.378026645924201</v>
      </c>
      <c r="CD506" s="2">
        <v>18.668009273269501</v>
      </c>
      <c r="CE506" s="2">
        <v>18.471671364765999</v>
      </c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</row>
    <row r="507" spans="1:97">
      <c r="A507" s="2" t="s">
        <v>5052</v>
      </c>
      <c r="B507" s="2">
        <v>146.1174</v>
      </c>
      <c r="C507" s="2">
        <v>3.371</v>
      </c>
      <c r="D507" s="2" t="s">
        <v>84</v>
      </c>
      <c r="E507" s="2" t="s">
        <v>5053</v>
      </c>
      <c r="F507" s="2" t="s">
        <v>5054</v>
      </c>
      <c r="G507" s="2">
        <v>267030</v>
      </c>
      <c r="H507" s="3" t="str">
        <f>HYPERLINK("https://cloud.oebiotech.com/#/lm/network/267030", "https://cloud.oebiotech.com/#/lm/network/267030")</f>
        <v>https://cloud.oebiotech.com/#/lm/network/267030</v>
      </c>
      <c r="I507" s="2"/>
      <c r="J507" s="2">
        <v>44542</v>
      </c>
      <c r="K507" s="2"/>
      <c r="L507" s="2">
        <v>560437</v>
      </c>
      <c r="M507" s="2"/>
      <c r="N507" s="2"/>
      <c r="O507" s="2"/>
      <c r="P507" s="2"/>
      <c r="Q507" s="2"/>
      <c r="R507" s="2"/>
      <c r="S507" s="2" t="s">
        <v>5055</v>
      </c>
      <c r="T507" s="2" t="s">
        <v>5056</v>
      </c>
      <c r="U507" s="2" t="s">
        <v>5057</v>
      </c>
      <c r="V507" s="2" t="s">
        <v>115</v>
      </c>
      <c r="W507" s="2" t="s">
        <v>116</v>
      </c>
      <c r="X507" s="2" t="s">
        <v>117</v>
      </c>
      <c r="Y507" s="2" t="s">
        <v>118</v>
      </c>
      <c r="Z507" s="2" t="s">
        <v>119</v>
      </c>
      <c r="AA507" s="2" t="s">
        <v>120</v>
      </c>
      <c r="AB507" s="2" t="s">
        <v>101</v>
      </c>
      <c r="AC507" s="2">
        <v>61.74</v>
      </c>
      <c r="AD507" s="2">
        <v>95.61</v>
      </c>
      <c r="AE507" s="2">
        <v>49.75</v>
      </c>
      <c r="AF507" s="2" t="s">
        <v>5058</v>
      </c>
      <c r="AG507" s="2" t="s">
        <v>103</v>
      </c>
      <c r="AH507" s="2" t="s">
        <v>1038</v>
      </c>
      <c r="AI507" s="2">
        <v>1.37</v>
      </c>
      <c r="AJ507" s="2">
        <v>21.439152671027699</v>
      </c>
      <c r="AK507" s="2">
        <v>21.531144320496299</v>
      </c>
      <c r="AL507" s="2">
        <v>21.494242497871401</v>
      </c>
      <c r="AM507" s="2">
        <v>21.556513543430299</v>
      </c>
      <c r="AN507" s="2">
        <v>21.6853859302087</v>
      </c>
      <c r="AO507" s="2">
        <v>21.666446164201201</v>
      </c>
      <c r="AP507" s="2">
        <v>21.541589497968499</v>
      </c>
      <c r="AQ507" s="2">
        <v>21.577335518865599</v>
      </c>
      <c r="AR507" s="2">
        <v>21.861141109056199</v>
      </c>
      <c r="AS507" s="2">
        <v>20.425246119656801</v>
      </c>
      <c r="AT507" s="2">
        <v>21.076129941363</v>
      </c>
      <c r="AU507" s="2">
        <v>20.717831684537799</v>
      </c>
      <c r="AV507" s="2">
        <v>20.733686321516899</v>
      </c>
      <c r="AW507" s="2">
        <v>21.476143991363099</v>
      </c>
      <c r="AX507" s="2">
        <v>20.832927205386198</v>
      </c>
      <c r="AY507" s="2">
        <v>21.0118391223711</v>
      </c>
      <c r="AZ507" s="2">
        <v>19.929481052593001</v>
      </c>
      <c r="BA507" s="2">
        <v>21.2264651777698</v>
      </c>
      <c r="BB507" s="2">
        <v>20.446162213851299</v>
      </c>
      <c r="BC507" s="2">
        <v>21.646068713109301</v>
      </c>
      <c r="BD507" s="2">
        <v>21.52210281032</v>
      </c>
      <c r="BE507" s="2">
        <v>21.6717533853944</v>
      </c>
      <c r="BF507" s="2">
        <v>20.909480941602901</v>
      </c>
      <c r="BG507" s="2">
        <v>20.859636680279699</v>
      </c>
      <c r="BH507" s="2">
        <v>19.709357399211001</v>
      </c>
      <c r="BI507" s="2">
        <v>20.890773225612801</v>
      </c>
      <c r="BJ507" s="2">
        <v>22.3515727129389</v>
      </c>
      <c r="BK507" s="2">
        <v>21.492698461463899</v>
      </c>
      <c r="BL507" s="2">
        <v>21.2395495321901</v>
      </c>
      <c r="BM507" s="2">
        <v>21.7353245396835</v>
      </c>
      <c r="BN507" s="2">
        <v>22.138079344322701</v>
      </c>
      <c r="BO507" s="2">
        <v>20.588459843328</v>
      </c>
      <c r="BP507" s="2">
        <v>21.693123733339998</v>
      </c>
      <c r="BQ507" s="2">
        <v>21.764090397183601</v>
      </c>
      <c r="BR507" s="2">
        <v>20.573513910726401</v>
      </c>
      <c r="BS507" s="2">
        <v>21.888323038474301</v>
      </c>
      <c r="BT507" s="2">
        <v>20.436949243416599</v>
      </c>
      <c r="BU507" s="2">
        <v>21.960960664509901</v>
      </c>
      <c r="BV507" s="2">
        <v>22.321969471943898</v>
      </c>
      <c r="BW507" s="2">
        <v>20.3687681786061</v>
      </c>
      <c r="BX507" s="2">
        <v>21.285606221371399</v>
      </c>
      <c r="BY507" s="2">
        <v>22.041531093428802</v>
      </c>
      <c r="BZ507" s="2">
        <v>21.9955119461296</v>
      </c>
      <c r="CA507" s="2">
        <v>20.8606321517914</v>
      </c>
      <c r="CB507" s="2">
        <v>20.469444421173399</v>
      </c>
      <c r="CC507" s="2">
        <v>21.591851314481001</v>
      </c>
      <c r="CD507" s="2">
        <v>21.970040055838599</v>
      </c>
      <c r="CE507" s="2">
        <v>21.487459644440101</v>
      </c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</row>
    <row r="508" spans="1:97">
      <c r="A508" s="2" t="s">
        <v>5059</v>
      </c>
      <c r="B508" s="2">
        <v>133.05028999999999</v>
      </c>
      <c r="C508" s="2">
        <v>0.85499999999999998</v>
      </c>
      <c r="D508" s="2" t="s">
        <v>146</v>
      </c>
      <c r="E508" s="2" t="s">
        <v>5060</v>
      </c>
      <c r="F508" s="2" t="s">
        <v>5061</v>
      </c>
      <c r="G508" s="2">
        <v>543205</v>
      </c>
      <c r="H508" s="3" t="str">
        <f>HYPERLINK("https://cloud.oebiotech.com/#/lm/network/543205", "https://cloud.oebiotech.com/#/lm/network/543205")</f>
        <v>https://cloud.oebiotech.com/#/lm/network/543205</v>
      </c>
      <c r="I508" s="2"/>
      <c r="J508" s="2"/>
      <c r="K508" s="2"/>
      <c r="L508" s="2">
        <v>827</v>
      </c>
      <c r="M508" s="2" t="s">
        <v>5062</v>
      </c>
      <c r="N508" s="2" t="s">
        <v>5063</v>
      </c>
      <c r="O508" s="2" t="s">
        <v>5064</v>
      </c>
      <c r="P508" s="2"/>
      <c r="Q508" s="2"/>
      <c r="R508" s="2"/>
      <c r="S508" s="2" t="s">
        <v>5065</v>
      </c>
      <c r="T508" s="2" t="s">
        <v>5066</v>
      </c>
      <c r="U508" s="2" t="s">
        <v>5067</v>
      </c>
      <c r="V508" s="2" t="s">
        <v>338</v>
      </c>
      <c r="W508" s="2" t="s">
        <v>339</v>
      </c>
      <c r="X508" s="2" t="s">
        <v>663</v>
      </c>
      <c r="Y508" s="2" t="s">
        <v>341</v>
      </c>
      <c r="Z508" s="2" t="s">
        <v>341</v>
      </c>
      <c r="AA508" s="2" t="s">
        <v>664</v>
      </c>
      <c r="AB508" s="2" t="s">
        <v>3086</v>
      </c>
      <c r="AC508" s="2">
        <v>61.67</v>
      </c>
      <c r="AD508" s="2">
        <v>96.69</v>
      </c>
      <c r="AE508" s="2">
        <v>36.75</v>
      </c>
      <c r="AF508" s="2" t="s">
        <v>5068</v>
      </c>
      <c r="AG508" s="2" t="s">
        <v>993</v>
      </c>
      <c r="AH508" s="2" t="s">
        <v>5069</v>
      </c>
      <c r="AI508" s="2">
        <v>-1.5</v>
      </c>
      <c r="AJ508" s="2">
        <v>20.118201410207501</v>
      </c>
      <c r="AK508" s="2">
        <v>20.357363672497801</v>
      </c>
      <c r="AL508" s="2">
        <v>20.579495121493402</v>
      </c>
      <c r="AM508" s="2">
        <v>20.492474142570199</v>
      </c>
      <c r="AN508" s="2">
        <v>20.4158230397138</v>
      </c>
      <c r="AO508" s="2">
        <v>20.586048261095101</v>
      </c>
      <c r="AP508" s="2">
        <v>20.474863124591501</v>
      </c>
      <c r="AQ508" s="2">
        <v>20.1211772690679</v>
      </c>
      <c r="AR508" s="2">
        <v>20.161815170363099</v>
      </c>
      <c r="AS508" s="2">
        <v>19.180783133564098</v>
      </c>
      <c r="AT508" s="2">
        <v>19.1461301466633</v>
      </c>
      <c r="AU508" s="2">
        <v>20.159956532207001</v>
      </c>
      <c r="AV508" s="2">
        <v>19.5535481895343</v>
      </c>
      <c r="AW508" s="2">
        <v>20.401711655734399</v>
      </c>
      <c r="AX508" s="2">
        <v>19.409959887899699</v>
      </c>
      <c r="AY508" s="2">
        <v>22.107041634861901</v>
      </c>
      <c r="AZ508" s="2">
        <v>19.871125074558702</v>
      </c>
      <c r="BA508" s="2">
        <v>18.507566491671501</v>
      </c>
      <c r="BB508" s="2">
        <v>19.165956014876802</v>
      </c>
      <c r="BC508" s="2">
        <v>20.066021741289799</v>
      </c>
      <c r="BD508" s="2">
        <v>19.810224989330798</v>
      </c>
      <c r="BE508" s="2">
        <v>20.693911499355899</v>
      </c>
      <c r="BF508" s="2">
        <v>21.137160386939001</v>
      </c>
      <c r="BG508" s="2">
        <v>19.553777711003299</v>
      </c>
      <c r="BH508" s="2">
        <v>19.254701976633498</v>
      </c>
      <c r="BI508" s="2">
        <v>21.356481318942301</v>
      </c>
      <c r="BJ508" s="2">
        <v>19.9187157628864</v>
      </c>
      <c r="BK508" s="2">
        <v>20.899212479483001</v>
      </c>
      <c r="BL508" s="2">
        <v>20.365694484864701</v>
      </c>
      <c r="BM508" s="2">
        <v>20.097529901434601</v>
      </c>
      <c r="BN508" s="2">
        <v>19.909272309941102</v>
      </c>
      <c r="BO508" s="2">
        <v>20.096441084849602</v>
      </c>
      <c r="BP508" s="2">
        <v>20.557973632316301</v>
      </c>
      <c r="BQ508" s="2">
        <v>20.108685473802499</v>
      </c>
      <c r="BR508" s="2">
        <v>19.7560011325399</v>
      </c>
      <c r="BS508" s="2">
        <v>21.217969686914099</v>
      </c>
      <c r="BT508" s="2">
        <v>20.386426664351902</v>
      </c>
      <c r="BU508" s="2">
        <v>19.6782503604719</v>
      </c>
      <c r="BV508" s="2">
        <v>21.719728713345599</v>
      </c>
      <c r="BW508" s="2">
        <v>19.476439836001099</v>
      </c>
      <c r="BX508" s="2">
        <v>19.808811278788902</v>
      </c>
      <c r="BY508" s="2">
        <v>22.400272379567799</v>
      </c>
      <c r="BZ508" s="2">
        <v>19.936414096312401</v>
      </c>
      <c r="CA508" s="2">
        <v>19.9411748730674</v>
      </c>
      <c r="CB508" s="2">
        <v>20.155577098961199</v>
      </c>
      <c r="CC508" s="2">
        <v>19.587679468000498</v>
      </c>
      <c r="CD508" s="2">
        <v>19.934924325147101</v>
      </c>
      <c r="CE508" s="2">
        <v>19.562372367222402</v>
      </c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</row>
    <row r="509" spans="1:97">
      <c r="A509" s="2" t="s">
        <v>5070</v>
      </c>
      <c r="B509" s="2">
        <v>411.23822000000001</v>
      </c>
      <c r="C509" s="2">
        <v>6.7089999999999996</v>
      </c>
      <c r="D509" s="2" t="s">
        <v>146</v>
      </c>
      <c r="E509" s="2" t="s">
        <v>5071</v>
      </c>
      <c r="F509" s="2" t="s">
        <v>5072</v>
      </c>
      <c r="G509" s="2">
        <v>47313</v>
      </c>
      <c r="H509" s="3" t="str">
        <f>HYPERLINK("https://cloud.oebiotech.com/#/lm/network/47313", "https://cloud.oebiotech.com/#/lm/network/47313")</f>
        <v>https://cloud.oebiotech.com/#/lm/network/47313</v>
      </c>
      <c r="I509" s="2" t="s">
        <v>5073</v>
      </c>
      <c r="J509" s="2">
        <v>5897</v>
      </c>
      <c r="K509" s="2"/>
      <c r="L509" s="2">
        <v>387316</v>
      </c>
      <c r="M509" s="2" t="s">
        <v>5074</v>
      </c>
      <c r="N509" s="2" t="s">
        <v>576</v>
      </c>
      <c r="O509" s="2" t="s">
        <v>577</v>
      </c>
      <c r="P509" s="2">
        <v>16525</v>
      </c>
      <c r="Q509" s="2" t="s">
        <v>5075</v>
      </c>
      <c r="R509" s="2" t="s">
        <v>5076</v>
      </c>
      <c r="S509" s="2" t="s">
        <v>5077</v>
      </c>
      <c r="T509" s="2" t="s">
        <v>5078</v>
      </c>
      <c r="U509" s="2" t="s">
        <v>5079</v>
      </c>
      <c r="V509" s="2" t="s">
        <v>95</v>
      </c>
      <c r="W509" s="2" t="s">
        <v>152</v>
      </c>
      <c r="X509" s="2" t="s">
        <v>153</v>
      </c>
      <c r="Y509" s="2" t="s">
        <v>98</v>
      </c>
      <c r="Z509" s="2" t="s">
        <v>154</v>
      </c>
      <c r="AA509" s="2" t="s">
        <v>155</v>
      </c>
      <c r="AB509" s="2" t="s">
        <v>3086</v>
      </c>
      <c r="AC509" s="2">
        <v>61.6</v>
      </c>
      <c r="AD509" s="2">
        <v>94.36</v>
      </c>
      <c r="AE509" s="2">
        <v>36.69</v>
      </c>
      <c r="AF509" s="2" t="s">
        <v>5080</v>
      </c>
      <c r="AG509" s="2" t="s">
        <v>157</v>
      </c>
      <c r="AH509" s="2" t="s">
        <v>5081</v>
      </c>
      <c r="AI509" s="2">
        <v>1.46</v>
      </c>
      <c r="AJ509" s="2">
        <v>18.464647888161601</v>
      </c>
      <c r="AK509" s="2">
        <v>18.5839718708276</v>
      </c>
      <c r="AL509" s="2">
        <v>18.7076232564009</v>
      </c>
      <c r="AM509" s="2">
        <v>18.8995807628724</v>
      </c>
      <c r="AN509" s="2">
        <v>18.599968833261801</v>
      </c>
      <c r="AO509" s="2">
        <v>18.351794052633402</v>
      </c>
      <c r="AP509" s="2">
        <v>18.741844372542101</v>
      </c>
      <c r="AQ509" s="2">
        <v>18.567371317350801</v>
      </c>
      <c r="AR509" s="2">
        <v>16.945236347169601</v>
      </c>
      <c r="AS509" s="2">
        <v>16.393142389108</v>
      </c>
      <c r="AT509" s="2">
        <v>19.354473042095101</v>
      </c>
      <c r="AU509" s="2">
        <v>15.654994811791701</v>
      </c>
      <c r="AV509" s="2">
        <v>18.522310303183001</v>
      </c>
      <c r="AW509" s="2">
        <v>18.547499850692802</v>
      </c>
      <c r="AX509" s="2">
        <v>18.270388640488601</v>
      </c>
      <c r="AY509" s="2">
        <v>18.401034946784499</v>
      </c>
      <c r="AZ509" s="2">
        <v>18.241603783679299</v>
      </c>
      <c r="BA509" s="2">
        <v>17.827724703341602</v>
      </c>
      <c r="BB509" s="2">
        <v>19.349177284259099</v>
      </c>
      <c r="BC509" s="2">
        <v>19.9184718556067</v>
      </c>
      <c r="BD509" s="2">
        <v>16.092033630285702</v>
      </c>
      <c r="BE509" s="2">
        <v>19.9759023635328</v>
      </c>
      <c r="BF509" s="2">
        <v>15.4693435565208</v>
      </c>
      <c r="BG509" s="2">
        <v>19.8478739757625</v>
      </c>
      <c r="BH509" s="2">
        <v>16.543352088143902</v>
      </c>
      <c r="BI509" s="2">
        <v>11.171589652158101</v>
      </c>
      <c r="BJ509" s="2">
        <v>18.925242873113401</v>
      </c>
      <c r="BK509" s="2">
        <v>17.575694197054499</v>
      </c>
      <c r="BL509" s="2">
        <v>20.049489545608999</v>
      </c>
      <c r="BM509" s="2">
        <v>17.011315717386999</v>
      </c>
      <c r="BN509" s="2">
        <v>17.6585132448478</v>
      </c>
      <c r="BO509" s="2">
        <v>18.224364451005599</v>
      </c>
      <c r="BP509" s="2">
        <v>19.726809036815499</v>
      </c>
      <c r="BQ509" s="2">
        <v>18.662063915936201</v>
      </c>
      <c r="BR509" s="2">
        <v>18.446896708873499</v>
      </c>
      <c r="BS509" s="2">
        <v>15.5798126624828</v>
      </c>
      <c r="BT509" s="2">
        <v>17.542137186221499</v>
      </c>
      <c r="BU509" s="2">
        <v>17.565642020795501</v>
      </c>
      <c r="BV509" s="2">
        <v>18.597866843032801</v>
      </c>
      <c r="BW509" s="2">
        <v>18.5874464139822</v>
      </c>
      <c r="BX509" s="2">
        <v>17.427922269115399</v>
      </c>
      <c r="BY509" s="2">
        <v>18.831562459278</v>
      </c>
      <c r="BZ509" s="2">
        <v>18.402386527580301</v>
      </c>
      <c r="CA509" s="2">
        <v>12.570858976446999</v>
      </c>
      <c r="CB509" s="2">
        <v>18.1318413899942</v>
      </c>
      <c r="CC509" s="2">
        <v>19.006139466661399</v>
      </c>
      <c r="CD509" s="2">
        <v>18.0816984927264</v>
      </c>
      <c r="CE509" s="2">
        <v>18.688277086178999</v>
      </c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</row>
    <row r="510" spans="1:97">
      <c r="A510" s="2" t="s">
        <v>5082</v>
      </c>
      <c r="B510" s="2">
        <v>464.30101999999999</v>
      </c>
      <c r="C510" s="2">
        <v>6.9820000000000002</v>
      </c>
      <c r="D510" s="2" t="s">
        <v>146</v>
      </c>
      <c r="E510" s="2" t="s">
        <v>5083</v>
      </c>
      <c r="F510" s="2" t="s">
        <v>5084</v>
      </c>
      <c r="G510" s="2">
        <v>46731</v>
      </c>
      <c r="H510" s="3" t="str">
        <f>HYPERLINK("https://cloud.oebiotech.com/#/lm/network/46731", "https://cloud.oebiotech.com/#/lm/network/46731")</f>
        <v>https://cloud.oebiotech.com/#/lm/network/46731</v>
      </c>
      <c r="I510" s="2" t="s">
        <v>5085</v>
      </c>
      <c r="J510" s="2">
        <v>58003</v>
      </c>
      <c r="K510" s="2" t="s">
        <v>5086</v>
      </c>
      <c r="L510" s="2">
        <v>44263376</v>
      </c>
      <c r="M510" s="2"/>
      <c r="N510" s="2"/>
      <c r="O510" s="2"/>
      <c r="P510" s="2"/>
      <c r="Q510" s="2"/>
      <c r="R510" s="2"/>
      <c r="S510" s="2" t="s">
        <v>5087</v>
      </c>
      <c r="T510" s="2" t="s">
        <v>5088</v>
      </c>
      <c r="U510" s="2" t="s">
        <v>5089</v>
      </c>
      <c r="V510" s="2" t="s">
        <v>95</v>
      </c>
      <c r="W510" s="2" t="s">
        <v>152</v>
      </c>
      <c r="X510" s="2" t="s">
        <v>278</v>
      </c>
      <c r="Y510" s="2" t="s">
        <v>98</v>
      </c>
      <c r="Z510" s="2" t="s">
        <v>154</v>
      </c>
      <c r="AA510" s="2" t="s">
        <v>279</v>
      </c>
      <c r="AB510" s="2" t="s">
        <v>101</v>
      </c>
      <c r="AC510" s="2">
        <v>61.57</v>
      </c>
      <c r="AD510" s="2">
        <v>82.47</v>
      </c>
      <c r="AE510" s="2">
        <v>58.21</v>
      </c>
      <c r="AF510" s="2" t="s">
        <v>5090</v>
      </c>
      <c r="AG510" s="2" t="s">
        <v>194</v>
      </c>
      <c r="AH510" s="2" t="s">
        <v>281</v>
      </c>
      <c r="AI510" s="2">
        <v>1.72</v>
      </c>
      <c r="AJ510" s="2">
        <v>18.006299448562402</v>
      </c>
      <c r="AK510" s="2">
        <v>17.978190880508201</v>
      </c>
      <c r="AL510" s="2">
        <v>18.099522259758999</v>
      </c>
      <c r="AM510" s="2">
        <v>17.788961509577199</v>
      </c>
      <c r="AN510" s="2">
        <v>18.0877871066232</v>
      </c>
      <c r="AO510" s="2">
        <v>17.9532486966094</v>
      </c>
      <c r="AP510" s="2">
        <v>17.972336968443301</v>
      </c>
      <c r="AQ510" s="2">
        <v>18.185187683867099</v>
      </c>
      <c r="AR510" s="2">
        <v>16.681024094801799</v>
      </c>
      <c r="AS510" s="2">
        <v>15.5267174608222</v>
      </c>
      <c r="AT510" s="2">
        <v>17.025163791598299</v>
      </c>
      <c r="AU510" s="2">
        <v>17.799180671840901</v>
      </c>
      <c r="AV510" s="2">
        <v>16.054304149192301</v>
      </c>
      <c r="AW510" s="2">
        <v>19.476812899360102</v>
      </c>
      <c r="AX510" s="2">
        <v>17.546782347711801</v>
      </c>
      <c r="AY510" s="2">
        <v>18.641824102643302</v>
      </c>
      <c r="AZ510" s="2">
        <v>14.956460560064301</v>
      </c>
      <c r="BA510" s="2">
        <v>14.649326918145601</v>
      </c>
      <c r="BB510" s="2">
        <v>20.589068276477899</v>
      </c>
      <c r="BC510" s="2">
        <v>17.828685982958199</v>
      </c>
      <c r="BD510" s="2">
        <v>17.6814209199364</v>
      </c>
      <c r="BE510" s="2">
        <v>17.5197467325922</v>
      </c>
      <c r="BF510" s="2">
        <v>17.009622203457401</v>
      </c>
      <c r="BG510" s="2">
        <v>14.3399244455866</v>
      </c>
      <c r="BH510" s="2">
        <v>18.6263162821005</v>
      </c>
      <c r="BI510" s="2">
        <v>9.6233145402724691</v>
      </c>
      <c r="BJ510" s="2">
        <v>15.740086939025201</v>
      </c>
      <c r="BK510" s="2">
        <v>17.985523666884799</v>
      </c>
      <c r="BL510" s="2">
        <v>15.067394023891399</v>
      </c>
      <c r="BM510" s="2">
        <v>19.676342925399702</v>
      </c>
      <c r="BN510" s="2">
        <v>17.239642531373502</v>
      </c>
      <c r="BO510" s="2">
        <v>11.708471787004701</v>
      </c>
      <c r="BP510" s="2">
        <v>13.359037094924499</v>
      </c>
      <c r="BQ510" s="2">
        <v>18.659407385725999</v>
      </c>
      <c r="BR510" s="2">
        <v>16.602194732467499</v>
      </c>
      <c r="BS510" s="2">
        <v>16.690277810304401</v>
      </c>
      <c r="BT510" s="2">
        <v>18.472427400880498</v>
      </c>
      <c r="BU510" s="2">
        <v>14.867090474259101</v>
      </c>
      <c r="BV510" s="2">
        <v>20.9577635045158</v>
      </c>
      <c r="BW510" s="2">
        <v>16.430271713406199</v>
      </c>
      <c r="BX510" s="2">
        <v>17.386492279714101</v>
      </c>
      <c r="BY510" s="2">
        <v>14.097353191837501</v>
      </c>
      <c r="BZ510" s="2">
        <v>19.437107621432499</v>
      </c>
      <c r="CA510" s="2">
        <v>17.449161786817498</v>
      </c>
      <c r="CB510" s="2">
        <v>16.652562959045301</v>
      </c>
      <c r="CC510" s="2">
        <v>12.0786978871265</v>
      </c>
      <c r="CD510" s="2">
        <v>16.303155354436001</v>
      </c>
      <c r="CE510" s="2">
        <v>15.3566132464793</v>
      </c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</row>
    <row r="511" spans="1:97">
      <c r="A511" s="2" t="s">
        <v>5091</v>
      </c>
      <c r="B511" s="2">
        <v>353.26913000000002</v>
      </c>
      <c r="C511" s="2">
        <v>11.766</v>
      </c>
      <c r="D511" s="2" t="s">
        <v>146</v>
      </c>
      <c r="E511" s="2" t="s">
        <v>5092</v>
      </c>
      <c r="F511" s="2" t="s">
        <v>5093</v>
      </c>
      <c r="G511" s="2">
        <v>60500</v>
      </c>
      <c r="H511" s="3" t="str">
        <f>HYPERLINK("https://cloud.oebiotech.com/#/lm/network/60500", "https://cloud.oebiotech.com/#/lm/network/60500")</f>
        <v>https://cloud.oebiotech.com/#/lm/network/60500</v>
      </c>
      <c r="I511" s="2" t="s">
        <v>5094</v>
      </c>
      <c r="J511" s="2"/>
      <c r="K511" s="2"/>
      <c r="L511" s="2">
        <v>521332</v>
      </c>
      <c r="M511" s="2" t="s">
        <v>5095</v>
      </c>
      <c r="N511" s="2"/>
      <c r="O511" s="2"/>
      <c r="P511" s="2">
        <v>9053</v>
      </c>
      <c r="Q511" s="2"/>
      <c r="R511" s="2"/>
      <c r="S511" s="2" t="s">
        <v>5096</v>
      </c>
      <c r="T511" s="2" t="s">
        <v>5097</v>
      </c>
      <c r="U511" s="2" t="s">
        <v>5098</v>
      </c>
      <c r="V511" s="2" t="s">
        <v>95</v>
      </c>
      <c r="W511" s="2" t="s">
        <v>180</v>
      </c>
      <c r="X511" s="2" t="s">
        <v>3643</v>
      </c>
      <c r="Y511" s="2" t="s">
        <v>98</v>
      </c>
      <c r="Z511" s="2" t="s">
        <v>182</v>
      </c>
      <c r="AA511" s="2" t="s">
        <v>3644</v>
      </c>
      <c r="AB511" s="2" t="s">
        <v>3086</v>
      </c>
      <c r="AC511" s="2">
        <v>61.54</v>
      </c>
      <c r="AD511" s="2">
        <v>86.37</v>
      </c>
      <c r="AE511" s="2">
        <v>42.27</v>
      </c>
      <c r="AF511" s="2" t="s">
        <v>5099</v>
      </c>
      <c r="AG511" s="2" t="s">
        <v>157</v>
      </c>
      <c r="AH511" s="2" t="s">
        <v>2087</v>
      </c>
      <c r="AI511" s="2">
        <v>1.7</v>
      </c>
      <c r="AJ511" s="2">
        <v>19.6103443559129</v>
      </c>
      <c r="AK511" s="2">
        <v>19.205233811260101</v>
      </c>
      <c r="AL511" s="2">
        <v>18.930721747392301</v>
      </c>
      <c r="AM511" s="2">
        <v>19.363931517995798</v>
      </c>
      <c r="AN511" s="2">
        <v>18.925232266140899</v>
      </c>
      <c r="AO511" s="2">
        <v>19.148220974709499</v>
      </c>
      <c r="AP511" s="2">
        <v>18.798141827123299</v>
      </c>
      <c r="AQ511" s="2">
        <v>19.357075741121999</v>
      </c>
      <c r="AR511" s="2">
        <v>19.970923667129799</v>
      </c>
      <c r="AS511" s="2">
        <v>19.653315655277702</v>
      </c>
      <c r="AT511" s="2">
        <v>18.758619436810498</v>
      </c>
      <c r="AU511" s="2">
        <v>17.628604451124499</v>
      </c>
      <c r="AV511" s="2">
        <v>19.5044951314709</v>
      </c>
      <c r="AW511" s="2">
        <v>18.984715280927698</v>
      </c>
      <c r="AX511" s="2">
        <v>18.850590914926201</v>
      </c>
      <c r="AY511" s="2">
        <v>19.762183483824</v>
      </c>
      <c r="AZ511" s="2">
        <v>19.066536730166501</v>
      </c>
      <c r="BA511" s="2">
        <v>19.187811566170801</v>
      </c>
      <c r="BB511" s="2">
        <v>18.6593691260477</v>
      </c>
      <c r="BC511" s="2">
        <v>19.931514928925399</v>
      </c>
      <c r="BD511" s="2">
        <v>19.400296258083898</v>
      </c>
      <c r="BE511" s="2">
        <v>20.643021273773801</v>
      </c>
      <c r="BF511" s="2">
        <v>16.625451868659699</v>
      </c>
      <c r="BG511" s="2">
        <v>18.214372344245401</v>
      </c>
      <c r="BH511" s="2">
        <v>19.2321372256608</v>
      </c>
      <c r="BI511" s="2">
        <v>17.869775578308801</v>
      </c>
      <c r="BJ511" s="2">
        <v>19.829361567137401</v>
      </c>
      <c r="BK511" s="2">
        <v>18.925135843445901</v>
      </c>
      <c r="BL511" s="2">
        <v>19.006737602372301</v>
      </c>
      <c r="BM511" s="2">
        <v>18.9096740314098</v>
      </c>
      <c r="BN511" s="2">
        <v>18.6366333286817</v>
      </c>
      <c r="BO511" s="2">
        <v>18.5684624415229</v>
      </c>
      <c r="BP511" s="2">
        <v>18.610385830592399</v>
      </c>
      <c r="BQ511" s="2">
        <v>18.7507547713052</v>
      </c>
      <c r="BR511" s="2">
        <v>17.920446196272099</v>
      </c>
      <c r="BS511" s="2">
        <v>20.537076974481302</v>
      </c>
      <c r="BT511" s="2">
        <v>18.2083425868963</v>
      </c>
      <c r="BU511" s="2">
        <v>19.7884803561806</v>
      </c>
      <c r="BV511" s="2">
        <v>18.827096419656101</v>
      </c>
      <c r="BW511" s="2">
        <v>18.997949638708899</v>
      </c>
      <c r="BX511" s="2">
        <v>18.942459351714</v>
      </c>
      <c r="BY511" s="2">
        <v>20.764778042804899</v>
      </c>
      <c r="BZ511" s="2">
        <v>17.034227345617801</v>
      </c>
      <c r="CA511" s="2">
        <v>17.992957471392401</v>
      </c>
      <c r="CB511" s="2">
        <v>19.086753486513501</v>
      </c>
      <c r="CC511" s="2">
        <v>17.7330797546567</v>
      </c>
      <c r="CD511" s="2">
        <v>19.9348065388861</v>
      </c>
      <c r="CE511" s="2">
        <v>19.655396694093699</v>
      </c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</row>
    <row r="512" spans="1:97">
      <c r="A512" s="2" t="s">
        <v>5100</v>
      </c>
      <c r="B512" s="2">
        <v>412.30518999999998</v>
      </c>
      <c r="C512" s="2">
        <v>8.4909999999999997</v>
      </c>
      <c r="D512" s="2" t="s">
        <v>84</v>
      </c>
      <c r="E512" s="2" t="s">
        <v>5101</v>
      </c>
      <c r="F512" s="2" t="s">
        <v>5102</v>
      </c>
      <c r="G512" s="2">
        <v>198029</v>
      </c>
      <c r="H512" s="3" t="str">
        <f>HYPERLINK("https://cloud.oebiotech.com/#/lm/network/198029", "https://cloud.oebiotech.com/#/lm/network/198029")</f>
        <v>https://cloud.oebiotech.com/#/lm/network/198029</v>
      </c>
      <c r="I512" s="2" t="s">
        <v>5103</v>
      </c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 t="s">
        <v>5104</v>
      </c>
      <c r="U512" s="2" t="s">
        <v>5105</v>
      </c>
      <c r="V512" s="2" t="s">
        <v>95</v>
      </c>
      <c r="W512" s="2" t="s">
        <v>96</v>
      </c>
      <c r="X512" s="2" t="s">
        <v>97</v>
      </c>
      <c r="Y512" s="2" t="s">
        <v>98</v>
      </c>
      <c r="Z512" s="2" t="s">
        <v>99</v>
      </c>
      <c r="AA512" s="2" t="s">
        <v>100</v>
      </c>
      <c r="AB512" s="2" t="s">
        <v>101</v>
      </c>
      <c r="AC512" s="2">
        <v>61.46</v>
      </c>
      <c r="AD512" s="2">
        <v>84.3</v>
      </c>
      <c r="AE512" s="2">
        <v>55.19</v>
      </c>
      <c r="AF512" s="2" t="s">
        <v>5106</v>
      </c>
      <c r="AG512" s="2" t="s">
        <v>103</v>
      </c>
      <c r="AH512" s="2" t="s">
        <v>5107</v>
      </c>
      <c r="AI512" s="2">
        <v>1.46</v>
      </c>
      <c r="AJ512" s="2">
        <v>18.701703906517398</v>
      </c>
      <c r="AK512" s="2">
        <v>18.670053156210798</v>
      </c>
      <c r="AL512" s="2">
        <v>18.770363472217301</v>
      </c>
      <c r="AM512" s="2">
        <v>18.648464530174898</v>
      </c>
      <c r="AN512" s="2">
        <v>18.7978030086487</v>
      </c>
      <c r="AO512" s="2">
        <v>18.803741682298199</v>
      </c>
      <c r="AP512" s="2">
        <v>18.430509314195501</v>
      </c>
      <c r="AQ512" s="2">
        <v>18.536015324506899</v>
      </c>
      <c r="AR512" s="2">
        <v>17.446148055373602</v>
      </c>
      <c r="AS512" s="2">
        <v>17.612432631723799</v>
      </c>
      <c r="AT512" s="2">
        <v>19.109489753841999</v>
      </c>
      <c r="AU512" s="2">
        <v>16.723131754317301</v>
      </c>
      <c r="AV512" s="2">
        <v>16.332473683642199</v>
      </c>
      <c r="AW512" s="2">
        <v>18.640984603768299</v>
      </c>
      <c r="AX512" s="2">
        <v>18.217739452534101</v>
      </c>
      <c r="AY512" s="2">
        <v>18.5384837533317</v>
      </c>
      <c r="AZ512" s="2">
        <v>16.210788329739898</v>
      </c>
      <c r="BA512" s="2">
        <v>18.555700353442401</v>
      </c>
      <c r="BB512" s="2">
        <v>18.675321104718702</v>
      </c>
      <c r="BC512" s="2">
        <v>19.680734421107999</v>
      </c>
      <c r="BD512" s="2">
        <v>17.283471120098199</v>
      </c>
      <c r="BE512" s="2">
        <v>17.613098722247202</v>
      </c>
      <c r="BF512" s="2">
        <v>17.8593154148347</v>
      </c>
      <c r="BG512" s="2">
        <v>18.370388956880898</v>
      </c>
      <c r="BH512" s="2">
        <v>17.621231717278199</v>
      </c>
      <c r="BI512" s="2">
        <v>19.506957660964702</v>
      </c>
      <c r="BJ512" s="2">
        <v>18.945334922554299</v>
      </c>
      <c r="BK512" s="2">
        <v>16.947265601640702</v>
      </c>
      <c r="BL512" s="2">
        <v>18.651469704044899</v>
      </c>
      <c r="BM512" s="2">
        <v>16.589456138964401</v>
      </c>
      <c r="BN512" s="2">
        <v>17.7336985751888</v>
      </c>
      <c r="BO512" s="2">
        <v>19.043534578829899</v>
      </c>
      <c r="BP512" s="2">
        <v>18.648111353404499</v>
      </c>
      <c r="BQ512" s="2">
        <v>18.896072602215199</v>
      </c>
      <c r="BR512" s="2">
        <v>18.625916522271801</v>
      </c>
      <c r="BS512" s="2">
        <v>18.041696151020801</v>
      </c>
      <c r="BT512" s="2">
        <v>17.947221989322198</v>
      </c>
      <c r="BU512" s="2">
        <v>18.262749757933001</v>
      </c>
      <c r="BV512" s="2">
        <v>18.6733578377527</v>
      </c>
      <c r="BW512" s="2">
        <v>18.274724661307399</v>
      </c>
      <c r="BX512" s="2">
        <v>17.657196033053498</v>
      </c>
      <c r="BY512" s="2">
        <v>17.706667805422001</v>
      </c>
      <c r="BZ512" s="2">
        <v>18.331469430267902</v>
      </c>
      <c r="CA512" s="2">
        <v>18.379537016216702</v>
      </c>
      <c r="CB512" s="2">
        <v>18.333524320960102</v>
      </c>
      <c r="CC512" s="2">
        <v>18.651105171624</v>
      </c>
      <c r="CD512" s="2">
        <v>18.229125794056198</v>
      </c>
      <c r="CE512" s="2">
        <v>18.654088523351</v>
      </c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</row>
    <row r="513" spans="1:97">
      <c r="A513" s="2" t="s">
        <v>5108</v>
      </c>
      <c r="B513" s="2">
        <v>117.10229</v>
      </c>
      <c r="C513" s="2">
        <v>4.0609999999999999</v>
      </c>
      <c r="D513" s="2" t="s">
        <v>84</v>
      </c>
      <c r="E513" s="2" t="s">
        <v>5109</v>
      </c>
      <c r="F513" s="2" t="s">
        <v>5110</v>
      </c>
      <c r="G513" s="2">
        <v>201929</v>
      </c>
      <c r="H513" s="3" t="str">
        <f>HYPERLINK("https://cloud.oebiotech.com/#/lm/network/201929", "https://cloud.oebiotech.com/#/lm/network/201929")</f>
        <v>https://cloud.oebiotech.com/#/lm/network/201929</v>
      </c>
      <c r="I513" s="2" t="s">
        <v>5111</v>
      </c>
      <c r="J513" s="2"/>
      <c r="K513" s="2"/>
      <c r="L513" s="2">
        <v>121630</v>
      </c>
      <c r="M513" s="2"/>
      <c r="N513" s="2"/>
      <c r="O513" s="2"/>
      <c r="P513" s="2"/>
      <c r="Q513" s="2"/>
      <c r="R513" s="2"/>
      <c r="S513" s="2"/>
      <c r="T513" s="2" t="s">
        <v>5112</v>
      </c>
      <c r="U513" s="2" t="s">
        <v>5113</v>
      </c>
      <c r="V513" s="2" t="s">
        <v>553</v>
      </c>
      <c r="W513" s="2" t="s">
        <v>5114</v>
      </c>
      <c r="X513" s="2" t="s">
        <v>5115</v>
      </c>
      <c r="Y513" s="2" t="s">
        <v>556</v>
      </c>
      <c r="Z513" s="2" t="s">
        <v>5116</v>
      </c>
      <c r="AA513" s="2" t="s">
        <v>5117</v>
      </c>
      <c r="AB513" s="2" t="s">
        <v>5118</v>
      </c>
      <c r="AC513" s="2">
        <v>61.41</v>
      </c>
      <c r="AD513" s="2">
        <v>99.24</v>
      </c>
      <c r="AE513" s="2">
        <v>92.98</v>
      </c>
      <c r="AF513" s="2" t="s">
        <v>5119</v>
      </c>
      <c r="AG513" s="2" t="s">
        <v>132</v>
      </c>
      <c r="AH513" s="2" t="s">
        <v>5120</v>
      </c>
      <c r="AI513" s="2">
        <v>-0.85</v>
      </c>
      <c r="AJ513" s="2">
        <v>27.304179756052001</v>
      </c>
      <c r="AK513" s="2">
        <v>27.270403525754698</v>
      </c>
      <c r="AL513" s="2">
        <v>27.617535661768098</v>
      </c>
      <c r="AM513" s="2">
        <v>27.497888187697701</v>
      </c>
      <c r="AN513" s="2">
        <v>27.497545889023701</v>
      </c>
      <c r="AO513" s="2">
        <v>27.620285861837601</v>
      </c>
      <c r="AP513" s="2">
        <v>27.394261091221601</v>
      </c>
      <c r="AQ513" s="2">
        <v>27.452002826036701</v>
      </c>
      <c r="AR513" s="2">
        <v>24.177626220024798</v>
      </c>
      <c r="AS513" s="2">
        <v>22.204932286210401</v>
      </c>
      <c r="AT513" s="2">
        <v>26.425062738182099</v>
      </c>
      <c r="AU513" s="2">
        <v>27.245754945853299</v>
      </c>
      <c r="AV513" s="2">
        <v>27.123926281909998</v>
      </c>
      <c r="AW513" s="2">
        <v>28.002448738087701</v>
      </c>
      <c r="AX513" s="2">
        <v>27.4537442567546</v>
      </c>
      <c r="AY513" s="2">
        <v>27.640160973624901</v>
      </c>
      <c r="AZ513" s="2">
        <v>27.5631866286069</v>
      </c>
      <c r="BA513" s="2">
        <v>27.157932091649599</v>
      </c>
      <c r="BB513" s="2">
        <v>24.656203307447601</v>
      </c>
      <c r="BC513" s="2">
        <v>26.1820730754024</v>
      </c>
      <c r="BD513" s="2">
        <v>27.704314371261301</v>
      </c>
      <c r="BE513" s="2">
        <v>27.841209004933798</v>
      </c>
      <c r="BF513" s="2">
        <v>27.868694209321401</v>
      </c>
      <c r="BG513" s="2">
        <v>24.846613794674099</v>
      </c>
      <c r="BH513" s="2">
        <v>27.530489441038799</v>
      </c>
      <c r="BI513" s="2">
        <v>27.218539208268801</v>
      </c>
      <c r="BJ513" s="2">
        <v>25.334939110702301</v>
      </c>
      <c r="BK513" s="2">
        <v>27.437023914102902</v>
      </c>
      <c r="BL513" s="2">
        <v>27.2198423532503</v>
      </c>
      <c r="BM513" s="2">
        <v>28.7258033130488</v>
      </c>
      <c r="BN513" s="2">
        <v>27.8660792834883</v>
      </c>
      <c r="BO513" s="2">
        <v>27.1822968540747</v>
      </c>
      <c r="BP513" s="2">
        <v>27.675869601881701</v>
      </c>
      <c r="BQ513" s="2">
        <v>27.606941996848601</v>
      </c>
      <c r="BR513" s="2">
        <v>25.287730239482201</v>
      </c>
      <c r="BS513" s="2">
        <v>28.199586623141499</v>
      </c>
      <c r="BT513" s="2">
        <v>24.9043520413389</v>
      </c>
      <c r="BU513" s="2">
        <v>28.128888999783602</v>
      </c>
      <c r="BV513" s="2">
        <v>25.8379644540512</v>
      </c>
      <c r="BW513" s="2">
        <v>24.446108801353201</v>
      </c>
      <c r="BX513" s="2">
        <v>28.143383256616001</v>
      </c>
      <c r="BY513" s="2">
        <v>28.995322440763399</v>
      </c>
      <c r="BZ513" s="2">
        <v>25.1149623457632</v>
      </c>
      <c r="CA513" s="2">
        <v>24.7698092809093</v>
      </c>
      <c r="CB513" s="2">
        <v>24.8965825793295</v>
      </c>
      <c r="CC513" s="2">
        <v>27.530871348559899</v>
      </c>
      <c r="CD513" s="2">
        <v>28.522200629424798</v>
      </c>
      <c r="CE513" s="2">
        <v>27.783314311461499</v>
      </c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</row>
    <row r="514" spans="1:97">
      <c r="A514" s="2" t="s">
        <v>5121</v>
      </c>
      <c r="B514" s="2">
        <v>480.34352000000001</v>
      </c>
      <c r="C514" s="2">
        <v>10.538</v>
      </c>
      <c r="D514" s="2" t="s">
        <v>84</v>
      </c>
      <c r="E514" s="2" t="s">
        <v>5122</v>
      </c>
      <c r="F514" s="2" t="s">
        <v>5123</v>
      </c>
      <c r="G514" s="2">
        <v>197452</v>
      </c>
      <c r="H514" s="3" t="str">
        <f>HYPERLINK("https://cloud.oebiotech.com/#/lm/network/197452", "https://cloud.oebiotech.com/#/lm/network/197452")</f>
        <v>https://cloud.oebiotech.com/#/lm/network/197452</v>
      </c>
      <c r="I514" s="2" t="s">
        <v>5124</v>
      </c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 t="s">
        <v>5125</v>
      </c>
      <c r="U514" s="2" t="s">
        <v>5126</v>
      </c>
      <c r="V514" s="2" t="s">
        <v>95</v>
      </c>
      <c r="W514" s="2" t="s">
        <v>180</v>
      </c>
      <c r="X514" s="2" t="s">
        <v>3643</v>
      </c>
      <c r="Y514" s="2" t="s">
        <v>98</v>
      </c>
      <c r="Z514" s="2" t="s">
        <v>182</v>
      </c>
      <c r="AA514" s="2" t="s">
        <v>3644</v>
      </c>
      <c r="AB514" s="2" t="s">
        <v>101</v>
      </c>
      <c r="AC514" s="2">
        <v>61.34</v>
      </c>
      <c r="AD514" s="2">
        <v>74.02</v>
      </c>
      <c r="AE514" s="2">
        <v>71.989999999999995</v>
      </c>
      <c r="AF514" s="2" t="s">
        <v>5127</v>
      </c>
      <c r="AG514" s="2" t="s">
        <v>3544</v>
      </c>
      <c r="AH514" s="2" t="s">
        <v>5128</v>
      </c>
      <c r="AI514" s="2">
        <v>3.12</v>
      </c>
      <c r="AJ514" s="2">
        <v>19.737546387859201</v>
      </c>
      <c r="AK514" s="2">
        <v>19.740790581018601</v>
      </c>
      <c r="AL514" s="2">
        <v>19.653874349567001</v>
      </c>
      <c r="AM514" s="2">
        <v>19.806759751129398</v>
      </c>
      <c r="AN514" s="2">
        <v>19.763659102883501</v>
      </c>
      <c r="AO514" s="2">
        <v>19.658489762392001</v>
      </c>
      <c r="AP514" s="2">
        <v>19.5609715414307</v>
      </c>
      <c r="AQ514" s="2">
        <v>19.742998924323</v>
      </c>
      <c r="AR514" s="2">
        <v>20.445622437183701</v>
      </c>
      <c r="AS514" s="2">
        <v>18.1489408054357</v>
      </c>
      <c r="AT514" s="2">
        <v>19.207081496771298</v>
      </c>
      <c r="AU514" s="2">
        <v>19.007549950894798</v>
      </c>
      <c r="AV514" s="2">
        <v>19.661655311100599</v>
      </c>
      <c r="AW514" s="2">
        <v>18.886099501474099</v>
      </c>
      <c r="AX514" s="2">
        <v>19.152724598981401</v>
      </c>
      <c r="AY514" s="2">
        <v>18.498322829362099</v>
      </c>
      <c r="AZ514" s="2">
        <v>9.6233145402724691</v>
      </c>
      <c r="BA514" s="2">
        <v>18.757104656116201</v>
      </c>
      <c r="BB514" s="2">
        <v>19.000606957304299</v>
      </c>
      <c r="BC514" s="2">
        <v>19.714939946048101</v>
      </c>
      <c r="BD514" s="2">
        <v>19.920352869954598</v>
      </c>
      <c r="BE514" s="2">
        <v>19.228621128249099</v>
      </c>
      <c r="BF514" s="2">
        <v>18.624726928502501</v>
      </c>
      <c r="BG514" s="2">
        <v>19.012928677991301</v>
      </c>
      <c r="BH514" s="2">
        <v>21.788733843050601</v>
      </c>
      <c r="BI514" s="2">
        <v>16.927254584707899</v>
      </c>
      <c r="BJ514" s="2">
        <v>19.0324783919732</v>
      </c>
      <c r="BK514" s="2">
        <v>20.859938498148601</v>
      </c>
      <c r="BL514" s="2">
        <v>20.373870848718902</v>
      </c>
      <c r="BM514" s="2">
        <v>19.8650658229115</v>
      </c>
      <c r="BN514" s="2">
        <v>20.7932753954384</v>
      </c>
      <c r="BO514" s="2">
        <v>19.866860600211702</v>
      </c>
      <c r="BP514" s="2">
        <v>17.8916600722442</v>
      </c>
      <c r="BQ514" s="2">
        <v>19.982171385962602</v>
      </c>
      <c r="BR514" s="2">
        <v>19.249698882358299</v>
      </c>
      <c r="BS514" s="2">
        <v>20.2715055673028</v>
      </c>
      <c r="BT514" s="2">
        <v>18.187183625859699</v>
      </c>
      <c r="BU514" s="2">
        <v>19.9714667790719</v>
      </c>
      <c r="BV514" s="2">
        <v>19.814227643760098</v>
      </c>
      <c r="BW514" s="2">
        <v>17.0572863164033</v>
      </c>
      <c r="BX514" s="2">
        <v>20.005479309186398</v>
      </c>
      <c r="BY514" s="2">
        <v>20.9820983437636</v>
      </c>
      <c r="BZ514" s="2">
        <v>9.6233145402724691</v>
      </c>
      <c r="CA514" s="2">
        <v>19.512931695476901</v>
      </c>
      <c r="CB514" s="2">
        <v>19.873784231778899</v>
      </c>
      <c r="CC514" s="2">
        <v>18.892917926219599</v>
      </c>
      <c r="CD514" s="2">
        <v>20.6010212662265</v>
      </c>
      <c r="CE514" s="2">
        <v>18.991731834462499</v>
      </c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</row>
    <row r="515" spans="1:97">
      <c r="A515" s="2" t="s">
        <v>5129</v>
      </c>
      <c r="B515" s="2">
        <v>71.013670000000005</v>
      </c>
      <c r="C515" s="2">
        <v>0.71199999999999997</v>
      </c>
      <c r="D515" s="2" t="s">
        <v>146</v>
      </c>
      <c r="E515" s="2" t="s">
        <v>5130</v>
      </c>
      <c r="F515" s="2" t="s">
        <v>5131</v>
      </c>
      <c r="G515" s="2">
        <v>47427</v>
      </c>
      <c r="H515" s="3" t="str">
        <f>HYPERLINK("https://cloud.oebiotech.com/#/lm/network/47427", "https://cloud.oebiotech.com/#/lm/network/47427")</f>
        <v>https://cloud.oebiotech.com/#/lm/network/47427</v>
      </c>
      <c r="I515" s="2" t="s">
        <v>5132</v>
      </c>
      <c r="J515" s="2">
        <v>3211</v>
      </c>
      <c r="K515" s="2"/>
      <c r="L515" s="2">
        <v>880</v>
      </c>
      <c r="M515" s="2" t="s">
        <v>5133</v>
      </c>
      <c r="N515" s="2" t="s">
        <v>5134</v>
      </c>
      <c r="O515" s="2" t="s">
        <v>5135</v>
      </c>
      <c r="P515" s="2">
        <v>17158</v>
      </c>
      <c r="Q515" s="2" t="s">
        <v>5136</v>
      </c>
      <c r="R515" s="2" t="s">
        <v>5137</v>
      </c>
      <c r="S515" s="2" t="s">
        <v>5138</v>
      </c>
      <c r="T515" s="2" t="s">
        <v>5139</v>
      </c>
      <c r="U515" s="2" t="s">
        <v>5140</v>
      </c>
      <c r="V515" s="2" t="s">
        <v>338</v>
      </c>
      <c r="W515" s="2" t="s">
        <v>339</v>
      </c>
      <c r="X515" s="2" t="s">
        <v>340</v>
      </c>
      <c r="Y515" s="2" t="s">
        <v>341</v>
      </c>
      <c r="Z515" s="2" t="s">
        <v>341</v>
      </c>
      <c r="AA515" s="2" t="s">
        <v>342</v>
      </c>
      <c r="AB515" s="2" t="s">
        <v>3086</v>
      </c>
      <c r="AC515" s="2">
        <v>61.31</v>
      </c>
      <c r="AD515" s="2">
        <v>98.2</v>
      </c>
      <c r="AE515" s="2">
        <v>37.26</v>
      </c>
      <c r="AF515" s="2" t="s">
        <v>5141</v>
      </c>
      <c r="AG515" s="2" t="s">
        <v>194</v>
      </c>
      <c r="AH515" s="2" t="s">
        <v>5142</v>
      </c>
      <c r="AI515" s="2">
        <v>2.68</v>
      </c>
      <c r="AJ515" s="2">
        <v>20.354134718728499</v>
      </c>
      <c r="AK515" s="2">
        <v>20.517568975377301</v>
      </c>
      <c r="AL515" s="2">
        <v>20.737954433374501</v>
      </c>
      <c r="AM515" s="2">
        <v>20.155903800057601</v>
      </c>
      <c r="AN515" s="2">
        <v>19.991227750069299</v>
      </c>
      <c r="AO515" s="2">
        <v>19.8991139994348</v>
      </c>
      <c r="AP515" s="2">
        <v>20.3890021465599</v>
      </c>
      <c r="AQ515" s="2">
        <v>19.8903853110792</v>
      </c>
      <c r="AR515" s="2">
        <v>19.735838731121</v>
      </c>
      <c r="AS515" s="2">
        <v>20.052954101766598</v>
      </c>
      <c r="AT515" s="2">
        <v>19.726050231465599</v>
      </c>
      <c r="AU515" s="2">
        <v>18.770564953274299</v>
      </c>
      <c r="AV515" s="2">
        <v>19.8075674022766</v>
      </c>
      <c r="AW515" s="2">
        <v>19.3243741285069</v>
      </c>
      <c r="AX515" s="2">
        <v>19.859562751431099</v>
      </c>
      <c r="AY515" s="2">
        <v>19.696564733488</v>
      </c>
      <c r="AZ515" s="2">
        <v>19.655278342649101</v>
      </c>
      <c r="BA515" s="2">
        <v>18.578522988836799</v>
      </c>
      <c r="BB515" s="2">
        <v>20.5006391185537</v>
      </c>
      <c r="BC515" s="2">
        <v>20.375379231034401</v>
      </c>
      <c r="BD515" s="2">
        <v>19.6219910109761</v>
      </c>
      <c r="BE515" s="2">
        <v>20.5153308257185</v>
      </c>
      <c r="BF515" s="2">
        <v>20.636558042259001</v>
      </c>
      <c r="BG515" s="2">
        <v>20.453676419330399</v>
      </c>
      <c r="BH515" s="2">
        <v>20.360103495794199</v>
      </c>
      <c r="BI515" s="2">
        <v>18.718936169616299</v>
      </c>
      <c r="BJ515" s="2">
        <v>20.166210338884799</v>
      </c>
      <c r="BK515" s="2">
        <v>19.7429447652272</v>
      </c>
      <c r="BL515" s="2">
        <v>20.5389701619895</v>
      </c>
      <c r="BM515" s="2">
        <v>20.548519926571299</v>
      </c>
      <c r="BN515" s="2">
        <v>20.419901137290601</v>
      </c>
      <c r="BO515" s="2">
        <v>19.2642170240402</v>
      </c>
      <c r="BP515" s="2">
        <v>20.3981305206215</v>
      </c>
      <c r="BQ515" s="2">
        <v>19.864744555440701</v>
      </c>
      <c r="BR515" s="2">
        <v>19.104333946485902</v>
      </c>
      <c r="BS515" s="2">
        <v>20.834954564183001</v>
      </c>
      <c r="BT515" s="2">
        <v>19.475299798237</v>
      </c>
      <c r="BU515" s="2">
        <v>19.815867644694801</v>
      </c>
      <c r="BV515" s="2">
        <v>20.018736907789599</v>
      </c>
      <c r="BW515" s="2">
        <v>20.093625651227999</v>
      </c>
      <c r="BX515" s="2">
        <v>20.217175538692899</v>
      </c>
      <c r="BY515" s="2">
        <v>19.722910817687801</v>
      </c>
      <c r="BZ515" s="2">
        <v>20.5434382046606</v>
      </c>
      <c r="CA515" s="2">
        <v>19.9005375400627</v>
      </c>
      <c r="CB515" s="2">
        <v>19.547760172728399</v>
      </c>
      <c r="CC515" s="2">
        <v>19.788875061290099</v>
      </c>
      <c r="CD515" s="2">
        <v>18.426710040090601</v>
      </c>
      <c r="CE515" s="2">
        <v>20.116410849844399</v>
      </c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</row>
    <row r="516" spans="1:97">
      <c r="A516" s="2" t="s">
        <v>5143</v>
      </c>
      <c r="B516" s="2">
        <v>70.065619999999996</v>
      </c>
      <c r="C516" s="2">
        <v>0.74</v>
      </c>
      <c r="D516" s="2" t="s">
        <v>84</v>
      </c>
      <c r="E516" s="2" t="s">
        <v>5144</v>
      </c>
      <c r="F516" s="2" t="s">
        <v>5145</v>
      </c>
      <c r="G516" s="2">
        <v>280087</v>
      </c>
      <c r="H516" s="3" t="str">
        <f>HYPERLINK("https://cloud.oebiotech.com/#/lm/network/280087", "https://cloud.oebiotech.com/#/lm/network/280087")</f>
        <v>https://cloud.oebiotech.com/#/lm/network/280087</v>
      </c>
      <c r="I516" s="2"/>
      <c r="J516" s="2">
        <v>73039</v>
      </c>
      <c r="K516" s="2"/>
      <c r="L516" s="2">
        <v>14074</v>
      </c>
      <c r="M516" s="2" t="s">
        <v>5146</v>
      </c>
      <c r="N516" s="2"/>
      <c r="O516" s="2"/>
      <c r="P516" s="2"/>
      <c r="Q516" s="2"/>
      <c r="R516" s="2"/>
      <c r="S516" s="2" t="s">
        <v>5147</v>
      </c>
      <c r="T516" s="2" t="s">
        <v>5148</v>
      </c>
      <c r="U516" s="2" t="s">
        <v>5149</v>
      </c>
      <c r="V516" s="2" t="s">
        <v>166</v>
      </c>
      <c r="W516" s="2" t="s">
        <v>167</v>
      </c>
      <c r="X516" s="2" t="s">
        <v>482</v>
      </c>
      <c r="Y516" s="2" t="s">
        <v>169</v>
      </c>
      <c r="Z516" s="2" t="s">
        <v>169</v>
      </c>
      <c r="AA516" s="2" t="s">
        <v>483</v>
      </c>
      <c r="AB516" s="2" t="s">
        <v>3086</v>
      </c>
      <c r="AC516" s="2">
        <v>61.25</v>
      </c>
      <c r="AD516" s="2">
        <v>97.73</v>
      </c>
      <c r="AE516" s="2">
        <v>36.53</v>
      </c>
      <c r="AF516" s="2" t="s">
        <v>5150</v>
      </c>
      <c r="AG516" s="2" t="s">
        <v>1088</v>
      </c>
      <c r="AH516" s="2" t="s">
        <v>5151</v>
      </c>
      <c r="AI516" s="2">
        <v>1.28</v>
      </c>
      <c r="AJ516" s="2">
        <v>23.8879310081415</v>
      </c>
      <c r="AK516" s="2">
        <v>23.617097211878502</v>
      </c>
      <c r="AL516" s="2">
        <v>23.706445846323401</v>
      </c>
      <c r="AM516" s="2">
        <v>23.863607239024098</v>
      </c>
      <c r="AN516" s="2">
        <v>23.667669900577302</v>
      </c>
      <c r="AO516" s="2">
        <v>23.805246098765402</v>
      </c>
      <c r="AP516" s="2">
        <v>23.721946127315</v>
      </c>
      <c r="AQ516" s="2">
        <v>23.759449793076602</v>
      </c>
      <c r="AR516" s="2">
        <v>23.255386376541299</v>
      </c>
      <c r="AS516" s="2">
        <v>22.843511257973802</v>
      </c>
      <c r="AT516" s="2">
        <v>22.960244033266701</v>
      </c>
      <c r="AU516" s="2">
        <v>23.6512049766995</v>
      </c>
      <c r="AV516" s="2">
        <v>24.286667185505198</v>
      </c>
      <c r="AW516" s="2">
        <v>23.789440530395101</v>
      </c>
      <c r="AX516" s="2">
        <v>23.836709868141401</v>
      </c>
      <c r="AY516" s="2">
        <v>23.570503997813901</v>
      </c>
      <c r="AZ516" s="2">
        <v>23.6621885371197</v>
      </c>
      <c r="BA516" s="2">
        <v>23.076871233766902</v>
      </c>
      <c r="BB516" s="2">
        <v>23.686138581664199</v>
      </c>
      <c r="BC516" s="2">
        <v>22.353424062072499</v>
      </c>
      <c r="BD516" s="2">
        <v>23.1208234966779</v>
      </c>
      <c r="BE516" s="2">
        <v>23.542272378729301</v>
      </c>
      <c r="BF516" s="2">
        <v>24.253602137233099</v>
      </c>
      <c r="BG516" s="2">
        <v>23.7831054132918</v>
      </c>
      <c r="BH516" s="2">
        <v>23.590947007674199</v>
      </c>
      <c r="BI516" s="2">
        <v>23.303548510586399</v>
      </c>
      <c r="BJ516" s="2">
        <v>23.623772683713099</v>
      </c>
      <c r="BK516" s="2">
        <v>23.902646795527499</v>
      </c>
      <c r="BL516" s="2">
        <v>23.3800012344477</v>
      </c>
      <c r="BM516" s="2">
        <v>24.266705841497899</v>
      </c>
      <c r="BN516" s="2">
        <v>23.827925123837801</v>
      </c>
      <c r="BO516" s="2">
        <v>23.050614261253202</v>
      </c>
      <c r="BP516" s="2">
        <v>24.326054953950099</v>
      </c>
      <c r="BQ516" s="2">
        <v>23.881893695091499</v>
      </c>
      <c r="BR516" s="2">
        <v>24.359431004197301</v>
      </c>
      <c r="BS516" s="2">
        <v>24.018561700391601</v>
      </c>
      <c r="BT516" s="2">
        <v>23.159992051906901</v>
      </c>
      <c r="BU516" s="2">
        <v>23.756622830598999</v>
      </c>
      <c r="BV516" s="2">
        <v>23.508988029933299</v>
      </c>
      <c r="BW516" s="2">
        <v>23.147512451449799</v>
      </c>
      <c r="BX516" s="2">
        <v>23.910166803953398</v>
      </c>
      <c r="BY516" s="2">
        <v>23.983803108301601</v>
      </c>
      <c r="BZ516" s="2">
        <v>24.696203441545801</v>
      </c>
      <c r="CA516" s="2">
        <v>24.506645394714099</v>
      </c>
      <c r="CB516" s="2">
        <v>23.071745595625501</v>
      </c>
      <c r="CC516" s="2">
        <v>23.707539302033901</v>
      </c>
      <c r="CD516" s="2">
        <v>23.8836348367652</v>
      </c>
      <c r="CE516" s="2">
        <v>23.295756715933202</v>
      </c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</row>
    <row r="517" spans="1:97">
      <c r="A517" s="2" t="s">
        <v>5152</v>
      </c>
      <c r="B517" s="2">
        <v>271.22737999999998</v>
      </c>
      <c r="C517" s="2">
        <v>11.85</v>
      </c>
      <c r="D517" s="2" t="s">
        <v>146</v>
      </c>
      <c r="E517" s="2" t="s">
        <v>5153</v>
      </c>
      <c r="F517" s="2" t="s">
        <v>5154</v>
      </c>
      <c r="G517" s="2">
        <v>1763</v>
      </c>
      <c r="H517" s="3" t="str">
        <f>HYPERLINK("https://cloud.oebiotech.com/#/lm/network/1763", "https://cloud.oebiotech.com/#/lm/network/1763")</f>
        <v>https://cloud.oebiotech.com/#/lm/network/1763</v>
      </c>
      <c r="I517" s="2" t="s">
        <v>5155</v>
      </c>
      <c r="J517" s="2">
        <v>35554</v>
      </c>
      <c r="K517" s="2" t="s">
        <v>5156</v>
      </c>
      <c r="L517" s="2">
        <v>301590</v>
      </c>
      <c r="M517" s="2"/>
      <c r="N517" s="2"/>
      <c r="O517" s="2"/>
      <c r="P517" s="2">
        <v>37248</v>
      </c>
      <c r="Q517" s="2" t="s">
        <v>5157</v>
      </c>
      <c r="R517" s="2" t="s">
        <v>5158</v>
      </c>
      <c r="S517" s="2" t="s">
        <v>5159</v>
      </c>
      <c r="T517" s="2" t="s">
        <v>5160</v>
      </c>
      <c r="U517" s="2" t="s">
        <v>5161</v>
      </c>
      <c r="V517" s="2" t="s">
        <v>95</v>
      </c>
      <c r="W517" s="2" t="s">
        <v>96</v>
      </c>
      <c r="X517" s="2" t="s">
        <v>141</v>
      </c>
      <c r="Y517" s="2" t="s">
        <v>98</v>
      </c>
      <c r="Z517" s="2" t="s">
        <v>99</v>
      </c>
      <c r="AA517" s="2" t="s">
        <v>142</v>
      </c>
      <c r="AB517" s="2" t="s">
        <v>101</v>
      </c>
      <c r="AC517" s="2">
        <v>61.24</v>
      </c>
      <c r="AD517" s="2">
        <v>89.78</v>
      </c>
      <c r="AE517" s="2">
        <v>48.22</v>
      </c>
      <c r="AF517" s="2" t="s">
        <v>5162</v>
      </c>
      <c r="AG517" s="2" t="s">
        <v>194</v>
      </c>
      <c r="AH517" s="2" t="s">
        <v>512</v>
      </c>
      <c r="AI517" s="2">
        <v>1.84</v>
      </c>
      <c r="AJ517" s="2">
        <v>19.890370243612299</v>
      </c>
      <c r="AK517" s="2">
        <v>20.5472782726338</v>
      </c>
      <c r="AL517" s="2">
        <v>20.423248029101199</v>
      </c>
      <c r="AM517" s="2">
        <v>20.257709559066502</v>
      </c>
      <c r="AN517" s="2">
        <v>20.768678665518198</v>
      </c>
      <c r="AO517" s="2">
        <v>20.505160947602501</v>
      </c>
      <c r="AP517" s="2">
        <v>20.650477124471699</v>
      </c>
      <c r="AQ517" s="2">
        <v>20.189272745834899</v>
      </c>
      <c r="AR517" s="2">
        <v>19.991726963587499</v>
      </c>
      <c r="AS517" s="2">
        <v>19.7068024489413</v>
      </c>
      <c r="AT517" s="2">
        <v>20.7360385740735</v>
      </c>
      <c r="AU517" s="2">
        <v>19.797414507135599</v>
      </c>
      <c r="AV517" s="2">
        <v>19.780400041914302</v>
      </c>
      <c r="AW517" s="2">
        <v>19.998956430934101</v>
      </c>
      <c r="AX517" s="2">
        <v>19.977746316593599</v>
      </c>
      <c r="AY517" s="2">
        <v>19.629597675283101</v>
      </c>
      <c r="AZ517" s="2">
        <v>19.0834012329085</v>
      </c>
      <c r="BA517" s="2">
        <v>20.663658867890899</v>
      </c>
      <c r="BB517" s="2">
        <v>20.190571193662201</v>
      </c>
      <c r="BC517" s="2">
        <v>21.1697754712124</v>
      </c>
      <c r="BD517" s="2">
        <v>19.542408151368299</v>
      </c>
      <c r="BE517" s="2">
        <v>19.391293523617101</v>
      </c>
      <c r="BF517" s="2">
        <v>19.596225633039101</v>
      </c>
      <c r="BG517" s="2">
        <v>20.797014767444399</v>
      </c>
      <c r="BH517" s="2">
        <v>19.471965117278099</v>
      </c>
      <c r="BI517" s="2">
        <v>20.769425141986201</v>
      </c>
      <c r="BJ517" s="2">
        <v>20.350538155443999</v>
      </c>
      <c r="BK517" s="2">
        <v>19.154151430324099</v>
      </c>
      <c r="BL517" s="2">
        <v>20.550641002653901</v>
      </c>
      <c r="BM517" s="2">
        <v>19.639067916265699</v>
      </c>
      <c r="BN517" s="2">
        <v>20.007176759451699</v>
      </c>
      <c r="BO517" s="2">
        <v>20.2678555224979</v>
      </c>
      <c r="BP517" s="2">
        <v>20.2120581462835</v>
      </c>
      <c r="BQ517" s="2">
        <v>20.214653489887802</v>
      </c>
      <c r="BR517" s="2">
        <v>20.416493673892401</v>
      </c>
      <c r="BS517" s="2">
        <v>19.681192935580299</v>
      </c>
      <c r="BT517" s="2">
        <v>19.388219140865001</v>
      </c>
      <c r="BU517" s="2">
        <v>20.5677248536173</v>
      </c>
      <c r="BV517" s="2">
        <v>20.7012098847391</v>
      </c>
      <c r="BW517" s="2">
        <v>19.592827222757801</v>
      </c>
      <c r="BX517" s="2">
        <v>19.517409884505302</v>
      </c>
      <c r="BY517" s="2">
        <v>20.005952529213499</v>
      </c>
      <c r="BZ517" s="2">
        <v>20.287325448703498</v>
      </c>
      <c r="CA517" s="2">
        <v>19.753925831824301</v>
      </c>
      <c r="CB517" s="2">
        <v>20.436926406035099</v>
      </c>
      <c r="CC517" s="2">
        <v>20.4145702809165</v>
      </c>
      <c r="CD517" s="2">
        <v>20.056622316547401</v>
      </c>
      <c r="CE517" s="2">
        <v>20.8434931568659</v>
      </c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</row>
    <row r="518" spans="1:97">
      <c r="A518" s="2" t="s">
        <v>5163</v>
      </c>
      <c r="B518" s="2">
        <v>358.29460999999998</v>
      </c>
      <c r="C518" s="2">
        <v>9.0329999999999995</v>
      </c>
      <c r="D518" s="2" t="s">
        <v>84</v>
      </c>
      <c r="E518" s="2" t="s">
        <v>5164</v>
      </c>
      <c r="F518" s="2" t="s">
        <v>5165</v>
      </c>
      <c r="G518" s="2">
        <v>3676</v>
      </c>
      <c r="H518" s="3" t="str">
        <f>HYPERLINK("https://cloud.oebiotech.com/#/lm/network/3676", "https://cloud.oebiotech.com/#/lm/network/3676")</f>
        <v>https://cloud.oebiotech.com/#/lm/network/3676</v>
      </c>
      <c r="I518" s="2"/>
      <c r="J518" s="2">
        <v>36124</v>
      </c>
      <c r="K518" s="2" t="s">
        <v>5166</v>
      </c>
      <c r="L518" s="2">
        <v>5283054</v>
      </c>
      <c r="M518" s="2"/>
      <c r="N518" s="2"/>
      <c r="O518" s="2"/>
      <c r="P518" s="2"/>
      <c r="Q518" s="2"/>
      <c r="R518" s="2"/>
      <c r="S518" s="2" t="s">
        <v>5167</v>
      </c>
      <c r="T518" s="2" t="s">
        <v>5168</v>
      </c>
      <c r="U518" s="2" t="s">
        <v>5169</v>
      </c>
      <c r="V518" s="2" t="s">
        <v>95</v>
      </c>
      <c r="W518" s="2" t="s">
        <v>96</v>
      </c>
      <c r="X518" s="2" t="s">
        <v>353</v>
      </c>
      <c r="Y518" s="2" t="s">
        <v>98</v>
      </c>
      <c r="Z518" s="2" t="s">
        <v>99</v>
      </c>
      <c r="AA518" s="2" t="s">
        <v>354</v>
      </c>
      <c r="AB518" s="2" t="s">
        <v>3086</v>
      </c>
      <c r="AC518" s="2">
        <v>61.21</v>
      </c>
      <c r="AD518" s="2">
        <v>92.56</v>
      </c>
      <c r="AE518" s="2">
        <v>31.44</v>
      </c>
      <c r="AF518" s="2" t="s">
        <v>5170</v>
      </c>
      <c r="AG518" s="2" t="s">
        <v>132</v>
      </c>
      <c r="AH518" s="2" t="s">
        <v>5171</v>
      </c>
      <c r="AI518" s="2">
        <v>1.67</v>
      </c>
      <c r="AJ518" s="2">
        <v>21.3849537490206</v>
      </c>
      <c r="AK518" s="2">
        <v>21.524919968879999</v>
      </c>
      <c r="AL518" s="2">
        <v>21.509577399459999</v>
      </c>
      <c r="AM518" s="2">
        <v>21.494164314992901</v>
      </c>
      <c r="AN518" s="2">
        <v>21.539729328585601</v>
      </c>
      <c r="AO518" s="2">
        <v>21.4720200664642</v>
      </c>
      <c r="AP518" s="2">
        <v>21.549807497480899</v>
      </c>
      <c r="AQ518" s="2">
        <v>21.565681231088199</v>
      </c>
      <c r="AR518" s="2">
        <v>20.063888500571299</v>
      </c>
      <c r="AS518" s="2">
        <v>21.020825177336999</v>
      </c>
      <c r="AT518" s="2">
        <v>20.763845940796099</v>
      </c>
      <c r="AU518" s="2">
        <v>19.858834452181</v>
      </c>
      <c r="AV518" s="2">
        <v>21.442289973822</v>
      </c>
      <c r="AW518" s="2">
        <v>21.223066390670699</v>
      </c>
      <c r="AX518" s="2">
        <v>20.1665174299353</v>
      </c>
      <c r="AY518" s="2">
        <v>21.311773682415101</v>
      </c>
      <c r="AZ518" s="2">
        <v>21.372465832306698</v>
      </c>
      <c r="BA518" s="2">
        <v>21.6694808320837</v>
      </c>
      <c r="BB518" s="2">
        <v>22.149313054103501</v>
      </c>
      <c r="BC518" s="2">
        <v>23.967085062891599</v>
      </c>
      <c r="BD518" s="2">
        <v>21.5224513211325</v>
      </c>
      <c r="BE518" s="2">
        <v>20.951885762489699</v>
      </c>
      <c r="BF518" s="2">
        <v>19.805043228015101</v>
      </c>
      <c r="BG518" s="2">
        <v>21.923081174865999</v>
      </c>
      <c r="BH518" s="2">
        <v>22.0599333179571</v>
      </c>
      <c r="BI518" s="2">
        <v>20.507853364993199</v>
      </c>
      <c r="BJ518" s="2">
        <v>22.0475042267968</v>
      </c>
      <c r="BK518" s="2">
        <v>20.196946460099898</v>
      </c>
      <c r="BL518" s="2">
        <v>20.401190669732401</v>
      </c>
      <c r="BM518" s="2">
        <v>20.6747332411529</v>
      </c>
      <c r="BN518" s="2">
        <v>21.1907428925036</v>
      </c>
      <c r="BO518" s="2">
        <v>21.6704795705637</v>
      </c>
      <c r="BP518" s="2">
        <v>20.797730852257398</v>
      </c>
      <c r="BQ518" s="2">
        <v>21.4200238589316</v>
      </c>
      <c r="BR518" s="2">
        <v>20.7505496538664</v>
      </c>
      <c r="BS518" s="2">
        <v>20.724343753080301</v>
      </c>
      <c r="BT518" s="2">
        <v>23.934982880937401</v>
      </c>
      <c r="BU518" s="2">
        <v>21.463192649221</v>
      </c>
      <c r="BV518" s="2">
        <v>21.6596477747592</v>
      </c>
      <c r="BW518" s="2">
        <v>21.825256019700699</v>
      </c>
      <c r="BX518" s="2">
        <v>22.374887148959399</v>
      </c>
      <c r="BY518" s="2">
        <v>21.420903249649001</v>
      </c>
      <c r="BZ518" s="2">
        <v>20.6168959792228</v>
      </c>
      <c r="CA518" s="2">
        <v>22.1092115409973</v>
      </c>
      <c r="CB518" s="2">
        <v>20.067151374901599</v>
      </c>
      <c r="CC518" s="2">
        <v>20.0209952344801</v>
      </c>
      <c r="CD518" s="2">
        <v>22.005855050167799</v>
      </c>
      <c r="CE518" s="2">
        <v>21.130131882659999</v>
      </c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</row>
    <row r="519" spans="1:97">
      <c r="A519" s="2" t="s">
        <v>5172</v>
      </c>
      <c r="B519" s="2">
        <v>465.35779000000002</v>
      </c>
      <c r="C519" s="2">
        <v>13.486000000000001</v>
      </c>
      <c r="D519" s="2" t="s">
        <v>146</v>
      </c>
      <c r="E519" s="2" t="s">
        <v>5173</v>
      </c>
      <c r="F519" s="2" t="s">
        <v>5174</v>
      </c>
      <c r="G519" s="2">
        <v>204996</v>
      </c>
      <c r="H519" s="3" t="str">
        <f>HYPERLINK("https://cloud.oebiotech.com/#/lm/network/204996", "https://cloud.oebiotech.com/#/lm/network/204996")</f>
        <v>https://cloud.oebiotech.com/#/lm/network/204996</v>
      </c>
      <c r="I519" s="2" t="s">
        <v>5175</v>
      </c>
      <c r="J519" s="2"/>
      <c r="K519" s="2"/>
      <c r="L519" s="2">
        <v>71440169</v>
      </c>
      <c r="M519" s="2"/>
      <c r="N519" s="2"/>
      <c r="O519" s="2"/>
      <c r="P519" s="2"/>
      <c r="Q519" s="2"/>
      <c r="R519" s="2"/>
      <c r="S519" s="2"/>
      <c r="T519" s="2" t="s">
        <v>5176</v>
      </c>
      <c r="U519" s="2" t="s">
        <v>5177</v>
      </c>
      <c r="V519" s="2" t="s">
        <v>95</v>
      </c>
      <c r="W519" s="2" t="s">
        <v>152</v>
      </c>
      <c r="X519" s="2" t="s">
        <v>278</v>
      </c>
      <c r="Y519" s="2" t="s">
        <v>98</v>
      </c>
      <c r="Z519" s="2" t="s">
        <v>154</v>
      </c>
      <c r="AA519" s="2" t="s">
        <v>279</v>
      </c>
      <c r="AB519" s="2" t="s">
        <v>3086</v>
      </c>
      <c r="AC519" s="2">
        <v>61.2</v>
      </c>
      <c r="AD519" s="2">
        <v>81.06</v>
      </c>
      <c r="AE519" s="2">
        <v>42.32</v>
      </c>
      <c r="AF519" s="2" t="s">
        <v>5178</v>
      </c>
      <c r="AG519" s="2" t="s">
        <v>157</v>
      </c>
      <c r="AH519" s="2" t="s">
        <v>4842</v>
      </c>
      <c r="AI519" s="2">
        <v>1.72</v>
      </c>
      <c r="AJ519" s="2">
        <v>19.630340953881301</v>
      </c>
      <c r="AK519" s="2">
        <v>19.716006065303802</v>
      </c>
      <c r="AL519" s="2">
        <v>19.806456920716101</v>
      </c>
      <c r="AM519" s="2">
        <v>19.604735874482699</v>
      </c>
      <c r="AN519" s="2">
        <v>20.144219867110799</v>
      </c>
      <c r="AO519" s="2">
        <v>20.231443244193201</v>
      </c>
      <c r="AP519" s="2">
        <v>20.057309906027701</v>
      </c>
      <c r="AQ519" s="2">
        <v>20.129827597945901</v>
      </c>
      <c r="AR519" s="2">
        <v>18.824470504430401</v>
      </c>
      <c r="AS519" s="2">
        <v>19.122321896329801</v>
      </c>
      <c r="AT519" s="2">
        <v>19.994944134672998</v>
      </c>
      <c r="AU519" s="2">
        <v>18.309442957736</v>
      </c>
      <c r="AV519" s="2">
        <v>19.226635761961099</v>
      </c>
      <c r="AW519" s="2">
        <v>19.140951436132401</v>
      </c>
      <c r="AX519" s="2">
        <v>18.6840649710091</v>
      </c>
      <c r="AY519" s="2">
        <v>20.1924158274932</v>
      </c>
      <c r="AZ519" s="2">
        <v>20.154998150449501</v>
      </c>
      <c r="BA519" s="2">
        <v>20.079716853058599</v>
      </c>
      <c r="BB519" s="2">
        <v>19.118768195600602</v>
      </c>
      <c r="BC519" s="2">
        <v>21.313005313480101</v>
      </c>
      <c r="BD519" s="2">
        <v>19.2357265223465</v>
      </c>
      <c r="BE519" s="2">
        <v>21.353721519744401</v>
      </c>
      <c r="BF519" s="2">
        <v>18.530981549186698</v>
      </c>
      <c r="BG519" s="2">
        <v>19.263753618496001</v>
      </c>
      <c r="BH519" s="2">
        <v>19.3167755392689</v>
      </c>
      <c r="BI519" s="2">
        <v>19.139577881100799</v>
      </c>
      <c r="BJ519" s="2">
        <v>20.567191391957401</v>
      </c>
      <c r="BK519" s="2">
        <v>18.332094694991099</v>
      </c>
      <c r="BL519" s="2">
        <v>19.856263156111201</v>
      </c>
      <c r="BM519" s="2">
        <v>21.299775401067699</v>
      </c>
      <c r="BN519" s="2">
        <v>18.9848079140857</v>
      </c>
      <c r="BO519" s="2">
        <v>18.6751843178541</v>
      </c>
      <c r="BP519" s="2">
        <v>18.846876031028302</v>
      </c>
      <c r="BQ519" s="2">
        <v>19.511970319246199</v>
      </c>
      <c r="BR519" s="2">
        <v>19.035151636872602</v>
      </c>
      <c r="BS519" s="2">
        <v>19.063119124724199</v>
      </c>
      <c r="BT519" s="2">
        <v>20.040517960566099</v>
      </c>
      <c r="BU519" s="2">
        <v>21.431042650379499</v>
      </c>
      <c r="BV519" s="2">
        <v>20.106069945639401</v>
      </c>
      <c r="BW519" s="2">
        <v>18.292704069943898</v>
      </c>
      <c r="BX519" s="2">
        <v>19.241828478516101</v>
      </c>
      <c r="BY519" s="2">
        <v>20.552650562437901</v>
      </c>
      <c r="BZ519" s="2">
        <v>18.830852742085099</v>
      </c>
      <c r="CA519" s="2">
        <v>18.9709445706306</v>
      </c>
      <c r="CB519" s="2">
        <v>19.376267966589101</v>
      </c>
      <c r="CC519" s="2">
        <v>19.336610135605799</v>
      </c>
      <c r="CD519" s="2">
        <v>20.8943803738619</v>
      </c>
      <c r="CE519" s="2">
        <v>19.979056187171299</v>
      </c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</row>
    <row r="520" spans="1:97">
      <c r="A520" s="2" t="s">
        <v>5179</v>
      </c>
      <c r="B520" s="2">
        <v>202.10814999999999</v>
      </c>
      <c r="C520" s="2">
        <v>4.7560000000000002</v>
      </c>
      <c r="D520" s="2" t="s">
        <v>146</v>
      </c>
      <c r="E520" s="2" t="s">
        <v>5180</v>
      </c>
      <c r="F520" s="2" t="s">
        <v>5181</v>
      </c>
      <c r="G520" s="2">
        <v>201056</v>
      </c>
      <c r="H520" s="3" t="str">
        <f>HYPERLINK("https://cloud.oebiotech.com/#/lm/network/201056", "https://cloud.oebiotech.com/#/lm/network/201056")</f>
        <v>https://cloud.oebiotech.com/#/lm/network/201056</v>
      </c>
      <c r="I520" s="2" t="s">
        <v>5182</v>
      </c>
      <c r="J520" s="2">
        <v>6612</v>
      </c>
      <c r="K520" s="2"/>
      <c r="L520" s="2">
        <v>92180</v>
      </c>
      <c r="M520" s="2" t="s">
        <v>5183</v>
      </c>
      <c r="N520" s="2"/>
      <c r="O520" s="2"/>
      <c r="P520" s="2">
        <v>17660</v>
      </c>
      <c r="Q520" s="2"/>
      <c r="R520" s="2"/>
      <c r="S520" s="2" t="s">
        <v>5184</v>
      </c>
      <c r="T520" s="2" t="s">
        <v>5185</v>
      </c>
      <c r="U520" s="2" t="s">
        <v>5186</v>
      </c>
      <c r="V520" s="2" t="s">
        <v>553</v>
      </c>
      <c r="W520" s="2" t="s">
        <v>949</v>
      </c>
      <c r="X520" s="2" t="s">
        <v>950</v>
      </c>
      <c r="Y520" s="2" t="s">
        <v>556</v>
      </c>
      <c r="Z520" s="2" t="s">
        <v>951</v>
      </c>
      <c r="AA520" s="2" t="s">
        <v>952</v>
      </c>
      <c r="AB520" s="2" t="s">
        <v>101</v>
      </c>
      <c r="AC520" s="2">
        <v>61.17</v>
      </c>
      <c r="AD520" s="2">
        <v>93.11</v>
      </c>
      <c r="AE520" s="2">
        <v>74.63</v>
      </c>
      <c r="AF520" s="2" t="s">
        <v>5187</v>
      </c>
      <c r="AG520" s="2" t="s">
        <v>194</v>
      </c>
      <c r="AH520" s="2" t="s">
        <v>5188</v>
      </c>
      <c r="AI520" s="2">
        <v>8.41</v>
      </c>
      <c r="AJ520" s="2">
        <v>18.415192096519199</v>
      </c>
      <c r="AK520" s="2">
        <v>18.7636122133603</v>
      </c>
      <c r="AL520" s="2">
        <v>18.827143291408898</v>
      </c>
      <c r="AM520" s="2">
        <v>18.760531867746799</v>
      </c>
      <c r="AN520" s="2">
        <v>18.884506047424502</v>
      </c>
      <c r="AO520" s="2">
        <v>18.597840079674601</v>
      </c>
      <c r="AP520" s="2">
        <v>18.1186911012339</v>
      </c>
      <c r="AQ520" s="2">
        <v>18.7423470057782</v>
      </c>
      <c r="AR520" s="2">
        <v>18.845448212671599</v>
      </c>
      <c r="AS520" s="2">
        <v>16.687950399589901</v>
      </c>
      <c r="AT520" s="2">
        <v>16.923284536372599</v>
      </c>
      <c r="AU520" s="2">
        <v>17.734113004074199</v>
      </c>
      <c r="AV520" s="2">
        <v>18.300433761480502</v>
      </c>
      <c r="AW520" s="2">
        <v>19.192877008860101</v>
      </c>
      <c r="AX520" s="2">
        <v>17.6587384617584</v>
      </c>
      <c r="AY520" s="2">
        <v>17.697821293619999</v>
      </c>
      <c r="AZ520" s="2">
        <v>19.090597432960902</v>
      </c>
      <c r="BA520" s="2">
        <v>17.334946772237402</v>
      </c>
      <c r="BB520" s="2">
        <v>18.673932610441</v>
      </c>
      <c r="BC520" s="2">
        <v>16.962423627890502</v>
      </c>
      <c r="BD520" s="2">
        <v>18.4045595482308</v>
      </c>
      <c r="BE520" s="2">
        <v>17.4393251802145</v>
      </c>
      <c r="BF520" s="2">
        <v>19.353018964879201</v>
      </c>
      <c r="BG520" s="2">
        <v>18.748374289059399</v>
      </c>
      <c r="BH520" s="2">
        <v>18.478266046385102</v>
      </c>
      <c r="BI520" s="2">
        <v>18.919792188880699</v>
      </c>
      <c r="BJ520" s="2">
        <v>18.270874186626301</v>
      </c>
      <c r="BK520" s="2">
        <v>18.746799480824901</v>
      </c>
      <c r="BL520" s="2">
        <v>17.5479013459721</v>
      </c>
      <c r="BM520" s="2">
        <v>19.548440331284901</v>
      </c>
      <c r="BN520" s="2">
        <v>19.021045811781001</v>
      </c>
      <c r="BO520" s="2">
        <v>17.615474965953101</v>
      </c>
      <c r="BP520" s="2">
        <v>17.6321574322277</v>
      </c>
      <c r="BQ520" s="2">
        <v>18.852023442331902</v>
      </c>
      <c r="BR520" s="2">
        <v>18.104627417179699</v>
      </c>
      <c r="BS520" s="2">
        <v>19.499520406441299</v>
      </c>
      <c r="BT520" s="2">
        <v>17.192352347532999</v>
      </c>
      <c r="BU520" s="2">
        <v>18.379956696574698</v>
      </c>
      <c r="BV520" s="2">
        <v>18.4978319604724</v>
      </c>
      <c r="BW520" s="2">
        <v>16.938159993374999</v>
      </c>
      <c r="BX520" s="2">
        <v>17.235666579100201</v>
      </c>
      <c r="BY520" s="2">
        <v>19.3186127114984</v>
      </c>
      <c r="BZ520" s="2">
        <v>18.702745832513902</v>
      </c>
      <c r="CA520" s="2">
        <v>19.569748566413299</v>
      </c>
      <c r="CB520" s="2">
        <v>16.9365585793918</v>
      </c>
      <c r="CC520" s="2">
        <v>18.0713124057371</v>
      </c>
      <c r="CD520" s="2">
        <v>18.7379879260004</v>
      </c>
      <c r="CE520" s="2">
        <v>18.4017647177287</v>
      </c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</row>
    <row r="521" spans="1:97">
      <c r="A521" s="2" t="s">
        <v>5189</v>
      </c>
      <c r="B521" s="2">
        <v>325.23784000000001</v>
      </c>
      <c r="C521" s="2">
        <v>10.984999999999999</v>
      </c>
      <c r="D521" s="2" t="s">
        <v>146</v>
      </c>
      <c r="E521" s="2" t="s">
        <v>5190</v>
      </c>
      <c r="F521" s="2" t="s">
        <v>5191</v>
      </c>
      <c r="G521" s="2">
        <v>206520</v>
      </c>
      <c r="H521" s="3" t="str">
        <f>HYPERLINK("https://cloud.oebiotech.com/#/lm/network/206520", "https://cloud.oebiotech.com/#/lm/network/206520")</f>
        <v>https://cloud.oebiotech.com/#/lm/network/206520</v>
      </c>
      <c r="I521" s="2" t="s">
        <v>5192</v>
      </c>
      <c r="J521" s="2"/>
      <c r="K521" s="2"/>
      <c r="L521" s="2"/>
      <c r="M521" s="2"/>
      <c r="N521" s="2"/>
      <c r="O521" s="2"/>
      <c r="P521" s="2">
        <v>149601</v>
      </c>
      <c r="Q521" s="2"/>
      <c r="R521" s="2"/>
      <c r="S521" s="2"/>
      <c r="T521" s="2" t="s">
        <v>5193</v>
      </c>
      <c r="U521" s="2" t="s">
        <v>5194</v>
      </c>
      <c r="V521" s="2" t="s">
        <v>95</v>
      </c>
      <c r="W521" s="2" t="s">
        <v>96</v>
      </c>
      <c r="X521" s="2" t="s">
        <v>141</v>
      </c>
      <c r="Y521" s="2" t="s">
        <v>98</v>
      </c>
      <c r="Z521" s="2" t="s">
        <v>99</v>
      </c>
      <c r="AA521" s="2" t="s">
        <v>142</v>
      </c>
      <c r="AB521" s="2" t="s">
        <v>101</v>
      </c>
      <c r="AC521" s="2">
        <v>61.15</v>
      </c>
      <c r="AD521" s="2">
        <v>88.31</v>
      </c>
      <c r="AE521" s="2">
        <v>52.4</v>
      </c>
      <c r="AF521" s="2" t="s">
        <v>5195</v>
      </c>
      <c r="AG521" s="2" t="s">
        <v>993</v>
      </c>
      <c r="AH521" s="2" t="s">
        <v>5196</v>
      </c>
      <c r="AI521" s="2">
        <v>0.31</v>
      </c>
      <c r="AJ521" s="2">
        <v>20.285441730232801</v>
      </c>
      <c r="AK521" s="2">
        <v>20.145589795404501</v>
      </c>
      <c r="AL521" s="2">
        <v>19.753753787467101</v>
      </c>
      <c r="AM521" s="2">
        <v>20.051127486386999</v>
      </c>
      <c r="AN521" s="2">
        <v>19.725355888887201</v>
      </c>
      <c r="AO521" s="2">
        <v>20.111598870877302</v>
      </c>
      <c r="AP521" s="2">
        <v>20.115831405282101</v>
      </c>
      <c r="AQ521" s="2">
        <v>20.014433047473499</v>
      </c>
      <c r="AR521" s="2">
        <v>20.8628531455015</v>
      </c>
      <c r="AS521" s="2">
        <v>19.039114906995</v>
      </c>
      <c r="AT521" s="2">
        <v>19.919032060348499</v>
      </c>
      <c r="AU521" s="2">
        <v>19.6695191186537</v>
      </c>
      <c r="AV521" s="2">
        <v>20.348868862687699</v>
      </c>
      <c r="AW521" s="2">
        <v>20.668646112282001</v>
      </c>
      <c r="AX521" s="2">
        <v>19.545129377588498</v>
      </c>
      <c r="AY521" s="2">
        <v>21.277207298260599</v>
      </c>
      <c r="AZ521" s="2">
        <v>19.610232380940701</v>
      </c>
      <c r="BA521" s="2">
        <v>20.0985147756308</v>
      </c>
      <c r="BB521" s="2">
        <v>19.3756112943292</v>
      </c>
      <c r="BC521" s="2">
        <v>20.162464955094201</v>
      </c>
      <c r="BD521" s="2">
        <v>19.940718380589999</v>
      </c>
      <c r="BE521" s="2">
        <v>21.1093414598372</v>
      </c>
      <c r="BF521" s="2">
        <v>18.139658263586799</v>
      </c>
      <c r="BG521" s="2">
        <v>18.5090322222383</v>
      </c>
      <c r="BH521" s="2">
        <v>20.2925641108801</v>
      </c>
      <c r="BI521" s="2">
        <v>19.605963755755798</v>
      </c>
      <c r="BJ521" s="2">
        <v>20.599089827725901</v>
      </c>
      <c r="BK521" s="2">
        <v>19.8817276872702</v>
      </c>
      <c r="BL521" s="2">
        <v>19.526981731531301</v>
      </c>
      <c r="BM521" s="2">
        <v>20.2412079168056</v>
      </c>
      <c r="BN521" s="2">
        <v>20.444175427601301</v>
      </c>
      <c r="BO521" s="2">
        <v>19.445432133922701</v>
      </c>
      <c r="BP521" s="2">
        <v>19.903657054209798</v>
      </c>
      <c r="BQ521" s="2">
        <v>20.178104508042999</v>
      </c>
      <c r="BR521" s="2">
        <v>19.3479843019201</v>
      </c>
      <c r="BS521" s="2">
        <v>21.293494224450001</v>
      </c>
      <c r="BT521" s="2">
        <v>19.274000839812601</v>
      </c>
      <c r="BU521" s="2">
        <v>20.539382406436602</v>
      </c>
      <c r="BV521" s="2">
        <v>19.653837901707401</v>
      </c>
      <c r="BW521" s="2">
        <v>19.8270836545172</v>
      </c>
      <c r="BX521" s="2">
        <v>19.634022215137101</v>
      </c>
      <c r="BY521" s="2">
        <v>21.604479435080702</v>
      </c>
      <c r="BZ521" s="2">
        <v>19.044012843690201</v>
      </c>
      <c r="CA521" s="2">
        <v>19.0115301059332</v>
      </c>
      <c r="CB521" s="2">
        <v>19.3902424219553</v>
      </c>
      <c r="CC521" s="2">
        <v>19.5395077133551</v>
      </c>
      <c r="CD521" s="2">
        <v>19.710034418819401</v>
      </c>
      <c r="CE521" s="2">
        <v>20.132063180057902</v>
      </c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</row>
    <row r="522" spans="1:97">
      <c r="A522" s="2" t="s">
        <v>5197</v>
      </c>
      <c r="B522" s="2">
        <v>269.0872</v>
      </c>
      <c r="C522" s="2">
        <v>1.0069999999999999</v>
      </c>
      <c r="D522" s="2" t="s">
        <v>146</v>
      </c>
      <c r="E522" s="2" t="s">
        <v>5198</v>
      </c>
      <c r="F522" s="2" t="s">
        <v>5199</v>
      </c>
      <c r="G522" s="2">
        <v>213473</v>
      </c>
      <c r="H522" s="3" t="str">
        <f>HYPERLINK("https://cloud.oebiotech.com/#/lm/network/213473", "https://cloud.oebiotech.com/#/lm/network/213473")</f>
        <v>https://cloud.oebiotech.com/#/lm/network/213473</v>
      </c>
      <c r="I522" s="2" t="s">
        <v>5200</v>
      </c>
      <c r="J522" s="2"/>
      <c r="K522" s="2"/>
      <c r="L522" s="2">
        <v>22491096</v>
      </c>
      <c r="M522" s="2"/>
      <c r="N522" s="2"/>
      <c r="O522" s="2"/>
      <c r="P522" s="2"/>
      <c r="Q522" s="2"/>
      <c r="R522" s="2"/>
      <c r="S522" s="2"/>
      <c r="T522" s="2" t="s">
        <v>5201</v>
      </c>
      <c r="U522" s="2" t="s">
        <v>5202</v>
      </c>
      <c r="V522" s="2" t="s">
        <v>338</v>
      </c>
      <c r="W522" s="2" t="s">
        <v>339</v>
      </c>
      <c r="X522" s="2" t="s">
        <v>663</v>
      </c>
      <c r="Y522" s="2" t="s">
        <v>341</v>
      </c>
      <c r="Z522" s="2" t="s">
        <v>341</v>
      </c>
      <c r="AA522" s="2" t="s">
        <v>664</v>
      </c>
      <c r="AB522" s="2" t="s">
        <v>3086</v>
      </c>
      <c r="AC522" s="2">
        <v>61.12</v>
      </c>
      <c r="AD522" s="2">
        <v>96.68</v>
      </c>
      <c r="AE522" s="2">
        <v>30.19</v>
      </c>
      <c r="AF522" s="2" t="s">
        <v>5203</v>
      </c>
      <c r="AG522" s="2" t="s">
        <v>194</v>
      </c>
      <c r="AH522" s="2" t="s">
        <v>5204</v>
      </c>
      <c r="AI522" s="2">
        <v>2.23</v>
      </c>
      <c r="AJ522" s="2">
        <v>21.474288064049599</v>
      </c>
      <c r="AK522" s="2">
        <v>22.368069729951198</v>
      </c>
      <c r="AL522" s="2">
        <v>22.667922406849002</v>
      </c>
      <c r="AM522" s="2">
        <v>22.623775672675599</v>
      </c>
      <c r="AN522" s="2">
        <v>22.090653542081601</v>
      </c>
      <c r="AO522" s="2">
        <v>22.157396529126402</v>
      </c>
      <c r="AP522" s="2">
        <v>22.656671987838099</v>
      </c>
      <c r="AQ522" s="2">
        <v>22.0669358186537</v>
      </c>
      <c r="AR522" s="2">
        <v>20.52535046197</v>
      </c>
      <c r="AS522" s="2">
        <v>20.856118125575101</v>
      </c>
      <c r="AT522" s="2">
        <v>21.170983268086701</v>
      </c>
      <c r="AU522" s="2">
        <v>21.161554202721401</v>
      </c>
      <c r="AV522" s="2">
        <v>22.199674492301401</v>
      </c>
      <c r="AW522" s="2">
        <v>21.969082096959099</v>
      </c>
      <c r="AX522" s="2">
        <v>21.8405287204953</v>
      </c>
      <c r="AY522" s="2">
        <v>22.029827233230499</v>
      </c>
      <c r="AZ522" s="2">
        <v>21.611653054238701</v>
      </c>
      <c r="BA522" s="2">
        <v>21.384587568131501</v>
      </c>
      <c r="BB522" s="2">
        <v>22.058435600944399</v>
      </c>
      <c r="BC522" s="2">
        <v>22.180826086899799</v>
      </c>
      <c r="BD522" s="2">
        <v>23.044371768528499</v>
      </c>
      <c r="BE522" s="2">
        <v>22.447931535410699</v>
      </c>
      <c r="BF522" s="2">
        <v>23.0236530398344</v>
      </c>
      <c r="BG522" s="2">
        <v>21.767633770237602</v>
      </c>
      <c r="BH522" s="2">
        <v>21.956043336993101</v>
      </c>
      <c r="BI522" s="2">
        <v>22.403684444059401</v>
      </c>
      <c r="BJ522" s="2">
        <v>22.9077433224641</v>
      </c>
      <c r="BK522" s="2">
        <v>22.969953994123301</v>
      </c>
      <c r="BL522" s="2">
        <v>21.8648119296301</v>
      </c>
      <c r="BM522" s="2">
        <v>20.4828292325567</v>
      </c>
      <c r="BN522" s="2">
        <v>21.782387706880701</v>
      </c>
      <c r="BO522" s="2">
        <v>21.587981295463202</v>
      </c>
      <c r="BP522" s="2">
        <v>22.480874593511</v>
      </c>
      <c r="BQ522" s="2">
        <v>21.9060129328358</v>
      </c>
      <c r="BR522" s="2">
        <v>21.636150708836301</v>
      </c>
      <c r="BS522" s="2">
        <v>23.167577106422801</v>
      </c>
      <c r="BT522" s="2">
        <v>21.561237267418399</v>
      </c>
      <c r="BU522" s="2">
        <v>22.032956244001401</v>
      </c>
      <c r="BV522" s="2">
        <v>22.240629508345702</v>
      </c>
      <c r="BW522" s="2">
        <v>21.6242082725263</v>
      </c>
      <c r="BX522" s="2">
        <v>21.694586164141501</v>
      </c>
      <c r="BY522" s="2">
        <v>22.290244829864999</v>
      </c>
      <c r="BZ522" s="2">
        <v>21.712902043397399</v>
      </c>
      <c r="CA522" s="2">
        <v>24.229402822331199</v>
      </c>
      <c r="CB522" s="2">
        <v>21.8878997836071</v>
      </c>
      <c r="CC522" s="2">
        <v>22.6031852549802</v>
      </c>
      <c r="CD522" s="2">
        <v>22.8643527500546</v>
      </c>
      <c r="CE522" s="2">
        <v>22.930716377405702</v>
      </c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</row>
    <row r="523" spans="1:97">
      <c r="A523" s="2" t="s">
        <v>5205</v>
      </c>
      <c r="B523" s="2">
        <v>536.40680999999995</v>
      </c>
      <c r="C523" s="2">
        <v>12.16</v>
      </c>
      <c r="D523" s="2" t="s">
        <v>84</v>
      </c>
      <c r="E523" s="2" t="s">
        <v>5206</v>
      </c>
      <c r="F523" s="2" t="s">
        <v>5207</v>
      </c>
      <c r="G523" s="2">
        <v>19925</v>
      </c>
      <c r="H523" s="3" t="str">
        <f>HYPERLINK("https://cloud.oebiotech.com/#/lm/network/19925", "https://cloud.oebiotech.com/#/lm/network/19925")</f>
        <v>https://cloud.oebiotech.com/#/lm/network/19925</v>
      </c>
      <c r="I523" s="2"/>
      <c r="J523" s="2">
        <v>76585</v>
      </c>
      <c r="K523" s="2" t="s">
        <v>5208</v>
      </c>
      <c r="L523" s="2">
        <v>52924063</v>
      </c>
      <c r="M523" s="2"/>
      <c r="N523" s="2"/>
      <c r="O523" s="2"/>
      <c r="P523" s="2"/>
      <c r="Q523" s="2"/>
      <c r="R523" s="2"/>
      <c r="S523" s="2"/>
      <c r="T523" s="2" t="s">
        <v>5209</v>
      </c>
      <c r="U523" s="2" t="s">
        <v>5210</v>
      </c>
      <c r="V523" s="2" t="s">
        <v>95</v>
      </c>
      <c r="W523" s="2" t="s">
        <v>202</v>
      </c>
      <c r="X523" s="2" t="s">
        <v>203</v>
      </c>
      <c r="Y523" s="2" t="s">
        <v>98</v>
      </c>
      <c r="Z523" s="2" t="s">
        <v>204</v>
      </c>
      <c r="AA523" s="2" t="s">
        <v>205</v>
      </c>
      <c r="AB523" s="2" t="s">
        <v>3086</v>
      </c>
      <c r="AC523" s="2">
        <v>61.12</v>
      </c>
      <c r="AD523" s="2">
        <v>95.94</v>
      </c>
      <c r="AE523" s="2">
        <v>37.82</v>
      </c>
      <c r="AF523" s="2" t="s">
        <v>5211</v>
      </c>
      <c r="AG523" s="2" t="s">
        <v>103</v>
      </c>
      <c r="AH523" s="2" t="s">
        <v>5212</v>
      </c>
      <c r="AI523" s="2">
        <v>1.3</v>
      </c>
      <c r="AJ523" s="2">
        <v>20.896382290475401</v>
      </c>
      <c r="AK523" s="2">
        <v>21.230150068129699</v>
      </c>
      <c r="AL523" s="2">
        <v>20.457418275082599</v>
      </c>
      <c r="AM523" s="2">
        <v>20.959775220069499</v>
      </c>
      <c r="AN523" s="2">
        <v>20.6464560330257</v>
      </c>
      <c r="AO523" s="2">
        <v>21.069080401662099</v>
      </c>
      <c r="AP523" s="2">
        <v>20.238417743432802</v>
      </c>
      <c r="AQ523" s="2">
        <v>21.027004712200899</v>
      </c>
      <c r="AR523" s="2">
        <v>20.063407168654301</v>
      </c>
      <c r="AS523" s="2">
        <v>19.4014493581371</v>
      </c>
      <c r="AT523" s="2">
        <v>19.969318837209801</v>
      </c>
      <c r="AU523" s="2">
        <v>19.331994073609401</v>
      </c>
      <c r="AV523" s="2">
        <v>19.932030720358</v>
      </c>
      <c r="AW523" s="2">
        <v>20.077181833758502</v>
      </c>
      <c r="AX523" s="2">
        <v>20.5056450753282</v>
      </c>
      <c r="AY523" s="2">
        <v>19.6054674547993</v>
      </c>
      <c r="AZ523" s="2">
        <v>20.421405501190598</v>
      </c>
      <c r="BA523" s="2">
        <v>19.441431313439399</v>
      </c>
      <c r="BB523" s="2">
        <v>20.794009652956099</v>
      </c>
      <c r="BC523" s="2">
        <v>19.942748483890099</v>
      </c>
      <c r="BD523" s="2">
        <v>20.009549519707299</v>
      </c>
      <c r="BE523" s="2">
        <v>21.0967464390469</v>
      </c>
      <c r="BF523" s="2">
        <v>19.9027942438019</v>
      </c>
      <c r="BG523" s="2">
        <v>20.8594447455568</v>
      </c>
      <c r="BH523" s="2">
        <v>20.192849781247698</v>
      </c>
      <c r="BI523" s="2">
        <v>18.567470291356599</v>
      </c>
      <c r="BJ523" s="2">
        <v>19.5311887164087</v>
      </c>
      <c r="BK523" s="2">
        <v>19.230465883298901</v>
      </c>
      <c r="BL523" s="2">
        <v>20.544539998921099</v>
      </c>
      <c r="BM523" s="2">
        <v>21.502337537827</v>
      </c>
      <c r="BN523" s="2">
        <v>20.7879640372878</v>
      </c>
      <c r="BO523" s="2">
        <v>22.085402759015501</v>
      </c>
      <c r="BP523" s="2">
        <v>21.079296434494999</v>
      </c>
      <c r="BQ523" s="2">
        <v>20.6468705552595</v>
      </c>
      <c r="BR523" s="2">
        <v>20.861538745455601</v>
      </c>
      <c r="BS523" s="2">
        <v>21.112856892880501</v>
      </c>
      <c r="BT523" s="2">
        <v>22.371508767100899</v>
      </c>
      <c r="BU523" s="2">
        <v>21.6458477000192</v>
      </c>
      <c r="BV523" s="2">
        <v>21.951836300613099</v>
      </c>
      <c r="BW523" s="2">
        <v>21.5856910599625</v>
      </c>
      <c r="BX523" s="2">
        <v>21.0373258860063</v>
      </c>
      <c r="BY523" s="2">
        <v>22.048207322217699</v>
      </c>
      <c r="BZ523" s="2">
        <v>20.2199738404132</v>
      </c>
      <c r="CA523" s="2">
        <v>22.1419174598396</v>
      </c>
      <c r="CB523" s="2">
        <v>18.576108226880301</v>
      </c>
      <c r="CC523" s="2">
        <v>19.348990394189201</v>
      </c>
      <c r="CD523" s="2">
        <v>21.947420007336198</v>
      </c>
      <c r="CE523" s="2">
        <v>21.574028381119099</v>
      </c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</row>
    <row r="524" spans="1:97">
      <c r="A524" s="2" t="s">
        <v>5213</v>
      </c>
      <c r="B524" s="2">
        <v>331.09053999999998</v>
      </c>
      <c r="C524" s="2">
        <v>4.2850000000000001</v>
      </c>
      <c r="D524" s="2" t="s">
        <v>146</v>
      </c>
      <c r="E524" s="2" t="s">
        <v>5214</v>
      </c>
      <c r="F524" s="2" t="s">
        <v>5215</v>
      </c>
      <c r="G524" s="2">
        <v>54020</v>
      </c>
      <c r="H524" s="3" t="str">
        <f>HYPERLINK("https://cloud.oebiotech.com/#/lm/network/54020", "https://cloud.oebiotech.com/#/lm/network/54020")</f>
        <v>https://cloud.oebiotech.com/#/lm/network/54020</v>
      </c>
      <c r="I524" s="2" t="s">
        <v>5216</v>
      </c>
      <c r="J524" s="2">
        <v>85901</v>
      </c>
      <c r="K524" s="2"/>
      <c r="L524" s="2">
        <v>7010505</v>
      </c>
      <c r="M524" s="2"/>
      <c r="N524" s="2"/>
      <c r="O524" s="2"/>
      <c r="P524" s="2">
        <v>74719</v>
      </c>
      <c r="Q524" s="2"/>
      <c r="R524" s="2"/>
      <c r="S524" s="2" t="s">
        <v>5217</v>
      </c>
      <c r="T524" s="2" t="s">
        <v>5218</v>
      </c>
      <c r="U524" s="2" t="s">
        <v>5219</v>
      </c>
      <c r="V524" s="2" t="s">
        <v>115</v>
      </c>
      <c r="W524" s="2" t="s">
        <v>116</v>
      </c>
      <c r="X524" s="2" t="s">
        <v>117</v>
      </c>
      <c r="Y524" s="2" t="s">
        <v>118</v>
      </c>
      <c r="Z524" s="2" t="s">
        <v>119</v>
      </c>
      <c r="AA524" s="2" t="s">
        <v>120</v>
      </c>
      <c r="AB524" s="2" t="s">
        <v>3086</v>
      </c>
      <c r="AC524" s="2">
        <v>61.07</v>
      </c>
      <c r="AD524" s="2">
        <v>73.739999999999995</v>
      </c>
      <c r="AE524" s="2">
        <v>42.1842857142857</v>
      </c>
      <c r="AF524" s="2" t="s">
        <v>5220</v>
      </c>
      <c r="AG524" s="2" t="s">
        <v>4062</v>
      </c>
      <c r="AH524" s="2" t="s">
        <v>5221</v>
      </c>
      <c r="AI524" s="2">
        <v>-4.83</v>
      </c>
      <c r="AJ524" s="2">
        <v>20.653111699562899</v>
      </c>
      <c r="AK524" s="2">
        <v>20.606227830885398</v>
      </c>
      <c r="AL524" s="2">
        <v>20.436543818520299</v>
      </c>
      <c r="AM524" s="2">
        <v>20.395751172712099</v>
      </c>
      <c r="AN524" s="2">
        <v>20.568495943684201</v>
      </c>
      <c r="AO524" s="2">
        <v>20.476145193121301</v>
      </c>
      <c r="AP524" s="2">
        <v>20.500219182751401</v>
      </c>
      <c r="AQ524" s="2">
        <v>20.522922160783899</v>
      </c>
      <c r="AR524" s="2">
        <v>19.1604026977285</v>
      </c>
      <c r="AS524" s="2">
        <v>18.062268167798599</v>
      </c>
      <c r="AT524" s="2">
        <v>15.9682050785045</v>
      </c>
      <c r="AU524" s="2">
        <v>18.295981203789601</v>
      </c>
      <c r="AV524" s="2">
        <v>21.189807279467601</v>
      </c>
      <c r="AW524" s="2">
        <v>20.275699894435501</v>
      </c>
      <c r="AX524" s="2">
        <v>21.208489232686802</v>
      </c>
      <c r="AY524" s="2">
        <v>19.588361292313699</v>
      </c>
      <c r="AZ524" s="2">
        <v>20.072255360783799</v>
      </c>
      <c r="BA524" s="2">
        <v>19.9483523156124</v>
      </c>
      <c r="BB524" s="2">
        <v>20.977664854706202</v>
      </c>
      <c r="BC524" s="2">
        <v>18.375538225090999</v>
      </c>
      <c r="BD524" s="2">
        <v>20.429748898830599</v>
      </c>
      <c r="BE524" s="2">
        <v>22.255670909218701</v>
      </c>
      <c r="BF524" s="2">
        <v>19.853685609308801</v>
      </c>
      <c r="BG524" s="2">
        <v>21.107316856231499</v>
      </c>
      <c r="BH524" s="2">
        <v>21.063125340780498</v>
      </c>
      <c r="BI524" s="2">
        <v>21.827260394340101</v>
      </c>
      <c r="BJ524" s="2">
        <v>21.2268435601463</v>
      </c>
      <c r="BK524" s="2">
        <v>20.827156715186</v>
      </c>
      <c r="BL524" s="2">
        <v>20.902773145993301</v>
      </c>
      <c r="BM524" s="2">
        <v>19.895347328732701</v>
      </c>
      <c r="BN524" s="2">
        <v>18.372330818601</v>
      </c>
      <c r="BO524" s="2">
        <v>18.004100726967501</v>
      </c>
      <c r="BP524" s="2">
        <v>20.986778143631799</v>
      </c>
      <c r="BQ524" s="2">
        <v>20.254007207118601</v>
      </c>
      <c r="BR524" s="2">
        <v>19.269135333357401</v>
      </c>
      <c r="BS524" s="2">
        <v>20.530218388207</v>
      </c>
      <c r="BT524" s="2">
        <v>21.257434326988299</v>
      </c>
      <c r="BU524" s="2">
        <v>18.966211281740499</v>
      </c>
      <c r="BV524" s="2">
        <v>19.3998710873534</v>
      </c>
      <c r="BW524" s="2">
        <v>16.303943919571601</v>
      </c>
      <c r="BX524" s="2">
        <v>20.138927450050598</v>
      </c>
      <c r="BY524" s="2">
        <v>21.936730907834502</v>
      </c>
      <c r="BZ524" s="2">
        <v>19.714648233945901</v>
      </c>
      <c r="CA524" s="2">
        <v>18.864121836531101</v>
      </c>
      <c r="CB524" s="2">
        <v>20.2278903731412</v>
      </c>
      <c r="CC524" s="2">
        <v>19.647052815239999</v>
      </c>
      <c r="CD524" s="2">
        <v>20.905926811351701</v>
      </c>
      <c r="CE524" s="2">
        <v>19.9468353290147</v>
      </c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</row>
    <row r="525" spans="1:97">
      <c r="A525" s="2" t="s">
        <v>5222</v>
      </c>
      <c r="B525" s="2">
        <v>281.1388</v>
      </c>
      <c r="C525" s="2">
        <v>10.407</v>
      </c>
      <c r="D525" s="2" t="s">
        <v>146</v>
      </c>
      <c r="E525" s="2" t="s">
        <v>5223</v>
      </c>
      <c r="F525" s="2" t="s">
        <v>5224</v>
      </c>
      <c r="G525" s="2">
        <v>9116</v>
      </c>
      <c r="H525" s="3" t="str">
        <f>HYPERLINK("https://cloud.oebiotech.com/#/lm/network/9116", "https://cloud.oebiotech.com/#/lm/network/9116")</f>
        <v>https://cloud.oebiotech.com/#/lm/network/9116</v>
      </c>
      <c r="I525" s="2"/>
      <c r="J525" s="2">
        <v>443614</v>
      </c>
      <c r="K525" s="2" t="s">
        <v>5225</v>
      </c>
      <c r="L525" s="2">
        <v>177348</v>
      </c>
      <c r="M525" s="2"/>
      <c r="N525" s="2"/>
      <c r="O525" s="2"/>
      <c r="P525" s="2"/>
      <c r="Q525" s="2"/>
      <c r="R525" s="2"/>
      <c r="S525" s="2"/>
      <c r="T525" s="2" t="s">
        <v>5226</v>
      </c>
      <c r="U525" s="2" t="s">
        <v>5227</v>
      </c>
      <c r="V525" s="2" t="s">
        <v>115</v>
      </c>
      <c r="W525" s="2" t="s">
        <v>116</v>
      </c>
      <c r="X525" s="2" t="s">
        <v>2388</v>
      </c>
      <c r="Y525" s="2" t="s">
        <v>118</v>
      </c>
      <c r="Z525" s="2" t="s">
        <v>119</v>
      </c>
      <c r="AA525" s="2" t="s">
        <v>2389</v>
      </c>
      <c r="AB525" s="2" t="s">
        <v>101</v>
      </c>
      <c r="AC525" s="2">
        <v>61.06</v>
      </c>
      <c r="AD525" s="2">
        <v>90.25</v>
      </c>
      <c r="AE525" s="2">
        <v>49.22</v>
      </c>
      <c r="AF525" s="2" t="s">
        <v>5228</v>
      </c>
      <c r="AG525" s="2" t="s">
        <v>157</v>
      </c>
      <c r="AH525" s="2" t="s">
        <v>5229</v>
      </c>
      <c r="AI525" s="2">
        <v>2.13</v>
      </c>
      <c r="AJ525" s="2">
        <v>18.010197148004799</v>
      </c>
      <c r="AK525" s="2">
        <v>17.968307750796502</v>
      </c>
      <c r="AL525" s="2">
        <v>17.8710004428088</v>
      </c>
      <c r="AM525" s="2">
        <v>18.211456156884701</v>
      </c>
      <c r="AN525" s="2">
        <v>18.2758931483217</v>
      </c>
      <c r="AO525" s="2">
        <v>18.2602860752271</v>
      </c>
      <c r="AP525" s="2">
        <v>18.246283236575302</v>
      </c>
      <c r="AQ525" s="2">
        <v>18.112475701992</v>
      </c>
      <c r="AR525" s="2">
        <v>17.9781763535278</v>
      </c>
      <c r="AS525" s="2">
        <v>16.939646930876702</v>
      </c>
      <c r="AT525" s="2">
        <v>17.589995600323501</v>
      </c>
      <c r="AU525" s="2">
        <v>17.1602936439564</v>
      </c>
      <c r="AV525" s="2">
        <v>18.695664927810999</v>
      </c>
      <c r="AW525" s="2">
        <v>17.8932834567632</v>
      </c>
      <c r="AX525" s="2">
        <v>16.6794675913292</v>
      </c>
      <c r="AY525" s="2">
        <v>17.899492641285399</v>
      </c>
      <c r="AZ525" s="2">
        <v>17.385764007209701</v>
      </c>
      <c r="BA525" s="2">
        <v>17.906116853306699</v>
      </c>
      <c r="BB525" s="2">
        <v>17.358598235404699</v>
      </c>
      <c r="BC525" s="2">
        <v>18.267971893012199</v>
      </c>
      <c r="BD525" s="2">
        <v>17.632694154752201</v>
      </c>
      <c r="BE525" s="2">
        <v>17.389889084381199</v>
      </c>
      <c r="BF525" s="2">
        <v>17.476302649407501</v>
      </c>
      <c r="BG525" s="2">
        <v>17.279170734308799</v>
      </c>
      <c r="BH525" s="2">
        <v>18.833041491910301</v>
      </c>
      <c r="BI525" s="2">
        <v>16.397306793737599</v>
      </c>
      <c r="BJ525" s="2">
        <v>18.0020247817552</v>
      </c>
      <c r="BK525" s="2">
        <v>17.9812094846652</v>
      </c>
      <c r="BL525" s="2">
        <v>17.484464818828201</v>
      </c>
      <c r="BM525" s="2">
        <v>18.7835362342956</v>
      </c>
      <c r="BN525" s="2">
        <v>19.2332669451066</v>
      </c>
      <c r="BO525" s="2">
        <v>18.491164889090101</v>
      </c>
      <c r="BP525" s="2">
        <v>16.095257724784801</v>
      </c>
      <c r="BQ525" s="2">
        <v>17.8829438978496</v>
      </c>
      <c r="BR525" s="2">
        <v>18.085256825139499</v>
      </c>
      <c r="BS525" s="2">
        <v>19.185547890905799</v>
      </c>
      <c r="BT525" s="2">
        <v>18.469670352279898</v>
      </c>
      <c r="BU525" s="2">
        <v>17.736457558782298</v>
      </c>
      <c r="BV525" s="2">
        <v>18.0222789965487</v>
      </c>
      <c r="BW525" s="2">
        <v>15.5820543397432</v>
      </c>
      <c r="BX525" s="2">
        <v>17.658442255884101</v>
      </c>
      <c r="BY525" s="2">
        <v>19.4962059558014</v>
      </c>
      <c r="BZ525" s="2">
        <v>16.034054601593802</v>
      </c>
      <c r="CA525" s="2">
        <v>17.5839496581821</v>
      </c>
      <c r="CB525" s="2">
        <v>17.8230813299913</v>
      </c>
      <c r="CC525" s="2">
        <v>17.741840094340901</v>
      </c>
      <c r="CD525" s="2">
        <v>18.5480561312622</v>
      </c>
      <c r="CE525" s="2">
        <v>18.7574493260624</v>
      </c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</row>
    <row r="526" spans="1:97">
      <c r="A526" s="2" t="s">
        <v>5230</v>
      </c>
      <c r="B526" s="2">
        <v>166.0531</v>
      </c>
      <c r="C526" s="2">
        <v>1.286</v>
      </c>
      <c r="D526" s="2" t="s">
        <v>84</v>
      </c>
      <c r="E526" s="2" t="s">
        <v>5231</v>
      </c>
      <c r="F526" s="2" t="s">
        <v>5232</v>
      </c>
      <c r="G526" s="2">
        <v>205489</v>
      </c>
      <c r="H526" s="3" t="str">
        <f>HYPERLINK("https://cloud.oebiotech.com/#/lm/network/205489", "https://cloud.oebiotech.com/#/lm/network/205489")</f>
        <v>https://cloud.oebiotech.com/#/lm/network/205489</v>
      </c>
      <c r="I526" s="2" t="s">
        <v>5233</v>
      </c>
      <c r="J526" s="2">
        <v>6428</v>
      </c>
      <c r="K526" s="2"/>
      <c r="L526" s="2">
        <v>847</v>
      </c>
      <c r="M526" s="2"/>
      <c r="N526" s="2"/>
      <c r="O526" s="2"/>
      <c r="P526" s="2">
        <v>49033</v>
      </c>
      <c r="Q526" s="2"/>
      <c r="R526" s="2"/>
      <c r="S526" s="2" t="s">
        <v>5234</v>
      </c>
      <c r="T526" s="2" t="s">
        <v>5235</v>
      </c>
      <c r="U526" s="2" t="s">
        <v>5236</v>
      </c>
      <c r="V526" s="2" t="s">
        <v>115</v>
      </c>
      <c r="W526" s="2" t="s">
        <v>116</v>
      </c>
      <c r="X526" s="2" t="s">
        <v>117</v>
      </c>
      <c r="Y526" s="2" t="s">
        <v>118</v>
      </c>
      <c r="Z526" s="2" t="s">
        <v>119</v>
      </c>
      <c r="AA526" s="2" t="s">
        <v>120</v>
      </c>
      <c r="AB526" s="2" t="s">
        <v>3086</v>
      </c>
      <c r="AC526" s="2">
        <v>60.98</v>
      </c>
      <c r="AD526" s="2">
        <v>93.75</v>
      </c>
      <c r="AE526" s="2">
        <v>39.69</v>
      </c>
      <c r="AF526" s="2" t="s">
        <v>5237</v>
      </c>
      <c r="AG526" s="2" t="s">
        <v>103</v>
      </c>
      <c r="AH526" s="2" t="s">
        <v>1591</v>
      </c>
      <c r="AI526" s="2">
        <v>0.6</v>
      </c>
      <c r="AJ526" s="2">
        <v>18.723157424982901</v>
      </c>
      <c r="AK526" s="2">
        <v>19.204625588148598</v>
      </c>
      <c r="AL526" s="2">
        <v>19.019067148234001</v>
      </c>
      <c r="AM526" s="2">
        <v>19.293561432795201</v>
      </c>
      <c r="AN526" s="2">
        <v>18.9779279474646</v>
      </c>
      <c r="AO526" s="2">
        <v>19.233390118406898</v>
      </c>
      <c r="AP526" s="2">
        <v>18.597575292036701</v>
      </c>
      <c r="AQ526" s="2">
        <v>18.830514742765299</v>
      </c>
      <c r="AR526" s="2">
        <v>17.493121706157201</v>
      </c>
      <c r="AS526" s="2">
        <v>16.547709271679999</v>
      </c>
      <c r="AT526" s="2">
        <v>17.309618278663802</v>
      </c>
      <c r="AU526" s="2">
        <v>17.5739355172323</v>
      </c>
      <c r="AV526" s="2">
        <v>18.6425790015175</v>
      </c>
      <c r="AW526" s="2">
        <v>18.525834514054502</v>
      </c>
      <c r="AX526" s="2">
        <v>18.451069049291199</v>
      </c>
      <c r="AY526" s="2">
        <v>19.620381041279401</v>
      </c>
      <c r="AZ526" s="2">
        <v>18.657045196582299</v>
      </c>
      <c r="BA526" s="2">
        <v>17.076037997818499</v>
      </c>
      <c r="BB526" s="2">
        <v>18.977283026391198</v>
      </c>
      <c r="BC526" s="2">
        <v>19.0744198142282</v>
      </c>
      <c r="BD526" s="2">
        <v>18.112535363563499</v>
      </c>
      <c r="BE526" s="2">
        <v>20.027418635460201</v>
      </c>
      <c r="BF526" s="2">
        <v>19.620024824510001</v>
      </c>
      <c r="BG526" s="2">
        <v>18.979810670851698</v>
      </c>
      <c r="BH526" s="2">
        <v>20.0309393237881</v>
      </c>
      <c r="BI526" s="2">
        <v>18.878091247210101</v>
      </c>
      <c r="BJ526" s="2">
        <v>19.434651844538401</v>
      </c>
      <c r="BK526" s="2">
        <v>18.477145420879701</v>
      </c>
      <c r="BL526" s="2">
        <v>18.505932011197999</v>
      </c>
      <c r="BM526" s="2">
        <v>19.918753186012498</v>
      </c>
      <c r="BN526" s="2">
        <v>19.047427522173798</v>
      </c>
      <c r="BO526" s="2">
        <v>17.916099940955199</v>
      </c>
      <c r="BP526" s="2">
        <v>19.5322843854212</v>
      </c>
      <c r="BQ526" s="2">
        <v>19.219489170925399</v>
      </c>
      <c r="BR526" s="2">
        <v>19.0959762222544</v>
      </c>
      <c r="BS526" s="2">
        <v>18.663543685255501</v>
      </c>
      <c r="BT526" s="2">
        <v>17.1293991443914</v>
      </c>
      <c r="BU526" s="2">
        <v>17.305097451690699</v>
      </c>
      <c r="BV526" s="2">
        <v>18.750803339734102</v>
      </c>
      <c r="BW526" s="2">
        <v>17.210381881665299</v>
      </c>
      <c r="BX526" s="2">
        <v>18.791411154795199</v>
      </c>
      <c r="BY526" s="2">
        <v>20.0699782406206</v>
      </c>
      <c r="BZ526" s="2">
        <v>19.798645523734201</v>
      </c>
      <c r="CA526" s="2">
        <v>20.904264825466999</v>
      </c>
      <c r="CB526" s="2">
        <v>18.523426421379899</v>
      </c>
      <c r="CC526" s="2">
        <v>18.688233675692501</v>
      </c>
      <c r="CD526" s="2">
        <v>19.805345851412</v>
      </c>
      <c r="CE526" s="2">
        <v>18.9914689774374</v>
      </c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</row>
    <row r="527" spans="1:97">
      <c r="A527" s="2" t="s">
        <v>5238</v>
      </c>
      <c r="B527" s="2">
        <v>355.26366999999999</v>
      </c>
      <c r="C527" s="2">
        <v>13.223000000000001</v>
      </c>
      <c r="D527" s="2" t="s">
        <v>146</v>
      </c>
      <c r="E527" s="2" t="s">
        <v>5239</v>
      </c>
      <c r="F527" s="2" t="s">
        <v>5240</v>
      </c>
      <c r="G527" s="2">
        <v>686</v>
      </c>
      <c r="H527" s="3" t="str">
        <f>HYPERLINK("https://cloud.oebiotech.com/#/lm/network/686", "https://cloud.oebiotech.com/#/lm/network/686")</f>
        <v>https://cloud.oebiotech.com/#/lm/network/686</v>
      </c>
      <c r="I527" s="2"/>
      <c r="J527" s="2">
        <v>34853</v>
      </c>
      <c r="K527" s="2" t="s">
        <v>5241</v>
      </c>
      <c r="L527" s="2">
        <v>5282851</v>
      </c>
      <c r="M527" s="2"/>
      <c r="N527" s="2"/>
      <c r="O527" s="2"/>
      <c r="P527" s="2"/>
      <c r="Q527" s="2"/>
      <c r="R527" s="2"/>
      <c r="S527" s="2"/>
      <c r="T527" s="2" t="s">
        <v>5242</v>
      </c>
      <c r="U527" s="2" t="s">
        <v>5243</v>
      </c>
      <c r="V527" s="2" t="s">
        <v>95</v>
      </c>
      <c r="W527" s="2" t="s">
        <v>96</v>
      </c>
      <c r="X527" s="2" t="s">
        <v>141</v>
      </c>
      <c r="Y527" s="2" t="s">
        <v>98</v>
      </c>
      <c r="Z527" s="2" t="s">
        <v>99</v>
      </c>
      <c r="AA527" s="2" t="s">
        <v>142</v>
      </c>
      <c r="AB527" s="2" t="s">
        <v>101</v>
      </c>
      <c r="AC527" s="2">
        <v>60.95</v>
      </c>
      <c r="AD527" s="2">
        <v>84.76</v>
      </c>
      <c r="AE527" s="2">
        <v>45.01</v>
      </c>
      <c r="AF527" s="2" t="s">
        <v>5244</v>
      </c>
      <c r="AG527" s="2" t="s">
        <v>194</v>
      </c>
      <c r="AH527" s="2" t="s">
        <v>5245</v>
      </c>
      <c r="AI527" s="2">
        <v>1.69</v>
      </c>
      <c r="AJ527" s="2">
        <v>18.147893745954701</v>
      </c>
      <c r="AK527" s="2">
        <v>17.781510712143401</v>
      </c>
      <c r="AL527" s="2">
        <v>18.056283929941401</v>
      </c>
      <c r="AM527" s="2">
        <v>18.085526609022999</v>
      </c>
      <c r="AN527" s="2">
        <v>18.096596674881098</v>
      </c>
      <c r="AO527" s="2">
        <v>17.9676909320427</v>
      </c>
      <c r="AP527" s="2">
        <v>18.114003116198901</v>
      </c>
      <c r="AQ527" s="2">
        <v>17.241829292985798</v>
      </c>
      <c r="AR527" s="2">
        <v>16.7671447383585</v>
      </c>
      <c r="AS527" s="2">
        <v>16.2168653832559</v>
      </c>
      <c r="AT527" s="2">
        <v>18.199799809470299</v>
      </c>
      <c r="AU527" s="2">
        <v>16.973834562877901</v>
      </c>
      <c r="AV527" s="2">
        <v>17.240248449556699</v>
      </c>
      <c r="AW527" s="2">
        <v>16.827083887175601</v>
      </c>
      <c r="AX527" s="2">
        <v>17.356816707379799</v>
      </c>
      <c r="AY527" s="2">
        <v>16.8390940264864</v>
      </c>
      <c r="AZ527" s="2">
        <v>17.1301732561999</v>
      </c>
      <c r="BA527" s="2">
        <v>18.741442725777901</v>
      </c>
      <c r="BB527" s="2">
        <v>17.868889335737101</v>
      </c>
      <c r="BC527" s="2">
        <v>18.928527859336601</v>
      </c>
      <c r="BD527" s="2">
        <v>16.358529643495601</v>
      </c>
      <c r="BE527" s="2">
        <v>14.5995752520242</v>
      </c>
      <c r="BF527" s="2">
        <v>16.5570626146819</v>
      </c>
      <c r="BG527" s="2">
        <v>18.951880335564798</v>
      </c>
      <c r="BH527" s="2">
        <v>16.819099579641101</v>
      </c>
      <c r="BI527" s="2">
        <v>19.2870384610458</v>
      </c>
      <c r="BJ527" s="2">
        <v>18.222914305087102</v>
      </c>
      <c r="BK527" s="2">
        <v>16.940704159464001</v>
      </c>
      <c r="BL527" s="2">
        <v>18.129612758252801</v>
      </c>
      <c r="BM527" s="2">
        <v>18.057824338939898</v>
      </c>
      <c r="BN527" s="2">
        <v>15.990193508890201</v>
      </c>
      <c r="BO527" s="2">
        <v>17.761221893064999</v>
      </c>
      <c r="BP527" s="2">
        <v>17.1554838374946</v>
      </c>
      <c r="BQ527" s="2">
        <v>18.492397135227499</v>
      </c>
      <c r="BR527" s="2">
        <v>18.359378056605902</v>
      </c>
      <c r="BS527" s="2">
        <v>17.655437574976101</v>
      </c>
      <c r="BT527" s="2">
        <v>18.690106959496099</v>
      </c>
      <c r="BU527" s="2">
        <v>18.7066953218735</v>
      </c>
      <c r="BV527" s="2">
        <v>18.2785051771749</v>
      </c>
      <c r="BW527" s="2">
        <v>16.4893329114099</v>
      </c>
      <c r="BX527" s="2">
        <v>16.900684997709099</v>
      </c>
      <c r="BY527" s="2">
        <v>15.515214115714601</v>
      </c>
      <c r="BZ527" s="2">
        <v>17.432293622213798</v>
      </c>
      <c r="CA527" s="2">
        <v>17.0414100761801</v>
      </c>
      <c r="CB527" s="2">
        <v>19.145751031578399</v>
      </c>
      <c r="CC527" s="2">
        <v>18.998617835887099</v>
      </c>
      <c r="CD527" s="2">
        <v>17.332856767516201</v>
      </c>
      <c r="CE527" s="2">
        <v>19.764181543244099</v>
      </c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</row>
    <row r="528" spans="1:97">
      <c r="A528" s="2" t="s">
        <v>5246</v>
      </c>
      <c r="B528" s="2">
        <v>250.14335</v>
      </c>
      <c r="C528" s="2">
        <v>3.835</v>
      </c>
      <c r="D528" s="2" t="s">
        <v>84</v>
      </c>
      <c r="E528" s="2" t="s">
        <v>5247</v>
      </c>
      <c r="F528" s="2" t="s">
        <v>5248</v>
      </c>
      <c r="G528" s="2">
        <v>204880</v>
      </c>
      <c r="H528" s="3" t="str">
        <f>HYPERLINK("https://cloud.oebiotech.com/#/lm/network/204880", "https://cloud.oebiotech.com/#/lm/network/204880")</f>
        <v>https://cloud.oebiotech.com/#/lm/network/204880</v>
      </c>
      <c r="I528" s="2" t="s">
        <v>5249</v>
      </c>
      <c r="J528" s="2"/>
      <c r="K528" s="2"/>
      <c r="L528" s="2">
        <v>10332290</v>
      </c>
      <c r="M528" s="2"/>
      <c r="N528" s="2"/>
      <c r="O528" s="2"/>
      <c r="P528" s="2"/>
      <c r="Q528" s="2"/>
      <c r="R528" s="2"/>
      <c r="S528" s="2"/>
      <c r="T528" s="2" t="s">
        <v>5250</v>
      </c>
      <c r="U528" s="2" t="s">
        <v>5251</v>
      </c>
      <c r="V528" s="2" t="s">
        <v>385</v>
      </c>
      <c r="W528" s="2" t="s">
        <v>3319</v>
      </c>
      <c r="X528" s="2" t="s">
        <v>5252</v>
      </c>
      <c r="Y528" s="2" t="s">
        <v>388</v>
      </c>
      <c r="Z528" s="2" t="s">
        <v>3321</v>
      </c>
      <c r="AA528" s="2" t="s">
        <v>5253</v>
      </c>
      <c r="AB528" s="2" t="s">
        <v>3086</v>
      </c>
      <c r="AC528" s="2">
        <v>60.95</v>
      </c>
      <c r="AD528" s="2">
        <v>90.81</v>
      </c>
      <c r="AE528" s="2">
        <v>37.57</v>
      </c>
      <c r="AF528" s="2" t="s">
        <v>5254</v>
      </c>
      <c r="AG528" s="2" t="s">
        <v>103</v>
      </c>
      <c r="AH528" s="2" t="s">
        <v>5255</v>
      </c>
      <c r="AI528" s="2">
        <v>2</v>
      </c>
      <c r="AJ528" s="2">
        <v>19.118376928234898</v>
      </c>
      <c r="AK528" s="2">
        <v>19.2873781991516</v>
      </c>
      <c r="AL528" s="2">
        <v>19.079090581598901</v>
      </c>
      <c r="AM528" s="2">
        <v>19.0171495611925</v>
      </c>
      <c r="AN528" s="2">
        <v>19.091628768549999</v>
      </c>
      <c r="AO528" s="2">
        <v>19.162987410967901</v>
      </c>
      <c r="AP528" s="2">
        <v>19.107336831966901</v>
      </c>
      <c r="AQ528" s="2">
        <v>19.252103802880502</v>
      </c>
      <c r="AR528" s="2">
        <v>16.018577497866399</v>
      </c>
      <c r="AS528" s="2">
        <v>9.6233145402724691</v>
      </c>
      <c r="AT528" s="2">
        <v>16.008733674296501</v>
      </c>
      <c r="AU528" s="2">
        <v>16.153519969702799</v>
      </c>
      <c r="AV528" s="2">
        <v>9.6233145402724691</v>
      </c>
      <c r="AW528" s="2">
        <v>9.6233145402724691</v>
      </c>
      <c r="AX528" s="2">
        <v>9.6233145402724691</v>
      </c>
      <c r="AY528" s="2">
        <v>19.001856245463902</v>
      </c>
      <c r="AZ528" s="2">
        <v>14.3590405276822</v>
      </c>
      <c r="BA528" s="2">
        <v>19.409017927882399</v>
      </c>
      <c r="BB528" s="2">
        <v>19.0296601482226</v>
      </c>
      <c r="BC528" s="2">
        <v>20.209522832304401</v>
      </c>
      <c r="BD528" s="2">
        <v>18.125230770955898</v>
      </c>
      <c r="BE528" s="2">
        <v>17.272333809697699</v>
      </c>
      <c r="BF528" s="2">
        <v>16.549772637418702</v>
      </c>
      <c r="BG528" s="2">
        <v>9.6233145402724691</v>
      </c>
      <c r="BH528" s="2">
        <v>17.863388303447099</v>
      </c>
      <c r="BI528" s="2">
        <v>9.6233145402724691</v>
      </c>
      <c r="BJ528" s="2">
        <v>15.6524010631696</v>
      </c>
      <c r="BK528" s="2">
        <v>17.824248936843301</v>
      </c>
      <c r="BL528" s="2">
        <v>20.934949837279401</v>
      </c>
      <c r="BM528" s="2">
        <v>19.812069652892902</v>
      </c>
      <c r="BN528" s="2">
        <v>20.195993916034801</v>
      </c>
      <c r="BO528" s="2">
        <v>20.713803916570701</v>
      </c>
      <c r="BP528" s="2">
        <v>17.790812311063799</v>
      </c>
      <c r="BQ528" s="2">
        <v>20.971440767866</v>
      </c>
      <c r="BR528" s="2">
        <v>21.240911757427</v>
      </c>
      <c r="BS528" s="2">
        <v>19.6479128861608</v>
      </c>
      <c r="BT528" s="2">
        <v>21.149885545429498</v>
      </c>
      <c r="BU528" s="2">
        <v>20.3641908381564</v>
      </c>
      <c r="BV528" s="2">
        <v>21.278130603908998</v>
      </c>
      <c r="BW528" s="2">
        <v>19.115639322863199</v>
      </c>
      <c r="BX528" s="2">
        <v>19.941048838932499</v>
      </c>
      <c r="BY528" s="2">
        <v>20.1541311279592</v>
      </c>
      <c r="BZ528" s="2">
        <v>20.1007801131299</v>
      </c>
      <c r="CA528" s="2">
        <v>20.7075619647919</v>
      </c>
      <c r="CB528" s="2">
        <v>19.8995786683139</v>
      </c>
      <c r="CC528" s="2">
        <v>9.6233145402724691</v>
      </c>
      <c r="CD528" s="2">
        <v>9.6233145402724691</v>
      </c>
      <c r="CE528" s="2">
        <v>17.2643223706302</v>
      </c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</row>
    <row r="529" spans="1:97">
      <c r="A529" s="2" t="s">
        <v>5256</v>
      </c>
      <c r="B529" s="2">
        <v>548.29872999999998</v>
      </c>
      <c r="C529" s="2">
        <v>10.375999999999999</v>
      </c>
      <c r="D529" s="2" t="s">
        <v>84</v>
      </c>
      <c r="E529" s="2" t="s">
        <v>5257</v>
      </c>
      <c r="F529" s="2" t="s">
        <v>5258</v>
      </c>
      <c r="G529" s="2">
        <v>23692</v>
      </c>
      <c r="H529" s="3" t="str">
        <f>HYPERLINK("https://cloud.oebiotech.com/#/lm/network/23692", "https://cloud.oebiotech.com/#/lm/network/23692")</f>
        <v>https://cloud.oebiotech.com/#/lm/network/23692</v>
      </c>
      <c r="I529" s="2"/>
      <c r="J529" s="2">
        <v>80018</v>
      </c>
      <c r="K529" s="2" t="s">
        <v>5259</v>
      </c>
      <c r="L529" s="2">
        <v>52927453</v>
      </c>
      <c r="M529" s="2"/>
      <c r="N529" s="2"/>
      <c r="O529" s="2"/>
      <c r="P529" s="2"/>
      <c r="Q529" s="2"/>
      <c r="R529" s="2"/>
      <c r="S529" s="2"/>
      <c r="T529" s="2" t="s">
        <v>5260</v>
      </c>
      <c r="U529" s="2" t="s">
        <v>5261</v>
      </c>
      <c r="V529" s="2" t="s">
        <v>95</v>
      </c>
      <c r="W529" s="2" t="s">
        <v>202</v>
      </c>
      <c r="X529" s="2" t="s">
        <v>4982</v>
      </c>
      <c r="Y529" s="2" t="s">
        <v>98</v>
      </c>
      <c r="Z529" s="2" t="s">
        <v>204</v>
      </c>
      <c r="AA529" s="2" t="s">
        <v>4983</v>
      </c>
      <c r="AB529" s="2" t="s">
        <v>101</v>
      </c>
      <c r="AC529" s="2">
        <v>60.85</v>
      </c>
      <c r="AD529" s="2">
        <v>88.14</v>
      </c>
      <c r="AE529" s="2">
        <v>45.07</v>
      </c>
      <c r="AF529" s="2" t="s">
        <v>5262</v>
      </c>
      <c r="AG529" s="2" t="s">
        <v>132</v>
      </c>
      <c r="AH529" s="2" t="s">
        <v>5263</v>
      </c>
      <c r="AI529" s="2">
        <v>-0.73</v>
      </c>
      <c r="AJ529" s="2">
        <v>22.341935224829001</v>
      </c>
      <c r="AK529" s="2">
        <v>22.182001931892501</v>
      </c>
      <c r="AL529" s="2">
        <v>21.901735422021499</v>
      </c>
      <c r="AM529" s="2">
        <v>21.9941499426712</v>
      </c>
      <c r="AN529" s="2">
        <v>22.004947201817899</v>
      </c>
      <c r="AO529" s="2">
        <v>22.096614081364901</v>
      </c>
      <c r="AP529" s="2">
        <v>22.27529660027</v>
      </c>
      <c r="AQ529" s="2">
        <v>21.882017830777301</v>
      </c>
      <c r="AR529" s="2">
        <v>22.489012473525499</v>
      </c>
      <c r="AS529" s="2">
        <v>20.743894260604701</v>
      </c>
      <c r="AT529" s="2">
        <v>21.143180911276101</v>
      </c>
      <c r="AU529" s="2">
        <v>21.899028284082199</v>
      </c>
      <c r="AV529" s="2">
        <v>22.3409327342249</v>
      </c>
      <c r="AW529" s="2">
        <v>22.265851052090198</v>
      </c>
      <c r="AX529" s="2">
        <v>21.947917238978899</v>
      </c>
      <c r="AY529" s="2">
        <v>21.7510491493986</v>
      </c>
      <c r="AZ529" s="2">
        <v>21.846206373742199</v>
      </c>
      <c r="BA529" s="2">
        <v>20.892584119048902</v>
      </c>
      <c r="BB529" s="2">
        <v>21.812031371508802</v>
      </c>
      <c r="BC529" s="2">
        <v>21.9815974554894</v>
      </c>
      <c r="BD529" s="2">
        <v>21.720680862083501</v>
      </c>
      <c r="BE529" s="2">
        <v>22.7129524066067</v>
      </c>
      <c r="BF529" s="2">
        <v>22.294266468632301</v>
      </c>
      <c r="BG529" s="2">
        <v>21.931924236368602</v>
      </c>
      <c r="BH529" s="2">
        <v>22.1052168336509</v>
      </c>
      <c r="BI529" s="2">
        <v>21.792565566493401</v>
      </c>
      <c r="BJ529" s="2">
        <v>21.6154260036975</v>
      </c>
      <c r="BK529" s="2">
        <v>21.320147677993699</v>
      </c>
      <c r="BL529" s="2">
        <v>21.9435660585157</v>
      </c>
      <c r="BM529" s="2">
        <v>22.372355063116899</v>
      </c>
      <c r="BN529" s="2">
        <v>22.569425381036901</v>
      </c>
      <c r="BO529" s="2">
        <v>21.738396324994898</v>
      </c>
      <c r="BP529" s="2">
        <v>21.888313884734998</v>
      </c>
      <c r="BQ529" s="2">
        <v>22.005754837474001</v>
      </c>
      <c r="BR529" s="2">
        <v>22.2126124307146</v>
      </c>
      <c r="BS529" s="2">
        <v>22.588494066955601</v>
      </c>
      <c r="BT529" s="2">
        <v>21.767567803203502</v>
      </c>
      <c r="BU529" s="2">
        <v>21.0475170537709</v>
      </c>
      <c r="BV529" s="2">
        <v>21.657466893602798</v>
      </c>
      <c r="BW529" s="2">
        <v>21.243195999990402</v>
      </c>
      <c r="BX529" s="2">
        <v>22.284858376021798</v>
      </c>
      <c r="BY529" s="2">
        <v>23.004985792354201</v>
      </c>
      <c r="BZ529" s="2">
        <v>21.726519361636999</v>
      </c>
      <c r="CA529" s="2">
        <v>22.099403830671399</v>
      </c>
      <c r="CB529" s="2">
        <v>21.995784596207301</v>
      </c>
      <c r="CC529" s="2">
        <v>21.4436269452857</v>
      </c>
      <c r="CD529" s="2">
        <v>22.223275876263902</v>
      </c>
      <c r="CE529" s="2">
        <v>20.906668327371602</v>
      </c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</row>
    <row r="530" spans="1:97">
      <c r="A530" s="2" t="s">
        <v>5264</v>
      </c>
      <c r="B530" s="2">
        <v>318.23986000000002</v>
      </c>
      <c r="C530" s="2">
        <v>10.17</v>
      </c>
      <c r="D530" s="2" t="s">
        <v>84</v>
      </c>
      <c r="E530" s="2" t="s">
        <v>5265</v>
      </c>
      <c r="F530" s="2" t="s">
        <v>5266</v>
      </c>
      <c r="G530" s="2">
        <v>8786</v>
      </c>
      <c r="H530" s="3" t="str">
        <f>HYPERLINK("https://cloud.oebiotech.com/#/lm/network/8786", "https://cloud.oebiotech.com/#/lm/network/8786")</f>
        <v>https://cloud.oebiotech.com/#/lm/network/8786</v>
      </c>
      <c r="I530" s="2"/>
      <c r="J530" s="2"/>
      <c r="K530" s="2" t="s">
        <v>5267</v>
      </c>
      <c r="L530" s="2">
        <v>6449796</v>
      </c>
      <c r="M530" s="2"/>
      <c r="N530" s="2"/>
      <c r="O530" s="2"/>
      <c r="P530" s="2"/>
      <c r="Q530" s="2"/>
      <c r="R530" s="2"/>
      <c r="S530" s="2"/>
      <c r="T530" s="2" t="s">
        <v>5268</v>
      </c>
      <c r="U530" s="2" t="s">
        <v>5269</v>
      </c>
      <c r="V530" s="2" t="s">
        <v>115</v>
      </c>
      <c r="W530" s="2" t="s">
        <v>116</v>
      </c>
      <c r="X530" s="2" t="s">
        <v>5270</v>
      </c>
      <c r="Y530" s="2" t="s">
        <v>118</v>
      </c>
      <c r="Z530" s="2" t="s">
        <v>119</v>
      </c>
      <c r="AA530" s="2" t="s">
        <v>5271</v>
      </c>
      <c r="AB530" s="2" t="s">
        <v>3086</v>
      </c>
      <c r="AC530" s="2">
        <v>60.73</v>
      </c>
      <c r="AD530" s="2">
        <v>73.45</v>
      </c>
      <c r="AE530" s="2">
        <v>44.61</v>
      </c>
      <c r="AF530" s="2" t="s">
        <v>5272</v>
      </c>
      <c r="AG530" s="2" t="s">
        <v>1578</v>
      </c>
      <c r="AH530" s="2" t="s">
        <v>5273</v>
      </c>
      <c r="AI530" s="2">
        <v>1.57</v>
      </c>
      <c r="AJ530" s="2">
        <v>20.819176593799199</v>
      </c>
      <c r="AK530" s="2">
        <v>20.478226737458201</v>
      </c>
      <c r="AL530" s="2">
        <v>20.479914437015999</v>
      </c>
      <c r="AM530" s="2">
        <v>20.7333402798645</v>
      </c>
      <c r="AN530" s="2">
        <v>20.0366724985745</v>
      </c>
      <c r="AO530" s="2">
        <v>20.4578224348367</v>
      </c>
      <c r="AP530" s="2">
        <v>20.3205474236368</v>
      </c>
      <c r="AQ530" s="2">
        <v>20.248979793759499</v>
      </c>
      <c r="AR530" s="2">
        <v>21.236605351387102</v>
      </c>
      <c r="AS530" s="2">
        <v>21.490060731960099</v>
      </c>
      <c r="AT530" s="2">
        <v>21.433835442538602</v>
      </c>
      <c r="AU530" s="2">
        <v>21.012234513647002</v>
      </c>
      <c r="AV530" s="2">
        <v>19.6304831611087</v>
      </c>
      <c r="AW530" s="2">
        <v>21.344646877303401</v>
      </c>
      <c r="AX530" s="2">
        <v>20.5397475335301</v>
      </c>
      <c r="AY530" s="2">
        <v>20.9051304158506</v>
      </c>
      <c r="AZ530" s="2">
        <v>21.274548352290601</v>
      </c>
      <c r="BA530" s="2">
        <v>20.5814745061938</v>
      </c>
      <c r="BB530" s="2">
        <v>21.1976971390275</v>
      </c>
      <c r="BC530" s="2">
        <v>20.6965899304309</v>
      </c>
      <c r="BD530" s="2">
        <v>20.987936398658</v>
      </c>
      <c r="BE530" s="2">
        <v>20.9826408029543</v>
      </c>
      <c r="BF530" s="2">
        <v>20.477990653956301</v>
      </c>
      <c r="BG530" s="2">
        <v>21.089460082688301</v>
      </c>
      <c r="BH530" s="2">
        <v>20.238984865073899</v>
      </c>
      <c r="BI530" s="2">
        <v>20.152813261930401</v>
      </c>
      <c r="BJ530" s="2">
        <v>19.966109417959402</v>
      </c>
      <c r="BK530" s="2">
        <v>20.296160711781098</v>
      </c>
      <c r="BL530" s="2">
        <v>19.8649646592518</v>
      </c>
      <c r="BM530" s="2">
        <v>19.773209101669099</v>
      </c>
      <c r="BN530" s="2">
        <v>19.4496569021853</v>
      </c>
      <c r="BO530" s="2">
        <v>20.874861332633401</v>
      </c>
      <c r="BP530" s="2">
        <v>20.2127189749203</v>
      </c>
      <c r="BQ530" s="2">
        <v>20.519060963091</v>
      </c>
      <c r="BR530" s="2">
        <v>20.9287856187937</v>
      </c>
      <c r="BS530" s="2">
        <v>19.720513599332602</v>
      </c>
      <c r="BT530" s="2">
        <v>20.114776534970101</v>
      </c>
      <c r="BU530" s="2">
        <v>21.629884925195999</v>
      </c>
      <c r="BV530" s="2">
        <v>20.061723258089799</v>
      </c>
      <c r="BW530" s="2">
        <v>19.808425102293899</v>
      </c>
      <c r="BX530" s="2">
        <v>19.9886328650583</v>
      </c>
      <c r="BY530" s="2">
        <v>19.908566631380801</v>
      </c>
      <c r="BZ530" s="2">
        <v>20.840795569079699</v>
      </c>
      <c r="CA530" s="2">
        <v>19.816698023066401</v>
      </c>
      <c r="CB530" s="2">
        <v>20.352913867245402</v>
      </c>
      <c r="CC530" s="2">
        <v>20.126573118242899</v>
      </c>
      <c r="CD530" s="2">
        <v>20.680454072615898</v>
      </c>
      <c r="CE530" s="2">
        <v>20.070922748931601</v>
      </c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</row>
    <row r="531" spans="1:97">
      <c r="A531" s="2" t="s">
        <v>5274</v>
      </c>
      <c r="B531" s="2">
        <v>245.09183999999999</v>
      </c>
      <c r="C531" s="2">
        <v>5.1470000000000002</v>
      </c>
      <c r="D531" s="2" t="s">
        <v>84</v>
      </c>
      <c r="E531" s="2" t="s">
        <v>5275</v>
      </c>
      <c r="F531" s="2" t="s">
        <v>5276</v>
      </c>
      <c r="G531" s="2">
        <v>48644</v>
      </c>
      <c r="H531" s="3" t="str">
        <f>HYPERLINK("https://cloud.oebiotech.com/#/lm/network/48644", "https://cloud.oebiotech.com/#/lm/network/48644")</f>
        <v>https://cloud.oebiotech.com/#/lm/network/48644</v>
      </c>
      <c r="I531" s="2" t="s">
        <v>5277</v>
      </c>
      <c r="J531" s="2"/>
      <c r="K531" s="2"/>
      <c r="L531" s="2">
        <v>5370648</v>
      </c>
      <c r="M531" s="2"/>
      <c r="N531" s="2"/>
      <c r="O531" s="2"/>
      <c r="P531" s="2">
        <v>145761</v>
      </c>
      <c r="Q531" s="2"/>
      <c r="R531" s="2"/>
      <c r="S531" s="2" t="s">
        <v>5278</v>
      </c>
      <c r="T531" s="2" t="s">
        <v>5279</v>
      </c>
      <c r="U531" s="2" t="s">
        <v>5280</v>
      </c>
      <c r="V531" s="2" t="s">
        <v>115</v>
      </c>
      <c r="W531" s="2" t="s">
        <v>116</v>
      </c>
      <c r="X531" s="2" t="s">
        <v>117</v>
      </c>
      <c r="Y531" s="2" t="s">
        <v>118</v>
      </c>
      <c r="Z531" s="2" t="s">
        <v>119</v>
      </c>
      <c r="AA531" s="2" t="s">
        <v>120</v>
      </c>
      <c r="AB531" s="2" t="s">
        <v>3086</v>
      </c>
      <c r="AC531" s="2">
        <v>60.69</v>
      </c>
      <c r="AD531" s="2">
        <v>91.78</v>
      </c>
      <c r="AE531" s="2">
        <v>35.57</v>
      </c>
      <c r="AF531" s="2" t="s">
        <v>5281</v>
      </c>
      <c r="AG531" s="2" t="s">
        <v>103</v>
      </c>
      <c r="AH531" s="2" t="s">
        <v>5282</v>
      </c>
      <c r="AI531" s="2">
        <v>1.22</v>
      </c>
      <c r="AJ531" s="2">
        <v>17.891704566377499</v>
      </c>
      <c r="AK531" s="2">
        <v>17.661231974421099</v>
      </c>
      <c r="AL531" s="2">
        <v>17.601748666798098</v>
      </c>
      <c r="AM531" s="2">
        <v>17.820766894934099</v>
      </c>
      <c r="AN531" s="2">
        <v>17.615476474668199</v>
      </c>
      <c r="AO531" s="2">
        <v>17.750271843493501</v>
      </c>
      <c r="AP531" s="2">
        <v>17.719102604020701</v>
      </c>
      <c r="AQ531" s="2">
        <v>17.715419443600702</v>
      </c>
      <c r="AR531" s="2">
        <v>18.6130364737338</v>
      </c>
      <c r="AS531" s="2">
        <v>15.5953638494755</v>
      </c>
      <c r="AT531" s="2">
        <v>17.4488014422055</v>
      </c>
      <c r="AU531" s="2">
        <v>18.843643203454398</v>
      </c>
      <c r="AV531" s="2">
        <v>18.8741027120724</v>
      </c>
      <c r="AW531" s="2">
        <v>14.0079050248622</v>
      </c>
      <c r="AX531" s="2">
        <v>9.6233145402724691</v>
      </c>
      <c r="AY531" s="2">
        <v>18.904622186413</v>
      </c>
      <c r="AZ531" s="2">
        <v>9.6233145402724691</v>
      </c>
      <c r="BA531" s="2">
        <v>17.971947638770001</v>
      </c>
      <c r="BB531" s="2">
        <v>9.6233145402724691</v>
      </c>
      <c r="BC531" s="2">
        <v>9.6233145402724691</v>
      </c>
      <c r="BD531" s="2">
        <v>17.292181232127401</v>
      </c>
      <c r="BE531" s="2">
        <v>17.7085368539901</v>
      </c>
      <c r="BF531" s="2">
        <v>9.6233145402724691</v>
      </c>
      <c r="BG531" s="2">
        <v>9.6233145402724691</v>
      </c>
      <c r="BH531" s="2">
        <v>9.6233145402724691</v>
      </c>
      <c r="BI531" s="2">
        <v>18.4616864281608</v>
      </c>
      <c r="BJ531" s="2">
        <v>14.573159580202001</v>
      </c>
      <c r="BK531" s="2">
        <v>15.9959740112386</v>
      </c>
      <c r="BL531" s="2">
        <v>17.5245867067331</v>
      </c>
      <c r="BM531" s="2">
        <v>17.6372214665145</v>
      </c>
      <c r="BN531" s="2">
        <v>14.5326962238279</v>
      </c>
      <c r="BO531" s="2">
        <v>18.291037518418701</v>
      </c>
      <c r="BP531" s="2">
        <v>9.6233145402724691</v>
      </c>
      <c r="BQ531" s="2">
        <v>18.620882975375501</v>
      </c>
      <c r="BR531" s="2">
        <v>9.6233145402724691</v>
      </c>
      <c r="BS531" s="2">
        <v>18.228732182555099</v>
      </c>
      <c r="BT531" s="2">
        <v>15.5662375157104</v>
      </c>
      <c r="BU531" s="2">
        <v>17.846531267618801</v>
      </c>
      <c r="BV531" s="2">
        <v>18.925242293499402</v>
      </c>
      <c r="BW531" s="2">
        <v>9.6233145402724691</v>
      </c>
      <c r="BX531" s="2">
        <v>17.391268514776801</v>
      </c>
      <c r="BY531" s="2">
        <v>18.9670263273192</v>
      </c>
      <c r="BZ531" s="2">
        <v>9.6233145402724691</v>
      </c>
      <c r="CA531" s="2">
        <v>9.6233145402724691</v>
      </c>
      <c r="CB531" s="2">
        <v>18.270363544402599</v>
      </c>
      <c r="CC531" s="2">
        <v>14.641898206567801</v>
      </c>
      <c r="CD531" s="2">
        <v>9.6233145402724691</v>
      </c>
      <c r="CE531" s="2">
        <v>9.6233145402724691</v>
      </c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</row>
    <row r="532" spans="1:97">
      <c r="A532" s="2" t="s">
        <v>5283</v>
      </c>
      <c r="B532" s="2">
        <v>365.23129999999998</v>
      </c>
      <c r="C532" s="2">
        <v>5.6180000000000003</v>
      </c>
      <c r="D532" s="2" t="s">
        <v>84</v>
      </c>
      <c r="E532" s="2" t="s">
        <v>5284</v>
      </c>
      <c r="F532" s="2" t="s">
        <v>5285</v>
      </c>
      <c r="G532" s="2">
        <v>48862</v>
      </c>
      <c r="H532" s="3" t="str">
        <f>HYPERLINK("https://cloud.oebiotech.com/#/lm/network/48862", "https://cloud.oebiotech.com/#/lm/network/48862")</f>
        <v>https://cloud.oebiotech.com/#/lm/network/48862</v>
      </c>
      <c r="I532" s="2" t="s">
        <v>5286</v>
      </c>
      <c r="J532" s="2"/>
      <c r="K532" s="2"/>
      <c r="L532" s="2">
        <v>440695</v>
      </c>
      <c r="M532" s="2" t="s">
        <v>5287</v>
      </c>
      <c r="N532" s="2" t="s">
        <v>1564</v>
      </c>
      <c r="O532" s="2" t="s">
        <v>1565</v>
      </c>
      <c r="P532" s="2"/>
      <c r="Q532" s="2"/>
      <c r="R532" s="2"/>
      <c r="S532" s="2"/>
      <c r="T532" s="2" t="s">
        <v>5288</v>
      </c>
      <c r="U532" s="2" t="s">
        <v>5289</v>
      </c>
      <c r="V532" s="2" t="s">
        <v>95</v>
      </c>
      <c r="W532" s="2" t="s">
        <v>152</v>
      </c>
      <c r="X532" s="2" t="s">
        <v>153</v>
      </c>
      <c r="Y532" s="2" t="s">
        <v>98</v>
      </c>
      <c r="Z532" s="2" t="s">
        <v>154</v>
      </c>
      <c r="AA532" s="2" t="s">
        <v>155</v>
      </c>
      <c r="AB532" s="2" t="s">
        <v>3086</v>
      </c>
      <c r="AC532" s="2">
        <v>60.67</v>
      </c>
      <c r="AD532" s="2">
        <v>95.25</v>
      </c>
      <c r="AE532" s="2">
        <v>33.402857142857101</v>
      </c>
      <c r="AF532" s="2" t="s">
        <v>5290</v>
      </c>
      <c r="AG532" s="2" t="s">
        <v>103</v>
      </c>
      <c r="AH532" s="2" t="s">
        <v>4037</v>
      </c>
      <c r="AI532" s="2">
        <v>2.46</v>
      </c>
      <c r="AJ532" s="2">
        <v>19.453377431745</v>
      </c>
      <c r="AK532" s="2">
        <v>19.700329170866301</v>
      </c>
      <c r="AL532" s="2">
        <v>19.4700051994073</v>
      </c>
      <c r="AM532" s="2">
        <v>19.520920604284399</v>
      </c>
      <c r="AN532" s="2">
        <v>19.451201390514601</v>
      </c>
      <c r="AO532" s="2">
        <v>19.675838409856301</v>
      </c>
      <c r="AP532" s="2">
        <v>19.372507355275701</v>
      </c>
      <c r="AQ532" s="2">
        <v>19.497442871975</v>
      </c>
      <c r="AR532" s="2">
        <v>19.538264196784599</v>
      </c>
      <c r="AS532" s="2">
        <v>18.816303107163598</v>
      </c>
      <c r="AT532" s="2">
        <v>20.455818348783801</v>
      </c>
      <c r="AU532" s="2">
        <v>18.453548203262599</v>
      </c>
      <c r="AV532" s="2">
        <v>19.779288451836099</v>
      </c>
      <c r="AW532" s="2">
        <v>20.114858578036401</v>
      </c>
      <c r="AX532" s="2">
        <v>18.727120559477299</v>
      </c>
      <c r="AY532" s="2">
        <v>19.942169502799999</v>
      </c>
      <c r="AZ532" s="2">
        <v>19.942107790870899</v>
      </c>
      <c r="BA532" s="2">
        <v>20.314273710644098</v>
      </c>
      <c r="BB532" s="2">
        <v>20.1471685967017</v>
      </c>
      <c r="BC532" s="2">
        <v>20.606474652003801</v>
      </c>
      <c r="BD532" s="2">
        <v>19.133864162104398</v>
      </c>
      <c r="BE532" s="2">
        <v>20.869301464979099</v>
      </c>
      <c r="BF532" s="2">
        <v>15.5948258090539</v>
      </c>
      <c r="BG532" s="2">
        <v>20.1083890242035</v>
      </c>
      <c r="BH532" s="2">
        <v>19.935017519608099</v>
      </c>
      <c r="BI532" s="2">
        <v>16.7544154495152</v>
      </c>
      <c r="BJ532" s="2">
        <v>20.485239186809999</v>
      </c>
      <c r="BK532" s="2">
        <v>20.066615282990799</v>
      </c>
      <c r="BL532" s="2">
        <v>20.368399480564999</v>
      </c>
      <c r="BM532" s="2">
        <v>19.253929707806002</v>
      </c>
      <c r="BN532" s="2">
        <v>19.812784846036301</v>
      </c>
      <c r="BO532" s="2">
        <v>19.292374279532599</v>
      </c>
      <c r="BP532" s="2">
        <v>20.0822068381454</v>
      </c>
      <c r="BQ532" s="2">
        <v>19.797189108993202</v>
      </c>
      <c r="BR532" s="2">
        <v>19.4496397959409</v>
      </c>
      <c r="BS532" s="2">
        <v>19.181934417173501</v>
      </c>
      <c r="BT532" s="2">
        <v>19.807381951580599</v>
      </c>
      <c r="BU532" s="2">
        <v>20.0610121039552</v>
      </c>
      <c r="BV532" s="2">
        <v>19.7191649868996</v>
      </c>
      <c r="BW532" s="2">
        <v>19.6751783208543</v>
      </c>
      <c r="BX532" s="2">
        <v>19.4925135933047</v>
      </c>
      <c r="BY532" s="2">
        <v>21.272413766825899</v>
      </c>
      <c r="BZ532" s="2">
        <v>20.008768655987701</v>
      </c>
      <c r="CA532" s="2">
        <v>9.6233145402724691</v>
      </c>
      <c r="CB532" s="2">
        <v>19.793327872377802</v>
      </c>
      <c r="CC532" s="2">
        <v>20.206592583294899</v>
      </c>
      <c r="CD532" s="2">
        <v>19.5548846678067</v>
      </c>
      <c r="CE532" s="2">
        <v>21.012938461691601</v>
      </c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</row>
    <row r="533" spans="1:97">
      <c r="A533" s="2" t="s">
        <v>5291</v>
      </c>
      <c r="B533" s="2">
        <v>615.24454000000003</v>
      </c>
      <c r="C533" s="2">
        <v>6.7949999999999999</v>
      </c>
      <c r="D533" s="2" t="s">
        <v>84</v>
      </c>
      <c r="E533" s="2" t="s">
        <v>5292</v>
      </c>
      <c r="F533" s="2" t="s">
        <v>5293</v>
      </c>
      <c r="G533" s="2">
        <v>257378</v>
      </c>
      <c r="H533" s="3" t="str">
        <f>HYPERLINK("https://cloud.oebiotech.com/#/lm/network/257378", "https://cloud.oebiotech.com/#/lm/network/257378")</f>
        <v>https://cloud.oebiotech.com/#/lm/network/257378</v>
      </c>
      <c r="I533" s="2" t="s">
        <v>5294</v>
      </c>
      <c r="J533" s="2"/>
      <c r="K533" s="2"/>
      <c r="L533" s="2">
        <v>353908</v>
      </c>
      <c r="M533" s="2"/>
      <c r="N533" s="2"/>
      <c r="O533" s="2"/>
      <c r="P533" s="2">
        <v>86635</v>
      </c>
      <c r="Q533" s="2"/>
      <c r="R533" s="2"/>
      <c r="S533" s="2"/>
      <c r="T533" s="2" t="s">
        <v>5295</v>
      </c>
      <c r="U533" s="2" t="s">
        <v>5296</v>
      </c>
      <c r="V533" s="2" t="s">
        <v>5297</v>
      </c>
      <c r="W533" s="2" t="s">
        <v>5298</v>
      </c>
      <c r="X533" s="2" t="s">
        <v>375</v>
      </c>
      <c r="Y533" s="2" t="s">
        <v>5299</v>
      </c>
      <c r="Z533" s="2" t="s">
        <v>5300</v>
      </c>
      <c r="AA533" s="2"/>
      <c r="AB533" s="2" t="s">
        <v>3086</v>
      </c>
      <c r="AC533" s="2">
        <v>60.64</v>
      </c>
      <c r="AD533" s="2">
        <v>76.37</v>
      </c>
      <c r="AE533" s="2">
        <v>42.72</v>
      </c>
      <c r="AF533" s="2" t="s">
        <v>5301</v>
      </c>
      <c r="AG533" s="2" t="s">
        <v>103</v>
      </c>
      <c r="AH533" s="2" t="s">
        <v>5302</v>
      </c>
      <c r="AI533" s="2">
        <v>-1.46</v>
      </c>
      <c r="AJ533" s="2">
        <v>16.565094638700899</v>
      </c>
      <c r="AK533" s="2">
        <v>16.985352885966801</v>
      </c>
      <c r="AL533" s="2">
        <v>16.489682098663401</v>
      </c>
      <c r="AM533" s="2">
        <v>17.1710508847952</v>
      </c>
      <c r="AN533" s="2">
        <v>17.423516211018001</v>
      </c>
      <c r="AO533" s="2">
        <v>17.1714701280731</v>
      </c>
      <c r="AP533" s="2">
        <v>17.5578938372599</v>
      </c>
      <c r="AQ533" s="2">
        <v>17.3224262247344</v>
      </c>
      <c r="AR533" s="2">
        <v>14.0218605263764</v>
      </c>
      <c r="AS533" s="2">
        <v>15.9879208040383</v>
      </c>
      <c r="AT533" s="2">
        <v>17.772487270431299</v>
      </c>
      <c r="AU533" s="2">
        <v>13.9946274521724</v>
      </c>
      <c r="AV533" s="2">
        <v>15.5489046708412</v>
      </c>
      <c r="AW533" s="2">
        <v>16.1995496614704</v>
      </c>
      <c r="AX533" s="2">
        <v>17.450718321560299</v>
      </c>
      <c r="AY533" s="2">
        <v>17.0417634104755</v>
      </c>
      <c r="AZ533" s="2">
        <v>15.1282219400552</v>
      </c>
      <c r="BA533" s="2">
        <v>15.891891189486101</v>
      </c>
      <c r="BB533" s="2">
        <v>16.733692750363801</v>
      </c>
      <c r="BC533" s="2">
        <v>18.3559284718764</v>
      </c>
      <c r="BD533" s="2">
        <v>9.6233145402724691</v>
      </c>
      <c r="BE533" s="2">
        <v>18.986530290831698</v>
      </c>
      <c r="BF533" s="2">
        <v>13.6314294597732</v>
      </c>
      <c r="BG533" s="2">
        <v>17.105699539123801</v>
      </c>
      <c r="BH533" s="2">
        <v>16.811669329066898</v>
      </c>
      <c r="BI533" s="2">
        <v>17.161257877049401</v>
      </c>
      <c r="BJ533" s="2">
        <v>17.7955426586316</v>
      </c>
      <c r="BK533" s="2">
        <v>15.602492999551099</v>
      </c>
      <c r="BL533" s="2">
        <v>16.598771777720302</v>
      </c>
      <c r="BM533" s="2">
        <v>15.732785644069899</v>
      </c>
      <c r="BN533" s="2">
        <v>17.013612845280999</v>
      </c>
      <c r="BO533" s="2">
        <v>17.714092947818699</v>
      </c>
      <c r="BP533" s="2">
        <v>16.9455252234449</v>
      </c>
      <c r="BQ533" s="2">
        <v>17.208021402573198</v>
      </c>
      <c r="BR533" s="2">
        <v>17.649153218440699</v>
      </c>
      <c r="BS533" s="2">
        <v>16.434284843075702</v>
      </c>
      <c r="BT533" s="2">
        <v>15.741898540053899</v>
      </c>
      <c r="BU533" s="2">
        <v>17.331883869514702</v>
      </c>
      <c r="BV533" s="2">
        <v>16.584160095501598</v>
      </c>
      <c r="BW533" s="2">
        <v>16.4885828217291</v>
      </c>
      <c r="BX533" s="2">
        <v>9.6233145402724691</v>
      </c>
      <c r="BY533" s="2">
        <v>17.659424494233701</v>
      </c>
      <c r="BZ533" s="2">
        <v>13.792816724492299</v>
      </c>
      <c r="CA533" s="2">
        <v>16.716674530919001</v>
      </c>
      <c r="CB533" s="2">
        <v>17.721478935885798</v>
      </c>
      <c r="CC533" s="2">
        <v>16.0908629387188</v>
      </c>
      <c r="CD533" s="2">
        <v>17.8346613985088</v>
      </c>
      <c r="CE533" s="2">
        <v>17.5101000348319</v>
      </c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</row>
    <row r="534" spans="1:97">
      <c r="A534" s="2" t="s">
        <v>5303</v>
      </c>
      <c r="B534" s="2">
        <v>342.26343000000003</v>
      </c>
      <c r="C534" s="2">
        <v>7.9409999999999998</v>
      </c>
      <c r="D534" s="2" t="s">
        <v>84</v>
      </c>
      <c r="E534" s="2" t="s">
        <v>5304</v>
      </c>
      <c r="F534" s="2" t="s">
        <v>5305</v>
      </c>
      <c r="G534" s="2">
        <v>197756</v>
      </c>
      <c r="H534" s="3" t="str">
        <f>HYPERLINK("https://cloud.oebiotech.com/#/lm/network/197756", "https://cloud.oebiotech.com/#/lm/network/197756")</f>
        <v>https://cloud.oebiotech.com/#/lm/network/197756</v>
      </c>
      <c r="I534" s="2" t="s">
        <v>5306</v>
      </c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 t="s">
        <v>5307</v>
      </c>
      <c r="U534" s="2" t="s">
        <v>5308</v>
      </c>
      <c r="V534" s="2" t="s">
        <v>95</v>
      </c>
      <c r="W534" s="2" t="s">
        <v>96</v>
      </c>
      <c r="X534" s="2" t="s">
        <v>97</v>
      </c>
      <c r="Y534" s="2" t="s">
        <v>98</v>
      </c>
      <c r="Z534" s="2" t="s">
        <v>99</v>
      </c>
      <c r="AA534" s="2" t="s">
        <v>100</v>
      </c>
      <c r="AB534" s="2" t="s">
        <v>3086</v>
      </c>
      <c r="AC534" s="2">
        <v>60.51</v>
      </c>
      <c r="AD534" s="2">
        <v>96.98</v>
      </c>
      <c r="AE534" s="2">
        <v>42.69</v>
      </c>
      <c r="AF534" s="2" t="s">
        <v>5309</v>
      </c>
      <c r="AG534" s="2" t="s">
        <v>1088</v>
      </c>
      <c r="AH534" s="2" t="s">
        <v>5310</v>
      </c>
      <c r="AI534" s="2">
        <v>3.21</v>
      </c>
      <c r="AJ534" s="2">
        <v>21.7085697063143</v>
      </c>
      <c r="AK534" s="2">
        <v>22.037369616311</v>
      </c>
      <c r="AL534" s="2">
        <v>21.8865950821213</v>
      </c>
      <c r="AM534" s="2">
        <v>22.062824160503901</v>
      </c>
      <c r="AN534" s="2">
        <v>21.947034352834599</v>
      </c>
      <c r="AO534" s="2">
        <v>21.921165463396701</v>
      </c>
      <c r="AP534" s="2">
        <v>21.9166208457086</v>
      </c>
      <c r="AQ534" s="2">
        <v>21.976964976770901</v>
      </c>
      <c r="AR534" s="2">
        <v>19.207985430430998</v>
      </c>
      <c r="AS534" s="2">
        <v>20.7315159626948</v>
      </c>
      <c r="AT534" s="2">
        <v>21.6624874562666</v>
      </c>
      <c r="AU534" s="2">
        <v>20.206452767899499</v>
      </c>
      <c r="AV534" s="2">
        <v>19.690717617966701</v>
      </c>
      <c r="AW534" s="2">
        <v>20.771375658306201</v>
      </c>
      <c r="AX534" s="2">
        <v>21.367699443144499</v>
      </c>
      <c r="AY534" s="2">
        <v>21.200600512535299</v>
      </c>
      <c r="AZ534" s="2">
        <v>18.755996537646901</v>
      </c>
      <c r="BA534" s="2">
        <v>22.447546760666199</v>
      </c>
      <c r="BB534" s="2">
        <v>23.0209265726177</v>
      </c>
      <c r="BC534" s="2">
        <v>22.665673087673198</v>
      </c>
      <c r="BD534" s="2">
        <v>19.497233901161199</v>
      </c>
      <c r="BE534" s="2">
        <v>21.419883463732798</v>
      </c>
      <c r="BF534" s="2">
        <v>20.729841285576398</v>
      </c>
      <c r="BG534" s="2">
        <v>22.650275657775701</v>
      </c>
      <c r="BH534" s="2">
        <v>20.578082943077899</v>
      </c>
      <c r="BI534" s="2">
        <v>23.090871061391098</v>
      </c>
      <c r="BJ534" s="2">
        <v>20.714197195562999</v>
      </c>
      <c r="BK534" s="2">
        <v>19.8728758968028</v>
      </c>
      <c r="BL534" s="2">
        <v>22.492157815569598</v>
      </c>
      <c r="BM534" s="2">
        <v>19.567299115894102</v>
      </c>
      <c r="BN534" s="2">
        <v>20.5092280941006</v>
      </c>
      <c r="BO534" s="2">
        <v>22.416950432657</v>
      </c>
      <c r="BP534" s="2">
        <v>22.332313857755601</v>
      </c>
      <c r="BQ534" s="2">
        <v>22.758670823192499</v>
      </c>
      <c r="BR534" s="2">
        <v>22.260244053806002</v>
      </c>
      <c r="BS534" s="2">
        <v>20.504709666668798</v>
      </c>
      <c r="BT534" s="2">
        <v>21.857072245851999</v>
      </c>
      <c r="BU534" s="2">
        <v>22.229401339202301</v>
      </c>
      <c r="BV534" s="2">
        <v>22.853768484693699</v>
      </c>
      <c r="BW534" s="2">
        <v>21.321775586370599</v>
      </c>
      <c r="BX534" s="2">
        <v>21.321206566969899</v>
      </c>
      <c r="BY534" s="2">
        <v>20.998735036028101</v>
      </c>
      <c r="BZ534" s="2">
        <v>22.106910199212699</v>
      </c>
      <c r="CA534" s="2">
        <v>20.695428571650599</v>
      </c>
      <c r="CB534" s="2">
        <v>21.574875881207198</v>
      </c>
      <c r="CC534" s="2">
        <v>23.100565563345999</v>
      </c>
      <c r="CD534" s="2">
        <v>20.183679706663199</v>
      </c>
      <c r="CE534" s="2">
        <v>22.698104938707601</v>
      </c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</row>
    <row r="535" spans="1:97">
      <c r="A535" s="2" t="s">
        <v>5311</v>
      </c>
      <c r="B535" s="2">
        <v>188.13914</v>
      </c>
      <c r="C535" s="2">
        <v>0.70099999999999996</v>
      </c>
      <c r="D535" s="2" t="s">
        <v>84</v>
      </c>
      <c r="E535" s="2" t="s">
        <v>5312</v>
      </c>
      <c r="F535" s="2" t="s">
        <v>5313</v>
      </c>
      <c r="G535" s="2">
        <v>209305</v>
      </c>
      <c r="H535" s="3" t="str">
        <f>HYPERLINK("https://cloud.oebiotech.com/#/lm/network/209305", "https://cloud.oebiotech.com/#/lm/network/209305")</f>
        <v>https://cloud.oebiotech.com/#/lm/network/209305</v>
      </c>
      <c r="I535" s="2" t="s">
        <v>5314</v>
      </c>
      <c r="J535" s="2"/>
      <c r="K535" s="2"/>
      <c r="L535" s="2">
        <v>21982780</v>
      </c>
      <c r="M535" s="2"/>
      <c r="N535" s="2"/>
      <c r="O535" s="2"/>
      <c r="P535" s="2"/>
      <c r="Q535" s="2"/>
      <c r="R535" s="2"/>
      <c r="S535" s="2"/>
      <c r="T535" s="2" t="s">
        <v>5315</v>
      </c>
      <c r="U535" s="2" t="s">
        <v>5316</v>
      </c>
      <c r="V535" s="2" t="s">
        <v>115</v>
      </c>
      <c r="W535" s="2" t="s">
        <v>116</v>
      </c>
      <c r="X535" s="2" t="s">
        <v>117</v>
      </c>
      <c r="Y535" s="2" t="s">
        <v>118</v>
      </c>
      <c r="Z535" s="2" t="s">
        <v>119</v>
      </c>
      <c r="AA535" s="2" t="s">
        <v>120</v>
      </c>
      <c r="AB535" s="2" t="s">
        <v>101</v>
      </c>
      <c r="AC535" s="2">
        <v>60.49</v>
      </c>
      <c r="AD535" s="2">
        <v>97.2</v>
      </c>
      <c r="AE535" s="2">
        <v>64.06</v>
      </c>
      <c r="AF535" s="2" t="s">
        <v>5317</v>
      </c>
      <c r="AG535" s="2" t="s">
        <v>103</v>
      </c>
      <c r="AH535" s="2" t="s">
        <v>5318</v>
      </c>
      <c r="AI535" s="2">
        <v>1.59</v>
      </c>
      <c r="AJ535" s="2">
        <v>23.240646582664301</v>
      </c>
      <c r="AK535" s="2">
        <v>23.358096240968798</v>
      </c>
      <c r="AL535" s="2">
        <v>23.1321926720981</v>
      </c>
      <c r="AM535" s="2">
        <v>23.5025730007624</v>
      </c>
      <c r="AN535" s="2">
        <v>23.610961298261401</v>
      </c>
      <c r="AO535" s="2">
        <v>23.634009933820501</v>
      </c>
      <c r="AP535" s="2">
        <v>23.593467805647101</v>
      </c>
      <c r="AQ535" s="2">
        <v>23.732272082699101</v>
      </c>
      <c r="AR535" s="2">
        <v>22.805554762623402</v>
      </c>
      <c r="AS535" s="2">
        <v>22.892358084547901</v>
      </c>
      <c r="AT535" s="2">
        <v>23.222217172164701</v>
      </c>
      <c r="AU535" s="2">
        <v>21.739701784386501</v>
      </c>
      <c r="AV535" s="2">
        <v>23.423794740668502</v>
      </c>
      <c r="AW535" s="2">
        <v>23.1916165748381</v>
      </c>
      <c r="AX535" s="2">
        <v>23.499394839380301</v>
      </c>
      <c r="AY535" s="2">
        <v>23.4383380575578</v>
      </c>
      <c r="AZ535" s="2">
        <v>23.9821598051169</v>
      </c>
      <c r="BA535" s="2">
        <v>23.0067408513905</v>
      </c>
      <c r="BB535" s="2">
        <v>23.460120014121198</v>
      </c>
      <c r="BC535" s="2">
        <v>20.980666988916798</v>
      </c>
      <c r="BD535" s="2">
        <v>22.974125072995001</v>
      </c>
      <c r="BE535" s="2">
        <v>23.4153025861796</v>
      </c>
      <c r="BF535" s="2">
        <v>22.891522213291399</v>
      </c>
      <c r="BG535" s="2">
        <v>24.073058408035401</v>
      </c>
      <c r="BH535" s="2">
        <v>23.420790334706201</v>
      </c>
      <c r="BI535" s="2">
        <v>23.3762275746478</v>
      </c>
      <c r="BJ535" s="2">
        <v>23.807066912785</v>
      </c>
      <c r="BK535" s="2">
        <v>23.648645331699001</v>
      </c>
      <c r="BL535" s="2">
        <v>22.660648073413601</v>
      </c>
      <c r="BM535" s="2">
        <v>22.8017853106237</v>
      </c>
      <c r="BN535" s="2">
        <v>23.369155984862399</v>
      </c>
      <c r="BO535" s="2">
        <v>23.0420650820821</v>
      </c>
      <c r="BP535" s="2">
        <v>23.813014036998499</v>
      </c>
      <c r="BQ535" s="2">
        <v>23.129809086510399</v>
      </c>
      <c r="BR535" s="2">
        <v>23.237788631628099</v>
      </c>
      <c r="BS535" s="2">
        <v>23.145841171834999</v>
      </c>
      <c r="BT535" s="2">
        <v>23.118023466786301</v>
      </c>
      <c r="BU535" s="2">
        <v>22.6316273279486</v>
      </c>
      <c r="BV535" s="2">
        <v>22.392248067224099</v>
      </c>
      <c r="BW535" s="2">
        <v>23.222133534737399</v>
      </c>
      <c r="BX535" s="2">
        <v>23.590550008043699</v>
      </c>
      <c r="BY535" s="2">
        <v>23.895563844877</v>
      </c>
      <c r="BZ535" s="2">
        <v>23.1626921923224</v>
      </c>
      <c r="CA535" s="2">
        <v>23.562685328211899</v>
      </c>
      <c r="CB535" s="2">
        <v>24.279229205236099</v>
      </c>
      <c r="CC535" s="2">
        <v>23.3657764948561</v>
      </c>
      <c r="CD535" s="2">
        <v>24.713240452476601</v>
      </c>
      <c r="CE535" s="2">
        <v>23.2413722188757</v>
      </c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</row>
    <row r="536" spans="1:97">
      <c r="A536" s="2" t="s">
        <v>5319</v>
      </c>
      <c r="B536" s="2">
        <v>445.18946999999997</v>
      </c>
      <c r="C536" s="2">
        <v>5.4690000000000003</v>
      </c>
      <c r="D536" s="2" t="s">
        <v>146</v>
      </c>
      <c r="E536" s="2" t="s">
        <v>5320</v>
      </c>
      <c r="F536" s="2" t="s">
        <v>5321</v>
      </c>
      <c r="G536" s="2">
        <v>203043</v>
      </c>
      <c r="H536" s="3" t="str">
        <f>HYPERLINK("https://cloud.oebiotech.com/#/lm/network/203043", "https://cloud.oebiotech.com/#/lm/network/203043")</f>
        <v>https://cloud.oebiotech.com/#/lm/network/203043</v>
      </c>
      <c r="I536" s="2" t="s">
        <v>5322</v>
      </c>
      <c r="J536" s="2"/>
      <c r="K536" s="2"/>
      <c r="L536" s="2">
        <v>4631610</v>
      </c>
      <c r="M536" s="2"/>
      <c r="N536" s="2"/>
      <c r="O536" s="2"/>
      <c r="P536" s="2"/>
      <c r="Q536" s="2"/>
      <c r="R536" s="2"/>
      <c r="S536" s="2"/>
      <c r="T536" s="2" t="s">
        <v>5323</v>
      </c>
      <c r="U536" s="2" t="s">
        <v>5324</v>
      </c>
      <c r="V536" s="2" t="s">
        <v>553</v>
      </c>
      <c r="W536" s="2" t="s">
        <v>2447</v>
      </c>
      <c r="X536" s="2" t="s">
        <v>5325</v>
      </c>
      <c r="Y536" s="2" t="s">
        <v>556</v>
      </c>
      <c r="Z536" s="2" t="s">
        <v>2449</v>
      </c>
      <c r="AA536" s="2" t="s">
        <v>5326</v>
      </c>
      <c r="AB536" s="2" t="s">
        <v>3086</v>
      </c>
      <c r="AC536" s="2">
        <v>60.32</v>
      </c>
      <c r="AD536" s="2">
        <v>83.31</v>
      </c>
      <c r="AE536" s="2">
        <v>39.35</v>
      </c>
      <c r="AF536" s="2" t="s">
        <v>5327</v>
      </c>
      <c r="AG536" s="2" t="s">
        <v>194</v>
      </c>
      <c r="AH536" s="2" t="s">
        <v>5328</v>
      </c>
      <c r="AI536" s="2">
        <v>-3.14</v>
      </c>
      <c r="AJ536" s="2">
        <v>17.025607310943901</v>
      </c>
      <c r="AK536" s="2">
        <v>17.376033623517099</v>
      </c>
      <c r="AL536" s="2">
        <v>17.444668829884101</v>
      </c>
      <c r="AM536" s="2">
        <v>16.6496543290856</v>
      </c>
      <c r="AN536" s="2">
        <v>17.308846405051401</v>
      </c>
      <c r="AO536" s="2">
        <v>17.127379771556001</v>
      </c>
      <c r="AP536" s="2">
        <v>17.933920552326502</v>
      </c>
      <c r="AQ536" s="2">
        <v>17.3083231190198</v>
      </c>
      <c r="AR536" s="2">
        <v>15.8788318896249</v>
      </c>
      <c r="AS536" s="2">
        <v>12.924929383886001</v>
      </c>
      <c r="AT536" s="2">
        <v>17.673010668886398</v>
      </c>
      <c r="AU536" s="2">
        <v>15.845685321007901</v>
      </c>
      <c r="AV536" s="2">
        <v>16.9615922430262</v>
      </c>
      <c r="AW536" s="2">
        <v>18.053507530080701</v>
      </c>
      <c r="AX536" s="2">
        <v>9.6233145402724691</v>
      </c>
      <c r="AY536" s="2">
        <v>17.1822766912079</v>
      </c>
      <c r="AZ536" s="2">
        <v>17.228768627357901</v>
      </c>
      <c r="BA536" s="2">
        <v>17.0092179271041</v>
      </c>
      <c r="BB536" s="2">
        <v>18.656046737571899</v>
      </c>
      <c r="BC536" s="2">
        <v>18.568646058327001</v>
      </c>
      <c r="BD536" s="2">
        <v>12.3044511488271</v>
      </c>
      <c r="BE536" s="2">
        <v>17.5137635981208</v>
      </c>
      <c r="BF536" s="2">
        <v>9.6233145402724691</v>
      </c>
      <c r="BG536" s="2">
        <v>17.957846884132</v>
      </c>
      <c r="BH536" s="2">
        <v>13.6918754403614</v>
      </c>
      <c r="BI536" s="2">
        <v>9.6233145402724691</v>
      </c>
      <c r="BJ536" s="2">
        <v>17.989657374776598</v>
      </c>
      <c r="BK536" s="2">
        <v>16.463069148798098</v>
      </c>
      <c r="BL536" s="2">
        <v>17.786399372974</v>
      </c>
      <c r="BM536" s="2">
        <v>9.6233145402724691</v>
      </c>
      <c r="BN536" s="2">
        <v>17.382895266242102</v>
      </c>
      <c r="BO536" s="2">
        <v>16.937283694917902</v>
      </c>
      <c r="BP536" s="2">
        <v>17.909012337036799</v>
      </c>
      <c r="BQ536" s="2">
        <v>17.699172183816302</v>
      </c>
      <c r="BR536" s="2">
        <v>17.633829141895198</v>
      </c>
      <c r="BS536" s="2">
        <v>14.111254694187799</v>
      </c>
      <c r="BT536" s="2">
        <v>15.836186489168099</v>
      </c>
      <c r="BU536" s="2">
        <v>17.1329372513209</v>
      </c>
      <c r="BV536" s="2">
        <v>18.036636832212899</v>
      </c>
      <c r="BW536" s="2">
        <v>16.961848365598101</v>
      </c>
      <c r="BX536" s="2">
        <v>14.997078015817699</v>
      </c>
      <c r="BY536" s="2">
        <v>17.439976126407</v>
      </c>
      <c r="BZ536" s="2">
        <v>17.311466555456999</v>
      </c>
      <c r="CA536" s="2">
        <v>9.6233145402724691</v>
      </c>
      <c r="CB536" s="2">
        <v>15.4272450688789</v>
      </c>
      <c r="CC536" s="2">
        <v>18.039291303905301</v>
      </c>
      <c r="CD536" s="2">
        <v>17.083769125352401</v>
      </c>
      <c r="CE536" s="2">
        <v>16.953397003018001</v>
      </c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</row>
    <row r="537" spans="1:97">
      <c r="A537" s="2" t="s">
        <v>5329</v>
      </c>
      <c r="B537" s="2">
        <v>320.25542000000002</v>
      </c>
      <c r="C537" s="2">
        <v>11.215</v>
      </c>
      <c r="D537" s="2" t="s">
        <v>84</v>
      </c>
      <c r="E537" s="2" t="s">
        <v>5330</v>
      </c>
      <c r="F537" s="2" t="s">
        <v>5331</v>
      </c>
      <c r="G537" s="2">
        <v>9052</v>
      </c>
      <c r="H537" s="3" t="str">
        <f>HYPERLINK("https://cloud.oebiotech.com/#/lm/network/9052", "https://cloud.oebiotech.com/#/lm/network/9052")</f>
        <v>https://cloud.oebiotech.com/#/lm/network/9052</v>
      </c>
      <c r="I537" s="2" t="s">
        <v>5332</v>
      </c>
      <c r="J537" s="2">
        <v>46564</v>
      </c>
      <c r="K537" s="2" t="s">
        <v>5333</v>
      </c>
      <c r="L537" s="2">
        <v>9835868</v>
      </c>
      <c r="M537" s="2"/>
      <c r="N537" s="2"/>
      <c r="O537" s="2"/>
      <c r="P537" s="2">
        <v>71465</v>
      </c>
      <c r="Q537" s="2"/>
      <c r="R537" s="2"/>
      <c r="S537" s="2" t="s">
        <v>5334</v>
      </c>
      <c r="T537" s="2" t="s">
        <v>5335</v>
      </c>
      <c r="U537" s="2" t="s">
        <v>5336</v>
      </c>
      <c r="V537" s="2" t="s">
        <v>166</v>
      </c>
      <c r="W537" s="2" t="s">
        <v>167</v>
      </c>
      <c r="X537" s="2" t="s">
        <v>482</v>
      </c>
      <c r="Y537" s="2" t="s">
        <v>169</v>
      </c>
      <c r="Z537" s="2" t="s">
        <v>169</v>
      </c>
      <c r="AA537" s="2" t="s">
        <v>483</v>
      </c>
      <c r="AB537" s="2" t="s">
        <v>101</v>
      </c>
      <c r="AC537" s="2">
        <v>60.17</v>
      </c>
      <c r="AD537" s="2">
        <v>73.48</v>
      </c>
      <c r="AE537" s="2">
        <v>49.2</v>
      </c>
      <c r="AF537" s="2" t="s">
        <v>5337</v>
      </c>
      <c r="AG537" s="2" t="s">
        <v>1578</v>
      </c>
      <c r="AH537" s="2" t="s">
        <v>5338</v>
      </c>
      <c r="AI537" s="2">
        <v>1.87</v>
      </c>
      <c r="AJ537" s="2">
        <v>20.5111352770287</v>
      </c>
      <c r="AK537" s="2">
        <v>20.714510899765799</v>
      </c>
      <c r="AL537" s="2">
        <v>20.431092950509299</v>
      </c>
      <c r="AM537" s="2">
        <v>20.282789381285301</v>
      </c>
      <c r="AN537" s="2">
        <v>19.834264656402102</v>
      </c>
      <c r="AO537" s="2">
        <v>20.507892871530199</v>
      </c>
      <c r="AP537" s="2">
        <v>20.239918644366899</v>
      </c>
      <c r="AQ537" s="2">
        <v>20.7254623382765</v>
      </c>
      <c r="AR537" s="2">
        <v>21.087865779579101</v>
      </c>
      <c r="AS537" s="2">
        <v>21.275055764671901</v>
      </c>
      <c r="AT537" s="2">
        <v>20.876026759757199</v>
      </c>
      <c r="AU537" s="2">
        <v>20.884701547469799</v>
      </c>
      <c r="AV537" s="2">
        <v>18.9046751016499</v>
      </c>
      <c r="AW537" s="2">
        <v>21.384569298540399</v>
      </c>
      <c r="AX537" s="2">
        <v>18.671642993253101</v>
      </c>
      <c r="AY537" s="2">
        <v>20.651360595760899</v>
      </c>
      <c r="AZ537" s="2">
        <v>21.644967387140898</v>
      </c>
      <c r="BA537" s="2">
        <v>18.705177288924698</v>
      </c>
      <c r="BB537" s="2">
        <v>21.072229612860198</v>
      </c>
      <c r="BC537" s="2">
        <v>20.9953614779972</v>
      </c>
      <c r="BD537" s="2">
        <v>20.450018634628702</v>
      </c>
      <c r="BE537" s="2">
        <v>21.0423084078353</v>
      </c>
      <c r="BF537" s="2">
        <v>21.114072592386201</v>
      </c>
      <c r="BG537" s="2">
        <v>21.010997672688099</v>
      </c>
      <c r="BH537" s="2">
        <v>20.137664102831501</v>
      </c>
      <c r="BI537" s="2">
        <v>21.044991609687099</v>
      </c>
      <c r="BJ537" s="2">
        <v>18.142061174402102</v>
      </c>
      <c r="BK537" s="2">
        <v>18.307656383167501</v>
      </c>
      <c r="BL537" s="2">
        <v>20.044218145150602</v>
      </c>
      <c r="BM537" s="2">
        <v>18.737532260632101</v>
      </c>
      <c r="BN537" s="2">
        <v>19.071496720010401</v>
      </c>
      <c r="BO537" s="2">
        <v>21.260603769485002</v>
      </c>
      <c r="BP537" s="2">
        <v>18.016528061610401</v>
      </c>
      <c r="BQ537" s="2">
        <v>19.843508353914299</v>
      </c>
      <c r="BR537" s="2">
        <v>20.9474135397598</v>
      </c>
      <c r="BS537" s="2">
        <v>19.104238259985099</v>
      </c>
      <c r="BT537" s="2">
        <v>18.334556474416601</v>
      </c>
      <c r="BU537" s="2">
        <v>21.100316723778999</v>
      </c>
      <c r="BV537" s="2">
        <v>18.917842164393999</v>
      </c>
      <c r="BW537" s="2">
        <v>18.1352215426861</v>
      </c>
      <c r="BX537" s="2">
        <v>18.104552122787599</v>
      </c>
      <c r="BY537" s="2">
        <v>19.199219466794599</v>
      </c>
      <c r="BZ537" s="2">
        <v>20.401818996203101</v>
      </c>
      <c r="CA537" s="2">
        <v>17.813945488796598</v>
      </c>
      <c r="CB537" s="2">
        <v>20.777288622219999</v>
      </c>
      <c r="CC537" s="2">
        <v>18.468022741665699</v>
      </c>
      <c r="CD537" s="2">
        <v>21.314515166071001</v>
      </c>
      <c r="CE537" s="2">
        <v>18.862203701804201</v>
      </c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</row>
    <row r="538" spans="1:97">
      <c r="A538" s="2" t="s">
        <v>5339</v>
      </c>
      <c r="B538" s="2">
        <v>174.95561000000001</v>
      </c>
      <c r="C538" s="2">
        <v>0.58599999999999997</v>
      </c>
      <c r="D538" s="2" t="s">
        <v>146</v>
      </c>
      <c r="E538" s="2" t="s">
        <v>5340</v>
      </c>
      <c r="F538" s="2" t="s">
        <v>5341</v>
      </c>
      <c r="G538" s="2">
        <v>48235</v>
      </c>
      <c r="H538" s="3" t="str">
        <f>HYPERLINK("https://cloud.oebiotech.com/#/lm/network/48235", "https://cloud.oebiotech.com/#/lm/network/48235")</f>
        <v>https://cloud.oebiotech.com/#/lm/network/48235</v>
      </c>
      <c r="I538" s="2" t="s">
        <v>5342</v>
      </c>
      <c r="J538" s="2">
        <v>63576</v>
      </c>
      <c r="K538" s="2"/>
      <c r="L538" s="2">
        <v>546</v>
      </c>
      <c r="M538" s="2" t="s">
        <v>5343</v>
      </c>
      <c r="N538" s="2" t="s">
        <v>5344</v>
      </c>
      <c r="O538" s="2" t="s">
        <v>5345</v>
      </c>
      <c r="P538" s="2">
        <v>15732</v>
      </c>
      <c r="Q538" s="2"/>
      <c r="R538" s="2"/>
      <c r="S538" s="2" t="s">
        <v>5346</v>
      </c>
      <c r="T538" s="2" t="s">
        <v>5347</v>
      </c>
      <c r="U538" s="2" t="s">
        <v>5348</v>
      </c>
      <c r="V538" s="2" t="s">
        <v>115</v>
      </c>
      <c r="W538" s="2" t="s">
        <v>5349</v>
      </c>
      <c r="X538" s="2" t="s">
        <v>5350</v>
      </c>
      <c r="Y538" s="2" t="s">
        <v>118</v>
      </c>
      <c r="Z538" s="2" t="s">
        <v>5351</v>
      </c>
      <c r="AA538" s="2" t="s">
        <v>5352</v>
      </c>
      <c r="AB538" s="2" t="s">
        <v>101</v>
      </c>
      <c r="AC538" s="2">
        <v>59.86</v>
      </c>
      <c r="AD538" s="2">
        <v>83.26</v>
      </c>
      <c r="AE538" s="2">
        <v>71.03</v>
      </c>
      <c r="AF538" s="2" t="s">
        <v>5353</v>
      </c>
      <c r="AG538" s="2" t="s">
        <v>4062</v>
      </c>
      <c r="AH538" s="2" t="s">
        <v>5354</v>
      </c>
      <c r="AI538" s="2">
        <v>7.43</v>
      </c>
      <c r="AJ538" s="2">
        <v>27.6375669311516</v>
      </c>
      <c r="AK538" s="2">
        <v>27.729782695463602</v>
      </c>
      <c r="AL538" s="2">
        <v>27.618465840653599</v>
      </c>
      <c r="AM538" s="2">
        <v>27.804605141866901</v>
      </c>
      <c r="AN538" s="2">
        <v>27.799555854101602</v>
      </c>
      <c r="AO538" s="2">
        <v>27.747763779916198</v>
      </c>
      <c r="AP538" s="2">
        <v>27.730796560065599</v>
      </c>
      <c r="AQ538" s="2">
        <v>27.743874554801302</v>
      </c>
      <c r="AR538" s="2">
        <v>27.8250331531322</v>
      </c>
      <c r="AS538" s="2">
        <v>27.5745018456949</v>
      </c>
      <c r="AT538" s="2">
        <v>27.741995977091499</v>
      </c>
      <c r="AU538" s="2">
        <v>27.757817734921201</v>
      </c>
      <c r="AV538" s="2">
        <v>27.719217828309901</v>
      </c>
      <c r="AW538" s="2">
        <v>27.678903171535701</v>
      </c>
      <c r="AX538" s="2">
        <v>27.624636119371399</v>
      </c>
      <c r="AY538" s="2">
        <v>27.6534836749621</v>
      </c>
      <c r="AZ538" s="2">
        <v>27.554389655890201</v>
      </c>
      <c r="BA538" s="2">
        <v>27.6333189757386</v>
      </c>
      <c r="BB538" s="2">
        <v>27.5770735564533</v>
      </c>
      <c r="BC538" s="2">
        <v>27.814572673652599</v>
      </c>
      <c r="BD538" s="2">
        <v>27.4589018364662</v>
      </c>
      <c r="BE538" s="2">
        <v>27.419404969962301</v>
      </c>
      <c r="BF538" s="2">
        <v>27.6418294090256</v>
      </c>
      <c r="BG538" s="2">
        <v>27.561356001394699</v>
      </c>
      <c r="BH538" s="2">
        <v>27.384959131461599</v>
      </c>
      <c r="BI538" s="2">
        <v>27.638139838813501</v>
      </c>
      <c r="BJ538" s="2">
        <v>27.4850303599823</v>
      </c>
      <c r="BK538" s="2">
        <v>27.648861587083399</v>
      </c>
      <c r="BL538" s="2">
        <v>27.690822356088599</v>
      </c>
      <c r="BM538" s="2">
        <v>27.670895392937702</v>
      </c>
      <c r="BN538" s="2">
        <v>27.670899809067802</v>
      </c>
      <c r="BO538" s="2">
        <v>27.6556596671657</v>
      </c>
      <c r="BP538" s="2">
        <v>27.322688979520699</v>
      </c>
      <c r="BQ538" s="2">
        <v>27.518978213576599</v>
      </c>
      <c r="BR538" s="2">
        <v>27.6048420382735</v>
      </c>
      <c r="BS538" s="2">
        <v>27.685480791311502</v>
      </c>
      <c r="BT538" s="2">
        <v>27.579117151472399</v>
      </c>
      <c r="BU538" s="2">
        <v>27.5039261803268</v>
      </c>
      <c r="BV538" s="2">
        <v>27.6123642018926</v>
      </c>
      <c r="BW538" s="2">
        <v>27.655433044246202</v>
      </c>
      <c r="BX538" s="2">
        <v>27.586490440378899</v>
      </c>
      <c r="BY538" s="2">
        <v>27.641955853279899</v>
      </c>
      <c r="BZ538" s="2">
        <v>27.617077703386901</v>
      </c>
      <c r="CA538" s="2">
        <v>27.453866329806601</v>
      </c>
      <c r="CB538" s="2">
        <v>27.826572047842799</v>
      </c>
      <c r="CC538" s="2">
        <v>27.5397613824376</v>
      </c>
      <c r="CD538" s="2">
        <v>27.552867467819201</v>
      </c>
      <c r="CE538" s="2">
        <v>27.690558122739102</v>
      </c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</row>
    <row r="539" spans="1:97">
      <c r="A539" s="2" t="s">
        <v>5355</v>
      </c>
      <c r="B539" s="2">
        <v>239.16478000000001</v>
      </c>
      <c r="C539" s="2">
        <v>10.278</v>
      </c>
      <c r="D539" s="2" t="s">
        <v>146</v>
      </c>
      <c r="E539" s="2" t="s">
        <v>5356</v>
      </c>
      <c r="F539" s="2" t="s">
        <v>5357</v>
      </c>
      <c r="G539" s="2">
        <v>60496</v>
      </c>
      <c r="H539" s="3" t="str">
        <f>HYPERLINK("https://cloud.oebiotech.com/#/lm/network/60496", "https://cloud.oebiotech.com/#/lm/network/60496")</f>
        <v>https://cloud.oebiotech.com/#/lm/network/60496</v>
      </c>
      <c r="I539" s="2" t="s">
        <v>5358</v>
      </c>
      <c r="J539" s="2">
        <v>91837</v>
      </c>
      <c r="K539" s="2"/>
      <c r="L539" s="2">
        <v>61953</v>
      </c>
      <c r="M539" s="2"/>
      <c r="N539" s="2"/>
      <c r="O539" s="2"/>
      <c r="P539" s="2">
        <v>89598</v>
      </c>
      <c r="Q539" s="2"/>
      <c r="R539" s="2"/>
      <c r="S539" s="2" t="s">
        <v>5359</v>
      </c>
      <c r="T539" s="2" t="s">
        <v>5360</v>
      </c>
      <c r="U539" s="2" t="s">
        <v>5361</v>
      </c>
      <c r="V539" s="2" t="s">
        <v>553</v>
      </c>
      <c r="W539" s="2" t="s">
        <v>1466</v>
      </c>
      <c r="X539" s="2" t="s">
        <v>375</v>
      </c>
      <c r="Y539" s="2" t="s">
        <v>556</v>
      </c>
      <c r="Z539" s="2" t="s">
        <v>1467</v>
      </c>
      <c r="AA539" s="2"/>
      <c r="AB539" s="2" t="s">
        <v>3086</v>
      </c>
      <c r="AC539" s="2">
        <v>59.86</v>
      </c>
      <c r="AD539" s="2">
        <v>91.52</v>
      </c>
      <c r="AE539" s="2">
        <v>40.4</v>
      </c>
      <c r="AF539" s="2" t="s">
        <v>5362</v>
      </c>
      <c r="AG539" s="2" t="s">
        <v>157</v>
      </c>
      <c r="AH539" s="2" t="s">
        <v>4029</v>
      </c>
      <c r="AI539" s="2">
        <v>2.09</v>
      </c>
      <c r="AJ539" s="2">
        <v>18.189655676168101</v>
      </c>
      <c r="AK539" s="2">
        <v>18.070058768852199</v>
      </c>
      <c r="AL539" s="2">
        <v>18.1258148639889</v>
      </c>
      <c r="AM539" s="2">
        <v>18.075389364749999</v>
      </c>
      <c r="AN539" s="2">
        <v>18.334735054009599</v>
      </c>
      <c r="AO539" s="2">
        <v>18.699726125903702</v>
      </c>
      <c r="AP539" s="2">
        <v>18.390724675103002</v>
      </c>
      <c r="AQ539" s="2">
        <v>18.274648414837099</v>
      </c>
      <c r="AR539" s="2">
        <v>16.6612333664355</v>
      </c>
      <c r="AS539" s="2">
        <v>17.298125680665599</v>
      </c>
      <c r="AT539" s="2">
        <v>18.3350234753376</v>
      </c>
      <c r="AU539" s="2">
        <v>16.685752942204999</v>
      </c>
      <c r="AV539" s="2">
        <v>17.9301285606189</v>
      </c>
      <c r="AW539" s="2">
        <v>17.320291719517101</v>
      </c>
      <c r="AX539" s="2">
        <v>18.102928524416001</v>
      </c>
      <c r="AY539" s="2">
        <v>17.1621899896682</v>
      </c>
      <c r="AZ539" s="2">
        <v>15.960250190773801</v>
      </c>
      <c r="BA539" s="2">
        <v>18.231358686655199</v>
      </c>
      <c r="BB539" s="2">
        <v>18.0536240337937</v>
      </c>
      <c r="BC539" s="2">
        <v>18.883190737766402</v>
      </c>
      <c r="BD539" s="2">
        <v>17.1222192294168</v>
      </c>
      <c r="BE539" s="2">
        <v>18.437191417345701</v>
      </c>
      <c r="BF539" s="2">
        <v>16.527415151383799</v>
      </c>
      <c r="BG539" s="2">
        <v>18.787639629150402</v>
      </c>
      <c r="BH539" s="2">
        <v>17.818775507430299</v>
      </c>
      <c r="BI539" s="2">
        <v>17.049647464069299</v>
      </c>
      <c r="BJ539" s="2">
        <v>18.549785570233499</v>
      </c>
      <c r="BK539" s="2">
        <v>17.6774459588718</v>
      </c>
      <c r="BL539" s="2">
        <v>18.649934842768999</v>
      </c>
      <c r="BM539" s="2">
        <v>16.919131714904001</v>
      </c>
      <c r="BN539" s="2">
        <v>18.538351015422901</v>
      </c>
      <c r="BO539" s="2">
        <v>18.731559946284602</v>
      </c>
      <c r="BP539" s="2">
        <v>19.2354376267274</v>
      </c>
      <c r="BQ539" s="2">
        <v>18.752947354956099</v>
      </c>
      <c r="BR539" s="2">
        <v>19.136414481394301</v>
      </c>
      <c r="BS539" s="2">
        <v>17.204229915690899</v>
      </c>
      <c r="BT539" s="2">
        <v>16.8945910220631</v>
      </c>
      <c r="BU539" s="2">
        <v>18.7610757376181</v>
      </c>
      <c r="BV539" s="2">
        <v>19.120316762443601</v>
      </c>
      <c r="BW539" s="2">
        <v>17.8076855940207</v>
      </c>
      <c r="BX539" s="2">
        <v>17.760417123828201</v>
      </c>
      <c r="BY539" s="2">
        <v>18.1339472208407</v>
      </c>
      <c r="BZ539" s="2">
        <v>18.097509365086999</v>
      </c>
      <c r="CA539" s="2">
        <v>17.5138907934484</v>
      </c>
      <c r="CB539" s="2">
        <v>18.644617102288901</v>
      </c>
      <c r="CC539" s="2">
        <v>18.7417425149998</v>
      </c>
      <c r="CD539" s="2">
        <v>18.3419407637357</v>
      </c>
      <c r="CE539" s="2">
        <v>18.626526012753899</v>
      </c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</row>
    <row r="540" spans="1:97">
      <c r="A540" s="2" t="s">
        <v>5363</v>
      </c>
      <c r="B540" s="2">
        <v>275.20103</v>
      </c>
      <c r="C540" s="2">
        <v>11.983000000000001</v>
      </c>
      <c r="D540" s="2" t="s">
        <v>146</v>
      </c>
      <c r="E540" s="2" t="s">
        <v>5364</v>
      </c>
      <c r="F540" s="2" t="s">
        <v>5365</v>
      </c>
      <c r="G540" s="2">
        <v>849</v>
      </c>
      <c r="H540" s="3" t="str">
        <f>HYPERLINK("https://cloud.oebiotech.com/#/lm/network/849", "https://cloud.oebiotech.com/#/lm/network/849")</f>
        <v>https://cloud.oebiotech.com/#/lm/network/849</v>
      </c>
      <c r="I540" s="2" t="s">
        <v>5366</v>
      </c>
      <c r="J540" s="2">
        <v>34838</v>
      </c>
      <c r="K540" s="2" t="s">
        <v>5367</v>
      </c>
      <c r="L540" s="2">
        <v>5312508</v>
      </c>
      <c r="M540" s="2" t="s">
        <v>5368</v>
      </c>
      <c r="N540" s="2" t="s">
        <v>2572</v>
      </c>
      <c r="O540" s="2" t="s">
        <v>2573</v>
      </c>
      <c r="P540" s="2">
        <v>32389</v>
      </c>
      <c r="Q540" s="2"/>
      <c r="R540" s="2"/>
      <c r="S540" s="2" t="s">
        <v>5369</v>
      </c>
      <c r="T540" s="2" t="s">
        <v>5370</v>
      </c>
      <c r="U540" s="2" t="s">
        <v>5371</v>
      </c>
      <c r="V540" s="2" t="s">
        <v>95</v>
      </c>
      <c r="W540" s="2" t="s">
        <v>96</v>
      </c>
      <c r="X540" s="2" t="s">
        <v>919</v>
      </c>
      <c r="Y540" s="2" t="s">
        <v>98</v>
      </c>
      <c r="Z540" s="2" t="s">
        <v>99</v>
      </c>
      <c r="AA540" s="2" t="s">
        <v>920</v>
      </c>
      <c r="AB540" s="2" t="s">
        <v>101</v>
      </c>
      <c r="AC540" s="2">
        <v>59.84</v>
      </c>
      <c r="AD540" s="2">
        <v>89</v>
      </c>
      <c r="AE540" s="2">
        <v>52.28</v>
      </c>
      <c r="AF540" s="2" t="s">
        <v>5372</v>
      </c>
      <c r="AG540" s="2" t="s">
        <v>194</v>
      </c>
      <c r="AH540" s="2" t="s">
        <v>5373</v>
      </c>
      <c r="AI540" s="2">
        <v>2.54</v>
      </c>
      <c r="AJ540" s="2">
        <v>17.120810531752301</v>
      </c>
      <c r="AK540" s="2">
        <v>16.690728631045801</v>
      </c>
      <c r="AL540" s="2">
        <v>16.775236287873401</v>
      </c>
      <c r="AM540" s="2">
        <v>16.704287873340299</v>
      </c>
      <c r="AN540" s="2">
        <v>16.565116213607599</v>
      </c>
      <c r="AO540" s="2">
        <v>17.111028153000301</v>
      </c>
      <c r="AP540" s="2">
        <v>16.759394226259499</v>
      </c>
      <c r="AQ540" s="2">
        <v>16.6072048816849</v>
      </c>
      <c r="AR540" s="2">
        <v>14.9801435950393</v>
      </c>
      <c r="AS540" s="2">
        <v>15.3541315864317</v>
      </c>
      <c r="AT540" s="2">
        <v>17.9080628959424</v>
      </c>
      <c r="AU540" s="2">
        <v>14.756159109747299</v>
      </c>
      <c r="AV540" s="2">
        <v>14.5100532751429</v>
      </c>
      <c r="AW540" s="2">
        <v>15.7159630624122</v>
      </c>
      <c r="AX540" s="2">
        <v>17.625171584531898</v>
      </c>
      <c r="AY540" s="2">
        <v>15.025977833266801</v>
      </c>
      <c r="AZ540" s="2">
        <v>14.014166964791199</v>
      </c>
      <c r="BA540" s="2">
        <v>17.136108576846301</v>
      </c>
      <c r="BB540" s="2">
        <v>16.480622348049199</v>
      </c>
      <c r="BC540" s="2">
        <v>18.009918695538701</v>
      </c>
      <c r="BD540" s="2">
        <v>13.8379875766535</v>
      </c>
      <c r="BE540" s="2">
        <v>13.6610365222604</v>
      </c>
      <c r="BF540" s="2">
        <v>16.378917127809501</v>
      </c>
      <c r="BG540" s="2">
        <v>17.2089266522933</v>
      </c>
      <c r="BH540" s="2">
        <v>15.0907194812377</v>
      </c>
      <c r="BI540" s="2">
        <v>16.7397427754434</v>
      </c>
      <c r="BJ540" s="2">
        <v>16.657363393521599</v>
      </c>
      <c r="BK540" s="2">
        <v>14.3225598400703</v>
      </c>
      <c r="BL540" s="2">
        <v>16.934479643512201</v>
      </c>
      <c r="BM540" s="2">
        <v>15.0734474672782</v>
      </c>
      <c r="BN540" s="2">
        <v>14.155119430001101</v>
      </c>
      <c r="BO540" s="2">
        <v>17.032482615999999</v>
      </c>
      <c r="BP540" s="2">
        <v>16.720053432786401</v>
      </c>
      <c r="BQ540" s="2">
        <v>17.516297603862299</v>
      </c>
      <c r="BR540" s="2">
        <v>17.227429521845</v>
      </c>
      <c r="BS540" s="2">
        <v>13.757422305038</v>
      </c>
      <c r="BT540" s="2">
        <v>15.328769580050301</v>
      </c>
      <c r="BU540" s="2">
        <v>17.8785127005372</v>
      </c>
      <c r="BV540" s="2">
        <v>17.434264722897201</v>
      </c>
      <c r="BW540" s="2">
        <v>15.4093806595509</v>
      </c>
      <c r="BX540" s="2">
        <v>15.934436794817699</v>
      </c>
      <c r="BY540" s="2">
        <v>14.871600634413699</v>
      </c>
      <c r="BZ540" s="2">
        <v>16.182568355584699</v>
      </c>
      <c r="CA540" s="2">
        <v>15.449911779333</v>
      </c>
      <c r="CB540" s="2">
        <v>17.8148492291789</v>
      </c>
      <c r="CC540" s="2">
        <v>17.447621165380198</v>
      </c>
      <c r="CD540" s="2">
        <v>16.416862827339401</v>
      </c>
      <c r="CE540" s="2">
        <v>17.290449819386598</v>
      </c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</row>
    <row r="541" spans="1:97">
      <c r="A541" s="2" t="s">
        <v>5374</v>
      </c>
      <c r="B541" s="2">
        <v>310.20082000000002</v>
      </c>
      <c r="C541" s="2">
        <v>5.5170000000000003</v>
      </c>
      <c r="D541" s="2" t="s">
        <v>84</v>
      </c>
      <c r="E541" s="2" t="s">
        <v>5375</v>
      </c>
      <c r="F541" s="2" t="s">
        <v>5376</v>
      </c>
      <c r="G541" s="2">
        <v>197661</v>
      </c>
      <c r="H541" s="3" t="str">
        <f>HYPERLINK("https://cloud.oebiotech.com/#/lm/network/197661", "https://cloud.oebiotech.com/#/lm/network/197661")</f>
        <v>https://cloud.oebiotech.com/#/lm/network/197661</v>
      </c>
      <c r="I541" s="2" t="s">
        <v>5377</v>
      </c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 t="s">
        <v>5378</v>
      </c>
      <c r="U541" s="2" t="s">
        <v>5379</v>
      </c>
      <c r="V541" s="2" t="s">
        <v>95</v>
      </c>
      <c r="W541" s="2" t="s">
        <v>96</v>
      </c>
      <c r="X541" s="2" t="s">
        <v>97</v>
      </c>
      <c r="Y541" s="2" t="s">
        <v>98</v>
      </c>
      <c r="Z541" s="2" t="s">
        <v>99</v>
      </c>
      <c r="AA541" s="2" t="s">
        <v>100</v>
      </c>
      <c r="AB541" s="2" t="s">
        <v>3086</v>
      </c>
      <c r="AC541" s="2">
        <v>59.79</v>
      </c>
      <c r="AD541" s="2">
        <v>94.82</v>
      </c>
      <c r="AE541" s="2">
        <v>42.8</v>
      </c>
      <c r="AF541" s="2" t="s">
        <v>5380</v>
      </c>
      <c r="AG541" s="2" t="s">
        <v>1088</v>
      </c>
      <c r="AH541" s="2" t="s">
        <v>5381</v>
      </c>
      <c r="AI541" s="2">
        <v>3.55</v>
      </c>
      <c r="AJ541" s="2">
        <v>21.102424802313902</v>
      </c>
      <c r="AK541" s="2">
        <v>21.293694201329501</v>
      </c>
      <c r="AL541" s="2">
        <v>21.3792868344431</v>
      </c>
      <c r="AM541" s="2">
        <v>21.496029633764699</v>
      </c>
      <c r="AN541" s="2">
        <v>21.625320416440101</v>
      </c>
      <c r="AO541" s="2">
        <v>21.511109225457599</v>
      </c>
      <c r="AP541" s="2">
        <v>21.4969748240256</v>
      </c>
      <c r="AQ541" s="2">
        <v>21.590965584718699</v>
      </c>
      <c r="AR541" s="2">
        <v>18.392161598737399</v>
      </c>
      <c r="AS541" s="2">
        <v>20.065065192970099</v>
      </c>
      <c r="AT541" s="2">
        <v>19.764889112585902</v>
      </c>
      <c r="AU541" s="2">
        <v>20.5244545204988</v>
      </c>
      <c r="AV541" s="2">
        <v>19.898555260361</v>
      </c>
      <c r="AW541" s="2">
        <v>21.561701739040402</v>
      </c>
      <c r="AX541" s="2">
        <v>20.313338045384299</v>
      </c>
      <c r="AY541" s="2">
        <v>22.733241515583298</v>
      </c>
      <c r="AZ541" s="2">
        <v>20.592371607587701</v>
      </c>
      <c r="BA541" s="2">
        <v>21.157772171192999</v>
      </c>
      <c r="BB541" s="2">
        <v>21.609047192907902</v>
      </c>
      <c r="BC541" s="2">
        <v>20.047277043321198</v>
      </c>
      <c r="BD541" s="2">
        <v>20.320831579198799</v>
      </c>
      <c r="BE541" s="2">
        <v>21.870382006881901</v>
      </c>
      <c r="BF541" s="2">
        <v>21.5277753603532</v>
      </c>
      <c r="BG541" s="2">
        <v>20.3093100429031</v>
      </c>
      <c r="BH541" s="2">
        <v>18.473762381199901</v>
      </c>
      <c r="BI541" s="2">
        <v>19.660115790435501</v>
      </c>
      <c r="BJ541" s="2">
        <v>21.091245362004699</v>
      </c>
      <c r="BK541" s="2">
        <v>16.506994452102699</v>
      </c>
      <c r="BL541" s="2">
        <v>18.554720778440299</v>
      </c>
      <c r="BM541" s="2">
        <v>20.893854821995401</v>
      </c>
      <c r="BN541" s="2">
        <v>20.6075131226529</v>
      </c>
      <c r="BO541" s="2">
        <v>20.959864807113199</v>
      </c>
      <c r="BP541" s="2">
        <v>19.9373101640534</v>
      </c>
      <c r="BQ541" s="2">
        <v>21.0814644079855</v>
      </c>
      <c r="BR541" s="2">
        <v>20.922915847468701</v>
      </c>
      <c r="BS541" s="2">
        <v>23.082425168447099</v>
      </c>
      <c r="BT541" s="2">
        <v>22.5157497184804</v>
      </c>
      <c r="BU541" s="2">
        <v>22.192044342174999</v>
      </c>
      <c r="BV541" s="2">
        <v>22.5064573584397</v>
      </c>
      <c r="BW541" s="2">
        <v>20.617416454079802</v>
      </c>
      <c r="BX541" s="2">
        <v>18.327735030675701</v>
      </c>
      <c r="BY541" s="2">
        <v>22.7469741518339</v>
      </c>
      <c r="BZ541" s="2">
        <v>20.972732187125501</v>
      </c>
      <c r="CA541" s="2">
        <v>18.0131961070675</v>
      </c>
      <c r="CB541" s="2">
        <v>20.428028239576602</v>
      </c>
      <c r="CC541" s="2">
        <v>20.697209298960999</v>
      </c>
      <c r="CD541" s="2">
        <v>21.437583535016</v>
      </c>
      <c r="CE541" s="2">
        <v>16.5032415741668</v>
      </c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</row>
    <row r="542" spans="1:97">
      <c r="A542" s="2" t="s">
        <v>5382</v>
      </c>
      <c r="B542" s="2">
        <v>552.40137000000004</v>
      </c>
      <c r="C542" s="2">
        <v>12.510999999999999</v>
      </c>
      <c r="D542" s="2" t="s">
        <v>84</v>
      </c>
      <c r="E542" s="2" t="s">
        <v>5383</v>
      </c>
      <c r="F542" s="2" t="s">
        <v>5384</v>
      </c>
      <c r="G542" s="2">
        <v>198904</v>
      </c>
      <c r="H542" s="3" t="str">
        <f>HYPERLINK("https://cloud.oebiotech.com/#/lm/network/198904", "https://cloud.oebiotech.com/#/lm/network/198904")</f>
        <v>https://cloud.oebiotech.com/#/lm/network/198904</v>
      </c>
      <c r="I542" s="2" t="s">
        <v>5385</v>
      </c>
      <c r="J542" s="2"/>
      <c r="K542" s="2"/>
      <c r="L542" s="2">
        <v>2501</v>
      </c>
      <c r="M542" s="2"/>
      <c r="N542" s="2"/>
      <c r="O542" s="2"/>
      <c r="P542" s="2"/>
      <c r="Q542" s="2"/>
      <c r="R542" s="2"/>
      <c r="S542" s="2"/>
      <c r="T542" s="2" t="s">
        <v>5386</v>
      </c>
      <c r="U542" s="2" t="s">
        <v>5387</v>
      </c>
      <c r="V542" s="2" t="s">
        <v>95</v>
      </c>
      <c r="W542" s="2" t="s">
        <v>202</v>
      </c>
      <c r="X542" s="2" t="s">
        <v>203</v>
      </c>
      <c r="Y542" s="2" t="s">
        <v>98</v>
      </c>
      <c r="Z542" s="2" t="s">
        <v>204</v>
      </c>
      <c r="AA542" s="2" t="s">
        <v>205</v>
      </c>
      <c r="AB542" s="2" t="s">
        <v>3086</v>
      </c>
      <c r="AC542" s="2">
        <v>59.75</v>
      </c>
      <c r="AD542" s="2">
        <v>79.87</v>
      </c>
      <c r="AE542" s="2">
        <v>41.88</v>
      </c>
      <c r="AF542" s="2" t="s">
        <v>5388</v>
      </c>
      <c r="AG542" s="2" t="s">
        <v>103</v>
      </c>
      <c r="AH542" s="2" t="s">
        <v>2142</v>
      </c>
      <c r="AI542" s="2">
        <v>1.63</v>
      </c>
      <c r="AJ542" s="2">
        <v>19.3656827176688</v>
      </c>
      <c r="AK542" s="2">
        <v>19.713402877677201</v>
      </c>
      <c r="AL542" s="2">
        <v>19.602252574566101</v>
      </c>
      <c r="AM542" s="2">
        <v>19.763021320159201</v>
      </c>
      <c r="AN542" s="2">
        <v>19.9021782992548</v>
      </c>
      <c r="AO542" s="2">
        <v>19.365925047012901</v>
      </c>
      <c r="AP542" s="2">
        <v>19.731528143664899</v>
      </c>
      <c r="AQ542" s="2">
        <v>19.824491854425901</v>
      </c>
      <c r="AR542" s="2">
        <v>20.461391314536499</v>
      </c>
      <c r="AS542" s="2">
        <v>17.817374745817101</v>
      </c>
      <c r="AT542" s="2">
        <v>19.007226906292299</v>
      </c>
      <c r="AU542" s="2">
        <v>19.3113307999038</v>
      </c>
      <c r="AV542" s="2">
        <v>18.914399001910301</v>
      </c>
      <c r="AW542" s="2">
        <v>18.8999452877284</v>
      </c>
      <c r="AX542" s="2">
        <v>19.651258032056301</v>
      </c>
      <c r="AY542" s="2">
        <v>19.702435004454401</v>
      </c>
      <c r="AZ542" s="2">
        <v>20.3014392468978</v>
      </c>
      <c r="BA542" s="2">
        <v>17.3636578225621</v>
      </c>
      <c r="BB542" s="2">
        <v>19.2000430871113</v>
      </c>
      <c r="BC542" s="2">
        <v>20.536325617597001</v>
      </c>
      <c r="BD542" s="2">
        <v>19.834405635026201</v>
      </c>
      <c r="BE542" s="2">
        <v>19.780238800834798</v>
      </c>
      <c r="BF542" s="2">
        <v>18.655199051883599</v>
      </c>
      <c r="BG542" s="2">
        <v>18.877708218782701</v>
      </c>
      <c r="BH542" s="2">
        <v>18.413960444667101</v>
      </c>
      <c r="BI542" s="2">
        <v>19.023879320175499</v>
      </c>
      <c r="BJ542" s="2">
        <v>19.657487051920299</v>
      </c>
      <c r="BK542" s="2">
        <v>18.6905726329998</v>
      </c>
      <c r="BL542" s="2">
        <v>20.085028706614001</v>
      </c>
      <c r="BM542" s="2">
        <v>20.118934218344901</v>
      </c>
      <c r="BN542" s="2">
        <v>19.542304778689299</v>
      </c>
      <c r="BO542" s="2">
        <v>18.884392672984401</v>
      </c>
      <c r="BP542" s="2">
        <v>19.5789470396202</v>
      </c>
      <c r="BQ542" s="2">
        <v>19.707441438095302</v>
      </c>
      <c r="BR542" s="2">
        <v>19.7815891188901</v>
      </c>
      <c r="BS542" s="2">
        <v>18.899330810425901</v>
      </c>
      <c r="BT542" s="2">
        <v>18.9469156384231</v>
      </c>
      <c r="BU542" s="2">
        <v>17.264980486641601</v>
      </c>
      <c r="BV542" s="2">
        <v>20.052036212642701</v>
      </c>
      <c r="BW542" s="2">
        <v>18.292720513680901</v>
      </c>
      <c r="BX542" s="2">
        <v>19.173729294485199</v>
      </c>
      <c r="BY542" s="2">
        <v>20.129439671072401</v>
      </c>
      <c r="BZ542" s="2">
        <v>18.7108825247639</v>
      </c>
      <c r="CA542" s="2">
        <v>19.188405619065399</v>
      </c>
      <c r="CB542" s="2">
        <v>17.532099735283801</v>
      </c>
      <c r="CC542" s="2">
        <v>18.9499339185552</v>
      </c>
      <c r="CD542" s="2">
        <v>20.718581939441702</v>
      </c>
      <c r="CE542" s="2">
        <v>17.940748313308401</v>
      </c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</row>
    <row r="543" spans="1:97">
      <c r="A543" s="2" t="s">
        <v>5389</v>
      </c>
      <c r="B543" s="2">
        <v>243.19596000000001</v>
      </c>
      <c r="C543" s="2">
        <v>10.872</v>
      </c>
      <c r="D543" s="2" t="s">
        <v>146</v>
      </c>
      <c r="E543" s="2" t="s">
        <v>5390</v>
      </c>
      <c r="F543" s="2" t="s">
        <v>5391</v>
      </c>
      <c r="G543" s="2">
        <v>9884</v>
      </c>
      <c r="H543" s="3" t="str">
        <f>HYPERLINK("https://cloud.oebiotech.com/#/lm/network/9884", "https://cloud.oebiotech.com/#/lm/network/9884")</f>
        <v>https://cloud.oebiotech.com/#/lm/network/9884</v>
      </c>
      <c r="I543" s="2" t="s">
        <v>5392</v>
      </c>
      <c r="J543" s="2">
        <v>89740</v>
      </c>
      <c r="K543" s="2" t="s">
        <v>5393</v>
      </c>
      <c r="L543" s="2">
        <v>11622</v>
      </c>
      <c r="M543" s="2"/>
      <c r="N543" s="2"/>
      <c r="O543" s="2"/>
      <c r="P543" s="2">
        <v>77928</v>
      </c>
      <c r="Q543" s="2"/>
      <c r="R543" s="2"/>
      <c r="S543" s="2" t="s">
        <v>5394</v>
      </c>
      <c r="T543" s="2" t="s">
        <v>5395</v>
      </c>
      <c r="U543" s="2" t="s">
        <v>5396</v>
      </c>
      <c r="V543" s="2" t="s">
        <v>338</v>
      </c>
      <c r="W543" s="2" t="s">
        <v>339</v>
      </c>
      <c r="X543" s="2" t="s">
        <v>340</v>
      </c>
      <c r="Y543" s="2" t="s">
        <v>341</v>
      </c>
      <c r="Z543" s="2" t="s">
        <v>341</v>
      </c>
      <c r="AA543" s="2" t="s">
        <v>342</v>
      </c>
      <c r="AB543" s="2" t="s">
        <v>3086</v>
      </c>
      <c r="AC543" s="2">
        <v>59.58</v>
      </c>
      <c r="AD543" s="2">
        <v>97.03</v>
      </c>
      <c r="AE543" s="2">
        <v>33.65</v>
      </c>
      <c r="AF543" s="2" t="s">
        <v>5397</v>
      </c>
      <c r="AG543" s="2" t="s">
        <v>157</v>
      </c>
      <c r="AH543" s="2" t="s">
        <v>5398</v>
      </c>
      <c r="AI543" s="2">
        <v>2.4700000000000002</v>
      </c>
      <c r="AJ543" s="2">
        <v>21.081653196096301</v>
      </c>
      <c r="AK543" s="2">
        <v>21.0384249389373</v>
      </c>
      <c r="AL543" s="2">
        <v>20.720104073158701</v>
      </c>
      <c r="AM543" s="2">
        <v>20.9474217945654</v>
      </c>
      <c r="AN543" s="2">
        <v>20.999808866459301</v>
      </c>
      <c r="AO543" s="2">
        <v>20.916693493023399</v>
      </c>
      <c r="AP543" s="2">
        <v>20.922386608561101</v>
      </c>
      <c r="AQ543" s="2">
        <v>20.9284933852793</v>
      </c>
      <c r="AR543" s="2">
        <v>20.101804377152401</v>
      </c>
      <c r="AS543" s="2">
        <v>20.221949408567799</v>
      </c>
      <c r="AT543" s="2">
        <v>21.406888099474202</v>
      </c>
      <c r="AU543" s="2">
        <v>20.489191172071401</v>
      </c>
      <c r="AV543" s="2">
        <v>20.2917330855018</v>
      </c>
      <c r="AW543" s="2">
        <v>20.197564407413701</v>
      </c>
      <c r="AX543" s="2">
        <v>20.9661118406881</v>
      </c>
      <c r="AY543" s="2">
        <v>20.261828360812501</v>
      </c>
      <c r="AZ543" s="2">
        <v>19.851860756544099</v>
      </c>
      <c r="BA543" s="2">
        <v>21.282007411536298</v>
      </c>
      <c r="BB543" s="2">
        <v>21.1215197509555</v>
      </c>
      <c r="BC543" s="2">
        <v>21.904246083221299</v>
      </c>
      <c r="BD543" s="2">
        <v>19.634213383257499</v>
      </c>
      <c r="BE543" s="2">
        <v>20.436085226318198</v>
      </c>
      <c r="BF543" s="2">
        <v>20.361691062857801</v>
      </c>
      <c r="BG543" s="2">
        <v>21.478334251745501</v>
      </c>
      <c r="BH543" s="2">
        <v>20.045759808002401</v>
      </c>
      <c r="BI543" s="2">
        <v>21.2864234942191</v>
      </c>
      <c r="BJ543" s="2">
        <v>20.801685927132599</v>
      </c>
      <c r="BK543" s="2">
        <v>19.590317966758601</v>
      </c>
      <c r="BL543" s="2">
        <v>21.520171710924199</v>
      </c>
      <c r="BM543" s="2">
        <v>19.8497938846828</v>
      </c>
      <c r="BN543" s="2">
        <v>19.5774191096686</v>
      </c>
      <c r="BO543" s="2">
        <v>21.087698906769599</v>
      </c>
      <c r="BP543" s="2">
        <v>20.833794767082299</v>
      </c>
      <c r="BQ543" s="2">
        <v>21.3062637318661</v>
      </c>
      <c r="BR543" s="2">
        <v>21.234394809887199</v>
      </c>
      <c r="BS543" s="2">
        <v>19.4081408822531</v>
      </c>
      <c r="BT543" s="2">
        <v>20.3822994090009</v>
      </c>
      <c r="BU543" s="2">
        <v>21.513956352478498</v>
      </c>
      <c r="BV543" s="2">
        <v>21.5464294869093</v>
      </c>
      <c r="BW543" s="2">
        <v>20.552067777368201</v>
      </c>
      <c r="BX543" s="2">
        <v>20.1754353858766</v>
      </c>
      <c r="BY543" s="2">
        <v>20.445331233510402</v>
      </c>
      <c r="BZ543" s="2">
        <v>21.0292714865035</v>
      </c>
      <c r="CA543" s="2">
        <v>20.0658681946157</v>
      </c>
      <c r="CB543" s="2">
        <v>21.202118358123901</v>
      </c>
      <c r="CC543" s="2">
        <v>21.7671611210476</v>
      </c>
      <c r="CD543" s="2">
        <v>20.407903467704799</v>
      </c>
      <c r="CE543" s="2">
        <v>21.546990050674498</v>
      </c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</row>
    <row r="544" spans="1:97">
      <c r="A544" s="2" t="s">
        <v>5399</v>
      </c>
      <c r="B544" s="2">
        <v>415.19672000000003</v>
      </c>
      <c r="C544" s="2">
        <v>6.42</v>
      </c>
      <c r="D544" s="2" t="s">
        <v>146</v>
      </c>
      <c r="E544" s="2" t="s">
        <v>5400</v>
      </c>
      <c r="F544" s="2" t="s">
        <v>5401</v>
      </c>
      <c r="G544" s="2">
        <v>57109</v>
      </c>
      <c r="H544" s="3" t="str">
        <f>HYPERLINK("https://cloud.oebiotech.com/#/lm/network/57109", "https://cloud.oebiotech.com/#/lm/network/57109")</f>
        <v>https://cloud.oebiotech.com/#/lm/network/57109</v>
      </c>
      <c r="I544" s="2" t="s">
        <v>5402</v>
      </c>
      <c r="J544" s="2">
        <v>88761</v>
      </c>
      <c r="K544" s="2"/>
      <c r="L544" s="2">
        <v>85258909</v>
      </c>
      <c r="M544" s="2"/>
      <c r="N544" s="2"/>
      <c r="O544" s="2"/>
      <c r="P544" s="2">
        <v>168938</v>
      </c>
      <c r="Q544" s="2"/>
      <c r="R544" s="2"/>
      <c r="S544" s="2" t="s">
        <v>5403</v>
      </c>
      <c r="T544" s="2" t="s">
        <v>5404</v>
      </c>
      <c r="U544" s="2" t="s">
        <v>5405</v>
      </c>
      <c r="V544" s="2" t="s">
        <v>95</v>
      </c>
      <c r="W544" s="2" t="s">
        <v>96</v>
      </c>
      <c r="X544" s="2" t="s">
        <v>2173</v>
      </c>
      <c r="Y544" s="2" t="s">
        <v>98</v>
      </c>
      <c r="Z544" s="2" t="s">
        <v>99</v>
      </c>
      <c r="AA544" s="2" t="s">
        <v>2174</v>
      </c>
      <c r="AB544" s="2" t="s">
        <v>3086</v>
      </c>
      <c r="AC544" s="2">
        <v>59.52</v>
      </c>
      <c r="AD544" s="2">
        <v>86.76</v>
      </c>
      <c r="AE544" s="2">
        <v>34.53</v>
      </c>
      <c r="AF544" s="2" t="s">
        <v>5406</v>
      </c>
      <c r="AG544" s="2" t="s">
        <v>157</v>
      </c>
      <c r="AH544" s="2" t="s">
        <v>5407</v>
      </c>
      <c r="AI544" s="2">
        <v>1.69</v>
      </c>
      <c r="AJ544" s="2">
        <v>18.067912277262799</v>
      </c>
      <c r="AK544" s="2">
        <v>17.9827894672894</v>
      </c>
      <c r="AL544" s="2">
        <v>17.868641905220102</v>
      </c>
      <c r="AM544" s="2">
        <v>17.9735455830007</v>
      </c>
      <c r="AN544" s="2">
        <v>17.888404899235798</v>
      </c>
      <c r="AO544" s="2">
        <v>17.878569874817199</v>
      </c>
      <c r="AP544" s="2">
        <v>17.9493349856013</v>
      </c>
      <c r="AQ544" s="2">
        <v>18.047018228786101</v>
      </c>
      <c r="AR544" s="2">
        <v>17.1096097042821</v>
      </c>
      <c r="AS544" s="2">
        <v>18.073184883456001</v>
      </c>
      <c r="AT544" s="2">
        <v>18.2293318548865</v>
      </c>
      <c r="AU544" s="2">
        <v>17.6967604227085</v>
      </c>
      <c r="AV544" s="2">
        <v>17.070339219466401</v>
      </c>
      <c r="AW544" s="2">
        <v>17.399653938990301</v>
      </c>
      <c r="AX544" s="2">
        <v>16.4924849197496</v>
      </c>
      <c r="AY544" s="2">
        <v>17.238097365066999</v>
      </c>
      <c r="AZ544" s="2">
        <v>16.948025865325</v>
      </c>
      <c r="BA544" s="2">
        <v>17.6654271793068</v>
      </c>
      <c r="BB544" s="2">
        <v>17.765216612178001</v>
      </c>
      <c r="BC544" s="2">
        <v>17.127614741687399</v>
      </c>
      <c r="BD544" s="2">
        <v>16.604314178937202</v>
      </c>
      <c r="BE544" s="2">
        <v>17.854162065402999</v>
      </c>
      <c r="BF544" s="2">
        <v>17.385605283113101</v>
      </c>
      <c r="BG544" s="2">
        <v>17.636786385096698</v>
      </c>
      <c r="BH544" s="2">
        <v>17.0978876910523</v>
      </c>
      <c r="BI544" s="2">
        <v>18.253738001134298</v>
      </c>
      <c r="BJ544" s="2">
        <v>17.072419456193298</v>
      </c>
      <c r="BK544" s="2">
        <v>17.861563604976901</v>
      </c>
      <c r="BL544" s="2">
        <v>17.804635230827699</v>
      </c>
      <c r="BM544" s="2">
        <v>18.809906922407698</v>
      </c>
      <c r="BN544" s="2">
        <v>17.724486141512902</v>
      </c>
      <c r="BO544" s="2">
        <v>18.223094521475399</v>
      </c>
      <c r="BP544" s="2">
        <v>16.78969550607</v>
      </c>
      <c r="BQ544" s="2">
        <v>17.891220752504498</v>
      </c>
      <c r="BR544" s="2">
        <v>16.966737613578299</v>
      </c>
      <c r="BS544" s="2">
        <v>18.318878254492901</v>
      </c>
      <c r="BT544" s="2">
        <v>17.1148503320107</v>
      </c>
      <c r="BU544" s="2">
        <v>17.515397166391502</v>
      </c>
      <c r="BV544" s="2">
        <v>18.573543754845801</v>
      </c>
      <c r="BW544" s="2">
        <v>17.452515146920799</v>
      </c>
      <c r="BX544" s="2">
        <v>17.178709487194698</v>
      </c>
      <c r="BY544" s="2">
        <v>18.924953587820099</v>
      </c>
      <c r="BZ544" s="2">
        <v>17.5262217534647</v>
      </c>
      <c r="CA544" s="2">
        <v>17.6292770658692</v>
      </c>
      <c r="CB544" s="2">
        <v>17.716997054901899</v>
      </c>
      <c r="CC544" s="2">
        <v>17.757989054524302</v>
      </c>
      <c r="CD544" s="2">
        <v>17.289119583056699</v>
      </c>
      <c r="CE544" s="2">
        <v>17.503552940254799</v>
      </c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</row>
    <row r="545" spans="1:97">
      <c r="A545" s="2" t="s">
        <v>5408</v>
      </c>
      <c r="B545" s="2">
        <v>293.17534999999998</v>
      </c>
      <c r="C545" s="2">
        <v>9.1630000000000003</v>
      </c>
      <c r="D545" s="2" t="s">
        <v>146</v>
      </c>
      <c r="E545" s="2" t="s">
        <v>5409</v>
      </c>
      <c r="F545" s="2" t="s">
        <v>5410</v>
      </c>
      <c r="G545" s="2">
        <v>213394</v>
      </c>
      <c r="H545" s="3" t="str">
        <f>HYPERLINK("https://cloud.oebiotech.com/#/lm/network/213394", "https://cloud.oebiotech.com/#/lm/network/213394")</f>
        <v>https://cloud.oebiotech.com/#/lm/network/213394</v>
      </c>
      <c r="I545" s="2" t="s">
        <v>5411</v>
      </c>
      <c r="J545" s="2"/>
      <c r="K545" s="2"/>
      <c r="L545" s="2">
        <v>90962243</v>
      </c>
      <c r="M545" s="2"/>
      <c r="N545" s="2"/>
      <c r="O545" s="2"/>
      <c r="P545" s="2"/>
      <c r="Q545" s="2"/>
      <c r="R545" s="2"/>
      <c r="S545" s="2"/>
      <c r="T545" s="2" t="s">
        <v>5412</v>
      </c>
      <c r="U545" s="2" t="s">
        <v>5413</v>
      </c>
      <c r="V545" s="2" t="s">
        <v>385</v>
      </c>
      <c r="W545" s="2" t="s">
        <v>386</v>
      </c>
      <c r="X545" s="2" t="s">
        <v>5414</v>
      </c>
      <c r="Y545" s="2" t="s">
        <v>388</v>
      </c>
      <c r="Z545" s="2" t="s">
        <v>389</v>
      </c>
      <c r="AA545" s="2" t="s">
        <v>5415</v>
      </c>
      <c r="AB545" s="2" t="s">
        <v>5118</v>
      </c>
      <c r="AC545" s="2">
        <v>59.47</v>
      </c>
      <c r="AD545" s="2">
        <v>98.12</v>
      </c>
      <c r="AE545" s="2">
        <v>82.95</v>
      </c>
      <c r="AF545" s="2" t="s">
        <v>5416</v>
      </c>
      <c r="AG545" s="2" t="s">
        <v>194</v>
      </c>
      <c r="AH545" s="2" t="s">
        <v>5417</v>
      </c>
      <c r="AI545" s="2">
        <v>1.71</v>
      </c>
      <c r="AJ545" s="2">
        <v>23.365482172063199</v>
      </c>
      <c r="AK545" s="2">
        <v>23.3282093789032</v>
      </c>
      <c r="AL545" s="2">
        <v>23.6173818021052</v>
      </c>
      <c r="AM545" s="2">
        <v>23.496454272379101</v>
      </c>
      <c r="AN545" s="2">
        <v>23.440079181847601</v>
      </c>
      <c r="AO545" s="2">
        <v>23.453528017135302</v>
      </c>
      <c r="AP545" s="2">
        <v>23.476011999578098</v>
      </c>
      <c r="AQ545" s="2">
        <v>23.4214842326693</v>
      </c>
      <c r="AR545" s="2">
        <v>22.298526022681301</v>
      </c>
      <c r="AS545" s="2">
        <v>22.835382538487099</v>
      </c>
      <c r="AT545" s="2">
        <v>22.594341157736299</v>
      </c>
      <c r="AU545" s="2">
        <v>22.0459948235216</v>
      </c>
      <c r="AV545" s="2">
        <v>21.7636538272804</v>
      </c>
      <c r="AW545" s="2">
        <v>23.061604852322098</v>
      </c>
      <c r="AX545" s="2">
        <v>21.3866863085827</v>
      </c>
      <c r="AY545" s="2">
        <v>22.725266850489799</v>
      </c>
      <c r="AZ545" s="2">
        <v>22.473164900663601</v>
      </c>
      <c r="BA545" s="2">
        <v>21.6727537027074</v>
      </c>
      <c r="BB545" s="2">
        <v>22.9116408615258</v>
      </c>
      <c r="BC545" s="2">
        <v>22.8738350618105</v>
      </c>
      <c r="BD545" s="2">
        <v>22.5645457347741</v>
      </c>
      <c r="BE545" s="2">
        <v>22.9397745148772</v>
      </c>
      <c r="BF545" s="2">
        <v>22.584851929984399</v>
      </c>
      <c r="BG545" s="2">
        <v>23.017217407182599</v>
      </c>
      <c r="BH545" s="2">
        <v>22.6518063714386</v>
      </c>
      <c r="BI545" s="2">
        <v>23.106574655521701</v>
      </c>
      <c r="BJ545" s="2">
        <v>21.665746347463799</v>
      </c>
      <c r="BK545" s="2">
        <v>21.767026412065501</v>
      </c>
      <c r="BL545" s="2">
        <v>21.6731947600688</v>
      </c>
      <c r="BM545" s="2">
        <v>21.692531877236799</v>
      </c>
      <c r="BN545" s="2">
        <v>21.294580792627801</v>
      </c>
      <c r="BO545" s="2">
        <v>22.8767889887447</v>
      </c>
      <c r="BP545" s="2">
        <v>21.481894000993599</v>
      </c>
      <c r="BQ545" s="2">
        <v>22.601718162899299</v>
      </c>
      <c r="BR545" s="2">
        <v>22.583431391496401</v>
      </c>
      <c r="BS545" s="2">
        <v>21.5110250095825</v>
      </c>
      <c r="BT545" s="2">
        <v>21.256777814069402</v>
      </c>
      <c r="BU545" s="2">
        <v>22.751673006061601</v>
      </c>
      <c r="BV545" s="2">
        <v>21.662403983864898</v>
      </c>
      <c r="BW545" s="2">
        <v>21.194135598514102</v>
      </c>
      <c r="BX545" s="2">
        <v>21.4660800570535</v>
      </c>
      <c r="BY545" s="2">
        <v>21.793821728965501</v>
      </c>
      <c r="BZ545" s="2">
        <v>23.001774943296802</v>
      </c>
      <c r="CA545" s="2">
        <v>21.397299622155298</v>
      </c>
      <c r="CB545" s="2">
        <v>22.534146163147199</v>
      </c>
      <c r="CC545" s="2">
        <v>21.454453770301399</v>
      </c>
      <c r="CD545" s="2">
        <v>22.631339134639301</v>
      </c>
      <c r="CE545" s="2">
        <v>21.9023888572756</v>
      </c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</row>
    <row r="546" spans="1:97">
      <c r="A546" s="2" t="s">
        <v>5418</v>
      </c>
      <c r="B546" s="2">
        <v>581.45483999999999</v>
      </c>
      <c r="C546" s="2">
        <v>12.874000000000001</v>
      </c>
      <c r="D546" s="2" t="s">
        <v>146</v>
      </c>
      <c r="E546" s="2" t="s">
        <v>5419</v>
      </c>
      <c r="F546" s="2" t="s">
        <v>5420</v>
      </c>
      <c r="G546" s="2">
        <v>78394</v>
      </c>
      <c r="H546" s="3" t="str">
        <f>HYPERLINK("https://cloud.oebiotech.com/#/lm/network/78394", "https://cloud.oebiotech.com/#/lm/network/78394")</f>
        <v>https://cloud.oebiotech.com/#/lm/network/78394</v>
      </c>
      <c r="I546" s="2" t="s">
        <v>5421</v>
      </c>
      <c r="J546" s="2"/>
      <c r="K546" s="2"/>
      <c r="L546" s="2">
        <v>131801733</v>
      </c>
      <c r="M546" s="2"/>
      <c r="N546" s="2"/>
      <c r="O546" s="2"/>
      <c r="P546" s="2"/>
      <c r="Q546" s="2"/>
      <c r="R546" s="2"/>
      <c r="S546" s="2"/>
      <c r="T546" s="2" t="s">
        <v>5422</v>
      </c>
      <c r="U546" s="2" t="s">
        <v>5423</v>
      </c>
      <c r="V546" s="2" t="s">
        <v>95</v>
      </c>
      <c r="W546" s="2" t="s">
        <v>96</v>
      </c>
      <c r="X546" s="2" t="s">
        <v>3216</v>
      </c>
      <c r="Y546" s="2" t="s">
        <v>98</v>
      </c>
      <c r="Z546" s="2" t="s">
        <v>99</v>
      </c>
      <c r="AA546" s="2" t="s">
        <v>3217</v>
      </c>
      <c r="AB546" s="2" t="s">
        <v>101</v>
      </c>
      <c r="AC546" s="2">
        <v>59.44</v>
      </c>
      <c r="AD546" s="2">
        <v>73.58</v>
      </c>
      <c r="AE546" s="2">
        <v>59.69</v>
      </c>
      <c r="AF546" s="2" t="s">
        <v>5424</v>
      </c>
      <c r="AG546" s="2" t="s">
        <v>993</v>
      </c>
      <c r="AH546" s="2" t="s">
        <v>5425</v>
      </c>
      <c r="AI546" s="2">
        <v>3.78</v>
      </c>
      <c r="AJ546" s="2">
        <v>17.749516263722501</v>
      </c>
      <c r="AK546" s="2">
        <v>17.4735521317041</v>
      </c>
      <c r="AL546" s="2">
        <v>17.0201577529477</v>
      </c>
      <c r="AM546" s="2">
        <v>17.521106268850399</v>
      </c>
      <c r="AN546" s="2">
        <v>17.358444564393899</v>
      </c>
      <c r="AO546" s="2">
        <v>17.253529441870501</v>
      </c>
      <c r="AP546" s="2">
        <v>16.896343757708699</v>
      </c>
      <c r="AQ546" s="2">
        <v>17.064354382010801</v>
      </c>
      <c r="AR546" s="2">
        <v>13.3169305984856</v>
      </c>
      <c r="AS546" s="2">
        <v>16.531595594669099</v>
      </c>
      <c r="AT546" s="2">
        <v>17.363466360999201</v>
      </c>
      <c r="AU546" s="2">
        <v>16.723993905339199</v>
      </c>
      <c r="AV546" s="2">
        <v>15.8537232961014</v>
      </c>
      <c r="AW546" s="2">
        <v>17.280019110283799</v>
      </c>
      <c r="AX546" s="2">
        <v>17.6690945358988</v>
      </c>
      <c r="AY546" s="2">
        <v>15.7163304973047</v>
      </c>
      <c r="AZ546" s="2">
        <v>12.837649612851999</v>
      </c>
      <c r="BA546" s="2">
        <v>17.6129678173454</v>
      </c>
      <c r="BB546" s="2">
        <v>16.542669469259799</v>
      </c>
      <c r="BC546" s="2">
        <v>17.762918303686</v>
      </c>
      <c r="BD546" s="2">
        <v>9.6233145402724691</v>
      </c>
      <c r="BE546" s="2">
        <v>13.683872964895</v>
      </c>
      <c r="BF546" s="2">
        <v>16.362501908437501</v>
      </c>
      <c r="BG546" s="2">
        <v>17.312850612664899</v>
      </c>
      <c r="BH546" s="2">
        <v>11.420744495857701</v>
      </c>
      <c r="BI546" s="2">
        <v>17.646739471646001</v>
      </c>
      <c r="BJ546" s="2">
        <v>15.708706984226501</v>
      </c>
      <c r="BK546" s="2">
        <v>13.300687167279101</v>
      </c>
      <c r="BL546" s="2">
        <v>17.8199454805752</v>
      </c>
      <c r="BM546" s="2">
        <v>15.3354531641595</v>
      </c>
      <c r="BN546" s="2">
        <v>15.376854558422901</v>
      </c>
      <c r="BO546" s="2">
        <v>17.033332335526602</v>
      </c>
      <c r="BP546" s="2">
        <v>17.9579667847953</v>
      </c>
      <c r="BQ546" s="2">
        <v>17.800087763707701</v>
      </c>
      <c r="BR546" s="2">
        <v>17.795336232595901</v>
      </c>
      <c r="BS546" s="2">
        <v>15.6093975041333</v>
      </c>
      <c r="BT546" s="2">
        <v>17.320268270083101</v>
      </c>
      <c r="BU546" s="2">
        <v>17.6037696164504</v>
      </c>
      <c r="BV546" s="2">
        <v>18.1018750586606</v>
      </c>
      <c r="BW546" s="2">
        <v>16.440837219086799</v>
      </c>
      <c r="BX546" s="2">
        <v>16.832127409812401</v>
      </c>
      <c r="BY546" s="2">
        <v>13.5511002023764</v>
      </c>
      <c r="BZ546" s="2">
        <v>17.208860942454098</v>
      </c>
      <c r="CA546" s="2">
        <v>14.3355334167197</v>
      </c>
      <c r="CB546" s="2">
        <v>17.229883693778799</v>
      </c>
      <c r="CC546" s="2">
        <v>17.539995489730899</v>
      </c>
      <c r="CD546" s="2">
        <v>16.8153760402882</v>
      </c>
      <c r="CE546" s="2">
        <v>18.354330532980999</v>
      </c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</row>
    <row r="547" spans="1:97">
      <c r="A547" s="2" t="s">
        <v>5426</v>
      </c>
      <c r="B547" s="2">
        <v>205.03476000000001</v>
      </c>
      <c r="C547" s="2">
        <v>0.9</v>
      </c>
      <c r="D547" s="2" t="s">
        <v>146</v>
      </c>
      <c r="E547" s="2" t="s">
        <v>5427</v>
      </c>
      <c r="F547" s="2" t="s">
        <v>5428</v>
      </c>
      <c r="G547" s="2">
        <v>2924</v>
      </c>
      <c r="H547" s="3" t="str">
        <f>HYPERLINK("https://cloud.oebiotech.com/#/lm/network/2924", "https://cloud.oebiotech.com/#/lm/network/2924")</f>
        <v>https://cloud.oebiotech.com/#/lm/network/2924</v>
      </c>
      <c r="I547" s="2" t="s">
        <v>5429</v>
      </c>
      <c r="J547" s="2">
        <v>322</v>
      </c>
      <c r="K547" s="2" t="s">
        <v>5430</v>
      </c>
      <c r="L547" s="2">
        <v>71</v>
      </c>
      <c r="M547" s="2" t="s">
        <v>5431</v>
      </c>
      <c r="N547" s="2" t="s">
        <v>5432</v>
      </c>
      <c r="O547" s="2" t="s">
        <v>5433</v>
      </c>
      <c r="P547" s="2">
        <v>15753</v>
      </c>
      <c r="Q547" s="2" t="s">
        <v>5434</v>
      </c>
      <c r="R547" s="2" t="s">
        <v>5435</v>
      </c>
      <c r="S547" s="2" t="s">
        <v>5436</v>
      </c>
      <c r="T547" s="2" t="s">
        <v>5437</v>
      </c>
      <c r="U547" s="2" t="s">
        <v>5438</v>
      </c>
      <c r="V547" s="2" t="s">
        <v>115</v>
      </c>
      <c r="W547" s="2" t="s">
        <v>403</v>
      </c>
      <c r="X547" s="2" t="s">
        <v>2031</v>
      </c>
      <c r="Y547" s="2" t="s">
        <v>118</v>
      </c>
      <c r="Z547" s="2" t="s">
        <v>405</v>
      </c>
      <c r="AA547" s="2" t="s">
        <v>2032</v>
      </c>
      <c r="AB547" s="2" t="s">
        <v>3086</v>
      </c>
      <c r="AC547" s="2">
        <v>59.32</v>
      </c>
      <c r="AD547" s="2">
        <v>95.17</v>
      </c>
      <c r="AE547" s="2">
        <v>39.06</v>
      </c>
      <c r="AF547" s="2" t="s">
        <v>5439</v>
      </c>
      <c r="AG547" s="2" t="s">
        <v>157</v>
      </c>
      <c r="AH547" s="2" t="s">
        <v>5440</v>
      </c>
      <c r="AI547" s="2">
        <v>2.93</v>
      </c>
      <c r="AJ547" s="2">
        <v>20.996856311758702</v>
      </c>
      <c r="AK547" s="2">
        <v>21.114726769390401</v>
      </c>
      <c r="AL547" s="2">
        <v>21.0973504910645</v>
      </c>
      <c r="AM547" s="2">
        <v>20.9354093814134</v>
      </c>
      <c r="AN547" s="2">
        <v>20.6103672653683</v>
      </c>
      <c r="AO547" s="2">
        <v>20.668220346075799</v>
      </c>
      <c r="AP547" s="2">
        <v>20.595653507771601</v>
      </c>
      <c r="AQ547" s="2">
        <v>20.914035292842399</v>
      </c>
      <c r="AR547" s="2">
        <v>19.950753070082399</v>
      </c>
      <c r="AS547" s="2">
        <v>19.4917722007607</v>
      </c>
      <c r="AT547" s="2">
        <v>18.753273233951401</v>
      </c>
      <c r="AU547" s="2">
        <v>19.938671089266698</v>
      </c>
      <c r="AV547" s="2">
        <v>20.259772900469201</v>
      </c>
      <c r="AW547" s="2">
        <v>20.387396497280001</v>
      </c>
      <c r="AX547" s="2">
        <v>20.354607692847601</v>
      </c>
      <c r="AY547" s="2">
        <v>20.663358701513701</v>
      </c>
      <c r="AZ547" s="2">
        <v>20.7069851906409</v>
      </c>
      <c r="BA547" s="2">
        <v>19.822598712694202</v>
      </c>
      <c r="BB547" s="2">
        <v>21.275895568803101</v>
      </c>
      <c r="BC547" s="2">
        <v>22.019992851758001</v>
      </c>
      <c r="BD547" s="2">
        <v>20.4228712488142</v>
      </c>
      <c r="BE547" s="2">
        <v>20.967200959261799</v>
      </c>
      <c r="BF547" s="2">
        <v>20.170158328633999</v>
      </c>
      <c r="BG547" s="2">
        <v>20.776877396353498</v>
      </c>
      <c r="BH547" s="2">
        <v>20.6385667555307</v>
      </c>
      <c r="BI547" s="2">
        <v>20.526521465867901</v>
      </c>
      <c r="BJ547" s="2">
        <v>20.2905991850253</v>
      </c>
      <c r="BK547" s="2">
        <v>20.688679177334699</v>
      </c>
      <c r="BL547" s="2">
        <v>20.257658486074199</v>
      </c>
      <c r="BM547" s="2">
        <v>21.103514710206099</v>
      </c>
      <c r="BN547" s="2">
        <v>21.036420367174198</v>
      </c>
      <c r="BO547" s="2">
        <v>20.466359375382702</v>
      </c>
      <c r="BP547" s="2">
        <v>20.490233911091799</v>
      </c>
      <c r="BQ547" s="2">
        <v>20.904762267921399</v>
      </c>
      <c r="BR547" s="2">
        <v>20.335617197374201</v>
      </c>
      <c r="BS547" s="2">
        <v>20.489427105822202</v>
      </c>
      <c r="BT547" s="2">
        <v>21.818421192433402</v>
      </c>
      <c r="BU547" s="2">
        <v>19.4833644315732</v>
      </c>
      <c r="BV547" s="2">
        <v>20.848173823814399</v>
      </c>
      <c r="BW547" s="2">
        <v>20.785164173342999</v>
      </c>
      <c r="BX547" s="2">
        <v>21.107057938524701</v>
      </c>
      <c r="BY547" s="2">
        <v>21.2758318565153</v>
      </c>
      <c r="BZ547" s="2">
        <v>21.506396087551</v>
      </c>
      <c r="CA547" s="2">
        <v>20.9993153603839</v>
      </c>
      <c r="CB547" s="2">
        <v>20.230352077235999</v>
      </c>
      <c r="CC547" s="2">
        <v>20.080862421197502</v>
      </c>
      <c r="CD547" s="2">
        <v>20.447409775335501</v>
      </c>
      <c r="CE547" s="2">
        <v>20.491873730431301</v>
      </c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</row>
    <row r="548" spans="1:97">
      <c r="A548" s="2" t="s">
        <v>5441</v>
      </c>
      <c r="B548" s="2">
        <v>245.18546000000001</v>
      </c>
      <c r="C548" s="2">
        <v>4.18</v>
      </c>
      <c r="D548" s="2" t="s">
        <v>84</v>
      </c>
      <c r="E548" s="2" t="s">
        <v>5442</v>
      </c>
      <c r="F548" s="2" t="s">
        <v>5443</v>
      </c>
      <c r="G548" s="2">
        <v>53935</v>
      </c>
      <c r="H548" s="3" t="str">
        <f>HYPERLINK("https://cloud.oebiotech.com/#/lm/network/53935", "https://cloud.oebiotech.com/#/lm/network/53935")</f>
        <v>https://cloud.oebiotech.com/#/lm/network/53935</v>
      </c>
      <c r="I548" s="2" t="s">
        <v>5444</v>
      </c>
      <c r="J548" s="2"/>
      <c r="K548" s="2"/>
      <c r="L548" s="2">
        <v>13817313</v>
      </c>
      <c r="M548" s="2"/>
      <c r="N548" s="2"/>
      <c r="O548" s="2"/>
      <c r="P548" s="2"/>
      <c r="Q548" s="2"/>
      <c r="R548" s="2"/>
      <c r="S548" s="2"/>
      <c r="T548" s="2" t="s">
        <v>5445</v>
      </c>
      <c r="U548" s="2" t="s">
        <v>5446</v>
      </c>
      <c r="V548" s="2" t="s">
        <v>115</v>
      </c>
      <c r="W548" s="2" t="s">
        <v>116</v>
      </c>
      <c r="X548" s="2" t="s">
        <v>117</v>
      </c>
      <c r="Y548" s="2" t="s">
        <v>118</v>
      </c>
      <c r="Z548" s="2" t="s">
        <v>119</v>
      </c>
      <c r="AA548" s="2" t="s">
        <v>120</v>
      </c>
      <c r="AB548" s="2" t="s">
        <v>3086</v>
      </c>
      <c r="AC548" s="2">
        <v>59.09</v>
      </c>
      <c r="AD548" s="2">
        <v>92.17</v>
      </c>
      <c r="AE548" s="2">
        <v>31.457142857142902</v>
      </c>
      <c r="AF548" s="2" t="s">
        <v>5447</v>
      </c>
      <c r="AG548" s="2" t="s">
        <v>103</v>
      </c>
      <c r="AH548" s="2" t="s">
        <v>5448</v>
      </c>
      <c r="AI548" s="2">
        <v>2.04</v>
      </c>
      <c r="AJ548" s="2">
        <v>19.853622445559601</v>
      </c>
      <c r="AK548" s="2">
        <v>20.023843051935</v>
      </c>
      <c r="AL548" s="2">
        <v>19.800531727274599</v>
      </c>
      <c r="AM548" s="2">
        <v>20.2130308538433</v>
      </c>
      <c r="AN548" s="2">
        <v>19.864336956669302</v>
      </c>
      <c r="AO548" s="2">
        <v>19.8865048390103</v>
      </c>
      <c r="AP548" s="2">
        <v>19.826106623445899</v>
      </c>
      <c r="AQ548" s="2">
        <v>19.676699019720001</v>
      </c>
      <c r="AR548" s="2">
        <v>19.372703040224501</v>
      </c>
      <c r="AS548" s="2">
        <v>19.019319649220801</v>
      </c>
      <c r="AT548" s="2">
        <v>19.1239110246716</v>
      </c>
      <c r="AU548" s="2">
        <v>19.0566356513974</v>
      </c>
      <c r="AV548" s="2">
        <v>19.698934053835998</v>
      </c>
      <c r="AW548" s="2">
        <v>20.358337757692301</v>
      </c>
      <c r="AX548" s="2">
        <v>18.932650415707801</v>
      </c>
      <c r="AY548" s="2">
        <v>19.523662718220201</v>
      </c>
      <c r="AZ548" s="2">
        <v>20.149905002372002</v>
      </c>
      <c r="BA548" s="2">
        <v>19.5192436895551</v>
      </c>
      <c r="BB548" s="2">
        <v>20.086261606177501</v>
      </c>
      <c r="BC548" s="2">
        <v>19.849657440548899</v>
      </c>
      <c r="BD548" s="2">
        <v>19.089475464467998</v>
      </c>
      <c r="BE548" s="2">
        <v>20.587061711009898</v>
      </c>
      <c r="BF548" s="2">
        <v>19.5485877404356</v>
      </c>
      <c r="BG548" s="2">
        <v>19.992443649485999</v>
      </c>
      <c r="BH548" s="2">
        <v>20.073804154253999</v>
      </c>
      <c r="BI548" s="2">
        <v>18.318015171365602</v>
      </c>
      <c r="BJ548" s="2">
        <v>19.536996034157902</v>
      </c>
      <c r="BK548" s="2">
        <v>19.580760781894899</v>
      </c>
      <c r="BL548" s="2">
        <v>19.965980444038198</v>
      </c>
      <c r="BM548" s="2">
        <v>20.509081074267002</v>
      </c>
      <c r="BN548" s="2">
        <v>20.383284825503299</v>
      </c>
      <c r="BO548" s="2">
        <v>19.8487462199665</v>
      </c>
      <c r="BP548" s="2">
        <v>19.548823131119399</v>
      </c>
      <c r="BQ548" s="2">
        <v>20.1407112401284</v>
      </c>
      <c r="BR548" s="2">
        <v>19.753719908156</v>
      </c>
      <c r="BS548" s="2">
        <v>19.827919788397999</v>
      </c>
      <c r="BT548" s="2">
        <v>19.6094154144904</v>
      </c>
      <c r="BU548" s="2">
        <v>19.233220594391302</v>
      </c>
      <c r="BV548" s="2">
        <v>20.2717030535951</v>
      </c>
      <c r="BW548" s="2">
        <v>18.991953856948601</v>
      </c>
      <c r="BX548" s="2">
        <v>19.960748248356101</v>
      </c>
      <c r="BY548" s="2">
        <v>21.008862355698099</v>
      </c>
      <c r="BZ548" s="2">
        <v>19.670953587629398</v>
      </c>
      <c r="CA548" s="2">
        <v>20.0544766054789</v>
      </c>
      <c r="CB548" s="2">
        <v>19.565262691253</v>
      </c>
      <c r="CC548" s="2">
        <v>18.7685177970098</v>
      </c>
      <c r="CD548" s="2">
        <v>19.825571559405301</v>
      </c>
      <c r="CE548" s="2">
        <v>19.8759846657384</v>
      </c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</row>
    <row r="549" spans="1:97">
      <c r="A549" s="2" t="s">
        <v>5449</v>
      </c>
      <c r="B549" s="2">
        <v>526.24739999999997</v>
      </c>
      <c r="C549" s="2">
        <v>5.9850000000000003</v>
      </c>
      <c r="D549" s="2" t="s">
        <v>146</v>
      </c>
      <c r="E549" s="2" t="s">
        <v>5450</v>
      </c>
      <c r="F549" s="2" t="s">
        <v>5451</v>
      </c>
      <c r="G549" s="2">
        <v>47970</v>
      </c>
      <c r="H549" s="3" t="str">
        <f>HYPERLINK("https://cloud.oebiotech.com/#/lm/network/47970", "https://cloud.oebiotech.com/#/lm/network/47970")</f>
        <v>https://cloud.oebiotech.com/#/lm/network/47970</v>
      </c>
      <c r="I549" s="2" t="s">
        <v>5452</v>
      </c>
      <c r="J549" s="2">
        <v>6730</v>
      </c>
      <c r="K549" s="2"/>
      <c r="L549" s="2">
        <v>21252319</v>
      </c>
      <c r="M549" s="2"/>
      <c r="N549" s="2"/>
      <c r="O549" s="2"/>
      <c r="P549" s="2"/>
      <c r="Q549" s="2"/>
      <c r="R549" s="2"/>
      <c r="S549" s="2" t="s">
        <v>5453</v>
      </c>
      <c r="T549" s="2" t="s">
        <v>5454</v>
      </c>
      <c r="U549" s="2" t="s">
        <v>5455</v>
      </c>
      <c r="V549" s="2" t="s">
        <v>95</v>
      </c>
      <c r="W549" s="2" t="s">
        <v>152</v>
      </c>
      <c r="X549" s="2" t="s">
        <v>278</v>
      </c>
      <c r="Y549" s="2" t="s">
        <v>98</v>
      </c>
      <c r="Z549" s="2" t="s">
        <v>154</v>
      </c>
      <c r="AA549" s="2" t="s">
        <v>279</v>
      </c>
      <c r="AB549" s="2" t="s">
        <v>3086</v>
      </c>
      <c r="AC549" s="2">
        <v>58.92</v>
      </c>
      <c r="AD549" s="2">
        <v>77.59</v>
      </c>
      <c r="AE549" s="2">
        <v>40.96</v>
      </c>
      <c r="AF549" s="2" t="s">
        <v>5456</v>
      </c>
      <c r="AG549" s="2" t="s">
        <v>993</v>
      </c>
      <c r="AH549" s="2" t="s">
        <v>5457</v>
      </c>
      <c r="AI549" s="2">
        <v>0</v>
      </c>
      <c r="AJ549" s="2">
        <v>17.643664639568001</v>
      </c>
      <c r="AK549" s="2">
        <v>18.0770218530491</v>
      </c>
      <c r="AL549" s="2">
        <v>18.127666224456501</v>
      </c>
      <c r="AM549" s="2">
        <v>17.8484146798212</v>
      </c>
      <c r="AN549" s="2">
        <v>17.988993387463999</v>
      </c>
      <c r="AO549" s="2">
        <v>18.012786939843998</v>
      </c>
      <c r="AP549" s="2">
        <v>17.769529567352599</v>
      </c>
      <c r="AQ549" s="2">
        <v>17.6872700775106</v>
      </c>
      <c r="AR549" s="2">
        <v>17.471786095087602</v>
      </c>
      <c r="AS549" s="2">
        <v>13.973507242298499</v>
      </c>
      <c r="AT549" s="2">
        <v>16.985966424547499</v>
      </c>
      <c r="AU549" s="2">
        <v>16.607941422285201</v>
      </c>
      <c r="AV549" s="2">
        <v>18.406744660929501</v>
      </c>
      <c r="AW549" s="2">
        <v>17.323727083545801</v>
      </c>
      <c r="AX549" s="2">
        <v>17.396881681418499</v>
      </c>
      <c r="AY549" s="2">
        <v>17.587727934551999</v>
      </c>
      <c r="AZ549" s="2">
        <v>16.399883371496699</v>
      </c>
      <c r="BA549" s="2">
        <v>17.142910768818901</v>
      </c>
      <c r="BB549" s="2">
        <v>17.423156954920099</v>
      </c>
      <c r="BC549" s="2">
        <v>18.571885601760801</v>
      </c>
      <c r="BD549" s="2">
        <v>16.7830207252678</v>
      </c>
      <c r="BE549" s="2">
        <v>17.521747722659001</v>
      </c>
      <c r="BF549" s="2">
        <v>17.3337114565762</v>
      </c>
      <c r="BG549" s="2">
        <v>17.365845762732601</v>
      </c>
      <c r="BH549" s="2">
        <v>16.219952175423199</v>
      </c>
      <c r="BI549" s="2">
        <v>19.093308047875301</v>
      </c>
      <c r="BJ549" s="2">
        <v>18.976410963183401</v>
      </c>
      <c r="BK549" s="2">
        <v>17.199252782067202</v>
      </c>
      <c r="BL549" s="2">
        <v>17.7937069992592</v>
      </c>
      <c r="BM549" s="2">
        <v>15.926933658862501</v>
      </c>
      <c r="BN549" s="2">
        <v>18.142728178145699</v>
      </c>
      <c r="BO549" s="2">
        <v>16.7219428021575</v>
      </c>
      <c r="BP549" s="2">
        <v>18.3113631766122</v>
      </c>
      <c r="BQ549" s="2">
        <v>17.4368040008594</v>
      </c>
      <c r="BR549" s="2">
        <v>18.8450129430354</v>
      </c>
      <c r="BS549" s="2">
        <v>17.690234425870798</v>
      </c>
      <c r="BT549" s="2">
        <v>16.8058107413305</v>
      </c>
      <c r="BU549" s="2">
        <v>18.009764006866899</v>
      </c>
      <c r="BV549" s="2">
        <v>17.689164750766501</v>
      </c>
      <c r="BW549" s="2">
        <v>18.268015358145401</v>
      </c>
      <c r="BX549" s="2">
        <v>17.750505493052</v>
      </c>
      <c r="BY549" s="2">
        <v>18.543658277827301</v>
      </c>
      <c r="BZ549" s="2">
        <v>17.450500377280999</v>
      </c>
      <c r="CA549" s="2">
        <v>17.646080226210799</v>
      </c>
      <c r="CB549" s="2">
        <v>17.7706217629432</v>
      </c>
      <c r="CC549" s="2">
        <v>18.270624339874299</v>
      </c>
      <c r="CD549" s="2">
        <v>19.3498105991053</v>
      </c>
      <c r="CE549" s="2">
        <v>18.1129522639249</v>
      </c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</row>
    <row r="550" spans="1:97">
      <c r="A550" s="2" t="s">
        <v>5458</v>
      </c>
      <c r="B550" s="2">
        <v>439.37849999999997</v>
      </c>
      <c r="C550" s="2">
        <v>13.673</v>
      </c>
      <c r="D550" s="2" t="s">
        <v>146</v>
      </c>
      <c r="E550" s="2" t="s">
        <v>5459</v>
      </c>
      <c r="F550" s="2" t="s">
        <v>5460</v>
      </c>
      <c r="G550" s="2">
        <v>7802</v>
      </c>
      <c r="H550" s="3" t="str">
        <f>HYPERLINK("https://cloud.oebiotech.com/#/lm/network/7802", "https://cloud.oebiotech.com/#/lm/network/7802")</f>
        <v>https://cloud.oebiotech.com/#/lm/network/7802</v>
      </c>
      <c r="I550" s="2"/>
      <c r="J550" s="2">
        <v>97414</v>
      </c>
      <c r="K550" s="2" t="s">
        <v>5461</v>
      </c>
      <c r="L550" s="2">
        <v>24770810</v>
      </c>
      <c r="M550" s="2"/>
      <c r="N550" s="2"/>
      <c r="O550" s="2"/>
      <c r="P550" s="2"/>
      <c r="Q550" s="2"/>
      <c r="R550" s="2"/>
      <c r="S550" s="2"/>
      <c r="T550" s="2" t="s">
        <v>5462</v>
      </c>
      <c r="U550" s="2" t="s">
        <v>5463</v>
      </c>
      <c r="V550" s="2" t="s">
        <v>845</v>
      </c>
      <c r="W550" s="2" t="s">
        <v>1982</v>
      </c>
      <c r="X550" s="2" t="s">
        <v>375</v>
      </c>
      <c r="Y550" s="2" t="s">
        <v>847</v>
      </c>
      <c r="Z550" s="2" t="s">
        <v>1983</v>
      </c>
      <c r="AA550" s="2"/>
      <c r="AB550" s="2" t="s">
        <v>3086</v>
      </c>
      <c r="AC550" s="2">
        <v>58.85</v>
      </c>
      <c r="AD550" s="2">
        <v>81.63</v>
      </c>
      <c r="AE550" s="2">
        <v>31.52</v>
      </c>
      <c r="AF550" s="2" t="s">
        <v>5464</v>
      </c>
      <c r="AG550" s="2" t="s">
        <v>157</v>
      </c>
      <c r="AH550" s="2" t="s">
        <v>5465</v>
      </c>
      <c r="AI550" s="2">
        <v>1.82</v>
      </c>
      <c r="AJ550" s="2">
        <v>20.195923026120202</v>
      </c>
      <c r="AK550" s="2">
        <v>19.863385717049098</v>
      </c>
      <c r="AL550" s="2">
        <v>19.587580057953701</v>
      </c>
      <c r="AM550" s="2">
        <v>19.285643176243099</v>
      </c>
      <c r="AN550" s="2">
        <v>19.823488513864501</v>
      </c>
      <c r="AO550" s="2">
        <v>19.163424581285799</v>
      </c>
      <c r="AP550" s="2">
        <v>19.894112972654401</v>
      </c>
      <c r="AQ550" s="2">
        <v>19.6172203562049</v>
      </c>
      <c r="AR550" s="2">
        <v>18.229137344382401</v>
      </c>
      <c r="AS550" s="2">
        <v>19.172225953648201</v>
      </c>
      <c r="AT550" s="2">
        <v>19.4760469720487</v>
      </c>
      <c r="AU550" s="2">
        <v>18.418034463390001</v>
      </c>
      <c r="AV550" s="2">
        <v>18.482499564715798</v>
      </c>
      <c r="AW550" s="2">
        <v>18.937470462947001</v>
      </c>
      <c r="AX550" s="2">
        <v>18.4703600688173</v>
      </c>
      <c r="AY550" s="2">
        <v>19.612616549939698</v>
      </c>
      <c r="AZ550" s="2">
        <v>18.439636203741198</v>
      </c>
      <c r="BA550" s="2">
        <v>19.241255978763199</v>
      </c>
      <c r="BB550" s="2">
        <v>19.204635020106601</v>
      </c>
      <c r="BC550" s="2">
        <v>19.9253793367402</v>
      </c>
      <c r="BD550" s="2">
        <v>18.550398129525501</v>
      </c>
      <c r="BE550" s="2">
        <v>20.197907983645401</v>
      </c>
      <c r="BF550" s="2">
        <v>17.519297236802402</v>
      </c>
      <c r="BG550" s="2">
        <v>19.0275106727746</v>
      </c>
      <c r="BH550" s="2">
        <v>18.263516610454101</v>
      </c>
      <c r="BI550" s="2">
        <v>18.552265887092702</v>
      </c>
      <c r="BJ550" s="2">
        <v>19.849361390584502</v>
      </c>
      <c r="BK550" s="2">
        <v>17.579155850250501</v>
      </c>
      <c r="BL550" s="2">
        <v>19.004346587971401</v>
      </c>
      <c r="BM550" s="2">
        <v>19.1258683276121</v>
      </c>
      <c r="BN550" s="2">
        <v>18.675351017578201</v>
      </c>
      <c r="BO550" s="2">
        <v>19.503553134352298</v>
      </c>
      <c r="BP550" s="2">
        <v>18.890005815348999</v>
      </c>
      <c r="BQ550" s="2">
        <v>18.7821293660751</v>
      </c>
      <c r="BR550" s="2">
        <v>18.0175769842253</v>
      </c>
      <c r="BS550" s="2">
        <v>19.4273570027487</v>
      </c>
      <c r="BT550" s="2">
        <v>18.889899851685399</v>
      </c>
      <c r="BU550" s="2">
        <v>19.9166283128624</v>
      </c>
      <c r="BV550" s="2">
        <v>19.680416719034799</v>
      </c>
      <c r="BW550" s="2">
        <v>18.402518893081101</v>
      </c>
      <c r="BX550" s="2">
        <v>19.015032847659299</v>
      </c>
      <c r="BY550" s="2">
        <v>20.2457220290657</v>
      </c>
      <c r="BZ550" s="2">
        <v>18.062408948371701</v>
      </c>
      <c r="CA550" s="2">
        <v>18.147848096400001</v>
      </c>
      <c r="CB550" s="2">
        <v>19.066951452317699</v>
      </c>
      <c r="CC550" s="2">
        <v>18.380555466598398</v>
      </c>
      <c r="CD550" s="2">
        <v>20.377454839479402</v>
      </c>
      <c r="CE550" s="2">
        <v>19.2185469656708</v>
      </c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</row>
    <row r="551" spans="1:97">
      <c r="A551" s="2" t="s">
        <v>5466</v>
      </c>
      <c r="B551" s="2">
        <v>256.11516</v>
      </c>
      <c r="C551" s="2">
        <v>4.1440000000000001</v>
      </c>
      <c r="D551" s="2" t="s">
        <v>84</v>
      </c>
      <c r="E551" s="2" t="s">
        <v>5467</v>
      </c>
      <c r="F551" s="2" t="s">
        <v>5468</v>
      </c>
      <c r="G551" s="2">
        <v>201663</v>
      </c>
      <c r="H551" s="3" t="str">
        <f>HYPERLINK("https://cloud.oebiotech.com/#/lm/network/201663", "https://cloud.oebiotech.com/#/lm/network/201663")</f>
        <v>https://cloud.oebiotech.com/#/lm/network/201663</v>
      </c>
      <c r="I551" s="2" t="s">
        <v>5469</v>
      </c>
      <c r="J551" s="2"/>
      <c r="K551" s="2"/>
      <c r="L551" s="2">
        <v>2527</v>
      </c>
      <c r="M551" s="2"/>
      <c r="N551" s="2"/>
      <c r="O551" s="2"/>
      <c r="P551" s="2"/>
      <c r="Q551" s="2"/>
      <c r="R551" s="2"/>
      <c r="S551" s="2"/>
      <c r="T551" s="2" t="s">
        <v>5470</v>
      </c>
      <c r="U551" s="2" t="s">
        <v>5471</v>
      </c>
      <c r="V551" s="2" t="s">
        <v>115</v>
      </c>
      <c r="W551" s="2" t="s">
        <v>116</v>
      </c>
      <c r="X551" s="2" t="s">
        <v>117</v>
      </c>
      <c r="Y551" s="2" t="s">
        <v>118</v>
      </c>
      <c r="Z551" s="2" t="s">
        <v>119</v>
      </c>
      <c r="AA551" s="2" t="s">
        <v>120</v>
      </c>
      <c r="AB551" s="2" t="s">
        <v>101</v>
      </c>
      <c r="AC551" s="2">
        <v>58.77</v>
      </c>
      <c r="AD551" s="2">
        <v>74.150000000000006</v>
      </c>
      <c r="AE551" s="2">
        <v>51.66</v>
      </c>
      <c r="AF551" s="2" t="s">
        <v>5472</v>
      </c>
      <c r="AG551" s="2" t="s">
        <v>1578</v>
      </c>
      <c r="AH551" s="2" t="s">
        <v>5473</v>
      </c>
      <c r="AI551" s="2">
        <v>1.17</v>
      </c>
      <c r="AJ551" s="2">
        <v>19.229084052472398</v>
      </c>
      <c r="AK551" s="2">
        <v>19.276444572237601</v>
      </c>
      <c r="AL551" s="2">
        <v>19.247549985667501</v>
      </c>
      <c r="AM551" s="2">
        <v>19.534032728050398</v>
      </c>
      <c r="AN551" s="2">
        <v>19.466756847155199</v>
      </c>
      <c r="AO551" s="2">
        <v>19.457325504743501</v>
      </c>
      <c r="AP551" s="2">
        <v>19.4766937233709</v>
      </c>
      <c r="AQ551" s="2">
        <v>19.509697987260601</v>
      </c>
      <c r="AR551" s="2">
        <v>18.711891537065899</v>
      </c>
      <c r="AS551" s="2">
        <v>19.6460692538183</v>
      </c>
      <c r="AT551" s="2">
        <v>18.506307542354801</v>
      </c>
      <c r="AU551" s="2">
        <v>18.617031085356999</v>
      </c>
      <c r="AV551" s="2">
        <v>18.236464262953501</v>
      </c>
      <c r="AW551" s="2">
        <v>19.026178515651502</v>
      </c>
      <c r="AX551" s="2">
        <v>19.293846373973601</v>
      </c>
      <c r="AY551" s="2">
        <v>18.257641925515699</v>
      </c>
      <c r="AZ551" s="2">
        <v>18.145279908683101</v>
      </c>
      <c r="BA551" s="2">
        <v>18.442028323093599</v>
      </c>
      <c r="BB551" s="2">
        <v>20.202735828062401</v>
      </c>
      <c r="BC551" s="2">
        <v>18.890119105892499</v>
      </c>
      <c r="BD551" s="2">
        <v>18.6883149625545</v>
      </c>
      <c r="BE551" s="2">
        <v>19.2414529124704</v>
      </c>
      <c r="BF551" s="2">
        <v>18.1766959845503</v>
      </c>
      <c r="BG551" s="2">
        <v>18.920755893448199</v>
      </c>
      <c r="BH551" s="2">
        <v>19.587569217468101</v>
      </c>
      <c r="BI551" s="2">
        <v>18.728701607605</v>
      </c>
      <c r="BJ551" s="2">
        <v>18.3333440189292</v>
      </c>
      <c r="BK551" s="2">
        <v>17.682428177410401</v>
      </c>
      <c r="BL551" s="2">
        <v>18.655432403783198</v>
      </c>
      <c r="BM551" s="2">
        <v>19.6257395527957</v>
      </c>
      <c r="BN551" s="2">
        <v>18.587687872404</v>
      </c>
      <c r="BO551" s="2">
        <v>20.332393042146599</v>
      </c>
      <c r="BP551" s="2">
        <v>19.017676827616199</v>
      </c>
      <c r="BQ551" s="2">
        <v>18.8828828975326</v>
      </c>
      <c r="BR551" s="2">
        <v>17.319046697609402</v>
      </c>
      <c r="BS551" s="2">
        <v>19.114937872158698</v>
      </c>
      <c r="BT551" s="2">
        <v>20.4587882225538</v>
      </c>
      <c r="BU551" s="2">
        <v>18.749720578957199</v>
      </c>
      <c r="BV551" s="2">
        <v>20.345721230488799</v>
      </c>
      <c r="BW551" s="2">
        <v>18.1163880293741</v>
      </c>
      <c r="BX551" s="2">
        <v>18.689608071229401</v>
      </c>
      <c r="BY551" s="2">
        <v>20.523056814108099</v>
      </c>
      <c r="BZ551" s="2">
        <v>18.5452400343043</v>
      </c>
      <c r="CA551" s="2">
        <v>18.828291220413298</v>
      </c>
      <c r="CB551" s="2">
        <v>19.500334612357999</v>
      </c>
      <c r="CC551" s="2">
        <v>17.853942971473099</v>
      </c>
      <c r="CD551" s="2">
        <v>19.552835095896299</v>
      </c>
      <c r="CE551" s="2">
        <v>18.430277553839701</v>
      </c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</row>
    <row r="552" spans="1:97">
      <c r="A552" s="2" t="s">
        <v>5474</v>
      </c>
      <c r="B552" s="2">
        <v>103.08678999999999</v>
      </c>
      <c r="C552" s="2">
        <v>1.63</v>
      </c>
      <c r="D552" s="2" t="s">
        <v>84</v>
      </c>
      <c r="E552" s="2" t="s">
        <v>5475</v>
      </c>
      <c r="F552" s="2" t="s">
        <v>5476</v>
      </c>
      <c r="G552" s="2">
        <v>209252</v>
      </c>
      <c r="H552" s="3" t="str">
        <f>HYPERLINK("https://cloud.oebiotech.com/#/lm/network/209252", "https://cloud.oebiotech.com/#/lm/network/209252")</f>
        <v>https://cloud.oebiotech.com/#/lm/network/209252</v>
      </c>
      <c r="I552" s="2" t="s">
        <v>5477</v>
      </c>
      <c r="J552" s="2">
        <v>340237</v>
      </c>
      <c r="K552" s="2"/>
      <c r="L552" s="2">
        <v>12303</v>
      </c>
      <c r="M552" s="2"/>
      <c r="N552" s="2"/>
      <c r="O552" s="2"/>
      <c r="P552" s="2"/>
      <c r="Q552" s="2"/>
      <c r="R552" s="2"/>
      <c r="S552" s="2"/>
      <c r="T552" s="2" t="s">
        <v>5478</v>
      </c>
      <c r="U552" s="2" t="s">
        <v>5479</v>
      </c>
      <c r="V552" s="2" t="s">
        <v>115</v>
      </c>
      <c r="W552" s="2" t="s">
        <v>5480</v>
      </c>
      <c r="X552" s="2" t="s">
        <v>5481</v>
      </c>
      <c r="Y552" s="2" t="s">
        <v>118</v>
      </c>
      <c r="Z552" s="2" t="s">
        <v>5482</v>
      </c>
      <c r="AA552" s="2" t="s">
        <v>5483</v>
      </c>
      <c r="AB552" s="2" t="s">
        <v>5118</v>
      </c>
      <c r="AC552" s="2">
        <v>58.74</v>
      </c>
      <c r="AD552" s="2">
        <v>97.31</v>
      </c>
      <c r="AE552" s="2">
        <v>70.95</v>
      </c>
      <c r="AF552" s="2" t="s">
        <v>5484</v>
      </c>
      <c r="AG552" s="2" t="s">
        <v>103</v>
      </c>
      <c r="AH552" s="2" t="s">
        <v>5485</v>
      </c>
      <c r="AI552" s="2">
        <v>-1.94</v>
      </c>
      <c r="AJ552" s="2">
        <v>22.981621293256399</v>
      </c>
      <c r="AK552" s="2">
        <v>22.257886545563199</v>
      </c>
      <c r="AL552" s="2">
        <v>23.0276934290154</v>
      </c>
      <c r="AM552" s="2">
        <v>23.1549104527423</v>
      </c>
      <c r="AN552" s="2">
        <v>23.083929011940999</v>
      </c>
      <c r="AO552" s="2">
        <v>23.152071954514899</v>
      </c>
      <c r="AP552" s="2">
        <v>23.156844899927801</v>
      </c>
      <c r="AQ552" s="2">
        <v>23.095428807603099</v>
      </c>
      <c r="AR552" s="2">
        <v>19.2010465480048</v>
      </c>
      <c r="AS552" s="2">
        <v>17.654684551980999</v>
      </c>
      <c r="AT552" s="2">
        <v>22.3980922788123</v>
      </c>
      <c r="AU552" s="2">
        <v>22.8890821897009</v>
      </c>
      <c r="AV552" s="2">
        <v>22.812017095074498</v>
      </c>
      <c r="AW552" s="2">
        <v>22.987185508149</v>
      </c>
      <c r="AX552" s="2">
        <v>23.083477035462298</v>
      </c>
      <c r="AY552" s="2">
        <v>22.226695531917098</v>
      </c>
      <c r="AZ552" s="2">
        <v>22.876322355989</v>
      </c>
      <c r="BA552" s="2">
        <v>23.275102058389798</v>
      </c>
      <c r="BB552" s="2">
        <v>21.178165967088901</v>
      </c>
      <c r="BC552" s="2">
        <v>22.5732151535261</v>
      </c>
      <c r="BD552" s="2">
        <v>22.856234294813198</v>
      </c>
      <c r="BE552" s="2">
        <v>24.6968737513827</v>
      </c>
      <c r="BF552" s="2">
        <v>23.448215120415099</v>
      </c>
      <c r="BG552" s="2">
        <v>20.978610200202802</v>
      </c>
      <c r="BH552" s="2">
        <v>23.400440739174702</v>
      </c>
      <c r="BI552" s="2">
        <v>22.804496937358099</v>
      </c>
      <c r="BJ552" s="2">
        <v>19.298660955425898</v>
      </c>
      <c r="BK552" s="2">
        <v>22.8509495558339</v>
      </c>
      <c r="BL552" s="2">
        <v>22.936267508265502</v>
      </c>
      <c r="BM552" s="2">
        <v>24.375260444696501</v>
      </c>
      <c r="BN552" s="2">
        <v>23.9293979895658</v>
      </c>
      <c r="BO552" s="2">
        <v>22.178078182851699</v>
      </c>
      <c r="BP552" s="2">
        <v>23.0791145988495</v>
      </c>
      <c r="BQ552" s="2">
        <v>23.443532640131298</v>
      </c>
      <c r="BR552" s="2">
        <v>20.692126541089799</v>
      </c>
      <c r="BS552" s="2">
        <v>23.722021511135299</v>
      </c>
      <c r="BT552" s="2">
        <v>21.679357968331502</v>
      </c>
      <c r="BU552" s="2">
        <v>22.588380948150999</v>
      </c>
      <c r="BV552" s="2">
        <v>21.730700370246101</v>
      </c>
      <c r="BW552" s="2">
        <v>21.674558130102501</v>
      </c>
      <c r="BX552" s="2">
        <v>23.589924925665699</v>
      </c>
      <c r="BY552" s="2">
        <v>24.137679931985701</v>
      </c>
      <c r="BZ552" s="2">
        <v>21.6174421347927</v>
      </c>
      <c r="CA552" s="2">
        <v>21.313429917540201</v>
      </c>
      <c r="CB552" s="2">
        <v>20.376261627763199</v>
      </c>
      <c r="CC552" s="2">
        <v>23.502872490904402</v>
      </c>
      <c r="CD552" s="2">
        <v>22.955829892311002</v>
      </c>
      <c r="CE552" s="2">
        <v>23.0030257729228</v>
      </c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</row>
    <row r="553" spans="1:97">
      <c r="A553" s="2" t="s">
        <v>5486</v>
      </c>
      <c r="B553" s="2">
        <v>302.21442000000002</v>
      </c>
      <c r="C553" s="2">
        <v>8.2569999999999997</v>
      </c>
      <c r="D553" s="2" t="s">
        <v>84</v>
      </c>
      <c r="E553" s="2" t="s">
        <v>5487</v>
      </c>
      <c r="F553" s="2" t="s">
        <v>5488</v>
      </c>
      <c r="G553" s="2">
        <v>208753</v>
      </c>
      <c r="H553" s="3" t="str">
        <f>HYPERLINK("https://cloud.oebiotech.com/#/lm/network/208753", "https://cloud.oebiotech.com/#/lm/network/208753")</f>
        <v>https://cloud.oebiotech.com/#/lm/network/208753</v>
      </c>
      <c r="I553" s="2" t="s">
        <v>5489</v>
      </c>
      <c r="J553" s="2"/>
      <c r="K553" s="2"/>
      <c r="L553" s="2">
        <v>5125276</v>
      </c>
      <c r="M553" s="2"/>
      <c r="N553" s="2"/>
      <c r="O553" s="2"/>
      <c r="P553" s="2"/>
      <c r="Q553" s="2"/>
      <c r="R553" s="2"/>
      <c r="S553" s="2"/>
      <c r="T553" s="2" t="s">
        <v>5490</v>
      </c>
      <c r="U553" s="2" t="s">
        <v>5491</v>
      </c>
      <c r="V553" s="2" t="s">
        <v>95</v>
      </c>
      <c r="W553" s="2" t="s">
        <v>152</v>
      </c>
      <c r="X553" s="2" t="s">
        <v>5492</v>
      </c>
      <c r="Y553" s="2" t="s">
        <v>98</v>
      </c>
      <c r="Z553" s="2" t="s">
        <v>154</v>
      </c>
      <c r="AA553" s="2" t="s">
        <v>5493</v>
      </c>
      <c r="AB553" s="2" t="s">
        <v>3086</v>
      </c>
      <c r="AC553" s="2">
        <v>58.7</v>
      </c>
      <c r="AD553" s="2">
        <v>97.05</v>
      </c>
      <c r="AE553" s="2">
        <v>40.478571428571399</v>
      </c>
      <c r="AF553" s="2" t="s">
        <v>5494</v>
      </c>
      <c r="AG553" s="2" t="s">
        <v>132</v>
      </c>
      <c r="AH553" s="2" t="s">
        <v>5495</v>
      </c>
      <c r="AI553" s="2">
        <v>-9.6</v>
      </c>
      <c r="AJ553" s="2">
        <v>22.923082317691399</v>
      </c>
      <c r="AK553" s="2">
        <v>23.0453741983928</v>
      </c>
      <c r="AL553" s="2">
        <v>22.951233795084999</v>
      </c>
      <c r="AM553" s="2">
        <v>22.9285408673143</v>
      </c>
      <c r="AN553" s="2">
        <v>22.994057254653399</v>
      </c>
      <c r="AO553" s="2">
        <v>23.0585782273779</v>
      </c>
      <c r="AP553" s="2">
        <v>22.8233033879822</v>
      </c>
      <c r="AQ553" s="2">
        <v>22.830919122742198</v>
      </c>
      <c r="AR553" s="2">
        <v>21.324698338664501</v>
      </c>
      <c r="AS553" s="2">
        <v>22.698389977927899</v>
      </c>
      <c r="AT553" s="2">
        <v>23.070840441555202</v>
      </c>
      <c r="AU553" s="2">
        <v>20.774404946292201</v>
      </c>
      <c r="AV553" s="2">
        <v>22.3469526515849</v>
      </c>
      <c r="AW553" s="2">
        <v>22.491964643174899</v>
      </c>
      <c r="AX553" s="2">
        <v>22.4832505396306</v>
      </c>
      <c r="AY553" s="2">
        <v>22.6946243980567</v>
      </c>
      <c r="AZ553" s="2">
        <v>20.783614938658602</v>
      </c>
      <c r="BA553" s="2">
        <v>23.185729949089701</v>
      </c>
      <c r="BB553" s="2">
        <v>23.052408206157899</v>
      </c>
      <c r="BC553" s="2">
        <v>24.487938010209898</v>
      </c>
      <c r="BD553" s="2">
        <v>21.872097972455499</v>
      </c>
      <c r="BE553" s="2">
        <v>22.9494983818437</v>
      </c>
      <c r="BF553" s="2">
        <v>22.752226220751002</v>
      </c>
      <c r="BG553" s="2">
        <v>22.588374311590599</v>
      </c>
      <c r="BH553" s="2">
        <v>23.527884553003801</v>
      </c>
      <c r="BI553" s="2">
        <v>22.749492940093901</v>
      </c>
      <c r="BJ553" s="2">
        <v>23.3079315204529</v>
      </c>
      <c r="BK553" s="2">
        <v>21.836314904636101</v>
      </c>
      <c r="BL553" s="2">
        <v>22.425637394549799</v>
      </c>
      <c r="BM553" s="2">
        <v>22.537417908024601</v>
      </c>
      <c r="BN553" s="2">
        <v>22.701816406102001</v>
      </c>
      <c r="BO553" s="2">
        <v>22.666175239493601</v>
      </c>
      <c r="BP553" s="2">
        <v>22.012790274136801</v>
      </c>
      <c r="BQ553" s="2">
        <v>22.597055849259501</v>
      </c>
      <c r="BR553" s="2">
        <v>23.022189681770001</v>
      </c>
      <c r="BS553" s="2">
        <v>22.039008444491401</v>
      </c>
      <c r="BT553" s="2">
        <v>22.048696863927599</v>
      </c>
      <c r="BU553" s="2">
        <v>22.909132627217801</v>
      </c>
      <c r="BV553" s="2">
        <v>22.8243983701079</v>
      </c>
      <c r="BW553" s="2">
        <v>23.291084946690301</v>
      </c>
      <c r="BX553" s="2">
        <v>22.0970563337535</v>
      </c>
      <c r="BY553" s="2">
        <v>23.302295707841601</v>
      </c>
      <c r="BZ553" s="2">
        <v>22.5177768426088</v>
      </c>
      <c r="CA553" s="2">
        <v>23.094717270347601</v>
      </c>
      <c r="CB553" s="2">
        <v>22.367863993029101</v>
      </c>
      <c r="CC553" s="2">
        <v>22.980930172651199</v>
      </c>
      <c r="CD553" s="2">
        <v>22.462348433166401</v>
      </c>
      <c r="CE553" s="2">
        <v>22.493473300488201</v>
      </c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</row>
    <row r="554" spans="1:97">
      <c r="A554" s="2" t="s">
        <v>5496</v>
      </c>
      <c r="B554" s="2">
        <v>491.37407999999999</v>
      </c>
      <c r="C554" s="2">
        <v>13.492000000000001</v>
      </c>
      <c r="D554" s="2" t="s">
        <v>146</v>
      </c>
      <c r="E554" s="2" t="s">
        <v>5497</v>
      </c>
      <c r="F554" s="2" t="s">
        <v>5498</v>
      </c>
      <c r="G554" s="2">
        <v>44364</v>
      </c>
      <c r="H554" s="3" t="str">
        <f>HYPERLINK("https://cloud.oebiotech.com/#/lm/network/44364", "https://cloud.oebiotech.com/#/lm/network/44364")</f>
        <v>https://cloud.oebiotech.com/#/lm/network/44364</v>
      </c>
      <c r="I554" s="2"/>
      <c r="J554" s="2"/>
      <c r="K554" s="2" t="s">
        <v>5499</v>
      </c>
      <c r="L554" s="2">
        <v>44250143</v>
      </c>
      <c r="M554" s="2"/>
      <c r="N554" s="2"/>
      <c r="O554" s="2"/>
      <c r="P554" s="2"/>
      <c r="Q554" s="2"/>
      <c r="R554" s="2"/>
      <c r="S554" s="2"/>
      <c r="T554" s="2" t="s">
        <v>5500</v>
      </c>
      <c r="U554" s="2" t="s">
        <v>5501</v>
      </c>
      <c r="V554" s="2" t="s">
        <v>95</v>
      </c>
      <c r="W554" s="2" t="s">
        <v>152</v>
      </c>
      <c r="X554" s="2" t="s">
        <v>5502</v>
      </c>
      <c r="Y554" s="2" t="s">
        <v>98</v>
      </c>
      <c r="Z554" s="2" t="s">
        <v>154</v>
      </c>
      <c r="AA554" s="2" t="s">
        <v>5503</v>
      </c>
      <c r="AB554" s="2" t="s">
        <v>3086</v>
      </c>
      <c r="AC554" s="2">
        <v>58.6</v>
      </c>
      <c r="AD554" s="2">
        <v>80.86</v>
      </c>
      <c r="AE554" s="2">
        <v>34.229999999999997</v>
      </c>
      <c r="AF554" s="2" t="s">
        <v>5504</v>
      </c>
      <c r="AG554" s="2" t="s">
        <v>157</v>
      </c>
      <c r="AH554" s="2" t="s">
        <v>5505</v>
      </c>
      <c r="AI554" s="2">
        <v>0.2</v>
      </c>
      <c r="AJ554" s="2">
        <v>18.9201195640996</v>
      </c>
      <c r="AK554" s="2">
        <v>18.624599965832399</v>
      </c>
      <c r="AL554" s="2">
        <v>18.270797143374001</v>
      </c>
      <c r="AM554" s="2">
        <v>18.766366530273299</v>
      </c>
      <c r="AN554" s="2">
        <v>18.816547772454399</v>
      </c>
      <c r="AO554" s="2">
        <v>18.495791723381899</v>
      </c>
      <c r="AP554" s="2">
        <v>18.831658725516998</v>
      </c>
      <c r="AQ554" s="2">
        <v>18.458332752691199</v>
      </c>
      <c r="AR554" s="2">
        <v>15.5683652799275</v>
      </c>
      <c r="AS554" s="2">
        <v>16.9306765926884</v>
      </c>
      <c r="AT554" s="2">
        <v>18.3199312966535</v>
      </c>
      <c r="AU554" s="2">
        <v>16.808048755305599</v>
      </c>
      <c r="AV554" s="2">
        <v>16.470759269535101</v>
      </c>
      <c r="AW554" s="2">
        <v>12.5616411760186</v>
      </c>
      <c r="AX554" s="2">
        <v>17.074129857073999</v>
      </c>
      <c r="AY554" s="2">
        <v>18.957230677798101</v>
      </c>
      <c r="AZ554" s="2">
        <v>18.472395707296901</v>
      </c>
      <c r="BA554" s="2">
        <v>18.796474442465499</v>
      </c>
      <c r="BB554" s="2">
        <v>18.6695119908197</v>
      </c>
      <c r="BC554" s="2">
        <v>20.190909978623498</v>
      </c>
      <c r="BD554" s="2">
        <v>17.290938603064301</v>
      </c>
      <c r="BE554" s="2">
        <v>19.637617929625801</v>
      </c>
      <c r="BF554" s="2">
        <v>16.074602895786899</v>
      </c>
      <c r="BG554" s="2">
        <v>18.533927309076599</v>
      </c>
      <c r="BH554" s="2">
        <v>17.2101087276044</v>
      </c>
      <c r="BI554" s="2">
        <v>16.432132756908199</v>
      </c>
      <c r="BJ554" s="2">
        <v>19.1115645638749</v>
      </c>
      <c r="BK554" s="2">
        <v>14.4690687713976</v>
      </c>
      <c r="BL554" s="2">
        <v>18.636180364969501</v>
      </c>
      <c r="BM554" s="2">
        <v>18.866640136569899</v>
      </c>
      <c r="BN554" s="2">
        <v>17.471274718860698</v>
      </c>
      <c r="BO554" s="2">
        <v>17.246405210838201</v>
      </c>
      <c r="BP554" s="2">
        <v>16.113010989809499</v>
      </c>
      <c r="BQ554" s="2">
        <v>16.287433732161901</v>
      </c>
      <c r="BR554" s="2">
        <v>16.600456248698201</v>
      </c>
      <c r="BS554" s="2">
        <v>18.350098656293401</v>
      </c>
      <c r="BT554" s="2">
        <v>18.471048542582999</v>
      </c>
      <c r="BU554" s="2">
        <v>19.162367060378099</v>
      </c>
      <c r="BV554" s="2">
        <v>19.506287937017099</v>
      </c>
      <c r="BW554" s="2">
        <v>16.027698050052098</v>
      </c>
      <c r="BX554" s="2">
        <v>17.180622973561999</v>
      </c>
      <c r="BY554" s="2">
        <v>20.0324064336418</v>
      </c>
      <c r="BZ554" s="2">
        <v>13.309025796566701</v>
      </c>
      <c r="CA554" s="2">
        <v>16.066291886983201</v>
      </c>
      <c r="CB554" s="2">
        <v>18.866577748750299</v>
      </c>
      <c r="CC554" s="2">
        <v>16.255861206967399</v>
      </c>
      <c r="CD554" s="2">
        <v>19.4344733441146</v>
      </c>
      <c r="CE554" s="2">
        <v>16.7262111065887</v>
      </c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</row>
    <row r="555" spans="1:97">
      <c r="A555" s="2" t="s">
        <v>5506</v>
      </c>
      <c r="B555" s="2">
        <v>462.29683999999997</v>
      </c>
      <c r="C555" s="2">
        <v>10.565</v>
      </c>
      <c r="D555" s="2" t="s">
        <v>84</v>
      </c>
      <c r="E555" s="2" t="s">
        <v>5507</v>
      </c>
      <c r="F555" s="2" t="s">
        <v>5508</v>
      </c>
      <c r="G555" s="2">
        <v>200041</v>
      </c>
      <c r="H555" s="3" t="str">
        <f>HYPERLINK("https://cloud.oebiotech.com/#/lm/network/200041", "https://cloud.oebiotech.com/#/lm/network/200041")</f>
        <v>https://cloud.oebiotech.com/#/lm/network/200041</v>
      </c>
      <c r="I555" s="2" t="s">
        <v>5509</v>
      </c>
      <c r="J555" s="2"/>
      <c r="K555" s="2"/>
      <c r="L555" s="2">
        <v>22235288</v>
      </c>
      <c r="M555" s="2"/>
      <c r="N555" s="2"/>
      <c r="O555" s="2"/>
      <c r="P555" s="2"/>
      <c r="Q555" s="2"/>
      <c r="R555" s="2"/>
      <c r="S555" s="2"/>
      <c r="T555" s="2" t="s">
        <v>5510</v>
      </c>
      <c r="U555" s="2" t="s">
        <v>5511</v>
      </c>
      <c r="V555" s="2" t="s">
        <v>115</v>
      </c>
      <c r="W555" s="2" t="s">
        <v>116</v>
      </c>
      <c r="X555" s="2" t="s">
        <v>117</v>
      </c>
      <c r="Y555" s="2" t="s">
        <v>118</v>
      </c>
      <c r="Z555" s="2" t="s">
        <v>119</v>
      </c>
      <c r="AA555" s="2" t="s">
        <v>120</v>
      </c>
      <c r="AB555" s="2" t="s">
        <v>3086</v>
      </c>
      <c r="AC555" s="2">
        <v>58.58</v>
      </c>
      <c r="AD555" s="2">
        <v>83.65</v>
      </c>
      <c r="AE555" s="2">
        <v>34.31</v>
      </c>
      <c r="AF555" s="2" t="s">
        <v>5512</v>
      </c>
      <c r="AG555" s="2" t="s">
        <v>103</v>
      </c>
      <c r="AH555" s="2" t="s">
        <v>5513</v>
      </c>
      <c r="AI555" s="2">
        <v>-1.3</v>
      </c>
      <c r="AJ555" s="2">
        <v>19.5184647354309</v>
      </c>
      <c r="AK555" s="2">
        <v>19.313429856644699</v>
      </c>
      <c r="AL555" s="2">
        <v>19.367542067595799</v>
      </c>
      <c r="AM555" s="2">
        <v>19.532973855429901</v>
      </c>
      <c r="AN555" s="2">
        <v>19.344811964901101</v>
      </c>
      <c r="AO555" s="2">
        <v>19.6041364583646</v>
      </c>
      <c r="AP555" s="2">
        <v>19.624325746164601</v>
      </c>
      <c r="AQ555" s="2">
        <v>19.7181322966659</v>
      </c>
      <c r="AR555" s="2">
        <v>19.211125562371802</v>
      </c>
      <c r="AS555" s="2">
        <v>18.1846142161865</v>
      </c>
      <c r="AT555" s="2">
        <v>18.528920330493701</v>
      </c>
      <c r="AU555" s="2">
        <v>19.0030432748617</v>
      </c>
      <c r="AV555" s="2">
        <v>19.811628066152199</v>
      </c>
      <c r="AW555" s="2">
        <v>17.768723412186599</v>
      </c>
      <c r="AX555" s="2">
        <v>19.352120346323701</v>
      </c>
      <c r="AY555" s="2">
        <v>19.7034978631605</v>
      </c>
      <c r="AZ555" s="2">
        <v>19.661807405695999</v>
      </c>
      <c r="BA555" s="2">
        <v>17.079194540591899</v>
      </c>
      <c r="BB555" s="2">
        <v>19.231651423301699</v>
      </c>
      <c r="BC555" s="2">
        <v>19.287914613185499</v>
      </c>
      <c r="BD555" s="2">
        <v>17.839075998697101</v>
      </c>
      <c r="BE555" s="2">
        <v>19.462669910814</v>
      </c>
      <c r="BF555" s="2">
        <v>18.805550960500199</v>
      </c>
      <c r="BG555" s="2">
        <v>19.322037631294801</v>
      </c>
      <c r="BH555" s="2">
        <v>21.7022997497522</v>
      </c>
      <c r="BI555" s="2">
        <v>19.070738754318299</v>
      </c>
      <c r="BJ555" s="2">
        <v>18.435320083321301</v>
      </c>
      <c r="BK555" s="2">
        <v>19.378383366121199</v>
      </c>
      <c r="BL555" s="2">
        <v>18.842870154794401</v>
      </c>
      <c r="BM555" s="2">
        <v>19.346161707812001</v>
      </c>
      <c r="BN555" s="2">
        <v>19.666957457970501</v>
      </c>
      <c r="BO555" s="2">
        <v>18.623173768475802</v>
      </c>
      <c r="BP555" s="2">
        <v>19.826215747984701</v>
      </c>
      <c r="BQ555" s="2">
        <v>19.131017489939801</v>
      </c>
      <c r="BR555" s="2">
        <v>18.6579142268771</v>
      </c>
      <c r="BS555" s="2">
        <v>19.1053265818189</v>
      </c>
      <c r="BT555" s="2">
        <v>18.825631926460201</v>
      </c>
      <c r="BU555" s="2">
        <v>18.498544069064799</v>
      </c>
      <c r="BV555" s="2">
        <v>19.5983020597277</v>
      </c>
      <c r="BW555" s="2">
        <v>19.3486902522177</v>
      </c>
      <c r="BX555" s="2">
        <v>19.057717903183399</v>
      </c>
      <c r="BY555" s="2">
        <v>20.0077419228402</v>
      </c>
      <c r="BZ555" s="2">
        <v>18.294583552135801</v>
      </c>
      <c r="CA555" s="2">
        <v>19.0138754871776</v>
      </c>
      <c r="CB555" s="2">
        <v>19.713286287005701</v>
      </c>
      <c r="CC555" s="2">
        <v>18.681047402114501</v>
      </c>
      <c r="CD555" s="2">
        <v>18.935384956569401</v>
      </c>
      <c r="CE555" s="2">
        <v>19.3664182711758</v>
      </c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</row>
    <row r="556" spans="1:97">
      <c r="A556" s="2" t="s">
        <v>5514</v>
      </c>
      <c r="B556" s="2">
        <v>130.08698000000001</v>
      </c>
      <c r="C556" s="2">
        <v>0.94</v>
      </c>
      <c r="D556" s="2" t="s">
        <v>146</v>
      </c>
      <c r="E556" s="2" t="s">
        <v>5515</v>
      </c>
      <c r="F556" s="2" t="s">
        <v>5516</v>
      </c>
      <c r="G556" s="2">
        <v>201203</v>
      </c>
      <c r="H556" s="3" t="str">
        <f>HYPERLINK("https://cloud.oebiotech.com/#/lm/network/201203", "https://cloud.oebiotech.com/#/lm/network/201203")</f>
        <v>https://cloud.oebiotech.com/#/lm/network/201203</v>
      </c>
      <c r="I556" s="2" t="s">
        <v>5517</v>
      </c>
      <c r="J556" s="2">
        <v>64934</v>
      </c>
      <c r="K556" s="2"/>
      <c r="L556" s="2">
        <v>193411</v>
      </c>
      <c r="M556" s="2" t="s">
        <v>5518</v>
      </c>
      <c r="N556" s="2"/>
      <c r="O556" s="2"/>
      <c r="P556" s="2">
        <v>72772</v>
      </c>
      <c r="Q556" s="2"/>
      <c r="R556" s="2"/>
      <c r="S556" s="2" t="s">
        <v>5519</v>
      </c>
      <c r="T556" s="2" t="s">
        <v>5520</v>
      </c>
      <c r="U556" s="2" t="s">
        <v>5521</v>
      </c>
      <c r="V556" s="2" t="s">
        <v>115</v>
      </c>
      <c r="W556" s="2" t="s">
        <v>116</v>
      </c>
      <c r="X556" s="2" t="s">
        <v>117</v>
      </c>
      <c r="Y556" s="2" t="s">
        <v>118</v>
      </c>
      <c r="Z556" s="2" t="s">
        <v>119</v>
      </c>
      <c r="AA556" s="2" t="s">
        <v>120</v>
      </c>
      <c r="AB556" s="2" t="s">
        <v>3086</v>
      </c>
      <c r="AC556" s="2">
        <v>58.53</v>
      </c>
      <c r="AD556" s="2">
        <v>96.34</v>
      </c>
      <c r="AE556" s="2">
        <v>35.729999999999997</v>
      </c>
      <c r="AF556" s="2" t="s">
        <v>5522</v>
      </c>
      <c r="AG556" s="2" t="s">
        <v>194</v>
      </c>
      <c r="AH556" s="2" t="s">
        <v>1674</v>
      </c>
      <c r="AI556" s="2">
        <v>2.92</v>
      </c>
      <c r="AJ556" s="2">
        <v>19.799414834561301</v>
      </c>
      <c r="AK556" s="2">
        <v>19.728505370851099</v>
      </c>
      <c r="AL556" s="2">
        <v>19.245183425177899</v>
      </c>
      <c r="AM556" s="2">
        <v>19.864009812009499</v>
      </c>
      <c r="AN556" s="2">
        <v>19.670515423205401</v>
      </c>
      <c r="AO556" s="2">
        <v>20.1516224538844</v>
      </c>
      <c r="AP556" s="2">
        <v>20.0301270131541</v>
      </c>
      <c r="AQ556" s="2">
        <v>20.244016927394501</v>
      </c>
      <c r="AR556" s="2">
        <v>19.546636958095299</v>
      </c>
      <c r="AS556" s="2">
        <v>18.943247882463002</v>
      </c>
      <c r="AT556" s="2">
        <v>19.479955140265499</v>
      </c>
      <c r="AU556" s="2">
        <v>19.652242300738902</v>
      </c>
      <c r="AV556" s="2">
        <v>20.210855746909601</v>
      </c>
      <c r="AW556" s="2">
        <v>19.822542450764399</v>
      </c>
      <c r="AX556" s="2">
        <v>19.485390287764901</v>
      </c>
      <c r="AY556" s="2">
        <v>19.720612691891301</v>
      </c>
      <c r="AZ556" s="2">
        <v>19.804890435540798</v>
      </c>
      <c r="BA556" s="2">
        <v>19.348510474203302</v>
      </c>
      <c r="BB556" s="2">
        <v>20.2914495365352</v>
      </c>
      <c r="BC556" s="2">
        <v>20.096746201021698</v>
      </c>
      <c r="BD556" s="2">
        <v>19.037439521043499</v>
      </c>
      <c r="BE556" s="2">
        <v>20.307808212918001</v>
      </c>
      <c r="BF556" s="2">
        <v>18.887831973379502</v>
      </c>
      <c r="BG556" s="2">
        <v>19.9534219845252</v>
      </c>
      <c r="BH556" s="2">
        <v>19.7801664255439</v>
      </c>
      <c r="BI556" s="2">
        <v>19.6620699503083</v>
      </c>
      <c r="BJ556" s="2">
        <v>20.130415451780198</v>
      </c>
      <c r="BK556" s="2">
        <v>19.821575993238501</v>
      </c>
      <c r="BL556" s="2">
        <v>18.9714104617989</v>
      </c>
      <c r="BM556" s="2">
        <v>21.190701279185799</v>
      </c>
      <c r="BN556" s="2">
        <v>20.381261770528901</v>
      </c>
      <c r="BO556" s="2">
        <v>19.868482695452599</v>
      </c>
      <c r="BP556" s="2">
        <v>19.409685424548201</v>
      </c>
      <c r="BQ556" s="2">
        <v>20.269484175734199</v>
      </c>
      <c r="BR556" s="2">
        <v>20.029557208186599</v>
      </c>
      <c r="BS556" s="2">
        <v>19.719136520448899</v>
      </c>
      <c r="BT556" s="2">
        <v>19.355926902299601</v>
      </c>
      <c r="BU556" s="2">
        <v>18.780358932277601</v>
      </c>
      <c r="BV556" s="2">
        <v>20.0398850756889</v>
      </c>
      <c r="BW556" s="2">
        <v>19.3973065012338</v>
      </c>
      <c r="BX556" s="2">
        <v>20.582218149334899</v>
      </c>
      <c r="BY556" s="2">
        <v>20.710565045813599</v>
      </c>
      <c r="BZ556" s="2">
        <v>20.680502078832099</v>
      </c>
      <c r="CA556" s="2">
        <v>20.178237102604601</v>
      </c>
      <c r="CB556" s="2">
        <v>19.336448416382702</v>
      </c>
      <c r="CC556" s="2">
        <v>19.0226415165559</v>
      </c>
      <c r="CD556" s="2">
        <v>20.5974101069976</v>
      </c>
      <c r="CE556" s="2">
        <v>20.033873598597001</v>
      </c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</row>
    <row r="557" spans="1:97">
      <c r="A557" s="2" t="s">
        <v>5523</v>
      </c>
      <c r="B557" s="2">
        <v>164.06666999999999</v>
      </c>
      <c r="C557" s="2">
        <v>0.58199999999999996</v>
      </c>
      <c r="D557" s="2" t="s">
        <v>84</v>
      </c>
      <c r="E557" s="2" t="s">
        <v>5524</v>
      </c>
      <c r="F557" s="2" t="s">
        <v>5525</v>
      </c>
      <c r="G557" s="2">
        <v>203450</v>
      </c>
      <c r="H557" s="3" t="str">
        <f>HYPERLINK("https://cloud.oebiotech.com/#/lm/network/203450", "https://cloud.oebiotech.com/#/lm/network/203450")</f>
        <v>https://cloud.oebiotech.com/#/lm/network/203450</v>
      </c>
      <c r="I557" s="2" t="s">
        <v>5526</v>
      </c>
      <c r="J557" s="2"/>
      <c r="K557" s="2"/>
      <c r="L557" s="2">
        <v>129713638</v>
      </c>
      <c r="M557" s="2"/>
      <c r="N557" s="2"/>
      <c r="O557" s="2"/>
      <c r="P557" s="2"/>
      <c r="Q557" s="2"/>
      <c r="R557" s="2"/>
      <c r="S557" s="2"/>
      <c r="T557" s="2" t="s">
        <v>5527</v>
      </c>
      <c r="U557" s="2" t="s">
        <v>5528</v>
      </c>
      <c r="V557" s="2" t="s">
        <v>115</v>
      </c>
      <c r="W557" s="2" t="s">
        <v>116</v>
      </c>
      <c r="X557" s="2" t="s">
        <v>117</v>
      </c>
      <c r="Y557" s="2" t="s">
        <v>118</v>
      </c>
      <c r="Z557" s="2" t="s">
        <v>119</v>
      </c>
      <c r="AA557" s="2" t="s">
        <v>120</v>
      </c>
      <c r="AB557" s="2" t="s">
        <v>5118</v>
      </c>
      <c r="AC557" s="2">
        <v>58.36</v>
      </c>
      <c r="AD557" s="2">
        <v>92.5</v>
      </c>
      <c r="AE557" s="2">
        <v>70.23</v>
      </c>
      <c r="AF557" s="2" t="s">
        <v>5529</v>
      </c>
      <c r="AG557" s="2" t="s">
        <v>132</v>
      </c>
      <c r="AH557" s="2" t="s">
        <v>5530</v>
      </c>
      <c r="AI557" s="2">
        <v>-0.61</v>
      </c>
      <c r="AJ557" s="2">
        <v>24.549339783560601</v>
      </c>
      <c r="AK557" s="2">
        <v>24.343420738391199</v>
      </c>
      <c r="AL557" s="2">
        <v>24.7132609289235</v>
      </c>
      <c r="AM557" s="2">
        <v>24.4648122510464</v>
      </c>
      <c r="AN557" s="2">
        <v>24.5509244649718</v>
      </c>
      <c r="AO557" s="2">
        <v>24.5857442320901</v>
      </c>
      <c r="AP557" s="2">
        <v>24.283268829284101</v>
      </c>
      <c r="AQ557" s="2">
        <v>24.613645972450499</v>
      </c>
      <c r="AR557" s="2">
        <v>24.212798369650798</v>
      </c>
      <c r="AS557" s="2">
        <v>24.120389400927898</v>
      </c>
      <c r="AT557" s="2">
        <v>24.204261350997299</v>
      </c>
      <c r="AU557" s="2">
        <v>24.001509896616099</v>
      </c>
      <c r="AV557" s="2">
        <v>24.447387023483198</v>
      </c>
      <c r="AW557" s="2">
        <v>24.191782687980801</v>
      </c>
      <c r="AX557" s="2">
        <v>24.481008410314299</v>
      </c>
      <c r="AY557" s="2">
        <v>24.408647863926401</v>
      </c>
      <c r="AZ557" s="2">
        <v>24.109999537296002</v>
      </c>
      <c r="BA557" s="2">
        <v>24.1760064999301</v>
      </c>
      <c r="BB557" s="2">
        <v>24.388982249039799</v>
      </c>
      <c r="BC557" s="2">
        <v>24.364077859007601</v>
      </c>
      <c r="BD557" s="2">
        <v>24.333782593677899</v>
      </c>
      <c r="BE557" s="2">
        <v>24.651829233911499</v>
      </c>
      <c r="BF557" s="2">
        <v>24.164932469336801</v>
      </c>
      <c r="BG557" s="2">
        <v>24.387072510673502</v>
      </c>
      <c r="BH557" s="2">
        <v>24.418816020700898</v>
      </c>
      <c r="BI557" s="2">
        <v>24.117747741312701</v>
      </c>
      <c r="BJ557" s="2">
        <v>24.370019033381201</v>
      </c>
      <c r="BK557" s="2">
        <v>24.4718691402731</v>
      </c>
      <c r="BL557" s="2">
        <v>24.3483319389108</v>
      </c>
      <c r="BM557" s="2">
        <v>24.568644837856201</v>
      </c>
      <c r="BN557" s="2">
        <v>24.4106747095359</v>
      </c>
      <c r="BO557" s="2">
        <v>24.193130381868901</v>
      </c>
      <c r="BP557" s="2">
        <v>24.1489793994309</v>
      </c>
      <c r="BQ557" s="2">
        <v>23.950927700687998</v>
      </c>
      <c r="BR557" s="2">
        <v>23.873073907780999</v>
      </c>
      <c r="BS557" s="2">
        <v>24.415734113405101</v>
      </c>
      <c r="BT557" s="2">
        <v>24.538194628680198</v>
      </c>
      <c r="BU557" s="2">
        <v>24.5725216560786</v>
      </c>
      <c r="BV557" s="2">
        <v>24.4650020373697</v>
      </c>
      <c r="BW557" s="2">
        <v>24.254995759907199</v>
      </c>
      <c r="BX557" s="2">
        <v>24.380631527214899</v>
      </c>
      <c r="BY557" s="2">
        <v>24.989607964652599</v>
      </c>
      <c r="BZ557" s="2">
        <v>24.0012980267919</v>
      </c>
      <c r="CA557" s="2">
        <v>24.1414979785214</v>
      </c>
      <c r="CB557" s="2">
        <v>24.233218358019499</v>
      </c>
      <c r="CC557" s="2">
        <v>24.184970629166401</v>
      </c>
      <c r="CD557" s="2">
        <v>24.633617025573798</v>
      </c>
      <c r="CE557" s="2">
        <v>24.362002501823699</v>
      </c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</row>
    <row r="558" spans="1:97">
      <c r="A558" s="2" t="s">
        <v>5531</v>
      </c>
      <c r="B558" s="2">
        <v>188.98591999999999</v>
      </c>
      <c r="C558" s="2">
        <v>3.5910000000000002</v>
      </c>
      <c r="D558" s="2" t="s">
        <v>146</v>
      </c>
      <c r="E558" s="2" t="s">
        <v>5532</v>
      </c>
      <c r="F558" s="2" t="s">
        <v>5533</v>
      </c>
      <c r="G558" s="2">
        <v>81775</v>
      </c>
      <c r="H558" s="3" t="str">
        <f>HYPERLINK("https://cloud.oebiotech.com/#/lm/network/81775", "https://cloud.oebiotech.com/#/lm/network/81775")</f>
        <v>https://cloud.oebiotech.com/#/lm/network/81775</v>
      </c>
      <c r="I558" s="2" t="s">
        <v>5534</v>
      </c>
      <c r="J558" s="2">
        <v>1829</v>
      </c>
      <c r="K558" s="2"/>
      <c r="L558" s="2">
        <v>3083879</v>
      </c>
      <c r="M558" s="2"/>
      <c r="N558" s="2"/>
      <c r="O558" s="2"/>
      <c r="P558" s="2">
        <v>68505</v>
      </c>
      <c r="Q558" s="2"/>
      <c r="R558" s="2"/>
      <c r="S558" s="2" t="s">
        <v>5535</v>
      </c>
      <c r="T558" s="2" t="s">
        <v>5536</v>
      </c>
      <c r="U558" s="2" t="s">
        <v>5537</v>
      </c>
      <c r="V558" s="2" t="s">
        <v>115</v>
      </c>
      <c r="W558" s="2" t="s">
        <v>613</v>
      </c>
      <c r="X558" s="2" t="s">
        <v>614</v>
      </c>
      <c r="Y558" s="2" t="s">
        <v>118</v>
      </c>
      <c r="Z558" s="2" t="s">
        <v>615</v>
      </c>
      <c r="AA558" s="2" t="s">
        <v>616</v>
      </c>
      <c r="AB558" s="2" t="s">
        <v>5118</v>
      </c>
      <c r="AC558" s="2">
        <v>58.21</v>
      </c>
      <c r="AD558" s="2">
        <v>97.18</v>
      </c>
      <c r="AE558" s="2">
        <v>99.49</v>
      </c>
      <c r="AF558" s="2" t="s">
        <v>5538</v>
      </c>
      <c r="AG558" s="2" t="s">
        <v>194</v>
      </c>
      <c r="AH558" s="2" t="s">
        <v>5539</v>
      </c>
      <c r="AI558" s="2">
        <v>2.12</v>
      </c>
      <c r="AJ558" s="2">
        <v>23.9467270760709</v>
      </c>
      <c r="AK558" s="2">
        <v>23.913935143222901</v>
      </c>
      <c r="AL558" s="2">
        <v>23.847086037815501</v>
      </c>
      <c r="AM558" s="2">
        <v>23.8853597652624</v>
      </c>
      <c r="AN558" s="2">
        <v>23.7730664904809</v>
      </c>
      <c r="AO558" s="2">
        <v>23.846496357489801</v>
      </c>
      <c r="AP558" s="2">
        <v>23.9017395303153</v>
      </c>
      <c r="AQ558" s="2">
        <v>23.883582449195998</v>
      </c>
      <c r="AR558" s="2">
        <v>22.7762189090821</v>
      </c>
      <c r="AS558" s="2">
        <v>21.879536835780399</v>
      </c>
      <c r="AT558" s="2">
        <v>19.5048998724446</v>
      </c>
      <c r="AU558" s="2">
        <v>23.102965141584001</v>
      </c>
      <c r="AV558" s="2">
        <v>24.400301647766401</v>
      </c>
      <c r="AW558" s="2">
        <v>22.023899219955201</v>
      </c>
      <c r="AX558" s="2">
        <v>19.511253765435502</v>
      </c>
      <c r="AY558" s="2">
        <v>23.7382832997673</v>
      </c>
      <c r="AZ558" s="2">
        <v>22.430477349815298</v>
      </c>
      <c r="BA558" s="2">
        <v>24.925405305731498</v>
      </c>
      <c r="BB558" s="2">
        <v>22.916276299668901</v>
      </c>
      <c r="BC558" s="2">
        <v>24.360136964891701</v>
      </c>
      <c r="BD558" s="2">
        <v>21.709507559487101</v>
      </c>
      <c r="BE558" s="2">
        <v>23.248241258232699</v>
      </c>
      <c r="BF558" s="2">
        <v>23.183918703358898</v>
      </c>
      <c r="BG558" s="2">
        <v>23.354413324665899</v>
      </c>
      <c r="BH558" s="2">
        <v>21.079836870181701</v>
      </c>
      <c r="BI558" s="2">
        <v>23.9811338558514</v>
      </c>
      <c r="BJ558" s="2">
        <v>21.992894662240499</v>
      </c>
      <c r="BK558" s="2">
        <v>23.193221769259399</v>
      </c>
      <c r="BL558" s="2">
        <v>23.437837760676501</v>
      </c>
      <c r="BM558" s="2">
        <v>23.754722304771001</v>
      </c>
      <c r="BN558" s="2">
        <v>22.626798954727501</v>
      </c>
      <c r="BO558" s="2">
        <v>22.971854481301101</v>
      </c>
      <c r="BP558" s="2">
        <v>23.794676670362001</v>
      </c>
      <c r="BQ558" s="2">
        <v>24.719144216412602</v>
      </c>
      <c r="BR558" s="2">
        <v>20.0356480173023</v>
      </c>
      <c r="BS558" s="2">
        <v>24.5550510640658</v>
      </c>
      <c r="BT558" s="2">
        <v>22.868480496851301</v>
      </c>
      <c r="BU558" s="2">
        <v>24.185187435036699</v>
      </c>
      <c r="BV558" s="2">
        <v>23.840236468359102</v>
      </c>
      <c r="BW558" s="2">
        <v>22.327341386786699</v>
      </c>
      <c r="BX558" s="2">
        <v>23.074240528709598</v>
      </c>
      <c r="BY558" s="2">
        <v>25.7595074464414</v>
      </c>
      <c r="BZ558" s="2">
        <v>23.153821079555499</v>
      </c>
      <c r="CA558" s="2">
        <v>23.713588556602701</v>
      </c>
      <c r="CB558" s="2">
        <v>24.996473062034401</v>
      </c>
      <c r="CC558" s="2">
        <v>22.234572694593499</v>
      </c>
      <c r="CD558" s="2">
        <v>23.837234122926599</v>
      </c>
      <c r="CE558" s="2">
        <v>23.923665850348598</v>
      </c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</row>
    <row r="559" spans="1:97">
      <c r="A559" s="2" t="s">
        <v>5540</v>
      </c>
      <c r="B559" s="2">
        <v>546.35483999999997</v>
      </c>
      <c r="C559" s="2">
        <v>10.553000000000001</v>
      </c>
      <c r="D559" s="2" t="s">
        <v>84</v>
      </c>
      <c r="E559" s="2" t="s">
        <v>5541</v>
      </c>
      <c r="F559" s="2" t="s">
        <v>5542</v>
      </c>
      <c r="G559" s="2">
        <v>198359</v>
      </c>
      <c r="H559" s="3" t="str">
        <f>HYPERLINK("https://cloud.oebiotech.com/#/lm/network/198359", "https://cloud.oebiotech.com/#/lm/network/198359")</f>
        <v>https://cloud.oebiotech.com/#/lm/network/198359</v>
      </c>
      <c r="I559" s="2" t="s">
        <v>5543</v>
      </c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 t="s">
        <v>5544</v>
      </c>
      <c r="U559" s="2" t="s">
        <v>5545</v>
      </c>
      <c r="V559" s="2" t="s">
        <v>95</v>
      </c>
      <c r="W559" s="2" t="s">
        <v>96</v>
      </c>
      <c r="X559" s="2" t="s">
        <v>97</v>
      </c>
      <c r="Y559" s="2" t="s">
        <v>98</v>
      </c>
      <c r="Z559" s="2" t="s">
        <v>99</v>
      </c>
      <c r="AA559" s="2" t="s">
        <v>100</v>
      </c>
      <c r="AB559" s="2" t="s">
        <v>5118</v>
      </c>
      <c r="AC559" s="2">
        <v>58.16</v>
      </c>
      <c r="AD559" s="2">
        <v>90.94</v>
      </c>
      <c r="AE559" s="2">
        <v>77.319999999999993</v>
      </c>
      <c r="AF559" s="2" t="s">
        <v>5546</v>
      </c>
      <c r="AG559" s="2" t="s">
        <v>3544</v>
      </c>
      <c r="AH559" s="2" t="s">
        <v>5547</v>
      </c>
      <c r="AI559" s="2">
        <v>1.28</v>
      </c>
      <c r="AJ559" s="2">
        <v>24.649757450270901</v>
      </c>
      <c r="AK559" s="2">
        <v>24.9041649514655</v>
      </c>
      <c r="AL559" s="2">
        <v>24.739023402282399</v>
      </c>
      <c r="AM559" s="2">
        <v>24.917816259630602</v>
      </c>
      <c r="AN559" s="2">
        <v>24.8829325523477</v>
      </c>
      <c r="AO559" s="2">
        <v>24.806318768329898</v>
      </c>
      <c r="AP559" s="2">
        <v>25.113528279176599</v>
      </c>
      <c r="AQ559" s="2">
        <v>24.959866517542</v>
      </c>
      <c r="AR559" s="2">
        <v>25.359314674057</v>
      </c>
      <c r="AS559" s="2">
        <v>22.7302424425792</v>
      </c>
      <c r="AT559" s="2">
        <v>24.580854852321</v>
      </c>
      <c r="AU559" s="2">
        <v>24.555118916352001</v>
      </c>
      <c r="AV559" s="2">
        <v>24.581263727327599</v>
      </c>
      <c r="AW559" s="2">
        <v>24.9661364775483</v>
      </c>
      <c r="AX559" s="2">
        <v>24.803362158699102</v>
      </c>
      <c r="AY559" s="2">
        <v>23.943102635686099</v>
      </c>
      <c r="AZ559" s="2">
        <v>24.7355124909739</v>
      </c>
      <c r="BA559" s="2">
        <v>23.666042280276901</v>
      </c>
      <c r="BB559" s="2">
        <v>24.407604048262101</v>
      </c>
      <c r="BC559" s="2">
        <v>24.530256977410499</v>
      </c>
      <c r="BD559" s="2">
        <v>24.946651426059798</v>
      </c>
      <c r="BE559" s="2">
        <v>23.8531344969218</v>
      </c>
      <c r="BF559" s="2">
        <v>24.205883070276599</v>
      </c>
      <c r="BG559" s="2">
        <v>25.397163998498801</v>
      </c>
      <c r="BH559" s="2">
        <v>24.365065904703599</v>
      </c>
      <c r="BI559" s="2">
        <v>25.770277797190101</v>
      </c>
      <c r="BJ559" s="2">
        <v>24.496807609564701</v>
      </c>
      <c r="BK559" s="2">
        <v>24.6022508066869</v>
      </c>
      <c r="BL559" s="2">
        <v>24.984118269148102</v>
      </c>
      <c r="BM559" s="2">
        <v>23.766504693743901</v>
      </c>
      <c r="BN559" s="2">
        <v>24.979872712823902</v>
      </c>
      <c r="BO559" s="2">
        <v>24.897374669678602</v>
      </c>
      <c r="BP559" s="2">
        <v>24.730254562255499</v>
      </c>
      <c r="BQ559" s="2">
        <v>24.687874052856898</v>
      </c>
      <c r="BR559" s="2">
        <v>24.839825407399498</v>
      </c>
      <c r="BS559" s="2">
        <v>25.252923012534801</v>
      </c>
      <c r="BT559" s="2">
        <v>23.843809443099499</v>
      </c>
      <c r="BU559" s="2">
        <v>23.928131640833399</v>
      </c>
      <c r="BV559" s="2">
        <v>24.761181713766799</v>
      </c>
      <c r="BW559" s="2">
        <v>23.693931454631599</v>
      </c>
      <c r="BX559" s="2">
        <v>24.775165897155102</v>
      </c>
      <c r="BY559" s="2">
        <v>24.762831540491099</v>
      </c>
      <c r="BZ559" s="2">
        <v>24.064604055240199</v>
      </c>
      <c r="CA559" s="2">
        <v>24.962154565899699</v>
      </c>
      <c r="CB559" s="2">
        <v>25.036365612765501</v>
      </c>
      <c r="CC559" s="2">
        <v>25.121034745519299</v>
      </c>
      <c r="CD559" s="2">
        <v>25.3038485772367</v>
      </c>
      <c r="CE559" s="2">
        <v>24.546586497216101</v>
      </c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</row>
    <row r="560" spans="1:97">
      <c r="A560" s="2" t="s">
        <v>5548</v>
      </c>
      <c r="B560" s="2">
        <v>213.14921000000001</v>
      </c>
      <c r="C560" s="2">
        <v>9.2050000000000001</v>
      </c>
      <c r="D560" s="2" t="s">
        <v>146</v>
      </c>
      <c r="E560" s="2" t="s">
        <v>5549</v>
      </c>
      <c r="F560" s="2" t="s">
        <v>5550</v>
      </c>
      <c r="G560" s="2">
        <v>2110</v>
      </c>
      <c r="H560" s="3" t="str">
        <f>HYPERLINK("https://cloud.oebiotech.com/#/lm/network/2110", "https://cloud.oebiotech.com/#/lm/network/2110")</f>
        <v>https://cloud.oebiotech.com/#/lm/network/2110</v>
      </c>
      <c r="I560" s="2" t="s">
        <v>5551</v>
      </c>
      <c r="J560" s="2">
        <v>74729</v>
      </c>
      <c r="K560" s="2" t="s">
        <v>5552</v>
      </c>
      <c r="L560" s="2">
        <v>439717</v>
      </c>
      <c r="M560" s="2" t="s">
        <v>5553</v>
      </c>
      <c r="N560" s="2"/>
      <c r="O560" s="2"/>
      <c r="P560" s="2"/>
      <c r="Q560" s="2"/>
      <c r="R560" s="2"/>
      <c r="S560" s="2"/>
      <c r="T560" s="2" t="s">
        <v>5554</v>
      </c>
      <c r="U560" s="2" t="s">
        <v>5555</v>
      </c>
      <c r="V560" s="2" t="s">
        <v>115</v>
      </c>
      <c r="W560" s="2" t="s">
        <v>403</v>
      </c>
      <c r="X560" s="2" t="s">
        <v>2031</v>
      </c>
      <c r="Y560" s="2" t="s">
        <v>118</v>
      </c>
      <c r="Z560" s="2" t="s">
        <v>405</v>
      </c>
      <c r="AA560" s="2" t="s">
        <v>2032</v>
      </c>
      <c r="AB560" s="2" t="s">
        <v>101</v>
      </c>
      <c r="AC560" s="2">
        <v>58.14</v>
      </c>
      <c r="AD560" s="2">
        <v>98.82</v>
      </c>
      <c r="AE560" s="2">
        <v>56.84</v>
      </c>
      <c r="AF560" s="2" t="s">
        <v>5556</v>
      </c>
      <c r="AG560" s="2" t="s">
        <v>194</v>
      </c>
      <c r="AH560" s="2" t="s">
        <v>5557</v>
      </c>
      <c r="AI560" s="2">
        <v>1.88</v>
      </c>
      <c r="AJ560" s="2">
        <v>20.015824414015299</v>
      </c>
      <c r="AK560" s="2">
        <v>20.0953340982316</v>
      </c>
      <c r="AL560" s="2">
        <v>19.762520065220698</v>
      </c>
      <c r="AM560" s="2">
        <v>20.123349401676201</v>
      </c>
      <c r="AN560" s="2">
        <v>19.876049901573399</v>
      </c>
      <c r="AO560" s="2">
        <v>19.911176074804398</v>
      </c>
      <c r="AP560" s="2">
        <v>20.175834709868901</v>
      </c>
      <c r="AQ560" s="2">
        <v>20.008126186872602</v>
      </c>
      <c r="AR560" s="2">
        <v>18.817467341568701</v>
      </c>
      <c r="AS560" s="2">
        <v>19.333557491808399</v>
      </c>
      <c r="AT560" s="2">
        <v>20.594690019415001</v>
      </c>
      <c r="AU560" s="2">
        <v>18.7080465565646</v>
      </c>
      <c r="AV560" s="2">
        <v>19.499770498257298</v>
      </c>
      <c r="AW560" s="2">
        <v>19.994254590740301</v>
      </c>
      <c r="AX560" s="2">
        <v>19.372537537589899</v>
      </c>
      <c r="AY560" s="2">
        <v>19.354939794860702</v>
      </c>
      <c r="AZ560" s="2">
        <v>18.874335217893002</v>
      </c>
      <c r="BA560" s="2">
        <v>20.372557070736899</v>
      </c>
      <c r="BB560" s="2">
        <v>20.263834121314702</v>
      </c>
      <c r="BC560" s="2">
        <v>21.212072031453001</v>
      </c>
      <c r="BD560" s="2">
        <v>19.0488689643065</v>
      </c>
      <c r="BE560" s="2">
        <v>19.364096193516701</v>
      </c>
      <c r="BF560" s="2">
        <v>19.134027516437801</v>
      </c>
      <c r="BG560" s="2">
        <v>20.4060262314235</v>
      </c>
      <c r="BH560" s="2">
        <v>18.990849522694301</v>
      </c>
      <c r="BI560" s="2">
        <v>20.6880649481418</v>
      </c>
      <c r="BJ560" s="2">
        <v>19.7376933787301</v>
      </c>
      <c r="BK560" s="2">
        <v>19.376455956293899</v>
      </c>
      <c r="BL560" s="2">
        <v>20.4227615117941</v>
      </c>
      <c r="BM560" s="2">
        <v>19.567358299814</v>
      </c>
      <c r="BN560" s="2">
        <v>19.771250487866801</v>
      </c>
      <c r="BO560" s="2">
        <v>20.2138071836705</v>
      </c>
      <c r="BP560" s="2">
        <v>19.374923278788899</v>
      </c>
      <c r="BQ560" s="2">
        <v>20.593767204194499</v>
      </c>
      <c r="BR560" s="2">
        <v>20.338759860121002</v>
      </c>
      <c r="BS560" s="2">
        <v>19.2686228188564</v>
      </c>
      <c r="BT560" s="2">
        <v>19.0913325123257</v>
      </c>
      <c r="BU560" s="2">
        <v>20.546853049844099</v>
      </c>
      <c r="BV560" s="2">
        <v>20.861886399109501</v>
      </c>
      <c r="BW560" s="2">
        <v>19.653754141596298</v>
      </c>
      <c r="BX560" s="2">
        <v>18.769844105313101</v>
      </c>
      <c r="BY560" s="2">
        <v>19.485605678040599</v>
      </c>
      <c r="BZ560" s="2">
        <v>19.419041870558701</v>
      </c>
      <c r="CA560" s="2">
        <v>18.896806999283498</v>
      </c>
      <c r="CB560" s="2">
        <v>20.135832974369102</v>
      </c>
      <c r="CC560" s="2">
        <v>21.079187885461099</v>
      </c>
      <c r="CD560" s="2">
        <v>19.192082454275202</v>
      </c>
      <c r="CE560" s="2">
        <v>20.4966443214118</v>
      </c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</row>
    <row r="561" spans="1:97">
      <c r="A561" s="2" t="s">
        <v>5558</v>
      </c>
      <c r="B561" s="2">
        <v>104.05298999999999</v>
      </c>
      <c r="C561" s="2">
        <v>0.98499999999999999</v>
      </c>
      <c r="D561" s="2" t="s">
        <v>84</v>
      </c>
      <c r="E561" s="2" t="s">
        <v>5559</v>
      </c>
      <c r="F561" s="2" t="s">
        <v>5560</v>
      </c>
      <c r="G561" s="2">
        <v>212442</v>
      </c>
      <c r="H561" s="3" t="str">
        <f>HYPERLINK("https://cloud.oebiotech.com/#/lm/network/212442", "https://cloud.oebiotech.com/#/lm/network/212442")</f>
        <v>https://cloud.oebiotech.com/#/lm/network/212442</v>
      </c>
      <c r="I561" s="2" t="s">
        <v>5561</v>
      </c>
      <c r="J561" s="2">
        <v>411888</v>
      </c>
      <c r="K561" s="2"/>
      <c r="L561" s="2">
        <v>67164</v>
      </c>
      <c r="M561" s="2"/>
      <c r="N561" s="2"/>
      <c r="O561" s="2"/>
      <c r="P561" s="2">
        <v>36392</v>
      </c>
      <c r="Q561" s="2"/>
      <c r="R561" s="2"/>
      <c r="S561" s="2"/>
      <c r="T561" s="2" t="s">
        <v>5562</v>
      </c>
      <c r="U561" s="2" t="s">
        <v>5563</v>
      </c>
      <c r="V561" s="2" t="s">
        <v>553</v>
      </c>
      <c r="W561" s="2" t="s">
        <v>5564</v>
      </c>
      <c r="X561" s="2" t="s">
        <v>5565</v>
      </c>
      <c r="Y561" s="2" t="s">
        <v>556</v>
      </c>
      <c r="Z561" s="2" t="s">
        <v>5566</v>
      </c>
      <c r="AA561" s="2" t="s">
        <v>5567</v>
      </c>
      <c r="AB561" s="2" t="s">
        <v>5118</v>
      </c>
      <c r="AC561" s="2">
        <v>58.11</v>
      </c>
      <c r="AD561" s="2">
        <v>94.85</v>
      </c>
      <c r="AE561" s="2">
        <v>69.739999999999995</v>
      </c>
      <c r="AF561" s="2" t="s">
        <v>5568</v>
      </c>
      <c r="AG561" s="2" t="s">
        <v>103</v>
      </c>
      <c r="AH561" s="2" t="s">
        <v>5569</v>
      </c>
      <c r="AI561" s="2">
        <v>-1.35</v>
      </c>
      <c r="AJ561" s="2">
        <v>20.787819299082599</v>
      </c>
      <c r="AK561" s="2">
        <v>20.664190494493099</v>
      </c>
      <c r="AL561" s="2">
        <v>20.6573525240557</v>
      </c>
      <c r="AM561" s="2">
        <v>20.849798762901901</v>
      </c>
      <c r="AN561" s="2">
        <v>20.8897255426443</v>
      </c>
      <c r="AO561" s="2">
        <v>20.831202826565899</v>
      </c>
      <c r="AP561" s="2">
        <v>21.152844417668199</v>
      </c>
      <c r="AQ561" s="2">
        <v>20.9784139490658</v>
      </c>
      <c r="AR561" s="2">
        <v>19.838439421035101</v>
      </c>
      <c r="AS561" s="2">
        <v>19.957222953711501</v>
      </c>
      <c r="AT561" s="2">
        <v>18.388222757185599</v>
      </c>
      <c r="AU561" s="2">
        <v>19.994628612207201</v>
      </c>
      <c r="AV561" s="2">
        <v>20.8018960239833</v>
      </c>
      <c r="AW561" s="2">
        <v>20.4682743353444</v>
      </c>
      <c r="AX561" s="2">
        <v>19.491735704298499</v>
      </c>
      <c r="AY561" s="2">
        <v>21.1330028417836</v>
      </c>
      <c r="AZ561" s="2">
        <v>18.675101977557301</v>
      </c>
      <c r="BA561" s="2">
        <v>17.622333782826502</v>
      </c>
      <c r="BB561" s="2">
        <v>20.9405660051114</v>
      </c>
      <c r="BC561" s="2">
        <v>18.3084148944337</v>
      </c>
      <c r="BD561" s="2">
        <v>17.2531138029414</v>
      </c>
      <c r="BE561" s="2">
        <v>20.8379051714053</v>
      </c>
      <c r="BF561" s="2">
        <v>20.415416337633602</v>
      </c>
      <c r="BG561" s="2">
        <v>19.436302237441001</v>
      </c>
      <c r="BH561" s="2">
        <v>22.146301998293101</v>
      </c>
      <c r="BI561" s="2">
        <v>17.843950792340902</v>
      </c>
      <c r="BJ561" s="2">
        <v>20.249413789971999</v>
      </c>
      <c r="BK561" s="2">
        <v>18.825947073512101</v>
      </c>
      <c r="BL561" s="2">
        <v>19.979891676827599</v>
      </c>
      <c r="BM561" s="2">
        <v>22.820354078219701</v>
      </c>
      <c r="BN561" s="2">
        <v>20.226972249856001</v>
      </c>
      <c r="BO561" s="2">
        <v>19.9492979911516</v>
      </c>
      <c r="BP561" s="2">
        <v>21.0331086508548</v>
      </c>
      <c r="BQ561" s="2">
        <v>20.506064762227101</v>
      </c>
      <c r="BR561" s="2">
        <v>19.946426218374398</v>
      </c>
      <c r="BS561" s="2">
        <v>19.9713054837896</v>
      </c>
      <c r="BT561" s="2">
        <v>18.044010254717001</v>
      </c>
      <c r="BU561" s="2">
        <v>19.0478586073841</v>
      </c>
      <c r="BV561" s="2">
        <v>20.298683181524702</v>
      </c>
      <c r="BW561" s="2">
        <v>18.2757885523725</v>
      </c>
      <c r="BX561" s="2">
        <v>20.195909381033399</v>
      </c>
      <c r="BY561" s="2">
        <v>21.596074456216702</v>
      </c>
      <c r="BZ561" s="2">
        <v>21.998661478060299</v>
      </c>
      <c r="CA561" s="2">
        <v>21.749377183846299</v>
      </c>
      <c r="CB561" s="2">
        <v>19.486823887917001</v>
      </c>
      <c r="CC561" s="2">
        <v>19.021091777280599</v>
      </c>
      <c r="CD561" s="2">
        <v>21.239274519956101</v>
      </c>
      <c r="CE561" s="2">
        <v>19.703587841242499</v>
      </c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</row>
    <row r="562" spans="1:97">
      <c r="A562" s="2" t="s">
        <v>5570</v>
      </c>
      <c r="B562" s="2">
        <v>539.24937</v>
      </c>
      <c r="C562" s="2">
        <v>5.4050000000000002</v>
      </c>
      <c r="D562" s="2" t="s">
        <v>146</v>
      </c>
      <c r="E562" s="2" t="s">
        <v>5571</v>
      </c>
      <c r="F562" s="2" t="s">
        <v>5572</v>
      </c>
      <c r="G562" s="2">
        <v>199285</v>
      </c>
      <c r="H562" s="3" t="str">
        <f>HYPERLINK("https://cloud.oebiotech.com/#/lm/network/199285", "https://cloud.oebiotech.com/#/lm/network/199285")</f>
        <v>https://cloud.oebiotech.com/#/lm/network/199285</v>
      </c>
      <c r="I562" s="2" t="s">
        <v>5573</v>
      </c>
      <c r="J562" s="2"/>
      <c r="K562" s="2"/>
      <c r="L562" s="2">
        <v>73219405</v>
      </c>
      <c r="M562" s="2"/>
      <c r="N562" s="2"/>
      <c r="O562" s="2"/>
      <c r="P562" s="2"/>
      <c r="Q562" s="2"/>
      <c r="R562" s="2"/>
      <c r="S562" s="2"/>
      <c r="T562" s="2" t="s">
        <v>5574</v>
      </c>
      <c r="U562" s="2" t="s">
        <v>5575</v>
      </c>
      <c r="V562" s="2" t="s">
        <v>115</v>
      </c>
      <c r="W562" s="2" t="s">
        <v>116</v>
      </c>
      <c r="X562" s="2" t="s">
        <v>117</v>
      </c>
      <c r="Y562" s="2" t="s">
        <v>118</v>
      </c>
      <c r="Z562" s="2" t="s">
        <v>119</v>
      </c>
      <c r="AA562" s="2" t="s">
        <v>120</v>
      </c>
      <c r="AB562" s="2" t="s">
        <v>3086</v>
      </c>
      <c r="AC562" s="2">
        <v>58.03</v>
      </c>
      <c r="AD562" s="2">
        <v>80.459999999999994</v>
      </c>
      <c r="AE562" s="2">
        <v>43.95</v>
      </c>
      <c r="AF562" s="2" t="s">
        <v>5576</v>
      </c>
      <c r="AG562" s="2" t="s">
        <v>157</v>
      </c>
      <c r="AH562" s="2" t="s">
        <v>5577</v>
      </c>
      <c r="AI562" s="2">
        <v>3.15</v>
      </c>
      <c r="AJ562" s="2">
        <v>16.649743431501999</v>
      </c>
      <c r="AK562" s="2">
        <v>16.776240627718501</v>
      </c>
      <c r="AL562" s="2">
        <v>16.861600071900401</v>
      </c>
      <c r="AM562" s="2">
        <v>16.745938319551001</v>
      </c>
      <c r="AN562" s="2">
        <v>17.020702529293199</v>
      </c>
      <c r="AO562" s="2">
        <v>16.865271361509599</v>
      </c>
      <c r="AP562" s="2">
        <v>16.676894513128602</v>
      </c>
      <c r="AQ562" s="2">
        <v>16.7539423285975</v>
      </c>
      <c r="AR562" s="2">
        <v>15.684875979091</v>
      </c>
      <c r="AS562" s="2">
        <v>15.6785949127314</v>
      </c>
      <c r="AT562" s="2">
        <v>17.400301762440201</v>
      </c>
      <c r="AU562" s="2">
        <v>14.0854807581395</v>
      </c>
      <c r="AV562" s="2">
        <v>15.042120613628301</v>
      </c>
      <c r="AW562" s="2">
        <v>17.4103807089962</v>
      </c>
      <c r="AX562" s="2">
        <v>14.363507170621199</v>
      </c>
      <c r="AY562" s="2">
        <v>16.582955944191198</v>
      </c>
      <c r="AZ562" s="2">
        <v>15.8925632123114</v>
      </c>
      <c r="BA562" s="2">
        <v>15.9951156891753</v>
      </c>
      <c r="BB562" s="2">
        <v>16.508992930587901</v>
      </c>
      <c r="BC562" s="2">
        <v>17.4007983190867</v>
      </c>
      <c r="BD562" s="2">
        <v>15.8984190552023</v>
      </c>
      <c r="BE562" s="2">
        <v>17.407103170893802</v>
      </c>
      <c r="BF562" s="2">
        <v>9.6233145402724691</v>
      </c>
      <c r="BG562" s="2">
        <v>16.4198303491976</v>
      </c>
      <c r="BH562" s="2">
        <v>16.9079406522225</v>
      </c>
      <c r="BI562" s="2">
        <v>15.7002443580236</v>
      </c>
      <c r="BJ562" s="2">
        <v>16.433698228788799</v>
      </c>
      <c r="BK562" s="2">
        <v>16.2669250436022</v>
      </c>
      <c r="BL562" s="2">
        <v>16.140340909521299</v>
      </c>
      <c r="BM562" s="2">
        <v>16.5713872136166</v>
      </c>
      <c r="BN562" s="2">
        <v>15.286332503404401</v>
      </c>
      <c r="BO562" s="2">
        <v>15.838776261382399</v>
      </c>
      <c r="BP562" s="2">
        <v>16.311155110328201</v>
      </c>
      <c r="BQ562" s="2">
        <v>16.0298820434645</v>
      </c>
      <c r="BR562" s="2">
        <v>14.965928546953201</v>
      </c>
      <c r="BS562" s="2">
        <v>15.899070810393701</v>
      </c>
      <c r="BT562" s="2">
        <v>16.6299644458954</v>
      </c>
      <c r="BU562" s="2">
        <v>16.2276324879873</v>
      </c>
      <c r="BV562" s="2">
        <v>15.640229117111</v>
      </c>
      <c r="BW562" s="2">
        <v>16.125459885898699</v>
      </c>
      <c r="BX562" s="2">
        <v>16.021375402181899</v>
      </c>
      <c r="BY562" s="2">
        <v>17.671509347085099</v>
      </c>
      <c r="BZ562" s="2">
        <v>15.8703974727048</v>
      </c>
      <c r="CA562" s="2">
        <v>9.6233145402724691</v>
      </c>
      <c r="CB562" s="2">
        <v>16.183312041377</v>
      </c>
      <c r="CC562" s="2">
        <v>15.903574035449701</v>
      </c>
      <c r="CD562" s="2">
        <v>15.751126629707899</v>
      </c>
      <c r="CE562" s="2">
        <v>17.202514717650601</v>
      </c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</row>
    <row r="563" spans="1:97">
      <c r="A563" s="2" t="s">
        <v>5578</v>
      </c>
      <c r="B563" s="2">
        <v>89.024150000000006</v>
      </c>
      <c r="C563" s="2">
        <v>0.996</v>
      </c>
      <c r="D563" s="2" t="s">
        <v>146</v>
      </c>
      <c r="E563" s="2" t="s">
        <v>5579</v>
      </c>
      <c r="F563" s="2" t="s">
        <v>5580</v>
      </c>
      <c r="G563" s="2">
        <v>47508</v>
      </c>
      <c r="H563" s="3" t="str">
        <f>HYPERLINK("https://cloud.oebiotech.com/#/lm/network/47508", "https://cloud.oebiotech.com/#/lm/network/47508")</f>
        <v>https://cloud.oebiotech.com/#/lm/network/47508</v>
      </c>
      <c r="I563" s="2" t="s">
        <v>5581</v>
      </c>
      <c r="J563" s="2">
        <v>63094</v>
      </c>
      <c r="K563" s="2"/>
      <c r="L563" s="2">
        <v>61503</v>
      </c>
      <c r="M563" s="2" t="s">
        <v>5582</v>
      </c>
      <c r="N563" s="2" t="s">
        <v>5583</v>
      </c>
      <c r="O563" s="2" t="s">
        <v>5584</v>
      </c>
      <c r="P563" s="2">
        <v>42111</v>
      </c>
      <c r="Q563" s="2"/>
      <c r="R563" s="2"/>
      <c r="S563" s="2" t="s">
        <v>5585</v>
      </c>
      <c r="T563" s="2" t="s">
        <v>5586</v>
      </c>
      <c r="U563" s="2" t="s">
        <v>5587</v>
      </c>
      <c r="V563" s="2" t="s">
        <v>115</v>
      </c>
      <c r="W563" s="2" t="s">
        <v>832</v>
      </c>
      <c r="X563" s="2" t="s">
        <v>5588</v>
      </c>
      <c r="Y563" s="2" t="s">
        <v>118</v>
      </c>
      <c r="Z563" s="2" t="s">
        <v>834</v>
      </c>
      <c r="AA563" s="2" t="s">
        <v>5589</v>
      </c>
      <c r="AB563" s="2" t="s">
        <v>3086</v>
      </c>
      <c r="AC563" s="2">
        <v>57.97</v>
      </c>
      <c r="AD563" s="2">
        <v>99.96</v>
      </c>
      <c r="AE563" s="2">
        <v>33.03</v>
      </c>
      <c r="AF563" s="2" t="s">
        <v>5590</v>
      </c>
      <c r="AG563" s="2" t="s">
        <v>194</v>
      </c>
      <c r="AH563" s="2" t="s">
        <v>5591</v>
      </c>
      <c r="AI563" s="2">
        <v>3.03</v>
      </c>
      <c r="AJ563" s="2">
        <v>30.077996940445601</v>
      </c>
      <c r="AK563" s="2">
        <v>30.031368830693001</v>
      </c>
      <c r="AL563" s="2">
        <v>28.8268002306828</v>
      </c>
      <c r="AM563" s="2">
        <v>30.082790007204402</v>
      </c>
      <c r="AN563" s="2">
        <v>30.1763252217978</v>
      </c>
      <c r="AO563" s="2">
        <v>30.099849565029</v>
      </c>
      <c r="AP563" s="2">
        <v>30.161249448634301</v>
      </c>
      <c r="AQ563" s="2">
        <v>30.1049022917096</v>
      </c>
      <c r="AR563" s="2">
        <v>29.992598675647699</v>
      </c>
      <c r="AS563" s="2">
        <v>29.573867637746599</v>
      </c>
      <c r="AT563" s="2">
        <v>29.847626108906098</v>
      </c>
      <c r="AU563" s="2">
        <v>29.317051291522301</v>
      </c>
      <c r="AV563" s="2">
        <v>29.837132620250699</v>
      </c>
      <c r="AW563" s="2">
        <v>30.164984084239201</v>
      </c>
      <c r="AX563" s="2">
        <v>30.035646799456799</v>
      </c>
      <c r="AY563" s="2">
        <v>29.788558103301099</v>
      </c>
      <c r="AZ563" s="2">
        <v>29.863524639065801</v>
      </c>
      <c r="BA563" s="2">
        <v>29.081742570690899</v>
      </c>
      <c r="BB563" s="2">
        <v>30.149091028888101</v>
      </c>
      <c r="BC563" s="2">
        <v>30.176709374755301</v>
      </c>
      <c r="BD563" s="2">
        <v>30.010247299194099</v>
      </c>
      <c r="BE563" s="2">
        <v>29.6935359512179</v>
      </c>
      <c r="BF563" s="2">
        <v>30.721770814907298</v>
      </c>
      <c r="BG563" s="2">
        <v>30.428596936413001</v>
      </c>
      <c r="BH563" s="2">
        <v>29.776217780409901</v>
      </c>
      <c r="BI563" s="2">
        <v>30.324752937682401</v>
      </c>
      <c r="BJ563" s="2">
        <v>30.793062086916699</v>
      </c>
      <c r="BK563" s="2">
        <v>29.796327994175002</v>
      </c>
      <c r="BL563" s="2">
        <v>29.829328871144401</v>
      </c>
      <c r="BM563" s="2">
        <v>29.362240827968598</v>
      </c>
      <c r="BN563" s="2">
        <v>29.705616023286201</v>
      </c>
      <c r="BO563" s="2">
        <v>29.2804792635343</v>
      </c>
      <c r="BP563" s="2">
        <v>30.586718704786598</v>
      </c>
      <c r="BQ563" s="2">
        <v>29.777632520872299</v>
      </c>
      <c r="BR563" s="2">
        <v>30.136913195066001</v>
      </c>
      <c r="BS563" s="2">
        <v>30.240052696534001</v>
      </c>
      <c r="BT563" s="2">
        <v>29.212264322140399</v>
      </c>
      <c r="BU563" s="2">
        <v>30.9974732239336</v>
      </c>
      <c r="BV563" s="2">
        <v>30.263210597290598</v>
      </c>
      <c r="BW563" s="2">
        <v>29.4435160520867</v>
      </c>
      <c r="BX563" s="2">
        <v>29.5247558918274</v>
      </c>
      <c r="BY563" s="2">
        <v>30.220536656655199</v>
      </c>
      <c r="BZ563" s="2">
        <v>29.7339845481997</v>
      </c>
      <c r="CA563" s="2">
        <v>30.787827201785198</v>
      </c>
      <c r="CB563" s="2">
        <v>29.358007848136499</v>
      </c>
      <c r="CC563" s="2">
        <v>30.307380294652901</v>
      </c>
      <c r="CD563" s="2">
        <v>30.4233492939073</v>
      </c>
      <c r="CE563" s="2">
        <v>30.1969264002371</v>
      </c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</row>
    <row r="564" spans="1:97">
      <c r="A564" s="2" t="s">
        <v>5592</v>
      </c>
      <c r="B564" s="2">
        <v>437.19306</v>
      </c>
      <c r="C564" s="2">
        <v>9.4190000000000005</v>
      </c>
      <c r="D564" s="2" t="s">
        <v>84</v>
      </c>
      <c r="E564" s="2" t="s">
        <v>5593</v>
      </c>
      <c r="F564" s="2" t="s">
        <v>5594</v>
      </c>
      <c r="G564" s="2">
        <v>55220</v>
      </c>
      <c r="H564" s="3" t="str">
        <f>HYPERLINK("https://cloud.oebiotech.com/#/lm/network/55220", "https://cloud.oebiotech.com/#/lm/network/55220")</f>
        <v>https://cloud.oebiotech.com/#/lm/network/55220</v>
      </c>
      <c r="I564" s="2" t="s">
        <v>5595</v>
      </c>
      <c r="J564" s="2">
        <v>86949</v>
      </c>
      <c r="K564" s="2"/>
      <c r="L564" s="2">
        <v>21124297</v>
      </c>
      <c r="M564" s="2"/>
      <c r="N564" s="2"/>
      <c r="O564" s="2"/>
      <c r="P564" s="2">
        <v>168784</v>
      </c>
      <c r="Q564" s="2"/>
      <c r="R564" s="2"/>
      <c r="S564" s="2" t="s">
        <v>5596</v>
      </c>
      <c r="T564" s="2" t="s">
        <v>5597</v>
      </c>
      <c r="U564" s="2" t="s">
        <v>5598</v>
      </c>
      <c r="V564" s="2" t="s">
        <v>95</v>
      </c>
      <c r="W564" s="2" t="s">
        <v>180</v>
      </c>
      <c r="X564" s="2" t="s">
        <v>181</v>
      </c>
      <c r="Y564" s="2" t="s">
        <v>98</v>
      </c>
      <c r="Z564" s="2" t="s">
        <v>182</v>
      </c>
      <c r="AA564" s="2" t="s">
        <v>183</v>
      </c>
      <c r="AB564" s="2" t="s">
        <v>3086</v>
      </c>
      <c r="AC564" s="2">
        <v>57.87</v>
      </c>
      <c r="AD564" s="2">
        <v>76.87</v>
      </c>
      <c r="AE564" s="2">
        <v>38.81</v>
      </c>
      <c r="AF564" s="2" t="s">
        <v>5599</v>
      </c>
      <c r="AG564" s="2" t="s">
        <v>1578</v>
      </c>
      <c r="AH564" s="2" t="s">
        <v>185</v>
      </c>
      <c r="AI564" s="2">
        <v>0.91</v>
      </c>
      <c r="AJ564" s="2">
        <v>18.542619257277501</v>
      </c>
      <c r="AK564" s="2">
        <v>18.4755922588446</v>
      </c>
      <c r="AL564" s="2">
        <v>18.293930007095899</v>
      </c>
      <c r="AM564" s="2">
        <v>18.081510796278799</v>
      </c>
      <c r="AN564" s="2">
        <v>18.466695499531902</v>
      </c>
      <c r="AO564" s="2">
        <v>18.1998273135193</v>
      </c>
      <c r="AP564" s="2">
        <v>17.544851114251799</v>
      </c>
      <c r="AQ564" s="2">
        <v>18.5424883351997</v>
      </c>
      <c r="AR564" s="2">
        <v>16.846924436975499</v>
      </c>
      <c r="AS564" s="2">
        <v>14.2292754716056</v>
      </c>
      <c r="AT564" s="2">
        <v>15.3729792961473</v>
      </c>
      <c r="AU564" s="2">
        <v>9.6233145402724691</v>
      </c>
      <c r="AV564" s="2">
        <v>9.6233145402724691</v>
      </c>
      <c r="AW564" s="2">
        <v>15.4817357448583</v>
      </c>
      <c r="AX564" s="2">
        <v>14.199751316733799</v>
      </c>
      <c r="AY564" s="2">
        <v>9.6233145402724691</v>
      </c>
      <c r="AZ564" s="2">
        <v>9.6233145402724691</v>
      </c>
      <c r="BA564" s="2">
        <v>14.406674708515199</v>
      </c>
      <c r="BB564" s="2">
        <v>9.6233145402724691</v>
      </c>
      <c r="BC564" s="2">
        <v>15.562262700050599</v>
      </c>
      <c r="BD564" s="2">
        <v>14.2799282755695</v>
      </c>
      <c r="BE564" s="2">
        <v>21.881694167364</v>
      </c>
      <c r="BF564" s="2">
        <v>16.8636679700674</v>
      </c>
      <c r="BG564" s="2">
        <v>16.655047656970101</v>
      </c>
      <c r="BH564" s="2">
        <v>9.6233145402724691</v>
      </c>
      <c r="BI564" s="2">
        <v>9.6233145402724691</v>
      </c>
      <c r="BJ564" s="2">
        <v>9.6233145402724691</v>
      </c>
      <c r="BK564" s="2">
        <v>14.675767975475701</v>
      </c>
      <c r="BL564" s="2">
        <v>9.6233145402724691</v>
      </c>
      <c r="BM564" s="2">
        <v>15.1306264645465</v>
      </c>
      <c r="BN564" s="2">
        <v>9.6233145402724691</v>
      </c>
      <c r="BO564" s="2">
        <v>14.549119229017199</v>
      </c>
      <c r="BP564" s="2">
        <v>16.854297779778001</v>
      </c>
      <c r="BQ564" s="2">
        <v>14.286194587594901</v>
      </c>
      <c r="BR564" s="2">
        <v>14.0370621420776</v>
      </c>
      <c r="BS564" s="2">
        <v>9.6233145402724691</v>
      </c>
      <c r="BT564" s="2">
        <v>15.4453016875316</v>
      </c>
      <c r="BU564" s="2">
        <v>15.199348744927001</v>
      </c>
      <c r="BV564" s="2">
        <v>15.2351799300466</v>
      </c>
      <c r="BW564" s="2">
        <v>14.3975202220934</v>
      </c>
      <c r="BX564" s="2">
        <v>14.5083128917758</v>
      </c>
      <c r="BY564" s="2">
        <v>21.065742730829399</v>
      </c>
      <c r="BZ564" s="2">
        <v>15.898521797036</v>
      </c>
      <c r="CA564" s="2">
        <v>18.424162761482201</v>
      </c>
      <c r="CB564" s="2">
        <v>14.566903726566</v>
      </c>
      <c r="CC564" s="2">
        <v>13.9089264017486</v>
      </c>
      <c r="CD564" s="2">
        <v>9.6233145402724691</v>
      </c>
      <c r="CE564" s="2">
        <v>9.6233145402724691</v>
      </c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</row>
    <row r="565" spans="1:97">
      <c r="A565" s="2" t="s">
        <v>5600</v>
      </c>
      <c r="B565" s="2">
        <v>325.03575000000001</v>
      </c>
      <c r="C565" s="2">
        <v>4.0199999999999996</v>
      </c>
      <c r="D565" s="2" t="s">
        <v>146</v>
      </c>
      <c r="E565" s="2" t="s">
        <v>5601</v>
      </c>
      <c r="F565" s="2" t="s">
        <v>5602</v>
      </c>
      <c r="G565" s="2">
        <v>197190</v>
      </c>
      <c r="H565" s="3" t="str">
        <f>HYPERLINK("https://cloud.oebiotech.com/#/lm/network/197190", "https://cloud.oebiotech.com/#/lm/network/197190")</f>
        <v>https://cloud.oebiotech.com/#/lm/network/197190</v>
      </c>
      <c r="I565" s="2" t="s">
        <v>5603</v>
      </c>
      <c r="J565" s="2"/>
      <c r="K565" s="2"/>
      <c r="L565" s="2">
        <v>78068908</v>
      </c>
      <c r="M565" s="2"/>
      <c r="N565" s="2"/>
      <c r="O565" s="2"/>
      <c r="P565" s="2"/>
      <c r="Q565" s="2"/>
      <c r="R565" s="2"/>
      <c r="S565" s="2"/>
      <c r="T565" s="2" t="s">
        <v>5604</v>
      </c>
      <c r="U565" s="2" t="s">
        <v>5605</v>
      </c>
      <c r="V565" s="2" t="s">
        <v>115</v>
      </c>
      <c r="W565" s="2" t="s">
        <v>116</v>
      </c>
      <c r="X565" s="2" t="s">
        <v>117</v>
      </c>
      <c r="Y565" s="2" t="s">
        <v>118</v>
      </c>
      <c r="Z565" s="2" t="s">
        <v>119</v>
      </c>
      <c r="AA565" s="2" t="s">
        <v>120</v>
      </c>
      <c r="AB565" s="2" t="s">
        <v>5118</v>
      </c>
      <c r="AC565" s="2">
        <v>57.64</v>
      </c>
      <c r="AD565" s="2">
        <v>84.3</v>
      </c>
      <c r="AE565" s="2">
        <v>80.819999999999993</v>
      </c>
      <c r="AF565" s="2" t="s">
        <v>5606</v>
      </c>
      <c r="AG565" s="2" t="s">
        <v>194</v>
      </c>
      <c r="AH565" s="2" t="s">
        <v>5607</v>
      </c>
      <c r="AI565" s="2">
        <v>-0.62</v>
      </c>
      <c r="AJ565" s="2">
        <v>17.489578386171999</v>
      </c>
      <c r="AK565" s="2">
        <v>17.673407495501799</v>
      </c>
      <c r="AL565" s="2">
        <v>17.362621590708699</v>
      </c>
      <c r="AM565" s="2">
        <v>17.4732285928017</v>
      </c>
      <c r="AN565" s="2">
        <v>16.581680772544399</v>
      </c>
      <c r="AO565" s="2">
        <v>17.163548655525702</v>
      </c>
      <c r="AP565" s="2">
        <v>17.127668037906101</v>
      </c>
      <c r="AQ565" s="2">
        <v>16.787556608728</v>
      </c>
      <c r="AR565" s="2">
        <v>13.2250884127061</v>
      </c>
      <c r="AS565" s="2">
        <v>13.240935892500699</v>
      </c>
      <c r="AT565" s="2">
        <v>9.6233145402724691</v>
      </c>
      <c r="AU565" s="2">
        <v>15.283639679057</v>
      </c>
      <c r="AV565" s="2">
        <v>14.100851204066901</v>
      </c>
      <c r="AW565" s="2">
        <v>17.903080707817299</v>
      </c>
      <c r="AX565" s="2">
        <v>16.895320137567499</v>
      </c>
      <c r="AY565" s="2">
        <v>13.930027640881701</v>
      </c>
      <c r="AZ565" s="2">
        <v>9.6233145402724691</v>
      </c>
      <c r="BA565" s="2">
        <v>11.5830357427782</v>
      </c>
      <c r="BB565" s="2">
        <v>19.103244977767201</v>
      </c>
      <c r="BC565" s="2">
        <v>17.0519674396498</v>
      </c>
      <c r="BD565" s="2">
        <v>15.1420472097515</v>
      </c>
      <c r="BE565" s="2">
        <v>16.693136940618</v>
      </c>
      <c r="BF565" s="2">
        <v>13.1889426767403</v>
      </c>
      <c r="BG565" s="2">
        <v>18.700372523748399</v>
      </c>
      <c r="BH565" s="2">
        <v>18.691924396680399</v>
      </c>
      <c r="BI565" s="2">
        <v>19.515419632201901</v>
      </c>
      <c r="BJ565" s="2">
        <v>16.395978549887499</v>
      </c>
      <c r="BK565" s="2">
        <v>11.8031987777824</v>
      </c>
      <c r="BL565" s="2">
        <v>15.809603857074899</v>
      </c>
      <c r="BM565" s="2">
        <v>16.912886062475799</v>
      </c>
      <c r="BN565" s="2">
        <v>16.4166969338496</v>
      </c>
      <c r="BO565" s="2">
        <v>15.6325053767243</v>
      </c>
      <c r="BP565" s="2">
        <v>17.7400058155573</v>
      </c>
      <c r="BQ565" s="2">
        <v>18.013064184857701</v>
      </c>
      <c r="BR565" s="2">
        <v>17.587848334019501</v>
      </c>
      <c r="BS565" s="2">
        <v>15.5602029499838</v>
      </c>
      <c r="BT565" s="2">
        <v>11.9251241633131</v>
      </c>
      <c r="BU565" s="2">
        <v>11.665855513629801</v>
      </c>
      <c r="BV565" s="2">
        <v>15.7410650699093</v>
      </c>
      <c r="BW565" s="2">
        <v>12.2619832319088</v>
      </c>
      <c r="BX565" s="2">
        <v>12.0703188820777</v>
      </c>
      <c r="BY565" s="2">
        <v>17.811497246131399</v>
      </c>
      <c r="BZ565" s="2">
        <v>15.956436964075699</v>
      </c>
      <c r="CA565" s="2">
        <v>14.6697432122502</v>
      </c>
      <c r="CB565" s="2">
        <v>15.2231185674858</v>
      </c>
      <c r="CC565" s="2">
        <v>18.500068605553398</v>
      </c>
      <c r="CD565" s="2">
        <v>15.441581257651199</v>
      </c>
      <c r="CE565" s="2">
        <v>12.133460135536</v>
      </c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</row>
    <row r="566" spans="1:97">
      <c r="A566" s="2" t="s">
        <v>5608</v>
      </c>
      <c r="B566" s="2">
        <v>120.06547999999999</v>
      </c>
      <c r="C566" s="2">
        <v>1.109</v>
      </c>
      <c r="D566" s="2" t="s">
        <v>84</v>
      </c>
      <c r="E566" s="2" t="s">
        <v>5609</v>
      </c>
      <c r="F566" s="2" t="s">
        <v>5610</v>
      </c>
      <c r="G566" s="2">
        <v>1355</v>
      </c>
      <c r="H566" s="3" t="str">
        <f>HYPERLINK("https://cloud.oebiotech.com/#/lm/network/1355", "https://cloud.oebiotech.com/#/lm/network/1355")</f>
        <v>https://cloud.oebiotech.com/#/lm/network/1355</v>
      </c>
      <c r="I566" s="2"/>
      <c r="J566" s="2"/>
      <c r="K566" s="2" t="s">
        <v>5611</v>
      </c>
      <c r="L566" s="2">
        <v>54697417</v>
      </c>
      <c r="M566" s="2"/>
      <c r="N566" s="2"/>
      <c r="O566" s="2"/>
      <c r="P566" s="2">
        <v>38871</v>
      </c>
      <c r="Q566" s="2"/>
      <c r="R566" s="2"/>
      <c r="S566" s="2"/>
      <c r="T566" s="2" t="s">
        <v>5612</v>
      </c>
      <c r="U566" s="2" t="s">
        <v>5613</v>
      </c>
      <c r="V566" s="2" t="s">
        <v>95</v>
      </c>
      <c r="W566" s="2" t="s">
        <v>96</v>
      </c>
      <c r="X566" s="2" t="s">
        <v>141</v>
      </c>
      <c r="Y566" s="2" t="s">
        <v>98</v>
      </c>
      <c r="Z566" s="2" t="s">
        <v>99</v>
      </c>
      <c r="AA566" s="2" t="s">
        <v>142</v>
      </c>
      <c r="AB566" s="2" t="s">
        <v>3086</v>
      </c>
      <c r="AC566" s="2">
        <v>57.36</v>
      </c>
      <c r="AD566" s="2">
        <v>97.35</v>
      </c>
      <c r="AE566" s="2">
        <v>0</v>
      </c>
      <c r="AF566" s="2" t="s">
        <v>5614</v>
      </c>
      <c r="AG566" s="2" t="s">
        <v>132</v>
      </c>
      <c r="AH566" s="2" t="s">
        <v>5615</v>
      </c>
      <c r="AI566" s="2">
        <v>0</v>
      </c>
      <c r="AJ566" s="2">
        <v>19.1290584589205</v>
      </c>
      <c r="AK566" s="2">
        <v>19.696073610852999</v>
      </c>
      <c r="AL566" s="2">
        <v>19.893660758419198</v>
      </c>
      <c r="AM566" s="2">
        <v>19.8694677235986</v>
      </c>
      <c r="AN566" s="2">
        <v>19.815098817488199</v>
      </c>
      <c r="AO566" s="2">
        <v>19.7313824956139</v>
      </c>
      <c r="AP566" s="2">
        <v>20.072446581172699</v>
      </c>
      <c r="AQ566" s="2">
        <v>19.7276610009222</v>
      </c>
      <c r="AR566" s="2">
        <v>18.893976510318101</v>
      </c>
      <c r="AS566" s="2">
        <v>19.3169839231639</v>
      </c>
      <c r="AT566" s="2">
        <v>19.0994935715837</v>
      </c>
      <c r="AU566" s="2">
        <v>18.804144132865598</v>
      </c>
      <c r="AV566" s="2">
        <v>19.283103753400201</v>
      </c>
      <c r="AW566" s="2">
        <v>19.691827163784101</v>
      </c>
      <c r="AX566" s="2">
        <v>19.466936793099102</v>
      </c>
      <c r="AY566" s="2">
        <v>19.732831559337601</v>
      </c>
      <c r="AZ566" s="2">
        <v>19.785840884113099</v>
      </c>
      <c r="BA566" s="2">
        <v>19.1788204395794</v>
      </c>
      <c r="BB566" s="2">
        <v>19.362124989955301</v>
      </c>
      <c r="BC566" s="2">
        <v>20.503057547345101</v>
      </c>
      <c r="BD566" s="2">
        <v>18.823521462381699</v>
      </c>
      <c r="BE566" s="2">
        <v>19.794726770538901</v>
      </c>
      <c r="BF566" s="2">
        <v>19.361816048014699</v>
      </c>
      <c r="BG566" s="2">
        <v>19.5387864319326</v>
      </c>
      <c r="BH566" s="2">
        <v>19.946757841757599</v>
      </c>
      <c r="BI566" s="2">
        <v>19.1186139774018</v>
      </c>
      <c r="BJ566" s="2">
        <v>19.077299258169599</v>
      </c>
      <c r="BK566" s="2">
        <v>18.540737523263601</v>
      </c>
      <c r="BL566" s="2">
        <v>19.4066975420203</v>
      </c>
      <c r="BM566" s="2">
        <v>20.231288024864298</v>
      </c>
      <c r="BN566" s="2">
        <v>19.805132618520801</v>
      </c>
      <c r="BO566" s="2">
        <v>19.297360126755201</v>
      </c>
      <c r="BP566" s="2">
        <v>19.411177038153198</v>
      </c>
      <c r="BQ566" s="2">
        <v>19.861867442609999</v>
      </c>
      <c r="BR566" s="2">
        <v>19.344377642424401</v>
      </c>
      <c r="BS566" s="2">
        <v>19.8930615861766</v>
      </c>
      <c r="BT566" s="2">
        <v>19.752790185092302</v>
      </c>
      <c r="BU566" s="2">
        <v>19.6174076291719</v>
      </c>
      <c r="BV566" s="2">
        <v>19.469996636967799</v>
      </c>
      <c r="BW566" s="2">
        <v>19.552528821589799</v>
      </c>
      <c r="BX566" s="2">
        <v>19.743813663158999</v>
      </c>
      <c r="BY566" s="2">
        <v>20.492354571112099</v>
      </c>
      <c r="BZ566" s="2">
        <v>20.383357366330301</v>
      </c>
      <c r="CA566" s="2">
        <v>19.9522740511457</v>
      </c>
      <c r="CB566" s="2">
        <v>19.734257797792701</v>
      </c>
      <c r="CC566" s="2">
        <v>19.597295413845401</v>
      </c>
      <c r="CD566" s="2">
        <v>19.223759623066002</v>
      </c>
      <c r="CE566" s="2">
        <v>19.806917567770299</v>
      </c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</row>
    <row r="567" spans="1:97">
      <c r="A567" s="2" t="s">
        <v>5616</v>
      </c>
      <c r="B567" s="2">
        <v>160.13301999999999</v>
      </c>
      <c r="C567" s="2">
        <v>0.77900000000000003</v>
      </c>
      <c r="D567" s="2" t="s">
        <v>84</v>
      </c>
      <c r="E567" s="2" t="s">
        <v>5617</v>
      </c>
      <c r="F567" s="2" t="s">
        <v>5618</v>
      </c>
      <c r="G567" s="2">
        <v>197329</v>
      </c>
      <c r="H567" s="3" t="str">
        <f>HYPERLINK("https://cloud.oebiotech.com/#/lm/network/197329", "https://cloud.oebiotech.com/#/lm/network/197329")</f>
        <v>https://cloud.oebiotech.com/#/lm/network/197329</v>
      </c>
      <c r="I567" s="2" t="s">
        <v>5619</v>
      </c>
      <c r="J567" s="2"/>
      <c r="K567" s="2"/>
      <c r="L567" s="2">
        <v>14274897</v>
      </c>
      <c r="M567" s="2"/>
      <c r="N567" s="2"/>
      <c r="O567" s="2"/>
      <c r="P567" s="2">
        <v>145234</v>
      </c>
      <c r="Q567" s="2"/>
      <c r="R567" s="2"/>
      <c r="S567" s="2"/>
      <c r="T567" s="2" t="s">
        <v>5620</v>
      </c>
      <c r="U567" s="2" t="s">
        <v>5621</v>
      </c>
      <c r="V567" s="2" t="s">
        <v>95</v>
      </c>
      <c r="W567" s="2" t="s">
        <v>96</v>
      </c>
      <c r="X567" s="2" t="s">
        <v>141</v>
      </c>
      <c r="Y567" s="2" t="s">
        <v>98</v>
      </c>
      <c r="Z567" s="2" t="s">
        <v>99</v>
      </c>
      <c r="AA567" s="2" t="s">
        <v>142</v>
      </c>
      <c r="AB567" s="2" t="s">
        <v>3086</v>
      </c>
      <c r="AC567" s="2">
        <v>57.34</v>
      </c>
      <c r="AD567" s="2">
        <v>98.03</v>
      </c>
      <c r="AE567" s="2">
        <v>0</v>
      </c>
      <c r="AF567" s="2" t="s">
        <v>5614</v>
      </c>
      <c r="AG567" s="2" t="s">
        <v>103</v>
      </c>
      <c r="AH567" s="2" t="s">
        <v>5622</v>
      </c>
      <c r="AI567" s="2">
        <v>1.25</v>
      </c>
      <c r="AJ567" s="2">
        <v>24.941330223042598</v>
      </c>
      <c r="AK567" s="2">
        <v>24.851442407394</v>
      </c>
      <c r="AL567" s="2">
        <v>24.976966661366401</v>
      </c>
      <c r="AM567" s="2">
        <v>25.021122412082999</v>
      </c>
      <c r="AN567" s="2">
        <v>25.059743106439299</v>
      </c>
      <c r="AO567" s="2">
        <v>24.889552619889901</v>
      </c>
      <c r="AP567" s="2">
        <v>24.9517888046975</v>
      </c>
      <c r="AQ567" s="2">
        <v>25.006480000675499</v>
      </c>
      <c r="AR567" s="2">
        <v>24.397716563285002</v>
      </c>
      <c r="AS567" s="2">
        <v>23.954660885211201</v>
      </c>
      <c r="AT567" s="2">
        <v>23.890313313330999</v>
      </c>
      <c r="AU567" s="2">
        <v>26.180427325402398</v>
      </c>
      <c r="AV567" s="2">
        <v>25.540705953211599</v>
      </c>
      <c r="AW567" s="2">
        <v>23.1954686449977</v>
      </c>
      <c r="AX567" s="2">
        <v>24.627841390039901</v>
      </c>
      <c r="AY567" s="2">
        <v>25.208693292918198</v>
      </c>
      <c r="AZ567" s="2">
        <v>24.500533881050099</v>
      </c>
      <c r="BA567" s="2">
        <v>25.516145886680501</v>
      </c>
      <c r="BB567" s="2">
        <v>25.8146693779915</v>
      </c>
      <c r="BC567" s="2">
        <v>24.120755588087601</v>
      </c>
      <c r="BD567" s="2">
        <v>23.858839200354499</v>
      </c>
      <c r="BE567" s="2">
        <v>25.349802954022099</v>
      </c>
      <c r="BF567" s="2">
        <v>23.876613325291999</v>
      </c>
      <c r="BG567" s="2">
        <v>23.927361813613899</v>
      </c>
      <c r="BH567" s="2">
        <v>24.623602208845799</v>
      </c>
      <c r="BI567" s="2">
        <v>24.640305486637899</v>
      </c>
      <c r="BJ567" s="2">
        <v>23.971762959392301</v>
      </c>
      <c r="BK567" s="2">
        <v>23.844650835934399</v>
      </c>
      <c r="BL567" s="2">
        <v>24.586962911586699</v>
      </c>
      <c r="BM567" s="2">
        <v>24.902569077576899</v>
      </c>
      <c r="BN567" s="2">
        <v>25.333600584861301</v>
      </c>
      <c r="BO567" s="2">
        <v>26.1207783202012</v>
      </c>
      <c r="BP567" s="2">
        <v>25.9762705977673</v>
      </c>
      <c r="BQ567" s="2">
        <v>23.287961455407299</v>
      </c>
      <c r="BR567" s="2">
        <v>25.022465892511502</v>
      </c>
      <c r="BS567" s="2">
        <v>25.934709571755299</v>
      </c>
      <c r="BT567" s="2">
        <v>24.191470368816599</v>
      </c>
      <c r="BU567" s="2">
        <v>25.725341850610299</v>
      </c>
      <c r="BV567" s="2">
        <v>25.453388262561301</v>
      </c>
      <c r="BW567" s="2">
        <v>23.064492960930899</v>
      </c>
      <c r="BX567" s="2">
        <v>24.7050672037815</v>
      </c>
      <c r="BY567" s="2">
        <v>26.042766436792899</v>
      </c>
      <c r="BZ567" s="2">
        <v>24.416215320085801</v>
      </c>
      <c r="CA567" s="2">
        <v>23.789962542958001</v>
      </c>
      <c r="CB567" s="2">
        <v>24.744804558876002</v>
      </c>
      <c r="CC567" s="2">
        <v>24.2242193593267</v>
      </c>
      <c r="CD567" s="2">
        <v>25.017389517952001</v>
      </c>
      <c r="CE567" s="2">
        <v>24.421814116560402</v>
      </c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</row>
    <row r="568" spans="1:97">
      <c r="A568" s="2" t="s">
        <v>5623</v>
      </c>
      <c r="B568" s="2">
        <v>437.16088000000002</v>
      </c>
      <c r="C568" s="2">
        <v>8.2390000000000008</v>
      </c>
      <c r="D568" s="2" t="s">
        <v>146</v>
      </c>
      <c r="E568" s="2" t="s">
        <v>5624</v>
      </c>
      <c r="F568" s="2" t="s">
        <v>5625</v>
      </c>
      <c r="G568" s="2">
        <v>54776</v>
      </c>
      <c r="H568" s="3" t="str">
        <f>HYPERLINK("https://cloud.oebiotech.com/#/lm/network/54776", "https://cloud.oebiotech.com/#/lm/network/54776")</f>
        <v>https://cloud.oebiotech.com/#/lm/network/54776</v>
      </c>
      <c r="I568" s="2" t="s">
        <v>5626</v>
      </c>
      <c r="J568" s="2">
        <v>86579</v>
      </c>
      <c r="K568" s="2"/>
      <c r="L568" s="2">
        <v>101999902</v>
      </c>
      <c r="M568" s="2"/>
      <c r="N568" s="2"/>
      <c r="O568" s="2"/>
      <c r="P568" s="2">
        <v>171677</v>
      </c>
      <c r="Q568" s="2"/>
      <c r="R568" s="2"/>
      <c r="S568" s="2" t="s">
        <v>5627</v>
      </c>
      <c r="T568" s="2" t="s">
        <v>5628</v>
      </c>
      <c r="U568" s="2" t="s">
        <v>5629</v>
      </c>
      <c r="V568" s="2" t="s">
        <v>845</v>
      </c>
      <c r="W568" s="2" t="s">
        <v>3853</v>
      </c>
      <c r="X568" s="2" t="s">
        <v>5630</v>
      </c>
      <c r="Y568" s="2" t="s">
        <v>847</v>
      </c>
      <c r="Z568" s="2" t="s">
        <v>3855</v>
      </c>
      <c r="AA568" s="2" t="s">
        <v>5631</v>
      </c>
      <c r="AB568" s="2" t="s">
        <v>5118</v>
      </c>
      <c r="AC568" s="2">
        <v>57.33</v>
      </c>
      <c r="AD568" s="2">
        <v>92.59</v>
      </c>
      <c r="AE568" s="2">
        <v>61.49</v>
      </c>
      <c r="AF568" s="2" t="s">
        <v>5632</v>
      </c>
      <c r="AG568" s="2" t="s">
        <v>194</v>
      </c>
      <c r="AH568" s="2" t="s">
        <v>5633</v>
      </c>
      <c r="AI568" s="2">
        <v>-0.69</v>
      </c>
      <c r="AJ568" s="2">
        <v>21.6839883129349</v>
      </c>
      <c r="AK568" s="2">
        <v>21.566504275737401</v>
      </c>
      <c r="AL568" s="2">
        <v>22.038611955637698</v>
      </c>
      <c r="AM568" s="2">
        <v>21.7128710313767</v>
      </c>
      <c r="AN568" s="2">
        <v>22.1517744285178</v>
      </c>
      <c r="AO568" s="2">
        <v>22.050945637897701</v>
      </c>
      <c r="AP568" s="2">
        <v>21.418189561829401</v>
      </c>
      <c r="AQ568" s="2">
        <v>21.8257490822653</v>
      </c>
      <c r="AR568" s="2">
        <v>21.4980357934324</v>
      </c>
      <c r="AS568" s="2">
        <v>17.465966336316502</v>
      </c>
      <c r="AT568" s="2">
        <v>19.048859175203699</v>
      </c>
      <c r="AU568" s="2">
        <v>20.287727324891002</v>
      </c>
      <c r="AV568" s="2">
        <v>23.293487567431601</v>
      </c>
      <c r="AW568" s="2">
        <v>24.190672655771301</v>
      </c>
      <c r="AX568" s="2">
        <v>23.1877624362603</v>
      </c>
      <c r="AY568" s="2">
        <v>22.372734142908801</v>
      </c>
      <c r="AZ568" s="2">
        <v>21.095398503791898</v>
      </c>
      <c r="BA568" s="2">
        <v>19.690612904274499</v>
      </c>
      <c r="BB568" s="2">
        <v>19.307911791233099</v>
      </c>
      <c r="BC568" s="2">
        <v>20.832836600795702</v>
      </c>
      <c r="BD568" s="2">
        <v>22.0189744179028</v>
      </c>
      <c r="BE568" s="2">
        <v>22.082597526354</v>
      </c>
      <c r="BF568" s="2">
        <v>21.8179316243308</v>
      </c>
      <c r="BG568" s="2">
        <v>23.4590431607255</v>
      </c>
      <c r="BH568" s="2">
        <v>20.236339856854499</v>
      </c>
      <c r="BI568" s="2">
        <v>21.224732617412101</v>
      </c>
      <c r="BJ568" s="2">
        <v>21.817266793216199</v>
      </c>
      <c r="BK568" s="2">
        <v>20.810081894573599</v>
      </c>
      <c r="BL568" s="2">
        <v>21.810506990246701</v>
      </c>
      <c r="BM568" s="2">
        <v>17.335963912940201</v>
      </c>
      <c r="BN568" s="2">
        <v>19.629800065089501</v>
      </c>
      <c r="BO568" s="2">
        <v>19.291783775599502</v>
      </c>
      <c r="BP568" s="2">
        <v>23.156285838851701</v>
      </c>
      <c r="BQ568" s="2">
        <v>22.917310486931299</v>
      </c>
      <c r="BR568" s="2">
        <v>23.082829067850099</v>
      </c>
      <c r="BS568" s="2">
        <v>21.577487565596499</v>
      </c>
      <c r="BT568" s="2">
        <v>20.007458821314302</v>
      </c>
      <c r="BU568" s="2">
        <v>16.7827332316377</v>
      </c>
      <c r="BV568" s="2">
        <v>17.382327571592899</v>
      </c>
      <c r="BW568" s="2">
        <v>18.720012538323498</v>
      </c>
      <c r="BX568" s="2">
        <v>22.6341523073358</v>
      </c>
      <c r="BY568" s="2">
        <v>22.645671758241399</v>
      </c>
      <c r="BZ568" s="2">
        <v>20.359318446682298</v>
      </c>
      <c r="CA568" s="2">
        <v>20.510823573420701</v>
      </c>
      <c r="CB568" s="2">
        <v>19.343207428768</v>
      </c>
      <c r="CC568" s="2">
        <v>21.477714502510299</v>
      </c>
      <c r="CD568" s="2">
        <v>21.734114294428601</v>
      </c>
      <c r="CE568" s="2">
        <v>21.345634017566901</v>
      </c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</row>
    <row r="569" spans="1:97">
      <c r="A569" s="2" t="s">
        <v>5634</v>
      </c>
      <c r="B569" s="2">
        <v>117.0659</v>
      </c>
      <c r="C569" s="2">
        <v>0.71499999999999997</v>
      </c>
      <c r="D569" s="2" t="s">
        <v>84</v>
      </c>
      <c r="E569" s="2" t="s">
        <v>5635</v>
      </c>
      <c r="F569" s="2" t="s">
        <v>5636</v>
      </c>
      <c r="G569" s="2">
        <v>55098</v>
      </c>
      <c r="H569" s="3" t="str">
        <f>HYPERLINK("https://cloud.oebiotech.com/#/lm/network/55098", "https://cloud.oebiotech.com/#/lm/network/55098")</f>
        <v>https://cloud.oebiotech.com/#/lm/network/55098</v>
      </c>
      <c r="I569" s="2" t="s">
        <v>5637</v>
      </c>
      <c r="J569" s="2">
        <v>86853</v>
      </c>
      <c r="K569" s="2"/>
      <c r="L569" s="2">
        <v>353549</v>
      </c>
      <c r="M569" s="2"/>
      <c r="N569" s="2"/>
      <c r="O569" s="2"/>
      <c r="P569" s="2">
        <v>173337</v>
      </c>
      <c r="Q569" s="2"/>
      <c r="R569" s="2"/>
      <c r="S569" s="2" t="s">
        <v>5638</v>
      </c>
      <c r="T569" s="2" t="s">
        <v>5639</v>
      </c>
      <c r="U569" s="2" t="s">
        <v>5640</v>
      </c>
      <c r="V569" s="2" t="s">
        <v>553</v>
      </c>
      <c r="W569" s="2" t="s">
        <v>5641</v>
      </c>
      <c r="X569" s="2" t="s">
        <v>375</v>
      </c>
      <c r="Y569" s="2" t="s">
        <v>556</v>
      </c>
      <c r="Z569" s="2" t="s">
        <v>5642</v>
      </c>
      <c r="AA569" s="2"/>
      <c r="AB569" s="2" t="s">
        <v>3086</v>
      </c>
      <c r="AC569" s="2">
        <v>57.26</v>
      </c>
      <c r="AD569" s="2">
        <v>97.23</v>
      </c>
      <c r="AE569" s="2">
        <v>0</v>
      </c>
      <c r="AF569" s="2" t="s">
        <v>5614</v>
      </c>
      <c r="AG569" s="2" t="s">
        <v>132</v>
      </c>
      <c r="AH569" s="2" t="s">
        <v>5643</v>
      </c>
      <c r="AI569" s="2">
        <v>-0.85</v>
      </c>
      <c r="AJ569" s="2">
        <v>22.390499554129299</v>
      </c>
      <c r="AK569" s="2">
        <v>22.716307296699899</v>
      </c>
      <c r="AL569" s="2">
        <v>22.408767228664001</v>
      </c>
      <c r="AM569" s="2">
        <v>22.770367983265</v>
      </c>
      <c r="AN569" s="2">
        <v>22.860870499522498</v>
      </c>
      <c r="AO569" s="2">
        <v>22.892284314433699</v>
      </c>
      <c r="AP569" s="2">
        <v>22.8183155418407</v>
      </c>
      <c r="AQ569" s="2">
        <v>22.8066786162283</v>
      </c>
      <c r="AR569" s="2">
        <v>22.008364133506898</v>
      </c>
      <c r="AS569" s="2">
        <v>21.833839607744501</v>
      </c>
      <c r="AT569" s="2">
        <v>21.5112852345679</v>
      </c>
      <c r="AU569" s="2">
        <v>21.3257353964826</v>
      </c>
      <c r="AV569" s="2">
        <v>23.038419578452601</v>
      </c>
      <c r="AW569" s="2">
        <v>22.440123924977499</v>
      </c>
      <c r="AX569" s="2">
        <v>22.7106680102989</v>
      </c>
      <c r="AY569" s="2">
        <v>22.089032650608601</v>
      </c>
      <c r="AZ569" s="2">
        <v>22.027288483352699</v>
      </c>
      <c r="BA569" s="2">
        <v>21.459863264282799</v>
      </c>
      <c r="BB569" s="2">
        <v>21.901019890496102</v>
      </c>
      <c r="BC569" s="2">
        <v>20.705439686695801</v>
      </c>
      <c r="BD569" s="2">
        <v>22.537241088478201</v>
      </c>
      <c r="BE569" s="2">
        <v>22.9195236086527</v>
      </c>
      <c r="BF569" s="2">
        <v>22.6091078480848</v>
      </c>
      <c r="BG569" s="2">
        <v>22.703270026658402</v>
      </c>
      <c r="BH569" s="2">
        <v>22.560825194056701</v>
      </c>
      <c r="BI569" s="2">
        <v>22.0007121935203</v>
      </c>
      <c r="BJ569" s="2">
        <v>23.0480385430923</v>
      </c>
      <c r="BK569" s="2">
        <v>22.032480056698599</v>
      </c>
      <c r="BL569" s="2">
        <v>22.079970795499001</v>
      </c>
      <c r="BM569" s="2">
        <v>21.634692561884702</v>
      </c>
      <c r="BN569" s="2">
        <v>22.222059455952401</v>
      </c>
      <c r="BO569" s="2">
        <v>22.780468680861901</v>
      </c>
      <c r="BP569" s="2">
        <v>24.1651387998117</v>
      </c>
      <c r="BQ569" s="2">
        <v>22.5594324597356</v>
      </c>
      <c r="BR569" s="2">
        <v>22.5172621508265</v>
      </c>
      <c r="BS569" s="2">
        <v>22.3352639996092</v>
      </c>
      <c r="BT569" s="2">
        <v>22.618776909049501</v>
      </c>
      <c r="BU569" s="2">
        <v>21.577005585051602</v>
      </c>
      <c r="BV569" s="2">
        <v>21.551672565124601</v>
      </c>
      <c r="BW569" s="2">
        <v>22.7969114297663</v>
      </c>
      <c r="BX569" s="2">
        <v>23.0085440773722</v>
      </c>
      <c r="BY569" s="2">
        <v>23.086835634335099</v>
      </c>
      <c r="BZ569" s="2">
        <v>22.888768563593501</v>
      </c>
      <c r="CA569" s="2">
        <v>21.7098574380895</v>
      </c>
      <c r="CB569" s="2">
        <v>23.102128732909701</v>
      </c>
      <c r="CC569" s="2">
        <v>22.241020894691701</v>
      </c>
      <c r="CD569" s="2">
        <v>24.013064404715401</v>
      </c>
      <c r="CE569" s="2">
        <v>21.934493832542401</v>
      </c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</row>
    <row r="570" spans="1:97">
      <c r="A570" s="2" t="s">
        <v>5644</v>
      </c>
      <c r="B570" s="2">
        <v>189.15956</v>
      </c>
      <c r="C570" s="2">
        <v>0.66</v>
      </c>
      <c r="D570" s="2" t="s">
        <v>84</v>
      </c>
      <c r="E570" s="2" t="s">
        <v>5645</v>
      </c>
      <c r="F570" s="2" t="s">
        <v>5646</v>
      </c>
      <c r="G570" s="2">
        <v>47518</v>
      </c>
      <c r="H570" s="3" t="str">
        <f>HYPERLINK("https://cloud.oebiotech.com/#/lm/network/47518", "https://cloud.oebiotech.com/#/lm/network/47518")</f>
        <v>https://cloud.oebiotech.com/#/lm/network/47518</v>
      </c>
      <c r="I570" s="2" t="s">
        <v>5647</v>
      </c>
      <c r="J570" s="2">
        <v>6161</v>
      </c>
      <c r="K570" s="2"/>
      <c r="L570" s="2">
        <v>440120</v>
      </c>
      <c r="M570" s="2" t="s">
        <v>5648</v>
      </c>
      <c r="N570" s="2" t="s">
        <v>1030</v>
      </c>
      <c r="O570" s="2" t="s">
        <v>1031</v>
      </c>
      <c r="P570" s="2">
        <v>17311</v>
      </c>
      <c r="Q570" s="2"/>
      <c r="R570" s="2"/>
      <c r="S570" s="2" t="s">
        <v>5649</v>
      </c>
      <c r="T570" s="2" t="s">
        <v>5650</v>
      </c>
      <c r="U570" s="2" t="s">
        <v>5651</v>
      </c>
      <c r="V570" s="2" t="s">
        <v>115</v>
      </c>
      <c r="W570" s="2" t="s">
        <v>116</v>
      </c>
      <c r="X570" s="2" t="s">
        <v>117</v>
      </c>
      <c r="Y570" s="2" t="s">
        <v>118</v>
      </c>
      <c r="Z570" s="2" t="s">
        <v>119</v>
      </c>
      <c r="AA570" s="2" t="s">
        <v>120</v>
      </c>
      <c r="AB570" s="2" t="s">
        <v>3086</v>
      </c>
      <c r="AC570" s="2">
        <v>57.22</v>
      </c>
      <c r="AD570" s="2">
        <v>97.83</v>
      </c>
      <c r="AE570" s="2">
        <v>0</v>
      </c>
      <c r="AF570" s="2" t="s">
        <v>5614</v>
      </c>
      <c r="AG570" s="2" t="s">
        <v>103</v>
      </c>
      <c r="AH570" s="2" t="s">
        <v>5652</v>
      </c>
      <c r="AI570" s="2">
        <v>1.06</v>
      </c>
      <c r="AJ570" s="2">
        <v>22.624914590239801</v>
      </c>
      <c r="AK570" s="2">
        <v>22.8284066592669</v>
      </c>
      <c r="AL570" s="2">
        <v>22.7121878885638</v>
      </c>
      <c r="AM570" s="2">
        <v>22.455250668021499</v>
      </c>
      <c r="AN570" s="2">
        <v>22.7114573041884</v>
      </c>
      <c r="AO570" s="2">
        <v>22.6774414531146</v>
      </c>
      <c r="AP570" s="2">
        <v>22.643967909781701</v>
      </c>
      <c r="AQ570" s="2">
        <v>22.630367985443399</v>
      </c>
      <c r="AR570" s="2">
        <v>22.714708694988801</v>
      </c>
      <c r="AS570" s="2">
        <v>22.7645096327294</v>
      </c>
      <c r="AT570" s="2">
        <v>22.0637407689483</v>
      </c>
      <c r="AU570" s="2">
        <v>21.500847601608999</v>
      </c>
      <c r="AV570" s="2">
        <v>22.485813028852299</v>
      </c>
      <c r="AW570" s="2">
        <v>22.52696927301</v>
      </c>
      <c r="AX570" s="2">
        <v>23.1258805583983</v>
      </c>
      <c r="AY570" s="2">
        <v>22.428531270648499</v>
      </c>
      <c r="AZ570" s="2">
        <v>22.086611952045001</v>
      </c>
      <c r="BA570" s="2">
        <v>22.0710564139127</v>
      </c>
      <c r="BB570" s="2">
        <v>22.232418420933499</v>
      </c>
      <c r="BC570" s="2">
        <v>22.280302076563501</v>
      </c>
      <c r="BD570" s="2">
        <v>21.826550787583599</v>
      </c>
      <c r="BE570" s="2">
        <v>22.4496043965535</v>
      </c>
      <c r="BF570" s="2">
        <v>22.107535233221601</v>
      </c>
      <c r="BG570" s="2">
        <v>22.0233622999678</v>
      </c>
      <c r="BH570" s="2">
        <v>22.896034166531301</v>
      </c>
      <c r="BI570" s="2">
        <v>22.694388224202001</v>
      </c>
      <c r="BJ570" s="2">
        <v>22.572927139918601</v>
      </c>
      <c r="BK570" s="2">
        <v>22.1124275337813</v>
      </c>
      <c r="BL570" s="2">
        <v>22.989839337858399</v>
      </c>
      <c r="BM570" s="2">
        <v>23.214272253666898</v>
      </c>
      <c r="BN570" s="2">
        <v>22.854723644197001</v>
      </c>
      <c r="BO570" s="2">
        <v>21.749530094047099</v>
      </c>
      <c r="BP570" s="2">
        <v>22.8728813869097</v>
      </c>
      <c r="BQ570" s="2">
        <v>23.065428288943401</v>
      </c>
      <c r="BR570" s="2">
        <v>22.729875408833401</v>
      </c>
      <c r="BS570" s="2">
        <v>22.785415770908799</v>
      </c>
      <c r="BT570" s="2">
        <v>22.1939012249215</v>
      </c>
      <c r="BU570" s="2">
        <v>22.2431559451386</v>
      </c>
      <c r="BV570" s="2">
        <v>22.209636532443401</v>
      </c>
      <c r="BW570" s="2">
        <v>21.852253219424998</v>
      </c>
      <c r="BX570" s="2">
        <v>23.5023320098726</v>
      </c>
      <c r="BY570" s="2">
        <v>22.7422009036842</v>
      </c>
      <c r="BZ570" s="2">
        <v>22.038621807820501</v>
      </c>
      <c r="CA570" s="2">
        <v>22.354764973934799</v>
      </c>
      <c r="CB570" s="2">
        <v>22.6489458809029</v>
      </c>
      <c r="CC570" s="2">
        <v>22.363793781308701</v>
      </c>
      <c r="CD570" s="2">
        <v>22.905268945729599</v>
      </c>
      <c r="CE570" s="2">
        <v>22.643435370236801</v>
      </c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</row>
    <row r="571" spans="1:97">
      <c r="A571" s="2" t="s">
        <v>5653</v>
      </c>
      <c r="B571" s="2">
        <v>106.08638999999999</v>
      </c>
      <c r="C571" s="2">
        <v>0.71699999999999997</v>
      </c>
      <c r="D571" s="2" t="s">
        <v>84</v>
      </c>
      <c r="E571" s="2" t="s">
        <v>5654</v>
      </c>
      <c r="F571" s="2" t="s">
        <v>5655</v>
      </c>
      <c r="G571" s="2">
        <v>48290</v>
      </c>
      <c r="H571" s="3" t="str">
        <f>HYPERLINK("https://cloud.oebiotech.com/#/lm/network/48290", "https://cloud.oebiotech.com/#/lm/network/48290")</f>
        <v>https://cloud.oebiotech.com/#/lm/network/48290</v>
      </c>
      <c r="I571" s="2" t="s">
        <v>5656</v>
      </c>
      <c r="J571" s="2">
        <v>3239</v>
      </c>
      <c r="K571" s="2"/>
      <c r="L571" s="2">
        <v>8113</v>
      </c>
      <c r="M571" s="2" t="s">
        <v>5657</v>
      </c>
      <c r="N571" s="2" t="s">
        <v>5658</v>
      </c>
      <c r="O571" s="2" t="s">
        <v>5659</v>
      </c>
      <c r="P571" s="2">
        <v>28123</v>
      </c>
      <c r="Q571" s="2"/>
      <c r="R571" s="2"/>
      <c r="S571" s="2" t="s">
        <v>5660</v>
      </c>
      <c r="T571" s="2" t="s">
        <v>5661</v>
      </c>
      <c r="U571" s="2" t="s">
        <v>5662</v>
      </c>
      <c r="V571" s="2" t="s">
        <v>166</v>
      </c>
      <c r="W571" s="2" t="s">
        <v>167</v>
      </c>
      <c r="X571" s="2" t="s">
        <v>482</v>
      </c>
      <c r="Y571" s="2" t="s">
        <v>169</v>
      </c>
      <c r="Z571" s="2" t="s">
        <v>169</v>
      </c>
      <c r="AA571" s="2" t="s">
        <v>483</v>
      </c>
      <c r="AB571" s="2" t="s">
        <v>3086</v>
      </c>
      <c r="AC571" s="2">
        <v>57.19</v>
      </c>
      <c r="AD571" s="2">
        <v>97.33</v>
      </c>
      <c r="AE571" s="2">
        <v>0</v>
      </c>
      <c r="AF571" s="2" t="s">
        <v>5614</v>
      </c>
      <c r="AG571" s="2" t="s">
        <v>103</v>
      </c>
      <c r="AH571" s="2" t="s">
        <v>5663</v>
      </c>
      <c r="AI571" s="2">
        <v>-1.23</v>
      </c>
      <c r="AJ571" s="2">
        <v>19.926688748587001</v>
      </c>
      <c r="AK571" s="2">
        <v>20.0928860762338</v>
      </c>
      <c r="AL571" s="2">
        <v>19.910746171625799</v>
      </c>
      <c r="AM571" s="2">
        <v>19.473801059014299</v>
      </c>
      <c r="AN571" s="2">
        <v>19.2887677081082</v>
      </c>
      <c r="AO571" s="2">
        <v>19.697879700998101</v>
      </c>
      <c r="AP571" s="2">
        <v>19.851599774552898</v>
      </c>
      <c r="AQ571" s="2">
        <v>19.333408337101002</v>
      </c>
      <c r="AR571" s="2">
        <v>19.773816727838501</v>
      </c>
      <c r="AS571" s="2">
        <v>18.624058580417199</v>
      </c>
      <c r="AT571" s="2">
        <v>17.741798035656799</v>
      </c>
      <c r="AU571" s="2">
        <v>19.361879666044398</v>
      </c>
      <c r="AV571" s="2">
        <v>19.401043428314601</v>
      </c>
      <c r="AW571" s="2">
        <v>19.724279320173601</v>
      </c>
      <c r="AX571" s="2">
        <v>17.988584286578099</v>
      </c>
      <c r="AY571" s="2">
        <v>19.393314365341102</v>
      </c>
      <c r="AZ571" s="2">
        <v>19.5708592543224</v>
      </c>
      <c r="BA571" s="2">
        <v>18.275061307716499</v>
      </c>
      <c r="BB571" s="2">
        <v>19.210254468534298</v>
      </c>
      <c r="BC571" s="2">
        <v>18.968835089925999</v>
      </c>
      <c r="BD571" s="2">
        <v>19.396395461335501</v>
      </c>
      <c r="BE571" s="2">
        <v>19.8453672279702</v>
      </c>
      <c r="BF571" s="2">
        <v>19.609285545834702</v>
      </c>
      <c r="BG571" s="2">
        <v>19.506544064019799</v>
      </c>
      <c r="BH571" s="2">
        <v>19.461598228124899</v>
      </c>
      <c r="BI571" s="2">
        <v>19.8725695446592</v>
      </c>
      <c r="BJ571" s="2">
        <v>19.338971401917</v>
      </c>
      <c r="BK571" s="2">
        <v>19.9614408199695</v>
      </c>
      <c r="BL571" s="2">
        <v>18.747878929662502</v>
      </c>
      <c r="BM571" s="2">
        <v>18.873892361701799</v>
      </c>
      <c r="BN571" s="2">
        <v>19.831965386370801</v>
      </c>
      <c r="BO571" s="2">
        <v>19.230447377524399</v>
      </c>
      <c r="BP571" s="2">
        <v>19.630834033028499</v>
      </c>
      <c r="BQ571" s="2">
        <v>19.583813878246701</v>
      </c>
      <c r="BR571" s="2">
        <v>19.103705494226698</v>
      </c>
      <c r="BS571" s="2">
        <v>20.671984316987</v>
      </c>
      <c r="BT571" s="2">
        <v>19.595007449278</v>
      </c>
      <c r="BU571" s="2">
        <v>18.447675601978101</v>
      </c>
      <c r="BV571" s="2">
        <v>18.729773173532099</v>
      </c>
      <c r="BW571" s="2">
        <v>17.1197837231114</v>
      </c>
      <c r="BX571" s="2">
        <v>19.389949775482702</v>
      </c>
      <c r="BY571" s="2">
        <v>20.239842423492</v>
      </c>
      <c r="BZ571" s="2">
        <v>18.8457617864144</v>
      </c>
      <c r="CA571" s="2">
        <v>19.4708555084006</v>
      </c>
      <c r="CB571" s="2">
        <v>19.702583925540999</v>
      </c>
      <c r="CC571" s="2">
        <v>19.112746348220899</v>
      </c>
      <c r="CD571" s="2">
        <v>19.663058724654501</v>
      </c>
      <c r="CE571" s="2">
        <v>19.3246489842277</v>
      </c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</row>
    <row r="572" spans="1:97">
      <c r="A572" s="2" t="s">
        <v>5664</v>
      </c>
      <c r="B572" s="2">
        <v>106.05001</v>
      </c>
      <c r="C572" s="2">
        <v>0.73899999999999999</v>
      </c>
      <c r="D572" s="2" t="s">
        <v>84</v>
      </c>
      <c r="E572" s="2" t="s">
        <v>5665</v>
      </c>
      <c r="F572" s="2" t="s">
        <v>5666</v>
      </c>
      <c r="G572" s="2">
        <v>46917</v>
      </c>
      <c r="H572" s="3" t="str">
        <f>HYPERLINK("https://cloud.oebiotech.com/#/lm/network/46917", "https://cloud.oebiotech.com/#/lm/network/46917")</f>
        <v>https://cloud.oebiotech.com/#/lm/network/46917</v>
      </c>
      <c r="I572" s="2" t="s">
        <v>5667</v>
      </c>
      <c r="J572" s="2">
        <v>30</v>
      </c>
      <c r="K572" s="2"/>
      <c r="L572" s="2">
        <v>5951</v>
      </c>
      <c r="M572" s="2" t="s">
        <v>5668</v>
      </c>
      <c r="N572" s="2" t="s">
        <v>5669</v>
      </c>
      <c r="O572" s="2" t="s">
        <v>5670</v>
      </c>
      <c r="P572" s="2">
        <v>17115</v>
      </c>
      <c r="Q572" s="2"/>
      <c r="R572" s="2"/>
      <c r="S572" s="2" t="s">
        <v>5671</v>
      </c>
      <c r="T572" s="2" t="s">
        <v>5672</v>
      </c>
      <c r="U572" s="2" t="s">
        <v>5673</v>
      </c>
      <c r="V572" s="2" t="s">
        <v>115</v>
      </c>
      <c r="W572" s="2" t="s">
        <v>116</v>
      </c>
      <c r="X572" s="2" t="s">
        <v>117</v>
      </c>
      <c r="Y572" s="2" t="s">
        <v>118</v>
      </c>
      <c r="Z572" s="2" t="s">
        <v>119</v>
      </c>
      <c r="AA572" s="2" t="s">
        <v>120</v>
      </c>
      <c r="AB572" s="2" t="s">
        <v>3086</v>
      </c>
      <c r="AC572" s="2">
        <v>57.18</v>
      </c>
      <c r="AD572" s="2">
        <v>97.67</v>
      </c>
      <c r="AE572" s="2">
        <v>0</v>
      </c>
      <c r="AF572" s="2" t="s">
        <v>5614</v>
      </c>
      <c r="AG572" s="2" t="s">
        <v>103</v>
      </c>
      <c r="AH572" s="2" t="s">
        <v>5674</v>
      </c>
      <c r="AI572" s="2">
        <v>-1.32</v>
      </c>
      <c r="AJ572" s="2">
        <v>22.2261611624149</v>
      </c>
      <c r="AK572" s="2">
        <v>22.3047502213021</v>
      </c>
      <c r="AL572" s="2">
        <v>22.120324790583599</v>
      </c>
      <c r="AM572" s="2">
        <v>22.295523468831799</v>
      </c>
      <c r="AN572" s="2">
        <v>22.320471131436701</v>
      </c>
      <c r="AO572" s="2">
        <v>22.145158383871198</v>
      </c>
      <c r="AP572" s="2">
        <v>22.240938159872901</v>
      </c>
      <c r="AQ572" s="2">
        <v>22.499780931593499</v>
      </c>
      <c r="AR572" s="2">
        <v>21.7108225651385</v>
      </c>
      <c r="AS572" s="2">
        <v>22.167670601499701</v>
      </c>
      <c r="AT572" s="2">
        <v>21.769867610591799</v>
      </c>
      <c r="AU572" s="2">
        <v>21.965986994433401</v>
      </c>
      <c r="AV572" s="2">
        <v>21.8851989344173</v>
      </c>
      <c r="AW572" s="2">
        <v>22.119778914555798</v>
      </c>
      <c r="AX572" s="2">
        <v>21.7169933217778</v>
      </c>
      <c r="AY572" s="2">
        <v>22.348732011364199</v>
      </c>
      <c r="AZ572" s="2">
        <v>21.899023373997899</v>
      </c>
      <c r="BA572" s="2">
        <v>21.8846952843375</v>
      </c>
      <c r="BB572" s="2">
        <v>22.250892680552202</v>
      </c>
      <c r="BC572" s="2">
        <v>22.249701648059499</v>
      </c>
      <c r="BD572" s="2">
        <v>21.896059837874201</v>
      </c>
      <c r="BE572" s="2">
        <v>22.3039666272423</v>
      </c>
      <c r="BF572" s="2">
        <v>22.489408663861699</v>
      </c>
      <c r="BG572" s="2">
        <v>21.777835693894598</v>
      </c>
      <c r="BH572" s="2">
        <v>22.401401532092201</v>
      </c>
      <c r="BI572" s="2">
        <v>21.554716254312702</v>
      </c>
      <c r="BJ572" s="2">
        <v>22.170967692453299</v>
      </c>
      <c r="BK572" s="2">
        <v>20.922977108654599</v>
      </c>
      <c r="BL572" s="2">
        <v>21.912210545645401</v>
      </c>
      <c r="BM572" s="2">
        <v>22.584339626273099</v>
      </c>
      <c r="BN572" s="2">
        <v>22.057848319608599</v>
      </c>
      <c r="BO572" s="2">
        <v>21.6876097789177</v>
      </c>
      <c r="BP572" s="2">
        <v>22.533304133113301</v>
      </c>
      <c r="BQ572" s="2">
        <v>22.276469738833899</v>
      </c>
      <c r="BR572" s="2">
        <v>22.346202390242102</v>
      </c>
      <c r="BS572" s="2">
        <v>21.7592442276345</v>
      </c>
      <c r="BT572" s="2">
        <v>21.747022737031699</v>
      </c>
      <c r="BU572" s="2">
        <v>22.212590408519699</v>
      </c>
      <c r="BV572" s="2">
        <v>21.786330836124598</v>
      </c>
      <c r="BW572" s="2">
        <v>22.4360905424181</v>
      </c>
      <c r="BX572" s="2">
        <v>22.671090501846901</v>
      </c>
      <c r="BY572" s="2">
        <v>22.353926376570801</v>
      </c>
      <c r="BZ572" s="2">
        <v>22.617235741218899</v>
      </c>
      <c r="CA572" s="2">
        <v>22.199719154057501</v>
      </c>
      <c r="CB572" s="2">
        <v>22.360315218956099</v>
      </c>
      <c r="CC572" s="2">
        <v>21.502956068699</v>
      </c>
      <c r="CD572" s="2">
        <v>22.817289466196801</v>
      </c>
      <c r="CE572" s="2">
        <v>21.3987071440358</v>
      </c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</row>
    <row r="573" spans="1:97">
      <c r="A573" s="2" t="s">
        <v>5675</v>
      </c>
      <c r="B573" s="2">
        <v>350.14170000000001</v>
      </c>
      <c r="C573" s="2">
        <v>5.15</v>
      </c>
      <c r="D573" s="2" t="s">
        <v>84</v>
      </c>
      <c r="E573" s="2" t="s">
        <v>5676</v>
      </c>
      <c r="F573" s="2" t="s">
        <v>5677</v>
      </c>
      <c r="G573" s="2">
        <v>205250</v>
      </c>
      <c r="H573" s="3" t="str">
        <f>HYPERLINK("https://cloud.oebiotech.com/#/lm/network/205250", "https://cloud.oebiotech.com/#/lm/network/205250")</f>
        <v>https://cloud.oebiotech.com/#/lm/network/205250</v>
      </c>
      <c r="I573" s="2" t="s">
        <v>5678</v>
      </c>
      <c r="J573" s="2"/>
      <c r="K573" s="2"/>
      <c r="L573" s="2">
        <v>185284</v>
      </c>
      <c r="M573" s="2"/>
      <c r="N573" s="2"/>
      <c r="O573" s="2"/>
      <c r="P573" s="2"/>
      <c r="Q573" s="2"/>
      <c r="R573" s="2"/>
      <c r="S573" s="2"/>
      <c r="T573" s="2" t="s">
        <v>5679</v>
      </c>
      <c r="U573" s="2" t="s">
        <v>5680</v>
      </c>
      <c r="V573" s="2" t="s">
        <v>374</v>
      </c>
      <c r="W573" s="2" t="s">
        <v>5681</v>
      </c>
      <c r="X573" s="2" t="s">
        <v>5682</v>
      </c>
      <c r="Y573" s="2" t="s">
        <v>376</v>
      </c>
      <c r="Z573" s="2" t="s">
        <v>5683</v>
      </c>
      <c r="AA573" s="2" t="s">
        <v>5684</v>
      </c>
      <c r="AB573" s="2" t="s">
        <v>3086</v>
      </c>
      <c r="AC573" s="2">
        <v>57.16</v>
      </c>
      <c r="AD573" s="2">
        <v>92.5</v>
      </c>
      <c r="AE573" s="2">
        <v>40.479999999999997</v>
      </c>
      <c r="AF573" s="2" t="s">
        <v>5685</v>
      </c>
      <c r="AG573" s="2" t="s">
        <v>1088</v>
      </c>
      <c r="AH573" s="2" t="s">
        <v>5686</v>
      </c>
      <c r="AI573" s="2">
        <v>-6.85</v>
      </c>
      <c r="AJ573" s="2">
        <v>20.494880081058199</v>
      </c>
      <c r="AK573" s="2">
        <v>20.564866938667901</v>
      </c>
      <c r="AL573" s="2">
        <v>20.6304284929763</v>
      </c>
      <c r="AM573" s="2">
        <v>20.548132953105601</v>
      </c>
      <c r="AN573" s="2">
        <v>20.373415162906799</v>
      </c>
      <c r="AO573" s="2">
        <v>20.467838842456199</v>
      </c>
      <c r="AP573" s="2">
        <v>20.636384896014299</v>
      </c>
      <c r="AQ573" s="2">
        <v>20.585235454934299</v>
      </c>
      <c r="AR573" s="2">
        <v>9.6233145402724691</v>
      </c>
      <c r="AS573" s="2">
        <v>9.6233145402724691</v>
      </c>
      <c r="AT573" s="2">
        <v>20.841933611788601</v>
      </c>
      <c r="AU573" s="2">
        <v>21.3970333551968</v>
      </c>
      <c r="AV573" s="2">
        <v>20.6803770378439</v>
      </c>
      <c r="AW573" s="2">
        <v>21.501381723526901</v>
      </c>
      <c r="AX573" s="2">
        <v>20.740555649105101</v>
      </c>
      <c r="AY573" s="2">
        <v>21.128754023201601</v>
      </c>
      <c r="AZ573" s="2">
        <v>19.840332297806</v>
      </c>
      <c r="BA573" s="2">
        <v>20.383616909623999</v>
      </c>
      <c r="BB573" s="2">
        <v>9.6233145402724691</v>
      </c>
      <c r="BC573" s="2">
        <v>9.6233145402724691</v>
      </c>
      <c r="BD573" s="2">
        <v>21.590862153097099</v>
      </c>
      <c r="BE573" s="2">
        <v>20.6269052811429</v>
      </c>
      <c r="BF573" s="2">
        <v>20.958174157971701</v>
      </c>
      <c r="BG573" s="2">
        <v>9.6233145402724691</v>
      </c>
      <c r="BH573" s="2">
        <v>21.471941587534499</v>
      </c>
      <c r="BI573" s="2">
        <v>21.685057120582702</v>
      </c>
      <c r="BJ573" s="2">
        <v>9.6233145402724691</v>
      </c>
      <c r="BK573" s="2">
        <v>21.502010525257699</v>
      </c>
      <c r="BL573" s="2">
        <v>20.1773809939702</v>
      </c>
      <c r="BM573" s="2">
        <v>21.814597536404701</v>
      </c>
      <c r="BN573" s="2">
        <v>21.156484206114801</v>
      </c>
      <c r="BO573" s="2">
        <v>19.546455586709701</v>
      </c>
      <c r="BP573" s="2">
        <v>21.176152393217802</v>
      </c>
      <c r="BQ573" s="2">
        <v>20.737647403404001</v>
      </c>
      <c r="BR573" s="2">
        <v>9.6233145402724691</v>
      </c>
      <c r="BS573" s="2">
        <v>20.430612103819598</v>
      </c>
      <c r="BT573" s="2">
        <v>9.6233145402724691</v>
      </c>
      <c r="BU573" s="2">
        <v>21.689510711949001</v>
      </c>
      <c r="BV573" s="2">
        <v>9.6233145402724691</v>
      </c>
      <c r="BW573" s="2">
        <v>9.6233145402724691</v>
      </c>
      <c r="BX573" s="2">
        <v>21.926513283604599</v>
      </c>
      <c r="BY573" s="2">
        <v>22.2555405821488</v>
      </c>
      <c r="BZ573" s="2">
        <v>9.6233145402724691</v>
      </c>
      <c r="CA573" s="2">
        <v>9.6233145402724691</v>
      </c>
      <c r="CB573" s="2">
        <v>9.6233145402724691</v>
      </c>
      <c r="CC573" s="2">
        <v>19.841356140658501</v>
      </c>
      <c r="CD573" s="2">
        <v>21.315741436627</v>
      </c>
      <c r="CE573" s="2">
        <v>21.000193735766398</v>
      </c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</row>
    <row r="574" spans="1:97">
      <c r="A574" s="2" t="s">
        <v>5687</v>
      </c>
      <c r="B574" s="2">
        <v>330.33614999999998</v>
      </c>
      <c r="C574" s="2">
        <v>9.7880000000000003</v>
      </c>
      <c r="D574" s="2" t="s">
        <v>84</v>
      </c>
      <c r="E574" s="2" t="s">
        <v>5688</v>
      </c>
      <c r="F574" s="2" t="s">
        <v>5689</v>
      </c>
      <c r="G574" s="2">
        <v>206368</v>
      </c>
      <c r="H574" s="3" t="str">
        <f>HYPERLINK("https://cloud.oebiotech.com/#/lm/network/206368", "https://cloud.oebiotech.com/#/lm/network/206368")</f>
        <v>https://cloud.oebiotech.com/#/lm/network/206368</v>
      </c>
      <c r="I574" s="2" t="s">
        <v>5690</v>
      </c>
      <c r="J574" s="2"/>
      <c r="K574" s="2"/>
      <c r="L574" s="2">
        <v>21452</v>
      </c>
      <c r="M574" s="2"/>
      <c r="N574" s="2"/>
      <c r="O574" s="2"/>
      <c r="P574" s="2"/>
      <c r="Q574" s="2"/>
      <c r="R574" s="2"/>
      <c r="S574" s="2"/>
      <c r="T574" s="2" t="s">
        <v>5691</v>
      </c>
      <c r="U574" s="2" t="s">
        <v>5692</v>
      </c>
      <c r="V574" s="2" t="s">
        <v>338</v>
      </c>
      <c r="W574" s="2" t="s">
        <v>339</v>
      </c>
      <c r="X574" s="2" t="s">
        <v>1663</v>
      </c>
      <c r="Y574" s="2" t="s">
        <v>341</v>
      </c>
      <c r="Z574" s="2" t="s">
        <v>341</v>
      </c>
      <c r="AA574" s="2" t="s">
        <v>1664</v>
      </c>
      <c r="AB574" s="2" t="s">
        <v>5118</v>
      </c>
      <c r="AC574" s="2">
        <v>57.07</v>
      </c>
      <c r="AD574" s="2">
        <v>98.96</v>
      </c>
      <c r="AE574" s="2">
        <v>88.92</v>
      </c>
      <c r="AF574" s="2" t="s">
        <v>5693</v>
      </c>
      <c r="AG574" s="2" t="s">
        <v>132</v>
      </c>
      <c r="AH574" s="2" t="s">
        <v>5694</v>
      </c>
      <c r="AI574" s="2">
        <v>1.51</v>
      </c>
      <c r="AJ574" s="2">
        <v>23.599913028283002</v>
      </c>
      <c r="AK574" s="2">
        <v>23.792923315922799</v>
      </c>
      <c r="AL574" s="2">
        <v>23.760071657293999</v>
      </c>
      <c r="AM574" s="2">
        <v>23.673951880282999</v>
      </c>
      <c r="AN574" s="2">
        <v>23.775312696106798</v>
      </c>
      <c r="AO574" s="2">
        <v>23.7922867058696</v>
      </c>
      <c r="AP574" s="2">
        <v>23.638615381694901</v>
      </c>
      <c r="AQ574" s="2">
        <v>23.7173196511526</v>
      </c>
      <c r="AR574" s="2">
        <v>23.3228331386291</v>
      </c>
      <c r="AS574" s="2">
        <v>23.3372333932431</v>
      </c>
      <c r="AT574" s="2">
        <v>23.711234046039799</v>
      </c>
      <c r="AU574" s="2">
        <v>22.965539844082802</v>
      </c>
      <c r="AV574" s="2">
        <v>22.3495392136556</v>
      </c>
      <c r="AW574" s="2">
        <v>23.3915949357337</v>
      </c>
      <c r="AX574" s="2">
        <v>22.1818633697333</v>
      </c>
      <c r="AY574" s="2">
        <v>22.298206403023901</v>
      </c>
      <c r="AZ574" s="2">
        <v>22.230252870759202</v>
      </c>
      <c r="BA574" s="2">
        <v>21.954160203786401</v>
      </c>
      <c r="BB574" s="2">
        <v>22.894058791277999</v>
      </c>
      <c r="BC574" s="2">
        <v>22.416243146670901</v>
      </c>
      <c r="BD574" s="2">
        <v>22.981400422177899</v>
      </c>
      <c r="BE574" s="2">
        <v>23.468434246488901</v>
      </c>
      <c r="BF574" s="2">
        <v>23.409650037065902</v>
      </c>
      <c r="BG574" s="2">
        <v>23.618725127612699</v>
      </c>
      <c r="BH574" s="2">
        <v>22.967628328796199</v>
      </c>
      <c r="BI574" s="2">
        <v>22.7512328538605</v>
      </c>
      <c r="BJ574" s="2">
        <v>23.426846661178299</v>
      </c>
      <c r="BK574" s="2">
        <v>23.142950877225299</v>
      </c>
      <c r="BL574" s="2">
        <v>21.7660968056583</v>
      </c>
      <c r="BM574" s="2">
        <v>21.685971129043999</v>
      </c>
      <c r="BN574" s="2">
        <v>22.340685686511002</v>
      </c>
      <c r="BO574" s="2">
        <v>22.484711221549802</v>
      </c>
      <c r="BP574" s="2">
        <v>22.346933206793199</v>
      </c>
      <c r="BQ574" s="2">
        <v>22.025344694146</v>
      </c>
      <c r="BR574" s="2">
        <v>22.404996848086501</v>
      </c>
      <c r="BS574" s="2">
        <v>22.100177983433699</v>
      </c>
      <c r="BT574" s="2">
        <v>22.251189951307001</v>
      </c>
      <c r="BU574" s="2">
        <v>21.846669124723999</v>
      </c>
      <c r="BV574" s="2">
        <v>21.776973049606202</v>
      </c>
      <c r="BW574" s="2">
        <v>21.668963833629999</v>
      </c>
      <c r="BX574" s="2">
        <v>22.083632864562102</v>
      </c>
      <c r="BY574" s="2">
        <v>22.964498364150401</v>
      </c>
      <c r="BZ574" s="2">
        <v>22.783278183032301</v>
      </c>
      <c r="CA574" s="2">
        <v>22.121116736696798</v>
      </c>
      <c r="CB574" s="2">
        <v>22.370534813318901</v>
      </c>
      <c r="CC574" s="2">
        <v>21.9233392308902</v>
      </c>
      <c r="CD574" s="2">
        <v>21.863738108854701</v>
      </c>
      <c r="CE574" s="2">
        <v>22.132057953994401</v>
      </c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</row>
    <row r="575" spans="1:97">
      <c r="A575" s="2" t="s">
        <v>5695</v>
      </c>
      <c r="B575" s="2">
        <v>313.03591999999998</v>
      </c>
      <c r="C575" s="2">
        <v>5.74</v>
      </c>
      <c r="D575" s="2" t="s">
        <v>146</v>
      </c>
      <c r="E575" s="2" t="s">
        <v>5696</v>
      </c>
      <c r="F575" s="2" t="s">
        <v>5697</v>
      </c>
      <c r="G575" s="2">
        <v>33472</v>
      </c>
      <c r="H575" s="3" t="str">
        <f>HYPERLINK("https://cloud.oebiotech.com/#/lm/network/33472", "https://cloud.oebiotech.com/#/lm/network/33472")</f>
        <v>https://cloud.oebiotech.com/#/lm/network/33472</v>
      </c>
      <c r="I575" s="2"/>
      <c r="J575" s="2">
        <v>51799</v>
      </c>
      <c r="K575" s="2" t="s">
        <v>5698</v>
      </c>
      <c r="L575" s="2">
        <v>44260087</v>
      </c>
      <c r="M575" s="2"/>
      <c r="N575" s="2"/>
      <c r="O575" s="2"/>
      <c r="P575" s="2"/>
      <c r="Q575" s="2"/>
      <c r="R575" s="2"/>
      <c r="S575" s="2"/>
      <c r="T575" s="2" t="s">
        <v>5699</v>
      </c>
      <c r="U575" s="2" t="s">
        <v>5700</v>
      </c>
      <c r="V575" s="2" t="s">
        <v>845</v>
      </c>
      <c r="W575" s="2" t="s">
        <v>1853</v>
      </c>
      <c r="X575" s="2" t="s">
        <v>5701</v>
      </c>
      <c r="Y575" s="2" t="s">
        <v>847</v>
      </c>
      <c r="Z575" s="2" t="s">
        <v>1855</v>
      </c>
      <c r="AA575" s="2" t="s">
        <v>5702</v>
      </c>
      <c r="AB575" s="2" t="s">
        <v>5118</v>
      </c>
      <c r="AC575" s="2">
        <v>57.05</v>
      </c>
      <c r="AD575" s="2">
        <v>89.61</v>
      </c>
      <c r="AE575" s="2">
        <v>78.680000000000007</v>
      </c>
      <c r="AF575" s="2" t="s">
        <v>5703</v>
      </c>
      <c r="AG575" s="2" t="s">
        <v>194</v>
      </c>
      <c r="AH575" s="2" t="s">
        <v>5704</v>
      </c>
      <c r="AI575" s="2">
        <v>-1.6</v>
      </c>
      <c r="AJ575" s="2">
        <v>18.9656332446189</v>
      </c>
      <c r="AK575" s="2">
        <v>18.6366823552261</v>
      </c>
      <c r="AL575" s="2">
        <v>18.871811800354099</v>
      </c>
      <c r="AM575" s="2">
        <v>18.679430581612198</v>
      </c>
      <c r="AN575" s="2">
        <v>18.7352555743911</v>
      </c>
      <c r="AO575" s="2">
        <v>18.591579285093101</v>
      </c>
      <c r="AP575" s="2">
        <v>18.677527959043701</v>
      </c>
      <c r="AQ575" s="2">
        <v>18.413856513360798</v>
      </c>
      <c r="AR575" s="2">
        <v>9.6233145402724691</v>
      </c>
      <c r="AS575" s="2">
        <v>9.6233145402724691</v>
      </c>
      <c r="AT575" s="2">
        <v>14.9727532256796</v>
      </c>
      <c r="AU575" s="2">
        <v>13.961843957871301</v>
      </c>
      <c r="AV575" s="2">
        <v>11.5518476224984</v>
      </c>
      <c r="AW575" s="2">
        <v>17.368391956004</v>
      </c>
      <c r="AX575" s="2">
        <v>21.643577146943301</v>
      </c>
      <c r="AY575" s="2">
        <v>21.333894097837302</v>
      </c>
      <c r="AZ575" s="2">
        <v>9.6233145402724691</v>
      </c>
      <c r="BA575" s="2">
        <v>15.962785323397201</v>
      </c>
      <c r="BB575" s="2">
        <v>9.6233145402724691</v>
      </c>
      <c r="BC575" s="2">
        <v>9.6233145402724691</v>
      </c>
      <c r="BD575" s="2">
        <v>16.598818146967599</v>
      </c>
      <c r="BE575" s="2">
        <v>18.980445035528501</v>
      </c>
      <c r="BF575" s="2">
        <v>17.6676408241076</v>
      </c>
      <c r="BG575" s="2">
        <v>9.6233145402724691</v>
      </c>
      <c r="BH575" s="2">
        <v>13.480102258236601</v>
      </c>
      <c r="BI575" s="2">
        <v>17.733578234823501</v>
      </c>
      <c r="BJ575" s="2">
        <v>9.6233145402724691</v>
      </c>
      <c r="BK575" s="2">
        <v>17.451844808467001</v>
      </c>
      <c r="BL575" s="2">
        <v>9.6233145402724691</v>
      </c>
      <c r="BM575" s="2">
        <v>9.6233145402724691</v>
      </c>
      <c r="BN575" s="2">
        <v>18.592404586489401</v>
      </c>
      <c r="BO575" s="2">
        <v>18.244465484747799</v>
      </c>
      <c r="BP575" s="2">
        <v>13.537463521367799</v>
      </c>
      <c r="BQ575" s="2">
        <v>21.455384868913299</v>
      </c>
      <c r="BR575" s="2">
        <v>16.409716599717999</v>
      </c>
      <c r="BS575" s="2">
        <v>9.6233145402724691</v>
      </c>
      <c r="BT575" s="2">
        <v>9.6233145402724691</v>
      </c>
      <c r="BU575" s="2">
        <v>19.1263747971452</v>
      </c>
      <c r="BV575" s="2">
        <v>15.723749990328299</v>
      </c>
      <c r="BW575" s="2">
        <v>9.6233145402724691</v>
      </c>
      <c r="BX575" s="2">
        <v>16.090287368919199</v>
      </c>
      <c r="BY575" s="2">
        <v>21.778362415952799</v>
      </c>
      <c r="BZ575" s="2">
        <v>9.6233145402724691</v>
      </c>
      <c r="CA575" s="2">
        <v>16.1091481095166</v>
      </c>
      <c r="CB575" s="2">
        <v>15.221147917500501</v>
      </c>
      <c r="CC575" s="2">
        <v>18.531515145788902</v>
      </c>
      <c r="CD575" s="2">
        <v>21.430766014245101</v>
      </c>
      <c r="CE575" s="2">
        <v>18.905087626959901</v>
      </c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</row>
    <row r="576" spans="1:97">
      <c r="A576" s="2" t="s">
        <v>5705</v>
      </c>
      <c r="B576" s="2">
        <v>429.15366</v>
      </c>
      <c r="C576" s="2">
        <v>3.677</v>
      </c>
      <c r="D576" s="2" t="s">
        <v>146</v>
      </c>
      <c r="E576" s="2" t="s">
        <v>5706</v>
      </c>
      <c r="F576" s="2" t="s">
        <v>5707</v>
      </c>
      <c r="G576" s="2">
        <v>264733</v>
      </c>
      <c r="H576" s="3" t="str">
        <f>HYPERLINK("https://cloud.oebiotech.com/#/lm/network/264733", "https://cloud.oebiotech.com/#/lm/network/264733")</f>
        <v>https://cloud.oebiotech.com/#/lm/network/264733</v>
      </c>
      <c r="I576" s="2"/>
      <c r="J576" s="2">
        <v>22198</v>
      </c>
      <c r="K576" s="2"/>
      <c r="L576" s="2">
        <v>122514757</v>
      </c>
      <c r="M576" s="2"/>
      <c r="N576" s="2"/>
      <c r="O576" s="2"/>
      <c r="P576" s="2"/>
      <c r="Q576" s="2"/>
      <c r="R576" s="2"/>
      <c r="S576" s="2"/>
      <c r="T576" s="2" t="s">
        <v>5708</v>
      </c>
      <c r="U576" s="2" t="s">
        <v>5709</v>
      </c>
      <c r="V576" s="2" t="s">
        <v>115</v>
      </c>
      <c r="W576" s="2" t="s">
        <v>116</v>
      </c>
      <c r="X576" s="2" t="s">
        <v>117</v>
      </c>
      <c r="Y576" s="2" t="s">
        <v>118</v>
      </c>
      <c r="Z576" s="2" t="s">
        <v>119</v>
      </c>
      <c r="AA576" s="2" t="s">
        <v>120</v>
      </c>
      <c r="AB576" s="2" t="s">
        <v>3086</v>
      </c>
      <c r="AC576" s="2">
        <v>57.05</v>
      </c>
      <c r="AD576" s="2">
        <v>76.510000000000005</v>
      </c>
      <c r="AE576" s="2">
        <v>31.2192857142857</v>
      </c>
      <c r="AF576" s="2" t="s">
        <v>5710</v>
      </c>
      <c r="AG576" s="2" t="s">
        <v>4062</v>
      </c>
      <c r="AH576" s="2" t="s">
        <v>5711</v>
      </c>
      <c r="AI576" s="2">
        <v>2.1</v>
      </c>
      <c r="AJ576" s="2">
        <v>20.901552877880999</v>
      </c>
      <c r="AK576" s="2">
        <v>20.931875275326298</v>
      </c>
      <c r="AL576" s="2">
        <v>20.997141852823798</v>
      </c>
      <c r="AM576" s="2">
        <v>20.907429641698901</v>
      </c>
      <c r="AN576" s="2">
        <v>21.206260687433499</v>
      </c>
      <c r="AO576" s="2">
        <v>20.984563651166901</v>
      </c>
      <c r="AP576" s="2">
        <v>20.916243024336101</v>
      </c>
      <c r="AQ576" s="2">
        <v>20.931208081361099</v>
      </c>
      <c r="AR576" s="2">
        <v>19.360828656101301</v>
      </c>
      <c r="AS576" s="2">
        <v>18.9840504336149</v>
      </c>
      <c r="AT576" s="2">
        <v>20.239343847584401</v>
      </c>
      <c r="AU576" s="2">
        <v>19.770315557848601</v>
      </c>
      <c r="AV576" s="2">
        <v>20.264171130112398</v>
      </c>
      <c r="AW576" s="2">
        <v>20.533528701759799</v>
      </c>
      <c r="AX576" s="2">
        <v>20.189251990515402</v>
      </c>
      <c r="AY576" s="2">
        <v>20.824867610797899</v>
      </c>
      <c r="AZ576" s="2">
        <v>20.388851480700499</v>
      </c>
      <c r="BA576" s="2">
        <v>19.7045802523905</v>
      </c>
      <c r="BB576" s="2">
        <v>21.427112507072302</v>
      </c>
      <c r="BC576" s="2">
        <v>20.970073554795398</v>
      </c>
      <c r="BD576" s="2">
        <v>19.963438986168502</v>
      </c>
      <c r="BE576" s="2">
        <v>21.595047099190701</v>
      </c>
      <c r="BF576" s="2">
        <v>20.7872768339444</v>
      </c>
      <c r="BG576" s="2">
        <v>21.601587336516399</v>
      </c>
      <c r="BH576" s="2">
        <v>20.925081818415801</v>
      </c>
      <c r="BI576" s="2">
        <v>20.121806377031</v>
      </c>
      <c r="BJ576" s="2">
        <v>20.983256567528699</v>
      </c>
      <c r="BK576" s="2">
        <v>20.727344766613701</v>
      </c>
      <c r="BL576" s="2">
        <v>20.160703605463802</v>
      </c>
      <c r="BM576" s="2">
        <v>21.703452174957999</v>
      </c>
      <c r="BN576" s="2">
        <v>21.111889919091301</v>
      </c>
      <c r="BO576" s="2">
        <v>20.727395334523699</v>
      </c>
      <c r="BP576" s="2">
        <v>20.496883943719901</v>
      </c>
      <c r="BQ576" s="2">
        <v>20.998015593347699</v>
      </c>
      <c r="BR576" s="2">
        <v>20.8380669524871</v>
      </c>
      <c r="BS576" s="2">
        <v>20.251181648292501</v>
      </c>
      <c r="BT576" s="2">
        <v>20.0805025177076</v>
      </c>
      <c r="BU576" s="2">
        <v>19.5383824295224</v>
      </c>
      <c r="BV576" s="2">
        <v>20.924810351145801</v>
      </c>
      <c r="BW576" s="2">
        <v>19.646976708704202</v>
      </c>
      <c r="BX576" s="2">
        <v>20.850581354576999</v>
      </c>
      <c r="BY576" s="2">
        <v>21.456172256741699</v>
      </c>
      <c r="BZ576" s="2">
        <v>21.232984873279801</v>
      </c>
      <c r="CA576" s="2">
        <v>21.299566198909901</v>
      </c>
      <c r="CB576" s="2">
        <v>20.458460534253799</v>
      </c>
      <c r="CC576" s="2">
        <v>19.892165370734801</v>
      </c>
      <c r="CD576" s="2">
        <v>21.535076871065801</v>
      </c>
      <c r="CE576" s="2">
        <v>21.184613138753299</v>
      </c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</row>
    <row r="577" spans="1:97">
      <c r="A577" s="2" t="s">
        <v>5712</v>
      </c>
      <c r="B577" s="2">
        <v>104.10715999999999</v>
      </c>
      <c r="C577" s="2">
        <v>0.71</v>
      </c>
      <c r="D577" s="2" t="s">
        <v>84</v>
      </c>
      <c r="E577" s="2" t="s">
        <v>5713</v>
      </c>
      <c r="F577" s="2" t="s">
        <v>5714</v>
      </c>
      <c r="G577" s="2">
        <v>46869</v>
      </c>
      <c r="H577" s="3" t="str">
        <f>HYPERLINK("https://cloud.oebiotech.com/#/lm/network/46869", "https://cloud.oebiotech.com/#/lm/network/46869")</f>
        <v>https://cloud.oebiotech.com/#/lm/network/46869</v>
      </c>
      <c r="I577" s="2" t="s">
        <v>5715</v>
      </c>
      <c r="J577" s="2">
        <v>56</v>
      </c>
      <c r="K577" s="2"/>
      <c r="L577" s="2">
        <v>305</v>
      </c>
      <c r="M577" s="2" t="s">
        <v>5716</v>
      </c>
      <c r="N577" s="2" t="s">
        <v>5717</v>
      </c>
      <c r="O577" s="2" t="s">
        <v>5718</v>
      </c>
      <c r="P577" s="2">
        <v>15354</v>
      </c>
      <c r="Q577" s="2" t="s">
        <v>5719</v>
      </c>
      <c r="R577" s="2" t="s">
        <v>5720</v>
      </c>
      <c r="S577" s="2" t="s">
        <v>5721</v>
      </c>
      <c r="T577" s="2" t="s">
        <v>5722</v>
      </c>
      <c r="U577" s="2" t="s">
        <v>5723</v>
      </c>
      <c r="V577" s="2" t="s">
        <v>166</v>
      </c>
      <c r="W577" s="2" t="s">
        <v>167</v>
      </c>
      <c r="X577" s="2" t="s">
        <v>168</v>
      </c>
      <c r="Y577" s="2" t="s">
        <v>169</v>
      </c>
      <c r="Z577" s="2" t="s">
        <v>169</v>
      </c>
      <c r="AA577" s="2" t="s">
        <v>170</v>
      </c>
      <c r="AB577" s="2" t="s">
        <v>3086</v>
      </c>
      <c r="AC577" s="2">
        <v>57.04</v>
      </c>
      <c r="AD577" s="2">
        <v>99.12</v>
      </c>
      <c r="AE577" s="2">
        <v>0</v>
      </c>
      <c r="AF577" s="2" t="s">
        <v>5724</v>
      </c>
      <c r="AG577" s="2" t="s">
        <v>4104</v>
      </c>
      <c r="AH577" s="2" t="s">
        <v>5725</v>
      </c>
      <c r="AI577" s="2">
        <v>-1.63</v>
      </c>
      <c r="AJ577" s="2">
        <v>28.5691094438797</v>
      </c>
      <c r="AK577" s="2">
        <v>28.502278313519898</v>
      </c>
      <c r="AL577" s="2">
        <v>28.206549582780799</v>
      </c>
      <c r="AM577" s="2">
        <v>28.729133352553301</v>
      </c>
      <c r="AN577" s="2">
        <v>28.446383876984399</v>
      </c>
      <c r="AO577" s="2">
        <v>28.528433884252301</v>
      </c>
      <c r="AP577" s="2">
        <v>28.481508814082598</v>
      </c>
      <c r="AQ577" s="2">
        <v>28.478324799328099</v>
      </c>
      <c r="AR577" s="2">
        <v>28.628548144514699</v>
      </c>
      <c r="AS577" s="2">
        <v>27.657324042637899</v>
      </c>
      <c r="AT577" s="2">
        <v>28.087827770452002</v>
      </c>
      <c r="AU577" s="2">
        <v>27.7641393220852</v>
      </c>
      <c r="AV577" s="2">
        <v>28.328967592705101</v>
      </c>
      <c r="AW577" s="2">
        <v>28.221827071001002</v>
      </c>
      <c r="AX577" s="2">
        <v>28.4404199375115</v>
      </c>
      <c r="AY577" s="2">
        <v>28.219022285875599</v>
      </c>
      <c r="AZ577" s="2">
        <v>28.3180528503228</v>
      </c>
      <c r="BA577" s="2">
        <v>27.889003703372101</v>
      </c>
      <c r="BB577" s="2">
        <v>28.109727196315401</v>
      </c>
      <c r="BC577" s="2">
        <v>28.056406720711099</v>
      </c>
      <c r="BD577" s="2">
        <v>28.1866379489847</v>
      </c>
      <c r="BE577" s="2">
        <v>28.673982124480901</v>
      </c>
      <c r="BF577" s="2">
        <v>28.144164462828002</v>
      </c>
      <c r="BG577" s="2">
        <v>28.313288883921501</v>
      </c>
      <c r="BH577" s="2">
        <v>28.131023358385299</v>
      </c>
      <c r="BI577" s="2">
        <v>28.3596238069074</v>
      </c>
      <c r="BJ577" s="2">
        <v>28.3329326532082</v>
      </c>
      <c r="BK577" s="2">
        <v>28.2905667496285</v>
      </c>
      <c r="BL577" s="2">
        <v>28.219983231855299</v>
      </c>
      <c r="BM577" s="2">
        <v>27.911956113445299</v>
      </c>
      <c r="BN577" s="2">
        <v>28.134707740066101</v>
      </c>
      <c r="BO577" s="2">
        <v>28.053718586819102</v>
      </c>
      <c r="BP577" s="2">
        <v>27.805734928687901</v>
      </c>
      <c r="BQ577" s="2">
        <v>29.029316320965101</v>
      </c>
      <c r="BR577" s="2">
        <v>28.519636307802699</v>
      </c>
      <c r="BS577" s="2">
        <v>28.966389601363499</v>
      </c>
      <c r="BT577" s="2">
        <v>28.915244540362</v>
      </c>
      <c r="BU577" s="2">
        <v>28.010298253423901</v>
      </c>
      <c r="BV577" s="2">
        <v>28.347980303440899</v>
      </c>
      <c r="BW577" s="2">
        <v>27.399713646609001</v>
      </c>
      <c r="BX577" s="2">
        <v>27.9543778928881</v>
      </c>
      <c r="BY577" s="2">
        <v>28.9277209690562</v>
      </c>
      <c r="BZ577" s="2">
        <v>27.944646811720101</v>
      </c>
      <c r="CA577" s="2">
        <v>29.039887488105698</v>
      </c>
      <c r="CB577" s="2">
        <v>27.983917023438099</v>
      </c>
      <c r="CC577" s="2">
        <v>28.066914226808802</v>
      </c>
      <c r="CD577" s="2">
        <v>28.7013991877932</v>
      </c>
      <c r="CE577" s="2">
        <v>27.8579386593164</v>
      </c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</row>
    <row r="578" spans="1:97">
      <c r="A578" s="2" t="s">
        <v>5726</v>
      </c>
      <c r="B578" s="2">
        <v>131.08143999999999</v>
      </c>
      <c r="C578" s="2">
        <v>0.75900000000000001</v>
      </c>
      <c r="D578" s="2" t="s">
        <v>84</v>
      </c>
      <c r="E578" s="2" t="s">
        <v>5727</v>
      </c>
      <c r="F578" s="2" t="s">
        <v>5728</v>
      </c>
      <c r="G578" s="2">
        <v>54354</v>
      </c>
      <c r="H578" s="3" t="str">
        <f>HYPERLINK("https://cloud.oebiotech.com/#/lm/network/54354", "https://cloud.oebiotech.com/#/lm/network/54354")</f>
        <v>https://cloud.oebiotech.com/#/lm/network/54354</v>
      </c>
      <c r="I578" s="2" t="s">
        <v>5729</v>
      </c>
      <c r="J578" s="2">
        <v>86241</v>
      </c>
      <c r="K578" s="2"/>
      <c r="L578" s="2">
        <v>21998160</v>
      </c>
      <c r="M578" s="2"/>
      <c r="N578" s="2"/>
      <c r="O578" s="2"/>
      <c r="P578" s="2"/>
      <c r="Q578" s="2"/>
      <c r="R578" s="2"/>
      <c r="S578" s="2" t="s">
        <v>5730</v>
      </c>
      <c r="T578" s="2" t="s">
        <v>5731</v>
      </c>
      <c r="U578" s="2" t="s">
        <v>5732</v>
      </c>
      <c r="V578" s="2" t="s">
        <v>115</v>
      </c>
      <c r="W578" s="2" t="s">
        <v>116</v>
      </c>
      <c r="X578" s="2" t="s">
        <v>117</v>
      </c>
      <c r="Y578" s="2" t="s">
        <v>118</v>
      </c>
      <c r="Z578" s="2" t="s">
        <v>119</v>
      </c>
      <c r="AA578" s="2" t="s">
        <v>120</v>
      </c>
      <c r="AB578" s="2" t="s">
        <v>3086</v>
      </c>
      <c r="AC578" s="2">
        <v>57.04</v>
      </c>
      <c r="AD578" s="2">
        <v>96.25</v>
      </c>
      <c r="AE578" s="2">
        <v>0</v>
      </c>
      <c r="AF578" s="2" t="s">
        <v>5614</v>
      </c>
      <c r="AG578" s="2" t="s">
        <v>103</v>
      </c>
      <c r="AH578" s="2" t="s">
        <v>5733</v>
      </c>
      <c r="AI578" s="2">
        <v>0.76</v>
      </c>
      <c r="AJ578" s="2">
        <v>22.010989842023999</v>
      </c>
      <c r="AK578" s="2">
        <v>22.421469791395701</v>
      </c>
      <c r="AL578" s="2">
        <v>22.233172085485499</v>
      </c>
      <c r="AM578" s="2">
        <v>22.560146714509901</v>
      </c>
      <c r="AN578" s="2">
        <v>22.607566591436399</v>
      </c>
      <c r="AO578" s="2">
        <v>22.628180689645699</v>
      </c>
      <c r="AP578" s="2">
        <v>22.6829758970222</v>
      </c>
      <c r="AQ578" s="2">
        <v>22.555471060436101</v>
      </c>
      <c r="AR578" s="2">
        <v>22.330872513514301</v>
      </c>
      <c r="AS578" s="2">
        <v>21.765071419502998</v>
      </c>
      <c r="AT578" s="2">
        <v>22.247100047604999</v>
      </c>
      <c r="AU578" s="2">
        <v>21.779940307480601</v>
      </c>
      <c r="AV578" s="2">
        <v>22.354585929841701</v>
      </c>
      <c r="AW578" s="2">
        <v>23.161918092432298</v>
      </c>
      <c r="AX578" s="2">
        <v>22.765701978669799</v>
      </c>
      <c r="AY578" s="2">
        <v>22.651727831060001</v>
      </c>
      <c r="AZ578" s="2">
        <v>22.373200674429398</v>
      </c>
      <c r="BA578" s="2">
        <v>22.560493183582999</v>
      </c>
      <c r="BB578" s="2">
        <v>22.5719855692473</v>
      </c>
      <c r="BC578" s="2">
        <v>20.860041978104402</v>
      </c>
      <c r="BD578" s="2">
        <v>22.740067334055901</v>
      </c>
      <c r="BE578" s="2">
        <v>22.951794072812199</v>
      </c>
      <c r="BF578" s="2">
        <v>23.725088611548099</v>
      </c>
      <c r="BG578" s="2">
        <v>23.190201637300301</v>
      </c>
      <c r="BH578" s="2">
        <v>22.750350535146101</v>
      </c>
      <c r="BI578" s="2">
        <v>22.8782552609884</v>
      </c>
      <c r="BJ578" s="2">
        <v>22.751320823118</v>
      </c>
      <c r="BK578" s="2">
        <v>22.630767984470499</v>
      </c>
      <c r="BL578" s="2">
        <v>22.207104625249102</v>
      </c>
      <c r="BM578" s="2">
        <v>22.366317565995502</v>
      </c>
      <c r="BN578" s="2">
        <v>22.3019313225861</v>
      </c>
      <c r="BO578" s="2">
        <v>21.762479156636498</v>
      </c>
      <c r="BP578" s="2">
        <v>22.529020874063701</v>
      </c>
      <c r="BQ578" s="2">
        <v>22.4292023497682</v>
      </c>
      <c r="BR578" s="2">
        <v>22.723312687351299</v>
      </c>
      <c r="BS578" s="2">
        <v>22.287490945498899</v>
      </c>
      <c r="BT578" s="2">
        <v>21.758694661656101</v>
      </c>
      <c r="BU578" s="2">
        <v>22.261521409429601</v>
      </c>
      <c r="BV578" s="2">
        <v>22.1161285290185</v>
      </c>
      <c r="BW578" s="2">
        <v>22.286599790570399</v>
      </c>
      <c r="BX578" s="2">
        <v>22.355758778373701</v>
      </c>
      <c r="BY578" s="2">
        <v>23.305611149694201</v>
      </c>
      <c r="BZ578" s="2">
        <v>22.956112980063502</v>
      </c>
      <c r="CA578" s="2">
        <v>23.515583563552699</v>
      </c>
      <c r="CB578" s="2">
        <v>22.355535540611498</v>
      </c>
      <c r="CC578" s="2">
        <v>22.6370740099707</v>
      </c>
      <c r="CD578" s="2">
        <v>23.566424865187098</v>
      </c>
      <c r="CE578" s="2">
        <v>22.824081815961399</v>
      </c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</row>
    <row r="579" spans="1:97">
      <c r="A579" s="2" t="s">
        <v>5734</v>
      </c>
      <c r="B579" s="2">
        <v>174.12356</v>
      </c>
      <c r="C579" s="2">
        <v>0.68300000000000005</v>
      </c>
      <c r="D579" s="2" t="s">
        <v>84</v>
      </c>
      <c r="E579" s="2" t="s">
        <v>5735</v>
      </c>
      <c r="F579" s="2" t="s">
        <v>5736</v>
      </c>
      <c r="G579" s="2">
        <v>201569</v>
      </c>
      <c r="H579" s="3" t="str">
        <f>HYPERLINK("https://cloud.oebiotech.com/#/lm/network/201569", "https://cloud.oebiotech.com/#/lm/network/201569")</f>
        <v>https://cloud.oebiotech.com/#/lm/network/201569</v>
      </c>
      <c r="I579" s="2" t="s">
        <v>5737</v>
      </c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 t="s">
        <v>5738</v>
      </c>
      <c r="U579" s="2" t="s">
        <v>5739</v>
      </c>
      <c r="V579" s="2" t="s">
        <v>115</v>
      </c>
      <c r="W579" s="2" t="s">
        <v>116</v>
      </c>
      <c r="X579" s="2" t="s">
        <v>117</v>
      </c>
      <c r="Y579" s="2" t="s">
        <v>118</v>
      </c>
      <c r="Z579" s="2" t="s">
        <v>119</v>
      </c>
      <c r="AA579" s="2" t="s">
        <v>120</v>
      </c>
      <c r="AB579" s="2" t="s">
        <v>3086</v>
      </c>
      <c r="AC579" s="2">
        <v>57.04</v>
      </c>
      <c r="AD579" s="2">
        <v>95.34</v>
      </c>
      <c r="AE579" s="2">
        <v>0</v>
      </c>
      <c r="AF579" s="2" t="s">
        <v>5614</v>
      </c>
      <c r="AG579" s="2" t="s">
        <v>103</v>
      </c>
      <c r="AH579" s="2" t="s">
        <v>5740</v>
      </c>
      <c r="AI579" s="2">
        <v>0.56999999999999995</v>
      </c>
      <c r="AJ579" s="2">
        <v>23.0847614794484</v>
      </c>
      <c r="AK579" s="2">
        <v>23.095915883197002</v>
      </c>
      <c r="AL579" s="2">
        <v>23.171026581395601</v>
      </c>
      <c r="AM579" s="2">
        <v>23.4767836661165</v>
      </c>
      <c r="AN579" s="2">
        <v>23.411910854108701</v>
      </c>
      <c r="AO579" s="2">
        <v>23.5296190810597</v>
      </c>
      <c r="AP579" s="2">
        <v>23.4567551261819</v>
      </c>
      <c r="AQ579" s="2">
        <v>23.518327563501099</v>
      </c>
      <c r="AR579" s="2">
        <v>21.5133138775475</v>
      </c>
      <c r="AS579" s="2">
        <v>21.875452405942799</v>
      </c>
      <c r="AT579" s="2">
        <v>22.475156450702102</v>
      </c>
      <c r="AU579" s="2">
        <v>22.8205527255009</v>
      </c>
      <c r="AV579" s="2">
        <v>23.235333918932302</v>
      </c>
      <c r="AW579" s="2">
        <v>21.994743830783001</v>
      </c>
      <c r="AX579" s="2">
        <v>22.320163861480101</v>
      </c>
      <c r="AY579" s="2">
        <v>21.933811899412898</v>
      </c>
      <c r="AZ579" s="2">
        <v>23.4949852546217</v>
      </c>
      <c r="BA579" s="2">
        <v>22.6386156346699</v>
      </c>
      <c r="BB579" s="2">
        <v>22.052447491512499</v>
      </c>
      <c r="BC579" s="2">
        <v>21.536673038381402</v>
      </c>
      <c r="BD579" s="2">
        <v>21.903217591807799</v>
      </c>
      <c r="BE579" s="2">
        <v>21.0353701584752</v>
      </c>
      <c r="BF579" s="2">
        <v>21.670019181507801</v>
      </c>
      <c r="BG579" s="2">
        <v>22.077490926075502</v>
      </c>
      <c r="BH579" s="2">
        <v>21.344668460296099</v>
      </c>
      <c r="BI579" s="2">
        <v>23.1981399772821</v>
      </c>
      <c r="BJ579" s="2">
        <v>22.316116627892399</v>
      </c>
      <c r="BK579" s="2">
        <v>23.4305737091432</v>
      </c>
      <c r="BL579" s="2">
        <v>23.093389007649499</v>
      </c>
      <c r="BM579" s="2">
        <v>23.723073876958999</v>
      </c>
      <c r="BN579" s="2">
        <v>22.802029055031799</v>
      </c>
      <c r="BO579" s="2">
        <v>23.984667321256399</v>
      </c>
      <c r="BP579" s="2">
        <v>23.954426470055999</v>
      </c>
      <c r="BQ579" s="2">
        <v>22.564502674560998</v>
      </c>
      <c r="BR579" s="2">
        <v>22.858444071739701</v>
      </c>
      <c r="BS579" s="2">
        <v>24.484206823033499</v>
      </c>
      <c r="BT579" s="2">
        <v>25.2200851780762</v>
      </c>
      <c r="BU579" s="2">
        <v>23.9511383341423</v>
      </c>
      <c r="BV579" s="2">
        <v>23.9300640875421</v>
      </c>
      <c r="BW579" s="2">
        <v>22.739540004592701</v>
      </c>
      <c r="BX579" s="2">
        <v>23.843532775626802</v>
      </c>
      <c r="BY579" s="2">
        <v>22.276800910445999</v>
      </c>
      <c r="BZ579" s="2">
        <v>22.0807505521284</v>
      </c>
      <c r="CA579" s="2">
        <v>23.171676144880902</v>
      </c>
      <c r="CB579" s="2">
        <v>22.415945402326901</v>
      </c>
      <c r="CC579" s="2">
        <v>22.232557572291999</v>
      </c>
      <c r="CD579" s="2">
        <v>23.672664972271999</v>
      </c>
      <c r="CE579" s="2">
        <v>22.714095180879301</v>
      </c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</row>
    <row r="580" spans="1:97">
      <c r="A580" s="2" t="s">
        <v>5741</v>
      </c>
      <c r="B580" s="2">
        <v>126.02193</v>
      </c>
      <c r="C580" s="2">
        <v>0.79300000000000004</v>
      </c>
      <c r="D580" s="2" t="s">
        <v>84</v>
      </c>
      <c r="E580" s="2" t="s">
        <v>5742</v>
      </c>
      <c r="F580" s="2" t="s">
        <v>5743</v>
      </c>
      <c r="G580" s="2">
        <v>213066</v>
      </c>
      <c r="H580" s="3" t="str">
        <f>HYPERLINK("https://cloud.oebiotech.com/#/lm/network/213066", "https://cloud.oebiotech.com/#/lm/network/213066")</f>
        <v>https://cloud.oebiotech.com/#/lm/network/213066</v>
      </c>
      <c r="I580" s="2" t="s">
        <v>5744</v>
      </c>
      <c r="J580" s="2">
        <v>316770</v>
      </c>
      <c r="K580" s="2"/>
      <c r="L580" s="2">
        <v>62474</v>
      </c>
      <c r="M580" s="2"/>
      <c r="N580" s="2"/>
      <c r="O580" s="2"/>
      <c r="P580" s="2"/>
      <c r="Q580" s="2"/>
      <c r="R580" s="2"/>
      <c r="S580" s="2"/>
      <c r="T580" s="2" t="s">
        <v>5745</v>
      </c>
      <c r="U580" s="2" t="s">
        <v>5746</v>
      </c>
      <c r="V580" s="2" t="s">
        <v>115</v>
      </c>
      <c r="W580" s="2" t="s">
        <v>2162</v>
      </c>
      <c r="X580" s="2" t="s">
        <v>2163</v>
      </c>
      <c r="Y580" s="2" t="s">
        <v>118</v>
      </c>
      <c r="Z580" s="2" t="s">
        <v>2164</v>
      </c>
      <c r="AA580" s="2" t="s">
        <v>2164</v>
      </c>
      <c r="AB580" s="2" t="s">
        <v>3086</v>
      </c>
      <c r="AC580" s="2">
        <v>56.94</v>
      </c>
      <c r="AD580" s="2">
        <v>95.59</v>
      </c>
      <c r="AE580" s="2">
        <v>0</v>
      </c>
      <c r="AF580" s="2" t="s">
        <v>5614</v>
      </c>
      <c r="AG580" s="2" t="s">
        <v>132</v>
      </c>
      <c r="AH580" s="2" t="s">
        <v>5747</v>
      </c>
      <c r="AI580" s="2">
        <v>0</v>
      </c>
      <c r="AJ580" s="2">
        <v>20.9053264247638</v>
      </c>
      <c r="AK580" s="2">
        <v>20.801629672493799</v>
      </c>
      <c r="AL580" s="2">
        <v>20.988170602910198</v>
      </c>
      <c r="AM580" s="2">
        <v>20.479266177214001</v>
      </c>
      <c r="AN580" s="2">
        <v>20.694616581333101</v>
      </c>
      <c r="AO580" s="2">
        <v>20.588122673982198</v>
      </c>
      <c r="AP580" s="2">
        <v>20.409829984654699</v>
      </c>
      <c r="AQ580" s="2">
        <v>20.790664486043301</v>
      </c>
      <c r="AR580" s="2">
        <v>20.3226937180589</v>
      </c>
      <c r="AS580" s="2">
        <v>21.368570786934502</v>
      </c>
      <c r="AT580" s="2">
        <v>20.624565403423802</v>
      </c>
      <c r="AU580" s="2">
        <v>20.904557531648202</v>
      </c>
      <c r="AV580" s="2">
        <v>20.244018019453002</v>
      </c>
      <c r="AW580" s="2">
        <v>21.055698690770502</v>
      </c>
      <c r="AX580" s="2">
        <v>20.796363369687199</v>
      </c>
      <c r="AY580" s="2">
        <v>20.194473343184701</v>
      </c>
      <c r="AZ580" s="2">
        <v>20.9891464515553</v>
      </c>
      <c r="BA580" s="2">
        <v>20.363597886617899</v>
      </c>
      <c r="BB580" s="2">
        <v>20.924778650907999</v>
      </c>
      <c r="BC580" s="2">
        <v>20.124033620154201</v>
      </c>
      <c r="BD580" s="2">
        <v>19.591957089583101</v>
      </c>
      <c r="BE580" s="2">
        <v>21.076978600693099</v>
      </c>
      <c r="BF580" s="2">
        <v>21.028883535947799</v>
      </c>
      <c r="BG580" s="2">
        <v>20.3112384557657</v>
      </c>
      <c r="BH580" s="2">
        <v>21.8216043496259</v>
      </c>
      <c r="BI580" s="2">
        <v>21.227445774759499</v>
      </c>
      <c r="BJ580" s="2">
        <v>21.558851226872601</v>
      </c>
      <c r="BK580" s="2">
        <v>20.517259985475398</v>
      </c>
      <c r="BL580" s="2">
        <v>20.838428756448</v>
      </c>
      <c r="BM580" s="2">
        <v>20.161104701767002</v>
      </c>
      <c r="BN580" s="2">
        <v>20.6516404801345</v>
      </c>
      <c r="BO580" s="2">
        <v>21.458579919329601</v>
      </c>
      <c r="BP580" s="2">
        <v>20.2580913523833</v>
      </c>
      <c r="BQ580" s="2">
        <v>20.668077446486301</v>
      </c>
      <c r="BR580" s="2">
        <v>21.368330745546402</v>
      </c>
      <c r="BS580" s="2">
        <v>20.435110953584498</v>
      </c>
      <c r="BT580" s="2">
        <v>20.660023024906099</v>
      </c>
      <c r="BU580" s="2">
        <v>20.376477036832402</v>
      </c>
      <c r="BV580" s="2">
        <v>20.557701350205502</v>
      </c>
      <c r="BW580" s="2">
        <v>20.573567718450299</v>
      </c>
      <c r="BX580" s="2">
        <v>20.733020950580201</v>
      </c>
      <c r="BY580" s="2">
        <v>20.650117610336899</v>
      </c>
      <c r="BZ580" s="2">
        <v>19.845318876956</v>
      </c>
      <c r="CA580" s="2">
        <v>19.897056813061901</v>
      </c>
      <c r="CB580" s="2">
        <v>21.069610832512101</v>
      </c>
      <c r="CC580" s="2">
        <v>20.501115754197698</v>
      </c>
      <c r="CD580" s="2">
        <v>20.243818798040198</v>
      </c>
      <c r="CE580" s="2">
        <v>20.288016902585301</v>
      </c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</row>
    <row r="581" spans="1:97">
      <c r="A581" s="2" t="s">
        <v>5748</v>
      </c>
      <c r="B581" s="2">
        <v>161.1283</v>
      </c>
      <c r="C581" s="2">
        <v>0.64500000000000002</v>
      </c>
      <c r="D581" s="2" t="s">
        <v>84</v>
      </c>
      <c r="E581" s="2" t="s">
        <v>5749</v>
      </c>
      <c r="F581" s="2" t="s">
        <v>5750</v>
      </c>
      <c r="G581" s="2">
        <v>197294</v>
      </c>
      <c r="H581" s="3" t="str">
        <f>HYPERLINK("https://cloud.oebiotech.com/#/lm/network/197294", "https://cloud.oebiotech.com/#/lm/network/197294")</f>
        <v>https://cloud.oebiotech.com/#/lm/network/197294</v>
      </c>
      <c r="I581" s="2" t="s">
        <v>5751</v>
      </c>
      <c r="J581" s="2"/>
      <c r="K581" s="2"/>
      <c r="L581" s="2"/>
      <c r="M581" s="2"/>
      <c r="N581" s="2"/>
      <c r="O581" s="2"/>
      <c r="P581" s="2">
        <v>21756</v>
      </c>
      <c r="Q581" s="2"/>
      <c r="R581" s="2"/>
      <c r="S581" s="2"/>
      <c r="T581" s="2" t="s">
        <v>5752</v>
      </c>
      <c r="U581" s="2" t="s">
        <v>5753</v>
      </c>
      <c r="V581" s="2" t="s">
        <v>115</v>
      </c>
      <c r="W581" s="2" t="s">
        <v>116</v>
      </c>
      <c r="X581" s="2" t="s">
        <v>117</v>
      </c>
      <c r="Y581" s="2" t="s">
        <v>118</v>
      </c>
      <c r="Z581" s="2" t="s">
        <v>119</v>
      </c>
      <c r="AA581" s="2" t="s">
        <v>120</v>
      </c>
      <c r="AB581" s="2" t="s">
        <v>3086</v>
      </c>
      <c r="AC581" s="2">
        <v>56.94</v>
      </c>
      <c r="AD581" s="2">
        <v>95.53</v>
      </c>
      <c r="AE581" s="2">
        <v>0</v>
      </c>
      <c r="AF581" s="2" t="s">
        <v>5614</v>
      </c>
      <c r="AG581" s="2" t="s">
        <v>103</v>
      </c>
      <c r="AH581" s="2" t="s">
        <v>5754</v>
      </c>
      <c r="AI581" s="2">
        <v>0.62</v>
      </c>
      <c r="AJ581" s="2">
        <v>22.248141978333202</v>
      </c>
      <c r="AK581" s="2">
        <v>22.0002223977007</v>
      </c>
      <c r="AL581" s="2">
        <v>21.7208262880186</v>
      </c>
      <c r="AM581" s="2">
        <v>21.638357009144499</v>
      </c>
      <c r="AN581" s="2">
        <v>21.811511439517101</v>
      </c>
      <c r="AO581" s="2">
        <v>21.678727702169201</v>
      </c>
      <c r="AP581" s="2">
        <v>21.6624186967424</v>
      </c>
      <c r="AQ581" s="2">
        <v>22.387064224758699</v>
      </c>
      <c r="AR581" s="2">
        <v>23.377197254528902</v>
      </c>
      <c r="AS581" s="2">
        <v>20.962077683025601</v>
      </c>
      <c r="AT581" s="2">
        <v>20.3312836548861</v>
      </c>
      <c r="AU581" s="2">
        <v>19.809210590402699</v>
      </c>
      <c r="AV581" s="2">
        <v>22.361582544624799</v>
      </c>
      <c r="AW581" s="2">
        <v>24.281995573129901</v>
      </c>
      <c r="AX581" s="2">
        <v>22.607639268330001</v>
      </c>
      <c r="AY581" s="2">
        <v>21.242245729279599</v>
      </c>
      <c r="AZ581" s="2">
        <v>21.247408827711698</v>
      </c>
      <c r="BA581" s="2">
        <v>20.423141789012501</v>
      </c>
      <c r="BB581" s="2">
        <v>21.608930051764201</v>
      </c>
      <c r="BC581" s="2">
        <v>19.762599381097601</v>
      </c>
      <c r="BD581" s="2">
        <v>20.634427703627399</v>
      </c>
      <c r="BE581" s="2">
        <v>20.45639253965</v>
      </c>
      <c r="BF581" s="2">
        <v>19.776833375659699</v>
      </c>
      <c r="BG581" s="2">
        <v>20.589583580772601</v>
      </c>
      <c r="BH581" s="2">
        <v>20.963302180467998</v>
      </c>
      <c r="BI581" s="2">
        <v>23.132141666035</v>
      </c>
      <c r="BJ581" s="2">
        <v>22.596700367251199</v>
      </c>
      <c r="BK581" s="2">
        <v>20.257035740407002</v>
      </c>
      <c r="BL581" s="2">
        <v>22.677840722560099</v>
      </c>
      <c r="BM581" s="2">
        <v>21.420256166933701</v>
      </c>
      <c r="BN581" s="2">
        <v>20.9587291971804</v>
      </c>
      <c r="BO581" s="2">
        <v>20.036622425918299</v>
      </c>
      <c r="BP581" s="2">
        <v>23.1624196797673</v>
      </c>
      <c r="BQ581" s="2">
        <v>24.1066916597029</v>
      </c>
      <c r="BR581" s="2">
        <v>22.9025908140752</v>
      </c>
      <c r="BS581" s="2">
        <v>21.157915902866399</v>
      </c>
      <c r="BT581" s="2">
        <v>20.7909475091415</v>
      </c>
      <c r="BU581" s="2">
        <v>20.306068889620299</v>
      </c>
      <c r="BV581" s="2">
        <v>20.764367236234001</v>
      </c>
      <c r="BW581" s="2">
        <v>20.329888958010201</v>
      </c>
      <c r="BX581" s="2">
        <v>20.957535200619201</v>
      </c>
      <c r="BY581" s="2">
        <v>20.960109044136001</v>
      </c>
      <c r="BZ581" s="2">
        <v>19.8588910916476</v>
      </c>
      <c r="CA581" s="2">
        <v>20.436790919164</v>
      </c>
      <c r="CB581" s="2">
        <v>20.008620559198999</v>
      </c>
      <c r="CC581" s="2">
        <v>22.535259977573599</v>
      </c>
      <c r="CD581" s="2">
        <v>22.526750440007799</v>
      </c>
      <c r="CE581" s="2">
        <v>20.962068134451702</v>
      </c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</row>
    <row r="582" spans="1:97">
      <c r="A582" s="2" t="s">
        <v>5755</v>
      </c>
      <c r="B582" s="2">
        <v>106.05002</v>
      </c>
      <c r="C582" s="2">
        <v>0.92300000000000004</v>
      </c>
      <c r="D582" s="2" t="s">
        <v>84</v>
      </c>
      <c r="E582" s="2" t="s">
        <v>5756</v>
      </c>
      <c r="F582" s="2" t="s">
        <v>5757</v>
      </c>
      <c r="G582" s="2">
        <v>2096</v>
      </c>
      <c r="H582" s="3" t="str">
        <f>HYPERLINK("https://cloud.oebiotech.com/#/lm/network/2096", "https://cloud.oebiotech.com/#/lm/network/2096")</f>
        <v>https://cloud.oebiotech.com/#/lm/network/2096</v>
      </c>
      <c r="I582" s="2" t="s">
        <v>5758</v>
      </c>
      <c r="J582" s="2">
        <v>117</v>
      </c>
      <c r="K582" s="2" t="s">
        <v>5759</v>
      </c>
      <c r="L582" s="2">
        <v>1060</v>
      </c>
      <c r="M582" s="2" t="s">
        <v>5760</v>
      </c>
      <c r="N582" s="2" t="s">
        <v>5761</v>
      </c>
      <c r="O582" s="2" t="s">
        <v>5762</v>
      </c>
      <c r="P582" s="2">
        <v>32816</v>
      </c>
      <c r="Q582" s="2"/>
      <c r="R582" s="2"/>
      <c r="S582" s="2" t="s">
        <v>5763</v>
      </c>
      <c r="T582" s="2" t="s">
        <v>5764</v>
      </c>
      <c r="U582" s="2" t="s">
        <v>5765</v>
      </c>
      <c r="V582" s="2" t="s">
        <v>115</v>
      </c>
      <c r="W582" s="2" t="s">
        <v>403</v>
      </c>
      <c r="X582" s="2" t="s">
        <v>5766</v>
      </c>
      <c r="Y582" s="2" t="s">
        <v>118</v>
      </c>
      <c r="Z582" s="2" t="s">
        <v>405</v>
      </c>
      <c r="AA582" s="2" t="s">
        <v>5767</v>
      </c>
      <c r="AB582" s="2" t="s">
        <v>3086</v>
      </c>
      <c r="AC582" s="2">
        <v>56.87</v>
      </c>
      <c r="AD582" s="2">
        <v>97.73</v>
      </c>
      <c r="AE582" s="2">
        <v>0</v>
      </c>
      <c r="AF582" s="2" t="s">
        <v>5614</v>
      </c>
      <c r="AG582" s="2" t="s">
        <v>132</v>
      </c>
      <c r="AH582" s="2" t="s">
        <v>344</v>
      </c>
      <c r="AI582" s="2">
        <v>-1.41</v>
      </c>
      <c r="AJ582" s="2">
        <v>19.405714357009401</v>
      </c>
      <c r="AK582" s="2">
        <v>18.743881099127599</v>
      </c>
      <c r="AL582" s="2">
        <v>19.622710464396</v>
      </c>
      <c r="AM582" s="2">
        <v>19.798933438631401</v>
      </c>
      <c r="AN582" s="2">
        <v>19.652150340798102</v>
      </c>
      <c r="AO582" s="2">
        <v>19.9734714651321</v>
      </c>
      <c r="AP582" s="2">
        <v>19.2113319046363</v>
      </c>
      <c r="AQ582" s="2">
        <v>19.462632091576602</v>
      </c>
      <c r="AR582" s="2">
        <v>19.0320375723479</v>
      </c>
      <c r="AS582" s="2">
        <v>18.905038106638901</v>
      </c>
      <c r="AT582" s="2">
        <v>17.956931321468598</v>
      </c>
      <c r="AU582" s="2">
        <v>19.065463495471899</v>
      </c>
      <c r="AV582" s="2">
        <v>19.630246271646499</v>
      </c>
      <c r="AW582" s="2">
        <v>19.538672115615402</v>
      </c>
      <c r="AX582" s="2">
        <v>19.202312515550101</v>
      </c>
      <c r="AY582" s="2">
        <v>19.9133828865928</v>
      </c>
      <c r="AZ582" s="2">
        <v>19.450961577273102</v>
      </c>
      <c r="BA582" s="2">
        <v>18.383918435062</v>
      </c>
      <c r="BB582" s="2">
        <v>18.978411113960799</v>
      </c>
      <c r="BC582" s="2">
        <v>19.242149088054099</v>
      </c>
      <c r="BD582" s="2">
        <v>19.438766273228101</v>
      </c>
      <c r="BE582" s="2">
        <v>20.140291849499501</v>
      </c>
      <c r="BF582" s="2">
        <v>19.9570099793917</v>
      </c>
      <c r="BG582" s="2">
        <v>18.734572528844598</v>
      </c>
      <c r="BH582" s="2">
        <v>18.987449000976898</v>
      </c>
      <c r="BI582" s="2">
        <v>19.141479282563601</v>
      </c>
      <c r="BJ582" s="2">
        <v>19.4759456183004</v>
      </c>
      <c r="BK582" s="2">
        <v>18.4230339402407</v>
      </c>
      <c r="BL582" s="2">
        <v>19.433458218499499</v>
      </c>
      <c r="BM582" s="2">
        <v>19.778266417566901</v>
      </c>
      <c r="BN582" s="2">
        <v>19.389995008643101</v>
      </c>
      <c r="BO582" s="2">
        <v>18.8288497693386</v>
      </c>
      <c r="BP582" s="2">
        <v>19.6472625750676</v>
      </c>
      <c r="BQ582" s="2">
        <v>19.5256639650366</v>
      </c>
      <c r="BR582" s="2">
        <v>18.615674533716099</v>
      </c>
      <c r="BS582" s="2">
        <v>18.7501395932434</v>
      </c>
      <c r="BT582" s="2">
        <v>19.157741467032899</v>
      </c>
      <c r="BU582" s="2">
        <v>19.679487813972202</v>
      </c>
      <c r="BV582" s="2">
        <v>18.404305284280898</v>
      </c>
      <c r="BW582" s="2">
        <v>19.637434305674802</v>
      </c>
      <c r="BX582" s="2">
        <v>18.727944644596398</v>
      </c>
      <c r="BY582" s="2">
        <v>20.4785091453404</v>
      </c>
      <c r="BZ582" s="2">
        <v>19.464514401623799</v>
      </c>
      <c r="CA582" s="2">
        <v>18.344744989555601</v>
      </c>
      <c r="CB582" s="2">
        <v>19.613837924879501</v>
      </c>
      <c r="CC582" s="2">
        <v>17.921650769062001</v>
      </c>
      <c r="CD582" s="2">
        <v>19.066115475328001</v>
      </c>
      <c r="CE582" s="2">
        <v>18.8089139443432</v>
      </c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</row>
    <row r="583" spans="1:97">
      <c r="A583" s="2" t="s">
        <v>5768</v>
      </c>
      <c r="B583" s="2">
        <v>611.37945999999999</v>
      </c>
      <c r="C583" s="2">
        <v>8.5169999999999995</v>
      </c>
      <c r="D583" s="2" t="s">
        <v>146</v>
      </c>
      <c r="E583" s="2" t="s">
        <v>5769</v>
      </c>
      <c r="F583" s="2" t="s">
        <v>5770</v>
      </c>
      <c r="G583" s="2">
        <v>50916</v>
      </c>
      <c r="H583" s="3" t="str">
        <f>HYPERLINK("https://cloud.oebiotech.com/#/lm/network/50916", "https://cloud.oebiotech.com/#/lm/network/50916")</f>
        <v>https://cloud.oebiotech.com/#/lm/network/50916</v>
      </c>
      <c r="I583" s="2" t="s">
        <v>5771</v>
      </c>
      <c r="J583" s="2">
        <v>57960</v>
      </c>
      <c r="K583" s="2"/>
      <c r="L583" s="2">
        <v>42622727</v>
      </c>
      <c r="M583" s="2" t="s">
        <v>2862</v>
      </c>
      <c r="N583" s="2" t="s">
        <v>2863</v>
      </c>
      <c r="O583" s="2" t="s">
        <v>2864</v>
      </c>
      <c r="P583" s="2"/>
      <c r="Q583" s="2"/>
      <c r="R583" s="2"/>
      <c r="S583" s="2" t="s">
        <v>5772</v>
      </c>
      <c r="T583" s="2" t="s">
        <v>5773</v>
      </c>
      <c r="U583" s="2" t="s">
        <v>5774</v>
      </c>
      <c r="V583" s="2" t="s">
        <v>95</v>
      </c>
      <c r="W583" s="2" t="s">
        <v>152</v>
      </c>
      <c r="X583" s="2" t="s">
        <v>2791</v>
      </c>
      <c r="Y583" s="2" t="s">
        <v>98</v>
      </c>
      <c r="Z583" s="2" t="s">
        <v>154</v>
      </c>
      <c r="AA583" s="2" t="s">
        <v>2792</v>
      </c>
      <c r="AB583" s="2" t="s">
        <v>3086</v>
      </c>
      <c r="AC583" s="2">
        <v>56.85</v>
      </c>
      <c r="AD583" s="2">
        <v>77.319999999999993</v>
      </c>
      <c r="AE583" s="2">
        <v>40.47</v>
      </c>
      <c r="AF583" s="2" t="s">
        <v>5775</v>
      </c>
      <c r="AG583" s="2" t="s">
        <v>194</v>
      </c>
      <c r="AH583" s="2" t="s">
        <v>5776</v>
      </c>
      <c r="AI583" s="2">
        <v>0.98</v>
      </c>
      <c r="AJ583" s="2">
        <v>17.3314807581948</v>
      </c>
      <c r="AK583" s="2">
        <v>17.1581873809386</v>
      </c>
      <c r="AL583" s="2">
        <v>17.132075132449</v>
      </c>
      <c r="AM583" s="2">
        <v>17.378869895356701</v>
      </c>
      <c r="AN583" s="2">
        <v>17.470833767357199</v>
      </c>
      <c r="AO583" s="2">
        <v>17.239702938883699</v>
      </c>
      <c r="AP583" s="2">
        <v>16.939463629721399</v>
      </c>
      <c r="AQ583" s="2">
        <v>17.218665584901501</v>
      </c>
      <c r="AR583" s="2">
        <v>16.5855698064303</v>
      </c>
      <c r="AS583" s="2">
        <v>15.7775370961585</v>
      </c>
      <c r="AT583" s="2">
        <v>17.934039577525098</v>
      </c>
      <c r="AU583" s="2">
        <v>14.9867331198923</v>
      </c>
      <c r="AV583" s="2">
        <v>17.355637318412299</v>
      </c>
      <c r="AW583" s="2">
        <v>17.159502517270798</v>
      </c>
      <c r="AX583" s="2">
        <v>16.532996581690799</v>
      </c>
      <c r="AY583" s="2">
        <v>17.787335580228099</v>
      </c>
      <c r="AZ583" s="2">
        <v>16.6924207138184</v>
      </c>
      <c r="BA583" s="2">
        <v>17.2423439458661</v>
      </c>
      <c r="BB583" s="2">
        <v>17.1469873394045</v>
      </c>
      <c r="BC583" s="2">
        <v>18.3100025069072</v>
      </c>
      <c r="BD583" s="2">
        <v>16.275622028702699</v>
      </c>
      <c r="BE583" s="2">
        <v>16.933237206087199</v>
      </c>
      <c r="BF583" s="2">
        <v>15.125023925754601</v>
      </c>
      <c r="BG583" s="2">
        <v>17.017201089223501</v>
      </c>
      <c r="BH583" s="2">
        <v>16.983684151316702</v>
      </c>
      <c r="BI583" s="2">
        <v>17.6022014756958</v>
      </c>
      <c r="BJ583" s="2">
        <v>17.495437219258299</v>
      </c>
      <c r="BK583" s="2">
        <v>16.8374884856206</v>
      </c>
      <c r="BL583" s="2">
        <v>16.896500218147999</v>
      </c>
      <c r="BM583" s="2">
        <v>15.953258644814101</v>
      </c>
      <c r="BN583" s="2">
        <v>18.073150984690699</v>
      </c>
      <c r="BO583" s="2">
        <v>15.7001885359879</v>
      </c>
      <c r="BP583" s="2">
        <v>17.945960714832601</v>
      </c>
      <c r="BQ583" s="2">
        <v>17.132721217724601</v>
      </c>
      <c r="BR583" s="2">
        <v>16.215151306974899</v>
      </c>
      <c r="BS583" s="2">
        <v>17.159300380345599</v>
      </c>
      <c r="BT583" s="2">
        <v>16.739439273942001</v>
      </c>
      <c r="BU583" s="2">
        <v>17.454828927941598</v>
      </c>
      <c r="BV583" s="2">
        <v>17.2393191963296</v>
      </c>
      <c r="BW583" s="2">
        <v>17.298537145203099</v>
      </c>
      <c r="BX583" s="2">
        <v>16.252214889449501</v>
      </c>
      <c r="BY583" s="2">
        <v>18.8043961628853</v>
      </c>
      <c r="BZ583" s="2">
        <v>16.3006805545388</v>
      </c>
      <c r="CA583" s="2">
        <v>16.710778995548001</v>
      </c>
      <c r="CB583" s="2">
        <v>17.313221667432899</v>
      </c>
      <c r="CC583" s="2">
        <v>17.312464217360301</v>
      </c>
      <c r="CD583" s="2">
        <v>17.778162173428999</v>
      </c>
      <c r="CE583" s="2">
        <v>16.7303934468611</v>
      </c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</row>
    <row r="584" spans="1:97">
      <c r="A584" s="2" t="s">
        <v>5777</v>
      </c>
      <c r="B584" s="2">
        <v>155.04587000000001</v>
      </c>
      <c r="C584" s="2">
        <v>0.71599999999999997</v>
      </c>
      <c r="D584" s="2" t="s">
        <v>146</v>
      </c>
      <c r="E584" s="2" t="s">
        <v>5778</v>
      </c>
      <c r="F584" s="2" t="s">
        <v>5779</v>
      </c>
      <c r="G584" s="2">
        <v>47260</v>
      </c>
      <c r="H584" s="3" t="str">
        <f>HYPERLINK("https://cloud.oebiotech.com/#/lm/network/47260", "https://cloud.oebiotech.com/#/lm/network/47260")</f>
        <v>https://cloud.oebiotech.com/#/lm/network/47260</v>
      </c>
      <c r="I584" s="2" t="s">
        <v>5780</v>
      </c>
      <c r="J584" s="2">
        <v>335</v>
      </c>
      <c r="K584" s="2"/>
      <c r="L584" s="2">
        <v>439233</v>
      </c>
      <c r="M584" s="2" t="s">
        <v>5781</v>
      </c>
      <c r="N584" s="2" t="s">
        <v>546</v>
      </c>
      <c r="O584" s="2" t="s">
        <v>547</v>
      </c>
      <c r="P584" s="2">
        <v>7274</v>
      </c>
      <c r="Q584" s="2"/>
      <c r="R584" s="2"/>
      <c r="S584" s="2" t="s">
        <v>5782</v>
      </c>
      <c r="T584" s="2" t="s">
        <v>5783</v>
      </c>
      <c r="U584" s="2" t="s">
        <v>5784</v>
      </c>
      <c r="V584" s="2" t="s">
        <v>115</v>
      </c>
      <c r="W584" s="2" t="s">
        <v>116</v>
      </c>
      <c r="X584" s="2" t="s">
        <v>117</v>
      </c>
      <c r="Y584" s="2" t="s">
        <v>118</v>
      </c>
      <c r="Z584" s="2" t="s">
        <v>119</v>
      </c>
      <c r="AA584" s="2" t="s">
        <v>120</v>
      </c>
      <c r="AB584" s="2" t="s">
        <v>3086</v>
      </c>
      <c r="AC584" s="2">
        <v>56.83</v>
      </c>
      <c r="AD584" s="2">
        <v>95.61</v>
      </c>
      <c r="AE584" s="2">
        <v>0</v>
      </c>
      <c r="AF584" s="2" t="s">
        <v>5614</v>
      </c>
      <c r="AG584" s="2" t="s">
        <v>993</v>
      </c>
      <c r="AH584" s="2" t="s">
        <v>5785</v>
      </c>
      <c r="AI584" s="2">
        <v>-1.29</v>
      </c>
      <c r="AJ584" s="2">
        <v>20.030555781792199</v>
      </c>
      <c r="AK584" s="2">
        <v>19.8512533622517</v>
      </c>
      <c r="AL584" s="2">
        <v>19.5438025522404</v>
      </c>
      <c r="AM584" s="2">
        <v>19.569170265533302</v>
      </c>
      <c r="AN584" s="2">
        <v>19.4110180227153</v>
      </c>
      <c r="AO584" s="2">
        <v>19.387135918276101</v>
      </c>
      <c r="AP584" s="2">
        <v>19.695068122136998</v>
      </c>
      <c r="AQ584" s="2">
        <v>19.400302241985401</v>
      </c>
      <c r="AR584" s="2">
        <v>19.750342593381099</v>
      </c>
      <c r="AS584" s="2">
        <v>19.934651500638299</v>
      </c>
      <c r="AT584" s="2">
        <v>18.807833736636901</v>
      </c>
      <c r="AU584" s="2">
        <v>18.667321178170901</v>
      </c>
      <c r="AV584" s="2">
        <v>19.2908968802525</v>
      </c>
      <c r="AW584" s="2">
        <v>20.421863534644</v>
      </c>
      <c r="AX584" s="2">
        <v>19.535769881553101</v>
      </c>
      <c r="AY584" s="2">
        <v>19.4521404731973</v>
      </c>
      <c r="AZ584" s="2">
        <v>19.423791420118899</v>
      </c>
      <c r="BA584" s="2">
        <v>18.810542327190198</v>
      </c>
      <c r="BB584" s="2">
        <v>19.3318247305398</v>
      </c>
      <c r="BC584" s="2">
        <v>19.009655004251599</v>
      </c>
      <c r="BD584" s="2">
        <v>19.723659028129401</v>
      </c>
      <c r="BE584" s="2">
        <v>20.093629854693301</v>
      </c>
      <c r="BF584" s="2">
        <v>19.582929049750302</v>
      </c>
      <c r="BG584" s="2">
        <v>19.553196590749099</v>
      </c>
      <c r="BH584" s="2">
        <v>19.281466051121399</v>
      </c>
      <c r="BI584" s="2">
        <v>19.836575707592701</v>
      </c>
      <c r="BJ584" s="2">
        <v>20.304348001400001</v>
      </c>
      <c r="BK584" s="2">
        <v>18.0314746332452</v>
      </c>
      <c r="BL584" s="2">
        <v>19.8138952591767</v>
      </c>
      <c r="BM584" s="2">
        <v>19.811225204731201</v>
      </c>
      <c r="BN584" s="2">
        <v>19.467031595156399</v>
      </c>
      <c r="BO584" s="2">
        <v>19.147769882788001</v>
      </c>
      <c r="BP584" s="2">
        <v>19.089349250145201</v>
      </c>
      <c r="BQ584" s="2">
        <v>19.855136882638799</v>
      </c>
      <c r="BR584" s="2">
        <v>19.972888128729799</v>
      </c>
      <c r="BS584" s="2">
        <v>19.409830129642501</v>
      </c>
      <c r="BT584" s="2">
        <v>18.949271541533601</v>
      </c>
      <c r="BU584" s="2">
        <v>18.894453154253899</v>
      </c>
      <c r="BV584" s="2">
        <v>19.755856679699601</v>
      </c>
      <c r="BW584" s="2">
        <v>18.256015556256799</v>
      </c>
      <c r="BX584" s="2">
        <v>20.085407453346399</v>
      </c>
      <c r="BY584" s="2">
        <v>19.5410764559056</v>
      </c>
      <c r="BZ584" s="2">
        <v>20.1583113392645</v>
      </c>
      <c r="CA584" s="2">
        <v>19.4334514740003</v>
      </c>
      <c r="CB584" s="2">
        <v>18.6330070501559</v>
      </c>
      <c r="CC584" s="2">
        <v>19.476055379955099</v>
      </c>
      <c r="CD584" s="2">
        <v>19.901739019425701</v>
      </c>
      <c r="CE584" s="2">
        <v>19.537445813693701</v>
      </c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</row>
    <row r="585" spans="1:97">
      <c r="A585" s="2" t="s">
        <v>5786</v>
      </c>
      <c r="B585" s="2">
        <v>154.99816000000001</v>
      </c>
      <c r="C585" s="2">
        <v>0.79500000000000004</v>
      </c>
      <c r="D585" s="2" t="s">
        <v>146</v>
      </c>
      <c r="E585" s="2" t="s">
        <v>5787</v>
      </c>
      <c r="F585" s="2" t="s">
        <v>5788</v>
      </c>
      <c r="G585" s="2">
        <v>47481</v>
      </c>
      <c r="H585" s="3" t="str">
        <f>HYPERLINK("https://cloud.oebiotech.com/#/lm/network/47481", "https://cloud.oebiotech.com/#/lm/network/47481")</f>
        <v>https://cloud.oebiotech.com/#/lm/network/47481</v>
      </c>
      <c r="I585" s="2" t="s">
        <v>5789</v>
      </c>
      <c r="J585" s="2">
        <v>342</v>
      </c>
      <c r="K585" s="2"/>
      <c r="L585" s="2">
        <v>440667</v>
      </c>
      <c r="M585" s="2" t="s">
        <v>5790</v>
      </c>
      <c r="N585" s="2" t="s">
        <v>5791</v>
      </c>
      <c r="O585" s="2" t="s">
        <v>5792</v>
      </c>
      <c r="P585" s="2">
        <v>27956</v>
      </c>
      <c r="Q585" s="2"/>
      <c r="R585" s="2"/>
      <c r="S585" s="2" t="s">
        <v>5793</v>
      </c>
      <c r="T585" s="2" t="s">
        <v>5794</v>
      </c>
      <c r="U585" s="2" t="s">
        <v>5795</v>
      </c>
      <c r="V585" s="2" t="s">
        <v>553</v>
      </c>
      <c r="W585" s="2" t="s">
        <v>3480</v>
      </c>
      <c r="X585" s="2" t="s">
        <v>3481</v>
      </c>
      <c r="Y585" s="2" t="s">
        <v>556</v>
      </c>
      <c r="Z585" s="2" t="s">
        <v>3482</v>
      </c>
      <c r="AA585" s="2" t="s">
        <v>3483</v>
      </c>
      <c r="AB585" s="2" t="s">
        <v>3086</v>
      </c>
      <c r="AC585" s="2">
        <v>56.82</v>
      </c>
      <c r="AD585" s="2">
        <v>96.04</v>
      </c>
      <c r="AE585" s="2">
        <v>0</v>
      </c>
      <c r="AF585" s="2" t="s">
        <v>5614</v>
      </c>
      <c r="AG585" s="2" t="s">
        <v>993</v>
      </c>
      <c r="AH585" s="2" t="s">
        <v>1645</v>
      </c>
      <c r="AI585" s="2">
        <v>-1.29</v>
      </c>
      <c r="AJ585" s="2">
        <v>19.6358827845185</v>
      </c>
      <c r="AK585" s="2">
        <v>19.724962693692799</v>
      </c>
      <c r="AL585" s="2">
        <v>19.745423673877902</v>
      </c>
      <c r="AM585" s="2">
        <v>19.837671569355599</v>
      </c>
      <c r="AN585" s="2">
        <v>19.718957016761198</v>
      </c>
      <c r="AO585" s="2">
        <v>19.525491235654101</v>
      </c>
      <c r="AP585" s="2">
        <v>19.459009933104699</v>
      </c>
      <c r="AQ585" s="2">
        <v>19.8851600794431</v>
      </c>
      <c r="AR585" s="2">
        <v>19.462198816854901</v>
      </c>
      <c r="AS585" s="2">
        <v>19.3027919182387</v>
      </c>
      <c r="AT585" s="2">
        <v>19.444547514612399</v>
      </c>
      <c r="AU585" s="2">
        <v>19.726016227643701</v>
      </c>
      <c r="AV585" s="2">
        <v>19.430033031829499</v>
      </c>
      <c r="AW585" s="2">
        <v>19.844301337948</v>
      </c>
      <c r="AX585" s="2">
        <v>19.354413853339999</v>
      </c>
      <c r="AY585" s="2">
        <v>19.443457605635</v>
      </c>
      <c r="AZ585" s="2">
        <v>19.521155643702201</v>
      </c>
      <c r="BA585" s="2">
        <v>19.187875028824401</v>
      </c>
      <c r="BB585" s="2">
        <v>18.932666071546599</v>
      </c>
      <c r="BC585" s="2">
        <v>18.799037995630801</v>
      </c>
      <c r="BD585" s="2">
        <v>19.512516200752898</v>
      </c>
      <c r="BE585" s="2">
        <v>19.4015567910333</v>
      </c>
      <c r="BF585" s="2">
        <v>19.301139085194901</v>
      </c>
      <c r="BG585" s="2">
        <v>18.535583095249201</v>
      </c>
      <c r="BH585" s="2">
        <v>19.499205034330501</v>
      </c>
      <c r="BI585" s="2">
        <v>19.3107888478694</v>
      </c>
      <c r="BJ585" s="2">
        <v>19.751645978776398</v>
      </c>
      <c r="BK585" s="2">
        <v>19.427879068732299</v>
      </c>
      <c r="BL585" s="2">
        <v>19.530958276959101</v>
      </c>
      <c r="BM585" s="2">
        <v>20.334876381119901</v>
      </c>
      <c r="BN585" s="2">
        <v>19.767907837530402</v>
      </c>
      <c r="BO585" s="2">
        <v>18.949088147978799</v>
      </c>
      <c r="BP585" s="2">
        <v>19.332999316396499</v>
      </c>
      <c r="BQ585" s="2">
        <v>20.027983024185399</v>
      </c>
      <c r="BR585" s="2">
        <v>18.770988794329099</v>
      </c>
      <c r="BS585" s="2">
        <v>19.463924372417399</v>
      </c>
      <c r="BT585" s="2">
        <v>19.3838938885193</v>
      </c>
      <c r="BU585" s="2">
        <v>19.759596432300299</v>
      </c>
      <c r="BV585" s="2">
        <v>19.644346291744998</v>
      </c>
      <c r="BW585" s="2">
        <v>19.5188880270304</v>
      </c>
      <c r="BX585" s="2">
        <v>19.921461287870098</v>
      </c>
      <c r="BY585" s="2">
        <v>19.083518697576601</v>
      </c>
      <c r="BZ585" s="2">
        <v>19.721410027341499</v>
      </c>
      <c r="CA585" s="2">
        <v>17.296489312994801</v>
      </c>
      <c r="CB585" s="2">
        <v>19.295597527089299</v>
      </c>
      <c r="CC585" s="2">
        <v>19.4111546893064</v>
      </c>
      <c r="CD585" s="2">
        <v>19.218420744666901</v>
      </c>
      <c r="CE585" s="2">
        <v>19.480705665706601</v>
      </c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</row>
    <row r="586" spans="1:97">
      <c r="A586" s="2" t="s">
        <v>5796</v>
      </c>
      <c r="B586" s="2">
        <v>88.987870000000001</v>
      </c>
      <c r="C586" s="2">
        <v>0.52300000000000002</v>
      </c>
      <c r="D586" s="2" t="s">
        <v>146</v>
      </c>
      <c r="E586" s="2" t="s">
        <v>5797</v>
      </c>
      <c r="F586" s="2" t="s">
        <v>5798</v>
      </c>
      <c r="G586" s="2">
        <v>549775</v>
      </c>
      <c r="H586" s="3" t="str">
        <f>HYPERLINK("https://cloud.oebiotech.com/#/lm/network/549775", "https://cloud.oebiotech.com/#/lm/network/549775")</f>
        <v>https://cloud.oebiotech.com/#/lm/network/549775</v>
      </c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 t="s">
        <v>5799</v>
      </c>
      <c r="T586" s="2" t="s">
        <v>5800</v>
      </c>
      <c r="U586" s="2" t="s">
        <v>5801</v>
      </c>
      <c r="V586" s="2" t="s">
        <v>115</v>
      </c>
      <c r="W586" s="2" t="s">
        <v>116</v>
      </c>
      <c r="X586" s="2" t="s">
        <v>1238</v>
      </c>
      <c r="Y586" s="2" t="s">
        <v>118</v>
      </c>
      <c r="Z586" s="2" t="s">
        <v>119</v>
      </c>
      <c r="AA586" s="2" t="s">
        <v>1239</v>
      </c>
      <c r="AB586" s="2" t="s">
        <v>3086</v>
      </c>
      <c r="AC586" s="2">
        <v>56.81</v>
      </c>
      <c r="AD586" s="2">
        <v>98.46</v>
      </c>
      <c r="AE586" s="2">
        <v>0</v>
      </c>
      <c r="AF586" s="2" t="s">
        <v>5614</v>
      </c>
      <c r="AG586" s="2" t="s">
        <v>194</v>
      </c>
      <c r="AH586" s="2" t="s">
        <v>5802</v>
      </c>
      <c r="AI586" s="2">
        <v>1.8</v>
      </c>
      <c r="AJ586" s="2">
        <v>22.8574338072054</v>
      </c>
      <c r="AK586" s="2">
        <v>22.683820559144301</v>
      </c>
      <c r="AL586" s="2">
        <v>22.658402002700701</v>
      </c>
      <c r="AM586" s="2">
        <v>22.775572002144699</v>
      </c>
      <c r="AN586" s="2">
        <v>22.451218810344901</v>
      </c>
      <c r="AO586" s="2">
        <v>22.863934048795301</v>
      </c>
      <c r="AP586" s="2">
        <v>21.823209303674201</v>
      </c>
      <c r="AQ586" s="2">
        <v>22.644652932380701</v>
      </c>
      <c r="AR586" s="2">
        <v>22.713389332278499</v>
      </c>
      <c r="AS586" s="2">
        <v>22.780946203473999</v>
      </c>
      <c r="AT586" s="2">
        <v>22.840717758705701</v>
      </c>
      <c r="AU586" s="2">
        <v>22.682494148867701</v>
      </c>
      <c r="AV586" s="2">
        <v>22.764925453147001</v>
      </c>
      <c r="AW586" s="2">
        <v>22.861461981502401</v>
      </c>
      <c r="AX586" s="2">
        <v>22.593404468352201</v>
      </c>
      <c r="AY586" s="2">
        <v>22.710847821112399</v>
      </c>
      <c r="AZ586" s="2">
        <v>22.583648870341801</v>
      </c>
      <c r="BA586" s="2">
        <v>22.812696361201802</v>
      </c>
      <c r="BB586" s="2">
        <v>22.8874558847643</v>
      </c>
      <c r="BC586" s="2">
        <v>22.609495528151001</v>
      </c>
      <c r="BD586" s="2">
        <v>22.8275863244675</v>
      </c>
      <c r="BE586" s="2">
        <v>22.795707165929102</v>
      </c>
      <c r="BF586" s="2">
        <v>22.756703598133502</v>
      </c>
      <c r="BG586" s="2">
        <v>22.915323029406299</v>
      </c>
      <c r="BH586" s="2">
        <v>23.089112345404502</v>
      </c>
      <c r="BI586" s="2">
        <v>22.1276364124042</v>
      </c>
      <c r="BJ586" s="2">
        <v>22.973506550376801</v>
      </c>
      <c r="BK586" s="2">
        <v>22.7477605386356</v>
      </c>
      <c r="BL586" s="2">
        <v>22.9644452379775</v>
      </c>
      <c r="BM586" s="2">
        <v>22.2903759829757</v>
      </c>
      <c r="BN586" s="2">
        <v>22.851787876630802</v>
      </c>
      <c r="BO586" s="2">
        <v>22.7850439782714</v>
      </c>
      <c r="BP586" s="2">
        <v>22.767412884989199</v>
      </c>
      <c r="BQ586" s="2">
        <v>22.746670195902201</v>
      </c>
      <c r="BR586" s="2">
        <v>22.910645897705798</v>
      </c>
      <c r="BS586" s="2">
        <v>22.899055479227499</v>
      </c>
      <c r="BT586" s="2">
        <v>21.731898019148598</v>
      </c>
      <c r="BU586" s="2">
        <v>22.711816309834202</v>
      </c>
      <c r="BV586" s="2">
        <v>22.630073259633399</v>
      </c>
      <c r="BW586" s="2">
        <v>22.8101976422702</v>
      </c>
      <c r="BX586" s="2">
        <v>22.864238853938101</v>
      </c>
      <c r="BY586" s="2">
        <v>22.259902090291</v>
      </c>
      <c r="BZ586" s="2">
        <v>22.685783255390099</v>
      </c>
      <c r="CA586" s="2">
        <v>22.833322081877998</v>
      </c>
      <c r="CB586" s="2">
        <v>22.2541525373925</v>
      </c>
      <c r="CC586" s="2">
        <v>22.665035999779899</v>
      </c>
      <c r="CD586" s="2">
        <v>22.640613932660301</v>
      </c>
      <c r="CE586" s="2">
        <v>22.775487126930699</v>
      </c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</row>
    <row r="587" spans="1:97">
      <c r="A587" s="2" t="s">
        <v>5803</v>
      </c>
      <c r="B587" s="2">
        <v>586.31447000000003</v>
      </c>
      <c r="C587" s="2">
        <v>9.8559999999999999</v>
      </c>
      <c r="D587" s="2" t="s">
        <v>146</v>
      </c>
      <c r="E587" s="2" t="s">
        <v>5804</v>
      </c>
      <c r="F587" s="2"/>
      <c r="G587" s="2">
        <v>596209</v>
      </c>
      <c r="H587" s="3" t="str">
        <f>HYPERLINK("https://cloud.oebiotech.com/#/lm/network/596209", "https://cloud.oebiotech.com/#/lm/network/596209")</f>
        <v>https://cloud.oebiotech.com/#/lm/network/596209</v>
      </c>
      <c r="I587" s="2"/>
      <c r="J587" s="2"/>
      <c r="K587" s="2"/>
      <c r="L587" s="2">
        <v>71316309</v>
      </c>
      <c r="M587" s="2"/>
      <c r="N587" s="2"/>
      <c r="O587" s="2"/>
      <c r="P587" s="2"/>
      <c r="Q587" s="2"/>
      <c r="R587" s="2"/>
      <c r="S587" s="2"/>
      <c r="T587" s="2" t="s">
        <v>5805</v>
      </c>
      <c r="U587" s="2" t="s">
        <v>5806</v>
      </c>
      <c r="V587" s="2" t="s">
        <v>95</v>
      </c>
      <c r="W587" s="2" t="s">
        <v>202</v>
      </c>
      <c r="X587" s="2" t="s">
        <v>203</v>
      </c>
      <c r="Y587" s="2" t="s">
        <v>98</v>
      </c>
      <c r="Z587" s="2" t="s">
        <v>204</v>
      </c>
      <c r="AA587" s="2" t="s">
        <v>205</v>
      </c>
      <c r="AB587" s="2" t="s">
        <v>5118</v>
      </c>
      <c r="AC587" s="2">
        <v>56.8</v>
      </c>
      <c r="AD587" s="2">
        <v>79.25</v>
      </c>
      <c r="AE587" s="2">
        <v>76.849999999999994</v>
      </c>
      <c r="AF587" s="2" t="s">
        <v>5807</v>
      </c>
      <c r="AG587" s="2" t="s">
        <v>157</v>
      </c>
      <c r="AH587" s="2" t="s">
        <v>5808</v>
      </c>
      <c r="AI587" s="2">
        <v>1.02</v>
      </c>
      <c r="AJ587" s="2">
        <v>20.2718629763678</v>
      </c>
      <c r="AK587" s="2">
        <v>20.100260777452899</v>
      </c>
      <c r="AL587" s="2">
        <v>20.203684506058998</v>
      </c>
      <c r="AM587" s="2">
        <v>20.102992181899701</v>
      </c>
      <c r="AN587" s="2">
        <v>20.231448283501901</v>
      </c>
      <c r="AO587" s="2">
        <v>20.260397601817299</v>
      </c>
      <c r="AP587" s="2">
        <v>20.2039282882359</v>
      </c>
      <c r="AQ587" s="2">
        <v>20.187365400726499</v>
      </c>
      <c r="AR587" s="2">
        <v>22.4778431154899</v>
      </c>
      <c r="AS587" s="2">
        <v>18.5022742412994</v>
      </c>
      <c r="AT587" s="2">
        <v>19.327195873272998</v>
      </c>
      <c r="AU587" s="2">
        <v>19.2557188259612</v>
      </c>
      <c r="AV587" s="2">
        <v>19.407178829725702</v>
      </c>
      <c r="AW587" s="2">
        <v>19.8839774819231</v>
      </c>
      <c r="AX587" s="2">
        <v>20.015738473630801</v>
      </c>
      <c r="AY587" s="2">
        <v>19.115305457383101</v>
      </c>
      <c r="AZ587" s="2">
        <v>20.954931418807199</v>
      </c>
      <c r="BA587" s="2">
        <v>20.189666569699401</v>
      </c>
      <c r="BB587" s="2">
        <v>18.591521470014001</v>
      </c>
      <c r="BC587" s="2">
        <v>20.695722275786601</v>
      </c>
      <c r="BD587" s="2">
        <v>20.2724510611699</v>
      </c>
      <c r="BE587" s="2">
        <v>19.9654521588884</v>
      </c>
      <c r="BF587" s="2">
        <v>19.262730904791901</v>
      </c>
      <c r="BG587" s="2">
        <v>19.977691180114199</v>
      </c>
      <c r="BH587" s="2">
        <v>21.071463973080501</v>
      </c>
      <c r="BI587" s="2">
        <v>19.904100499986399</v>
      </c>
      <c r="BJ587" s="2">
        <v>21.196941478868901</v>
      </c>
      <c r="BK587" s="2">
        <v>19.900652379677901</v>
      </c>
      <c r="BL587" s="2">
        <v>20.1452626783616</v>
      </c>
      <c r="BM587" s="2">
        <v>19.654375956258399</v>
      </c>
      <c r="BN587" s="2">
        <v>19.7459562533491</v>
      </c>
      <c r="BO587" s="2">
        <v>19.141795498685202</v>
      </c>
      <c r="BP587" s="2">
        <v>18.031765215098101</v>
      </c>
      <c r="BQ587" s="2">
        <v>20.030400622837</v>
      </c>
      <c r="BR587" s="2">
        <v>20.066901487045399</v>
      </c>
      <c r="BS587" s="2">
        <v>20.687615540802199</v>
      </c>
      <c r="BT587" s="2">
        <v>23.235644906024</v>
      </c>
      <c r="BU587" s="2">
        <v>20.9586699168987</v>
      </c>
      <c r="BV587" s="2">
        <v>18.819583680537399</v>
      </c>
      <c r="BW587" s="2">
        <v>19.099556880002499</v>
      </c>
      <c r="BX587" s="2">
        <v>19.802479257251299</v>
      </c>
      <c r="BY587" s="2">
        <v>20.335305219513199</v>
      </c>
      <c r="BZ587" s="2">
        <v>18.972188688810999</v>
      </c>
      <c r="CA587" s="2">
        <v>20.012550437685899</v>
      </c>
      <c r="CB587" s="2">
        <v>20.7867713289221</v>
      </c>
      <c r="CC587" s="2">
        <v>19.455976805407499</v>
      </c>
      <c r="CD587" s="2">
        <v>20.119894514883502</v>
      </c>
      <c r="CE587" s="2">
        <v>19.0121207722413</v>
      </c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</row>
    <row r="588" spans="1:97">
      <c r="A588" s="2" t="s">
        <v>5809</v>
      </c>
      <c r="B588" s="2">
        <v>137.07080999999999</v>
      </c>
      <c r="C588" s="2">
        <v>0.71099999999999997</v>
      </c>
      <c r="D588" s="2" t="s">
        <v>84</v>
      </c>
      <c r="E588" s="2" t="s">
        <v>5810</v>
      </c>
      <c r="F588" s="2" t="s">
        <v>5811</v>
      </c>
      <c r="G588" s="2">
        <v>47166</v>
      </c>
      <c r="H588" s="3" t="str">
        <f>HYPERLINK("https://cloud.oebiotech.com/#/lm/network/47166", "https://cloud.oebiotech.com/#/lm/network/47166")</f>
        <v>https://cloud.oebiotech.com/#/lm/network/47166</v>
      </c>
      <c r="I588" s="2" t="s">
        <v>5812</v>
      </c>
      <c r="J588" s="2">
        <v>274</v>
      </c>
      <c r="K588" s="2"/>
      <c r="L588" s="2">
        <v>457</v>
      </c>
      <c r="M588" s="2" t="s">
        <v>5813</v>
      </c>
      <c r="N588" s="2" t="s">
        <v>2667</v>
      </c>
      <c r="O588" s="2" t="s">
        <v>2668</v>
      </c>
      <c r="P588" s="2">
        <v>16797</v>
      </c>
      <c r="Q588" s="2" t="s">
        <v>5814</v>
      </c>
      <c r="R588" s="2" t="s">
        <v>5815</v>
      </c>
      <c r="S588" s="2" t="s">
        <v>5816</v>
      </c>
      <c r="T588" s="2" t="s">
        <v>5817</v>
      </c>
      <c r="U588" s="2" t="s">
        <v>5818</v>
      </c>
      <c r="V588" s="2" t="s">
        <v>553</v>
      </c>
      <c r="W588" s="2" t="s">
        <v>2447</v>
      </c>
      <c r="X588" s="2" t="s">
        <v>2448</v>
      </c>
      <c r="Y588" s="2" t="s">
        <v>556</v>
      </c>
      <c r="Z588" s="2" t="s">
        <v>2449</v>
      </c>
      <c r="AA588" s="2" t="s">
        <v>2450</v>
      </c>
      <c r="AB588" s="2" t="s">
        <v>3086</v>
      </c>
      <c r="AC588" s="2">
        <v>56.76</v>
      </c>
      <c r="AD588" s="2">
        <v>95.31</v>
      </c>
      <c r="AE588" s="2">
        <v>0</v>
      </c>
      <c r="AF588" s="2" t="s">
        <v>5614</v>
      </c>
      <c r="AG588" s="2" t="s">
        <v>4104</v>
      </c>
      <c r="AH588" s="2" t="s">
        <v>5819</v>
      </c>
      <c r="AI588" s="2">
        <v>0.73</v>
      </c>
      <c r="AJ588" s="2">
        <v>20.617778175035198</v>
      </c>
      <c r="AK588" s="2">
        <v>20.849272743978599</v>
      </c>
      <c r="AL588" s="2">
        <v>20.409618483693102</v>
      </c>
      <c r="AM588" s="2">
        <v>20.878429239981202</v>
      </c>
      <c r="AN588" s="2">
        <v>20.725849840245601</v>
      </c>
      <c r="AO588" s="2">
        <v>20.605634712792501</v>
      </c>
      <c r="AP588" s="2">
        <v>20.440944596566499</v>
      </c>
      <c r="AQ588" s="2">
        <v>20.726635249496901</v>
      </c>
      <c r="AR588" s="2">
        <v>9.6233145402724691</v>
      </c>
      <c r="AS588" s="2">
        <v>22.0829275276994</v>
      </c>
      <c r="AT588" s="2">
        <v>20.140639839996201</v>
      </c>
      <c r="AU588" s="2">
        <v>18.392745139515501</v>
      </c>
      <c r="AV588" s="2">
        <v>20.435569316359199</v>
      </c>
      <c r="AW588" s="2">
        <v>19.915995949621301</v>
      </c>
      <c r="AX588" s="2">
        <v>20.069271053231301</v>
      </c>
      <c r="AY588" s="2">
        <v>20.035140733757402</v>
      </c>
      <c r="AZ588" s="2">
        <v>20.096109233791701</v>
      </c>
      <c r="BA588" s="2">
        <v>21.216274859593099</v>
      </c>
      <c r="BB588" s="2">
        <v>21.5035670898977</v>
      </c>
      <c r="BC588" s="2">
        <v>21.2666989632202</v>
      </c>
      <c r="BD588" s="2">
        <v>18.154843270968598</v>
      </c>
      <c r="BE588" s="2">
        <v>21.139994226635601</v>
      </c>
      <c r="BF588" s="2">
        <v>18.2177631620489</v>
      </c>
      <c r="BG588" s="2">
        <v>21.791045685017298</v>
      </c>
      <c r="BH588" s="2">
        <v>20.114031263039202</v>
      </c>
      <c r="BI588" s="2">
        <v>21.071180925355801</v>
      </c>
      <c r="BJ588" s="2">
        <v>21.439182251874701</v>
      </c>
      <c r="BK588" s="2">
        <v>20.221713419518601</v>
      </c>
      <c r="BL588" s="2">
        <v>21.312397257871599</v>
      </c>
      <c r="BM588" s="2">
        <v>19.982232967825102</v>
      </c>
      <c r="BN588" s="2">
        <v>18.886310818790299</v>
      </c>
      <c r="BO588" s="2">
        <v>21.414681576838301</v>
      </c>
      <c r="BP588" s="2">
        <v>20.7153301082589</v>
      </c>
      <c r="BQ588" s="2">
        <v>19.990215838870999</v>
      </c>
      <c r="BR588" s="2">
        <v>20.716674103942101</v>
      </c>
      <c r="BS588" s="2">
        <v>20.522099030652502</v>
      </c>
      <c r="BT588" s="2">
        <v>21.148810827058998</v>
      </c>
      <c r="BU588" s="2">
        <v>21.022041050900601</v>
      </c>
      <c r="BV588" s="2">
        <v>21.7049634394448</v>
      </c>
      <c r="BW588" s="2">
        <v>19.243827012821999</v>
      </c>
      <c r="BX588" s="2">
        <v>19.268115080767899</v>
      </c>
      <c r="BY588" s="2">
        <v>20.5636896131154</v>
      </c>
      <c r="BZ588" s="2">
        <v>20.0427361965959</v>
      </c>
      <c r="CA588" s="2">
        <v>18.2566728191278</v>
      </c>
      <c r="CB588" s="2">
        <v>21.237243519067199</v>
      </c>
      <c r="CC588" s="2">
        <v>21.793790353011499</v>
      </c>
      <c r="CD588" s="2">
        <v>21.7173592601069</v>
      </c>
      <c r="CE588" s="2">
        <v>21.906662144202802</v>
      </c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</row>
    <row r="589" spans="1:97">
      <c r="A589" s="2" t="s">
        <v>5820</v>
      </c>
      <c r="B589" s="2">
        <v>471.24149</v>
      </c>
      <c r="C589" s="2">
        <v>7.3550000000000004</v>
      </c>
      <c r="D589" s="2" t="s">
        <v>146</v>
      </c>
      <c r="E589" s="2" t="s">
        <v>5821</v>
      </c>
      <c r="F589" s="2" t="s">
        <v>5822</v>
      </c>
      <c r="G589" s="2">
        <v>59711</v>
      </c>
      <c r="H589" s="3" t="str">
        <f>HYPERLINK("https://cloud.oebiotech.com/#/lm/network/59711", "https://cloud.oebiotech.com/#/lm/network/59711")</f>
        <v>https://cloud.oebiotech.com/#/lm/network/59711</v>
      </c>
      <c r="I589" s="2" t="s">
        <v>5823</v>
      </c>
      <c r="J589" s="2">
        <v>91094</v>
      </c>
      <c r="K589" s="2"/>
      <c r="L589" s="2">
        <v>131751879</v>
      </c>
      <c r="M589" s="2"/>
      <c r="N589" s="2"/>
      <c r="O589" s="2"/>
      <c r="P589" s="2"/>
      <c r="Q589" s="2"/>
      <c r="R589" s="2"/>
      <c r="S589" s="2"/>
      <c r="T589" s="2" t="s">
        <v>5824</v>
      </c>
      <c r="U589" s="2" t="s">
        <v>5825</v>
      </c>
      <c r="V589" s="2" t="s">
        <v>95</v>
      </c>
      <c r="W589" s="2" t="s">
        <v>180</v>
      </c>
      <c r="X589" s="2" t="s">
        <v>1790</v>
      </c>
      <c r="Y589" s="2" t="s">
        <v>98</v>
      </c>
      <c r="Z589" s="2" t="s">
        <v>182</v>
      </c>
      <c r="AA589" s="2" t="s">
        <v>1791</v>
      </c>
      <c r="AB589" s="2" t="s">
        <v>3086</v>
      </c>
      <c r="AC589" s="2">
        <v>56.76</v>
      </c>
      <c r="AD589" s="2">
        <v>93.78</v>
      </c>
      <c r="AE589" s="2">
        <v>41.57</v>
      </c>
      <c r="AF589" s="2" t="s">
        <v>5826</v>
      </c>
      <c r="AG589" s="2" t="s">
        <v>194</v>
      </c>
      <c r="AH589" s="2" t="s">
        <v>5827</v>
      </c>
      <c r="AI589" s="2">
        <v>-5.73</v>
      </c>
      <c r="AJ589" s="2">
        <v>19.3416594548343</v>
      </c>
      <c r="AK589" s="2">
        <v>19.5674487887634</v>
      </c>
      <c r="AL589" s="2">
        <v>19.558247395439299</v>
      </c>
      <c r="AM589" s="2">
        <v>18.852854529041299</v>
      </c>
      <c r="AN589" s="2">
        <v>19.3585755506443</v>
      </c>
      <c r="AO589" s="2">
        <v>18.8796335317606</v>
      </c>
      <c r="AP589" s="2">
        <v>19.452729630476298</v>
      </c>
      <c r="AQ589" s="2">
        <v>19.464250283632801</v>
      </c>
      <c r="AR589" s="2">
        <v>16.674269935626299</v>
      </c>
      <c r="AS589" s="2">
        <v>9.6233145402724691</v>
      </c>
      <c r="AT589" s="2">
        <v>15.9990625689198</v>
      </c>
      <c r="AU589" s="2">
        <v>17.347145968320898</v>
      </c>
      <c r="AV589" s="2">
        <v>15.2772703254254</v>
      </c>
      <c r="AW589" s="2">
        <v>19.841425280164199</v>
      </c>
      <c r="AX589" s="2">
        <v>14.958195622342901</v>
      </c>
      <c r="AY589" s="2">
        <v>17.241893704445499</v>
      </c>
      <c r="AZ589" s="2">
        <v>15.055193026993701</v>
      </c>
      <c r="BA589" s="2">
        <v>18.822179184873601</v>
      </c>
      <c r="BB589" s="2">
        <v>20.714935704665798</v>
      </c>
      <c r="BC589" s="2">
        <v>19.769275149463301</v>
      </c>
      <c r="BD589" s="2">
        <v>9.6233145402724691</v>
      </c>
      <c r="BE589" s="2">
        <v>16.189001382666302</v>
      </c>
      <c r="BF589" s="2">
        <v>18.756800388627202</v>
      </c>
      <c r="BG589" s="2">
        <v>21.663725727101301</v>
      </c>
      <c r="BH589" s="2">
        <v>14.2745652488177</v>
      </c>
      <c r="BI589" s="2">
        <v>18.3414327784444</v>
      </c>
      <c r="BJ589" s="2">
        <v>20.559266513803699</v>
      </c>
      <c r="BK589" s="2">
        <v>21.147050101140699</v>
      </c>
      <c r="BL589" s="2">
        <v>18.4351008585834</v>
      </c>
      <c r="BM589" s="2">
        <v>12.499267896232199</v>
      </c>
      <c r="BN589" s="2">
        <v>16.074502342305902</v>
      </c>
      <c r="BO589" s="2">
        <v>18.594800373953401</v>
      </c>
      <c r="BP589" s="2">
        <v>17.463412616272699</v>
      </c>
      <c r="BQ589" s="2">
        <v>17.9422007945658</v>
      </c>
      <c r="BR589" s="2">
        <v>16.047064466194701</v>
      </c>
      <c r="BS589" s="2">
        <v>17.643774824552001</v>
      </c>
      <c r="BT589" s="2">
        <v>15.691291243201</v>
      </c>
      <c r="BU589" s="2">
        <v>17.709668186586399</v>
      </c>
      <c r="BV589" s="2">
        <v>20.310158994867901</v>
      </c>
      <c r="BW589" s="2">
        <v>19.718384220921202</v>
      </c>
      <c r="BX589" s="2">
        <v>9.6233145402724691</v>
      </c>
      <c r="BY589" s="2">
        <v>17.608321536994101</v>
      </c>
      <c r="BZ589" s="2">
        <v>16.680625993074202</v>
      </c>
      <c r="CA589" s="2">
        <v>21.170378481282199</v>
      </c>
      <c r="CB589" s="2">
        <v>18.348213863907699</v>
      </c>
      <c r="CC589" s="2">
        <v>19.2149009618016</v>
      </c>
      <c r="CD589" s="2">
        <v>19.240504613676599</v>
      </c>
      <c r="CE589" s="2">
        <v>21.211038076085099</v>
      </c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</row>
    <row r="590" spans="1:97">
      <c r="A590" s="2" t="s">
        <v>5828</v>
      </c>
      <c r="B590" s="2">
        <v>203.14999</v>
      </c>
      <c r="C590" s="2">
        <v>0.71499999999999997</v>
      </c>
      <c r="D590" s="2" t="s">
        <v>84</v>
      </c>
      <c r="E590" s="2" t="s">
        <v>5829</v>
      </c>
      <c r="F590" s="2" t="s">
        <v>5830</v>
      </c>
      <c r="G590" s="2">
        <v>48065</v>
      </c>
      <c r="H590" s="3" t="str">
        <f>HYPERLINK("https://cloud.oebiotech.com/#/lm/network/48065", "https://cloud.oebiotech.com/#/lm/network/48065")</f>
        <v>https://cloud.oebiotech.com/#/lm/network/48065</v>
      </c>
      <c r="I590" s="2" t="s">
        <v>5831</v>
      </c>
      <c r="J590" s="2">
        <v>44873</v>
      </c>
      <c r="K590" s="2"/>
      <c r="L590" s="2">
        <v>169148</v>
      </c>
      <c r="M590" s="2"/>
      <c r="N590" s="2"/>
      <c r="O590" s="2"/>
      <c r="P590" s="2">
        <v>25682</v>
      </c>
      <c r="Q590" s="2" t="s">
        <v>5832</v>
      </c>
      <c r="R590" s="2" t="s">
        <v>5833</v>
      </c>
      <c r="S590" s="2" t="s">
        <v>5834</v>
      </c>
      <c r="T590" s="2" t="s">
        <v>5835</v>
      </c>
      <c r="U590" s="2" t="s">
        <v>5836</v>
      </c>
      <c r="V590" s="2" t="s">
        <v>115</v>
      </c>
      <c r="W590" s="2" t="s">
        <v>116</v>
      </c>
      <c r="X590" s="2" t="s">
        <v>117</v>
      </c>
      <c r="Y590" s="2" t="s">
        <v>118</v>
      </c>
      <c r="Z590" s="2" t="s">
        <v>119</v>
      </c>
      <c r="AA590" s="2" t="s">
        <v>120</v>
      </c>
      <c r="AB590" s="2" t="s">
        <v>3086</v>
      </c>
      <c r="AC590" s="2">
        <v>56.75</v>
      </c>
      <c r="AD590" s="2">
        <v>98.25</v>
      </c>
      <c r="AE590" s="2">
        <v>0</v>
      </c>
      <c r="AF590" s="2" t="s">
        <v>5614</v>
      </c>
      <c r="AG590" s="2" t="s">
        <v>103</v>
      </c>
      <c r="AH590" s="2" t="s">
        <v>5837</v>
      </c>
      <c r="AI590" s="2">
        <v>1.48</v>
      </c>
      <c r="AJ590" s="2">
        <v>23.156203380338699</v>
      </c>
      <c r="AK590" s="2">
        <v>23.3054442102511</v>
      </c>
      <c r="AL590" s="2">
        <v>22.931744242816698</v>
      </c>
      <c r="AM590" s="2">
        <v>23.149478563609399</v>
      </c>
      <c r="AN590" s="2">
        <v>23.105964955431499</v>
      </c>
      <c r="AO590" s="2">
        <v>23.1933002000588</v>
      </c>
      <c r="AP590" s="2">
        <v>23.281154415750201</v>
      </c>
      <c r="AQ590" s="2">
        <v>23.205830103832799</v>
      </c>
      <c r="AR590" s="2">
        <v>22.238878127018499</v>
      </c>
      <c r="AS590" s="2">
        <v>22.551996832965202</v>
      </c>
      <c r="AT590" s="2">
        <v>22.793705646035399</v>
      </c>
      <c r="AU590" s="2">
        <v>22.3279766223284</v>
      </c>
      <c r="AV590" s="2">
        <v>22.8934711570808</v>
      </c>
      <c r="AW590" s="2">
        <v>22.830332967312099</v>
      </c>
      <c r="AX590" s="2">
        <v>22.718988663054201</v>
      </c>
      <c r="AY590" s="2">
        <v>22.9650396992464</v>
      </c>
      <c r="AZ590" s="2">
        <v>22.726778804497499</v>
      </c>
      <c r="BA590" s="2">
        <v>22.713620295704299</v>
      </c>
      <c r="BB590" s="2">
        <v>22.780168807000301</v>
      </c>
      <c r="BC590" s="2">
        <v>23.3154339674558</v>
      </c>
      <c r="BD590" s="2">
        <v>23.046757504699901</v>
      </c>
      <c r="BE590" s="2">
        <v>23.550388990689299</v>
      </c>
      <c r="BF590" s="2">
        <v>22.861330286852201</v>
      </c>
      <c r="BG590" s="2">
        <v>22.725110150287399</v>
      </c>
      <c r="BH590" s="2">
        <v>22.423807525354199</v>
      </c>
      <c r="BI590" s="2">
        <v>22.644158442522698</v>
      </c>
      <c r="BJ590" s="2">
        <v>23.3913720196066</v>
      </c>
      <c r="BK590" s="2">
        <v>23.034501604471799</v>
      </c>
      <c r="BL590" s="2">
        <v>22.768385553038499</v>
      </c>
      <c r="BM590" s="2">
        <v>22.873453107627299</v>
      </c>
      <c r="BN590" s="2">
        <v>22.950187408516101</v>
      </c>
      <c r="BO590" s="2">
        <v>22.727459167227199</v>
      </c>
      <c r="BP590" s="2">
        <v>23.239219236419501</v>
      </c>
      <c r="BQ590" s="2">
        <v>22.866640611938401</v>
      </c>
      <c r="BR590" s="2">
        <v>23.0040727319337</v>
      </c>
      <c r="BS590" s="2">
        <v>23.169586700188201</v>
      </c>
      <c r="BT590" s="2">
        <v>23.0906516120546</v>
      </c>
      <c r="BU590" s="2">
        <v>23.044284748422399</v>
      </c>
      <c r="BV590" s="2">
        <v>23.554973059228001</v>
      </c>
      <c r="BW590" s="2">
        <v>23.029059534701499</v>
      </c>
      <c r="BX590" s="2">
        <v>23.1258066409439</v>
      </c>
      <c r="BY590" s="2">
        <v>23.407962160048601</v>
      </c>
      <c r="BZ590" s="2">
        <v>23.155398374433901</v>
      </c>
      <c r="CA590" s="2">
        <v>23.396513534120601</v>
      </c>
      <c r="CB590" s="2">
        <v>22.859673887804799</v>
      </c>
      <c r="CC590" s="2">
        <v>23.298741528997699</v>
      </c>
      <c r="CD590" s="2">
        <v>23.823368361630799</v>
      </c>
      <c r="CE590" s="2">
        <v>23.231864055187302</v>
      </c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</row>
    <row r="591" spans="1:97">
      <c r="A591" s="2" t="s">
        <v>5838</v>
      </c>
      <c r="B591" s="2">
        <v>189.13441</v>
      </c>
      <c r="C591" s="2">
        <v>0.71</v>
      </c>
      <c r="D591" s="2" t="s">
        <v>84</v>
      </c>
      <c r="E591" s="2" t="s">
        <v>5839</v>
      </c>
      <c r="F591" s="2" t="s">
        <v>5840</v>
      </c>
      <c r="G591" s="2">
        <v>54374</v>
      </c>
      <c r="H591" s="3" t="str">
        <f>HYPERLINK("https://cloud.oebiotech.com/#/lm/network/54374", "https://cloud.oebiotech.com/#/lm/network/54374")</f>
        <v>https://cloud.oebiotech.com/#/lm/network/54374</v>
      </c>
      <c r="I591" s="2" t="s">
        <v>5841</v>
      </c>
      <c r="J591" s="2"/>
      <c r="K591" s="2"/>
      <c r="L591" s="2">
        <v>132862</v>
      </c>
      <c r="M591" s="2" t="s">
        <v>5842</v>
      </c>
      <c r="N591" s="2"/>
      <c r="O591" s="2"/>
      <c r="P591" s="2">
        <v>28229</v>
      </c>
      <c r="Q591" s="2" t="s">
        <v>5843</v>
      </c>
      <c r="R591" s="2" t="s">
        <v>5844</v>
      </c>
      <c r="S591" s="2" t="s">
        <v>5845</v>
      </c>
      <c r="T591" s="2" t="s">
        <v>5846</v>
      </c>
      <c r="U591" s="2" t="s">
        <v>5847</v>
      </c>
      <c r="V591" s="2" t="s">
        <v>115</v>
      </c>
      <c r="W591" s="2" t="s">
        <v>116</v>
      </c>
      <c r="X591" s="2" t="s">
        <v>117</v>
      </c>
      <c r="Y591" s="2" t="s">
        <v>118</v>
      </c>
      <c r="Z591" s="2" t="s">
        <v>119</v>
      </c>
      <c r="AA591" s="2" t="s">
        <v>120</v>
      </c>
      <c r="AB591" s="2" t="s">
        <v>3086</v>
      </c>
      <c r="AC591" s="2">
        <v>56.73</v>
      </c>
      <c r="AD591" s="2">
        <v>94.66</v>
      </c>
      <c r="AE591" s="2">
        <v>0</v>
      </c>
      <c r="AF591" s="2" t="s">
        <v>5614</v>
      </c>
      <c r="AG591" s="2" t="s">
        <v>103</v>
      </c>
      <c r="AH591" s="2" t="s">
        <v>5848</v>
      </c>
      <c r="AI591" s="2">
        <v>1.06</v>
      </c>
      <c r="AJ591" s="2">
        <v>21.416206825466301</v>
      </c>
      <c r="AK591" s="2">
        <v>21.374092427305602</v>
      </c>
      <c r="AL591" s="2">
        <v>21.144470116210499</v>
      </c>
      <c r="AM591" s="2">
        <v>21.447002606848098</v>
      </c>
      <c r="AN591" s="2">
        <v>21.188754388884199</v>
      </c>
      <c r="AO591" s="2">
        <v>21.300407406241501</v>
      </c>
      <c r="AP591" s="2">
        <v>21.310795092766899</v>
      </c>
      <c r="AQ591" s="2">
        <v>21.248522579572199</v>
      </c>
      <c r="AR591" s="2">
        <v>20.9307653850104</v>
      </c>
      <c r="AS591" s="2">
        <v>21.0628628537103</v>
      </c>
      <c r="AT591" s="2">
        <v>21.919480753527299</v>
      </c>
      <c r="AU591" s="2">
        <v>19.899850537233199</v>
      </c>
      <c r="AV591" s="2">
        <v>21.1405393484015</v>
      </c>
      <c r="AW591" s="2">
        <v>20.523213780483601</v>
      </c>
      <c r="AX591" s="2">
        <v>20.893823989201898</v>
      </c>
      <c r="AY591" s="2">
        <v>21.7977387115196</v>
      </c>
      <c r="AZ591" s="2">
        <v>21.391020600640299</v>
      </c>
      <c r="BA591" s="2">
        <v>20.571245579092398</v>
      </c>
      <c r="BB591" s="2">
        <v>21.271623900478399</v>
      </c>
      <c r="BC591" s="2">
        <v>21.3999023762577</v>
      </c>
      <c r="BD591" s="2">
        <v>20.744959005805502</v>
      </c>
      <c r="BE591" s="2">
        <v>21.356456344089398</v>
      </c>
      <c r="BF591" s="2">
        <v>20.294115044421901</v>
      </c>
      <c r="BG591" s="2">
        <v>21.708846660734199</v>
      </c>
      <c r="BH591" s="2">
        <v>21.7172465161864</v>
      </c>
      <c r="BI591" s="2">
        <v>20.837141486670198</v>
      </c>
      <c r="BJ591" s="2">
        <v>21.515944625177202</v>
      </c>
      <c r="BK591" s="2">
        <v>21.064228904936801</v>
      </c>
      <c r="BL591" s="2">
        <v>20.743481662661601</v>
      </c>
      <c r="BM591" s="2">
        <v>20.771962697201499</v>
      </c>
      <c r="BN591" s="2">
        <v>22.346257084452802</v>
      </c>
      <c r="BO591" s="2">
        <v>19.793526140175601</v>
      </c>
      <c r="BP591" s="2">
        <v>20.3706325083186</v>
      </c>
      <c r="BQ591" s="2">
        <v>21.124383660662598</v>
      </c>
      <c r="BR591" s="2">
        <v>21.011416936884199</v>
      </c>
      <c r="BS591" s="2">
        <v>21.041911478493098</v>
      </c>
      <c r="BT591" s="2">
        <v>20.323550126580901</v>
      </c>
      <c r="BU591" s="2">
        <v>20.133910218663999</v>
      </c>
      <c r="BV591" s="2">
        <v>20.160639637818399</v>
      </c>
      <c r="BW591" s="2">
        <v>20.677059543889399</v>
      </c>
      <c r="BX591" s="2">
        <v>20.8113185801895</v>
      </c>
      <c r="BY591" s="2">
        <v>21.589621117178801</v>
      </c>
      <c r="BZ591" s="2">
        <v>19.9483567362321</v>
      </c>
      <c r="CA591" s="2">
        <v>20.502925334867399</v>
      </c>
      <c r="CB591" s="2">
        <v>21.8215281695222</v>
      </c>
      <c r="CC591" s="2">
        <v>20.7188465167728</v>
      </c>
      <c r="CD591" s="2">
        <v>21.434339663029</v>
      </c>
      <c r="CE591" s="2">
        <v>20.462808629439301</v>
      </c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</row>
    <row r="592" spans="1:97">
      <c r="A592" s="2" t="s">
        <v>5849</v>
      </c>
      <c r="B592" s="2">
        <v>147.06514000000001</v>
      </c>
      <c r="C592" s="2">
        <v>1.968</v>
      </c>
      <c r="D592" s="2" t="s">
        <v>84</v>
      </c>
      <c r="E592" s="2" t="s">
        <v>5850</v>
      </c>
      <c r="F592" s="2" t="s">
        <v>5851</v>
      </c>
      <c r="G592" s="2">
        <v>209406</v>
      </c>
      <c r="H592" s="3" t="str">
        <f>HYPERLINK("https://cloud.oebiotech.com/#/lm/network/209406", "https://cloud.oebiotech.com/#/lm/network/209406")</f>
        <v>https://cloud.oebiotech.com/#/lm/network/209406</v>
      </c>
      <c r="I592" s="2" t="s">
        <v>5852</v>
      </c>
      <c r="J592" s="2"/>
      <c r="K592" s="2"/>
      <c r="L592" s="2">
        <v>91377940</v>
      </c>
      <c r="M592" s="2"/>
      <c r="N592" s="2"/>
      <c r="O592" s="2"/>
      <c r="P592" s="2"/>
      <c r="Q592" s="2"/>
      <c r="R592" s="2"/>
      <c r="S592" s="2"/>
      <c r="T592" s="2" t="s">
        <v>5853</v>
      </c>
      <c r="U592" s="2" t="s">
        <v>5854</v>
      </c>
      <c r="V592" s="2" t="s">
        <v>95</v>
      </c>
      <c r="W592" s="2" t="s">
        <v>96</v>
      </c>
      <c r="X592" s="2" t="s">
        <v>141</v>
      </c>
      <c r="Y592" s="2" t="s">
        <v>98</v>
      </c>
      <c r="Z592" s="2" t="s">
        <v>99</v>
      </c>
      <c r="AA592" s="2" t="s">
        <v>142</v>
      </c>
      <c r="AB592" s="2" t="s">
        <v>3086</v>
      </c>
      <c r="AC592" s="2">
        <v>56.72</v>
      </c>
      <c r="AD592" s="2">
        <v>95.87</v>
      </c>
      <c r="AE592" s="2">
        <v>0</v>
      </c>
      <c r="AF592" s="2" t="s">
        <v>5614</v>
      </c>
      <c r="AG592" s="2" t="s">
        <v>103</v>
      </c>
      <c r="AH592" s="2" t="s">
        <v>5855</v>
      </c>
      <c r="AI592" s="2">
        <v>0.68</v>
      </c>
      <c r="AJ592" s="2">
        <v>17.761996487267101</v>
      </c>
      <c r="AK592" s="2">
        <v>17.758425324684801</v>
      </c>
      <c r="AL592" s="2">
        <v>18.5299029002624</v>
      </c>
      <c r="AM592" s="2">
        <v>18.3217764560065</v>
      </c>
      <c r="AN592" s="2">
        <v>18.335101570436301</v>
      </c>
      <c r="AO592" s="2">
        <v>18.279190825077499</v>
      </c>
      <c r="AP592" s="2">
        <v>18.042710270376801</v>
      </c>
      <c r="AQ592" s="2">
        <v>18.5540961834933</v>
      </c>
      <c r="AR592" s="2">
        <v>17.6498240398919</v>
      </c>
      <c r="AS592" s="2">
        <v>18.593360592135198</v>
      </c>
      <c r="AT592" s="2">
        <v>18.320779883664098</v>
      </c>
      <c r="AU592" s="2">
        <v>18.452213887147199</v>
      </c>
      <c r="AV592" s="2">
        <v>18.549931432326201</v>
      </c>
      <c r="AW592" s="2">
        <v>17.825059642145099</v>
      </c>
      <c r="AX592" s="2">
        <v>17.946528581871402</v>
      </c>
      <c r="AY592" s="2">
        <v>18.501419862319999</v>
      </c>
      <c r="AZ592" s="2">
        <v>17.6875515394537</v>
      </c>
      <c r="BA592" s="2">
        <v>18.127595447769298</v>
      </c>
      <c r="BB592" s="2">
        <v>17.904503796240601</v>
      </c>
      <c r="BC592" s="2">
        <v>18.226707251629399</v>
      </c>
      <c r="BD592" s="2">
        <v>18.0206741560818</v>
      </c>
      <c r="BE592" s="2">
        <v>18.611840565066</v>
      </c>
      <c r="BF592" s="2">
        <v>17.938931155284202</v>
      </c>
      <c r="BG592" s="2">
        <v>18.487956467913499</v>
      </c>
      <c r="BH592" s="2">
        <v>17.858262136830898</v>
      </c>
      <c r="BI592" s="2">
        <v>18.5708541599308</v>
      </c>
      <c r="BJ592" s="2">
        <v>18.563823940126799</v>
      </c>
      <c r="BK592" s="2">
        <v>18.615307309132401</v>
      </c>
      <c r="BL592" s="2">
        <v>18.7611800059925</v>
      </c>
      <c r="BM592" s="2">
        <v>18.8321134371282</v>
      </c>
      <c r="BN592" s="2">
        <v>18.1366293619588</v>
      </c>
      <c r="BO592" s="2">
        <v>18.579303045792798</v>
      </c>
      <c r="BP592" s="2">
        <v>18.692278863090401</v>
      </c>
      <c r="BQ592" s="2">
        <v>18.086590261995202</v>
      </c>
      <c r="BR592" s="2">
        <v>18.174273500678702</v>
      </c>
      <c r="BS592" s="2">
        <v>18.454811822683101</v>
      </c>
      <c r="BT592" s="2">
        <v>17.9817565696965</v>
      </c>
      <c r="BU592" s="2">
        <v>18.124785151470402</v>
      </c>
      <c r="BV592" s="2">
        <v>18.638671604033899</v>
      </c>
      <c r="BW592" s="2">
        <v>17.524915761504499</v>
      </c>
      <c r="BX592" s="2">
        <v>18.370239133963899</v>
      </c>
      <c r="BY592" s="2">
        <v>18.327402077735002</v>
      </c>
      <c r="BZ592" s="2">
        <v>18.479730972053598</v>
      </c>
      <c r="CA592" s="2">
        <v>18.659298771586698</v>
      </c>
      <c r="CB592" s="2">
        <v>18.561611569405098</v>
      </c>
      <c r="CC592" s="2">
        <v>17.176042995185799</v>
      </c>
      <c r="CD592" s="2">
        <v>17.744635201038101</v>
      </c>
      <c r="CE592" s="2">
        <v>18.509339364078201</v>
      </c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</row>
    <row r="593" spans="1:97">
      <c r="A593" s="2" t="s">
        <v>5856</v>
      </c>
      <c r="B593" s="2">
        <v>202.05056999999999</v>
      </c>
      <c r="C593" s="2">
        <v>4.9080000000000004</v>
      </c>
      <c r="D593" s="2" t="s">
        <v>146</v>
      </c>
      <c r="E593" s="2" t="s">
        <v>5857</v>
      </c>
      <c r="F593" s="2" t="s">
        <v>5858</v>
      </c>
      <c r="G593" s="2">
        <v>62306</v>
      </c>
      <c r="H593" s="3" t="str">
        <f>HYPERLINK("https://cloud.oebiotech.com/#/lm/network/62306", "https://cloud.oebiotech.com/#/lm/network/62306")</f>
        <v>https://cloud.oebiotech.com/#/lm/network/62306</v>
      </c>
      <c r="I593" s="2" t="s">
        <v>5859</v>
      </c>
      <c r="J593" s="2">
        <v>93597</v>
      </c>
      <c r="K593" s="2"/>
      <c r="L593" s="2">
        <v>71391107</v>
      </c>
      <c r="M593" s="2"/>
      <c r="N593" s="2"/>
      <c r="O593" s="2"/>
      <c r="P593" s="2"/>
      <c r="Q593" s="2"/>
      <c r="R593" s="2"/>
      <c r="S593" s="2"/>
      <c r="T593" s="2" t="s">
        <v>5860</v>
      </c>
      <c r="U593" s="2" t="s">
        <v>5861</v>
      </c>
      <c r="V593" s="2" t="s">
        <v>553</v>
      </c>
      <c r="W593" s="2" t="s">
        <v>933</v>
      </c>
      <c r="X593" s="2" t="s">
        <v>934</v>
      </c>
      <c r="Y593" s="2" t="s">
        <v>556</v>
      </c>
      <c r="Z593" s="2" t="s">
        <v>935</v>
      </c>
      <c r="AA593" s="2" t="s">
        <v>936</v>
      </c>
      <c r="AB593" s="2" t="s">
        <v>3086</v>
      </c>
      <c r="AC593" s="2">
        <v>56.7</v>
      </c>
      <c r="AD593" s="2">
        <v>97.52</v>
      </c>
      <c r="AE593" s="2">
        <v>0</v>
      </c>
      <c r="AF593" s="2" t="s">
        <v>5862</v>
      </c>
      <c r="AG593" s="2" t="s">
        <v>993</v>
      </c>
      <c r="AH593" s="2" t="s">
        <v>5863</v>
      </c>
      <c r="AI593" s="2">
        <v>-0.99</v>
      </c>
      <c r="AJ593" s="2">
        <v>21.7924648368537</v>
      </c>
      <c r="AK593" s="2">
        <v>21.6754781489267</v>
      </c>
      <c r="AL593" s="2">
        <v>21.6511748798473</v>
      </c>
      <c r="AM593" s="2">
        <v>21.663205367238699</v>
      </c>
      <c r="AN593" s="2">
        <v>21.681136465876499</v>
      </c>
      <c r="AO593" s="2">
        <v>21.497926230036899</v>
      </c>
      <c r="AP593" s="2">
        <v>21.456676436527601</v>
      </c>
      <c r="AQ593" s="2">
        <v>21.453871157960599</v>
      </c>
      <c r="AR593" s="2">
        <v>21.208976974245299</v>
      </c>
      <c r="AS593" s="2">
        <v>19.9607971935752</v>
      </c>
      <c r="AT593" s="2">
        <v>20.7042297163817</v>
      </c>
      <c r="AU593" s="2">
        <v>20.6831366903575</v>
      </c>
      <c r="AV593" s="2">
        <v>21.517967259975801</v>
      </c>
      <c r="AW593" s="2">
        <v>21.525150165337799</v>
      </c>
      <c r="AX593" s="2">
        <v>21.4505051345926</v>
      </c>
      <c r="AY593" s="2">
        <v>21.482565792830599</v>
      </c>
      <c r="AZ593" s="2">
        <v>20.8674525541884</v>
      </c>
      <c r="BA593" s="2">
        <v>21.1178151687389</v>
      </c>
      <c r="BB593" s="2">
        <v>21.595542166802002</v>
      </c>
      <c r="BC593" s="2">
        <v>21.3165122991903</v>
      </c>
      <c r="BD593" s="2">
        <v>21.5985052028594</v>
      </c>
      <c r="BE593" s="2">
        <v>22.052566661157801</v>
      </c>
      <c r="BF593" s="2">
        <v>21.9106887690672</v>
      </c>
      <c r="BG593" s="2">
        <v>21.6943587884974</v>
      </c>
      <c r="BH593" s="2">
        <v>21.1861323976775</v>
      </c>
      <c r="BI593" s="2">
        <v>21.2417438060675</v>
      </c>
      <c r="BJ593" s="2">
        <v>21.228472698066</v>
      </c>
      <c r="BK593" s="2">
        <v>21.5606154599547</v>
      </c>
      <c r="BL593" s="2">
        <v>21.629665958339402</v>
      </c>
      <c r="BM593" s="2">
        <v>21.9316376907944</v>
      </c>
      <c r="BN593" s="2">
        <v>21.0978993707249</v>
      </c>
      <c r="BO593" s="2">
        <v>21.456463446412201</v>
      </c>
      <c r="BP593" s="2">
        <v>21.293402162906901</v>
      </c>
      <c r="BQ593" s="2">
        <v>20.363721669514799</v>
      </c>
      <c r="BR593" s="2">
        <v>21.9955699491342</v>
      </c>
      <c r="BS593" s="2">
        <v>21.4637645067798</v>
      </c>
      <c r="BT593" s="2">
        <v>21.093560347661398</v>
      </c>
      <c r="BU593" s="2">
        <v>20.690098423246798</v>
      </c>
      <c r="BV593" s="2">
        <v>21.4947656007053</v>
      </c>
      <c r="BW593" s="2">
        <v>19.947977625995399</v>
      </c>
      <c r="BX593" s="2">
        <v>21.548126747475301</v>
      </c>
      <c r="BY593" s="2">
        <v>22.062849823271499</v>
      </c>
      <c r="BZ593" s="2">
        <v>21.4471795386407</v>
      </c>
      <c r="CA593" s="2">
        <v>21.538956236977899</v>
      </c>
      <c r="CB593" s="2">
        <v>21.173732978177</v>
      </c>
      <c r="CC593" s="2">
        <v>20.981078647424301</v>
      </c>
      <c r="CD593" s="2">
        <v>21.5300311437482</v>
      </c>
      <c r="CE593" s="2">
        <v>21.720469524001899</v>
      </c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</row>
    <row r="594" spans="1:97">
      <c r="A594" s="2" t="s">
        <v>5864</v>
      </c>
      <c r="B594" s="2">
        <v>153.05542</v>
      </c>
      <c r="C594" s="2">
        <v>4.7789999999999999</v>
      </c>
      <c r="D594" s="2" t="s">
        <v>146</v>
      </c>
      <c r="E594" s="2" t="s">
        <v>5865</v>
      </c>
      <c r="F594" s="2" t="s">
        <v>5866</v>
      </c>
      <c r="G594" s="2">
        <v>47001</v>
      </c>
      <c r="H594" s="3" t="str">
        <f>HYPERLINK("https://cloud.oebiotech.com/#/lm/network/47001", "https://cloud.oebiotech.com/#/lm/network/47001")</f>
        <v>https://cloud.oebiotech.com/#/lm/network/47001</v>
      </c>
      <c r="I594" s="2" t="s">
        <v>5867</v>
      </c>
      <c r="J594" s="2">
        <v>5330</v>
      </c>
      <c r="K594" s="2"/>
      <c r="L594" s="2">
        <v>6079438</v>
      </c>
      <c r="M594" s="2"/>
      <c r="N594" s="2"/>
      <c r="O594" s="2"/>
      <c r="P594" s="2">
        <v>89192</v>
      </c>
      <c r="Q594" s="2"/>
      <c r="R594" s="2"/>
      <c r="S594" s="2" t="s">
        <v>5868</v>
      </c>
      <c r="T594" s="2" t="s">
        <v>5869</v>
      </c>
      <c r="U594" s="2" t="s">
        <v>5870</v>
      </c>
      <c r="V594" s="2" t="s">
        <v>95</v>
      </c>
      <c r="W594" s="2" t="s">
        <v>96</v>
      </c>
      <c r="X594" s="2" t="s">
        <v>141</v>
      </c>
      <c r="Y594" s="2" t="s">
        <v>98</v>
      </c>
      <c r="Z594" s="2" t="s">
        <v>99</v>
      </c>
      <c r="AA594" s="2" t="s">
        <v>142</v>
      </c>
      <c r="AB594" s="2" t="s">
        <v>3086</v>
      </c>
      <c r="AC594" s="2">
        <v>56.6</v>
      </c>
      <c r="AD594" s="2">
        <v>94.9</v>
      </c>
      <c r="AE594" s="2">
        <v>0</v>
      </c>
      <c r="AF594" s="2" t="s">
        <v>5614</v>
      </c>
      <c r="AG594" s="2" t="s">
        <v>993</v>
      </c>
      <c r="AH594" s="2" t="s">
        <v>5871</v>
      </c>
      <c r="AI594" s="2">
        <v>-1.31</v>
      </c>
      <c r="AJ594" s="2">
        <v>18.2213058366561</v>
      </c>
      <c r="AK594" s="2">
        <v>18.383101046818901</v>
      </c>
      <c r="AL594" s="2">
        <v>18.4637542062584</v>
      </c>
      <c r="AM594" s="2">
        <v>18.371153284142999</v>
      </c>
      <c r="AN594" s="2">
        <v>18.470834601266301</v>
      </c>
      <c r="AO594" s="2">
        <v>17.7903453146324</v>
      </c>
      <c r="AP594" s="2">
        <v>18.3570627647584</v>
      </c>
      <c r="AQ594" s="2">
        <v>17.8419264501883</v>
      </c>
      <c r="AR594" s="2">
        <v>17.398689923829401</v>
      </c>
      <c r="AS594" s="2">
        <v>18.107085301437198</v>
      </c>
      <c r="AT594" s="2">
        <v>18.397314064526</v>
      </c>
      <c r="AU594" s="2">
        <v>18.1652214117758</v>
      </c>
      <c r="AV594" s="2">
        <v>18.871423491045299</v>
      </c>
      <c r="AW594" s="2">
        <v>17.735215340015301</v>
      </c>
      <c r="AX594" s="2">
        <v>18.810923906333102</v>
      </c>
      <c r="AY594" s="2">
        <v>18.476662637522001</v>
      </c>
      <c r="AZ594" s="2">
        <v>18.2216592391107</v>
      </c>
      <c r="BA594" s="2">
        <v>18.795898428471599</v>
      </c>
      <c r="BB594" s="2">
        <v>18.179103762166601</v>
      </c>
      <c r="BC594" s="2">
        <v>17.850053056353701</v>
      </c>
      <c r="BD594" s="2">
        <v>17.879872475136199</v>
      </c>
      <c r="BE594" s="2">
        <v>18.526086392009201</v>
      </c>
      <c r="BF594" s="2">
        <v>18.579330007913399</v>
      </c>
      <c r="BG594" s="2">
        <v>17.870761861229798</v>
      </c>
      <c r="BH594" s="2">
        <v>17.494453269680999</v>
      </c>
      <c r="BI594" s="2">
        <v>21.130135704513499</v>
      </c>
      <c r="BJ594" s="2">
        <v>17.724073935131901</v>
      </c>
      <c r="BK594" s="2">
        <v>17.431537431911401</v>
      </c>
      <c r="BL594" s="2">
        <v>17.110690975910099</v>
      </c>
      <c r="BM594" s="2">
        <v>18.1106964806429</v>
      </c>
      <c r="BN594" s="2">
        <v>17.4182574086146</v>
      </c>
      <c r="BO594" s="2">
        <v>19.035127440439101</v>
      </c>
      <c r="BP594" s="2">
        <v>17.936983907404102</v>
      </c>
      <c r="BQ594" s="2">
        <v>18.3991234347654</v>
      </c>
      <c r="BR594" s="2">
        <v>19.204660044344401</v>
      </c>
      <c r="BS594" s="2">
        <v>18.586435864165001</v>
      </c>
      <c r="BT594" s="2">
        <v>17.422977991155701</v>
      </c>
      <c r="BU594" s="2">
        <v>19.249829963822201</v>
      </c>
      <c r="BV594" s="2">
        <v>19.138562423103998</v>
      </c>
      <c r="BW594" s="2">
        <v>17.398818830348201</v>
      </c>
      <c r="BX594" s="2">
        <v>17.8903250254222</v>
      </c>
      <c r="BY594" s="2">
        <v>19.0587902029683</v>
      </c>
      <c r="BZ594" s="2">
        <v>17.9022781236208</v>
      </c>
      <c r="CA594" s="2">
        <v>18.1565876665647</v>
      </c>
      <c r="CB594" s="2">
        <v>17.5387249466018</v>
      </c>
      <c r="CC594" s="2">
        <v>18.973552589597801</v>
      </c>
      <c r="CD594" s="2">
        <v>17.626849122954301</v>
      </c>
      <c r="CE594" s="2">
        <v>17.1205442797751</v>
      </c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</row>
    <row r="595" spans="1:97">
      <c r="A595" s="2" t="s">
        <v>5872</v>
      </c>
      <c r="B595" s="2">
        <v>197.08085</v>
      </c>
      <c r="C595" s="2">
        <v>6.2539999999999996</v>
      </c>
      <c r="D595" s="2" t="s">
        <v>84</v>
      </c>
      <c r="E595" s="2" t="s">
        <v>5873</v>
      </c>
      <c r="F595" s="2" t="s">
        <v>5874</v>
      </c>
      <c r="G595" s="2">
        <v>59574</v>
      </c>
      <c r="H595" s="3" t="str">
        <f>HYPERLINK("https://cloud.oebiotech.com/#/lm/network/59574", "https://cloud.oebiotech.com/#/lm/network/59574")</f>
        <v>https://cloud.oebiotech.com/#/lm/network/59574</v>
      </c>
      <c r="I595" s="2" t="s">
        <v>5875</v>
      </c>
      <c r="J595" s="2">
        <v>90977</v>
      </c>
      <c r="K595" s="2"/>
      <c r="L595" s="2">
        <v>12300005</v>
      </c>
      <c r="M595" s="2"/>
      <c r="N595" s="2"/>
      <c r="O595" s="2"/>
      <c r="P595" s="2">
        <v>173968</v>
      </c>
      <c r="Q595" s="2"/>
      <c r="R595" s="2"/>
      <c r="S595" s="2"/>
      <c r="T595" s="2" t="s">
        <v>5876</v>
      </c>
      <c r="U595" s="2" t="s">
        <v>5877</v>
      </c>
      <c r="V595" s="2" t="s">
        <v>95</v>
      </c>
      <c r="W595" s="2" t="s">
        <v>96</v>
      </c>
      <c r="X595" s="2" t="s">
        <v>141</v>
      </c>
      <c r="Y595" s="2" t="s">
        <v>98</v>
      </c>
      <c r="Z595" s="2" t="s">
        <v>99</v>
      </c>
      <c r="AA595" s="2" t="s">
        <v>142</v>
      </c>
      <c r="AB595" s="2" t="s">
        <v>3086</v>
      </c>
      <c r="AC595" s="2">
        <v>56.6</v>
      </c>
      <c r="AD595" s="2">
        <v>93.7</v>
      </c>
      <c r="AE595" s="2">
        <v>0</v>
      </c>
      <c r="AF595" s="2" t="s">
        <v>5614</v>
      </c>
      <c r="AG595" s="2" t="s">
        <v>103</v>
      </c>
      <c r="AH595" s="2" t="s">
        <v>4235</v>
      </c>
      <c r="AI595" s="2">
        <v>0</v>
      </c>
      <c r="AJ595" s="2">
        <v>19.6806886543473</v>
      </c>
      <c r="AK595" s="2">
        <v>19.9439948040743</v>
      </c>
      <c r="AL595" s="2">
        <v>20.1773236627036</v>
      </c>
      <c r="AM595" s="2">
        <v>19.903835725442001</v>
      </c>
      <c r="AN595" s="2">
        <v>19.6225903480623</v>
      </c>
      <c r="AO595" s="2">
        <v>19.234102524147801</v>
      </c>
      <c r="AP595" s="2">
        <v>19.410282627774802</v>
      </c>
      <c r="AQ595" s="2">
        <v>19.541675275523701</v>
      </c>
      <c r="AR595" s="2">
        <v>18.958538810620301</v>
      </c>
      <c r="AS595" s="2">
        <v>18.359293885561801</v>
      </c>
      <c r="AT595" s="2">
        <v>19.657773773707699</v>
      </c>
      <c r="AU595" s="2">
        <v>18.9287776035811</v>
      </c>
      <c r="AV595" s="2">
        <v>19.8693302656337</v>
      </c>
      <c r="AW595" s="2">
        <v>19.844289229917401</v>
      </c>
      <c r="AX595" s="2">
        <v>18.8335670763589</v>
      </c>
      <c r="AY595" s="2">
        <v>19.999036217578801</v>
      </c>
      <c r="AZ595" s="2">
        <v>19.5320767665334</v>
      </c>
      <c r="BA595" s="2">
        <v>19.849776158057701</v>
      </c>
      <c r="BB595" s="2">
        <v>19.7440971391954</v>
      </c>
      <c r="BC595" s="2">
        <v>18.571922328810398</v>
      </c>
      <c r="BD595" s="2">
        <v>18.945564486490699</v>
      </c>
      <c r="BE595" s="2">
        <v>17.725902548579299</v>
      </c>
      <c r="BF595" s="2">
        <v>16.7874484582169</v>
      </c>
      <c r="BG595" s="2">
        <v>19.512288334712</v>
      </c>
      <c r="BH595" s="2">
        <v>19.4963249158846</v>
      </c>
      <c r="BI595" s="2">
        <v>19.977656764157899</v>
      </c>
      <c r="BJ595" s="2">
        <v>19.816882248924699</v>
      </c>
      <c r="BK595" s="2">
        <v>20.099553425720199</v>
      </c>
      <c r="BL595" s="2">
        <v>19.345006849586099</v>
      </c>
      <c r="BM595" s="2">
        <v>19.232672349106199</v>
      </c>
      <c r="BN595" s="2">
        <v>20.459774942708901</v>
      </c>
      <c r="BO595" s="2">
        <v>19.3223988267804</v>
      </c>
      <c r="BP595" s="2">
        <v>19.883941114028701</v>
      </c>
      <c r="BQ595" s="2">
        <v>20.396541620502699</v>
      </c>
      <c r="BR595" s="2">
        <v>19.565512111657</v>
      </c>
      <c r="BS595" s="2">
        <v>20.180775037377</v>
      </c>
      <c r="BT595" s="2">
        <v>19.511386954325701</v>
      </c>
      <c r="BU595" s="2">
        <v>20.298601456700101</v>
      </c>
      <c r="BV595" s="2">
        <v>20.1783779527372</v>
      </c>
      <c r="BW595" s="2">
        <v>18.353894717727702</v>
      </c>
      <c r="BX595" s="2">
        <v>18.895780690869898</v>
      </c>
      <c r="BY595" s="2">
        <v>19.833952587065401</v>
      </c>
      <c r="BZ595" s="2">
        <v>17.993418133431199</v>
      </c>
      <c r="CA595" s="2">
        <v>19.844572975589401</v>
      </c>
      <c r="CB595" s="2">
        <v>19.8459925973292</v>
      </c>
      <c r="CC595" s="2">
        <v>19.5964927977417</v>
      </c>
      <c r="CD595" s="2">
        <v>20.114477623430599</v>
      </c>
      <c r="CE595" s="2">
        <v>19.801790868888201</v>
      </c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</row>
    <row r="596" spans="1:97">
      <c r="A596" s="2" t="s">
        <v>5878</v>
      </c>
      <c r="B596" s="2">
        <v>166.02590000000001</v>
      </c>
      <c r="C596" s="2">
        <v>0.93</v>
      </c>
      <c r="D596" s="2" t="s">
        <v>84</v>
      </c>
      <c r="E596" s="2" t="s">
        <v>5879</v>
      </c>
      <c r="F596" s="2" t="s">
        <v>5880</v>
      </c>
      <c r="G596" s="2">
        <v>255763</v>
      </c>
      <c r="H596" s="3" t="str">
        <f>HYPERLINK("https://cloud.oebiotech.com/#/lm/network/255763", "https://cloud.oebiotech.com/#/lm/network/255763")</f>
        <v>https://cloud.oebiotech.com/#/lm/network/255763</v>
      </c>
      <c r="I596" s="2" t="s">
        <v>5881</v>
      </c>
      <c r="J596" s="2"/>
      <c r="K596" s="2"/>
      <c r="L596" s="2">
        <v>557590</v>
      </c>
      <c r="M596" s="2"/>
      <c r="N596" s="2"/>
      <c r="O596" s="2"/>
      <c r="P596" s="2"/>
      <c r="Q596" s="2"/>
      <c r="R596" s="2"/>
      <c r="S596" s="2"/>
      <c r="T596" s="2" t="s">
        <v>5882</v>
      </c>
      <c r="U596" s="2" t="s">
        <v>5883</v>
      </c>
      <c r="V596" s="2" t="s">
        <v>115</v>
      </c>
      <c r="W596" s="2" t="s">
        <v>116</v>
      </c>
      <c r="X596" s="2" t="s">
        <v>117</v>
      </c>
      <c r="Y596" s="2" t="s">
        <v>118</v>
      </c>
      <c r="Z596" s="2" t="s">
        <v>119</v>
      </c>
      <c r="AA596" s="2" t="s">
        <v>120</v>
      </c>
      <c r="AB596" s="2" t="s">
        <v>3086</v>
      </c>
      <c r="AC596" s="2">
        <v>56.58</v>
      </c>
      <c r="AD596" s="2">
        <v>72.430000000000007</v>
      </c>
      <c r="AE596" s="2">
        <v>37.281428571428599</v>
      </c>
      <c r="AF596" s="2" t="s">
        <v>5884</v>
      </c>
      <c r="AG596" s="2" t="s">
        <v>3544</v>
      </c>
      <c r="AH596" s="2" t="s">
        <v>5885</v>
      </c>
      <c r="AI596" s="2">
        <v>3.61</v>
      </c>
      <c r="AJ596" s="2">
        <v>22.542413297607499</v>
      </c>
      <c r="AK596" s="2">
        <v>22.805930615622</v>
      </c>
      <c r="AL596" s="2">
        <v>22.852162258062499</v>
      </c>
      <c r="AM596" s="2">
        <v>22.505978073856198</v>
      </c>
      <c r="AN596" s="2">
        <v>22.935903242896501</v>
      </c>
      <c r="AO596" s="2">
        <v>22.886389029539</v>
      </c>
      <c r="AP596" s="2">
        <v>22.595181971783099</v>
      </c>
      <c r="AQ596" s="2">
        <v>21.965922612619501</v>
      </c>
      <c r="AR596" s="2">
        <v>22.452672174751498</v>
      </c>
      <c r="AS596" s="2">
        <v>22.387564363874599</v>
      </c>
      <c r="AT596" s="2">
        <v>22.608079684893799</v>
      </c>
      <c r="AU596" s="2">
        <v>22.9995170675686</v>
      </c>
      <c r="AV596" s="2">
        <v>22.777461061496599</v>
      </c>
      <c r="AW596" s="2">
        <v>22.718744564897701</v>
      </c>
      <c r="AX596" s="2">
        <v>22.268952419393901</v>
      </c>
      <c r="AY596" s="2">
        <v>22.498227584846202</v>
      </c>
      <c r="AZ596" s="2">
        <v>22.982303182706101</v>
      </c>
      <c r="BA596" s="2">
        <v>22.552353823403401</v>
      </c>
      <c r="BB596" s="2">
        <v>22.842883891364799</v>
      </c>
      <c r="BC596" s="2">
        <v>23.361895706616899</v>
      </c>
      <c r="BD596" s="2">
        <v>22.532926564166299</v>
      </c>
      <c r="BE596" s="2">
        <v>22.257400460993299</v>
      </c>
      <c r="BF596" s="2">
        <v>22.626744151263502</v>
      </c>
      <c r="BG596" s="2">
        <v>22.253238574724101</v>
      </c>
      <c r="BH596" s="2">
        <v>22.638089987159098</v>
      </c>
      <c r="BI596" s="2">
        <v>21.2737075072667</v>
      </c>
      <c r="BJ596" s="2">
        <v>22.533791630438401</v>
      </c>
      <c r="BK596" s="2">
        <v>22.5523353851348</v>
      </c>
      <c r="BL596" s="2">
        <v>22.742346263523</v>
      </c>
      <c r="BM596" s="2">
        <v>23.283005417701901</v>
      </c>
      <c r="BN596" s="2">
        <v>22.9891954356352</v>
      </c>
      <c r="BO596" s="2">
        <v>22.786832346654499</v>
      </c>
      <c r="BP596" s="2">
        <v>22.148562090084901</v>
      </c>
      <c r="BQ596" s="2">
        <v>22.458117177638002</v>
      </c>
      <c r="BR596" s="2">
        <v>22.699704026942399</v>
      </c>
      <c r="BS596" s="2">
        <v>22.531407241396401</v>
      </c>
      <c r="BT596" s="2">
        <v>22.522048595814699</v>
      </c>
      <c r="BU596" s="2">
        <v>22.354267385707299</v>
      </c>
      <c r="BV596" s="2">
        <v>22.156598457797401</v>
      </c>
      <c r="BW596" s="2">
        <v>22.7814957682752</v>
      </c>
      <c r="BX596" s="2">
        <v>23.1863767393309</v>
      </c>
      <c r="BY596" s="2">
        <v>22.827460002257201</v>
      </c>
      <c r="BZ596" s="2">
        <v>23.142797523139901</v>
      </c>
      <c r="CA596" s="2">
        <v>22.370340920192401</v>
      </c>
      <c r="CB596" s="2">
        <v>22.717580234808199</v>
      </c>
      <c r="CC596" s="2">
        <v>22.528635599009601</v>
      </c>
      <c r="CD596" s="2">
        <v>22.287166233021502</v>
      </c>
      <c r="CE596" s="2">
        <v>22.633669275678201</v>
      </c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</row>
    <row r="597" spans="1:97">
      <c r="A597" s="2" t="s">
        <v>5886</v>
      </c>
      <c r="B597" s="2">
        <v>146.08096</v>
      </c>
      <c r="C597" s="2">
        <v>0.78600000000000003</v>
      </c>
      <c r="D597" s="2" t="s">
        <v>84</v>
      </c>
      <c r="E597" s="2" t="s">
        <v>5887</v>
      </c>
      <c r="F597" s="2" t="s">
        <v>5888</v>
      </c>
      <c r="G597" s="2">
        <v>47480</v>
      </c>
      <c r="H597" s="3" t="str">
        <f>HYPERLINK("https://cloud.oebiotech.com/#/lm/network/47480", "https://cloud.oebiotech.com/#/lm/network/47480")</f>
        <v>https://cloud.oebiotech.com/#/lm/network/47480</v>
      </c>
      <c r="I597" s="2" t="s">
        <v>5889</v>
      </c>
      <c r="J597" s="2">
        <v>63455</v>
      </c>
      <c r="K597" s="2"/>
      <c r="L597" s="2">
        <v>160603</v>
      </c>
      <c r="M597" s="2" t="s">
        <v>5890</v>
      </c>
      <c r="N597" s="2" t="s">
        <v>1030</v>
      </c>
      <c r="O597" s="2" t="s">
        <v>1031</v>
      </c>
      <c r="P597" s="2">
        <v>17917</v>
      </c>
      <c r="Q597" s="2"/>
      <c r="R597" s="2"/>
      <c r="S597" s="2" t="s">
        <v>5891</v>
      </c>
      <c r="T597" s="2" t="s">
        <v>5892</v>
      </c>
      <c r="U597" s="2" t="s">
        <v>5893</v>
      </c>
      <c r="V597" s="2" t="s">
        <v>115</v>
      </c>
      <c r="W597" s="2" t="s">
        <v>116</v>
      </c>
      <c r="X597" s="2" t="s">
        <v>117</v>
      </c>
      <c r="Y597" s="2" t="s">
        <v>118</v>
      </c>
      <c r="Z597" s="2" t="s">
        <v>119</v>
      </c>
      <c r="AA597" s="2" t="s">
        <v>120</v>
      </c>
      <c r="AB597" s="2" t="s">
        <v>3086</v>
      </c>
      <c r="AC597" s="2">
        <v>56.56</v>
      </c>
      <c r="AD597" s="2">
        <v>96.46</v>
      </c>
      <c r="AE597" s="2">
        <v>0</v>
      </c>
      <c r="AF597" s="2" t="s">
        <v>5614</v>
      </c>
      <c r="AG597" s="2" t="s">
        <v>103</v>
      </c>
      <c r="AH597" s="2" t="s">
        <v>5894</v>
      </c>
      <c r="AI597" s="2">
        <v>1.37</v>
      </c>
      <c r="AJ597" s="2">
        <v>22.184376553057401</v>
      </c>
      <c r="AK597" s="2">
        <v>21.625285585860301</v>
      </c>
      <c r="AL597" s="2">
        <v>21.487779345646601</v>
      </c>
      <c r="AM597" s="2">
        <v>22.2485711859802</v>
      </c>
      <c r="AN597" s="2">
        <v>21.933546057242101</v>
      </c>
      <c r="AO597" s="2">
        <v>22.043927481859999</v>
      </c>
      <c r="AP597" s="2">
        <v>21.7670356450346</v>
      </c>
      <c r="AQ597" s="2">
        <v>20.7276529997369</v>
      </c>
      <c r="AR597" s="2">
        <v>21.5150813422736</v>
      </c>
      <c r="AS597" s="2">
        <v>21.746659896887198</v>
      </c>
      <c r="AT597" s="2">
        <v>20.592865491311901</v>
      </c>
      <c r="AU597" s="2">
        <v>20.559237773485599</v>
      </c>
      <c r="AV597" s="2">
        <v>21.7987909356895</v>
      </c>
      <c r="AW597" s="2">
        <v>21.280041625439299</v>
      </c>
      <c r="AX597" s="2">
        <v>21.857912120718201</v>
      </c>
      <c r="AY597" s="2">
        <v>21.688714025705899</v>
      </c>
      <c r="AZ597" s="2">
        <v>22.6304960146181</v>
      </c>
      <c r="BA597" s="2">
        <v>21.0541400342365</v>
      </c>
      <c r="BB597" s="2">
        <v>20.988956439482202</v>
      </c>
      <c r="BC597" s="2">
        <v>20.989837117456201</v>
      </c>
      <c r="BD597" s="2">
        <v>21.589352173843999</v>
      </c>
      <c r="BE597" s="2">
        <v>21.0731761734326</v>
      </c>
      <c r="BF597" s="2">
        <v>21.371271032982499</v>
      </c>
      <c r="BG597" s="2">
        <v>22.113674962853</v>
      </c>
      <c r="BH597" s="2">
        <v>21.387463614707499</v>
      </c>
      <c r="BI597" s="2">
        <v>21.5443549673771</v>
      </c>
      <c r="BJ597" s="2">
        <v>21.2358601763015</v>
      </c>
      <c r="BK597" s="2">
        <v>21.484988111349701</v>
      </c>
      <c r="BL597" s="2">
        <v>21.6046677629191</v>
      </c>
      <c r="BM597" s="2">
        <v>22.0699759435864</v>
      </c>
      <c r="BN597" s="2">
        <v>21.3721211678556</v>
      </c>
      <c r="BO597" s="2">
        <v>21.366290103122399</v>
      </c>
      <c r="BP597" s="2">
        <v>22.418357839577499</v>
      </c>
      <c r="BQ597" s="2">
        <v>21.702633504718499</v>
      </c>
      <c r="BR597" s="2">
        <v>21.048118402335501</v>
      </c>
      <c r="BS597" s="2">
        <v>22.369706530492401</v>
      </c>
      <c r="BT597" s="2">
        <v>21.779466271154401</v>
      </c>
      <c r="BU597" s="2">
        <v>21.682988019168501</v>
      </c>
      <c r="BV597" s="2">
        <v>20.919766400017402</v>
      </c>
      <c r="BW597" s="2">
        <v>22.0143621279942</v>
      </c>
      <c r="BX597" s="2">
        <v>21.349478237424702</v>
      </c>
      <c r="BY597" s="2">
        <v>22.1817845739665</v>
      </c>
      <c r="BZ597" s="2">
        <v>21.457461456648801</v>
      </c>
      <c r="CA597" s="2">
        <v>21.505716296213102</v>
      </c>
      <c r="CB597" s="2">
        <v>21.6479125963948</v>
      </c>
      <c r="CC597" s="2">
        <v>21.2672139849609</v>
      </c>
      <c r="CD597" s="2">
        <v>22.607513203924299</v>
      </c>
      <c r="CE597" s="2">
        <v>21.9224630131061</v>
      </c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</row>
    <row r="598" spans="1:97">
      <c r="A598" s="2" t="s">
        <v>5895</v>
      </c>
      <c r="B598" s="2">
        <v>233.11303000000001</v>
      </c>
      <c r="C598" s="2">
        <v>1.133</v>
      </c>
      <c r="D598" s="2" t="s">
        <v>84</v>
      </c>
      <c r="E598" s="2" t="s">
        <v>5896</v>
      </c>
      <c r="F598" s="2" t="s">
        <v>5897</v>
      </c>
      <c r="G598" s="2">
        <v>54073</v>
      </c>
      <c r="H598" s="3" t="str">
        <f>HYPERLINK("https://cloud.oebiotech.com/#/lm/network/54073", "https://cloud.oebiotech.com/#/lm/network/54073")</f>
        <v>https://cloud.oebiotech.com/#/lm/network/54073</v>
      </c>
      <c r="I598" s="2" t="s">
        <v>5898</v>
      </c>
      <c r="J598" s="2"/>
      <c r="K598" s="2"/>
      <c r="L598" s="2">
        <v>69041809</v>
      </c>
      <c r="M598" s="2"/>
      <c r="N598" s="2"/>
      <c r="O598" s="2"/>
      <c r="P598" s="2"/>
      <c r="Q598" s="2"/>
      <c r="R598" s="2"/>
      <c r="S598" s="2" t="s">
        <v>5899</v>
      </c>
      <c r="T598" s="2" t="s">
        <v>5900</v>
      </c>
      <c r="U598" s="2" t="s">
        <v>5901</v>
      </c>
      <c r="V598" s="2" t="s">
        <v>115</v>
      </c>
      <c r="W598" s="2" t="s">
        <v>116</v>
      </c>
      <c r="X598" s="2" t="s">
        <v>117</v>
      </c>
      <c r="Y598" s="2" t="s">
        <v>118</v>
      </c>
      <c r="Z598" s="2" t="s">
        <v>119</v>
      </c>
      <c r="AA598" s="2" t="s">
        <v>120</v>
      </c>
      <c r="AB598" s="2" t="s">
        <v>3086</v>
      </c>
      <c r="AC598" s="2">
        <v>56.54</v>
      </c>
      <c r="AD598" s="2">
        <v>93.72</v>
      </c>
      <c r="AE598" s="2">
        <v>0</v>
      </c>
      <c r="AF598" s="2" t="s">
        <v>5614</v>
      </c>
      <c r="AG598" s="2" t="s">
        <v>103</v>
      </c>
      <c r="AH598" s="2" t="s">
        <v>5902</v>
      </c>
      <c r="AI598" s="2">
        <v>0.86</v>
      </c>
      <c r="AJ598" s="2">
        <v>18.252382473507001</v>
      </c>
      <c r="AK598" s="2">
        <v>18.002508049934001</v>
      </c>
      <c r="AL598" s="2">
        <v>17.6905212437205</v>
      </c>
      <c r="AM598" s="2">
        <v>18.515491185497801</v>
      </c>
      <c r="AN598" s="2">
        <v>18.387179914206701</v>
      </c>
      <c r="AO598" s="2">
        <v>17.211241822194999</v>
      </c>
      <c r="AP598" s="2">
        <v>17.777787685997499</v>
      </c>
      <c r="AQ598" s="2">
        <v>17.832637258390299</v>
      </c>
      <c r="AR598" s="2">
        <v>17.658639802949999</v>
      </c>
      <c r="AS598" s="2">
        <v>17.054649041152899</v>
      </c>
      <c r="AT598" s="2">
        <v>16.949322673224099</v>
      </c>
      <c r="AU598" s="2">
        <v>16.203209187379901</v>
      </c>
      <c r="AV598" s="2">
        <v>17.725015700810001</v>
      </c>
      <c r="AW598" s="2">
        <v>17.885018342286401</v>
      </c>
      <c r="AX598" s="2">
        <v>17.236399188176001</v>
      </c>
      <c r="AY598" s="2">
        <v>18.386597990584601</v>
      </c>
      <c r="AZ598" s="2">
        <v>18.024958424404598</v>
      </c>
      <c r="BA598" s="2">
        <v>16.543125339785099</v>
      </c>
      <c r="BB598" s="2">
        <v>18.185208110507599</v>
      </c>
      <c r="BC598" s="2">
        <v>18.1085621285626</v>
      </c>
      <c r="BD598" s="2">
        <v>17.5075997058998</v>
      </c>
      <c r="BE598" s="2">
        <v>17.740351629452999</v>
      </c>
      <c r="BF598" s="2">
        <v>18.870946428360998</v>
      </c>
      <c r="BG598" s="2">
        <v>17.154972237439399</v>
      </c>
      <c r="BH598" s="2">
        <v>18.694357241023202</v>
      </c>
      <c r="BI598" s="2">
        <v>17.216054653840501</v>
      </c>
      <c r="BJ598" s="2">
        <v>17.014353222372598</v>
      </c>
      <c r="BK598" s="2">
        <v>17.323444223463</v>
      </c>
      <c r="BL598" s="2">
        <v>17.642760791032899</v>
      </c>
      <c r="BM598" s="2">
        <v>18.2235493946372</v>
      </c>
      <c r="BN598" s="2">
        <v>16.356392131800899</v>
      </c>
      <c r="BO598" s="2">
        <v>15.1073691195271</v>
      </c>
      <c r="BP598" s="2">
        <v>14.6886262352223</v>
      </c>
      <c r="BQ598" s="2">
        <v>17.8885788105286</v>
      </c>
      <c r="BR598" s="2">
        <v>17.130056084664901</v>
      </c>
      <c r="BS598" s="2">
        <v>17.7249877990652</v>
      </c>
      <c r="BT598" s="2">
        <v>16.2665360307276</v>
      </c>
      <c r="BU598" s="2">
        <v>16.963841086513799</v>
      </c>
      <c r="BV598" s="2">
        <v>16.159825621285499</v>
      </c>
      <c r="BW598" s="2">
        <v>17.549312920860899</v>
      </c>
      <c r="BX598" s="2">
        <v>16.743587046009502</v>
      </c>
      <c r="BY598" s="2">
        <v>18.470352362533198</v>
      </c>
      <c r="BZ598" s="2">
        <v>18.037875182077201</v>
      </c>
      <c r="CA598" s="2">
        <v>18.951057425916801</v>
      </c>
      <c r="CB598" s="2">
        <v>16.5610898116256</v>
      </c>
      <c r="CC598" s="2">
        <v>17.118762569523899</v>
      </c>
      <c r="CD598" s="2">
        <v>17.507403970937901</v>
      </c>
      <c r="CE598" s="2">
        <v>17.478421019789401</v>
      </c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</row>
    <row r="599" spans="1:97">
      <c r="A599" s="2" t="s">
        <v>5903</v>
      </c>
      <c r="B599" s="2">
        <v>356.35178000000002</v>
      </c>
      <c r="C599" s="2">
        <v>9.9390000000000001</v>
      </c>
      <c r="D599" s="2" t="s">
        <v>84</v>
      </c>
      <c r="E599" s="2" t="s">
        <v>5904</v>
      </c>
      <c r="F599" s="2" t="s">
        <v>5905</v>
      </c>
      <c r="G599" s="2">
        <v>4888</v>
      </c>
      <c r="H599" s="3" t="str">
        <f>HYPERLINK("https://cloud.oebiotech.com/#/lm/network/4888", "https://cloud.oebiotech.com/#/lm/network/4888")</f>
        <v>https://cloud.oebiotech.com/#/lm/network/4888</v>
      </c>
      <c r="I599" s="2"/>
      <c r="J599" s="2"/>
      <c r="K599" s="2" t="s">
        <v>5906</v>
      </c>
      <c r="L599" s="2">
        <v>101109963</v>
      </c>
      <c r="M599" s="2"/>
      <c r="N599" s="2"/>
      <c r="O599" s="2"/>
      <c r="P599" s="2"/>
      <c r="Q599" s="2"/>
      <c r="R599" s="2"/>
      <c r="S599" s="2"/>
      <c r="T599" s="2" t="s">
        <v>5907</v>
      </c>
      <c r="U599" s="2" t="s">
        <v>5908</v>
      </c>
      <c r="V599" s="2" t="s">
        <v>95</v>
      </c>
      <c r="W599" s="2" t="s">
        <v>96</v>
      </c>
      <c r="X599" s="2" t="s">
        <v>141</v>
      </c>
      <c r="Y599" s="2" t="s">
        <v>98</v>
      </c>
      <c r="Z599" s="2" t="s">
        <v>99</v>
      </c>
      <c r="AA599" s="2" t="s">
        <v>142</v>
      </c>
      <c r="AB599" s="2" t="s">
        <v>5118</v>
      </c>
      <c r="AC599" s="2">
        <v>56.53</v>
      </c>
      <c r="AD599" s="2">
        <v>97.25</v>
      </c>
      <c r="AE599" s="2">
        <v>87.42</v>
      </c>
      <c r="AF599" s="2" t="s">
        <v>5909</v>
      </c>
      <c r="AG599" s="2" t="s">
        <v>132</v>
      </c>
      <c r="AH599" s="2" t="s">
        <v>3382</v>
      </c>
      <c r="AI599" s="2">
        <v>1.4</v>
      </c>
      <c r="AJ599" s="2">
        <v>21.5278967459763</v>
      </c>
      <c r="AK599" s="2">
        <v>21.7675559591245</v>
      </c>
      <c r="AL599" s="2">
        <v>21.5612056197314</v>
      </c>
      <c r="AM599" s="2">
        <v>21.746493097546399</v>
      </c>
      <c r="AN599" s="2">
        <v>21.2700545529961</v>
      </c>
      <c r="AO599" s="2">
        <v>21.518382162959199</v>
      </c>
      <c r="AP599" s="2">
        <v>21.116518283971601</v>
      </c>
      <c r="AQ599" s="2">
        <v>21.4172199035932</v>
      </c>
      <c r="AR599" s="2">
        <v>20.9612654964175</v>
      </c>
      <c r="AS599" s="2">
        <v>21.443423690800699</v>
      </c>
      <c r="AT599" s="2">
        <v>21.852405935494499</v>
      </c>
      <c r="AU599" s="2">
        <v>21.182792174309299</v>
      </c>
      <c r="AV599" s="2">
        <v>21.4261904076462</v>
      </c>
      <c r="AW599" s="2">
        <v>21.5631130964357</v>
      </c>
      <c r="AX599" s="2">
        <v>20.9805656526608</v>
      </c>
      <c r="AY599" s="2">
        <v>20.622391833051601</v>
      </c>
      <c r="AZ599" s="2">
        <v>20.624626469364799</v>
      </c>
      <c r="BA599" s="2">
        <v>20.426942016013498</v>
      </c>
      <c r="BB599" s="2">
        <v>20.866276350722298</v>
      </c>
      <c r="BC599" s="2">
        <v>21.030219591945102</v>
      </c>
      <c r="BD599" s="2">
        <v>21.6904552738436</v>
      </c>
      <c r="BE599" s="2">
        <v>22.510087862000901</v>
      </c>
      <c r="BF599" s="2">
        <v>21.853029031174099</v>
      </c>
      <c r="BG599" s="2">
        <v>22.301476867382799</v>
      </c>
      <c r="BH599" s="2">
        <v>21.696838162162798</v>
      </c>
      <c r="BI599" s="2">
        <v>20.3941251200979</v>
      </c>
      <c r="BJ599" s="2">
        <v>21.095418464939598</v>
      </c>
      <c r="BK599" s="2">
        <v>21.689272457915798</v>
      </c>
      <c r="BL599" s="2">
        <v>19.8898180422946</v>
      </c>
      <c r="BM599" s="2">
        <v>20.1024330043264</v>
      </c>
      <c r="BN599" s="2">
        <v>20.9451471905227</v>
      </c>
      <c r="BO599" s="2">
        <v>20.705415892621701</v>
      </c>
      <c r="BP599" s="2">
        <v>20.593786595071801</v>
      </c>
      <c r="BQ599" s="2">
        <v>20.821063193350199</v>
      </c>
      <c r="BR599" s="2">
        <v>20.572192014439501</v>
      </c>
      <c r="BS599" s="2">
        <v>20.891096524293399</v>
      </c>
      <c r="BT599" s="2">
        <v>20.544668697600802</v>
      </c>
      <c r="BU599" s="2">
        <v>20.4923249163263</v>
      </c>
      <c r="BV599" s="2">
        <v>20.566493596249401</v>
      </c>
      <c r="BW599" s="2">
        <v>20.182146541081899</v>
      </c>
      <c r="BX599" s="2">
        <v>20.442156260658699</v>
      </c>
      <c r="BY599" s="2">
        <v>22.1657025628908</v>
      </c>
      <c r="BZ599" s="2">
        <v>20.767293214586601</v>
      </c>
      <c r="CA599" s="2">
        <v>20.4457019517784</v>
      </c>
      <c r="CB599" s="2">
        <v>20.044540843742499</v>
      </c>
      <c r="CC599" s="2">
        <v>20.7175525800461</v>
      </c>
      <c r="CD599" s="2">
        <v>19.833247133875201</v>
      </c>
      <c r="CE599" s="2">
        <v>20.782457031223998</v>
      </c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</row>
    <row r="600" spans="1:97">
      <c r="A600" s="2" t="s">
        <v>5910</v>
      </c>
      <c r="B600" s="2">
        <v>331.18860999999998</v>
      </c>
      <c r="C600" s="2">
        <v>10.223000000000001</v>
      </c>
      <c r="D600" s="2" t="s">
        <v>146</v>
      </c>
      <c r="E600" s="2" t="s">
        <v>5911</v>
      </c>
      <c r="F600" s="2" t="s">
        <v>5912</v>
      </c>
      <c r="G600" s="2">
        <v>273264</v>
      </c>
      <c r="H600" s="3" t="str">
        <f>HYPERLINK("https://cloud.oebiotech.com/#/lm/network/273264", "https://cloud.oebiotech.com/#/lm/network/273264")</f>
        <v>https://cloud.oebiotech.com/#/lm/network/273264</v>
      </c>
      <c r="I600" s="2" t="s">
        <v>5913</v>
      </c>
      <c r="J600" s="2">
        <v>58123</v>
      </c>
      <c r="K600" s="2"/>
      <c r="L600" s="2">
        <v>65126</v>
      </c>
      <c r="M600" s="2"/>
      <c r="N600" s="2"/>
      <c r="O600" s="2"/>
      <c r="P600" s="2"/>
      <c r="Q600" s="2"/>
      <c r="R600" s="2"/>
      <c r="S600" s="2" t="s">
        <v>5914</v>
      </c>
      <c r="T600" s="2" t="s">
        <v>5915</v>
      </c>
      <c r="U600" s="2" t="s">
        <v>5916</v>
      </c>
      <c r="V600" s="2" t="s">
        <v>95</v>
      </c>
      <c r="W600" s="2" t="s">
        <v>180</v>
      </c>
      <c r="X600" s="2" t="s">
        <v>3643</v>
      </c>
      <c r="Y600" s="2" t="s">
        <v>98</v>
      </c>
      <c r="Z600" s="2" t="s">
        <v>182</v>
      </c>
      <c r="AA600" s="2" t="s">
        <v>3644</v>
      </c>
      <c r="AB600" s="2" t="s">
        <v>101</v>
      </c>
      <c r="AC600" s="2">
        <v>56.52</v>
      </c>
      <c r="AD600" s="2">
        <v>87.22</v>
      </c>
      <c r="AE600" s="2">
        <v>49.63</v>
      </c>
      <c r="AF600" s="2" t="s">
        <v>5917</v>
      </c>
      <c r="AG600" s="2" t="s">
        <v>194</v>
      </c>
      <c r="AH600" s="2" t="s">
        <v>5918</v>
      </c>
      <c r="AI600" s="2">
        <v>8.76</v>
      </c>
      <c r="AJ600" s="2">
        <v>19.7496891905292</v>
      </c>
      <c r="AK600" s="2">
        <v>19.190282131671999</v>
      </c>
      <c r="AL600" s="2">
        <v>19.449114924532399</v>
      </c>
      <c r="AM600" s="2">
        <v>19.157957190162101</v>
      </c>
      <c r="AN600" s="2">
        <v>19.309447287726801</v>
      </c>
      <c r="AO600" s="2">
        <v>18.803316949513899</v>
      </c>
      <c r="AP600" s="2">
        <v>19.4098360119932</v>
      </c>
      <c r="AQ600" s="2">
        <v>19.018291664924501</v>
      </c>
      <c r="AR600" s="2">
        <v>20.835268583788199</v>
      </c>
      <c r="AS600" s="2">
        <v>17.977384803116099</v>
      </c>
      <c r="AT600" s="2">
        <v>18.091818458353199</v>
      </c>
      <c r="AU600" s="2">
        <v>19.2627656980487</v>
      </c>
      <c r="AV600" s="2">
        <v>19.243994807223299</v>
      </c>
      <c r="AW600" s="2">
        <v>20.072027611490299</v>
      </c>
      <c r="AX600" s="2">
        <v>18.258725338006499</v>
      </c>
      <c r="AY600" s="2">
        <v>20.7963436432943</v>
      </c>
      <c r="AZ600" s="2">
        <v>18.747180294625799</v>
      </c>
      <c r="BA600" s="2">
        <v>17.6428986072589</v>
      </c>
      <c r="BB600" s="2">
        <v>19.4651387946178</v>
      </c>
      <c r="BC600" s="2">
        <v>18.332784144096401</v>
      </c>
      <c r="BD600" s="2">
        <v>18.240766135079301</v>
      </c>
      <c r="BE600" s="2">
        <v>19.220416684673399</v>
      </c>
      <c r="BF600" s="2">
        <v>18.093662927543299</v>
      </c>
      <c r="BG600" s="2">
        <v>17.4594766861434</v>
      </c>
      <c r="BH600" s="2">
        <v>22.404921469615701</v>
      </c>
      <c r="BI600" s="2">
        <v>18.667827970350999</v>
      </c>
      <c r="BJ600" s="2">
        <v>19.243587986543801</v>
      </c>
      <c r="BK600" s="2">
        <v>18.382663960172199</v>
      </c>
      <c r="BL600" s="2">
        <v>17.4774366182289</v>
      </c>
      <c r="BM600" s="2">
        <v>18.7353284694778</v>
      </c>
      <c r="BN600" s="2">
        <v>17.008431029478398</v>
      </c>
      <c r="BO600" s="2">
        <v>18.6684717107557</v>
      </c>
      <c r="BP600" s="2">
        <v>17.870987443416102</v>
      </c>
      <c r="BQ600" s="2">
        <v>19.370982603332202</v>
      </c>
      <c r="BR600" s="2">
        <v>19.685296884555399</v>
      </c>
      <c r="BS600" s="2">
        <v>19.747062729541899</v>
      </c>
      <c r="BT600" s="2">
        <v>18.602263722181299</v>
      </c>
      <c r="BU600" s="2">
        <v>18.358618838094699</v>
      </c>
      <c r="BV600" s="2">
        <v>16.698744949039899</v>
      </c>
      <c r="BW600" s="2">
        <v>17.7944954469422</v>
      </c>
      <c r="BX600" s="2">
        <v>18.524476979621902</v>
      </c>
      <c r="BY600" s="2">
        <v>19.562210686757801</v>
      </c>
      <c r="BZ600" s="2">
        <v>18.312702802096201</v>
      </c>
      <c r="CA600" s="2">
        <v>18.067258614031601</v>
      </c>
      <c r="CB600" s="2">
        <v>19.680381570929999</v>
      </c>
      <c r="CC600" s="2">
        <v>17.435145430736899</v>
      </c>
      <c r="CD600" s="2">
        <v>19.475561545053601</v>
      </c>
      <c r="CE600" s="2">
        <v>17.698103215034401</v>
      </c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</row>
    <row r="601" spans="1:97">
      <c r="A601" s="2" t="s">
        <v>5919</v>
      </c>
      <c r="B601" s="2">
        <v>263.12369999999999</v>
      </c>
      <c r="C601" s="2">
        <v>0.75800000000000001</v>
      </c>
      <c r="D601" s="2" t="s">
        <v>84</v>
      </c>
      <c r="E601" s="2" t="s">
        <v>5920</v>
      </c>
      <c r="F601" s="2" t="s">
        <v>5921</v>
      </c>
      <c r="G601" s="2">
        <v>54395</v>
      </c>
      <c r="H601" s="3" t="str">
        <f>HYPERLINK("https://cloud.oebiotech.com/#/lm/network/54395", "https://cloud.oebiotech.com/#/lm/network/54395")</f>
        <v>https://cloud.oebiotech.com/#/lm/network/54395</v>
      </c>
      <c r="I601" s="2" t="s">
        <v>5922</v>
      </c>
      <c r="J601" s="2">
        <v>65631</v>
      </c>
      <c r="K601" s="2"/>
      <c r="L601" s="2">
        <v>4474580</v>
      </c>
      <c r="M601" s="2" t="s">
        <v>5923</v>
      </c>
      <c r="N601" s="2"/>
      <c r="O601" s="2"/>
      <c r="P601" s="2">
        <v>133921</v>
      </c>
      <c r="Q601" s="2"/>
      <c r="R601" s="2"/>
      <c r="S601" s="2" t="s">
        <v>5924</v>
      </c>
      <c r="T601" s="2" t="s">
        <v>5925</v>
      </c>
      <c r="U601" s="2" t="s">
        <v>5926</v>
      </c>
      <c r="V601" s="2" t="s">
        <v>115</v>
      </c>
      <c r="W601" s="2" t="s">
        <v>116</v>
      </c>
      <c r="X601" s="2" t="s">
        <v>117</v>
      </c>
      <c r="Y601" s="2" t="s">
        <v>118</v>
      </c>
      <c r="Z601" s="2" t="s">
        <v>119</v>
      </c>
      <c r="AA601" s="2" t="s">
        <v>120</v>
      </c>
      <c r="AB601" s="2" t="s">
        <v>3086</v>
      </c>
      <c r="AC601" s="2">
        <v>56.47</v>
      </c>
      <c r="AD601" s="2">
        <v>93.1</v>
      </c>
      <c r="AE601" s="2">
        <v>0</v>
      </c>
      <c r="AF601" s="2" t="s">
        <v>5614</v>
      </c>
      <c r="AG601" s="2" t="s">
        <v>103</v>
      </c>
      <c r="AH601" s="2" t="s">
        <v>5927</v>
      </c>
      <c r="AI601" s="2">
        <v>0</v>
      </c>
      <c r="AJ601" s="2">
        <v>19.5872227734475</v>
      </c>
      <c r="AK601" s="2">
        <v>19.905976851871198</v>
      </c>
      <c r="AL601" s="2">
        <v>20.284748317894501</v>
      </c>
      <c r="AM601" s="2">
        <v>19.973638151417301</v>
      </c>
      <c r="AN601" s="2">
        <v>19.9139840779747</v>
      </c>
      <c r="AO601" s="2">
        <v>20.3508376219689</v>
      </c>
      <c r="AP601" s="2">
        <v>19.715966630679102</v>
      </c>
      <c r="AQ601" s="2">
        <v>19.822309335580702</v>
      </c>
      <c r="AR601" s="2">
        <v>9.6233145402724691</v>
      </c>
      <c r="AS601" s="2">
        <v>21.328326833449601</v>
      </c>
      <c r="AT601" s="2">
        <v>19.681936951948298</v>
      </c>
      <c r="AU601" s="2">
        <v>20.816873251413401</v>
      </c>
      <c r="AV601" s="2">
        <v>20.712252368279099</v>
      </c>
      <c r="AW601" s="2">
        <v>18.896383613565799</v>
      </c>
      <c r="AX601" s="2">
        <v>19.6746390921369</v>
      </c>
      <c r="AY601" s="2">
        <v>20.3078792591735</v>
      </c>
      <c r="AZ601" s="2">
        <v>20.335418292158501</v>
      </c>
      <c r="BA601" s="2">
        <v>20.256019600271902</v>
      </c>
      <c r="BB601" s="2">
        <v>18.4414688414799</v>
      </c>
      <c r="BC601" s="2">
        <v>18.4201877611642</v>
      </c>
      <c r="BD601" s="2">
        <v>20.543783270554002</v>
      </c>
      <c r="BE601" s="2">
        <v>19.590810644617399</v>
      </c>
      <c r="BF601" s="2">
        <v>19.658621186008201</v>
      </c>
      <c r="BG601" s="2">
        <v>19.051138030319901</v>
      </c>
      <c r="BH601" s="2">
        <v>19.375578843136001</v>
      </c>
      <c r="BI601" s="2">
        <v>20.227190537029799</v>
      </c>
      <c r="BJ601" s="2">
        <v>20.4985518502099</v>
      </c>
      <c r="BK601" s="2">
        <v>20.186836470472802</v>
      </c>
      <c r="BL601" s="2">
        <v>20.6405905210943</v>
      </c>
      <c r="BM601" s="2">
        <v>22.048123395886499</v>
      </c>
      <c r="BN601" s="2">
        <v>20.732712330601402</v>
      </c>
      <c r="BO601" s="2">
        <v>20.316758980813901</v>
      </c>
      <c r="BP601" s="2">
        <v>20.520098326643101</v>
      </c>
      <c r="BQ601" s="2">
        <v>20.316650534252801</v>
      </c>
      <c r="BR601" s="2">
        <v>19.431151167479999</v>
      </c>
      <c r="BS601" s="2">
        <v>21.3561473466142</v>
      </c>
      <c r="BT601" s="2">
        <v>21.683779290550799</v>
      </c>
      <c r="BU601" s="2">
        <v>20.429735947078601</v>
      </c>
      <c r="BV601" s="2">
        <v>21.5980433287659</v>
      </c>
      <c r="BW601" s="2">
        <v>20.047393292343401</v>
      </c>
      <c r="BX601" s="2">
        <v>20.718142525359699</v>
      </c>
      <c r="BY601" s="2">
        <v>19.321913763845899</v>
      </c>
      <c r="BZ601" s="2">
        <v>18.192894630701399</v>
      </c>
      <c r="CA601" s="2">
        <v>20.034541042957599</v>
      </c>
      <c r="CB601" s="2">
        <v>18.587253013007899</v>
      </c>
      <c r="CC601" s="2">
        <v>18.544199133428101</v>
      </c>
      <c r="CD601" s="2">
        <v>20.0346730978682</v>
      </c>
      <c r="CE601" s="2">
        <v>18.302421874953101</v>
      </c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</row>
    <row r="602" spans="1:97">
      <c r="A602" s="2" t="s">
        <v>5928</v>
      </c>
      <c r="B602" s="2">
        <v>349.23777000000001</v>
      </c>
      <c r="C602" s="2">
        <v>12.718</v>
      </c>
      <c r="D602" s="2" t="s">
        <v>146</v>
      </c>
      <c r="E602" s="2" t="s">
        <v>5929</v>
      </c>
      <c r="F602" s="2" t="s">
        <v>5930</v>
      </c>
      <c r="G602" s="2">
        <v>675</v>
      </c>
      <c r="H602" s="3" t="str">
        <f>HYPERLINK("https://cloud.oebiotech.com/#/lm/network/675", "https://cloud.oebiotech.com/#/lm/network/675")</f>
        <v>https://cloud.oebiotech.com/#/lm/network/675</v>
      </c>
      <c r="I602" s="2"/>
      <c r="J602" s="2">
        <v>34842</v>
      </c>
      <c r="K602" s="2" t="s">
        <v>5931</v>
      </c>
      <c r="L602" s="2">
        <v>5282840</v>
      </c>
      <c r="M602" s="2"/>
      <c r="N602" s="2"/>
      <c r="O602" s="2"/>
      <c r="P602" s="2"/>
      <c r="Q602" s="2"/>
      <c r="R602" s="2"/>
      <c r="S602" s="2"/>
      <c r="T602" s="2" t="s">
        <v>5932</v>
      </c>
      <c r="U602" s="2" t="s">
        <v>5933</v>
      </c>
      <c r="V602" s="2" t="s">
        <v>95</v>
      </c>
      <c r="W602" s="2" t="s">
        <v>96</v>
      </c>
      <c r="X602" s="2" t="s">
        <v>141</v>
      </c>
      <c r="Y602" s="2" t="s">
        <v>98</v>
      </c>
      <c r="Z602" s="2" t="s">
        <v>99</v>
      </c>
      <c r="AA602" s="2" t="s">
        <v>142</v>
      </c>
      <c r="AB602" s="2" t="s">
        <v>3086</v>
      </c>
      <c r="AC602" s="2">
        <v>56.43</v>
      </c>
      <c r="AD602" s="2">
        <v>96.52</v>
      </c>
      <c r="AE602" s="2">
        <v>0</v>
      </c>
      <c r="AF602" s="2" t="s">
        <v>5934</v>
      </c>
      <c r="AG602" s="2" t="s">
        <v>157</v>
      </c>
      <c r="AH602" s="2" t="s">
        <v>220</v>
      </c>
      <c r="AI602" s="2">
        <v>1.72</v>
      </c>
      <c r="AJ602" s="2">
        <v>19.971939137317499</v>
      </c>
      <c r="AK602" s="2">
        <v>19.691332124935801</v>
      </c>
      <c r="AL602" s="2">
        <v>19.827528444474101</v>
      </c>
      <c r="AM602" s="2">
        <v>19.2164467416939</v>
      </c>
      <c r="AN602" s="2">
        <v>19.757106561046101</v>
      </c>
      <c r="AO602" s="2">
        <v>19.721351046089602</v>
      </c>
      <c r="AP602" s="2">
        <v>19.205820019097398</v>
      </c>
      <c r="AQ602" s="2">
        <v>19.147507467372701</v>
      </c>
      <c r="AR602" s="2">
        <v>18.0611727620328</v>
      </c>
      <c r="AS602" s="2">
        <v>18.670416805765001</v>
      </c>
      <c r="AT602" s="2">
        <v>19.682058882153701</v>
      </c>
      <c r="AU602" s="2">
        <v>18.180902738206001</v>
      </c>
      <c r="AV602" s="2">
        <v>18.072331888621001</v>
      </c>
      <c r="AW602" s="2">
        <v>18.441205030278301</v>
      </c>
      <c r="AX602" s="2">
        <v>19.661722941601301</v>
      </c>
      <c r="AY602" s="2">
        <v>18.998221015768301</v>
      </c>
      <c r="AZ602" s="2">
        <v>18.6219388184136</v>
      </c>
      <c r="BA602" s="2">
        <v>19.6259225314346</v>
      </c>
      <c r="BB602" s="2">
        <v>19.123803647217201</v>
      </c>
      <c r="BC602" s="2">
        <v>20.918505048636298</v>
      </c>
      <c r="BD602" s="2">
        <v>17.504390732585701</v>
      </c>
      <c r="BE602" s="2">
        <v>18.703374284115</v>
      </c>
      <c r="BF602" s="2">
        <v>18.951252779957699</v>
      </c>
      <c r="BG602" s="2">
        <v>20.535204342161801</v>
      </c>
      <c r="BH602" s="2">
        <v>18.755017296090202</v>
      </c>
      <c r="BI602" s="2">
        <v>18.9590028926836</v>
      </c>
      <c r="BJ602" s="2">
        <v>19.468621219185898</v>
      </c>
      <c r="BK602" s="2">
        <v>17.618349437299798</v>
      </c>
      <c r="BL602" s="2">
        <v>20.485000542050699</v>
      </c>
      <c r="BM602" s="2">
        <v>18.295297974937601</v>
      </c>
      <c r="BN602" s="2">
        <v>18.352195538212399</v>
      </c>
      <c r="BO602" s="2">
        <v>19.543915349189302</v>
      </c>
      <c r="BP602" s="2">
        <v>19.3964400747432</v>
      </c>
      <c r="BQ602" s="2">
        <v>19.955725145250099</v>
      </c>
      <c r="BR602" s="2">
        <v>20.221911634982401</v>
      </c>
      <c r="BS602" s="2">
        <v>18.6592879341162</v>
      </c>
      <c r="BT602" s="2">
        <v>19.248880047978702</v>
      </c>
      <c r="BU602" s="2">
        <v>18.199779636306602</v>
      </c>
      <c r="BV602" s="2">
        <v>19.892748672138801</v>
      </c>
      <c r="BW602" s="2">
        <v>19.190707975732099</v>
      </c>
      <c r="BX602" s="2">
        <v>18.3317779642143</v>
      </c>
      <c r="BY602" s="2">
        <v>19.6171591463971</v>
      </c>
      <c r="BZ602" s="2">
        <v>19.396672924304202</v>
      </c>
      <c r="CA602" s="2">
        <v>18.718826495633198</v>
      </c>
      <c r="CB602" s="2">
        <v>20.809605709630699</v>
      </c>
      <c r="CC602" s="2">
        <v>20.1954981661573</v>
      </c>
      <c r="CD602" s="2">
        <v>19.610283394441499</v>
      </c>
      <c r="CE602" s="2">
        <v>20.9186730547957</v>
      </c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</row>
    <row r="603" spans="1:97">
      <c r="A603" s="2" t="s">
        <v>5935</v>
      </c>
      <c r="B603" s="2">
        <v>437.16093999999998</v>
      </c>
      <c r="C603" s="2">
        <v>6.5010000000000003</v>
      </c>
      <c r="D603" s="2" t="s">
        <v>146</v>
      </c>
      <c r="E603" s="2" t="s">
        <v>5936</v>
      </c>
      <c r="F603" s="2" t="s">
        <v>5937</v>
      </c>
      <c r="G603" s="2">
        <v>201281</v>
      </c>
      <c r="H603" s="3" t="str">
        <f>HYPERLINK("https://cloud.oebiotech.com/#/lm/network/201281", "https://cloud.oebiotech.com/#/lm/network/201281")</f>
        <v>https://cloud.oebiotech.com/#/lm/network/201281</v>
      </c>
      <c r="I603" s="2" t="s">
        <v>5938</v>
      </c>
      <c r="J603" s="2"/>
      <c r="K603" s="2"/>
      <c r="L603" s="2">
        <v>128095</v>
      </c>
      <c r="M603" s="2"/>
      <c r="N603" s="2"/>
      <c r="O603" s="2"/>
      <c r="P603" s="2"/>
      <c r="Q603" s="2"/>
      <c r="R603" s="2"/>
      <c r="S603" s="2"/>
      <c r="T603" s="2" t="s">
        <v>5939</v>
      </c>
      <c r="U603" s="2" t="s">
        <v>5940</v>
      </c>
      <c r="V603" s="2" t="s">
        <v>845</v>
      </c>
      <c r="W603" s="2" t="s">
        <v>846</v>
      </c>
      <c r="X603" s="2" t="s">
        <v>375</v>
      </c>
      <c r="Y603" s="2" t="s">
        <v>847</v>
      </c>
      <c r="Z603" s="2" t="s">
        <v>848</v>
      </c>
      <c r="AA603" s="2"/>
      <c r="AB603" s="2" t="s">
        <v>101</v>
      </c>
      <c r="AC603" s="2">
        <v>56.43</v>
      </c>
      <c r="AD603" s="2">
        <v>61.14</v>
      </c>
      <c r="AE603" s="2">
        <v>58.58</v>
      </c>
      <c r="AF603" s="2" t="s">
        <v>5941</v>
      </c>
      <c r="AG603" s="2" t="s">
        <v>993</v>
      </c>
      <c r="AH603" s="2" t="s">
        <v>5942</v>
      </c>
      <c r="AI603" s="2">
        <v>5.26</v>
      </c>
      <c r="AJ603" s="2">
        <v>18.2707290827978</v>
      </c>
      <c r="AK603" s="2">
        <v>18.4678171852322</v>
      </c>
      <c r="AL603" s="2">
        <v>17.696811759993199</v>
      </c>
      <c r="AM603" s="2">
        <v>18.559223589862199</v>
      </c>
      <c r="AN603" s="2">
        <v>18.297262136617899</v>
      </c>
      <c r="AO603" s="2">
        <v>18.201987282602801</v>
      </c>
      <c r="AP603" s="2">
        <v>18.3650683196473</v>
      </c>
      <c r="AQ603" s="2">
        <v>17.911964205179501</v>
      </c>
      <c r="AR603" s="2">
        <v>17.266955139238899</v>
      </c>
      <c r="AS603" s="2">
        <v>14.8341475727134</v>
      </c>
      <c r="AT603" s="2">
        <v>16.911404862303701</v>
      </c>
      <c r="AU603" s="2">
        <v>17.3393646397138</v>
      </c>
      <c r="AV603" s="2">
        <v>19.201793619719901</v>
      </c>
      <c r="AW603" s="2">
        <v>19.181091386059599</v>
      </c>
      <c r="AX603" s="2">
        <v>18.9999958173759</v>
      </c>
      <c r="AY603" s="2">
        <v>19.170612670290101</v>
      </c>
      <c r="AZ603" s="2">
        <v>17.597410779924498</v>
      </c>
      <c r="BA603" s="2">
        <v>17.154303305701202</v>
      </c>
      <c r="BB603" s="2">
        <v>16.7226455923679</v>
      </c>
      <c r="BC603" s="2">
        <v>19.922668033143701</v>
      </c>
      <c r="BD603" s="2">
        <v>17.982607890457899</v>
      </c>
      <c r="BE603" s="2">
        <v>18.5116678481658</v>
      </c>
      <c r="BF603" s="2">
        <v>17.873765626188099</v>
      </c>
      <c r="BG603" s="2">
        <v>19.611243427677199</v>
      </c>
      <c r="BH603" s="2">
        <v>17.375287916340099</v>
      </c>
      <c r="BI603" s="2">
        <v>16.401662528689801</v>
      </c>
      <c r="BJ603" s="2">
        <v>18.0174272469622</v>
      </c>
      <c r="BK603" s="2">
        <v>17.233217551110499</v>
      </c>
      <c r="BL603" s="2">
        <v>17.3254814063487</v>
      </c>
      <c r="BM603" s="2">
        <v>15.3042122651729</v>
      </c>
      <c r="BN603" s="2">
        <v>16.037081666412401</v>
      </c>
      <c r="BO603" s="2">
        <v>17.6186347775302</v>
      </c>
      <c r="BP603" s="2">
        <v>19.639656652251901</v>
      </c>
      <c r="BQ603" s="2">
        <v>18.082118108006899</v>
      </c>
      <c r="BR603" s="2">
        <v>18.870341478866099</v>
      </c>
      <c r="BS603" s="2">
        <v>19.050896164449199</v>
      </c>
      <c r="BT603" s="2">
        <v>16.8177535232434</v>
      </c>
      <c r="BU603" s="2">
        <v>15.726189149713599</v>
      </c>
      <c r="BV603" s="2">
        <v>14.559291042530701</v>
      </c>
      <c r="BW603" s="2">
        <v>18.796687232153602</v>
      </c>
      <c r="BX603" s="2">
        <v>18.034846667683901</v>
      </c>
      <c r="BY603" s="2">
        <v>19.745427547534799</v>
      </c>
      <c r="BZ603" s="2">
        <v>16.531250923609001</v>
      </c>
      <c r="CA603" s="2">
        <v>15.6010711461075</v>
      </c>
      <c r="CB603" s="2">
        <v>18.533959313776201</v>
      </c>
      <c r="CC603" s="2">
        <v>16.2485248669011</v>
      </c>
      <c r="CD603" s="2">
        <v>18.099934155974701</v>
      </c>
      <c r="CE603" s="2">
        <v>19.065255001660699</v>
      </c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</row>
    <row r="604" spans="1:97">
      <c r="A604" s="2" t="s">
        <v>5943</v>
      </c>
      <c r="B604" s="2">
        <v>203.0016</v>
      </c>
      <c r="C604" s="2">
        <v>4.6669999999999998</v>
      </c>
      <c r="D604" s="2" t="s">
        <v>146</v>
      </c>
      <c r="E604" s="2" t="s">
        <v>5944</v>
      </c>
      <c r="F604" s="2" t="s">
        <v>5945</v>
      </c>
      <c r="G604" s="2">
        <v>82029</v>
      </c>
      <c r="H604" s="3" t="str">
        <f>HYPERLINK("https://cloud.oebiotech.com/#/lm/network/82029", "https://cloud.oebiotech.com/#/lm/network/82029")</f>
        <v>https://cloud.oebiotech.com/#/lm/network/82029</v>
      </c>
      <c r="I604" s="2" t="s">
        <v>5946</v>
      </c>
      <c r="J604" s="2"/>
      <c r="K604" s="2"/>
      <c r="L604" s="2">
        <v>22473</v>
      </c>
      <c r="M604" s="2"/>
      <c r="N604" s="2"/>
      <c r="O604" s="2"/>
      <c r="P604" s="2">
        <v>133460</v>
      </c>
      <c r="Q604" s="2"/>
      <c r="R604" s="2"/>
      <c r="S604" s="2"/>
      <c r="T604" s="2" t="s">
        <v>5947</v>
      </c>
      <c r="U604" s="2" t="s">
        <v>5948</v>
      </c>
      <c r="V604" s="2" t="s">
        <v>115</v>
      </c>
      <c r="W604" s="2" t="s">
        <v>613</v>
      </c>
      <c r="X604" s="2" t="s">
        <v>614</v>
      </c>
      <c r="Y604" s="2" t="s">
        <v>118</v>
      </c>
      <c r="Z604" s="2" t="s">
        <v>615</v>
      </c>
      <c r="AA604" s="2" t="s">
        <v>616</v>
      </c>
      <c r="AB604" s="2" t="s">
        <v>5118</v>
      </c>
      <c r="AC604" s="2">
        <v>56.35</v>
      </c>
      <c r="AD604" s="2">
        <v>97.62</v>
      </c>
      <c r="AE604" s="2">
        <v>89</v>
      </c>
      <c r="AF604" s="2" t="s">
        <v>5949</v>
      </c>
      <c r="AG604" s="2" t="s">
        <v>194</v>
      </c>
      <c r="AH604" s="2" t="s">
        <v>2434</v>
      </c>
      <c r="AI604" s="2">
        <v>1.97</v>
      </c>
      <c r="AJ604" s="2">
        <v>22.7354433461459</v>
      </c>
      <c r="AK604" s="2">
        <v>22.771357938981701</v>
      </c>
      <c r="AL604" s="2">
        <v>22.709530059884301</v>
      </c>
      <c r="AM604" s="2">
        <v>22.833436495411298</v>
      </c>
      <c r="AN604" s="2">
        <v>22.696092103154701</v>
      </c>
      <c r="AO604" s="2">
        <v>22.864584956532301</v>
      </c>
      <c r="AP604" s="2">
        <v>22.7963203238148</v>
      </c>
      <c r="AQ604" s="2">
        <v>22.745437639921601</v>
      </c>
      <c r="AR604" s="2">
        <v>21.997476246130599</v>
      </c>
      <c r="AS604" s="2">
        <v>21.638167728640699</v>
      </c>
      <c r="AT604" s="2">
        <v>14.8736704771398</v>
      </c>
      <c r="AU604" s="2">
        <v>20.556303923029599</v>
      </c>
      <c r="AV604" s="2">
        <v>23.711452065267</v>
      </c>
      <c r="AW604" s="2">
        <v>20.271982989425702</v>
      </c>
      <c r="AX604" s="2">
        <v>22.438121658395801</v>
      </c>
      <c r="AY604" s="2">
        <v>22.794774820817398</v>
      </c>
      <c r="AZ604" s="2">
        <v>22.027684360672801</v>
      </c>
      <c r="BA604" s="2">
        <v>20.1062458976049</v>
      </c>
      <c r="BB604" s="2">
        <v>22.0344912220318</v>
      </c>
      <c r="BC604" s="2">
        <v>19.827043466082198</v>
      </c>
      <c r="BD604" s="2">
        <v>22.521414234862799</v>
      </c>
      <c r="BE604" s="2">
        <v>23.569236416717299</v>
      </c>
      <c r="BF604" s="2">
        <v>23.2579865306603</v>
      </c>
      <c r="BG604" s="2">
        <v>19.737385566948699</v>
      </c>
      <c r="BH604" s="2">
        <v>22.441448970686402</v>
      </c>
      <c r="BI604" s="2">
        <v>22.747965817443301</v>
      </c>
      <c r="BJ604" s="2">
        <v>22.1795114937057</v>
      </c>
      <c r="BK604" s="2">
        <v>20.067018043720999</v>
      </c>
      <c r="BL604" s="2">
        <v>23.2668660825777</v>
      </c>
      <c r="BM604" s="2">
        <v>20.400594547246101</v>
      </c>
      <c r="BN604" s="2">
        <v>20.278155877263</v>
      </c>
      <c r="BO604" s="2">
        <v>19.527811070926202</v>
      </c>
      <c r="BP604" s="2">
        <v>22.026690708841301</v>
      </c>
      <c r="BQ604" s="2">
        <v>21.1677903121649</v>
      </c>
      <c r="BR604" s="2">
        <v>21.897613322565199</v>
      </c>
      <c r="BS604" s="2">
        <v>23.522441432412599</v>
      </c>
      <c r="BT604" s="2">
        <v>23.321036247461699</v>
      </c>
      <c r="BU604" s="2">
        <v>20.514379658731801</v>
      </c>
      <c r="BV604" s="2">
        <v>19.958838697185001</v>
      </c>
      <c r="BW604" s="2">
        <v>17.155371668698599</v>
      </c>
      <c r="BX604" s="2">
        <v>23.952655160300601</v>
      </c>
      <c r="BY604" s="2">
        <v>23.4457593322063</v>
      </c>
      <c r="BZ604" s="2">
        <v>19.8247681483174</v>
      </c>
      <c r="CA604" s="2">
        <v>19.633467946823401</v>
      </c>
      <c r="CB604" s="2">
        <v>22.779680137525801</v>
      </c>
      <c r="CC604" s="2">
        <v>18.978938543100899</v>
      </c>
      <c r="CD604" s="2">
        <v>23.135619188425999</v>
      </c>
      <c r="CE604" s="2">
        <v>17.8236687030487</v>
      </c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</row>
    <row r="605" spans="1:97">
      <c r="A605" s="2" t="s">
        <v>5950</v>
      </c>
      <c r="B605" s="2">
        <v>159.07631000000001</v>
      </c>
      <c r="C605" s="2">
        <v>0.73199999999999998</v>
      </c>
      <c r="D605" s="2" t="s">
        <v>84</v>
      </c>
      <c r="E605" s="2" t="s">
        <v>5951</v>
      </c>
      <c r="F605" s="2" t="s">
        <v>5952</v>
      </c>
      <c r="G605" s="2">
        <v>2182</v>
      </c>
      <c r="H605" s="3" t="str">
        <f>HYPERLINK("https://cloud.oebiotech.com/#/lm/network/2182", "https://cloud.oebiotech.com/#/lm/network/2182")</f>
        <v>https://cloud.oebiotech.com/#/lm/network/2182</v>
      </c>
      <c r="I605" s="2" t="s">
        <v>5953</v>
      </c>
      <c r="J605" s="2">
        <v>3248</v>
      </c>
      <c r="K605" s="2" t="s">
        <v>5954</v>
      </c>
      <c r="L605" s="2">
        <v>5280625</v>
      </c>
      <c r="M605" s="2" t="s">
        <v>5955</v>
      </c>
      <c r="N605" s="2" t="s">
        <v>2281</v>
      </c>
      <c r="O605" s="2" t="s">
        <v>2282</v>
      </c>
      <c r="P605" s="2">
        <v>15745</v>
      </c>
      <c r="Q605" s="2"/>
      <c r="R605" s="2"/>
      <c r="S605" s="2" t="s">
        <v>5956</v>
      </c>
      <c r="T605" s="2" t="s">
        <v>5957</v>
      </c>
      <c r="U605" s="2" t="s">
        <v>5958</v>
      </c>
      <c r="V605" s="2" t="s">
        <v>115</v>
      </c>
      <c r="W605" s="2" t="s">
        <v>116</v>
      </c>
      <c r="X605" s="2" t="s">
        <v>117</v>
      </c>
      <c r="Y605" s="2" t="s">
        <v>118</v>
      </c>
      <c r="Z605" s="2" t="s">
        <v>119</v>
      </c>
      <c r="AA605" s="2" t="s">
        <v>120</v>
      </c>
      <c r="AB605" s="2" t="s">
        <v>3086</v>
      </c>
      <c r="AC605" s="2">
        <v>56.34</v>
      </c>
      <c r="AD605" s="2">
        <v>95.62</v>
      </c>
      <c r="AE605" s="2">
        <v>0</v>
      </c>
      <c r="AF605" s="2" t="s">
        <v>5614</v>
      </c>
      <c r="AG605" s="2" t="s">
        <v>132</v>
      </c>
      <c r="AH605" s="2" t="s">
        <v>5959</v>
      </c>
      <c r="AI605" s="2">
        <v>0.63</v>
      </c>
      <c r="AJ605" s="2">
        <v>22.389692610930599</v>
      </c>
      <c r="AK605" s="2">
        <v>22.532956411117699</v>
      </c>
      <c r="AL605" s="2">
        <v>22.451969695886302</v>
      </c>
      <c r="AM605" s="2">
        <v>22.4714462454772</v>
      </c>
      <c r="AN605" s="2">
        <v>22.271048787374799</v>
      </c>
      <c r="AO605" s="2">
        <v>22.453902819150802</v>
      </c>
      <c r="AP605" s="2">
        <v>21.453236637551701</v>
      </c>
      <c r="AQ605" s="2">
        <v>22.630831178606201</v>
      </c>
      <c r="AR605" s="2">
        <v>22.439223973537501</v>
      </c>
      <c r="AS605" s="2">
        <v>22.3588463870386</v>
      </c>
      <c r="AT605" s="2">
        <v>22.804039340482799</v>
      </c>
      <c r="AU605" s="2">
        <v>22.583341775542198</v>
      </c>
      <c r="AV605" s="2">
        <v>22.2129430467782</v>
      </c>
      <c r="AW605" s="2">
        <v>22.645141677296301</v>
      </c>
      <c r="AX605" s="2">
        <v>22.4805569748297</v>
      </c>
      <c r="AY605" s="2">
        <v>22.033436132445001</v>
      </c>
      <c r="AZ605" s="2">
        <v>23.128602873017599</v>
      </c>
      <c r="BA605" s="2">
        <v>22.4318869376966</v>
      </c>
      <c r="BB605" s="2">
        <v>21.8329513656494</v>
      </c>
      <c r="BC605" s="2">
        <v>22.208559356019599</v>
      </c>
      <c r="BD605" s="2">
        <v>22.737813751729298</v>
      </c>
      <c r="BE605" s="2">
        <v>22.223629341489399</v>
      </c>
      <c r="BF605" s="2">
        <v>22.6503195111124</v>
      </c>
      <c r="BG605" s="2">
        <v>21.554960672697401</v>
      </c>
      <c r="BH605" s="2">
        <v>21.595693358439199</v>
      </c>
      <c r="BI605" s="2">
        <v>22.153436338571002</v>
      </c>
      <c r="BJ605" s="2">
        <v>22.276147986809999</v>
      </c>
      <c r="BK605" s="2">
        <v>22.6832704933252</v>
      </c>
      <c r="BL605" s="2">
        <v>22.051945036623799</v>
      </c>
      <c r="BM605" s="2">
        <v>23.092232345035601</v>
      </c>
      <c r="BN605" s="2">
        <v>22.487847799331401</v>
      </c>
      <c r="BO605" s="2">
        <v>21.935782609215298</v>
      </c>
      <c r="BP605" s="2">
        <v>22.418986188361</v>
      </c>
      <c r="BQ605" s="2">
        <v>21.922735956618101</v>
      </c>
      <c r="BR605" s="2">
        <v>22.834110984041299</v>
      </c>
      <c r="BS605" s="2">
        <v>22.594388943099901</v>
      </c>
      <c r="BT605" s="2">
        <v>22.546006796114298</v>
      </c>
      <c r="BU605" s="2">
        <v>22.533326763859002</v>
      </c>
      <c r="BV605" s="2">
        <v>22.083371670456199</v>
      </c>
      <c r="BW605" s="2">
        <v>22.267334639709102</v>
      </c>
      <c r="BX605" s="2">
        <v>22.1385246923046</v>
      </c>
      <c r="BY605" s="2">
        <v>21.871235630338202</v>
      </c>
      <c r="BZ605" s="2">
        <v>22.828682843614999</v>
      </c>
      <c r="CA605" s="2">
        <v>22.125412001057899</v>
      </c>
      <c r="CB605" s="2">
        <v>22.238946054269</v>
      </c>
      <c r="CC605" s="2">
        <v>22.518288814787201</v>
      </c>
      <c r="CD605" s="2">
        <v>22.619700188842501</v>
      </c>
      <c r="CE605" s="2">
        <v>22.495140581539601</v>
      </c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</row>
    <row r="606" spans="1:97">
      <c r="A606" s="2" t="s">
        <v>5960</v>
      </c>
      <c r="B606" s="2">
        <v>176.10276999999999</v>
      </c>
      <c r="C606" s="2">
        <v>0.94499999999999995</v>
      </c>
      <c r="D606" s="2" t="s">
        <v>84</v>
      </c>
      <c r="E606" s="2" t="s">
        <v>5961</v>
      </c>
      <c r="F606" s="2" t="s">
        <v>5962</v>
      </c>
      <c r="G606" s="2">
        <v>48032</v>
      </c>
      <c r="H606" s="3" t="str">
        <f>HYPERLINK("https://cloud.oebiotech.com/#/lm/network/48032", "https://cloud.oebiotech.com/#/lm/network/48032")</f>
        <v>https://cloud.oebiotech.com/#/lm/network/48032</v>
      </c>
      <c r="I606" s="2" t="s">
        <v>5963</v>
      </c>
      <c r="J606" s="2">
        <v>58144</v>
      </c>
      <c r="K606" s="2"/>
      <c r="L606" s="2">
        <v>160437</v>
      </c>
      <c r="M606" s="2"/>
      <c r="N606" s="2"/>
      <c r="O606" s="2"/>
      <c r="P606" s="2"/>
      <c r="Q606" s="2"/>
      <c r="R606" s="2"/>
      <c r="S606" s="2" t="s">
        <v>5964</v>
      </c>
      <c r="T606" s="2" t="s">
        <v>5965</v>
      </c>
      <c r="U606" s="2" t="s">
        <v>5966</v>
      </c>
      <c r="V606" s="2" t="s">
        <v>115</v>
      </c>
      <c r="W606" s="2" t="s">
        <v>116</v>
      </c>
      <c r="X606" s="2" t="s">
        <v>117</v>
      </c>
      <c r="Y606" s="2" t="s">
        <v>118</v>
      </c>
      <c r="Z606" s="2" t="s">
        <v>119</v>
      </c>
      <c r="AA606" s="2" t="s">
        <v>120</v>
      </c>
      <c r="AB606" s="2" t="s">
        <v>3086</v>
      </c>
      <c r="AC606" s="2">
        <v>56.33</v>
      </c>
      <c r="AD606" s="2">
        <v>95.53</v>
      </c>
      <c r="AE606" s="2">
        <v>0</v>
      </c>
      <c r="AF606" s="2" t="s">
        <v>5614</v>
      </c>
      <c r="AG606" s="2" t="s">
        <v>103</v>
      </c>
      <c r="AH606" s="2" t="s">
        <v>2275</v>
      </c>
      <c r="AI606" s="2">
        <v>1.1399999999999999</v>
      </c>
      <c r="AJ606" s="2">
        <v>19.820441436296601</v>
      </c>
      <c r="AK606" s="2">
        <v>19.4684493986055</v>
      </c>
      <c r="AL606" s="2">
        <v>19.809879076835202</v>
      </c>
      <c r="AM606" s="2">
        <v>19.760365629040599</v>
      </c>
      <c r="AN606" s="2">
        <v>19.563641123493301</v>
      </c>
      <c r="AO606" s="2">
        <v>19.5729059659248</v>
      </c>
      <c r="AP606" s="2">
        <v>19.908116447629801</v>
      </c>
      <c r="AQ606" s="2">
        <v>19.609285654063399</v>
      </c>
      <c r="AR606" s="2">
        <v>18.163924105507199</v>
      </c>
      <c r="AS606" s="2">
        <v>19.1826809754069</v>
      </c>
      <c r="AT606" s="2">
        <v>19.990249139267402</v>
      </c>
      <c r="AU606" s="2">
        <v>19.720302432995801</v>
      </c>
      <c r="AV606" s="2">
        <v>18.537101779088399</v>
      </c>
      <c r="AW606" s="2">
        <v>19.9209677325649</v>
      </c>
      <c r="AX606" s="2">
        <v>17.683910717267899</v>
      </c>
      <c r="AY606" s="2">
        <v>18.8744171744681</v>
      </c>
      <c r="AZ606" s="2">
        <v>17.753621562258001</v>
      </c>
      <c r="BA606" s="2">
        <v>18.9249535588336</v>
      </c>
      <c r="BB606" s="2">
        <v>18.582547256277198</v>
      </c>
      <c r="BC606" s="2">
        <v>19.943842094797901</v>
      </c>
      <c r="BD606" s="2">
        <v>19.2500757094706</v>
      </c>
      <c r="BE606" s="2">
        <v>19.7911355534434</v>
      </c>
      <c r="BF606" s="2">
        <v>19.781946329507399</v>
      </c>
      <c r="BG606" s="2">
        <v>19.261641201285901</v>
      </c>
      <c r="BH606" s="2">
        <v>19.992360205469801</v>
      </c>
      <c r="BI606" s="2">
        <v>17.937441295506499</v>
      </c>
      <c r="BJ606" s="2">
        <v>19.243118673337101</v>
      </c>
      <c r="BK606" s="2">
        <v>19.8714665681536</v>
      </c>
      <c r="BL606" s="2">
        <v>19.6101751643595</v>
      </c>
      <c r="BM606" s="2">
        <v>20.165765867969299</v>
      </c>
      <c r="BN606" s="2">
        <v>19.964411676824501</v>
      </c>
      <c r="BO606" s="2">
        <v>19.554919507585801</v>
      </c>
      <c r="BP606" s="2">
        <v>19.737801693842901</v>
      </c>
      <c r="BQ606" s="2">
        <v>19.423417828721099</v>
      </c>
      <c r="BR606" s="2">
        <v>18.003386035286798</v>
      </c>
      <c r="BS606" s="2">
        <v>19.6077805257551</v>
      </c>
      <c r="BT606" s="2">
        <v>19.1195444345006</v>
      </c>
      <c r="BU606" s="2">
        <v>19.018834185774001</v>
      </c>
      <c r="BV606" s="2">
        <v>19.723072059919101</v>
      </c>
      <c r="BW606" s="2">
        <v>18.388087433340299</v>
      </c>
      <c r="BX606" s="2">
        <v>19.489275495962801</v>
      </c>
      <c r="BY606" s="2">
        <v>18.9896420759035</v>
      </c>
      <c r="BZ606" s="2">
        <v>20.015471365725499</v>
      </c>
      <c r="CA606" s="2">
        <v>18.905909474825499</v>
      </c>
      <c r="CB606" s="2">
        <v>19.301005168567201</v>
      </c>
      <c r="CC606" s="2">
        <v>19.308764387532701</v>
      </c>
      <c r="CD606" s="2">
        <v>20.377620340279801</v>
      </c>
      <c r="CE606" s="2">
        <v>19.977526372915001</v>
      </c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</row>
    <row r="607" spans="1:97">
      <c r="A607" s="2" t="s">
        <v>5967</v>
      </c>
      <c r="B607" s="2">
        <v>357.27828</v>
      </c>
      <c r="C607" s="2">
        <v>9.5389999999999997</v>
      </c>
      <c r="D607" s="2" t="s">
        <v>84</v>
      </c>
      <c r="E607" s="2" t="s">
        <v>5968</v>
      </c>
      <c r="F607" s="2" t="s">
        <v>5968</v>
      </c>
      <c r="G607" s="2">
        <v>2026</v>
      </c>
      <c r="H607" s="3" t="str">
        <f>HYPERLINK("https://cloud.oebiotech.com/#/lm/network/2026", "https://cloud.oebiotech.com/#/lm/network/2026")</f>
        <v>https://cloud.oebiotech.com/#/lm/network/2026</v>
      </c>
      <c r="I607" s="2"/>
      <c r="J607" s="2"/>
      <c r="K607" s="2" t="s">
        <v>5969</v>
      </c>
      <c r="L607" s="2"/>
      <c r="M607" s="2"/>
      <c r="N607" s="2"/>
      <c r="O607" s="2"/>
      <c r="P607" s="2"/>
      <c r="Q607" s="2"/>
      <c r="R607" s="2"/>
      <c r="S607" s="2"/>
      <c r="T607" s="2" t="s">
        <v>5970</v>
      </c>
      <c r="U607" s="2" t="s">
        <v>5971</v>
      </c>
      <c r="V607" s="2" t="s">
        <v>95</v>
      </c>
      <c r="W607" s="2" t="s">
        <v>96</v>
      </c>
      <c r="X607" s="2" t="s">
        <v>141</v>
      </c>
      <c r="Y607" s="2" t="s">
        <v>98</v>
      </c>
      <c r="Z607" s="2" t="s">
        <v>99</v>
      </c>
      <c r="AA607" s="2" t="s">
        <v>142</v>
      </c>
      <c r="AB607" s="2" t="s">
        <v>5118</v>
      </c>
      <c r="AC607" s="2">
        <v>56.33</v>
      </c>
      <c r="AD607" s="2">
        <v>97.09</v>
      </c>
      <c r="AE607" s="2">
        <v>94.94</v>
      </c>
      <c r="AF607" s="2" t="s">
        <v>5972</v>
      </c>
      <c r="AG607" s="2" t="s">
        <v>1088</v>
      </c>
      <c r="AH607" s="2" t="s">
        <v>1523</v>
      </c>
      <c r="AI607" s="2">
        <v>3.08</v>
      </c>
      <c r="AJ607" s="2">
        <v>21.548435161813799</v>
      </c>
      <c r="AK607" s="2">
        <v>21.629977612976401</v>
      </c>
      <c r="AL607" s="2">
        <v>21.2929353713956</v>
      </c>
      <c r="AM607" s="2">
        <v>21.5702126786191</v>
      </c>
      <c r="AN607" s="2">
        <v>21.571944042498099</v>
      </c>
      <c r="AO607" s="2">
        <v>20.229836788406399</v>
      </c>
      <c r="AP607" s="2">
        <v>21.151574277661702</v>
      </c>
      <c r="AQ607" s="2">
        <v>21.5858434020397</v>
      </c>
      <c r="AR607" s="2">
        <v>18.613183742900102</v>
      </c>
      <c r="AS607" s="2">
        <v>17.1646889507835</v>
      </c>
      <c r="AT607" s="2">
        <v>18.988757320015299</v>
      </c>
      <c r="AU607" s="2">
        <v>21.021487006579001</v>
      </c>
      <c r="AV607" s="2">
        <v>20.726941921810301</v>
      </c>
      <c r="AW607" s="2">
        <v>22.126426708609301</v>
      </c>
      <c r="AX607" s="2">
        <v>16.631607082559601</v>
      </c>
      <c r="AY607" s="2">
        <v>22.2538156088271</v>
      </c>
      <c r="AZ607" s="2">
        <v>20.4359382796308</v>
      </c>
      <c r="BA607" s="2">
        <v>20.286379141779001</v>
      </c>
      <c r="BB607" s="2">
        <v>20.6082770155326</v>
      </c>
      <c r="BC607" s="2">
        <v>22.542193140725701</v>
      </c>
      <c r="BD607" s="2">
        <v>18.724655533716</v>
      </c>
      <c r="BE607" s="2">
        <v>22.942972045558498</v>
      </c>
      <c r="BF607" s="2">
        <v>18.915138373392601</v>
      </c>
      <c r="BG607" s="2">
        <v>22.195864442021399</v>
      </c>
      <c r="BH607" s="2">
        <v>17.8212997101894</v>
      </c>
      <c r="BI607" s="2">
        <v>21.4933663221356</v>
      </c>
      <c r="BJ607" s="2">
        <v>22.0977763180213</v>
      </c>
      <c r="BK607" s="2">
        <v>22.5380849510227</v>
      </c>
      <c r="BL607" s="2">
        <v>20.0862177097579</v>
      </c>
      <c r="BM607" s="2">
        <v>19.838353440366301</v>
      </c>
      <c r="BN607" s="2">
        <v>19.944640335664701</v>
      </c>
      <c r="BO607" s="2">
        <v>20.924161966643101</v>
      </c>
      <c r="BP607" s="2">
        <v>20.568029199914701</v>
      </c>
      <c r="BQ607" s="2">
        <v>22.2681199136209</v>
      </c>
      <c r="BR607" s="2">
        <v>18.111533465285799</v>
      </c>
      <c r="BS607" s="2">
        <v>22.528892826815198</v>
      </c>
      <c r="BT607" s="2">
        <v>17.940876294479299</v>
      </c>
      <c r="BU607" s="2">
        <v>19.719996551079898</v>
      </c>
      <c r="BV607" s="2">
        <v>21.538498691739399</v>
      </c>
      <c r="BW607" s="2">
        <v>20.173779682182101</v>
      </c>
      <c r="BX607" s="2">
        <v>19.093591288084799</v>
      </c>
      <c r="BY607" s="2">
        <v>22.3760885447955</v>
      </c>
      <c r="BZ607" s="2">
        <v>19.0813214888577</v>
      </c>
      <c r="CA607" s="2">
        <v>21.2144948823391</v>
      </c>
      <c r="CB607" s="2">
        <v>21.311386693621898</v>
      </c>
      <c r="CC607" s="2">
        <v>21.599554218116701</v>
      </c>
      <c r="CD607" s="2">
        <v>20.756342800041001</v>
      </c>
      <c r="CE607" s="2">
        <v>22.730053246109701</v>
      </c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</row>
    <row r="608" spans="1:97">
      <c r="A608" s="2" t="s">
        <v>5973</v>
      </c>
      <c r="B608" s="2">
        <v>165.09169</v>
      </c>
      <c r="C608" s="2">
        <v>5.774</v>
      </c>
      <c r="D608" s="2" t="s">
        <v>146</v>
      </c>
      <c r="E608" s="2" t="s">
        <v>5974</v>
      </c>
      <c r="F608" s="2" t="s">
        <v>5975</v>
      </c>
      <c r="G608" s="2">
        <v>62364</v>
      </c>
      <c r="H608" s="3" t="str">
        <f>HYPERLINK("https://cloud.oebiotech.com/#/lm/network/62364", "https://cloud.oebiotech.com/#/lm/network/62364")</f>
        <v>https://cloud.oebiotech.com/#/lm/network/62364</v>
      </c>
      <c r="I608" s="2" t="s">
        <v>5976</v>
      </c>
      <c r="J608" s="2"/>
      <c r="K608" s="2"/>
      <c r="L608" s="2">
        <v>73120805</v>
      </c>
      <c r="M608" s="2"/>
      <c r="N608" s="2"/>
      <c r="O608" s="2"/>
      <c r="P608" s="2"/>
      <c r="Q608" s="2"/>
      <c r="R608" s="2"/>
      <c r="S608" s="2" t="s">
        <v>5977</v>
      </c>
      <c r="T608" s="2" t="s">
        <v>5978</v>
      </c>
      <c r="U608" s="2" t="s">
        <v>5979</v>
      </c>
      <c r="V608" s="2" t="s">
        <v>95</v>
      </c>
      <c r="W608" s="2" t="s">
        <v>180</v>
      </c>
      <c r="X608" s="2" t="s">
        <v>5048</v>
      </c>
      <c r="Y608" s="2" t="s">
        <v>98</v>
      </c>
      <c r="Z608" s="2" t="s">
        <v>182</v>
      </c>
      <c r="AA608" s="2" t="s">
        <v>5049</v>
      </c>
      <c r="AB608" s="2" t="s">
        <v>3086</v>
      </c>
      <c r="AC608" s="2">
        <v>56.32</v>
      </c>
      <c r="AD608" s="2">
        <v>93.87</v>
      </c>
      <c r="AE608" s="2">
        <v>0</v>
      </c>
      <c r="AF608" s="2" t="s">
        <v>5614</v>
      </c>
      <c r="AG608" s="2" t="s">
        <v>993</v>
      </c>
      <c r="AH608" s="2" t="s">
        <v>5980</v>
      </c>
      <c r="AI608" s="2">
        <v>-0.61</v>
      </c>
      <c r="AJ608" s="2">
        <v>16.6435573349771</v>
      </c>
      <c r="AK608" s="2">
        <v>16.887364025671701</v>
      </c>
      <c r="AL608" s="2">
        <v>16.857445885154199</v>
      </c>
      <c r="AM608" s="2">
        <v>17.160639711671401</v>
      </c>
      <c r="AN608" s="2">
        <v>16.531052734734299</v>
      </c>
      <c r="AO608" s="2">
        <v>16.657226324085102</v>
      </c>
      <c r="AP608" s="2">
        <v>17.285624010395399</v>
      </c>
      <c r="AQ608" s="2">
        <v>17.181324176323901</v>
      </c>
      <c r="AR608" s="2">
        <v>14.636862482497</v>
      </c>
      <c r="AS608" s="2">
        <v>14.970069031656401</v>
      </c>
      <c r="AT608" s="2">
        <v>15.012692185431099</v>
      </c>
      <c r="AU608" s="2">
        <v>16.497338858196699</v>
      </c>
      <c r="AV608" s="2">
        <v>16.2965129728892</v>
      </c>
      <c r="AW608" s="2">
        <v>17.301075031894602</v>
      </c>
      <c r="AX608" s="2">
        <v>16.686101881646699</v>
      </c>
      <c r="AY608" s="2">
        <v>18.608024978121701</v>
      </c>
      <c r="AZ608" s="2">
        <v>16.369067006588299</v>
      </c>
      <c r="BA608" s="2">
        <v>16.738079985468602</v>
      </c>
      <c r="BB608" s="2">
        <v>17.1589271755625</v>
      </c>
      <c r="BC608" s="2">
        <v>15.3098884123677</v>
      </c>
      <c r="BD608" s="2">
        <v>15.969759514124201</v>
      </c>
      <c r="BE608" s="2">
        <v>17.182551286065099</v>
      </c>
      <c r="BF608" s="2">
        <v>16.854816287162599</v>
      </c>
      <c r="BG608" s="2">
        <v>15.390160221525999</v>
      </c>
      <c r="BH608" s="2">
        <v>15.4570662813327</v>
      </c>
      <c r="BI608" s="2">
        <v>16.001977023103102</v>
      </c>
      <c r="BJ608" s="2">
        <v>16.839450475141501</v>
      </c>
      <c r="BK608" s="2">
        <v>12.6887726450414</v>
      </c>
      <c r="BL608" s="2">
        <v>14.447394519185501</v>
      </c>
      <c r="BM608" s="2">
        <v>16.274585631305399</v>
      </c>
      <c r="BN608" s="2">
        <v>16.5847034486615</v>
      </c>
      <c r="BO608" s="2">
        <v>15.5479861938565</v>
      </c>
      <c r="BP608" s="2">
        <v>15.480284058514499</v>
      </c>
      <c r="BQ608" s="2">
        <v>17.670438832755501</v>
      </c>
      <c r="BR608" s="2">
        <v>16.450025231618699</v>
      </c>
      <c r="BS608" s="2">
        <v>18.251838851839199</v>
      </c>
      <c r="BT608" s="2">
        <v>17.458331070357101</v>
      </c>
      <c r="BU608" s="2">
        <v>17.632014182527101</v>
      </c>
      <c r="BV608" s="2">
        <v>17.203789313431599</v>
      </c>
      <c r="BW608" s="2">
        <v>15.136706805238701</v>
      </c>
      <c r="BX608" s="2">
        <v>14.4866904934792</v>
      </c>
      <c r="BY608" s="2">
        <v>19.256448120977399</v>
      </c>
      <c r="BZ608" s="2">
        <v>16.056591148500601</v>
      </c>
      <c r="CA608" s="2">
        <v>16.071149336849501</v>
      </c>
      <c r="CB608" s="2">
        <v>16.891785838785001</v>
      </c>
      <c r="CC608" s="2">
        <v>16.258784629791201</v>
      </c>
      <c r="CD608" s="2">
        <v>17.0102800448634</v>
      </c>
      <c r="CE608" s="2">
        <v>15.202027758329701</v>
      </c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</row>
    <row r="609" spans="1:97">
      <c r="A609" s="2" t="s">
        <v>5981</v>
      </c>
      <c r="B609" s="2">
        <v>245.0429</v>
      </c>
      <c r="C609" s="2">
        <v>0.71799999999999997</v>
      </c>
      <c r="D609" s="2" t="s">
        <v>146</v>
      </c>
      <c r="E609" s="2" t="s">
        <v>5982</v>
      </c>
      <c r="F609" s="2" t="s">
        <v>4983</v>
      </c>
      <c r="G609" s="2">
        <v>197058</v>
      </c>
      <c r="H609" s="3" t="str">
        <f>HYPERLINK("https://cloud.oebiotech.com/#/lm/network/197058", "https://cloud.oebiotech.com/#/lm/network/197058")</f>
        <v>https://cloud.oebiotech.com/#/lm/network/197058</v>
      </c>
      <c r="I609" s="2" t="s">
        <v>5983</v>
      </c>
      <c r="J609" s="2"/>
      <c r="K609" s="2"/>
      <c r="L609" s="2">
        <v>54575349</v>
      </c>
      <c r="M609" s="2"/>
      <c r="N609" s="2"/>
      <c r="O609" s="2"/>
      <c r="P609" s="2">
        <v>64956</v>
      </c>
      <c r="Q609" s="2"/>
      <c r="R609" s="2"/>
      <c r="S609" s="2" t="s">
        <v>5984</v>
      </c>
      <c r="T609" s="2" t="s">
        <v>5985</v>
      </c>
      <c r="U609" s="2" t="s">
        <v>5986</v>
      </c>
      <c r="V609" s="2" t="s">
        <v>115</v>
      </c>
      <c r="W609" s="2" t="s">
        <v>4566</v>
      </c>
      <c r="X609" s="2" t="s">
        <v>4567</v>
      </c>
      <c r="Y609" s="2" t="s">
        <v>118</v>
      </c>
      <c r="Z609" s="2" t="s">
        <v>4568</v>
      </c>
      <c r="AA609" s="2" t="s">
        <v>4569</v>
      </c>
      <c r="AB609" s="2" t="s">
        <v>3086</v>
      </c>
      <c r="AC609" s="2">
        <v>56.28</v>
      </c>
      <c r="AD609" s="2">
        <v>95.69</v>
      </c>
      <c r="AE609" s="2">
        <v>0</v>
      </c>
      <c r="AF609" s="2" t="s">
        <v>5614</v>
      </c>
      <c r="AG609" s="2" t="s">
        <v>194</v>
      </c>
      <c r="AH609" s="2" t="s">
        <v>5987</v>
      </c>
      <c r="AI609" s="2">
        <v>1.22</v>
      </c>
      <c r="AJ609" s="2">
        <v>18.6722433844532</v>
      </c>
      <c r="AK609" s="2">
        <v>18.448833053568698</v>
      </c>
      <c r="AL609" s="2">
        <v>18.9388588117694</v>
      </c>
      <c r="AM609" s="2">
        <v>18.687369600199101</v>
      </c>
      <c r="AN609" s="2">
        <v>18.263985454453898</v>
      </c>
      <c r="AO609" s="2">
        <v>18.6788850506621</v>
      </c>
      <c r="AP609" s="2">
        <v>18.652131885069501</v>
      </c>
      <c r="AQ609" s="2">
        <v>18.777353411779998</v>
      </c>
      <c r="AR609" s="2">
        <v>19.396970981279399</v>
      </c>
      <c r="AS609" s="2">
        <v>9.6233145402724691</v>
      </c>
      <c r="AT609" s="2">
        <v>18.1245373517155</v>
      </c>
      <c r="AU609" s="2">
        <v>18.152081889616198</v>
      </c>
      <c r="AV609" s="2">
        <v>19.012758492353601</v>
      </c>
      <c r="AW609" s="2">
        <v>19.274961063438798</v>
      </c>
      <c r="AX609" s="2">
        <v>19.413911020398899</v>
      </c>
      <c r="AY609" s="2">
        <v>16.653285247032201</v>
      </c>
      <c r="AZ609" s="2">
        <v>18.426058527165299</v>
      </c>
      <c r="BA609" s="2">
        <v>18.868357774920899</v>
      </c>
      <c r="BB609" s="2">
        <v>18.980068099524601</v>
      </c>
      <c r="BC609" s="2">
        <v>18.283426761584</v>
      </c>
      <c r="BD609" s="2">
        <v>17.8570156488727</v>
      </c>
      <c r="BE609" s="2">
        <v>17.2384735023183</v>
      </c>
      <c r="BF609" s="2">
        <v>18.576476301293098</v>
      </c>
      <c r="BG609" s="2">
        <v>18.6499644799561</v>
      </c>
      <c r="BH609" s="2">
        <v>17.705507522965501</v>
      </c>
      <c r="BI609" s="2">
        <v>18.912435909010298</v>
      </c>
      <c r="BJ609" s="2">
        <v>19.314729977363299</v>
      </c>
      <c r="BK609" s="2">
        <v>18.029440861063801</v>
      </c>
      <c r="BL609" s="2">
        <v>16.296380687590499</v>
      </c>
      <c r="BM609" s="2">
        <v>18.952034614441001</v>
      </c>
      <c r="BN609" s="2">
        <v>19.094888808579299</v>
      </c>
      <c r="BO609" s="2">
        <v>19.025325922868799</v>
      </c>
      <c r="BP609" s="2">
        <v>19.2141145338007</v>
      </c>
      <c r="BQ609" s="2">
        <v>18.857587061701398</v>
      </c>
      <c r="BR609" s="2">
        <v>19.3473382452766</v>
      </c>
      <c r="BS609" s="2">
        <v>18.5364897696528</v>
      </c>
      <c r="BT609" s="2">
        <v>18.3083705407495</v>
      </c>
      <c r="BU609" s="2">
        <v>19.422386308653099</v>
      </c>
      <c r="BV609" s="2">
        <v>19.1013454208212</v>
      </c>
      <c r="BW609" s="2">
        <v>16.578101688811699</v>
      </c>
      <c r="BX609" s="2">
        <v>18.882866363734198</v>
      </c>
      <c r="BY609" s="2">
        <v>18.6116047004762</v>
      </c>
      <c r="BZ609" s="2">
        <v>17.6642754653823</v>
      </c>
      <c r="CA609" s="2">
        <v>18.404287652543498</v>
      </c>
      <c r="CB609" s="2">
        <v>16.449924994404899</v>
      </c>
      <c r="CC609" s="2">
        <v>18.377364757634201</v>
      </c>
      <c r="CD609" s="2">
        <v>18.897019236622199</v>
      </c>
      <c r="CE609" s="2">
        <v>18.2755085470165</v>
      </c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</row>
    <row r="610" spans="1:97">
      <c r="A610" s="2" t="s">
        <v>5988</v>
      </c>
      <c r="B610" s="2">
        <v>171.11259000000001</v>
      </c>
      <c r="C610" s="2">
        <v>1.121</v>
      </c>
      <c r="D610" s="2" t="s">
        <v>84</v>
      </c>
      <c r="E610" s="2" t="s">
        <v>5989</v>
      </c>
      <c r="F610" s="2" t="s">
        <v>5990</v>
      </c>
      <c r="G610" s="2">
        <v>273773</v>
      </c>
      <c r="H610" s="3" t="str">
        <f>HYPERLINK("https://cloud.oebiotech.com/#/lm/network/273773", "https://cloud.oebiotech.com/#/lm/network/273773")</f>
        <v>https://cloud.oebiotech.com/#/lm/network/273773</v>
      </c>
      <c r="I610" s="2" t="s">
        <v>5991</v>
      </c>
      <c r="J610" s="2">
        <v>63102</v>
      </c>
      <c r="K610" s="2"/>
      <c r="L610" s="2">
        <v>192590</v>
      </c>
      <c r="M610" s="2" t="s">
        <v>5992</v>
      </c>
      <c r="N610" s="2"/>
      <c r="O610" s="2"/>
      <c r="P610" s="2"/>
      <c r="Q610" s="2"/>
      <c r="R610" s="2"/>
      <c r="S610" s="2" t="s">
        <v>5993</v>
      </c>
      <c r="T610" s="2" t="s">
        <v>5994</v>
      </c>
      <c r="U610" s="2" t="s">
        <v>5995</v>
      </c>
      <c r="V610" s="2" t="s">
        <v>115</v>
      </c>
      <c r="W610" s="2" t="s">
        <v>116</v>
      </c>
      <c r="X610" s="2" t="s">
        <v>117</v>
      </c>
      <c r="Y610" s="2" t="s">
        <v>118</v>
      </c>
      <c r="Z610" s="2" t="s">
        <v>119</v>
      </c>
      <c r="AA610" s="2" t="s">
        <v>120</v>
      </c>
      <c r="AB610" s="2" t="s">
        <v>3086</v>
      </c>
      <c r="AC610" s="2">
        <v>56.27</v>
      </c>
      <c r="AD610" s="2">
        <v>99.21</v>
      </c>
      <c r="AE610" s="2">
        <v>33.97</v>
      </c>
      <c r="AF610" s="2" t="s">
        <v>5996</v>
      </c>
      <c r="AG610" s="2" t="s">
        <v>1088</v>
      </c>
      <c r="AH610" s="2" t="s">
        <v>4944</v>
      </c>
      <c r="AI610" s="2">
        <v>4.68</v>
      </c>
      <c r="AJ610" s="2">
        <v>23.945002088393998</v>
      </c>
      <c r="AK610" s="2">
        <v>24.171443763244</v>
      </c>
      <c r="AL610" s="2">
        <v>24.5571157244764</v>
      </c>
      <c r="AM610" s="2">
        <v>24.503835003159399</v>
      </c>
      <c r="AN610" s="2">
        <v>24.5943850052813</v>
      </c>
      <c r="AO610" s="2">
        <v>24.550550093239899</v>
      </c>
      <c r="AP610" s="2">
        <v>24.545047053706899</v>
      </c>
      <c r="AQ610" s="2">
        <v>24.585853551380499</v>
      </c>
      <c r="AR610" s="2">
        <v>23.877955338412601</v>
      </c>
      <c r="AS610" s="2">
        <v>23.5296874043818</v>
      </c>
      <c r="AT610" s="2">
        <v>24.0584767786466</v>
      </c>
      <c r="AU610" s="2">
        <v>22.966268138589498</v>
      </c>
      <c r="AV610" s="2">
        <v>24.204187527399299</v>
      </c>
      <c r="AW610" s="2">
        <v>24.311708754783201</v>
      </c>
      <c r="AX610" s="2">
        <v>24.7621813853176</v>
      </c>
      <c r="AY610" s="2">
        <v>24.3937227084248</v>
      </c>
      <c r="AZ610" s="2">
        <v>24.476883504067398</v>
      </c>
      <c r="BA610" s="2">
        <v>23.4139440161394</v>
      </c>
      <c r="BB610" s="2">
        <v>24.507247883059801</v>
      </c>
      <c r="BC610" s="2">
        <v>22.676749244706699</v>
      </c>
      <c r="BD610" s="2">
        <v>23.8127219151893</v>
      </c>
      <c r="BE610" s="2">
        <v>24.422293234423901</v>
      </c>
      <c r="BF610" s="2">
        <v>23.8808713890548</v>
      </c>
      <c r="BG610" s="2">
        <v>24.8535348023238</v>
      </c>
      <c r="BH610" s="2">
        <v>24.666038401564901</v>
      </c>
      <c r="BI610" s="2">
        <v>24.389631893256102</v>
      </c>
      <c r="BJ610" s="2">
        <v>24.803902700526699</v>
      </c>
      <c r="BK610" s="2">
        <v>24.261020521525399</v>
      </c>
      <c r="BL610" s="2">
        <v>23.8109872303292</v>
      </c>
      <c r="BM610" s="2">
        <v>24.113070498059098</v>
      </c>
      <c r="BN610" s="2">
        <v>24.673264128466901</v>
      </c>
      <c r="BO610" s="2">
        <v>24.259109306418001</v>
      </c>
      <c r="BP610" s="2">
        <v>24.9121027777812</v>
      </c>
      <c r="BQ610" s="2">
        <v>24.202558673575801</v>
      </c>
      <c r="BR610" s="2">
        <v>24.339796308647099</v>
      </c>
      <c r="BS610" s="2">
        <v>24.128852513361799</v>
      </c>
      <c r="BT610" s="2">
        <v>23.727004621238201</v>
      </c>
      <c r="BU610" s="2">
        <v>23.7925822339453</v>
      </c>
      <c r="BV610" s="2">
        <v>23.750046293820098</v>
      </c>
      <c r="BW610" s="2">
        <v>23.869878210181199</v>
      </c>
      <c r="BX610" s="2">
        <v>24.4319966686583</v>
      </c>
      <c r="BY610" s="2">
        <v>25.6093340004984</v>
      </c>
      <c r="BZ610" s="2">
        <v>24.127552913969701</v>
      </c>
      <c r="CA610" s="2">
        <v>24.842146300098999</v>
      </c>
      <c r="CB610" s="2">
        <v>24.964863781627699</v>
      </c>
      <c r="CC610" s="2">
        <v>24.369921782586701</v>
      </c>
      <c r="CD610" s="2">
        <v>25.565178384383799</v>
      </c>
      <c r="CE610" s="2">
        <v>24.712770484826599</v>
      </c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</row>
    <row r="611" spans="1:97">
      <c r="A611" s="2" t="s">
        <v>5997</v>
      </c>
      <c r="B611" s="2">
        <v>213.01687999999999</v>
      </c>
      <c r="C611" s="2">
        <v>0.71699999999999997</v>
      </c>
      <c r="D611" s="2" t="s">
        <v>146</v>
      </c>
      <c r="E611" s="2" t="s">
        <v>5998</v>
      </c>
      <c r="F611" s="2" t="s">
        <v>5999</v>
      </c>
      <c r="G611" s="2">
        <v>47353</v>
      </c>
      <c r="H611" s="3" t="str">
        <f>HYPERLINK("https://cloud.oebiotech.com/#/lm/network/47353", "https://cloud.oebiotech.com/#/lm/network/47353")</f>
        <v>https://cloud.oebiotech.com/#/lm/network/47353</v>
      </c>
      <c r="I611" s="2" t="s">
        <v>6000</v>
      </c>
      <c r="J611" s="2">
        <v>63109</v>
      </c>
      <c r="K611" s="2"/>
      <c r="L611" s="2">
        <v>45934311</v>
      </c>
      <c r="M611" s="2" t="s">
        <v>6001</v>
      </c>
      <c r="N611" s="2" t="s">
        <v>658</v>
      </c>
      <c r="O611" s="2" t="s">
        <v>659</v>
      </c>
      <c r="P611" s="2">
        <v>16132</v>
      </c>
      <c r="Q611" s="2"/>
      <c r="R611" s="2"/>
      <c r="S611" s="2" t="s">
        <v>6002</v>
      </c>
      <c r="T611" s="2" t="s">
        <v>6003</v>
      </c>
      <c r="U611" s="2" t="s">
        <v>6004</v>
      </c>
      <c r="V611" s="2" t="s">
        <v>338</v>
      </c>
      <c r="W611" s="2" t="s">
        <v>339</v>
      </c>
      <c r="X611" s="2" t="s">
        <v>663</v>
      </c>
      <c r="Y611" s="2" t="s">
        <v>341</v>
      </c>
      <c r="Z611" s="2" t="s">
        <v>341</v>
      </c>
      <c r="AA611" s="2" t="s">
        <v>664</v>
      </c>
      <c r="AB611" s="2" t="s">
        <v>3086</v>
      </c>
      <c r="AC611" s="2">
        <v>56.26</v>
      </c>
      <c r="AD611" s="2">
        <v>96.35</v>
      </c>
      <c r="AE611" s="2">
        <v>0</v>
      </c>
      <c r="AF611" s="2" t="s">
        <v>5614</v>
      </c>
      <c r="AG611" s="2" t="s">
        <v>194</v>
      </c>
      <c r="AH611" s="2" t="s">
        <v>6005</v>
      </c>
      <c r="AI611" s="2">
        <v>0.47</v>
      </c>
      <c r="AJ611" s="2">
        <v>21.337241208686802</v>
      </c>
      <c r="AK611" s="2">
        <v>21.461595610415699</v>
      </c>
      <c r="AL611" s="2">
        <v>20.8355191365482</v>
      </c>
      <c r="AM611" s="2">
        <v>20.586294838003202</v>
      </c>
      <c r="AN611" s="2">
        <v>20.908487222403998</v>
      </c>
      <c r="AO611" s="2">
        <v>20.537342890644499</v>
      </c>
      <c r="AP611" s="2">
        <v>20.8521957128475</v>
      </c>
      <c r="AQ611" s="2">
        <v>20.726375547969401</v>
      </c>
      <c r="AR611" s="2">
        <v>20.230483685207801</v>
      </c>
      <c r="AS611" s="2">
        <v>19.466081979381901</v>
      </c>
      <c r="AT611" s="2">
        <v>19.981797896457799</v>
      </c>
      <c r="AU611" s="2">
        <v>19.913165225626202</v>
      </c>
      <c r="AV611" s="2">
        <v>20.755603897241201</v>
      </c>
      <c r="AW611" s="2">
        <v>20.291456978651301</v>
      </c>
      <c r="AX611" s="2">
        <v>19.978693773045102</v>
      </c>
      <c r="AY611" s="2">
        <v>20.515187025784002</v>
      </c>
      <c r="AZ611" s="2">
        <v>20.522926431430101</v>
      </c>
      <c r="BA611" s="2">
        <v>20.727596342099002</v>
      </c>
      <c r="BB611" s="2">
        <v>20.365347589928401</v>
      </c>
      <c r="BC611" s="2">
        <v>20.503602046102401</v>
      </c>
      <c r="BD611" s="2">
        <v>19.9488383742972</v>
      </c>
      <c r="BE611" s="2">
        <v>21.405928897330899</v>
      </c>
      <c r="BF611" s="2">
        <v>20.526546662753798</v>
      </c>
      <c r="BG611" s="2">
        <v>19.6138889908568</v>
      </c>
      <c r="BH611" s="2">
        <v>20.6402828060464</v>
      </c>
      <c r="BI611" s="2">
        <v>20.279367355575701</v>
      </c>
      <c r="BJ611" s="2">
        <v>20.954272163615499</v>
      </c>
      <c r="BK611" s="2">
        <v>21.618833608559999</v>
      </c>
      <c r="BL611" s="2">
        <v>20.4667612076951</v>
      </c>
      <c r="BM611" s="2">
        <v>20.799621420887998</v>
      </c>
      <c r="BN611" s="2">
        <v>20.542593102149699</v>
      </c>
      <c r="BO611" s="2">
        <v>20.5816587176576</v>
      </c>
      <c r="BP611" s="2">
        <v>20.678264375256202</v>
      </c>
      <c r="BQ611" s="2">
        <v>20.148588630485101</v>
      </c>
      <c r="BR611" s="2">
        <v>20.3124281980067</v>
      </c>
      <c r="BS611" s="2">
        <v>21.6874515594284</v>
      </c>
      <c r="BT611" s="2">
        <v>20.057852572442901</v>
      </c>
      <c r="BU611" s="2">
        <v>20.0288675887873</v>
      </c>
      <c r="BV611" s="2">
        <v>19.8263485766876</v>
      </c>
      <c r="BW611" s="2">
        <v>20.449490646687</v>
      </c>
      <c r="BX611" s="2">
        <v>20.3618326754818</v>
      </c>
      <c r="BY611" s="2">
        <v>20.614964588438799</v>
      </c>
      <c r="BZ611" s="2">
        <v>21.184953228734301</v>
      </c>
      <c r="CA611" s="2">
        <v>21.777094970707601</v>
      </c>
      <c r="CB611" s="2">
        <v>20.035492438524301</v>
      </c>
      <c r="CC611" s="2">
        <v>20.641886770263401</v>
      </c>
      <c r="CD611" s="2">
        <v>19.653959379333202</v>
      </c>
      <c r="CE611" s="2">
        <v>21.705291621271101</v>
      </c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</row>
    <row r="612" spans="1:97">
      <c r="A612" s="2" t="s">
        <v>6006</v>
      </c>
      <c r="B612" s="2">
        <v>301.11876000000001</v>
      </c>
      <c r="C612" s="2">
        <v>5.7080000000000002</v>
      </c>
      <c r="D612" s="2" t="s">
        <v>84</v>
      </c>
      <c r="E612" s="2" t="s">
        <v>6007</v>
      </c>
      <c r="F612" s="2" t="s">
        <v>6008</v>
      </c>
      <c r="G612" s="2">
        <v>199349</v>
      </c>
      <c r="H612" s="3" t="str">
        <f>HYPERLINK("https://cloud.oebiotech.com/#/lm/network/199349", "https://cloud.oebiotech.com/#/lm/network/199349")</f>
        <v>https://cloud.oebiotech.com/#/lm/network/199349</v>
      </c>
      <c r="I612" s="2" t="s">
        <v>6009</v>
      </c>
      <c r="J612" s="2"/>
      <c r="K612" s="2"/>
      <c r="L612" s="2">
        <v>71700183</v>
      </c>
      <c r="M612" s="2"/>
      <c r="N612" s="2"/>
      <c r="O612" s="2"/>
      <c r="P612" s="2"/>
      <c r="Q612" s="2"/>
      <c r="R612" s="2"/>
      <c r="S612" s="2"/>
      <c r="T612" s="2" t="s">
        <v>6010</v>
      </c>
      <c r="U612" s="2" t="s">
        <v>6011</v>
      </c>
      <c r="V612" s="2" t="s">
        <v>553</v>
      </c>
      <c r="W612" s="2" t="s">
        <v>2447</v>
      </c>
      <c r="X612" s="2" t="s">
        <v>2448</v>
      </c>
      <c r="Y612" s="2" t="s">
        <v>556</v>
      </c>
      <c r="Z612" s="2" t="s">
        <v>2449</v>
      </c>
      <c r="AA612" s="2" t="s">
        <v>2450</v>
      </c>
      <c r="AB612" s="2" t="s">
        <v>3086</v>
      </c>
      <c r="AC612" s="2">
        <v>56.22</v>
      </c>
      <c r="AD612" s="2">
        <v>96.22</v>
      </c>
      <c r="AE612" s="2">
        <v>0</v>
      </c>
      <c r="AF612" s="2" t="s">
        <v>5614</v>
      </c>
      <c r="AG612" s="2" t="s">
        <v>103</v>
      </c>
      <c r="AH612" s="2" t="s">
        <v>6012</v>
      </c>
      <c r="AI612" s="2">
        <v>-1.66</v>
      </c>
      <c r="AJ612" s="2">
        <v>20.146183360041199</v>
      </c>
      <c r="AK612" s="2">
        <v>20.275631325985302</v>
      </c>
      <c r="AL612" s="2">
        <v>20.1239832196473</v>
      </c>
      <c r="AM612" s="2">
        <v>20.373818152374</v>
      </c>
      <c r="AN612" s="2">
        <v>20.480239596891</v>
      </c>
      <c r="AO612" s="2">
        <v>20.6732966863207</v>
      </c>
      <c r="AP612" s="2">
        <v>20.588024520968599</v>
      </c>
      <c r="AQ612" s="2">
        <v>20.548905789981799</v>
      </c>
      <c r="AR612" s="2">
        <v>18.587811460919099</v>
      </c>
      <c r="AS612" s="2">
        <v>19.636897839876699</v>
      </c>
      <c r="AT612" s="2">
        <v>20.328380050865601</v>
      </c>
      <c r="AU612" s="2">
        <v>17.790420601699399</v>
      </c>
      <c r="AV612" s="2">
        <v>19.469655588050198</v>
      </c>
      <c r="AW612" s="2">
        <v>20.062452560681599</v>
      </c>
      <c r="AX612" s="2">
        <v>20.270781827743502</v>
      </c>
      <c r="AY612" s="2">
        <v>20.0921492454803</v>
      </c>
      <c r="AZ612" s="2">
        <v>18.836159608631601</v>
      </c>
      <c r="BA612" s="2">
        <v>19.490106493550702</v>
      </c>
      <c r="BB612" s="2">
        <v>20.585880825052602</v>
      </c>
      <c r="BC612" s="2">
        <v>20.6902477363674</v>
      </c>
      <c r="BD612" s="2">
        <v>19.192556961660099</v>
      </c>
      <c r="BE612" s="2">
        <v>21.7645522452727</v>
      </c>
      <c r="BF612" s="2">
        <v>19.0531715415636</v>
      </c>
      <c r="BG612" s="2">
        <v>20.991709009012599</v>
      </c>
      <c r="BH612" s="2">
        <v>20.250767760636698</v>
      </c>
      <c r="BI612" s="2">
        <v>20.523916621442002</v>
      </c>
      <c r="BJ612" s="2">
        <v>21.295531669066701</v>
      </c>
      <c r="BK612" s="2">
        <v>19.268296227421601</v>
      </c>
      <c r="BL612" s="2">
        <v>19.7924452755353</v>
      </c>
      <c r="BM612" s="2">
        <v>18.293229637642501</v>
      </c>
      <c r="BN612" s="2">
        <v>19.9814466509299</v>
      </c>
      <c r="BO612" s="2">
        <v>20.5456355607833</v>
      </c>
      <c r="BP612" s="2">
        <v>20.490770287229399</v>
      </c>
      <c r="BQ612" s="2">
        <v>19.7087175409346</v>
      </c>
      <c r="BR612" s="2">
        <v>20.7609919375315</v>
      </c>
      <c r="BS612" s="2">
        <v>19.6649750108981</v>
      </c>
      <c r="BT612" s="2">
        <v>18.994226687172599</v>
      </c>
      <c r="BU612" s="2">
        <v>19.945028070587998</v>
      </c>
      <c r="BV612" s="2">
        <v>20.281880041902799</v>
      </c>
      <c r="BW612" s="2">
        <v>19.745637628603902</v>
      </c>
      <c r="BX612" s="2">
        <v>18.648877326287899</v>
      </c>
      <c r="BY612" s="2">
        <v>21.453556683034702</v>
      </c>
      <c r="BZ612" s="2">
        <v>18.937574771233798</v>
      </c>
      <c r="CA612" s="2">
        <v>20.092903930686202</v>
      </c>
      <c r="CB612" s="2">
        <v>20.947972854749999</v>
      </c>
      <c r="CC612" s="2">
        <v>19.216825061229098</v>
      </c>
      <c r="CD612" s="2">
        <v>21.150733861244198</v>
      </c>
      <c r="CE612" s="2">
        <v>20.078432582657399</v>
      </c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</row>
    <row r="613" spans="1:97">
      <c r="A613" s="2" t="s">
        <v>6013</v>
      </c>
      <c r="B613" s="2">
        <v>225.11275000000001</v>
      </c>
      <c r="C613" s="2">
        <v>5.468</v>
      </c>
      <c r="D613" s="2" t="s">
        <v>146</v>
      </c>
      <c r="E613" s="2" t="s">
        <v>6014</v>
      </c>
      <c r="F613" s="2" t="s">
        <v>6015</v>
      </c>
      <c r="G613" s="2">
        <v>534658</v>
      </c>
      <c r="H613" s="3" t="str">
        <f>HYPERLINK("https://cloud.oebiotech.com/#/lm/network/534658", "https://cloud.oebiotech.com/#/lm/network/534658")</f>
        <v>https://cloud.oebiotech.com/#/lm/network/534658</v>
      </c>
      <c r="I613" s="2"/>
      <c r="J613" s="2">
        <v>984907</v>
      </c>
      <c r="K613" s="2"/>
      <c r="L613" s="2">
        <v>13213508</v>
      </c>
      <c r="M613" s="2"/>
      <c r="N613" s="2"/>
      <c r="O613" s="2"/>
      <c r="P613" s="2"/>
      <c r="Q613" s="2"/>
      <c r="R613" s="2"/>
      <c r="S613" s="2"/>
      <c r="T613" s="2" t="s">
        <v>6016</v>
      </c>
      <c r="U613" s="2" t="s">
        <v>6017</v>
      </c>
      <c r="V613" s="2" t="s">
        <v>115</v>
      </c>
      <c r="W613" s="2" t="s">
        <v>403</v>
      </c>
      <c r="X613" s="2" t="s">
        <v>2031</v>
      </c>
      <c r="Y613" s="2" t="s">
        <v>118</v>
      </c>
      <c r="Z613" s="2" t="s">
        <v>405</v>
      </c>
      <c r="AA613" s="2" t="s">
        <v>2032</v>
      </c>
      <c r="AB613" s="2" t="s">
        <v>3086</v>
      </c>
      <c r="AC613" s="2">
        <v>56.18</v>
      </c>
      <c r="AD613" s="2">
        <v>92.65</v>
      </c>
      <c r="AE613" s="2">
        <v>0</v>
      </c>
      <c r="AF613" s="2" t="s">
        <v>5614</v>
      </c>
      <c r="AG613" s="2" t="s">
        <v>993</v>
      </c>
      <c r="AH613" s="2" t="s">
        <v>6018</v>
      </c>
      <c r="AI613" s="2">
        <v>-0.44</v>
      </c>
      <c r="AJ613" s="2">
        <v>17.859241939749399</v>
      </c>
      <c r="AK613" s="2">
        <v>17.4774623116162</v>
      </c>
      <c r="AL613" s="2">
        <v>17.417275746729501</v>
      </c>
      <c r="AM613" s="2">
        <v>17.310050983256499</v>
      </c>
      <c r="AN613" s="2">
        <v>17.1923408842379</v>
      </c>
      <c r="AO613" s="2">
        <v>17.4244575513824</v>
      </c>
      <c r="AP613" s="2">
        <v>17.4976371564875</v>
      </c>
      <c r="AQ613" s="2">
        <v>17.1331370937468</v>
      </c>
      <c r="AR613" s="2">
        <v>18.1256724695989</v>
      </c>
      <c r="AS613" s="2">
        <v>18.8662042709045</v>
      </c>
      <c r="AT613" s="2">
        <v>18.511427030211099</v>
      </c>
      <c r="AU613" s="2">
        <v>17.7219985895489</v>
      </c>
      <c r="AV613" s="2">
        <v>18.153477961460101</v>
      </c>
      <c r="AW613" s="2">
        <v>18.7069758181058</v>
      </c>
      <c r="AX613" s="2">
        <v>18.3621838631997</v>
      </c>
      <c r="AY613" s="2">
        <v>18.380783391399</v>
      </c>
      <c r="AZ613" s="2">
        <v>18.156474892273501</v>
      </c>
      <c r="BA613" s="2">
        <v>18.1384145564721</v>
      </c>
      <c r="BB613" s="2">
        <v>18.691475687503001</v>
      </c>
      <c r="BC613" s="2">
        <v>18.889481296351601</v>
      </c>
      <c r="BD613" s="2">
        <v>17.896906131986299</v>
      </c>
      <c r="BE613" s="2">
        <v>18.6781933541486</v>
      </c>
      <c r="BF613" s="2">
        <v>18.934396335036801</v>
      </c>
      <c r="BG613" s="2">
        <v>18.9371489850719</v>
      </c>
      <c r="BH613" s="2">
        <v>18.498683792174901</v>
      </c>
      <c r="BI613" s="2">
        <v>18.703429509862001</v>
      </c>
      <c r="BJ613" s="2">
        <v>17.667255022540601</v>
      </c>
      <c r="BK613" s="2">
        <v>18.041344511600599</v>
      </c>
      <c r="BL613" s="2">
        <v>18.4209707222997</v>
      </c>
      <c r="BM613" s="2">
        <v>18.3754322946372</v>
      </c>
      <c r="BN613" s="2">
        <v>17.602503076044702</v>
      </c>
      <c r="BO613" s="2">
        <v>17.5727647579394</v>
      </c>
      <c r="BP613" s="2">
        <v>18.325638233479001</v>
      </c>
      <c r="BQ613" s="2">
        <v>18.426580899365099</v>
      </c>
      <c r="BR613" s="2">
        <v>18.653614174926702</v>
      </c>
      <c r="BS613" s="2">
        <v>18.137417667455999</v>
      </c>
      <c r="BT613" s="2">
        <v>17.667589685516699</v>
      </c>
      <c r="BU613" s="2">
        <v>18.778553054123901</v>
      </c>
      <c r="BV613" s="2">
        <v>17.951969582059899</v>
      </c>
      <c r="BW613" s="2">
        <v>17.266592760680599</v>
      </c>
      <c r="BX613" s="2">
        <v>17.336306404067901</v>
      </c>
      <c r="BY613" s="2">
        <v>17.908657601107802</v>
      </c>
      <c r="BZ613" s="2">
        <v>18.2651998530058</v>
      </c>
      <c r="CA613" s="2">
        <v>18.0431308560646</v>
      </c>
      <c r="CB613" s="2">
        <v>17.458038394474801</v>
      </c>
      <c r="CC613" s="2">
        <v>17.853542085944099</v>
      </c>
      <c r="CD613" s="2">
        <v>18.3683392616615</v>
      </c>
      <c r="CE613" s="2">
        <v>17.7524948553896</v>
      </c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</row>
    <row r="614" spans="1:97">
      <c r="A614" s="2" t="s">
        <v>6019</v>
      </c>
      <c r="B614" s="2">
        <v>269.21170999999998</v>
      </c>
      <c r="C614" s="2">
        <v>11.233000000000001</v>
      </c>
      <c r="D614" s="2" t="s">
        <v>146</v>
      </c>
      <c r="E614" s="2" t="s">
        <v>6020</v>
      </c>
      <c r="F614" s="2" t="s">
        <v>6021</v>
      </c>
      <c r="G614" s="2">
        <v>2090</v>
      </c>
      <c r="H614" s="3" t="str">
        <f>HYPERLINK("https://cloud.oebiotech.com/#/lm/network/2090", "https://cloud.oebiotech.com/#/lm/network/2090")</f>
        <v>https://cloud.oebiotech.com/#/lm/network/2090</v>
      </c>
      <c r="I614" s="2" t="s">
        <v>6022</v>
      </c>
      <c r="J614" s="2">
        <v>35749</v>
      </c>
      <c r="K614" s="2" t="s">
        <v>6023</v>
      </c>
      <c r="L614" s="2">
        <v>5283001</v>
      </c>
      <c r="M614" s="2"/>
      <c r="N614" s="2"/>
      <c r="O614" s="2"/>
      <c r="P614" s="2"/>
      <c r="Q614" s="2"/>
      <c r="R614" s="2"/>
      <c r="S614" s="2" t="s">
        <v>6024</v>
      </c>
      <c r="T614" s="2" t="s">
        <v>6025</v>
      </c>
      <c r="U614" s="2" t="s">
        <v>6026</v>
      </c>
      <c r="V614" s="2" t="s">
        <v>95</v>
      </c>
      <c r="W614" s="2" t="s">
        <v>96</v>
      </c>
      <c r="X614" s="2" t="s">
        <v>141</v>
      </c>
      <c r="Y614" s="2" t="s">
        <v>98</v>
      </c>
      <c r="Z614" s="2" t="s">
        <v>99</v>
      </c>
      <c r="AA614" s="2" t="s">
        <v>142</v>
      </c>
      <c r="AB614" s="2" t="s">
        <v>3086</v>
      </c>
      <c r="AC614" s="2">
        <v>56.14</v>
      </c>
      <c r="AD614" s="2">
        <v>98.13</v>
      </c>
      <c r="AE614" s="2">
        <v>0</v>
      </c>
      <c r="AF614" s="2" t="s">
        <v>5614</v>
      </c>
      <c r="AG614" s="2" t="s">
        <v>194</v>
      </c>
      <c r="AH614" s="2" t="s">
        <v>6027</v>
      </c>
      <c r="AI614" s="2">
        <v>1.86</v>
      </c>
      <c r="AJ614" s="2">
        <v>21.635203423577298</v>
      </c>
      <c r="AK614" s="2">
        <v>20.847326813562599</v>
      </c>
      <c r="AL614" s="2">
        <v>20.605467698959298</v>
      </c>
      <c r="AM614" s="2">
        <v>20.876508635636799</v>
      </c>
      <c r="AN614" s="2">
        <v>21.5032269796592</v>
      </c>
      <c r="AO614" s="2">
        <v>21.518044567067601</v>
      </c>
      <c r="AP614" s="2">
        <v>20.675381119351599</v>
      </c>
      <c r="AQ614" s="2">
        <v>21.379251763114201</v>
      </c>
      <c r="AR614" s="2">
        <v>20.592980737841302</v>
      </c>
      <c r="AS614" s="2">
        <v>20.221199579503502</v>
      </c>
      <c r="AT614" s="2">
        <v>20.853883648107502</v>
      </c>
      <c r="AU614" s="2">
        <v>20.682303620492501</v>
      </c>
      <c r="AV614" s="2">
        <v>20.525101323789499</v>
      </c>
      <c r="AW614" s="2">
        <v>20.695834875399999</v>
      </c>
      <c r="AX614" s="2">
        <v>19.987671031290301</v>
      </c>
      <c r="AY614" s="2">
        <v>20.463715048641401</v>
      </c>
      <c r="AZ614" s="2">
        <v>20.334478448008699</v>
      </c>
      <c r="BA614" s="2">
        <v>20.3706601014817</v>
      </c>
      <c r="BB614" s="2">
        <v>20.354472590117499</v>
      </c>
      <c r="BC614" s="2">
        <v>21.5250266647793</v>
      </c>
      <c r="BD614" s="2">
        <v>20.242275274053</v>
      </c>
      <c r="BE614" s="2">
        <v>20.549516936753001</v>
      </c>
      <c r="BF614" s="2">
        <v>20.7808242310421</v>
      </c>
      <c r="BG614" s="2">
        <v>20.9787617169209</v>
      </c>
      <c r="BH614" s="2">
        <v>20.373316267374399</v>
      </c>
      <c r="BI614" s="2">
        <v>20.990336279054802</v>
      </c>
      <c r="BJ614" s="2">
        <v>20.801170484108798</v>
      </c>
      <c r="BK614" s="2">
        <v>20.1298704765412</v>
      </c>
      <c r="BL614" s="2">
        <v>21.3027324502103</v>
      </c>
      <c r="BM614" s="2">
        <v>20.506098117611899</v>
      </c>
      <c r="BN614" s="2">
        <v>20.689087821308298</v>
      </c>
      <c r="BO614" s="2">
        <v>20.775184418928401</v>
      </c>
      <c r="BP614" s="2">
        <v>20.3092989503841</v>
      </c>
      <c r="BQ614" s="2">
        <v>20.1931526023345</v>
      </c>
      <c r="BR614" s="2">
        <v>20.813787476381901</v>
      </c>
      <c r="BS614" s="2">
        <v>20.4641147555601</v>
      </c>
      <c r="BT614" s="2">
        <v>20.522247757168699</v>
      </c>
      <c r="BU614" s="2">
        <v>20.857466889381499</v>
      </c>
      <c r="BV614" s="2">
        <v>20.540490621611099</v>
      </c>
      <c r="BW614" s="2">
        <v>20.1015871441382</v>
      </c>
      <c r="BX614" s="2">
        <v>20.3517936429411</v>
      </c>
      <c r="BY614" s="2">
        <v>20.6988520323569</v>
      </c>
      <c r="BZ614" s="2">
        <v>20.017269038150999</v>
      </c>
      <c r="CA614" s="2">
        <v>20.639759832081001</v>
      </c>
      <c r="CB614" s="2">
        <v>20.686327937379399</v>
      </c>
      <c r="CC614" s="2">
        <v>20.6636995674363</v>
      </c>
      <c r="CD614" s="2">
        <v>20.876024945579001</v>
      </c>
      <c r="CE614" s="2">
        <v>20.533506639756599</v>
      </c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</row>
    <row r="615" spans="1:97">
      <c r="A615" s="2" t="s">
        <v>6028</v>
      </c>
      <c r="B615" s="2">
        <v>152.99562</v>
      </c>
      <c r="C615" s="2">
        <v>0.72699999999999998</v>
      </c>
      <c r="D615" s="2" t="s">
        <v>146</v>
      </c>
      <c r="E615" s="2" t="s">
        <v>6029</v>
      </c>
      <c r="F615" s="2" t="s">
        <v>6030</v>
      </c>
      <c r="G615" s="2">
        <v>46884</v>
      </c>
      <c r="H615" s="3" t="str">
        <f>HYPERLINK("https://cloud.oebiotech.com/#/lm/network/46884", "https://cloud.oebiotech.com/#/lm/network/46884")</f>
        <v>https://cloud.oebiotech.com/#/lm/network/46884</v>
      </c>
      <c r="I615" s="2" t="s">
        <v>6031</v>
      </c>
      <c r="J615" s="2">
        <v>5161</v>
      </c>
      <c r="K615" s="2"/>
      <c r="L615" s="2">
        <v>439162</v>
      </c>
      <c r="M615" s="2" t="s">
        <v>6032</v>
      </c>
      <c r="N615" s="2" t="s">
        <v>6033</v>
      </c>
      <c r="O615" s="2" t="s">
        <v>6034</v>
      </c>
      <c r="P615" s="2">
        <v>15978</v>
      </c>
      <c r="Q615" s="2"/>
      <c r="R615" s="2"/>
      <c r="S615" s="2" t="s">
        <v>6035</v>
      </c>
      <c r="T615" s="2" t="s">
        <v>6036</v>
      </c>
      <c r="U615" s="2" t="s">
        <v>6037</v>
      </c>
      <c r="V615" s="2" t="s">
        <v>95</v>
      </c>
      <c r="W615" s="2" t="s">
        <v>202</v>
      </c>
      <c r="X615" s="2" t="s">
        <v>6038</v>
      </c>
      <c r="Y615" s="2" t="s">
        <v>98</v>
      </c>
      <c r="Z615" s="2" t="s">
        <v>204</v>
      </c>
      <c r="AA615" s="2" t="s">
        <v>6039</v>
      </c>
      <c r="AB615" s="2" t="s">
        <v>3086</v>
      </c>
      <c r="AC615" s="2">
        <v>56.13</v>
      </c>
      <c r="AD615" s="2">
        <v>97.87</v>
      </c>
      <c r="AE615" s="2">
        <v>0</v>
      </c>
      <c r="AF615" s="2" t="s">
        <v>5614</v>
      </c>
      <c r="AG615" s="2" t="s">
        <v>993</v>
      </c>
      <c r="AH615" s="2" t="s">
        <v>6040</v>
      </c>
      <c r="AI615" s="2">
        <v>-1.96</v>
      </c>
      <c r="AJ615" s="2">
        <v>18.867399168440102</v>
      </c>
      <c r="AK615" s="2">
        <v>19.07384235148</v>
      </c>
      <c r="AL615" s="2">
        <v>19.286428237926</v>
      </c>
      <c r="AM615" s="2">
        <v>18.908975818095701</v>
      </c>
      <c r="AN615" s="2">
        <v>18.278169787346599</v>
      </c>
      <c r="AO615" s="2">
        <v>19.075011883895598</v>
      </c>
      <c r="AP615" s="2">
        <v>18.492929706442901</v>
      </c>
      <c r="AQ615" s="2">
        <v>18.624618348805601</v>
      </c>
      <c r="AR615" s="2">
        <v>17.626775061724601</v>
      </c>
      <c r="AS615" s="2">
        <v>9.6233145402724691</v>
      </c>
      <c r="AT615" s="2">
        <v>17.680865430304902</v>
      </c>
      <c r="AU615" s="2">
        <v>16.260230613125898</v>
      </c>
      <c r="AV615" s="2">
        <v>18.208270562457798</v>
      </c>
      <c r="AW615" s="2">
        <v>15.8992176508092</v>
      </c>
      <c r="AX615" s="2">
        <v>18.005916328177602</v>
      </c>
      <c r="AY615" s="2">
        <v>18.440467854132599</v>
      </c>
      <c r="AZ615" s="2">
        <v>17.549034598203999</v>
      </c>
      <c r="BA615" s="2">
        <v>17.4221793616341</v>
      </c>
      <c r="BB615" s="2">
        <v>17.073765642269301</v>
      </c>
      <c r="BC615" s="2">
        <v>18.644019646034302</v>
      </c>
      <c r="BD615" s="2">
        <v>18.400561110574198</v>
      </c>
      <c r="BE615" s="2">
        <v>18.178955690761299</v>
      </c>
      <c r="BF615" s="2">
        <v>18.717612469789898</v>
      </c>
      <c r="BG615" s="2">
        <v>18.758982769751999</v>
      </c>
      <c r="BH615" s="2">
        <v>18.567388475807601</v>
      </c>
      <c r="BI615" s="2">
        <v>18.493214255751599</v>
      </c>
      <c r="BJ615" s="2">
        <v>19.331294885850799</v>
      </c>
      <c r="BK615" s="2">
        <v>19.417326292176899</v>
      </c>
      <c r="BL615" s="2">
        <v>18.814270585073199</v>
      </c>
      <c r="BM615" s="2">
        <v>18.924339117010899</v>
      </c>
      <c r="BN615" s="2">
        <v>18.439418689117101</v>
      </c>
      <c r="BO615" s="2">
        <v>19.060503925776199</v>
      </c>
      <c r="BP615" s="2">
        <v>19.083819262812501</v>
      </c>
      <c r="BQ615" s="2">
        <v>18.157999561438899</v>
      </c>
      <c r="BR615" s="2">
        <v>18.515283773200601</v>
      </c>
      <c r="BS615" s="2">
        <v>19.524255587039601</v>
      </c>
      <c r="BT615" s="2">
        <v>18.057167992221299</v>
      </c>
      <c r="BU615" s="2">
        <v>18.4224020779569</v>
      </c>
      <c r="BV615" s="2">
        <v>18.718979702526099</v>
      </c>
      <c r="BW615" s="2">
        <v>16.1340081074807</v>
      </c>
      <c r="BX615" s="2">
        <v>9.6233145402724691</v>
      </c>
      <c r="BY615" s="2">
        <v>19.854038867220201</v>
      </c>
      <c r="BZ615" s="2">
        <v>18.412004570812901</v>
      </c>
      <c r="CA615" s="2">
        <v>20.342211902630801</v>
      </c>
      <c r="CB615" s="2">
        <v>18.755305996783399</v>
      </c>
      <c r="CC615" s="2">
        <v>19.1904418499822</v>
      </c>
      <c r="CD615" s="2">
        <v>19.249822859252902</v>
      </c>
      <c r="CE615" s="2">
        <v>19.053295100028901</v>
      </c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</row>
    <row r="616" spans="1:97">
      <c r="A616" s="2" t="s">
        <v>6041</v>
      </c>
      <c r="B616" s="2">
        <v>212.09155999999999</v>
      </c>
      <c r="C616" s="2">
        <v>1.58</v>
      </c>
      <c r="D616" s="2" t="s">
        <v>84</v>
      </c>
      <c r="E616" s="2" t="s">
        <v>6042</v>
      </c>
      <c r="F616" s="2" t="s">
        <v>6043</v>
      </c>
      <c r="G616" s="2">
        <v>82611</v>
      </c>
      <c r="H616" s="3" t="str">
        <f>HYPERLINK("https://cloud.oebiotech.com/#/lm/network/82611", "https://cloud.oebiotech.com/#/lm/network/82611")</f>
        <v>https://cloud.oebiotech.com/#/lm/network/82611</v>
      </c>
      <c r="I616" s="2" t="s">
        <v>6044</v>
      </c>
      <c r="J616" s="2">
        <v>967</v>
      </c>
      <c r="K616" s="2"/>
      <c r="L616" s="2">
        <v>9307</v>
      </c>
      <c r="M616" s="2"/>
      <c r="N616" s="2"/>
      <c r="O616" s="2"/>
      <c r="P616" s="2">
        <v>82913</v>
      </c>
      <c r="Q616" s="2"/>
      <c r="R616" s="2"/>
      <c r="S616" s="2" t="s">
        <v>6045</v>
      </c>
      <c r="T616" s="2" t="s">
        <v>6046</v>
      </c>
      <c r="U616" s="2" t="s">
        <v>6047</v>
      </c>
      <c r="V616" s="2" t="s">
        <v>115</v>
      </c>
      <c r="W616" s="2" t="s">
        <v>116</v>
      </c>
      <c r="X616" s="2" t="s">
        <v>117</v>
      </c>
      <c r="Y616" s="2" t="s">
        <v>118</v>
      </c>
      <c r="Z616" s="2" t="s">
        <v>119</v>
      </c>
      <c r="AA616" s="2" t="s">
        <v>120</v>
      </c>
      <c r="AB616" s="2" t="s">
        <v>3086</v>
      </c>
      <c r="AC616" s="2">
        <v>56.13</v>
      </c>
      <c r="AD616" s="2">
        <v>93.12</v>
      </c>
      <c r="AE616" s="2">
        <v>0</v>
      </c>
      <c r="AF616" s="2" t="s">
        <v>5614</v>
      </c>
      <c r="AG616" s="2" t="s">
        <v>103</v>
      </c>
      <c r="AH616" s="2" t="s">
        <v>6048</v>
      </c>
      <c r="AI616" s="2">
        <v>0.47</v>
      </c>
      <c r="AJ616" s="2">
        <v>18.5784084796495</v>
      </c>
      <c r="AK616" s="2">
        <v>19.226286775682102</v>
      </c>
      <c r="AL616" s="2">
        <v>19.318366230803498</v>
      </c>
      <c r="AM616" s="2">
        <v>18.892147504796899</v>
      </c>
      <c r="AN616" s="2">
        <v>19.269709249479899</v>
      </c>
      <c r="AO616" s="2">
        <v>19.028325010598</v>
      </c>
      <c r="AP616" s="2">
        <v>19.1714695416673</v>
      </c>
      <c r="AQ616" s="2">
        <v>19.2287948801957</v>
      </c>
      <c r="AR616" s="2">
        <v>18.8914900326874</v>
      </c>
      <c r="AS616" s="2">
        <v>18.555084910132901</v>
      </c>
      <c r="AT616" s="2">
        <v>18.286452040833399</v>
      </c>
      <c r="AU616" s="2">
        <v>18.714621673629701</v>
      </c>
      <c r="AV616" s="2">
        <v>18.5909548472846</v>
      </c>
      <c r="AW616" s="2">
        <v>19.235062614188202</v>
      </c>
      <c r="AX616" s="2">
        <v>18.820520606984399</v>
      </c>
      <c r="AY616" s="2">
        <v>18.940554915201201</v>
      </c>
      <c r="AZ616" s="2">
        <v>18.734151251011198</v>
      </c>
      <c r="BA616" s="2">
        <v>18.6437582339369</v>
      </c>
      <c r="BB616" s="2">
        <v>18.8555328086434</v>
      </c>
      <c r="BC616" s="2">
        <v>19.417808702937801</v>
      </c>
      <c r="BD616" s="2">
        <v>18.870192723387699</v>
      </c>
      <c r="BE616" s="2">
        <v>19.4950829989601</v>
      </c>
      <c r="BF616" s="2">
        <v>18.991230767736798</v>
      </c>
      <c r="BG616" s="2">
        <v>18.876486550367702</v>
      </c>
      <c r="BH616" s="2">
        <v>19.137877134257501</v>
      </c>
      <c r="BI616" s="2">
        <v>19.373085300625799</v>
      </c>
      <c r="BJ616" s="2">
        <v>18.884642037300502</v>
      </c>
      <c r="BK616" s="2">
        <v>18.8185660134742</v>
      </c>
      <c r="BL616" s="2">
        <v>18.9065861863069</v>
      </c>
      <c r="BM616" s="2">
        <v>18.952230291313299</v>
      </c>
      <c r="BN616" s="2">
        <v>18.7757347842178</v>
      </c>
      <c r="BO616" s="2">
        <v>19.100146554989202</v>
      </c>
      <c r="BP616" s="2">
        <v>19.408511463680199</v>
      </c>
      <c r="BQ616" s="2">
        <v>19.838549724867001</v>
      </c>
      <c r="BR616" s="2">
        <v>18.930929140615401</v>
      </c>
      <c r="BS616" s="2">
        <v>19.3814693156889</v>
      </c>
      <c r="BT616" s="2">
        <v>18.897176303477199</v>
      </c>
      <c r="BU616" s="2">
        <v>18.250210504700298</v>
      </c>
      <c r="BV616" s="2">
        <v>19.394797919304899</v>
      </c>
      <c r="BW616" s="2">
        <v>18.608129614691101</v>
      </c>
      <c r="BX616" s="2">
        <v>18.7538177577926</v>
      </c>
      <c r="BY616" s="2">
        <v>19.751543160150302</v>
      </c>
      <c r="BZ616" s="2">
        <v>19.047015325581398</v>
      </c>
      <c r="CA616" s="2">
        <v>18.385306532839799</v>
      </c>
      <c r="CB616" s="2">
        <v>18.728047015782099</v>
      </c>
      <c r="CC616" s="2">
        <v>19.7680786062922</v>
      </c>
      <c r="CD616" s="2">
        <v>19.386708092576999</v>
      </c>
      <c r="CE616" s="2">
        <v>18.861306977767399</v>
      </c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</row>
    <row r="617" spans="1:97">
      <c r="A617" s="2" t="s">
        <v>6049</v>
      </c>
      <c r="B617" s="2">
        <v>376.22519</v>
      </c>
      <c r="C617" s="2">
        <v>9.1180000000000003</v>
      </c>
      <c r="D617" s="2" t="s">
        <v>146</v>
      </c>
      <c r="E617" s="2" t="s">
        <v>6050</v>
      </c>
      <c r="F617" s="2" t="s">
        <v>6051</v>
      </c>
      <c r="G617" s="2">
        <v>206180</v>
      </c>
      <c r="H617" s="3" t="str">
        <f>HYPERLINK("https://cloud.oebiotech.com/#/lm/network/206180", "https://cloud.oebiotech.com/#/lm/network/206180")</f>
        <v>https://cloud.oebiotech.com/#/lm/network/206180</v>
      </c>
      <c r="I617" s="2" t="s">
        <v>6052</v>
      </c>
      <c r="J617" s="2"/>
      <c r="K617" s="2"/>
      <c r="L617" s="2">
        <v>129664620</v>
      </c>
      <c r="M617" s="2"/>
      <c r="N617" s="2"/>
      <c r="O617" s="2"/>
      <c r="P617" s="2"/>
      <c r="Q617" s="2"/>
      <c r="R617" s="2"/>
      <c r="S617" s="2"/>
      <c r="T617" s="2" t="s">
        <v>6053</v>
      </c>
      <c r="U617" s="2" t="s">
        <v>6054</v>
      </c>
      <c r="V617" s="2" t="s">
        <v>95</v>
      </c>
      <c r="W617" s="2" t="s">
        <v>96</v>
      </c>
      <c r="X617" s="2" t="s">
        <v>141</v>
      </c>
      <c r="Y617" s="2" t="s">
        <v>98</v>
      </c>
      <c r="Z617" s="2" t="s">
        <v>99</v>
      </c>
      <c r="AA617" s="2" t="s">
        <v>142</v>
      </c>
      <c r="AB617" s="2" t="s">
        <v>3086</v>
      </c>
      <c r="AC617" s="2">
        <v>56.13</v>
      </c>
      <c r="AD617" s="2">
        <v>75.78</v>
      </c>
      <c r="AE617" s="2">
        <v>32.6228571428571</v>
      </c>
      <c r="AF617" s="2" t="s">
        <v>6055</v>
      </c>
      <c r="AG617" s="2" t="s">
        <v>4062</v>
      </c>
      <c r="AH617" s="2" t="s">
        <v>2912</v>
      </c>
      <c r="AI617" s="2">
        <v>2.13</v>
      </c>
      <c r="AJ617" s="2">
        <v>21.955857071358501</v>
      </c>
      <c r="AK617" s="2">
        <v>21.972752489580699</v>
      </c>
      <c r="AL617" s="2">
        <v>22.1103901651252</v>
      </c>
      <c r="AM617" s="2">
        <v>21.943110780125199</v>
      </c>
      <c r="AN617" s="2">
        <v>22.087299884758099</v>
      </c>
      <c r="AO617" s="2">
        <v>21.9586732335157</v>
      </c>
      <c r="AP617" s="2">
        <v>21.933471580957601</v>
      </c>
      <c r="AQ617" s="2">
        <v>22.014272142928998</v>
      </c>
      <c r="AR617" s="2">
        <v>21.723747499316801</v>
      </c>
      <c r="AS617" s="2">
        <v>21.792970249073601</v>
      </c>
      <c r="AT617" s="2">
        <v>21.929248354965399</v>
      </c>
      <c r="AU617" s="2">
        <v>21.665293949419102</v>
      </c>
      <c r="AV617" s="2">
        <v>20.974406305948399</v>
      </c>
      <c r="AW617" s="2">
        <v>22.130894321086899</v>
      </c>
      <c r="AX617" s="2">
        <v>21.7700359328616</v>
      </c>
      <c r="AY617" s="2">
        <v>21.472825960649502</v>
      </c>
      <c r="AZ617" s="2">
        <v>22.101393764877301</v>
      </c>
      <c r="BA617" s="2">
        <v>21.1580691642883</v>
      </c>
      <c r="BB617" s="2">
        <v>22.266914703799401</v>
      </c>
      <c r="BC617" s="2">
        <v>22.979720231361</v>
      </c>
      <c r="BD617" s="2">
        <v>21.101224704302599</v>
      </c>
      <c r="BE617" s="2">
        <v>21.780527356602999</v>
      </c>
      <c r="BF617" s="2">
        <v>21.961507482833898</v>
      </c>
      <c r="BG617" s="2">
        <v>21.990215921984401</v>
      </c>
      <c r="BH617" s="2">
        <v>21.6934582053028</v>
      </c>
      <c r="BI617" s="2">
        <v>22.334631468973001</v>
      </c>
      <c r="BJ617" s="2">
        <v>22.379746427527699</v>
      </c>
      <c r="BK617" s="2">
        <v>21.672426356331599</v>
      </c>
      <c r="BL617" s="2">
        <v>21.511512467664399</v>
      </c>
      <c r="BM617" s="2">
        <v>21.302834419394902</v>
      </c>
      <c r="BN617" s="2">
        <v>21.381982631698101</v>
      </c>
      <c r="BO617" s="2">
        <v>21.1341794502104</v>
      </c>
      <c r="BP617" s="2">
        <v>21.6523584198052</v>
      </c>
      <c r="BQ617" s="2">
        <v>21.7185910278554</v>
      </c>
      <c r="BR617" s="2">
        <v>22.269136472215301</v>
      </c>
      <c r="BS617" s="2">
        <v>21.892230101400301</v>
      </c>
      <c r="BT617" s="2">
        <v>21.6420001505589</v>
      </c>
      <c r="BU617" s="2">
        <v>22.759134086087201</v>
      </c>
      <c r="BV617" s="2">
        <v>21.979994717083301</v>
      </c>
      <c r="BW617" s="2">
        <v>21.138933110496499</v>
      </c>
      <c r="BX617" s="2">
        <v>21.056941789888398</v>
      </c>
      <c r="BY617" s="2">
        <v>22.9825330860624</v>
      </c>
      <c r="BZ617" s="2">
        <v>21.5281837699394</v>
      </c>
      <c r="CA617" s="2">
        <v>21.438732151496101</v>
      </c>
      <c r="CB617" s="2">
        <v>21.556299857652402</v>
      </c>
      <c r="CC617" s="2">
        <v>21.894251139464501</v>
      </c>
      <c r="CD617" s="2">
        <v>22.686428057284001</v>
      </c>
      <c r="CE617" s="2">
        <v>20.978670496016399</v>
      </c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</row>
    <row r="618" spans="1:97">
      <c r="A618" s="2" t="s">
        <v>6056</v>
      </c>
      <c r="B618" s="2">
        <v>130.99823000000001</v>
      </c>
      <c r="C618" s="2">
        <v>0.79800000000000004</v>
      </c>
      <c r="D618" s="2" t="s">
        <v>146</v>
      </c>
      <c r="E618" s="2" t="s">
        <v>6057</v>
      </c>
      <c r="F618" s="2" t="s">
        <v>6058</v>
      </c>
      <c r="G618" s="2">
        <v>83700</v>
      </c>
      <c r="H618" s="3" t="str">
        <f>HYPERLINK("https://cloud.oebiotech.com/#/lm/network/83700", "https://cloud.oebiotech.com/#/lm/network/83700")</f>
        <v>https://cloud.oebiotech.com/#/lm/network/83700</v>
      </c>
      <c r="I618" s="2" t="s">
        <v>6059</v>
      </c>
      <c r="J618" s="2">
        <v>307543</v>
      </c>
      <c r="K618" s="2"/>
      <c r="L618" s="2">
        <v>875</v>
      </c>
      <c r="M618" s="2"/>
      <c r="N618" s="2"/>
      <c r="O618" s="2"/>
      <c r="P618" s="2">
        <v>15674</v>
      </c>
      <c r="Q618" s="2"/>
      <c r="R618" s="2"/>
      <c r="S618" s="2"/>
      <c r="T618" s="2" t="s">
        <v>6060</v>
      </c>
      <c r="U618" s="2" t="s">
        <v>6061</v>
      </c>
      <c r="V618" s="2" t="s">
        <v>338</v>
      </c>
      <c r="W618" s="2" t="s">
        <v>339</v>
      </c>
      <c r="X618" s="2" t="s">
        <v>663</v>
      </c>
      <c r="Y618" s="2" t="s">
        <v>341</v>
      </c>
      <c r="Z618" s="2" t="s">
        <v>341</v>
      </c>
      <c r="AA618" s="2" t="s">
        <v>664</v>
      </c>
      <c r="AB618" s="2" t="s">
        <v>3086</v>
      </c>
      <c r="AC618" s="2">
        <v>56.12</v>
      </c>
      <c r="AD618" s="2">
        <v>97.28</v>
      </c>
      <c r="AE618" s="2">
        <v>0</v>
      </c>
      <c r="AF618" s="2" t="s">
        <v>5614</v>
      </c>
      <c r="AG618" s="2" t="s">
        <v>993</v>
      </c>
      <c r="AH618" s="2" t="s">
        <v>6062</v>
      </c>
      <c r="AI618" s="2">
        <v>-1.37</v>
      </c>
      <c r="AJ618" s="2">
        <v>18.810075271506999</v>
      </c>
      <c r="AK618" s="2">
        <v>18.5228172387203</v>
      </c>
      <c r="AL618" s="2">
        <v>19.371315286701499</v>
      </c>
      <c r="AM618" s="2">
        <v>18.9208043539359</v>
      </c>
      <c r="AN618" s="2">
        <v>19.506662794511801</v>
      </c>
      <c r="AO618" s="2">
        <v>19.448241173129301</v>
      </c>
      <c r="AP618" s="2">
        <v>18.729961622822099</v>
      </c>
      <c r="AQ618" s="2">
        <v>19.534900588149199</v>
      </c>
      <c r="AR618" s="2">
        <v>18.812509694388702</v>
      </c>
      <c r="AS618" s="2">
        <v>18.451352959136798</v>
      </c>
      <c r="AT618" s="2">
        <v>18.638233777429299</v>
      </c>
      <c r="AU618" s="2">
        <v>18.818459694732098</v>
      </c>
      <c r="AV618" s="2">
        <v>19.296634559805199</v>
      </c>
      <c r="AW618" s="2">
        <v>18.682435756104798</v>
      </c>
      <c r="AX618" s="2">
        <v>18.8117653955969</v>
      </c>
      <c r="AY618" s="2">
        <v>18.860914466727799</v>
      </c>
      <c r="AZ618" s="2">
        <v>19.003095281723901</v>
      </c>
      <c r="BA618" s="2">
        <v>19.170326574721901</v>
      </c>
      <c r="BB618" s="2">
        <v>19.042214844493401</v>
      </c>
      <c r="BC618" s="2">
        <v>19.028896219377501</v>
      </c>
      <c r="BD618" s="2">
        <v>19.046758009188999</v>
      </c>
      <c r="BE618" s="2">
        <v>18.930040927799102</v>
      </c>
      <c r="BF618" s="2">
        <v>18.4195592181126</v>
      </c>
      <c r="BG618" s="2">
        <v>18.734332645468299</v>
      </c>
      <c r="BH618" s="2">
        <v>19.308843317260699</v>
      </c>
      <c r="BI618" s="2">
        <v>19.024389631315898</v>
      </c>
      <c r="BJ618" s="2">
        <v>18.885571653605801</v>
      </c>
      <c r="BK618" s="2">
        <v>18.609284265127201</v>
      </c>
      <c r="BL618" s="2">
        <v>19.005582145063698</v>
      </c>
      <c r="BM618" s="2">
        <v>19.563782035835001</v>
      </c>
      <c r="BN618" s="2">
        <v>19.805631818401299</v>
      </c>
      <c r="BO618" s="2">
        <v>18.693189768521101</v>
      </c>
      <c r="BP618" s="2">
        <v>19.073946689329599</v>
      </c>
      <c r="BQ618" s="2">
        <v>19.536330133356401</v>
      </c>
      <c r="BR618" s="2">
        <v>18.2928504395692</v>
      </c>
      <c r="BS618" s="2">
        <v>19.213721360674299</v>
      </c>
      <c r="BT618" s="2">
        <v>19.389277936012</v>
      </c>
      <c r="BU618" s="2">
        <v>18.082088213806099</v>
      </c>
      <c r="BV618" s="2">
        <v>18.8757190290242</v>
      </c>
      <c r="BW618" s="2">
        <v>19.175953142186501</v>
      </c>
      <c r="BX618" s="2">
        <v>18.824496671338999</v>
      </c>
      <c r="BY618" s="2">
        <v>18.9920378086867</v>
      </c>
      <c r="BZ618" s="2">
        <v>18.711532346393501</v>
      </c>
      <c r="CA618" s="2">
        <v>18.801481309800199</v>
      </c>
      <c r="CB618" s="2">
        <v>18.4722942355464</v>
      </c>
      <c r="CC618" s="2">
        <v>18.823495993041799</v>
      </c>
      <c r="CD618" s="2">
        <v>18.726846613294502</v>
      </c>
      <c r="CE618" s="2">
        <v>18.980960038913299</v>
      </c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</row>
    <row r="619" spans="1:97">
      <c r="A619" s="2" t="s">
        <v>6063</v>
      </c>
      <c r="B619" s="2">
        <v>181.05027000000001</v>
      </c>
      <c r="C619" s="2">
        <v>3.7679999999999998</v>
      </c>
      <c r="D619" s="2" t="s">
        <v>146</v>
      </c>
      <c r="E619" s="2" t="s">
        <v>6064</v>
      </c>
      <c r="F619" s="2" t="s">
        <v>6065</v>
      </c>
      <c r="G619" s="2">
        <v>47202</v>
      </c>
      <c r="H619" s="3" t="str">
        <f>HYPERLINK("https://cloud.oebiotech.com/#/lm/network/47202", "https://cloud.oebiotech.com/#/lm/network/47202")</f>
        <v>https://cloud.oebiotech.com/#/lm/network/47202</v>
      </c>
      <c r="I619" s="2" t="s">
        <v>6066</v>
      </c>
      <c r="J619" s="2">
        <v>34515</v>
      </c>
      <c r="K619" s="2"/>
      <c r="L619" s="2">
        <v>9378</v>
      </c>
      <c r="M619" s="2" t="s">
        <v>6067</v>
      </c>
      <c r="N619" s="2"/>
      <c r="O619" s="2"/>
      <c r="P619" s="2">
        <v>17385</v>
      </c>
      <c r="Q619" s="2"/>
      <c r="R619" s="2"/>
      <c r="S619" s="2" t="s">
        <v>6068</v>
      </c>
      <c r="T619" s="2" t="s">
        <v>6069</v>
      </c>
      <c r="U619" s="2" t="s">
        <v>6070</v>
      </c>
      <c r="V619" s="2" t="s">
        <v>845</v>
      </c>
      <c r="W619" s="2" t="s">
        <v>4232</v>
      </c>
      <c r="X619" s="2" t="s">
        <v>375</v>
      </c>
      <c r="Y619" s="2" t="s">
        <v>847</v>
      </c>
      <c r="Z619" s="2" t="s">
        <v>4233</v>
      </c>
      <c r="AA619" s="2"/>
      <c r="AB619" s="2" t="s">
        <v>3086</v>
      </c>
      <c r="AC619" s="2">
        <v>56.12</v>
      </c>
      <c r="AD619" s="2">
        <v>98.89</v>
      </c>
      <c r="AE619" s="2">
        <v>0</v>
      </c>
      <c r="AF619" s="2" t="s">
        <v>5614</v>
      </c>
      <c r="AG619" s="2" t="s">
        <v>194</v>
      </c>
      <c r="AH619" s="2" t="s">
        <v>6071</v>
      </c>
      <c r="AI619" s="2">
        <v>1.66</v>
      </c>
      <c r="AJ619" s="2">
        <v>22.502165757035499</v>
      </c>
      <c r="AK619" s="2">
        <v>22.527933536590702</v>
      </c>
      <c r="AL619" s="2">
        <v>22.647202642093902</v>
      </c>
      <c r="AM619" s="2">
        <v>22.629385215473199</v>
      </c>
      <c r="AN619" s="2">
        <v>22.7280822571513</v>
      </c>
      <c r="AO619" s="2">
        <v>22.569583496992902</v>
      </c>
      <c r="AP619" s="2">
        <v>22.4772935174548</v>
      </c>
      <c r="AQ619" s="2">
        <v>22.631510662743501</v>
      </c>
      <c r="AR619" s="2">
        <v>22.060327669190599</v>
      </c>
      <c r="AS619" s="2">
        <v>21.749939031191399</v>
      </c>
      <c r="AT619" s="2">
        <v>21.547516202211899</v>
      </c>
      <c r="AU619" s="2">
        <v>21.583933512495001</v>
      </c>
      <c r="AV619" s="2">
        <v>22.2310900854465</v>
      </c>
      <c r="AW619" s="2">
        <v>22.606637571383001</v>
      </c>
      <c r="AX619" s="2">
        <v>22.286940990870701</v>
      </c>
      <c r="AY619" s="2">
        <v>22.041390496694699</v>
      </c>
      <c r="AZ619" s="2">
        <v>22.1554126767934</v>
      </c>
      <c r="BA619" s="2">
        <v>22.2385804598125</v>
      </c>
      <c r="BB619" s="2">
        <v>22.341627729232599</v>
      </c>
      <c r="BC619" s="2">
        <v>22.526572174391301</v>
      </c>
      <c r="BD619" s="2">
        <v>21.794354956308499</v>
      </c>
      <c r="BE619" s="2">
        <v>22.720236458054998</v>
      </c>
      <c r="BF619" s="2">
        <v>22.702268859912401</v>
      </c>
      <c r="BG619" s="2">
        <v>23.111488917490298</v>
      </c>
      <c r="BH619" s="2">
        <v>22.7334934138233</v>
      </c>
      <c r="BI619" s="2">
        <v>23.224427036973399</v>
      </c>
      <c r="BJ619" s="2">
        <v>22.563928330227199</v>
      </c>
      <c r="BK619" s="2">
        <v>22.374400503055998</v>
      </c>
      <c r="BL619" s="2">
        <v>22.6272514481484</v>
      </c>
      <c r="BM619" s="2">
        <v>22.785608516335799</v>
      </c>
      <c r="BN619" s="2">
        <v>22.193929722708798</v>
      </c>
      <c r="BO619" s="2">
        <v>22.0066656153998</v>
      </c>
      <c r="BP619" s="2">
        <v>22.612237855597002</v>
      </c>
      <c r="BQ619" s="2">
        <v>23.1048213758732</v>
      </c>
      <c r="BR619" s="2">
        <v>22.2156971535832</v>
      </c>
      <c r="BS619" s="2">
        <v>22.621421991807502</v>
      </c>
      <c r="BT619" s="2">
        <v>21.775264536852301</v>
      </c>
      <c r="BU619" s="2">
        <v>22.625228557332399</v>
      </c>
      <c r="BV619" s="2">
        <v>22.282806238118201</v>
      </c>
      <c r="BW619" s="2">
        <v>21.346990147651301</v>
      </c>
      <c r="BX619" s="2">
        <v>22.115711310736302</v>
      </c>
      <c r="BY619" s="2">
        <v>23.292829466955599</v>
      </c>
      <c r="BZ619" s="2">
        <v>22.373046922974599</v>
      </c>
      <c r="CA619" s="2">
        <v>23.004789831345999</v>
      </c>
      <c r="CB619" s="2">
        <v>22.349859143426698</v>
      </c>
      <c r="CC619" s="2">
        <v>22.711830371925199</v>
      </c>
      <c r="CD619" s="2">
        <v>23.2474641083516</v>
      </c>
      <c r="CE619" s="2">
        <v>22.4861490472071</v>
      </c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</row>
    <row r="620" spans="1:97">
      <c r="A620" s="2" t="s">
        <v>6072</v>
      </c>
      <c r="B620" s="2">
        <v>176.12799999999999</v>
      </c>
      <c r="C620" s="2">
        <v>4.5519999999999996</v>
      </c>
      <c r="D620" s="2" t="s">
        <v>84</v>
      </c>
      <c r="E620" s="2" t="s">
        <v>6073</v>
      </c>
      <c r="F620" s="2" t="s">
        <v>6074</v>
      </c>
      <c r="G620" s="2">
        <v>47039</v>
      </c>
      <c r="H620" s="3" t="str">
        <f>HYPERLINK("https://cloud.oebiotech.com/#/lm/network/47039", "https://cloud.oebiotech.com/#/lm/network/47039")</f>
        <v>https://cloud.oebiotech.com/#/lm/network/47039</v>
      </c>
      <c r="I620" s="2" t="s">
        <v>6075</v>
      </c>
      <c r="J620" s="2">
        <v>5440</v>
      </c>
      <c r="K620" s="2"/>
      <c r="L620" s="2">
        <v>12702257</v>
      </c>
      <c r="M620" s="2"/>
      <c r="N620" s="2"/>
      <c r="O620" s="2"/>
      <c r="P620" s="2">
        <v>89344</v>
      </c>
      <c r="Q620" s="2"/>
      <c r="R620" s="2"/>
      <c r="S620" s="2" t="s">
        <v>6076</v>
      </c>
      <c r="T620" s="2" t="s">
        <v>6077</v>
      </c>
      <c r="U620" s="2" t="s">
        <v>6078</v>
      </c>
      <c r="V620" s="2" t="s">
        <v>338</v>
      </c>
      <c r="W620" s="2" t="s">
        <v>339</v>
      </c>
      <c r="X620" s="2" t="s">
        <v>3877</v>
      </c>
      <c r="Y620" s="2" t="s">
        <v>341</v>
      </c>
      <c r="Z620" s="2" t="s">
        <v>341</v>
      </c>
      <c r="AA620" s="2" t="s">
        <v>3878</v>
      </c>
      <c r="AB620" s="2" t="s">
        <v>3086</v>
      </c>
      <c r="AC620" s="2">
        <v>56.1</v>
      </c>
      <c r="AD620" s="2">
        <v>94.83</v>
      </c>
      <c r="AE620" s="2">
        <v>0</v>
      </c>
      <c r="AF620" s="2" t="s">
        <v>5614</v>
      </c>
      <c r="AG620" s="2" t="s">
        <v>132</v>
      </c>
      <c r="AH620" s="2" t="s">
        <v>6079</v>
      </c>
      <c r="AI620" s="2">
        <v>0.56999999999999995</v>
      </c>
      <c r="AJ620" s="2">
        <v>18.6317711510594</v>
      </c>
      <c r="AK620" s="2">
        <v>18.9700690878445</v>
      </c>
      <c r="AL620" s="2">
        <v>18.8804517687086</v>
      </c>
      <c r="AM620" s="2">
        <v>19.016864397083999</v>
      </c>
      <c r="AN620" s="2">
        <v>19.1438891766925</v>
      </c>
      <c r="AO620" s="2">
        <v>18.629048127355301</v>
      </c>
      <c r="AP620" s="2">
        <v>18.4145537341725</v>
      </c>
      <c r="AQ620" s="2">
        <v>19.187767790532401</v>
      </c>
      <c r="AR620" s="2">
        <v>18.937577931973198</v>
      </c>
      <c r="AS620" s="2">
        <v>19.029392572432801</v>
      </c>
      <c r="AT620" s="2">
        <v>18.558902791707201</v>
      </c>
      <c r="AU620" s="2">
        <v>18.946612449129599</v>
      </c>
      <c r="AV620" s="2">
        <v>18.951497170094601</v>
      </c>
      <c r="AW620" s="2">
        <v>18.885411471082001</v>
      </c>
      <c r="AX620" s="2">
        <v>17.9086997565805</v>
      </c>
      <c r="AY620" s="2">
        <v>18.981169674376201</v>
      </c>
      <c r="AZ620" s="2">
        <v>18.984856745022601</v>
      </c>
      <c r="BA620" s="2">
        <v>19.038857784665399</v>
      </c>
      <c r="BB620" s="2">
        <v>18.811886974547001</v>
      </c>
      <c r="BC620" s="2">
        <v>18.7719014360848</v>
      </c>
      <c r="BD620" s="2">
        <v>18.841232320140499</v>
      </c>
      <c r="BE620" s="2">
        <v>18.3125750950406</v>
      </c>
      <c r="BF620" s="2">
        <v>18.601566096170298</v>
      </c>
      <c r="BG620" s="2">
        <v>18.920719961285801</v>
      </c>
      <c r="BH620" s="2">
        <v>18.4855048167375</v>
      </c>
      <c r="BI620" s="2">
        <v>18.5530281957572</v>
      </c>
      <c r="BJ620" s="2">
        <v>18.5081315713355</v>
      </c>
      <c r="BK620" s="2">
        <v>18.710792849189598</v>
      </c>
      <c r="BL620" s="2">
        <v>18.598754407038601</v>
      </c>
      <c r="BM620" s="2">
        <v>18.721284000804499</v>
      </c>
      <c r="BN620" s="2">
        <v>18.102978692230799</v>
      </c>
      <c r="BO620" s="2">
        <v>18.733364072988699</v>
      </c>
      <c r="BP620" s="2">
        <v>18.770747342762199</v>
      </c>
      <c r="BQ620" s="2">
        <v>18.372895872433901</v>
      </c>
      <c r="BR620" s="2">
        <v>18.6281373154163</v>
      </c>
      <c r="BS620" s="2">
        <v>18.9047718727183</v>
      </c>
      <c r="BT620" s="2">
        <v>19.0670848421865</v>
      </c>
      <c r="BU620" s="2">
        <v>18.939155253616299</v>
      </c>
      <c r="BV620" s="2">
        <v>18.962348583352799</v>
      </c>
      <c r="BW620" s="2">
        <v>18.506769314369901</v>
      </c>
      <c r="BX620" s="2">
        <v>18.976569101689101</v>
      </c>
      <c r="BY620" s="2">
        <v>18.5574113467095</v>
      </c>
      <c r="BZ620" s="2">
        <v>18.438254225408699</v>
      </c>
      <c r="CA620" s="2">
        <v>18.759566655826799</v>
      </c>
      <c r="CB620" s="2">
        <v>18.053812106188602</v>
      </c>
      <c r="CC620" s="2">
        <v>18.873188538533402</v>
      </c>
      <c r="CD620" s="2">
        <v>18.878221525571401</v>
      </c>
      <c r="CE620" s="2">
        <v>18.857774111496798</v>
      </c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</row>
    <row r="621" spans="1:97">
      <c r="A621" s="2" t="s">
        <v>6080</v>
      </c>
      <c r="B621" s="2">
        <v>589.44653000000005</v>
      </c>
      <c r="C621" s="2">
        <v>13.493</v>
      </c>
      <c r="D621" s="2" t="s">
        <v>146</v>
      </c>
      <c r="E621" s="2" t="s">
        <v>6081</v>
      </c>
      <c r="F621" s="2" t="s">
        <v>6082</v>
      </c>
      <c r="G621" s="2">
        <v>37542</v>
      </c>
      <c r="H621" s="3" t="str">
        <f>HYPERLINK("https://cloud.oebiotech.com/#/lm/network/37542", "https://cloud.oebiotech.com/#/lm/network/37542")</f>
        <v>https://cloud.oebiotech.com/#/lm/network/37542</v>
      </c>
      <c r="I621" s="2"/>
      <c r="J621" s="2">
        <v>53887</v>
      </c>
      <c r="K621" s="2" t="s">
        <v>6083</v>
      </c>
      <c r="L621" s="2">
        <v>42608334</v>
      </c>
      <c r="M621" s="2"/>
      <c r="N621" s="2"/>
      <c r="O621" s="2"/>
      <c r="P621" s="2"/>
      <c r="Q621" s="2"/>
      <c r="R621" s="2"/>
      <c r="S621" s="2"/>
      <c r="T621" s="2" t="s">
        <v>6084</v>
      </c>
      <c r="U621" s="2" t="s">
        <v>6085</v>
      </c>
      <c r="V621" s="2" t="s">
        <v>95</v>
      </c>
      <c r="W621" s="2" t="s">
        <v>180</v>
      </c>
      <c r="X621" s="2" t="s">
        <v>6086</v>
      </c>
      <c r="Y621" s="2" t="s">
        <v>98</v>
      </c>
      <c r="Z621" s="2" t="s">
        <v>182</v>
      </c>
      <c r="AA621" s="2" t="s">
        <v>6087</v>
      </c>
      <c r="AB621" s="2" t="s">
        <v>3086</v>
      </c>
      <c r="AC621" s="2">
        <v>56.07</v>
      </c>
      <c r="AD621" s="2">
        <v>74.84</v>
      </c>
      <c r="AE621" s="2">
        <v>34.75</v>
      </c>
      <c r="AF621" s="2" t="s">
        <v>6088</v>
      </c>
      <c r="AG621" s="2" t="s">
        <v>157</v>
      </c>
      <c r="AH621" s="2" t="s">
        <v>6089</v>
      </c>
      <c r="AI621" s="2">
        <v>1.53</v>
      </c>
      <c r="AJ621" s="2">
        <v>18.112741207586399</v>
      </c>
      <c r="AK621" s="2">
        <v>18.374277755125199</v>
      </c>
      <c r="AL621" s="2">
        <v>17.890646183400602</v>
      </c>
      <c r="AM621" s="2">
        <v>17.463436006132302</v>
      </c>
      <c r="AN621" s="2">
        <v>18.448522998430501</v>
      </c>
      <c r="AO621" s="2">
        <v>18.053050014845802</v>
      </c>
      <c r="AP621" s="2">
        <v>18.1489657722536</v>
      </c>
      <c r="AQ621" s="2">
        <v>18.1112179078672</v>
      </c>
      <c r="AR621" s="2">
        <v>17.264681105357798</v>
      </c>
      <c r="AS621" s="2">
        <v>17.930505777328001</v>
      </c>
      <c r="AT621" s="2">
        <v>17.874196541567699</v>
      </c>
      <c r="AU621" s="2">
        <v>16.363557817435598</v>
      </c>
      <c r="AV621" s="2">
        <v>17.862473972488701</v>
      </c>
      <c r="AW621" s="2">
        <v>17.533266682988899</v>
      </c>
      <c r="AX621" s="2">
        <v>17.3438422199733</v>
      </c>
      <c r="AY621" s="2">
        <v>18.215081802614499</v>
      </c>
      <c r="AZ621" s="2">
        <v>17.201492104609201</v>
      </c>
      <c r="BA621" s="2">
        <v>17.648488474804001</v>
      </c>
      <c r="BB621" s="2">
        <v>16.7001818968157</v>
      </c>
      <c r="BC621" s="2">
        <v>19.4868955580327</v>
      </c>
      <c r="BD621" s="2">
        <v>16.665117142190599</v>
      </c>
      <c r="BE621" s="2">
        <v>18.9695677181716</v>
      </c>
      <c r="BF621" s="2">
        <v>16.422496977600801</v>
      </c>
      <c r="BG621" s="2">
        <v>16.639861556424201</v>
      </c>
      <c r="BH621" s="2">
        <v>16.090179630811999</v>
      </c>
      <c r="BI621" s="2">
        <v>16.519459191209599</v>
      </c>
      <c r="BJ621" s="2">
        <v>18.376317086245201</v>
      </c>
      <c r="BK621" s="2">
        <v>14.983801033382599</v>
      </c>
      <c r="BL621" s="2">
        <v>17.078037988508399</v>
      </c>
      <c r="BM621" s="2">
        <v>18.183016843032501</v>
      </c>
      <c r="BN621" s="2">
        <v>17.641745127160299</v>
      </c>
      <c r="BO621" s="2">
        <v>17.012510623608598</v>
      </c>
      <c r="BP621" s="2">
        <v>17.069974675464699</v>
      </c>
      <c r="BQ621" s="2">
        <v>17.898372405632699</v>
      </c>
      <c r="BR621" s="2">
        <v>16.727896131208801</v>
      </c>
      <c r="BS621" s="2">
        <v>18.994154826094199</v>
      </c>
      <c r="BT621" s="2">
        <v>16.711869260369198</v>
      </c>
      <c r="BU621" s="2">
        <v>18.8499466513755</v>
      </c>
      <c r="BV621" s="2">
        <v>18.6067202111625</v>
      </c>
      <c r="BW621" s="2">
        <v>15.989394943368699</v>
      </c>
      <c r="BX621" s="2">
        <v>16.786317876658099</v>
      </c>
      <c r="BY621" s="2">
        <v>19.7970638461905</v>
      </c>
      <c r="BZ621" s="2">
        <v>15.5789705452197</v>
      </c>
      <c r="CA621" s="2">
        <v>16.4019399594543</v>
      </c>
      <c r="CB621" s="2">
        <v>17.3479522826973</v>
      </c>
      <c r="CC621" s="2">
        <v>17.1869719391768</v>
      </c>
      <c r="CD621" s="2">
        <v>18.880724022707799</v>
      </c>
      <c r="CE621" s="2">
        <v>17.920682167592801</v>
      </c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</row>
    <row r="622" spans="1:97">
      <c r="A622" s="2" t="s">
        <v>6090</v>
      </c>
      <c r="B622" s="2">
        <v>219.09719999999999</v>
      </c>
      <c r="C622" s="2">
        <v>0.78800000000000003</v>
      </c>
      <c r="D622" s="2" t="s">
        <v>84</v>
      </c>
      <c r="E622" s="2" t="s">
        <v>6091</v>
      </c>
      <c r="F622" s="2" t="s">
        <v>6092</v>
      </c>
      <c r="G622" s="2">
        <v>53727</v>
      </c>
      <c r="H622" s="3" t="str">
        <f>HYPERLINK("https://cloud.oebiotech.com/#/lm/network/53727", "https://cloud.oebiotech.com/#/lm/network/53727")</f>
        <v>https://cloud.oebiotech.com/#/lm/network/53727</v>
      </c>
      <c r="I622" s="2" t="s">
        <v>6093</v>
      </c>
      <c r="J622" s="2"/>
      <c r="K622" s="2"/>
      <c r="L622" s="2">
        <v>128841</v>
      </c>
      <c r="M622" s="2"/>
      <c r="N622" s="2"/>
      <c r="O622" s="2"/>
      <c r="P622" s="2">
        <v>61565</v>
      </c>
      <c r="Q622" s="2"/>
      <c r="R622" s="2"/>
      <c r="S622" s="2" t="s">
        <v>6094</v>
      </c>
      <c r="T622" s="2" t="s">
        <v>6095</v>
      </c>
      <c r="U622" s="2" t="s">
        <v>6096</v>
      </c>
      <c r="V622" s="2" t="s">
        <v>115</v>
      </c>
      <c r="W622" s="2" t="s">
        <v>116</v>
      </c>
      <c r="X622" s="2" t="s">
        <v>117</v>
      </c>
      <c r="Y622" s="2" t="s">
        <v>118</v>
      </c>
      <c r="Z622" s="2" t="s">
        <v>119</v>
      </c>
      <c r="AA622" s="2" t="s">
        <v>120</v>
      </c>
      <c r="AB622" s="2" t="s">
        <v>3086</v>
      </c>
      <c r="AC622" s="2">
        <v>56.04</v>
      </c>
      <c r="AD622" s="2">
        <v>94.73</v>
      </c>
      <c r="AE622" s="2">
        <v>0</v>
      </c>
      <c r="AF622" s="2" t="s">
        <v>5614</v>
      </c>
      <c r="AG622" s="2" t="s">
        <v>103</v>
      </c>
      <c r="AH622" s="2" t="s">
        <v>6097</v>
      </c>
      <c r="AI622" s="2">
        <v>1.37</v>
      </c>
      <c r="AJ622" s="2">
        <v>20.0749076491817</v>
      </c>
      <c r="AK622" s="2">
        <v>20.134354307512901</v>
      </c>
      <c r="AL622" s="2">
        <v>20.144194245327899</v>
      </c>
      <c r="AM622" s="2">
        <v>20.230189362600498</v>
      </c>
      <c r="AN622" s="2">
        <v>20.0526749865471</v>
      </c>
      <c r="AO622" s="2">
        <v>20.261800212120399</v>
      </c>
      <c r="AP622" s="2">
        <v>20.1867973794402</v>
      </c>
      <c r="AQ622" s="2">
        <v>20.0296241463295</v>
      </c>
      <c r="AR622" s="2">
        <v>20.460366741029699</v>
      </c>
      <c r="AS622" s="2">
        <v>19.246407832081399</v>
      </c>
      <c r="AT622" s="2">
        <v>19.375800684444101</v>
      </c>
      <c r="AU622" s="2">
        <v>19.080649232511501</v>
      </c>
      <c r="AV622" s="2">
        <v>19.438454798107401</v>
      </c>
      <c r="AW622" s="2">
        <v>21.024037069647498</v>
      </c>
      <c r="AX622" s="2">
        <v>18.922328560180201</v>
      </c>
      <c r="AY622" s="2">
        <v>19.642668259965099</v>
      </c>
      <c r="AZ622" s="2">
        <v>19.745816042188402</v>
      </c>
      <c r="BA622" s="2">
        <v>20.0968167062079</v>
      </c>
      <c r="BB622" s="2">
        <v>19.846923595545899</v>
      </c>
      <c r="BC622" s="2">
        <v>19.613883974244001</v>
      </c>
      <c r="BD622" s="2">
        <v>19.743312379065099</v>
      </c>
      <c r="BE622" s="2">
        <v>19.796524648579201</v>
      </c>
      <c r="BF622" s="2">
        <v>21.6166163653306</v>
      </c>
      <c r="BG622" s="2">
        <v>20.601304494646101</v>
      </c>
      <c r="BH622" s="2">
        <v>19.847922929187401</v>
      </c>
      <c r="BI622" s="2">
        <v>19.525583337626301</v>
      </c>
      <c r="BJ622" s="2">
        <v>19.005837208898502</v>
      </c>
      <c r="BK622" s="2">
        <v>18.685081920288699</v>
      </c>
      <c r="BL622" s="2">
        <v>19.980098189396699</v>
      </c>
      <c r="BM622" s="2">
        <v>20.549953554708701</v>
      </c>
      <c r="BN622" s="2">
        <v>20.168145117205199</v>
      </c>
      <c r="BO622" s="2">
        <v>18.8675811198374</v>
      </c>
      <c r="BP622" s="2">
        <v>20.0578132357256</v>
      </c>
      <c r="BQ622" s="2">
        <v>20.152320373424299</v>
      </c>
      <c r="BR622" s="2">
        <v>19.683223825856501</v>
      </c>
      <c r="BS622" s="2">
        <v>20.026546324849299</v>
      </c>
      <c r="BT622" s="2">
        <v>19.4247994084425</v>
      </c>
      <c r="BU622" s="2">
        <v>20.730931677401198</v>
      </c>
      <c r="BV622" s="2">
        <v>20.861281507934802</v>
      </c>
      <c r="BW622" s="2">
        <v>20.243856734371501</v>
      </c>
      <c r="BX622" s="2">
        <v>19.982553496507801</v>
      </c>
      <c r="BY622" s="2">
        <v>20.231139892266299</v>
      </c>
      <c r="BZ622" s="2">
        <v>20.8733029245282</v>
      </c>
      <c r="CA622" s="2">
        <v>21.447234446009599</v>
      </c>
      <c r="CB622" s="2">
        <v>19.593033450436401</v>
      </c>
      <c r="CC622" s="2">
        <v>19.5071558766541</v>
      </c>
      <c r="CD622" s="2">
        <v>20.080108528427999</v>
      </c>
      <c r="CE622" s="2">
        <v>19.255302733854698</v>
      </c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</row>
    <row r="623" spans="1:97">
      <c r="A623" s="2" t="s">
        <v>6098</v>
      </c>
      <c r="B623" s="2">
        <v>139.05000999999999</v>
      </c>
      <c r="C623" s="2">
        <v>1.024</v>
      </c>
      <c r="D623" s="2" t="s">
        <v>84</v>
      </c>
      <c r="E623" s="2" t="s">
        <v>6099</v>
      </c>
      <c r="F623" s="2" t="s">
        <v>6100</v>
      </c>
      <c r="G623" s="2">
        <v>267218</v>
      </c>
      <c r="H623" s="3" t="str">
        <f>HYPERLINK("https://cloud.oebiotech.com/#/lm/network/267218", "https://cloud.oebiotech.com/#/lm/network/267218")</f>
        <v>https://cloud.oebiotech.com/#/lm/network/267218</v>
      </c>
      <c r="I623" s="2"/>
      <c r="J623" s="2">
        <v>45029</v>
      </c>
      <c r="K623" s="2"/>
      <c r="L623" s="2">
        <v>12367098</v>
      </c>
      <c r="M623" s="2"/>
      <c r="N623" s="2"/>
      <c r="O623" s="2"/>
      <c r="P623" s="2"/>
      <c r="Q623" s="2"/>
      <c r="R623" s="2"/>
      <c r="S623" s="2" t="s">
        <v>6101</v>
      </c>
      <c r="T623" s="2" t="s">
        <v>6102</v>
      </c>
      <c r="U623" s="2" t="s">
        <v>6103</v>
      </c>
      <c r="V623" s="2" t="s">
        <v>553</v>
      </c>
      <c r="W623" s="2" t="s">
        <v>6104</v>
      </c>
      <c r="X623" s="2" t="s">
        <v>6105</v>
      </c>
      <c r="Y623" s="2" t="s">
        <v>556</v>
      </c>
      <c r="Z623" s="2" t="s">
        <v>6106</v>
      </c>
      <c r="AA623" s="2" t="s">
        <v>6107</v>
      </c>
      <c r="AB623" s="2" t="s">
        <v>3086</v>
      </c>
      <c r="AC623" s="2">
        <v>56.03</v>
      </c>
      <c r="AD623" s="2">
        <v>96</v>
      </c>
      <c r="AE623" s="2">
        <v>0</v>
      </c>
      <c r="AF623" s="2" t="s">
        <v>5614</v>
      </c>
      <c r="AG623" s="2" t="s">
        <v>103</v>
      </c>
      <c r="AH623" s="2" t="s">
        <v>560</v>
      </c>
      <c r="AI623" s="2">
        <v>1.44</v>
      </c>
      <c r="AJ623" s="2">
        <v>20.217650644870101</v>
      </c>
      <c r="AK623" s="2">
        <v>20.252916872856201</v>
      </c>
      <c r="AL623" s="2">
        <v>20.480666186554899</v>
      </c>
      <c r="AM623" s="2">
        <v>20.517814660951199</v>
      </c>
      <c r="AN623" s="2">
        <v>20.416954526426</v>
      </c>
      <c r="AO623" s="2">
        <v>20.062456144474499</v>
      </c>
      <c r="AP623" s="2">
        <v>20.456985847064999</v>
      </c>
      <c r="AQ623" s="2">
        <v>19.633224823064801</v>
      </c>
      <c r="AR623" s="2">
        <v>20.4181969906905</v>
      </c>
      <c r="AS623" s="2">
        <v>20.200296933715801</v>
      </c>
      <c r="AT623" s="2">
        <v>20.136679347641302</v>
      </c>
      <c r="AU623" s="2">
        <v>20.2061741101984</v>
      </c>
      <c r="AV623" s="2">
        <v>19.960955653288</v>
      </c>
      <c r="AW623" s="2">
        <v>20.342531982824202</v>
      </c>
      <c r="AX623" s="2">
        <v>19.947994514223399</v>
      </c>
      <c r="AY623" s="2">
        <v>19.980109293335602</v>
      </c>
      <c r="AZ623" s="2">
        <v>20.2275773895927</v>
      </c>
      <c r="BA623" s="2">
        <v>19.645727608433301</v>
      </c>
      <c r="BB623" s="2">
        <v>19.028052599204301</v>
      </c>
      <c r="BC623" s="2">
        <v>20.6407896363506</v>
      </c>
      <c r="BD623" s="2">
        <v>20.078688936729801</v>
      </c>
      <c r="BE623" s="2">
        <v>19.9414697361686</v>
      </c>
      <c r="BF623" s="2">
        <v>20.2115151182952</v>
      </c>
      <c r="BG623" s="2">
        <v>20.296913418231199</v>
      </c>
      <c r="BH623" s="2">
        <v>20.0141111863751</v>
      </c>
      <c r="BI623" s="2">
        <v>20.009376214736101</v>
      </c>
      <c r="BJ623" s="2">
        <v>20.423978435925601</v>
      </c>
      <c r="BK623" s="2">
        <v>20.510238334165599</v>
      </c>
      <c r="BL623" s="2">
        <v>20.3439718937273</v>
      </c>
      <c r="BM623" s="2">
        <v>19.6316850520559</v>
      </c>
      <c r="BN623" s="2">
        <v>20.255559224072599</v>
      </c>
      <c r="BO623" s="2">
        <v>20.121454053708</v>
      </c>
      <c r="BP623" s="2">
        <v>19.007974233991199</v>
      </c>
      <c r="BQ623" s="2">
        <v>19.732031583508299</v>
      </c>
      <c r="BR623" s="2">
        <v>20.4443065016719</v>
      </c>
      <c r="BS623" s="2">
        <v>20.067538559105099</v>
      </c>
      <c r="BT623" s="2">
        <v>20.4009973002759</v>
      </c>
      <c r="BU623" s="2">
        <v>20.308365551985801</v>
      </c>
      <c r="BV623" s="2">
        <v>20.3539840378576</v>
      </c>
      <c r="BW623" s="2">
        <v>20.1721080575395</v>
      </c>
      <c r="BX623" s="2">
        <v>20.3565482352315</v>
      </c>
      <c r="BY623" s="2">
        <v>20.1869463886833</v>
      </c>
      <c r="BZ623" s="2">
        <v>19.957427635122801</v>
      </c>
      <c r="CA623" s="2">
        <v>20.1366076100119</v>
      </c>
      <c r="CB623" s="2">
        <v>20.096004388306799</v>
      </c>
      <c r="CC623" s="2">
        <v>20.037544527626899</v>
      </c>
      <c r="CD623" s="2">
        <v>19.584789168486701</v>
      </c>
      <c r="CE623" s="2">
        <v>20.229782947418599</v>
      </c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</row>
    <row r="624" spans="1:97">
      <c r="A624" s="2" t="s">
        <v>6108</v>
      </c>
      <c r="B624" s="2">
        <v>157.03627</v>
      </c>
      <c r="C624" s="2">
        <v>0.745</v>
      </c>
      <c r="D624" s="2" t="s">
        <v>146</v>
      </c>
      <c r="E624" s="2" t="s">
        <v>6109</v>
      </c>
      <c r="F624" s="2" t="s">
        <v>6110</v>
      </c>
      <c r="G624" s="2">
        <v>47454</v>
      </c>
      <c r="H624" s="3" t="str">
        <f>HYPERLINK("https://cloud.oebiotech.com/#/lm/network/47454", "https://cloud.oebiotech.com/#/lm/network/47454")</f>
        <v>https://cloud.oebiotech.com/#/lm/network/47454</v>
      </c>
      <c r="I624" s="2" t="s">
        <v>6111</v>
      </c>
      <c r="J624" s="2">
        <v>343</v>
      </c>
      <c r="K624" s="2"/>
      <c r="L624" s="2">
        <v>203</v>
      </c>
      <c r="M624" s="2" t="s">
        <v>6112</v>
      </c>
      <c r="N624" s="2" t="s">
        <v>811</v>
      </c>
      <c r="O624" s="2" t="s">
        <v>812</v>
      </c>
      <c r="P624" s="2">
        <v>30837</v>
      </c>
      <c r="Q624" s="2"/>
      <c r="R624" s="2"/>
      <c r="S624" s="2" t="s">
        <v>6113</v>
      </c>
      <c r="T624" s="2" t="s">
        <v>6114</v>
      </c>
      <c r="U624" s="2" t="s">
        <v>6115</v>
      </c>
      <c r="V624" s="2" t="s">
        <v>115</v>
      </c>
      <c r="W624" s="2" t="s">
        <v>116</v>
      </c>
      <c r="X624" s="2" t="s">
        <v>117</v>
      </c>
      <c r="Y624" s="2" t="s">
        <v>118</v>
      </c>
      <c r="Z624" s="2" t="s">
        <v>119</v>
      </c>
      <c r="AA624" s="2" t="s">
        <v>120</v>
      </c>
      <c r="AB624" s="2" t="s">
        <v>3086</v>
      </c>
      <c r="AC624" s="2">
        <v>56.02</v>
      </c>
      <c r="AD624" s="2">
        <v>96.78</v>
      </c>
      <c r="AE624" s="2">
        <v>0</v>
      </c>
      <c r="AF624" s="2" t="s">
        <v>5614</v>
      </c>
      <c r="AG624" s="2" t="s">
        <v>993</v>
      </c>
      <c r="AH624" s="2" t="s">
        <v>6116</v>
      </c>
      <c r="AI624" s="2">
        <v>-0.64</v>
      </c>
      <c r="AJ624" s="2">
        <v>19.676971604989301</v>
      </c>
      <c r="AK624" s="2">
        <v>19.115243522225999</v>
      </c>
      <c r="AL624" s="2">
        <v>19.546981382267099</v>
      </c>
      <c r="AM624" s="2">
        <v>19.114109928892798</v>
      </c>
      <c r="AN624" s="2">
        <v>19.477684263667602</v>
      </c>
      <c r="AO624" s="2">
        <v>18.8732084585275</v>
      </c>
      <c r="AP624" s="2">
        <v>19.424460708933701</v>
      </c>
      <c r="AQ624" s="2">
        <v>18.862986524304901</v>
      </c>
      <c r="AR624" s="2">
        <v>17.9217776086229</v>
      </c>
      <c r="AS624" s="2">
        <v>17.2011740827738</v>
      </c>
      <c r="AT624" s="2">
        <v>17.9717489778774</v>
      </c>
      <c r="AU624" s="2">
        <v>18.657693555959199</v>
      </c>
      <c r="AV624" s="2">
        <v>19.305409205110301</v>
      </c>
      <c r="AW624" s="2">
        <v>17.740932499826801</v>
      </c>
      <c r="AX624" s="2">
        <v>18.187947788812298</v>
      </c>
      <c r="AY624" s="2">
        <v>17.698200161558301</v>
      </c>
      <c r="AZ624" s="2">
        <v>18.734543521350499</v>
      </c>
      <c r="BA624" s="2">
        <v>18.740350410551901</v>
      </c>
      <c r="BB624" s="2">
        <v>17.848480150367099</v>
      </c>
      <c r="BC624" s="2">
        <v>16.443878237100002</v>
      </c>
      <c r="BD624" s="2">
        <v>17.007618958080901</v>
      </c>
      <c r="BE624" s="2">
        <v>18.760472612683699</v>
      </c>
      <c r="BF624" s="2">
        <v>17.8765988392468</v>
      </c>
      <c r="BG624" s="2">
        <v>18.835699016679801</v>
      </c>
      <c r="BH624" s="2">
        <v>18.048715310293002</v>
      </c>
      <c r="BI624" s="2">
        <v>17.8288850897302</v>
      </c>
      <c r="BJ624" s="2">
        <v>17.938428350268399</v>
      </c>
      <c r="BK624" s="2">
        <v>18.301303806145</v>
      </c>
      <c r="BL624" s="2">
        <v>17.726927715296899</v>
      </c>
      <c r="BM624" s="2">
        <v>18.474405582118699</v>
      </c>
      <c r="BN624" s="2">
        <v>21.090718667272199</v>
      </c>
      <c r="BO624" s="2">
        <v>18.600704902907701</v>
      </c>
      <c r="BP624" s="2">
        <v>18.926805708562298</v>
      </c>
      <c r="BQ624" s="2">
        <v>17.964825419211898</v>
      </c>
      <c r="BR624" s="2">
        <v>18.8495167991932</v>
      </c>
      <c r="BS624" s="2">
        <v>18.931165337421799</v>
      </c>
      <c r="BT624" s="2">
        <v>18.475910401003599</v>
      </c>
      <c r="BU624" s="2">
        <v>19.4416611674976</v>
      </c>
      <c r="BV624" s="2">
        <v>18.1110872629929</v>
      </c>
      <c r="BW624" s="2">
        <v>17.541667846396699</v>
      </c>
      <c r="BX624" s="2">
        <v>17.9889877309488</v>
      </c>
      <c r="BY624" s="2">
        <v>18.557471853830901</v>
      </c>
      <c r="BZ624" s="2">
        <v>18.872469882786501</v>
      </c>
      <c r="CA624" s="2">
        <v>17.833130369163701</v>
      </c>
      <c r="CB624" s="2">
        <v>16.417350503086901</v>
      </c>
      <c r="CC624" s="2">
        <v>18.817859862817102</v>
      </c>
      <c r="CD624" s="2">
        <v>18.364917173907099</v>
      </c>
      <c r="CE624" s="2">
        <v>18.673580990882702</v>
      </c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</row>
    <row r="625" spans="1:97">
      <c r="A625" s="2" t="s">
        <v>6117</v>
      </c>
      <c r="B625" s="2">
        <v>111.05534</v>
      </c>
      <c r="C625" s="2">
        <v>0.83</v>
      </c>
      <c r="D625" s="2" t="s">
        <v>84</v>
      </c>
      <c r="E625" s="2" t="s">
        <v>6118</v>
      </c>
      <c r="F625" s="2" t="s">
        <v>6119</v>
      </c>
      <c r="G625" s="2">
        <v>82605</v>
      </c>
      <c r="H625" s="3" t="str">
        <f>HYPERLINK("https://cloud.oebiotech.com/#/lm/network/82605", "https://cloud.oebiotech.com/#/lm/network/82605")</f>
        <v>https://cloud.oebiotech.com/#/lm/network/82605</v>
      </c>
      <c r="I625" s="2" t="s">
        <v>6120</v>
      </c>
      <c r="J625" s="2"/>
      <c r="K625" s="2"/>
      <c r="L625" s="2">
        <v>2762419</v>
      </c>
      <c r="M625" s="2"/>
      <c r="N625" s="2"/>
      <c r="O625" s="2"/>
      <c r="P625" s="2"/>
      <c r="Q625" s="2"/>
      <c r="R625" s="2"/>
      <c r="S625" s="2" t="s">
        <v>6121</v>
      </c>
      <c r="T625" s="2" t="s">
        <v>6122</v>
      </c>
      <c r="U625" s="2" t="s">
        <v>6123</v>
      </c>
      <c r="V625" s="2" t="s">
        <v>553</v>
      </c>
      <c r="W625" s="2" t="s">
        <v>2447</v>
      </c>
      <c r="X625" s="2" t="s">
        <v>6124</v>
      </c>
      <c r="Y625" s="2" t="s">
        <v>556</v>
      </c>
      <c r="Z625" s="2" t="s">
        <v>2449</v>
      </c>
      <c r="AA625" s="2" t="s">
        <v>6125</v>
      </c>
      <c r="AB625" s="2" t="s">
        <v>3086</v>
      </c>
      <c r="AC625" s="2">
        <v>55.99</v>
      </c>
      <c r="AD625" s="2">
        <v>96.6</v>
      </c>
      <c r="AE625" s="2">
        <v>0</v>
      </c>
      <c r="AF625" s="2" t="s">
        <v>5614</v>
      </c>
      <c r="AG625" s="2" t="s">
        <v>103</v>
      </c>
      <c r="AH625" s="2" t="s">
        <v>6126</v>
      </c>
      <c r="AI625" s="2">
        <v>0</v>
      </c>
      <c r="AJ625" s="2">
        <v>22.164731858185501</v>
      </c>
      <c r="AK625" s="2">
        <v>22.094567279270301</v>
      </c>
      <c r="AL625" s="2">
        <v>22.230128259236501</v>
      </c>
      <c r="AM625" s="2">
        <v>21.801471576295299</v>
      </c>
      <c r="AN625" s="2">
        <v>21.483711691377199</v>
      </c>
      <c r="AO625" s="2">
        <v>22.175222921688601</v>
      </c>
      <c r="AP625" s="2">
        <v>21.478148239857099</v>
      </c>
      <c r="AQ625" s="2">
        <v>21.9754756995458</v>
      </c>
      <c r="AR625" s="2">
        <v>21.851233754542399</v>
      </c>
      <c r="AS625" s="2">
        <v>21.872060954307202</v>
      </c>
      <c r="AT625" s="2">
        <v>21.847873104309201</v>
      </c>
      <c r="AU625" s="2">
        <v>21.9392973171446</v>
      </c>
      <c r="AV625" s="2">
        <v>22.013379753482798</v>
      </c>
      <c r="AW625" s="2">
        <v>20.6498757682517</v>
      </c>
      <c r="AX625" s="2">
        <v>21.935990739695999</v>
      </c>
      <c r="AY625" s="2">
        <v>21.941637224012599</v>
      </c>
      <c r="AZ625" s="2">
        <v>21.907008786417201</v>
      </c>
      <c r="BA625" s="2">
        <v>21.666519646961699</v>
      </c>
      <c r="BB625" s="2">
        <v>21.061006043648899</v>
      </c>
      <c r="BC625" s="2">
        <v>21.235634111723201</v>
      </c>
      <c r="BD625" s="2">
        <v>22.140211321284799</v>
      </c>
      <c r="BE625" s="2">
        <v>22.069461407538</v>
      </c>
      <c r="BF625" s="2">
        <v>21.863015462646999</v>
      </c>
      <c r="BG625" s="2">
        <v>21.898106983688098</v>
      </c>
      <c r="BH625" s="2">
        <v>22.052697391506001</v>
      </c>
      <c r="BI625" s="2">
        <v>22.0050588126416</v>
      </c>
      <c r="BJ625" s="2">
        <v>22.127477471560201</v>
      </c>
      <c r="BK625" s="2">
        <v>20.435144179072001</v>
      </c>
      <c r="BL625" s="2">
        <v>21.9767473188673</v>
      </c>
      <c r="BM625" s="2">
        <v>22.237816711641599</v>
      </c>
      <c r="BN625" s="2">
        <v>22.009677540698299</v>
      </c>
      <c r="BO625" s="2">
        <v>22.0134888192209</v>
      </c>
      <c r="BP625" s="2">
        <v>21.773199726990299</v>
      </c>
      <c r="BQ625" s="2">
        <v>22.0817226226123</v>
      </c>
      <c r="BR625" s="2">
        <v>22.059594284653301</v>
      </c>
      <c r="BS625" s="2">
        <v>21.045057588830701</v>
      </c>
      <c r="BT625" s="2">
        <v>22.150920525416002</v>
      </c>
      <c r="BU625" s="2">
        <v>21.932937934908299</v>
      </c>
      <c r="BV625" s="2">
        <v>22.232209310013001</v>
      </c>
      <c r="BW625" s="2">
        <v>22.0362967200954</v>
      </c>
      <c r="BX625" s="2">
        <v>22.293146536571498</v>
      </c>
      <c r="BY625" s="2">
        <v>22.192519996847601</v>
      </c>
      <c r="BZ625" s="2">
        <v>21.6484411205805</v>
      </c>
      <c r="CA625" s="2">
        <v>22.274799723863602</v>
      </c>
      <c r="CB625" s="2">
        <v>21.8897976300617</v>
      </c>
      <c r="CC625" s="2">
        <v>22.264136359277298</v>
      </c>
      <c r="CD625" s="2">
        <v>22.1006578833132</v>
      </c>
      <c r="CE625" s="2">
        <v>22.059361296006301</v>
      </c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</row>
    <row r="626" spans="1:97">
      <c r="A626" s="2" t="s">
        <v>6127</v>
      </c>
      <c r="B626" s="2">
        <v>180.06872000000001</v>
      </c>
      <c r="C626" s="2">
        <v>0.82399999999999995</v>
      </c>
      <c r="D626" s="2" t="s">
        <v>84</v>
      </c>
      <c r="E626" s="2" t="s">
        <v>6128</v>
      </c>
      <c r="F626" s="2" t="s">
        <v>6129</v>
      </c>
      <c r="G626" s="2">
        <v>206991</v>
      </c>
      <c r="H626" s="3" t="str">
        <f>HYPERLINK("https://cloud.oebiotech.com/#/lm/network/206991", "https://cloud.oebiotech.com/#/lm/network/206991")</f>
        <v>https://cloud.oebiotech.com/#/lm/network/206991</v>
      </c>
      <c r="I626" s="2" t="s">
        <v>6130</v>
      </c>
      <c r="J626" s="2"/>
      <c r="K626" s="2"/>
      <c r="L626" s="2">
        <v>362789</v>
      </c>
      <c r="M626" s="2"/>
      <c r="N626" s="2"/>
      <c r="O626" s="2"/>
      <c r="P626" s="2"/>
      <c r="Q626" s="2"/>
      <c r="R626" s="2"/>
      <c r="S626" s="2"/>
      <c r="T626" s="2" t="s">
        <v>6131</v>
      </c>
      <c r="U626" s="2" t="s">
        <v>6132</v>
      </c>
      <c r="V626" s="2" t="s">
        <v>115</v>
      </c>
      <c r="W626" s="2" t="s">
        <v>116</v>
      </c>
      <c r="X626" s="2" t="s">
        <v>117</v>
      </c>
      <c r="Y626" s="2" t="s">
        <v>118</v>
      </c>
      <c r="Z626" s="2" t="s">
        <v>119</v>
      </c>
      <c r="AA626" s="2" t="s">
        <v>120</v>
      </c>
      <c r="AB626" s="2" t="s">
        <v>3086</v>
      </c>
      <c r="AC626" s="2">
        <v>55.95</v>
      </c>
      <c r="AD626" s="2">
        <v>92.88</v>
      </c>
      <c r="AE626" s="2">
        <v>0</v>
      </c>
      <c r="AF626" s="2" t="s">
        <v>5614</v>
      </c>
      <c r="AG626" s="2" t="s">
        <v>103</v>
      </c>
      <c r="AH626" s="2" t="s">
        <v>6133</v>
      </c>
      <c r="AI626" s="2">
        <v>1.1100000000000001</v>
      </c>
      <c r="AJ626" s="2">
        <v>20.272812039726201</v>
      </c>
      <c r="AK626" s="2">
        <v>20.541584686712699</v>
      </c>
      <c r="AL626" s="2">
        <v>20.5328285130011</v>
      </c>
      <c r="AM626" s="2">
        <v>20.8095457201524</v>
      </c>
      <c r="AN626" s="2">
        <v>20.228444196314001</v>
      </c>
      <c r="AO626" s="2">
        <v>20.761909706140798</v>
      </c>
      <c r="AP626" s="2">
        <v>20.5808130413809</v>
      </c>
      <c r="AQ626" s="2">
        <v>20.528419150611501</v>
      </c>
      <c r="AR626" s="2">
        <v>19.8536513629616</v>
      </c>
      <c r="AS626" s="2">
        <v>20.469204520676499</v>
      </c>
      <c r="AT626" s="2">
        <v>19.971722080793899</v>
      </c>
      <c r="AU626" s="2">
        <v>19.795782801801</v>
      </c>
      <c r="AV626" s="2">
        <v>20.802713113970299</v>
      </c>
      <c r="AW626" s="2">
        <v>20.441858258854602</v>
      </c>
      <c r="AX626" s="2">
        <v>20.468182688157601</v>
      </c>
      <c r="AY626" s="2">
        <v>21.241447221323799</v>
      </c>
      <c r="AZ626" s="2">
        <v>20.759723942446801</v>
      </c>
      <c r="BA626" s="2">
        <v>20.810382466612101</v>
      </c>
      <c r="BB626" s="2">
        <v>20.499124695986801</v>
      </c>
      <c r="BC626" s="2">
        <v>20.182137931090899</v>
      </c>
      <c r="BD626" s="2">
        <v>20.164137850209698</v>
      </c>
      <c r="BE626" s="2">
        <v>20.94234701908</v>
      </c>
      <c r="BF626" s="2">
        <v>21.285297406887299</v>
      </c>
      <c r="BG626" s="2">
        <v>20.398381678678</v>
      </c>
      <c r="BH626" s="2">
        <v>21.1752586203934</v>
      </c>
      <c r="BI626" s="2">
        <v>20.115307476963</v>
      </c>
      <c r="BJ626" s="2">
        <v>21.055512737525699</v>
      </c>
      <c r="BK626" s="2">
        <v>20.027742724372199</v>
      </c>
      <c r="BL626" s="2">
        <v>20.4220934877718</v>
      </c>
      <c r="BM626" s="2">
        <v>21.2598388829207</v>
      </c>
      <c r="BN626" s="2">
        <v>20.714900004474199</v>
      </c>
      <c r="BO626" s="2">
        <v>20.494707561310499</v>
      </c>
      <c r="BP626" s="2">
        <v>20.509432357968599</v>
      </c>
      <c r="BQ626" s="2">
        <v>20.924865654579801</v>
      </c>
      <c r="BR626" s="2">
        <v>20.859504818896099</v>
      </c>
      <c r="BS626" s="2">
        <v>20.730663461964198</v>
      </c>
      <c r="BT626" s="2">
        <v>19.971118764050999</v>
      </c>
      <c r="BU626" s="2">
        <v>20.599348634455399</v>
      </c>
      <c r="BV626" s="2">
        <v>19.745831204356602</v>
      </c>
      <c r="BW626" s="2">
        <v>20.4942211845682</v>
      </c>
      <c r="BX626" s="2">
        <v>20.8481963391392</v>
      </c>
      <c r="BY626" s="2">
        <v>20.904295619708702</v>
      </c>
      <c r="BZ626" s="2">
        <v>20.692003695919201</v>
      </c>
      <c r="CA626" s="2">
        <v>21.576383525642999</v>
      </c>
      <c r="CB626" s="2">
        <v>21.040552868934501</v>
      </c>
      <c r="CC626" s="2">
        <v>20.488832836130801</v>
      </c>
      <c r="CD626" s="2">
        <v>21.3249074322392</v>
      </c>
      <c r="CE626" s="2">
        <v>20.783928802234101</v>
      </c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</row>
    <row r="627" spans="1:97">
      <c r="A627" s="2" t="s">
        <v>6134</v>
      </c>
      <c r="B627" s="2">
        <v>99.008470000000003</v>
      </c>
      <c r="C627" s="2">
        <v>0.79400000000000004</v>
      </c>
      <c r="D627" s="2" t="s">
        <v>146</v>
      </c>
      <c r="E627" s="2" t="s">
        <v>6135</v>
      </c>
      <c r="F627" s="2" t="s">
        <v>6136</v>
      </c>
      <c r="G627" s="2">
        <v>47310</v>
      </c>
      <c r="H627" s="3" t="str">
        <f>HYPERLINK("https://cloud.oebiotech.com/#/lm/network/47310", "https://cloud.oebiotech.com/#/lm/network/47310")</f>
        <v>https://cloud.oebiotech.com/#/lm/network/47310</v>
      </c>
      <c r="I627" s="2" t="s">
        <v>6137</v>
      </c>
      <c r="J627" s="2">
        <v>5888</v>
      </c>
      <c r="K627" s="2"/>
      <c r="L627" s="2">
        <v>2724794</v>
      </c>
      <c r="M627" s="2"/>
      <c r="N627" s="2"/>
      <c r="O627" s="2"/>
      <c r="P627" s="2">
        <v>71176</v>
      </c>
      <c r="Q627" s="2"/>
      <c r="R627" s="2"/>
      <c r="S627" s="2" t="s">
        <v>6138</v>
      </c>
      <c r="T627" s="2" t="s">
        <v>6139</v>
      </c>
      <c r="U627" s="2" t="s">
        <v>6140</v>
      </c>
      <c r="V627" s="2" t="s">
        <v>553</v>
      </c>
      <c r="W627" s="2" t="s">
        <v>3480</v>
      </c>
      <c r="X627" s="2" t="s">
        <v>3481</v>
      </c>
      <c r="Y627" s="2" t="s">
        <v>556</v>
      </c>
      <c r="Z627" s="2" t="s">
        <v>3482</v>
      </c>
      <c r="AA627" s="2" t="s">
        <v>3483</v>
      </c>
      <c r="AB627" s="2" t="s">
        <v>3086</v>
      </c>
      <c r="AC627" s="2">
        <v>55.93</v>
      </c>
      <c r="AD627" s="2">
        <v>97.55</v>
      </c>
      <c r="AE627" s="2">
        <v>0</v>
      </c>
      <c r="AF627" s="2" t="s">
        <v>5614</v>
      </c>
      <c r="AG627" s="2" t="s">
        <v>993</v>
      </c>
      <c r="AH627" s="2" t="s">
        <v>6141</v>
      </c>
      <c r="AI627" s="2">
        <v>-2.5299999999999998</v>
      </c>
      <c r="AJ627" s="2">
        <v>20.939158683568799</v>
      </c>
      <c r="AK627" s="2">
        <v>20.435347565469101</v>
      </c>
      <c r="AL627" s="2">
        <v>20.6852253103681</v>
      </c>
      <c r="AM627" s="2">
        <v>20.9743551172389</v>
      </c>
      <c r="AN627" s="2">
        <v>20.2139613651335</v>
      </c>
      <c r="AO627" s="2">
        <v>20.846539760694998</v>
      </c>
      <c r="AP627" s="2">
        <v>20.544755584412599</v>
      </c>
      <c r="AQ627" s="2">
        <v>20.948727221582502</v>
      </c>
      <c r="AR627" s="2">
        <v>20.1333314016656</v>
      </c>
      <c r="AS627" s="2">
        <v>20.007155703556499</v>
      </c>
      <c r="AT627" s="2">
        <v>20.275396318216799</v>
      </c>
      <c r="AU627" s="2">
        <v>19.3565113548214</v>
      </c>
      <c r="AV627" s="2">
        <v>19.850827805180799</v>
      </c>
      <c r="AW627" s="2">
        <v>20.1573657984653</v>
      </c>
      <c r="AX627" s="2">
        <v>20.274883840121799</v>
      </c>
      <c r="AY627" s="2">
        <v>20.9223655194683</v>
      </c>
      <c r="AZ627" s="2">
        <v>20.473534434471901</v>
      </c>
      <c r="BA627" s="2">
        <v>20.3875295931125</v>
      </c>
      <c r="BB627" s="2">
        <v>20.719230141699601</v>
      </c>
      <c r="BC627" s="2">
        <v>20.7543768551865</v>
      </c>
      <c r="BD627" s="2">
        <v>20.214339162836399</v>
      </c>
      <c r="BE627" s="2">
        <v>19.8196959966719</v>
      </c>
      <c r="BF627" s="2">
        <v>20.143031984697799</v>
      </c>
      <c r="BG627" s="2">
        <v>20.778324095979301</v>
      </c>
      <c r="BH627" s="2">
        <v>20.360462917195001</v>
      </c>
      <c r="BI627" s="2">
        <v>20.6834428110026</v>
      </c>
      <c r="BJ627" s="2">
        <v>20.795398908692199</v>
      </c>
      <c r="BK627" s="2">
        <v>20.8404715629683</v>
      </c>
      <c r="BL627" s="2">
        <v>20.339855992794401</v>
      </c>
      <c r="BM627" s="2">
        <v>20.158749152150701</v>
      </c>
      <c r="BN627" s="2">
        <v>20.648373259575798</v>
      </c>
      <c r="BO627" s="2">
        <v>20.8938037002127</v>
      </c>
      <c r="BP627" s="2">
        <v>20.671134480921499</v>
      </c>
      <c r="BQ627" s="2">
        <v>20.1996910459448</v>
      </c>
      <c r="BR627" s="2">
        <v>20.430944106433699</v>
      </c>
      <c r="BS627" s="2">
        <v>20.960585234098701</v>
      </c>
      <c r="BT627" s="2">
        <v>21.0571115772089</v>
      </c>
      <c r="BU627" s="2">
        <v>19.420856421332498</v>
      </c>
      <c r="BV627" s="2">
        <v>20.084643022817399</v>
      </c>
      <c r="BW627" s="2">
        <v>20.6351199521092</v>
      </c>
      <c r="BX627" s="2">
        <v>20.156529058608999</v>
      </c>
      <c r="BY627" s="2">
        <v>20.275813758826001</v>
      </c>
      <c r="BZ627" s="2">
        <v>20.8345199279442</v>
      </c>
      <c r="CA627" s="2">
        <v>20.5156865000374</v>
      </c>
      <c r="CB627" s="2">
        <v>20.097360856861201</v>
      </c>
      <c r="CC627" s="2">
        <v>20.0591149017697</v>
      </c>
      <c r="CD627" s="2">
        <v>20.0966252663113</v>
      </c>
      <c r="CE627" s="2">
        <v>19.477806460069399</v>
      </c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</row>
    <row r="628" spans="1:97">
      <c r="A628" s="2" t="s">
        <v>6142</v>
      </c>
      <c r="B628" s="2">
        <v>145.08668</v>
      </c>
      <c r="C628" s="2">
        <v>5.5439999999999996</v>
      </c>
      <c r="D628" s="2" t="s">
        <v>146</v>
      </c>
      <c r="E628" s="2" t="s">
        <v>6143</v>
      </c>
      <c r="F628" s="2" t="s">
        <v>6144</v>
      </c>
      <c r="G628" s="2">
        <v>1665</v>
      </c>
      <c r="H628" s="3" t="str">
        <f>HYPERLINK("https://cloud.oebiotech.com/#/lm/network/1665", "https://cloud.oebiotech.com/#/lm/network/1665")</f>
        <v>https://cloud.oebiotech.com/#/lm/network/1665</v>
      </c>
      <c r="I628" s="2"/>
      <c r="J628" s="2">
        <v>35401</v>
      </c>
      <c r="K628" s="2" t="s">
        <v>6145</v>
      </c>
      <c r="L628" s="2">
        <v>138016</v>
      </c>
      <c r="M628" s="2"/>
      <c r="N628" s="2"/>
      <c r="O628" s="2"/>
      <c r="P628" s="2">
        <v>79112</v>
      </c>
      <c r="Q628" s="2"/>
      <c r="R628" s="2"/>
      <c r="S628" s="2"/>
      <c r="T628" s="2" t="s">
        <v>6146</v>
      </c>
      <c r="U628" s="2" t="s">
        <v>6147</v>
      </c>
      <c r="V628" s="2" t="s">
        <v>115</v>
      </c>
      <c r="W628" s="2" t="s">
        <v>832</v>
      </c>
      <c r="X628" s="2" t="s">
        <v>4084</v>
      </c>
      <c r="Y628" s="2" t="s">
        <v>118</v>
      </c>
      <c r="Z628" s="2" t="s">
        <v>834</v>
      </c>
      <c r="AA628" s="2" t="s">
        <v>4085</v>
      </c>
      <c r="AB628" s="2" t="s">
        <v>3086</v>
      </c>
      <c r="AC628" s="2">
        <v>55.92</v>
      </c>
      <c r="AD628" s="2">
        <v>95.59</v>
      </c>
      <c r="AE628" s="2">
        <v>0</v>
      </c>
      <c r="AF628" s="2" t="s">
        <v>5614</v>
      </c>
      <c r="AG628" s="2" t="s">
        <v>194</v>
      </c>
      <c r="AH628" s="2" t="s">
        <v>6148</v>
      </c>
      <c r="AI628" s="2">
        <v>2.0699999999999998</v>
      </c>
      <c r="AJ628" s="2">
        <v>20.302136413164899</v>
      </c>
      <c r="AK628" s="2">
        <v>20.335231606846801</v>
      </c>
      <c r="AL628" s="2">
        <v>19.8505191459051</v>
      </c>
      <c r="AM628" s="2">
        <v>19.733114651888702</v>
      </c>
      <c r="AN628" s="2">
        <v>19.922545409330301</v>
      </c>
      <c r="AO628" s="2">
        <v>19.5629861258587</v>
      </c>
      <c r="AP628" s="2">
        <v>19.537415933870601</v>
      </c>
      <c r="AQ628" s="2">
        <v>19.941431235572601</v>
      </c>
      <c r="AR628" s="2">
        <v>19.1247650625481</v>
      </c>
      <c r="AS628" s="2">
        <v>19.673554785032302</v>
      </c>
      <c r="AT628" s="2">
        <v>19.8243187611892</v>
      </c>
      <c r="AU628" s="2">
        <v>20.270116415900699</v>
      </c>
      <c r="AV628" s="2">
        <v>20.005215915583999</v>
      </c>
      <c r="AW628" s="2">
        <v>20.7039383136208</v>
      </c>
      <c r="AX628" s="2">
        <v>19.698799555489199</v>
      </c>
      <c r="AY628" s="2">
        <v>20.149420720555199</v>
      </c>
      <c r="AZ628" s="2">
        <v>19.966820032687099</v>
      </c>
      <c r="BA628" s="2">
        <v>19.963611717645399</v>
      </c>
      <c r="BB628" s="2">
        <v>19.985829056931099</v>
      </c>
      <c r="BC628" s="2">
        <v>19.917383458302101</v>
      </c>
      <c r="BD628" s="2">
        <v>20.3747077649234</v>
      </c>
      <c r="BE628" s="2">
        <v>19.766316606345701</v>
      </c>
      <c r="BF628" s="2">
        <v>19.3769609566281</v>
      </c>
      <c r="BG628" s="2">
        <v>20.158809333792998</v>
      </c>
      <c r="BH628" s="2">
        <v>20.237970276443299</v>
      </c>
      <c r="BI628" s="2">
        <v>19.7804026532819</v>
      </c>
      <c r="BJ628" s="2">
        <v>20.200958609949001</v>
      </c>
      <c r="BK628" s="2">
        <v>20.193787995007799</v>
      </c>
      <c r="BL628" s="2">
        <v>19.843573342109501</v>
      </c>
      <c r="BM628" s="2">
        <v>20.132354202676801</v>
      </c>
      <c r="BN628" s="2">
        <v>20.321177141548102</v>
      </c>
      <c r="BO628" s="2">
        <v>19.977932976917199</v>
      </c>
      <c r="BP628" s="2">
        <v>20.162771590687399</v>
      </c>
      <c r="BQ628" s="2">
        <v>20.379175651536698</v>
      </c>
      <c r="BR628" s="2">
        <v>20.1823371603965</v>
      </c>
      <c r="BS628" s="2">
        <v>20.944759480468999</v>
      </c>
      <c r="BT628" s="2">
        <v>19.890035749862001</v>
      </c>
      <c r="BU628" s="2">
        <v>20.280697402213701</v>
      </c>
      <c r="BV628" s="2">
        <v>20.133489297561798</v>
      </c>
      <c r="BW628" s="2">
        <v>19.3814076752844</v>
      </c>
      <c r="BX628" s="2">
        <v>20.202639444636102</v>
      </c>
      <c r="BY628" s="2">
        <v>20.467327418350202</v>
      </c>
      <c r="BZ628" s="2">
        <v>20.0266325963428</v>
      </c>
      <c r="CA628" s="2">
        <v>20.0622516432325</v>
      </c>
      <c r="CB628" s="2">
        <v>20.109717926574699</v>
      </c>
      <c r="CC628" s="2">
        <v>19.801510091539999</v>
      </c>
      <c r="CD628" s="2">
        <v>20.543715447557901</v>
      </c>
      <c r="CE628" s="2">
        <v>20.137380116229501</v>
      </c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</row>
    <row r="629" spans="1:97">
      <c r="A629" s="2" t="s">
        <v>6149</v>
      </c>
      <c r="B629" s="2">
        <v>231.06173000000001</v>
      </c>
      <c r="C629" s="2">
        <v>0.81599999999999995</v>
      </c>
      <c r="D629" s="2" t="s">
        <v>146</v>
      </c>
      <c r="E629" s="2" t="s">
        <v>6150</v>
      </c>
      <c r="F629" s="2" t="s">
        <v>6151</v>
      </c>
      <c r="G629" s="2">
        <v>211808</v>
      </c>
      <c r="H629" s="3" t="str">
        <f>HYPERLINK("https://cloud.oebiotech.com/#/lm/network/211808", "https://cloud.oebiotech.com/#/lm/network/211808")</f>
        <v>https://cloud.oebiotech.com/#/lm/network/211808</v>
      </c>
      <c r="I629" s="2" t="s">
        <v>6152</v>
      </c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 t="s">
        <v>6153</v>
      </c>
      <c r="U629" s="2" t="s">
        <v>6154</v>
      </c>
      <c r="V629" s="2" t="s">
        <v>115</v>
      </c>
      <c r="W629" s="2" t="s">
        <v>116</v>
      </c>
      <c r="X629" s="2" t="s">
        <v>117</v>
      </c>
      <c r="Y629" s="2" t="s">
        <v>118</v>
      </c>
      <c r="Z629" s="2" t="s">
        <v>119</v>
      </c>
      <c r="AA629" s="2" t="s">
        <v>120</v>
      </c>
      <c r="AB629" s="2" t="s">
        <v>3086</v>
      </c>
      <c r="AC629" s="2">
        <v>55.91</v>
      </c>
      <c r="AD629" s="2">
        <v>94.43</v>
      </c>
      <c r="AE629" s="2">
        <v>0</v>
      </c>
      <c r="AF629" s="2" t="s">
        <v>5614</v>
      </c>
      <c r="AG629" s="2" t="s">
        <v>993</v>
      </c>
      <c r="AH629" s="2" t="s">
        <v>6155</v>
      </c>
      <c r="AI629" s="2">
        <v>0</v>
      </c>
      <c r="AJ629" s="2">
        <v>20.432164592857902</v>
      </c>
      <c r="AK629" s="2">
        <v>19.4897148649302</v>
      </c>
      <c r="AL629" s="2">
        <v>19.670400829935001</v>
      </c>
      <c r="AM629" s="2">
        <v>20.0177457462418</v>
      </c>
      <c r="AN629" s="2">
        <v>19.880971003626598</v>
      </c>
      <c r="AO629" s="2">
        <v>19.962506039637301</v>
      </c>
      <c r="AP629" s="2">
        <v>19.948515527318101</v>
      </c>
      <c r="AQ629" s="2">
        <v>19.745730235097501</v>
      </c>
      <c r="AR629" s="2">
        <v>19.9432038766085</v>
      </c>
      <c r="AS629" s="2">
        <v>19.467745555900599</v>
      </c>
      <c r="AT629" s="2">
        <v>19.980518084777501</v>
      </c>
      <c r="AU629" s="2">
        <v>20.5278234100502</v>
      </c>
      <c r="AV629" s="2">
        <v>20.379382206586602</v>
      </c>
      <c r="AW629" s="2">
        <v>19.617222347453399</v>
      </c>
      <c r="AX629" s="2">
        <v>19.744791061372499</v>
      </c>
      <c r="AY629" s="2">
        <v>19.631985417238301</v>
      </c>
      <c r="AZ629" s="2">
        <v>20.1750158798088</v>
      </c>
      <c r="BA629" s="2">
        <v>19.8408089432453</v>
      </c>
      <c r="BB629" s="2">
        <v>20.614908286933499</v>
      </c>
      <c r="BC629" s="2">
        <v>20.922153653169801</v>
      </c>
      <c r="BD629" s="2">
        <v>20.056657558383399</v>
      </c>
      <c r="BE629" s="2">
        <v>19.9379349503924</v>
      </c>
      <c r="BF629" s="2">
        <v>20.301875359887699</v>
      </c>
      <c r="BG629" s="2">
        <v>20.197425850103699</v>
      </c>
      <c r="BH629" s="2">
        <v>19.323016705731298</v>
      </c>
      <c r="BI629" s="2">
        <v>19.908378825100701</v>
      </c>
      <c r="BJ629" s="2">
        <v>19.455205573679699</v>
      </c>
      <c r="BK629" s="2">
        <v>19.835396232802399</v>
      </c>
      <c r="BL629" s="2">
        <v>19.698236913374799</v>
      </c>
      <c r="BM629" s="2">
        <v>19.201841661065899</v>
      </c>
      <c r="BN629" s="2">
        <v>19.4520570784636</v>
      </c>
      <c r="BO629" s="2">
        <v>19.516167003300001</v>
      </c>
      <c r="BP629" s="2">
        <v>19.3790266537478</v>
      </c>
      <c r="BQ629" s="2">
        <v>20.122952425932201</v>
      </c>
      <c r="BR629" s="2">
        <v>19.397705233245699</v>
      </c>
      <c r="BS629" s="2">
        <v>19.483497543441899</v>
      </c>
      <c r="BT629" s="2">
        <v>20.238010863424901</v>
      </c>
      <c r="BU629" s="2">
        <v>19.742031975642899</v>
      </c>
      <c r="BV629" s="2">
        <v>20.416431697564999</v>
      </c>
      <c r="BW629" s="2">
        <v>20.6923839582788</v>
      </c>
      <c r="BX629" s="2">
        <v>19.145483870196301</v>
      </c>
      <c r="BY629" s="2">
        <v>20.065121087404801</v>
      </c>
      <c r="BZ629" s="2">
        <v>20.239584265560602</v>
      </c>
      <c r="CA629" s="2">
        <v>19.5126587819869</v>
      </c>
      <c r="CB629" s="2">
        <v>19.7357240553095</v>
      </c>
      <c r="CC629" s="2">
        <v>19.565514008224898</v>
      </c>
      <c r="CD629" s="2">
        <v>19.804314038143701</v>
      </c>
      <c r="CE629" s="2">
        <v>19.6419603507609</v>
      </c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</row>
    <row r="630" spans="1:97">
      <c r="A630" s="2" t="s">
        <v>6156</v>
      </c>
      <c r="B630" s="2">
        <v>132.07678999999999</v>
      </c>
      <c r="C630" s="2">
        <v>1.177</v>
      </c>
      <c r="D630" s="2" t="s">
        <v>84</v>
      </c>
      <c r="E630" s="2" t="s">
        <v>6157</v>
      </c>
      <c r="F630" s="2" t="s">
        <v>6158</v>
      </c>
      <c r="G630" s="2">
        <v>46858</v>
      </c>
      <c r="H630" s="3" t="str">
        <f>HYPERLINK("https://cloud.oebiotech.com/#/lm/network/46858", "https://cloud.oebiotech.com/#/lm/network/46858")</f>
        <v>https://cloud.oebiotech.com/#/lm/network/46858</v>
      </c>
      <c r="I630" s="2" t="s">
        <v>6159</v>
      </c>
      <c r="J630" s="2">
        <v>285</v>
      </c>
      <c r="K630" s="2"/>
      <c r="L630" s="2">
        <v>649</v>
      </c>
      <c r="M630" s="2" t="s">
        <v>6160</v>
      </c>
      <c r="N630" s="2" t="s">
        <v>6161</v>
      </c>
      <c r="O630" s="2" t="s">
        <v>6162</v>
      </c>
      <c r="P630" s="2">
        <v>15901</v>
      </c>
      <c r="Q630" s="2" t="s">
        <v>6163</v>
      </c>
      <c r="R630" s="2" t="s">
        <v>6164</v>
      </c>
      <c r="S630" s="2" t="s">
        <v>6165</v>
      </c>
      <c r="T630" s="2" t="s">
        <v>6166</v>
      </c>
      <c r="U630" s="2" t="s">
        <v>6167</v>
      </c>
      <c r="V630" s="2" t="s">
        <v>553</v>
      </c>
      <c r="W630" s="2" t="s">
        <v>6104</v>
      </c>
      <c r="X630" s="2" t="s">
        <v>6105</v>
      </c>
      <c r="Y630" s="2" t="s">
        <v>556</v>
      </c>
      <c r="Z630" s="2" t="s">
        <v>6106</v>
      </c>
      <c r="AA630" s="2" t="s">
        <v>6107</v>
      </c>
      <c r="AB630" s="2" t="s">
        <v>3086</v>
      </c>
      <c r="AC630" s="2">
        <v>55.88</v>
      </c>
      <c r="AD630" s="2">
        <v>96.99</v>
      </c>
      <c r="AE630" s="2">
        <v>0</v>
      </c>
      <c r="AF630" s="2" t="s">
        <v>5614</v>
      </c>
      <c r="AG630" s="2" t="s">
        <v>132</v>
      </c>
      <c r="AH630" s="2" t="s">
        <v>6168</v>
      </c>
      <c r="AI630" s="2">
        <v>0</v>
      </c>
      <c r="AJ630" s="2">
        <v>21.3468048348428</v>
      </c>
      <c r="AK630" s="2">
        <v>21.661605647281402</v>
      </c>
      <c r="AL630" s="2">
        <v>21.558185322971699</v>
      </c>
      <c r="AM630" s="2">
        <v>21.7717655855358</v>
      </c>
      <c r="AN630" s="2">
        <v>22.0793649913414</v>
      </c>
      <c r="AO630" s="2">
        <v>21.8205799743589</v>
      </c>
      <c r="AP630" s="2">
        <v>21.4337687573287</v>
      </c>
      <c r="AQ630" s="2">
        <v>21.883456318785601</v>
      </c>
      <c r="AR630" s="2">
        <v>20.9651202385439</v>
      </c>
      <c r="AS630" s="2">
        <v>20.404568726259001</v>
      </c>
      <c r="AT630" s="2">
        <v>20.787411845582699</v>
      </c>
      <c r="AU630" s="2">
        <v>21.063553670536098</v>
      </c>
      <c r="AV630" s="2">
        <v>21.201420150168101</v>
      </c>
      <c r="AW630" s="2">
        <v>21.971033519431401</v>
      </c>
      <c r="AX630" s="2">
        <v>21.838244887647502</v>
      </c>
      <c r="AY630" s="2">
        <v>21.767589644384099</v>
      </c>
      <c r="AZ630" s="2">
        <v>21.289945767774199</v>
      </c>
      <c r="BA630" s="2">
        <v>19.437969391474901</v>
      </c>
      <c r="BB630" s="2">
        <v>21.8661734264351</v>
      </c>
      <c r="BC630" s="2">
        <v>21.803699754563901</v>
      </c>
      <c r="BD630" s="2">
        <v>21.0869772197264</v>
      </c>
      <c r="BE630" s="2">
        <v>21.7560225670336</v>
      </c>
      <c r="BF630" s="2">
        <v>20.493253275727799</v>
      </c>
      <c r="BG630" s="2">
        <v>21.185310535825799</v>
      </c>
      <c r="BH630" s="2">
        <v>21.971798529916001</v>
      </c>
      <c r="BI630" s="2">
        <v>21.116241267863501</v>
      </c>
      <c r="BJ630" s="2">
        <v>22.042937573089699</v>
      </c>
      <c r="BK630" s="2">
        <v>21.9537428653496</v>
      </c>
      <c r="BL630" s="2">
        <v>20.272018392054601</v>
      </c>
      <c r="BM630" s="2">
        <v>21.496912188740598</v>
      </c>
      <c r="BN630" s="2">
        <v>22.3324345490404</v>
      </c>
      <c r="BO630" s="2">
        <v>21.208113222759401</v>
      </c>
      <c r="BP630" s="2">
        <v>21.289475740037499</v>
      </c>
      <c r="BQ630" s="2">
        <v>21.235117743075499</v>
      </c>
      <c r="BR630" s="2">
        <v>21.5747826838893</v>
      </c>
      <c r="BS630" s="2">
        <v>21.545695819182502</v>
      </c>
      <c r="BT630" s="2">
        <v>20.422627018164601</v>
      </c>
      <c r="BU630" s="2">
        <v>20.4892696053106</v>
      </c>
      <c r="BV630" s="2">
        <v>20.6705857687293</v>
      </c>
      <c r="BW630" s="2">
        <v>20.759733401038702</v>
      </c>
      <c r="BX630" s="2">
        <v>22.096097761659799</v>
      </c>
      <c r="BY630" s="2">
        <v>22.7672521965955</v>
      </c>
      <c r="BZ630" s="2">
        <v>21.540395564134698</v>
      </c>
      <c r="CA630" s="2">
        <v>21.070769146617</v>
      </c>
      <c r="CB630" s="2">
        <v>21.6014660968622</v>
      </c>
      <c r="CC630" s="2">
        <v>21.420851534409699</v>
      </c>
      <c r="CD630" s="2">
        <v>21.264599011998701</v>
      </c>
      <c r="CE630" s="2">
        <v>22.0969871234695</v>
      </c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</row>
    <row r="631" spans="1:97">
      <c r="A631" s="2" t="s">
        <v>6169</v>
      </c>
      <c r="B631" s="2">
        <v>533.16339000000005</v>
      </c>
      <c r="C631" s="2">
        <v>4.9450000000000003</v>
      </c>
      <c r="D631" s="2" t="s">
        <v>146</v>
      </c>
      <c r="E631" s="2" t="s">
        <v>6170</v>
      </c>
      <c r="F631" s="2" t="s">
        <v>6171</v>
      </c>
      <c r="G631" s="2">
        <v>34315</v>
      </c>
      <c r="H631" s="3" t="str">
        <f>HYPERLINK("https://cloud.oebiotech.com/#/lm/network/34315", "https://cloud.oebiotech.com/#/lm/network/34315")</f>
        <v>https://cloud.oebiotech.com/#/lm/network/34315</v>
      </c>
      <c r="I631" s="2"/>
      <c r="J631" s="2"/>
      <c r="K631" s="2" t="s">
        <v>6172</v>
      </c>
      <c r="L631" s="2">
        <v>42607853</v>
      </c>
      <c r="M631" s="2"/>
      <c r="N631" s="2"/>
      <c r="O631" s="2"/>
      <c r="P631" s="2"/>
      <c r="Q631" s="2"/>
      <c r="R631" s="2"/>
      <c r="S631" s="2"/>
      <c r="T631" s="2" t="s">
        <v>6173</v>
      </c>
      <c r="U631" s="2" t="s">
        <v>6174</v>
      </c>
      <c r="V631" s="2" t="s">
        <v>845</v>
      </c>
      <c r="W631" s="2" t="s">
        <v>1853</v>
      </c>
      <c r="X631" s="2" t="s">
        <v>6175</v>
      </c>
      <c r="Y631" s="2" t="s">
        <v>847</v>
      </c>
      <c r="Z631" s="2" t="s">
        <v>1855</v>
      </c>
      <c r="AA631" s="2" t="s">
        <v>6176</v>
      </c>
      <c r="AB631" s="2" t="s">
        <v>3086</v>
      </c>
      <c r="AC631" s="2">
        <v>55.88</v>
      </c>
      <c r="AD631" s="2">
        <v>81.900000000000006</v>
      </c>
      <c r="AE631" s="2">
        <v>37.442142857142898</v>
      </c>
      <c r="AF631" s="2" t="s">
        <v>6177</v>
      </c>
      <c r="AG631" s="2" t="s">
        <v>194</v>
      </c>
      <c r="AH631" s="2" t="s">
        <v>6178</v>
      </c>
      <c r="AI631" s="2">
        <v>5.63</v>
      </c>
      <c r="AJ631" s="2">
        <v>16.320503011699401</v>
      </c>
      <c r="AK631" s="2">
        <v>17.052327432983599</v>
      </c>
      <c r="AL631" s="2">
        <v>16.329477350492599</v>
      </c>
      <c r="AM631" s="2">
        <v>16.820394517706202</v>
      </c>
      <c r="AN631" s="2">
        <v>17.077575671200599</v>
      </c>
      <c r="AO631" s="2">
        <v>16.803908608726601</v>
      </c>
      <c r="AP631" s="2">
        <v>16.909133200518799</v>
      </c>
      <c r="AQ631" s="2">
        <v>16.8460286333234</v>
      </c>
      <c r="AR631" s="2">
        <v>13.9201304413968</v>
      </c>
      <c r="AS631" s="2">
        <v>9.6233145402724691</v>
      </c>
      <c r="AT631" s="2">
        <v>15.533015751346399</v>
      </c>
      <c r="AU631" s="2">
        <v>17.8578181750647</v>
      </c>
      <c r="AV631" s="2">
        <v>14.9578647338696</v>
      </c>
      <c r="AW631" s="2">
        <v>14.6307875618867</v>
      </c>
      <c r="AX631" s="2">
        <v>11.509883845526</v>
      </c>
      <c r="AY631" s="2">
        <v>9.6233145402724691</v>
      </c>
      <c r="AZ631" s="2">
        <v>13.3242663517869</v>
      </c>
      <c r="BA631" s="2">
        <v>18.542188699971302</v>
      </c>
      <c r="BB631" s="2">
        <v>18.6081530467543</v>
      </c>
      <c r="BC631" s="2">
        <v>18.4686029642208</v>
      </c>
      <c r="BD631" s="2">
        <v>18.146719710909601</v>
      </c>
      <c r="BE631" s="2">
        <v>15.317762362729299</v>
      </c>
      <c r="BF631" s="2">
        <v>15.9086037177017</v>
      </c>
      <c r="BG631" s="2">
        <v>16.570153222465599</v>
      </c>
      <c r="BH631" s="2">
        <v>17.875691285423201</v>
      </c>
      <c r="BI631" s="2">
        <v>12.363817183386701</v>
      </c>
      <c r="BJ631" s="2">
        <v>18.980210829034299</v>
      </c>
      <c r="BK631" s="2">
        <v>19.653485285834201</v>
      </c>
      <c r="BL631" s="2">
        <v>16.942382316382201</v>
      </c>
      <c r="BM631" s="2">
        <v>15.7392355414229</v>
      </c>
      <c r="BN631" s="2">
        <v>17.431732065589198</v>
      </c>
      <c r="BO631" s="2">
        <v>17.796176211606099</v>
      </c>
      <c r="BP631" s="2">
        <v>12.9391439160584</v>
      </c>
      <c r="BQ631" s="2">
        <v>9.6233145402724691</v>
      </c>
      <c r="BR631" s="2">
        <v>9.6233145402724691</v>
      </c>
      <c r="BS631" s="2">
        <v>14.030812812126801</v>
      </c>
      <c r="BT631" s="2">
        <v>19.957840353339499</v>
      </c>
      <c r="BU631" s="2">
        <v>18.739619081898901</v>
      </c>
      <c r="BV631" s="2">
        <v>17.7250219603158</v>
      </c>
      <c r="BW631" s="2">
        <v>14.8141523368843</v>
      </c>
      <c r="BX631" s="2">
        <v>17.6854602469298</v>
      </c>
      <c r="BY631" s="2">
        <v>15.969948559232</v>
      </c>
      <c r="BZ631" s="2">
        <v>14.1702450952004</v>
      </c>
      <c r="CA631" s="2">
        <v>16.2572802848251</v>
      </c>
      <c r="CB631" s="2">
        <v>16.018378852555099</v>
      </c>
      <c r="CC631" s="2">
        <v>12.516963121363201</v>
      </c>
      <c r="CD631" s="2">
        <v>18.2354267812057</v>
      </c>
      <c r="CE631" s="2">
        <v>18.885334158851201</v>
      </c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</row>
    <row r="632" spans="1:97">
      <c r="A632" s="2" t="s">
        <v>6179</v>
      </c>
      <c r="B632" s="2">
        <v>148.09658999999999</v>
      </c>
      <c r="C632" s="2">
        <v>1.05</v>
      </c>
      <c r="D632" s="2" t="s">
        <v>84</v>
      </c>
      <c r="E632" s="2" t="s">
        <v>6180</v>
      </c>
      <c r="F632" s="2" t="s">
        <v>6181</v>
      </c>
      <c r="G632" s="2">
        <v>1912</v>
      </c>
      <c r="H632" s="3" t="str">
        <f>HYPERLINK("https://cloud.oebiotech.com/#/lm/network/1912", "https://cloud.oebiotech.com/#/lm/network/1912")</f>
        <v>https://cloud.oebiotech.com/#/lm/network/1912</v>
      </c>
      <c r="I632" s="2" t="s">
        <v>6182</v>
      </c>
      <c r="J632" s="2">
        <v>86276</v>
      </c>
      <c r="K632" s="2" t="s">
        <v>6183</v>
      </c>
      <c r="L632" s="2">
        <v>354197</v>
      </c>
      <c r="M632" s="2"/>
      <c r="N632" s="2"/>
      <c r="O632" s="2"/>
      <c r="P632" s="2"/>
      <c r="Q632" s="2"/>
      <c r="R632" s="2"/>
      <c r="S632" s="2"/>
      <c r="T632" s="2" t="s">
        <v>6184</v>
      </c>
      <c r="U632" s="2" t="s">
        <v>6185</v>
      </c>
      <c r="V632" s="2" t="s">
        <v>115</v>
      </c>
      <c r="W632" s="2" t="s">
        <v>116</v>
      </c>
      <c r="X632" s="2" t="s">
        <v>117</v>
      </c>
      <c r="Y632" s="2" t="s">
        <v>118</v>
      </c>
      <c r="Z632" s="2" t="s">
        <v>119</v>
      </c>
      <c r="AA632" s="2" t="s">
        <v>120</v>
      </c>
      <c r="AB632" s="2" t="s">
        <v>3086</v>
      </c>
      <c r="AC632" s="2">
        <v>55.87</v>
      </c>
      <c r="AD632" s="2">
        <v>96.26</v>
      </c>
      <c r="AE632" s="2">
        <v>0</v>
      </c>
      <c r="AF632" s="2" t="s">
        <v>5614</v>
      </c>
      <c r="AG632" s="2" t="s">
        <v>103</v>
      </c>
      <c r="AH632" s="2" t="s">
        <v>6186</v>
      </c>
      <c r="AI632" s="2">
        <v>1.35</v>
      </c>
      <c r="AJ632" s="2">
        <v>21.501868150821998</v>
      </c>
      <c r="AK632" s="2">
        <v>21.287310059504598</v>
      </c>
      <c r="AL632" s="2">
        <v>21.405237162108001</v>
      </c>
      <c r="AM632" s="2">
        <v>21.543576370241201</v>
      </c>
      <c r="AN632" s="2">
        <v>21.402821374901499</v>
      </c>
      <c r="AO632" s="2">
        <v>21.4929134869666</v>
      </c>
      <c r="AP632" s="2">
        <v>21.457984417612199</v>
      </c>
      <c r="AQ632" s="2">
        <v>21.362280806141701</v>
      </c>
      <c r="AR632" s="2">
        <v>21.733105654509501</v>
      </c>
      <c r="AS632" s="2">
        <v>20.137765213831798</v>
      </c>
      <c r="AT632" s="2">
        <v>21.2568829395445</v>
      </c>
      <c r="AU632" s="2">
        <v>21.0611463276101</v>
      </c>
      <c r="AV632" s="2">
        <v>21.279969761544599</v>
      </c>
      <c r="AW632" s="2">
        <v>20.879047266435698</v>
      </c>
      <c r="AX632" s="2">
        <v>19.927169193797301</v>
      </c>
      <c r="AY632" s="2">
        <v>20.337002416262202</v>
      </c>
      <c r="AZ632" s="2">
        <v>20.6775246127158</v>
      </c>
      <c r="BA632" s="2">
        <v>21.1627620285158</v>
      </c>
      <c r="BB632" s="2">
        <v>21.3559780309232</v>
      </c>
      <c r="BC632" s="2">
        <v>23.2431849627128</v>
      </c>
      <c r="BD632" s="2">
        <v>20.132246748827299</v>
      </c>
      <c r="BE632" s="2">
        <v>21.4035757367181</v>
      </c>
      <c r="BF632" s="2">
        <v>21.520991573656001</v>
      </c>
      <c r="BG632" s="2">
        <v>21.6694856157979</v>
      </c>
      <c r="BH632" s="2">
        <v>20.252680075508898</v>
      </c>
      <c r="BI632" s="2">
        <v>20.830894595824201</v>
      </c>
      <c r="BJ632" s="2">
        <v>21.3610672011622</v>
      </c>
      <c r="BK632" s="2">
        <v>20.759348620329298</v>
      </c>
      <c r="BL632" s="2">
        <v>20.576012861761999</v>
      </c>
      <c r="BM632" s="2">
        <v>21.186399718485799</v>
      </c>
      <c r="BN632" s="2">
        <v>20.898970107179</v>
      </c>
      <c r="BO632" s="2">
        <v>21.387591114494001</v>
      </c>
      <c r="BP632" s="2">
        <v>21.4764459622175</v>
      </c>
      <c r="BQ632" s="2">
        <v>21.1413610173379</v>
      </c>
      <c r="BR632" s="2">
        <v>21.076503737347501</v>
      </c>
      <c r="BS632" s="2">
        <v>22.721482813875301</v>
      </c>
      <c r="BT632" s="2">
        <v>20.9954547620138</v>
      </c>
      <c r="BU632" s="2">
        <v>20.749961173616299</v>
      </c>
      <c r="BV632" s="2">
        <v>21.6793926344982</v>
      </c>
      <c r="BW632" s="2">
        <v>20.6701396328769</v>
      </c>
      <c r="BX632" s="2">
        <v>19.490441371510901</v>
      </c>
      <c r="BY632" s="2">
        <v>22.355738508429098</v>
      </c>
      <c r="BZ632" s="2">
        <v>21.856263372711201</v>
      </c>
      <c r="CA632" s="2">
        <v>21.335958293812201</v>
      </c>
      <c r="CB632" s="2">
        <v>20.3990746681575</v>
      </c>
      <c r="CC632" s="2">
        <v>20.147615355595601</v>
      </c>
      <c r="CD632" s="2">
        <v>21.534643738398302</v>
      </c>
      <c r="CE632" s="2">
        <v>20.7757151916284</v>
      </c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</row>
    <row r="633" spans="1:97">
      <c r="A633" s="2" t="s">
        <v>6187</v>
      </c>
      <c r="B633" s="2">
        <v>197.12848</v>
      </c>
      <c r="C633" s="2">
        <v>3.7530000000000001</v>
      </c>
      <c r="D633" s="2" t="s">
        <v>84</v>
      </c>
      <c r="E633" s="2" t="s">
        <v>6188</v>
      </c>
      <c r="F633" s="2" t="s">
        <v>6189</v>
      </c>
      <c r="G633" s="2">
        <v>64941</v>
      </c>
      <c r="H633" s="3" t="str">
        <f>HYPERLINK("https://cloud.oebiotech.com/#/lm/network/64941", "https://cloud.oebiotech.com/#/lm/network/64941")</f>
        <v>https://cloud.oebiotech.com/#/lm/network/64941</v>
      </c>
      <c r="I633" s="2" t="s">
        <v>6190</v>
      </c>
      <c r="J633" s="2"/>
      <c r="K633" s="2"/>
      <c r="L633" s="2">
        <v>1614</v>
      </c>
      <c r="M633" s="2" t="s">
        <v>6191</v>
      </c>
      <c r="N633" s="2"/>
      <c r="O633" s="2"/>
      <c r="P633" s="2">
        <v>1391</v>
      </c>
      <c r="Q633" s="2"/>
      <c r="R633" s="2"/>
      <c r="S633" s="2" t="s">
        <v>6192</v>
      </c>
      <c r="T633" s="2" t="s">
        <v>6193</v>
      </c>
      <c r="U633" s="2" t="s">
        <v>6194</v>
      </c>
      <c r="V633" s="2" t="s">
        <v>553</v>
      </c>
      <c r="W633" s="2" t="s">
        <v>6195</v>
      </c>
      <c r="X633" s="2" t="s">
        <v>375</v>
      </c>
      <c r="Y633" s="2" t="s">
        <v>556</v>
      </c>
      <c r="Z633" s="2" t="s">
        <v>6196</v>
      </c>
      <c r="AA633" s="2"/>
      <c r="AB633" s="2" t="s">
        <v>3086</v>
      </c>
      <c r="AC633" s="2">
        <v>55.87</v>
      </c>
      <c r="AD633" s="2">
        <v>93.46</v>
      </c>
      <c r="AE633" s="2">
        <v>0</v>
      </c>
      <c r="AF633" s="2" t="s">
        <v>5614</v>
      </c>
      <c r="AG633" s="2" t="s">
        <v>132</v>
      </c>
      <c r="AH633" s="2" t="s">
        <v>6197</v>
      </c>
      <c r="AI633" s="2">
        <v>-0.51</v>
      </c>
      <c r="AJ633" s="2">
        <v>19.548541684924999</v>
      </c>
      <c r="AK633" s="2">
        <v>20.0490871403175</v>
      </c>
      <c r="AL633" s="2">
        <v>20.056702495767201</v>
      </c>
      <c r="AM633" s="2">
        <v>20.214683237606799</v>
      </c>
      <c r="AN633" s="2">
        <v>20.211867184921999</v>
      </c>
      <c r="AO633" s="2">
        <v>20.220865201401899</v>
      </c>
      <c r="AP633" s="2">
        <v>20.344501091550701</v>
      </c>
      <c r="AQ633" s="2">
        <v>20.0768606544768</v>
      </c>
      <c r="AR633" s="2">
        <v>18.2356872849242</v>
      </c>
      <c r="AS633" s="2">
        <v>17.982924465433999</v>
      </c>
      <c r="AT633" s="2">
        <v>18.530717419731399</v>
      </c>
      <c r="AU633" s="2">
        <v>18.207362136188401</v>
      </c>
      <c r="AV633" s="2">
        <v>19.367115815483</v>
      </c>
      <c r="AW633" s="2">
        <v>19.899360670101501</v>
      </c>
      <c r="AX633" s="2">
        <v>18.903037240056001</v>
      </c>
      <c r="AY633" s="2">
        <v>19.463219894941101</v>
      </c>
      <c r="AZ633" s="2">
        <v>19.653676148847602</v>
      </c>
      <c r="BA633" s="2">
        <v>18.482967365217501</v>
      </c>
      <c r="BB633" s="2">
        <v>21.751545885567602</v>
      </c>
      <c r="BC633" s="2">
        <v>19.119712558651301</v>
      </c>
      <c r="BD633" s="2">
        <v>17.7003785524054</v>
      </c>
      <c r="BE633" s="2">
        <v>18.490551720228598</v>
      </c>
      <c r="BF633" s="2">
        <v>18.152110813852499</v>
      </c>
      <c r="BG633" s="2">
        <v>18.5229540945693</v>
      </c>
      <c r="BH633" s="2">
        <v>17.9068625938095</v>
      </c>
      <c r="BI633" s="2">
        <v>19.941831279279601</v>
      </c>
      <c r="BJ633" s="2">
        <v>20.186010510663799</v>
      </c>
      <c r="BK633" s="2">
        <v>18.698683745316199</v>
      </c>
      <c r="BL633" s="2">
        <v>18.8258483451907</v>
      </c>
      <c r="BM633" s="2">
        <v>19.893691150379201</v>
      </c>
      <c r="BN633" s="2">
        <v>20.2575852913421</v>
      </c>
      <c r="BO633" s="2">
        <v>18.8538181254204</v>
      </c>
      <c r="BP633" s="2">
        <v>18.9499709536782</v>
      </c>
      <c r="BQ633" s="2">
        <v>19.5103028229519</v>
      </c>
      <c r="BR633" s="2">
        <v>19.144191518784901</v>
      </c>
      <c r="BS633" s="2">
        <v>20.3228943082594</v>
      </c>
      <c r="BT633" s="2">
        <v>20.059571461766001</v>
      </c>
      <c r="BU633" s="2">
        <v>19.697926927308899</v>
      </c>
      <c r="BV633" s="2">
        <v>18.987733350177599</v>
      </c>
      <c r="BW633" s="2">
        <v>19.6683996691898</v>
      </c>
      <c r="BX633" s="2">
        <v>19.338397841306499</v>
      </c>
      <c r="BY633" s="2">
        <v>20.454031772058102</v>
      </c>
      <c r="BZ633" s="2">
        <v>18.238429091316199</v>
      </c>
      <c r="CA633" s="2">
        <v>18.222950755691301</v>
      </c>
      <c r="CB633" s="2">
        <v>17.846764036328199</v>
      </c>
      <c r="CC633" s="2">
        <v>20.129900226747299</v>
      </c>
      <c r="CD633" s="2">
        <v>18.945497532925199</v>
      </c>
      <c r="CE633" s="2">
        <v>19.466526536164999</v>
      </c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</row>
    <row r="634" spans="1:97">
      <c r="A634" s="2" t="s">
        <v>6198</v>
      </c>
      <c r="B634" s="2">
        <v>377.27026999999998</v>
      </c>
      <c r="C634" s="2">
        <v>13.506</v>
      </c>
      <c r="D634" s="2" t="s">
        <v>146</v>
      </c>
      <c r="E634" s="2" t="s">
        <v>6199</v>
      </c>
      <c r="F634" s="2" t="s">
        <v>6199</v>
      </c>
      <c r="G634" s="2">
        <v>4876</v>
      </c>
      <c r="H634" s="3" t="str">
        <f>HYPERLINK("https://cloud.oebiotech.com/#/lm/network/4876", "https://cloud.oebiotech.com/#/lm/network/4876")</f>
        <v>https://cloud.oebiotech.com/#/lm/network/4876</v>
      </c>
      <c r="I634" s="2"/>
      <c r="J634" s="2">
        <v>75225</v>
      </c>
      <c r="K634" s="2" t="s">
        <v>6200</v>
      </c>
      <c r="L634" s="2">
        <v>21775584</v>
      </c>
      <c r="M634" s="2"/>
      <c r="N634" s="2"/>
      <c r="O634" s="2"/>
      <c r="P634" s="2"/>
      <c r="Q634" s="2"/>
      <c r="R634" s="2"/>
      <c r="S634" s="2"/>
      <c r="T634" s="2" t="s">
        <v>6201</v>
      </c>
      <c r="U634" s="2" t="s">
        <v>6202</v>
      </c>
      <c r="V634" s="2" t="s">
        <v>95</v>
      </c>
      <c r="W634" s="2" t="s">
        <v>96</v>
      </c>
      <c r="X634" s="2" t="s">
        <v>141</v>
      </c>
      <c r="Y634" s="2" t="s">
        <v>98</v>
      </c>
      <c r="Z634" s="2" t="s">
        <v>99</v>
      </c>
      <c r="AA634" s="2" t="s">
        <v>142</v>
      </c>
      <c r="AB634" s="2" t="s">
        <v>101</v>
      </c>
      <c r="AC634" s="2">
        <v>55.86</v>
      </c>
      <c r="AD634" s="2">
        <v>85.25</v>
      </c>
      <c r="AE634" s="2">
        <v>55.34</v>
      </c>
      <c r="AF634" s="2" t="s">
        <v>6203</v>
      </c>
      <c r="AG634" s="2" t="s">
        <v>157</v>
      </c>
      <c r="AH634" s="2" t="s">
        <v>762</v>
      </c>
      <c r="AI634" s="2">
        <v>-1.59</v>
      </c>
      <c r="AJ634" s="2">
        <v>18.9977079216318</v>
      </c>
      <c r="AK634" s="2">
        <v>19.155516720569999</v>
      </c>
      <c r="AL634" s="2">
        <v>18.578425912757901</v>
      </c>
      <c r="AM634" s="2">
        <v>18.801806701044601</v>
      </c>
      <c r="AN634" s="2">
        <v>19.071506775695699</v>
      </c>
      <c r="AO634" s="2">
        <v>18.743697055908498</v>
      </c>
      <c r="AP634" s="2">
        <v>19.185405125612998</v>
      </c>
      <c r="AQ634" s="2">
        <v>19.344168257570701</v>
      </c>
      <c r="AR634" s="2">
        <v>16.353946435155201</v>
      </c>
      <c r="AS634" s="2">
        <v>16.704448238275901</v>
      </c>
      <c r="AT634" s="2">
        <v>19.510736917046</v>
      </c>
      <c r="AU634" s="2">
        <v>17.178301097251801</v>
      </c>
      <c r="AV634" s="2">
        <v>17.5357152148942</v>
      </c>
      <c r="AW634" s="2">
        <v>18.337623034323698</v>
      </c>
      <c r="AX634" s="2">
        <v>18.935785083411101</v>
      </c>
      <c r="AY634" s="2">
        <v>18.156859641491099</v>
      </c>
      <c r="AZ634" s="2">
        <v>17.144138206985598</v>
      </c>
      <c r="BA634" s="2">
        <v>18.075970437864701</v>
      </c>
      <c r="BB634" s="2">
        <v>18.750197180196199</v>
      </c>
      <c r="BC634" s="2">
        <v>19.525312157144601</v>
      </c>
      <c r="BD634" s="2">
        <v>16.623766632105301</v>
      </c>
      <c r="BE634" s="2">
        <v>17.431620674685298</v>
      </c>
      <c r="BF634" s="2">
        <v>18.4573729027349</v>
      </c>
      <c r="BG634" s="2">
        <v>18.954070726962001</v>
      </c>
      <c r="BH634" s="2">
        <v>18.045052567987199</v>
      </c>
      <c r="BI634" s="2">
        <v>19.0366884737067</v>
      </c>
      <c r="BJ634" s="2">
        <v>18.173341698037099</v>
      </c>
      <c r="BK634" s="2">
        <v>17.400149300685499</v>
      </c>
      <c r="BL634" s="2">
        <v>18.961294751465498</v>
      </c>
      <c r="BM634" s="2">
        <v>18.319317630058599</v>
      </c>
      <c r="BN634" s="2">
        <v>18.021926169343899</v>
      </c>
      <c r="BO634" s="2">
        <v>18.975792367168001</v>
      </c>
      <c r="BP634" s="2">
        <v>18.732217485242</v>
      </c>
      <c r="BQ634" s="2">
        <v>18.916363334628699</v>
      </c>
      <c r="BR634" s="2">
        <v>19.066599662105901</v>
      </c>
      <c r="BS634" s="2">
        <v>18.159380607751402</v>
      </c>
      <c r="BT634" s="2">
        <v>17.801686700648201</v>
      </c>
      <c r="BU634" s="2">
        <v>18.589809561601299</v>
      </c>
      <c r="BV634" s="2">
        <v>19.002275969536701</v>
      </c>
      <c r="BW634" s="2">
        <v>18.125005051356599</v>
      </c>
      <c r="BX634" s="2">
        <v>17.6645553381822</v>
      </c>
      <c r="BY634" s="2">
        <v>16.688104939354599</v>
      </c>
      <c r="BZ634" s="2">
        <v>19.246579223211398</v>
      </c>
      <c r="CA634" s="2">
        <v>18.3890671300801</v>
      </c>
      <c r="CB634" s="2">
        <v>19.070772290611401</v>
      </c>
      <c r="CC634" s="2">
        <v>19.326151524381501</v>
      </c>
      <c r="CD634" s="2">
        <v>18.174443218232899</v>
      </c>
      <c r="CE634" s="2">
        <v>20.0194656609177</v>
      </c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</row>
    <row r="635" spans="1:97">
      <c r="A635" s="2" t="s">
        <v>6204</v>
      </c>
      <c r="B635" s="2">
        <v>197.12824000000001</v>
      </c>
      <c r="C635" s="2">
        <v>4.1340000000000003</v>
      </c>
      <c r="D635" s="2" t="s">
        <v>84</v>
      </c>
      <c r="E635" s="2" t="s">
        <v>6205</v>
      </c>
      <c r="F635" s="2" t="s">
        <v>6206</v>
      </c>
      <c r="G635" s="2">
        <v>62913</v>
      </c>
      <c r="H635" s="3" t="str">
        <f>HYPERLINK("https://cloud.oebiotech.com/#/lm/network/62913", "https://cloud.oebiotech.com/#/lm/network/62913")</f>
        <v>https://cloud.oebiotech.com/#/lm/network/62913</v>
      </c>
      <c r="I635" s="2" t="s">
        <v>6207</v>
      </c>
      <c r="J635" s="2"/>
      <c r="K635" s="2"/>
      <c r="L635" s="2"/>
      <c r="M635" s="2"/>
      <c r="N635" s="2"/>
      <c r="O635" s="2"/>
      <c r="P635" s="2"/>
      <c r="Q635" s="2"/>
      <c r="R635" s="2"/>
      <c r="S635" s="2" t="s">
        <v>6208</v>
      </c>
      <c r="T635" s="2" t="s">
        <v>6209</v>
      </c>
      <c r="U635" s="2" t="s">
        <v>6210</v>
      </c>
      <c r="V635" s="2" t="s">
        <v>553</v>
      </c>
      <c r="W635" s="2" t="s">
        <v>2447</v>
      </c>
      <c r="X635" s="2" t="s">
        <v>6211</v>
      </c>
      <c r="Y635" s="2" t="s">
        <v>556</v>
      </c>
      <c r="Z635" s="2" t="s">
        <v>2449</v>
      </c>
      <c r="AA635" s="2" t="s">
        <v>6212</v>
      </c>
      <c r="AB635" s="2" t="s">
        <v>3086</v>
      </c>
      <c r="AC635" s="2">
        <v>55.84</v>
      </c>
      <c r="AD635" s="2">
        <v>93.46</v>
      </c>
      <c r="AE635" s="2">
        <v>0</v>
      </c>
      <c r="AF635" s="2" t="s">
        <v>5614</v>
      </c>
      <c r="AG635" s="2" t="s">
        <v>132</v>
      </c>
      <c r="AH635" s="2" t="s">
        <v>6197</v>
      </c>
      <c r="AI635" s="2">
        <v>1.01</v>
      </c>
      <c r="AJ635" s="2">
        <v>20.8457549423592</v>
      </c>
      <c r="AK635" s="2">
        <v>20.954962335628899</v>
      </c>
      <c r="AL635" s="2">
        <v>20.777174906336501</v>
      </c>
      <c r="AM635" s="2">
        <v>20.842452261214</v>
      </c>
      <c r="AN635" s="2">
        <v>20.881186494604702</v>
      </c>
      <c r="AO635" s="2">
        <v>21.020481849122302</v>
      </c>
      <c r="AP635" s="2">
        <v>20.818243935973101</v>
      </c>
      <c r="AQ635" s="2">
        <v>20.919444436785501</v>
      </c>
      <c r="AR635" s="2">
        <v>19.830810863925901</v>
      </c>
      <c r="AS635" s="2">
        <v>19.755231071885898</v>
      </c>
      <c r="AT635" s="2">
        <v>20.029326297632299</v>
      </c>
      <c r="AU635" s="2">
        <v>20.0877802709227</v>
      </c>
      <c r="AV635" s="2">
        <v>20.4494906265361</v>
      </c>
      <c r="AW635" s="2">
        <v>20.990657484510901</v>
      </c>
      <c r="AX635" s="2">
        <v>20.306415157511601</v>
      </c>
      <c r="AY635" s="2">
        <v>20.423149792691301</v>
      </c>
      <c r="AZ635" s="2">
        <v>20.052421755812102</v>
      </c>
      <c r="BA635" s="2">
        <v>20.2370237825698</v>
      </c>
      <c r="BB635" s="2">
        <v>20.3009908515278</v>
      </c>
      <c r="BC635" s="2">
        <v>20.973550697819999</v>
      </c>
      <c r="BD635" s="2">
        <v>20.2437777931471</v>
      </c>
      <c r="BE635" s="2">
        <v>21.878823326407801</v>
      </c>
      <c r="BF635" s="2">
        <v>19.8481084998702</v>
      </c>
      <c r="BG635" s="2">
        <v>21.067606908924201</v>
      </c>
      <c r="BH635" s="2">
        <v>20.373899409906802</v>
      </c>
      <c r="BI635" s="2">
        <v>20.7998524931233</v>
      </c>
      <c r="BJ635" s="2">
        <v>20.640340535753602</v>
      </c>
      <c r="BK635" s="2">
        <v>20.943413632954002</v>
      </c>
      <c r="BL635" s="2">
        <v>21.1254457533196</v>
      </c>
      <c r="BM635" s="2">
        <v>20.7682924023262</v>
      </c>
      <c r="BN635" s="2">
        <v>21.192130452771799</v>
      </c>
      <c r="BO635" s="2">
        <v>21.2729335054308</v>
      </c>
      <c r="BP635" s="2">
        <v>20.715724722408702</v>
      </c>
      <c r="BQ635" s="2">
        <v>21.149195019911701</v>
      </c>
      <c r="BR635" s="2">
        <v>20.339393924876099</v>
      </c>
      <c r="BS635" s="2">
        <v>20.4921453607936</v>
      </c>
      <c r="BT635" s="2">
        <v>20.513927369665002</v>
      </c>
      <c r="BU635" s="2">
        <v>21.165347337529099</v>
      </c>
      <c r="BV635" s="2">
        <v>20.379115267181302</v>
      </c>
      <c r="BW635" s="2">
        <v>20.694143222954001</v>
      </c>
      <c r="BX635" s="2">
        <v>20.551982737510901</v>
      </c>
      <c r="BY635" s="2">
        <v>22.724353623461099</v>
      </c>
      <c r="BZ635" s="2">
        <v>22.422747989094901</v>
      </c>
      <c r="CA635" s="2">
        <v>21.084205192820001</v>
      </c>
      <c r="CB635" s="2">
        <v>20.069065456661701</v>
      </c>
      <c r="CC635" s="2">
        <v>20.810006159092001</v>
      </c>
      <c r="CD635" s="2">
        <v>21.173330119291101</v>
      </c>
      <c r="CE635" s="2">
        <v>21.2119828207707</v>
      </c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</row>
    <row r="636" spans="1:97">
      <c r="A636" s="2" t="s">
        <v>6213</v>
      </c>
      <c r="B636" s="2">
        <v>249.15534</v>
      </c>
      <c r="C636" s="2">
        <v>0.72299999999999998</v>
      </c>
      <c r="D636" s="2" t="s">
        <v>84</v>
      </c>
      <c r="E636" s="2" t="s">
        <v>6214</v>
      </c>
      <c r="F636" s="2" t="s">
        <v>6215</v>
      </c>
      <c r="G636" s="2">
        <v>54133</v>
      </c>
      <c r="H636" s="3" t="str">
        <f>HYPERLINK("https://cloud.oebiotech.com/#/lm/network/54133", "https://cloud.oebiotech.com/#/lm/network/54133")</f>
        <v>https://cloud.oebiotech.com/#/lm/network/54133</v>
      </c>
      <c r="I636" s="2" t="s">
        <v>6216</v>
      </c>
      <c r="J636" s="2">
        <v>23873</v>
      </c>
      <c r="K636" s="2"/>
      <c r="L636" s="2">
        <v>7020200</v>
      </c>
      <c r="M636" s="2"/>
      <c r="N636" s="2"/>
      <c r="O636" s="2"/>
      <c r="P636" s="2">
        <v>73698</v>
      </c>
      <c r="Q636" s="2"/>
      <c r="R636" s="2"/>
      <c r="S636" s="2" t="s">
        <v>6217</v>
      </c>
      <c r="T636" s="2" t="s">
        <v>6218</v>
      </c>
      <c r="U636" s="2" t="s">
        <v>6219</v>
      </c>
      <c r="V636" s="2" t="s">
        <v>115</v>
      </c>
      <c r="W636" s="2" t="s">
        <v>116</v>
      </c>
      <c r="X636" s="2" t="s">
        <v>117</v>
      </c>
      <c r="Y636" s="2" t="s">
        <v>118</v>
      </c>
      <c r="Z636" s="2" t="s">
        <v>119</v>
      </c>
      <c r="AA636" s="2" t="s">
        <v>120</v>
      </c>
      <c r="AB636" s="2" t="s">
        <v>3086</v>
      </c>
      <c r="AC636" s="2">
        <v>55.84</v>
      </c>
      <c r="AD636" s="2">
        <v>97.64</v>
      </c>
      <c r="AE636" s="2">
        <v>0</v>
      </c>
      <c r="AF636" s="2" t="s">
        <v>5614</v>
      </c>
      <c r="AG636" s="2" t="s">
        <v>132</v>
      </c>
      <c r="AH636" s="2" t="s">
        <v>6220</v>
      </c>
      <c r="AI636" s="2">
        <v>1.61</v>
      </c>
      <c r="AJ636" s="2">
        <v>23.5093527683849</v>
      </c>
      <c r="AK636" s="2">
        <v>24.069131992364799</v>
      </c>
      <c r="AL636" s="2">
        <v>23.662126961489001</v>
      </c>
      <c r="AM636" s="2">
        <v>23.7305625511536</v>
      </c>
      <c r="AN636" s="2">
        <v>23.765670873313699</v>
      </c>
      <c r="AO636" s="2">
        <v>23.2812846826385</v>
      </c>
      <c r="AP636" s="2">
        <v>24.164184961792401</v>
      </c>
      <c r="AQ636" s="2">
        <v>23.561031301404999</v>
      </c>
      <c r="AR636" s="2">
        <v>23.870710239035201</v>
      </c>
      <c r="AS636" s="2">
        <v>23.212413724563401</v>
      </c>
      <c r="AT636" s="2">
        <v>23.792570636151499</v>
      </c>
      <c r="AU636" s="2">
        <v>23.4654039383297</v>
      </c>
      <c r="AV636" s="2">
        <v>24.222128711224599</v>
      </c>
      <c r="AW636" s="2">
        <v>23.3062731967823</v>
      </c>
      <c r="AX636" s="2">
        <v>24.0570229738451</v>
      </c>
      <c r="AY636" s="2">
        <v>23.8293788243511</v>
      </c>
      <c r="AZ636" s="2">
        <v>23.6824872155875</v>
      </c>
      <c r="BA636" s="2">
        <v>23.046649649872801</v>
      </c>
      <c r="BB636" s="2">
        <v>24.022495139342599</v>
      </c>
      <c r="BC636" s="2">
        <v>22.814211319387901</v>
      </c>
      <c r="BD636" s="2">
        <v>23.742936786700401</v>
      </c>
      <c r="BE636" s="2">
        <v>22.6038253290372</v>
      </c>
      <c r="BF636" s="2">
        <v>22.744676027530499</v>
      </c>
      <c r="BG636" s="2">
        <v>22.391236762681</v>
      </c>
      <c r="BH636" s="2">
        <v>24.732916881294699</v>
      </c>
      <c r="BI636" s="2">
        <v>22.801325427678499</v>
      </c>
      <c r="BJ636" s="2">
        <v>24.200624095337801</v>
      </c>
      <c r="BK636" s="2">
        <v>23.985169484700101</v>
      </c>
      <c r="BL636" s="2">
        <v>21.953808190761698</v>
      </c>
      <c r="BM636" s="2">
        <v>23.885690431002999</v>
      </c>
      <c r="BN636" s="2">
        <v>24.278132486661502</v>
      </c>
      <c r="BO636" s="2">
        <v>22.994880172729999</v>
      </c>
      <c r="BP636" s="2">
        <v>22.386670057193001</v>
      </c>
      <c r="BQ636" s="2">
        <v>22.758496936459299</v>
      </c>
      <c r="BR636" s="2">
        <v>23.5296058553952</v>
      </c>
      <c r="BS636" s="2">
        <v>24.085401053750601</v>
      </c>
      <c r="BT636" s="2">
        <v>21.300630673170101</v>
      </c>
      <c r="BU636" s="2">
        <v>22.805686642077301</v>
      </c>
      <c r="BV636" s="2">
        <v>23.0806200803774</v>
      </c>
      <c r="BW636" s="2">
        <v>24.690709963848501</v>
      </c>
      <c r="BX636" s="2">
        <v>23.5497251687183</v>
      </c>
      <c r="BY636" s="2">
        <v>22.626592812766098</v>
      </c>
      <c r="BZ636" s="2">
        <v>23.8613233638415</v>
      </c>
      <c r="CA636" s="2">
        <v>22.710806263473501</v>
      </c>
      <c r="CB636" s="2">
        <v>23.802858719868901</v>
      </c>
      <c r="CC636" s="2">
        <v>23.653062046990598</v>
      </c>
      <c r="CD636" s="2">
        <v>22.556299095100499</v>
      </c>
      <c r="CE636" s="2">
        <v>22.883129669557899</v>
      </c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</row>
    <row r="637" spans="1:97">
      <c r="A637" s="2" t="s">
        <v>6221</v>
      </c>
      <c r="B637" s="2">
        <v>159.02758</v>
      </c>
      <c r="C637" s="2">
        <v>1.018</v>
      </c>
      <c r="D637" s="2" t="s">
        <v>84</v>
      </c>
      <c r="E637" s="2" t="s">
        <v>6222</v>
      </c>
      <c r="F637" s="2" t="s">
        <v>6223</v>
      </c>
      <c r="G637" s="2">
        <v>52794</v>
      </c>
      <c r="H637" s="3" t="str">
        <f>HYPERLINK("https://cloud.oebiotech.com/#/lm/network/52794", "https://cloud.oebiotech.com/#/lm/network/52794")</f>
        <v>https://cloud.oebiotech.com/#/lm/network/52794</v>
      </c>
      <c r="I637" s="2" t="s">
        <v>6224</v>
      </c>
      <c r="J637" s="2">
        <v>865</v>
      </c>
      <c r="K637" s="2"/>
      <c r="L637" s="2">
        <v>2094</v>
      </c>
      <c r="M637" s="2" t="s">
        <v>6225</v>
      </c>
      <c r="N637" s="2"/>
      <c r="O637" s="2"/>
      <c r="P637" s="2">
        <v>40279</v>
      </c>
      <c r="Q637" s="2"/>
      <c r="R637" s="2"/>
      <c r="S637" s="2" t="s">
        <v>6226</v>
      </c>
      <c r="T637" s="2" t="s">
        <v>6227</v>
      </c>
      <c r="U637" s="2" t="s">
        <v>6228</v>
      </c>
      <c r="V637" s="2" t="s">
        <v>553</v>
      </c>
      <c r="W637" s="2" t="s">
        <v>6229</v>
      </c>
      <c r="X637" s="2" t="s">
        <v>6230</v>
      </c>
      <c r="Y637" s="2" t="s">
        <v>556</v>
      </c>
      <c r="Z637" s="2" t="s">
        <v>6231</v>
      </c>
      <c r="AA637" s="2" t="s">
        <v>6232</v>
      </c>
      <c r="AB637" s="2" t="s">
        <v>101</v>
      </c>
      <c r="AC637" s="2">
        <v>55.81</v>
      </c>
      <c r="AD637" s="2">
        <v>72.91</v>
      </c>
      <c r="AE637" s="2">
        <v>64.63</v>
      </c>
      <c r="AF637" s="2" t="s">
        <v>6233</v>
      </c>
      <c r="AG637" s="2" t="s">
        <v>1578</v>
      </c>
      <c r="AH637" s="2" t="s">
        <v>954</v>
      </c>
      <c r="AI637" s="2">
        <v>0.63</v>
      </c>
      <c r="AJ637" s="2">
        <v>22.2051104213357</v>
      </c>
      <c r="AK637" s="2">
        <v>22.161199584629799</v>
      </c>
      <c r="AL637" s="2">
        <v>22.282460438534802</v>
      </c>
      <c r="AM637" s="2">
        <v>21.948024945341</v>
      </c>
      <c r="AN637" s="2">
        <v>21.947061246707602</v>
      </c>
      <c r="AO637" s="2">
        <v>21.553517586725</v>
      </c>
      <c r="AP637" s="2">
        <v>22.075990561951102</v>
      </c>
      <c r="AQ637" s="2">
        <v>21.104310268635601</v>
      </c>
      <c r="AR637" s="2">
        <v>21.689904749380201</v>
      </c>
      <c r="AS637" s="2">
        <v>22.516003471379001</v>
      </c>
      <c r="AT637" s="2">
        <v>22.707851670030902</v>
      </c>
      <c r="AU637" s="2">
        <v>21.0554003384715</v>
      </c>
      <c r="AV637" s="2">
        <v>20.4259965405057</v>
      </c>
      <c r="AW637" s="2">
        <v>21.685467121022398</v>
      </c>
      <c r="AX637" s="2">
        <v>21.705740825008402</v>
      </c>
      <c r="AY637" s="2">
        <v>20.0250606519187</v>
      </c>
      <c r="AZ637" s="2">
        <v>21.599074772529701</v>
      </c>
      <c r="BA637" s="2">
        <v>20.141301088930302</v>
      </c>
      <c r="BB637" s="2">
        <v>21.603150673872602</v>
      </c>
      <c r="BC637" s="2">
        <v>22.270355282561599</v>
      </c>
      <c r="BD637" s="2">
        <v>18.3651443352265</v>
      </c>
      <c r="BE637" s="2">
        <v>18.910187425111001</v>
      </c>
      <c r="BF637" s="2">
        <v>21.8179541522377</v>
      </c>
      <c r="BG637" s="2">
        <v>21.795146070958701</v>
      </c>
      <c r="BH637" s="2">
        <v>19.9812999597764</v>
      </c>
      <c r="BI637" s="2">
        <v>21.7006074110589</v>
      </c>
      <c r="BJ637" s="2">
        <v>22.636993654816301</v>
      </c>
      <c r="BK637" s="2">
        <v>22.902799159465999</v>
      </c>
      <c r="BL637" s="2">
        <v>21.185736773084098</v>
      </c>
      <c r="BM637" s="2">
        <v>19.663289192921798</v>
      </c>
      <c r="BN637" s="2">
        <v>18.954882863296799</v>
      </c>
      <c r="BO637" s="2">
        <v>20.158055964112201</v>
      </c>
      <c r="BP637" s="2">
        <v>22.619866720439401</v>
      </c>
      <c r="BQ637" s="2">
        <v>20.5495743448067</v>
      </c>
      <c r="BR637" s="2">
        <v>23.931253876904801</v>
      </c>
      <c r="BS637" s="2">
        <v>20.304351555641201</v>
      </c>
      <c r="BT637" s="2">
        <v>21.544958010763199</v>
      </c>
      <c r="BU637" s="2">
        <v>22.2761210591759</v>
      </c>
      <c r="BV637" s="2">
        <v>22.1120937834019</v>
      </c>
      <c r="BW637" s="2">
        <v>21.447175971254602</v>
      </c>
      <c r="BX637" s="2">
        <v>19.7551753810599</v>
      </c>
      <c r="BY637" s="2">
        <v>21.812734047275701</v>
      </c>
      <c r="BZ637" s="2">
        <v>19.9873944977824</v>
      </c>
      <c r="CA637" s="2">
        <v>20.360198456313402</v>
      </c>
      <c r="CB637" s="2">
        <v>22.957745727905198</v>
      </c>
      <c r="CC637" s="2">
        <v>20.2727230961803</v>
      </c>
      <c r="CD637" s="2">
        <v>23.039364986477899</v>
      </c>
      <c r="CE637" s="2">
        <v>21.367738896309501</v>
      </c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</row>
    <row r="638" spans="1:97">
      <c r="A638" s="2" t="s">
        <v>6234</v>
      </c>
      <c r="B638" s="2">
        <v>217.12909999999999</v>
      </c>
      <c r="C638" s="2">
        <v>0.77700000000000002</v>
      </c>
      <c r="D638" s="2" t="s">
        <v>84</v>
      </c>
      <c r="E638" s="2" t="s">
        <v>6235</v>
      </c>
      <c r="F638" s="2" t="s">
        <v>6236</v>
      </c>
      <c r="G638" s="2">
        <v>599862</v>
      </c>
      <c r="H638" s="3" t="str">
        <f>HYPERLINK("https://cloud.oebiotech.com/#/lm/network/599862", "https://cloud.oebiotech.com/#/lm/network/599862")</f>
        <v>https://cloud.oebiotech.com/#/lm/network/599862</v>
      </c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 t="s">
        <v>6237</v>
      </c>
      <c r="T638" s="2" t="s">
        <v>6238</v>
      </c>
      <c r="U638" s="2" t="s">
        <v>6239</v>
      </c>
      <c r="V638" s="2" t="s">
        <v>115</v>
      </c>
      <c r="W638" s="2" t="s">
        <v>116</v>
      </c>
      <c r="X638" s="2" t="s">
        <v>117</v>
      </c>
      <c r="Y638" s="2" t="s">
        <v>118</v>
      </c>
      <c r="Z638" s="2" t="s">
        <v>119</v>
      </c>
      <c r="AA638" s="2" t="s">
        <v>120</v>
      </c>
      <c r="AB638" s="2" t="s">
        <v>3086</v>
      </c>
      <c r="AC638" s="2">
        <v>55.81</v>
      </c>
      <c r="AD638" s="2">
        <v>94.5</v>
      </c>
      <c r="AE638" s="2">
        <v>0</v>
      </c>
      <c r="AF638" s="2" t="s">
        <v>5614</v>
      </c>
      <c r="AG638" s="2" t="s">
        <v>103</v>
      </c>
      <c r="AH638" s="2" t="s">
        <v>6240</v>
      </c>
      <c r="AI638" s="2">
        <v>1.84</v>
      </c>
      <c r="AJ638" s="2">
        <v>19.376108130635</v>
      </c>
      <c r="AK638" s="2">
        <v>19.529659083757299</v>
      </c>
      <c r="AL638" s="2">
        <v>19.961994787714399</v>
      </c>
      <c r="AM638" s="2">
        <v>19.087169510195999</v>
      </c>
      <c r="AN638" s="2">
        <v>19.817070715142499</v>
      </c>
      <c r="AO638" s="2">
        <v>19.641550139025998</v>
      </c>
      <c r="AP638" s="2">
        <v>18.843271715716899</v>
      </c>
      <c r="AQ638" s="2">
        <v>19.259358815254998</v>
      </c>
      <c r="AR638" s="2">
        <v>19.020729735586599</v>
      </c>
      <c r="AS638" s="2">
        <v>19.4716966451121</v>
      </c>
      <c r="AT638" s="2">
        <v>19.601263247813801</v>
      </c>
      <c r="AU638" s="2">
        <v>19.208690059053001</v>
      </c>
      <c r="AV638" s="2">
        <v>19.284592855660598</v>
      </c>
      <c r="AW638" s="2">
        <v>17.508113693438201</v>
      </c>
      <c r="AX638" s="2">
        <v>18.9658287201121</v>
      </c>
      <c r="AY638" s="2">
        <v>19.2025299504161</v>
      </c>
      <c r="AZ638" s="2">
        <v>19.9257680525638</v>
      </c>
      <c r="BA638" s="2">
        <v>19.433070063039601</v>
      </c>
      <c r="BB638" s="2">
        <v>19.287551487539101</v>
      </c>
      <c r="BC638" s="2">
        <v>9.6233145402724691</v>
      </c>
      <c r="BD638" s="2">
        <v>19.4128458702838</v>
      </c>
      <c r="BE638" s="2">
        <v>19.6225043964623</v>
      </c>
      <c r="BF638" s="2">
        <v>19.611218514567199</v>
      </c>
      <c r="BG638" s="2">
        <v>19.8381374119094</v>
      </c>
      <c r="BH638" s="2">
        <v>18.338008323738201</v>
      </c>
      <c r="BI638" s="2">
        <v>18.2091132900057</v>
      </c>
      <c r="BJ638" s="2">
        <v>19.0658638043232</v>
      </c>
      <c r="BK638" s="2">
        <v>19.667152629545601</v>
      </c>
      <c r="BL638" s="2">
        <v>18.897136824123098</v>
      </c>
      <c r="BM638" s="2">
        <v>20.5217470997475</v>
      </c>
      <c r="BN638" s="2">
        <v>18.927904061624599</v>
      </c>
      <c r="BO638" s="2">
        <v>19.136111206029</v>
      </c>
      <c r="BP638" s="2">
        <v>20.093992505742602</v>
      </c>
      <c r="BQ638" s="2">
        <v>19.922549227418401</v>
      </c>
      <c r="BR638" s="2">
        <v>20.033819329557002</v>
      </c>
      <c r="BS638" s="2">
        <v>18.4639859975834</v>
      </c>
      <c r="BT638" s="2">
        <v>20.469269647569</v>
      </c>
      <c r="BU638" s="2">
        <v>18.895190092210001</v>
      </c>
      <c r="BV638" s="2">
        <v>19.398481741363401</v>
      </c>
      <c r="BW638" s="2">
        <v>17.716843905181602</v>
      </c>
      <c r="BX638" s="2">
        <v>20.0187889902849</v>
      </c>
      <c r="BY638" s="2">
        <v>19.513337026474101</v>
      </c>
      <c r="BZ638" s="2">
        <v>20.028301023190402</v>
      </c>
      <c r="CA638" s="2">
        <v>19.504853700203</v>
      </c>
      <c r="CB638" s="2">
        <v>19.121667797515801</v>
      </c>
      <c r="CC638" s="2">
        <v>19.357277267971401</v>
      </c>
      <c r="CD638" s="2">
        <v>19.751350512808902</v>
      </c>
      <c r="CE638" s="2">
        <v>20.434676193973701</v>
      </c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</row>
    <row r="639" spans="1:97">
      <c r="A639" s="2" t="s">
        <v>6241</v>
      </c>
      <c r="B639" s="2">
        <v>249.18541999999999</v>
      </c>
      <c r="C639" s="2">
        <v>11.563000000000001</v>
      </c>
      <c r="D639" s="2" t="s">
        <v>146</v>
      </c>
      <c r="E639" s="2" t="s">
        <v>6242</v>
      </c>
      <c r="F639" s="2" t="s">
        <v>6243</v>
      </c>
      <c r="G639" s="2">
        <v>2215</v>
      </c>
      <c r="H639" s="3" t="str">
        <f>HYPERLINK("https://cloud.oebiotech.com/#/lm/network/2215", "https://cloud.oebiotech.com/#/lm/network/2215")</f>
        <v>https://cloud.oebiotech.com/#/lm/network/2215</v>
      </c>
      <c r="I639" s="2"/>
      <c r="J639" s="2"/>
      <c r="K639" s="2" t="s">
        <v>6244</v>
      </c>
      <c r="L639" s="2">
        <v>11196453</v>
      </c>
      <c r="M639" s="2"/>
      <c r="N639" s="2"/>
      <c r="O639" s="2"/>
      <c r="P639" s="2"/>
      <c r="Q639" s="2"/>
      <c r="R639" s="2"/>
      <c r="S639" s="2"/>
      <c r="T639" s="2" t="s">
        <v>6245</v>
      </c>
      <c r="U639" s="2" t="s">
        <v>6246</v>
      </c>
      <c r="V639" s="2" t="s">
        <v>95</v>
      </c>
      <c r="W639" s="2" t="s">
        <v>96</v>
      </c>
      <c r="X639" s="2" t="s">
        <v>141</v>
      </c>
      <c r="Y639" s="2" t="s">
        <v>98</v>
      </c>
      <c r="Z639" s="2" t="s">
        <v>99</v>
      </c>
      <c r="AA639" s="2" t="s">
        <v>142</v>
      </c>
      <c r="AB639" s="2" t="s">
        <v>3086</v>
      </c>
      <c r="AC639" s="2">
        <v>55.8</v>
      </c>
      <c r="AD639" s="2">
        <v>90.28</v>
      </c>
      <c r="AE639" s="2">
        <v>0</v>
      </c>
      <c r="AF639" s="2" t="s">
        <v>5614</v>
      </c>
      <c r="AG639" s="2" t="s">
        <v>993</v>
      </c>
      <c r="AH639" s="2" t="s">
        <v>6247</v>
      </c>
      <c r="AI639" s="2">
        <v>0.4</v>
      </c>
      <c r="AJ639" s="2">
        <v>17.524879501068401</v>
      </c>
      <c r="AK639" s="2">
        <v>17.116710071756099</v>
      </c>
      <c r="AL639" s="2">
        <v>17.288329901185001</v>
      </c>
      <c r="AM639" s="2">
        <v>18.1166677900259</v>
      </c>
      <c r="AN639" s="2">
        <v>17.603430609403901</v>
      </c>
      <c r="AO639" s="2">
        <v>17.532944092044598</v>
      </c>
      <c r="AP639" s="2">
        <v>17.6995920402553</v>
      </c>
      <c r="AQ639" s="2">
        <v>17.110298964547901</v>
      </c>
      <c r="AR639" s="2">
        <v>15.6369867780828</v>
      </c>
      <c r="AS639" s="2">
        <v>17.271615580316102</v>
      </c>
      <c r="AT639" s="2">
        <v>18.841096937842199</v>
      </c>
      <c r="AU639" s="2">
        <v>16.456987861735001</v>
      </c>
      <c r="AV639" s="2">
        <v>16.342787052005502</v>
      </c>
      <c r="AW639" s="2">
        <v>16.2465858566988</v>
      </c>
      <c r="AX639" s="2">
        <v>18.118775595632201</v>
      </c>
      <c r="AY639" s="2">
        <v>15.7826143534888</v>
      </c>
      <c r="AZ639" s="2">
        <v>15.474854274139901</v>
      </c>
      <c r="BA639" s="2">
        <v>17.922009644445598</v>
      </c>
      <c r="BB639" s="2">
        <v>17.502154682789001</v>
      </c>
      <c r="BC639" s="2">
        <v>17.902220938944101</v>
      </c>
      <c r="BD639" s="2">
        <v>13.831869326103201</v>
      </c>
      <c r="BE639" s="2">
        <v>14.8759379298182</v>
      </c>
      <c r="BF639" s="2">
        <v>17.0837216606308</v>
      </c>
      <c r="BG639" s="2">
        <v>18.643062524455999</v>
      </c>
      <c r="BH639" s="2">
        <v>14.2125951757197</v>
      </c>
      <c r="BI639" s="2">
        <v>18.464167286790701</v>
      </c>
      <c r="BJ639" s="2">
        <v>17.343690178317299</v>
      </c>
      <c r="BK639" s="2">
        <v>15.6907299948888</v>
      </c>
      <c r="BL639" s="2">
        <v>17.874761671391301</v>
      </c>
      <c r="BM639" s="2">
        <v>16.319306603192601</v>
      </c>
      <c r="BN639" s="2">
        <v>14.9308500437104</v>
      </c>
      <c r="BO639" s="2">
        <v>17.069511444846899</v>
      </c>
      <c r="BP639" s="2">
        <v>16.956278134880701</v>
      </c>
      <c r="BQ639" s="2">
        <v>17.643791238858199</v>
      </c>
      <c r="BR639" s="2">
        <v>18.498133352019</v>
      </c>
      <c r="BS639" s="2">
        <v>15.4163964300731</v>
      </c>
      <c r="BT639" s="2">
        <v>17.042818299894101</v>
      </c>
      <c r="BU639" s="2">
        <v>18.219537193813299</v>
      </c>
      <c r="BV639" s="2">
        <v>18.7637850795265</v>
      </c>
      <c r="BW639" s="2">
        <v>16.552296399183799</v>
      </c>
      <c r="BX639" s="2">
        <v>16.883109934571099</v>
      </c>
      <c r="BY639" s="2">
        <v>15.613260555813101</v>
      </c>
      <c r="BZ639" s="2">
        <v>16.960387201326601</v>
      </c>
      <c r="CA639" s="2">
        <v>15.351424462962401</v>
      </c>
      <c r="CB639" s="2">
        <v>18.615916592906999</v>
      </c>
      <c r="CC639" s="2">
        <v>18.365305198161099</v>
      </c>
      <c r="CD639" s="2">
        <v>17.252051121567401</v>
      </c>
      <c r="CE639" s="2">
        <v>19.3548028834558</v>
      </c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</row>
    <row r="640" spans="1:97">
      <c r="A640" s="2" t="s">
        <v>6248</v>
      </c>
      <c r="B640" s="2">
        <v>103.03981</v>
      </c>
      <c r="C640" s="2">
        <v>1.379</v>
      </c>
      <c r="D640" s="2" t="s">
        <v>146</v>
      </c>
      <c r="E640" s="2" t="s">
        <v>6249</v>
      </c>
      <c r="F640" s="2" t="s">
        <v>6250</v>
      </c>
      <c r="G640" s="2">
        <v>1796</v>
      </c>
      <c r="H640" s="3" t="str">
        <f>HYPERLINK("https://cloud.oebiotech.com/#/lm/network/1796", "https://cloud.oebiotech.com/#/lm/network/1796")</f>
        <v>https://cloud.oebiotech.com/#/lm/network/1796</v>
      </c>
      <c r="I640" s="2" t="s">
        <v>6251</v>
      </c>
      <c r="J640" s="2">
        <v>35598</v>
      </c>
      <c r="K640" s="2" t="s">
        <v>6252</v>
      </c>
      <c r="L640" s="2">
        <v>92135</v>
      </c>
      <c r="M640" s="2" t="s">
        <v>6253</v>
      </c>
      <c r="N640" s="2" t="s">
        <v>6254</v>
      </c>
      <c r="O640" s="2" t="s">
        <v>6255</v>
      </c>
      <c r="P640" s="2">
        <v>17066</v>
      </c>
      <c r="Q640" s="2" t="s">
        <v>6256</v>
      </c>
      <c r="R640" s="2" t="s">
        <v>6257</v>
      </c>
      <c r="S640" s="2" t="s">
        <v>6258</v>
      </c>
      <c r="T640" s="2" t="s">
        <v>6259</v>
      </c>
      <c r="U640" s="2" t="s">
        <v>6260</v>
      </c>
      <c r="V640" s="2" t="s">
        <v>115</v>
      </c>
      <c r="W640" s="2" t="s">
        <v>832</v>
      </c>
      <c r="X640" s="2" t="s">
        <v>833</v>
      </c>
      <c r="Y640" s="2" t="s">
        <v>118</v>
      </c>
      <c r="Z640" s="2" t="s">
        <v>834</v>
      </c>
      <c r="AA640" s="2" t="s">
        <v>835</v>
      </c>
      <c r="AB640" s="2" t="s">
        <v>3086</v>
      </c>
      <c r="AC640" s="2">
        <v>55.78</v>
      </c>
      <c r="AD640" s="2">
        <v>97.5</v>
      </c>
      <c r="AE640" s="2">
        <v>0</v>
      </c>
      <c r="AF640" s="2" t="s">
        <v>5614</v>
      </c>
      <c r="AG640" s="2" t="s">
        <v>194</v>
      </c>
      <c r="AH640" s="2" t="s">
        <v>6261</v>
      </c>
      <c r="AI640" s="2">
        <v>2.52</v>
      </c>
      <c r="AJ640" s="2">
        <v>24.921915638106299</v>
      </c>
      <c r="AK640" s="2">
        <v>25.037479151185401</v>
      </c>
      <c r="AL640" s="2">
        <v>25.1334003201817</v>
      </c>
      <c r="AM640" s="2">
        <v>24.928916411701</v>
      </c>
      <c r="AN640" s="2">
        <v>25.147014842266401</v>
      </c>
      <c r="AO640" s="2">
        <v>25.0955104339697</v>
      </c>
      <c r="AP640" s="2">
        <v>25.0583932481881</v>
      </c>
      <c r="AQ640" s="2">
        <v>25.163687249420398</v>
      </c>
      <c r="AR640" s="2">
        <v>24.481068992151201</v>
      </c>
      <c r="AS640" s="2">
        <v>24.499332941132501</v>
      </c>
      <c r="AT640" s="2">
        <v>26.453542231944699</v>
      </c>
      <c r="AU640" s="2">
        <v>24.539444987891599</v>
      </c>
      <c r="AV640" s="2">
        <v>24.772488629106</v>
      </c>
      <c r="AW640" s="2">
        <v>24.654808169289399</v>
      </c>
      <c r="AX640" s="2">
        <v>25.347374815812302</v>
      </c>
      <c r="AY640" s="2">
        <v>24.747322448936199</v>
      </c>
      <c r="AZ640" s="2">
        <v>24.304917421351099</v>
      </c>
      <c r="BA640" s="2">
        <v>24.4035567952374</v>
      </c>
      <c r="BB640" s="2">
        <v>25.325848334212299</v>
      </c>
      <c r="BC640" s="2">
        <v>26.351250478422902</v>
      </c>
      <c r="BD640" s="2">
        <v>24.505111942048501</v>
      </c>
      <c r="BE640" s="2">
        <v>24.8024623448099</v>
      </c>
      <c r="BF640" s="2">
        <v>25.074511862588</v>
      </c>
      <c r="BG640" s="2">
        <v>25.126826813467702</v>
      </c>
      <c r="BH640" s="2">
        <v>25.161089652439401</v>
      </c>
      <c r="BI640" s="2">
        <v>25.351620993471499</v>
      </c>
      <c r="BJ640" s="2">
        <v>25.0799260966666</v>
      </c>
      <c r="BK640" s="2">
        <v>24.333895214677401</v>
      </c>
      <c r="BL640" s="2">
        <v>25.209955644527</v>
      </c>
      <c r="BM640" s="2">
        <v>25.4173151447193</v>
      </c>
      <c r="BN640" s="2">
        <v>24.485384171771098</v>
      </c>
      <c r="BO640" s="2">
        <v>23.410810160274899</v>
      </c>
      <c r="BP640" s="2">
        <v>23.383486975059899</v>
      </c>
      <c r="BQ640" s="2">
        <v>25.017047848260798</v>
      </c>
      <c r="BR640" s="2">
        <v>25.3978793067594</v>
      </c>
      <c r="BS640" s="2">
        <v>24.423302296616399</v>
      </c>
      <c r="BT640" s="2">
        <v>24.460129965569401</v>
      </c>
      <c r="BU640" s="2">
        <v>23.281684754570399</v>
      </c>
      <c r="BV640" s="2">
        <v>24.7134449621072</v>
      </c>
      <c r="BW640" s="2">
        <v>24.947946334913699</v>
      </c>
      <c r="BX640" s="2">
        <v>24.7991878180306</v>
      </c>
      <c r="BY640" s="2">
        <v>25.1625427195242</v>
      </c>
      <c r="BZ640" s="2">
        <v>25.082076994385101</v>
      </c>
      <c r="CA640" s="2">
        <v>25.6980915454693</v>
      </c>
      <c r="CB640" s="2">
        <v>24.989466182205899</v>
      </c>
      <c r="CC640" s="2">
        <v>24.646040510787799</v>
      </c>
      <c r="CD640" s="2">
        <v>24.931720448714099</v>
      </c>
      <c r="CE640" s="2">
        <v>25.147295145226799</v>
      </c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</row>
    <row r="641" spans="1:97">
      <c r="A641" s="2" t="s">
        <v>6262</v>
      </c>
      <c r="B641" s="2">
        <v>204.13400999999999</v>
      </c>
      <c r="C641" s="2">
        <v>0.78800000000000003</v>
      </c>
      <c r="D641" s="2" t="s">
        <v>84</v>
      </c>
      <c r="E641" s="2" t="s">
        <v>6263</v>
      </c>
      <c r="F641" s="2" t="s">
        <v>6264</v>
      </c>
      <c r="G641" s="2">
        <v>266205</v>
      </c>
      <c r="H641" s="3" t="str">
        <f>HYPERLINK("https://cloud.oebiotech.com/#/lm/network/266205", "https://cloud.oebiotech.com/#/lm/network/266205")</f>
        <v>https://cloud.oebiotech.com/#/lm/network/266205</v>
      </c>
      <c r="I641" s="2"/>
      <c r="J641" s="2">
        <v>23941</v>
      </c>
      <c r="K641" s="2"/>
      <c r="L641" s="2">
        <v>6347578</v>
      </c>
      <c r="M641" s="2"/>
      <c r="N641" s="2"/>
      <c r="O641" s="2"/>
      <c r="P641" s="2"/>
      <c r="Q641" s="2"/>
      <c r="R641" s="2"/>
      <c r="S641" s="2"/>
      <c r="T641" s="2" t="s">
        <v>6265</v>
      </c>
      <c r="U641" s="2" t="s">
        <v>6266</v>
      </c>
      <c r="V641" s="2" t="s">
        <v>115</v>
      </c>
      <c r="W641" s="2" t="s">
        <v>116</v>
      </c>
      <c r="X641" s="2" t="s">
        <v>117</v>
      </c>
      <c r="Y641" s="2" t="s">
        <v>118</v>
      </c>
      <c r="Z641" s="2" t="s">
        <v>119</v>
      </c>
      <c r="AA641" s="2" t="s">
        <v>120</v>
      </c>
      <c r="AB641" s="2" t="s">
        <v>3086</v>
      </c>
      <c r="AC641" s="2">
        <v>55.77</v>
      </c>
      <c r="AD641" s="2">
        <v>94.54</v>
      </c>
      <c r="AE641" s="2">
        <v>0</v>
      </c>
      <c r="AF641" s="2" t="s">
        <v>5614</v>
      </c>
      <c r="AG641" s="2" t="s">
        <v>132</v>
      </c>
      <c r="AH641" s="2" t="s">
        <v>6267</v>
      </c>
      <c r="AI641" s="2">
        <v>1.47</v>
      </c>
      <c r="AJ641" s="2">
        <v>22.030137280517099</v>
      </c>
      <c r="AK641" s="2">
        <v>21.7899375952403</v>
      </c>
      <c r="AL641" s="2">
        <v>22.1318161721485</v>
      </c>
      <c r="AM641" s="2">
        <v>22.172213120473799</v>
      </c>
      <c r="AN641" s="2">
        <v>22.3060181035735</v>
      </c>
      <c r="AO641" s="2">
        <v>21.8985539208097</v>
      </c>
      <c r="AP641" s="2">
        <v>22.774950559441098</v>
      </c>
      <c r="AQ641" s="2">
        <v>22.199464256187099</v>
      </c>
      <c r="AR641" s="2">
        <v>21.613812076534799</v>
      </c>
      <c r="AS641" s="2">
        <v>22.561641478979901</v>
      </c>
      <c r="AT641" s="2">
        <v>22.872046276831501</v>
      </c>
      <c r="AU641" s="2">
        <v>21.830109595462801</v>
      </c>
      <c r="AV641" s="2">
        <v>21.314178705153701</v>
      </c>
      <c r="AW641" s="2">
        <v>21.7873745105802</v>
      </c>
      <c r="AX641" s="2">
        <v>23.385336573658599</v>
      </c>
      <c r="AY641" s="2">
        <v>21.614232259245998</v>
      </c>
      <c r="AZ641" s="2">
        <v>21.546046004225701</v>
      </c>
      <c r="BA641" s="2">
        <v>21.471227264284199</v>
      </c>
      <c r="BB641" s="2">
        <v>22.297063409606299</v>
      </c>
      <c r="BC641" s="2">
        <v>22.8134010306741</v>
      </c>
      <c r="BD641" s="2">
        <v>20.8211950644666</v>
      </c>
      <c r="BE641" s="2">
        <v>21.456014252874699</v>
      </c>
      <c r="BF641" s="2">
        <v>21.590058512766898</v>
      </c>
      <c r="BG641" s="2">
        <v>21.962132473103001</v>
      </c>
      <c r="BH641" s="2">
        <v>20.8777990886753</v>
      </c>
      <c r="BI641" s="2">
        <v>22.7509268895475</v>
      </c>
      <c r="BJ641" s="2">
        <v>21.908054966399099</v>
      </c>
      <c r="BK641" s="2">
        <v>21.780980898711199</v>
      </c>
      <c r="BL641" s="2">
        <v>21.802100791614301</v>
      </c>
      <c r="BM641" s="2">
        <v>21.729985907230699</v>
      </c>
      <c r="BN641" s="2">
        <v>22.4470242962004</v>
      </c>
      <c r="BO641" s="2">
        <v>22.979774059011302</v>
      </c>
      <c r="BP641" s="2">
        <v>22.017696215134901</v>
      </c>
      <c r="BQ641" s="2">
        <v>22.068024470303399</v>
      </c>
      <c r="BR641" s="2">
        <v>22.158642324476901</v>
      </c>
      <c r="BS641" s="2">
        <v>21.398966387665599</v>
      </c>
      <c r="BT641" s="2">
        <v>20.864810135292402</v>
      </c>
      <c r="BU641" s="2">
        <v>22.182997791212301</v>
      </c>
      <c r="BV641" s="2">
        <v>21.291918680134199</v>
      </c>
      <c r="BW641" s="2">
        <v>21.7636550266512</v>
      </c>
      <c r="BX641" s="2">
        <v>22.060060782582202</v>
      </c>
      <c r="BY641" s="2">
        <v>21.865576212745399</v>
      </c>
      <c r="BZ641" s="2">
        <v>22.069440352997901</v>
      </c>
      <c r="CA641" s="2">
        <v>21.820484181372599</v>
      </c>
      <c r="CB641" s="2">
        <v>21.976980529497499</v>
      </c>
      <c r="CC641" s="2">
        <v>22.748931643509</v>
      </c>
      <c r="CD641" s="2">
        <v>21.410753711830001</v>
      </c>
      <c r="CE641" s="2">
        <v>22.733152507312301</v>
      </c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</row>
    <row r="642" spans="1:97">
      <c r="A642" s="2" t="s">
        <v>6268</v>
      </c>
      <c r="B642" s="2">
        <v>234.07927000000001</v>
      </c>
      <c r="C642" s="2">
        <v>3.895</v>
      </c>
      <c r="D642" s="2" t="s">
        <v>84</v>
      </c>
      <c r="E642" s="2" t="s">
        <v>6269</v>
      </c>
      <c r="F642" s="2" t="s">
        <v>6270</v>
      </c>
      <c r="G642" s="2">
        <v>211359</v>
      </c>
      <c r="H642" s="3" t="str">
        <f>HYPERLINK("https://cloud.oebiotech.com/#/lm/network/211359", "https://cloud.oebiotech.com/#/lm/network/211359")</f>
        <v>https://cloud.oebiotech.com/#/lm/network/211359</v>
      </c>
      <c r="I642" s="2" t="s">
        <v>6271</v>
      </c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 t="s">
        <v>6272</v>
      </c>
      <c r="U642" s="2" t="s">
        <v>6273</v>
      </c>
      <c r="V642" s="2" t="s">
        <v>115</v>
      </c>
      <c r="W642" s="2" t="s">
        <v>116</v>
      </c>
      <c r="X642" s="2" t="s">
        <v>117</v>
      </c>
      <c r="Y642" s="2" t="s">
        <v>118</v>
      </c>
      <c r="Z642" s="2" t="s">
        <v>119</v>
      </c>
      <c r="AA642" s="2" t="s">
        <v>120</v>
      </c>
      <c r="AB642" s="2" t="s">
        <v>3086</v>
      </c>
      <c r="AC642" s="2">
        <v>55.77</v>
      </c>
      <c r="AD642" s="2">
        <v>90.97</v>
      </c>
      <c r="AE642" s="2">
        <v>0</v>
      </c>
      <c r="AF642" s="2" t="s">
        <v>5614</v>
      </c>
      <c r="AG642" s="2" t="s">
        <v>103</v>
      </c>
      <c r="AH642" s="2" t="s">
        <v>6274</v>
      </c>
      <c r="AI642" s="2">
        <v>0.85</v>
      </c>
      <c r="AJ642" s="2">
        <v>19.571236837594</v>
      </c>
      <c r="AK642" s="2">
        <v>19.890412862611601</v>
      </c>
      <c r="AL642" s="2">
        <v>19.769729034467801</v>
      </c>
      <c r="AM642" s="2">
        <v>19.799744422694499</v>
      </c>
      <c r="AN642" s="2">
        <v>19.9350226577222</v>
      </c>
      <c r="AO642" s="2">
        <v>20.014994123258401</v>
      </c>
      <c r="AP642" s="2">
        <v>19.7655813792109</v>
      </c>
      <c r="AQ642" s="2">
        <v>20.144166033450801</v>
      </c>
      <c r="AR642" s="2">
        <v>17.969400237673199</v>
      </c>
      <c r="AS642" s="2">
        <v>18.011732671514999</v>
      </c>
      <c r="AT642" s="2">
        <v>19.373558199460899</v>
      </c>
      <c r="AU642" s="2">
        <v>19.3657034757065</v>
      </c>
      <c r="AV642" s="2">
        <v>19.536073585453501</v>
      </c>
      <c r="AW642" s="2">
        <v>19.881803102345</v>
      </c>
      <c r="AX642" s="2">
        <v>19.397958971388501</v>
      </c>
      <c r="AY642" s="2">
        <v>19.591698943624799</v>
      </c>
      <c r="AZ642" s="2">
        <v>19.216468933053498</v>
      </c>
      <c r="BA642" s="2">
        <v>18.774660994548402</v>
      </c>
      <c r="BB642" s="2">
        <v>20.110789637414001</v>
      </c>
      <c r="BC642" s="2">
        <v>21.054527930297699</v>
      </c>
      <c r="BD642" s="2">
        <v>19.271337066542198</v>
      </c>
      <c r="BE642" s="2">
        <v>19.9397959678505</v>
      </c>
      <c r="BF642" s="2">
        <v>20.530048347147002</v>
      </c>
      <c r="BG642" s="2">
        <v>19.526556796782899</v>
      </c>
      <c r="BH642" s="2">
        <v>18.653880907985201</v>
      </c>
      <c r="BI642" s="2">
        <v>20.011498821878298</v>
      </c>
      <c r="BJ642" s="2">
        <v>19.620727739151398</v>
      </c>
      <c r="BK642" s="2">
        <v>19.4988280001234</v>
      </c>
      <c r="BL642" s="2">
        <v>19.635775466262501</v>
      </c>
      <c r="BM642" s="2">
        <v>20.3175095208254</v>
      </c>
      <c r="BN642" s="2">
        <v>19.9203127111738</v>
      </c>
      <c r="BO642" s="2">
        <v>19.7458296290738</v>
      </c>
      <c r="BP642" s="2">
        <v>19.419265421539802</v>
      </c>
      <c r="BQ642" s="2">
        <v>19.998659880579002</v>
      </c>
      <c r="BR642" s="2">
        <v>19.9898926992282</v>
      </c>
      <c r="BS642" s="2">
        <v>18.778634252383</v>
      </c>
      <c r="BT642" s="2">
        <v>19.020232400554399</v>
      </c>
      <c r="BU642" s="2">
        <v>19.0383539598838</v>
      </c>
      <c r="BV642" s="2">
        <v>20.6716396332471</v>
      </c>
      <c r="BW642" s="2">
        <v>19.633387785260702</v>
      </c>
      <c r="BX642" s="2">
        <v>18.483799641934699</v>
      </c>
      <c r="BY642" s="2">
        <v>20.049175850916701</v>
      </c>
      <c r="BZ642" s="2">
        <v>19.9314647348256</v>
      </c>
      <c r="CA642" s="2">
        <v>20.954057616910799</v>
      </c>
      <c r="CB642" s="2">
        <v>19.042682406852201</v>
      </c>
      <c r="CC642" s="2">
        <v>20.376424880750299</v>
      </c>
      <c r="CD642" s="2">
        <v>20.282866985547098</v>
      </c>
      <c r="CE642" s="2">
        <v>20.478692844724701</v>
      </c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</row>
    <row r="643" spans="1:97">
      <c r="A643" s="2" t="s">
        <v>6275</v>
      </c>
      <c r="B643" s="2">
        <v>275.16476</v>
      </c>
      <c r="C643" s="2">
        <v>10.358000000000001</v>
      </c>
      <c r="D643" s="2" t="s">
        <v>146</v>
      </c>
      <c r="E643" s="2" t="s">
        <v>6276</v>
      </c>
      <c r="F643" s="2" t="s">
        <v>6277</v>
      </c>
      <c r="G643" s="2">
        <v>53623</v>
      </c>
      <c r="H643" s="3" t="str">
        <f>HYPERLINK("https://cloud.oebiotech.com/#/lm/network/53623", "https://cloud.oebiotech.com/#/lm/network/53623")</f>
        <v>https://cloud.oebiotech.com/#/lm/network/53623</v>
      </c>
      <c r="I643" s="2" t="s">
        <v>6278</v>
      </c>
      <c r="J643" s="2">
        <v>3970</v>
      </c>
      <c r="K643" s="2"/>
      <c r="L643" s="2">
        <v>2893</v>
      </c>
      <c r="M643" s="2"/>
      <c r="N643" s="2"/>
      <c r="O643" s="2"/>
      <c r="P643" s="2">
        <v>3988</v>
      </c>
      <c r="Q643" s="2"/>
      <c r="R643" s="2"/>
      <c r="S643" s="2" t="s">
        <v>6279</v>
      </c>
      <c r="T643" s="2" t="s">
        <v>6280</v>
      </c>
      <c r="U643" s="2" t="s">
        <v>6281</v>
      </c>
      <c r="V643" s="2" t="s">
        <v>385</v>
      </c>
      <c r="W643" s="2" t="s">
        <v>386</v>
      </c>
      <c r="X643" s="2" t="s">
        <v>375</v>
      </c>
      <c r="Y643" s="2" t="s">
        <v>388</v>
      </c>
      <c r="Z643" s="2" t="s">
        <v>389</v>
      </c>
      <c r="AA643" s="2"/>
      <c r="AB643" s="2" t="s">
        <v>3086</v>
      </c>
      <c r="AC643" s="2">
        <v>55.74</v>
      </c>
      <c r="AD643" s="2">
        <v>97.84</v>
      </c>
      <c r="AE643" s="2">
        <v>0</v>
      </c>
      <c r="AF643" s="2" t="s">
        <v>6282</v>
      </c>
      <c r="AG643" s="2" t="s">
        <v>194</v>
      </c>
      <c r="AH643" s="2" t="s">
        <v>6283</v>
      </c>
      <c r="AI643" s="2">
        <v>1.82</v>
      </c>
      <c r="AJ643" s="2">
        <v>22.924212246889098</v>
      </c>
      <c r="AK643" s="2">
        <v>22.680667892737201</v>
      </c>
      <c r="AL643" s="2">
        <v>22.659649852009998</v>
      </c>
      <c r="AM643" s="2">
        <v>22.346139400311198</v>
      </c>
      <c r="AN643" s="2">
        <v>22.714481584603401</v>
      </c>
      <c r="AO643" s="2">
        <v>22.773663982157601</v>
      </c>
      <c r="AP643" s="2">
        <v>22.754929240092899</v>
      </c>
      <c r="AQ643" s="2">
        <v>22.8622162999709</v>
      </c>
      <c r="AR643" s="2">
        <v>23.071462905945001</v>
      </c>
      <c r="AS643" s="2">
        <v>22.4071708588626</v>
      </c>
      <c r="AT643" s="2">
        <v>22.187109733623402</v>
      </c>
      <c r="AU643" s="2">
        <v>22.749344369958301</v>
      </c>
      <c r="AV643" s="2">
        <v>22.958890395160299</v>
      </c>
      <c r="AW643" s="2">
        <v>22.893369386334399</v>
      </c>
      <c r="AX643" s="2">
        <v>23.020976631960401</v>
      </c>
      <c r="AY643" s="2">
        <v>22.8697067940975</v>
      </c>
      <c r="AZ643" s="2">
        <v>22.695469956527301</v>
      </c>
      <c r="BA643" s="2">
        <v>22.373494356229099</v>
      </c>
      <c r="BB643" s="2">
        <v>22.733842754865201</v>
      </c>
      <c r="BC643" s="2">
        <v>22.927865839136199</v>
      </c>
      <c r="BD643" s="2">
        <v>22.647799510777698</v>
      </c>
      <c r="BE643" s="2">
        <v>22.918629990615798</v>
      </c>
      <c r="BF643" s="2">
        <v>22.810113016301599</v>
      </c>
      <c r="BG643" s="2">
        <v>22.498860401111202</v>
      </c>
      <c r="BH643" s="2">
        <v>22.849865136342299</v>
      </c>
      <c r="BI643" s="2">
        <v>21.931423697434798</v>
      </c>
      <c r="BJ643" s="2">
        <v>22.796590108770499</v>
      </c>
      <c r="BK643" s="2">
        <v>22.667204472430999</v>
      </c>
      <c r="BL643" s="2">
        <v>22.827826841813199</v>
      </c>
      <c r="BM643" s="2">
        <v>22.8746016647974</v>
      </c>
      <c r="BN643" s="2">
        <v>22.890594955212801</v>
      </c>
      <c r="BO643" s="2">
        <v>22.716136305821301</v>
      </c>
      <c r="BP643" s="2">
        <v>22.809839950464799</v>
      </c>
      <c r="BQ643" s="2">
        <v>22.840057593133999</v>
      </c>
      <c r="BR643" s="2">
        <v>22.921296562979698</v>
      </c>
      <c r="BS643" s="2">
        <v>22.963522297716001</v>
      </c>
      <c r="BT643" s="2">
        <v>22.7998591948989</v>
      </c>
      <c r="BU643" s="2">
        <v>22.611273190443601</v>
      </c>
      <c r="BV643" s="2">
        <v>22.794049302259001</v>
      </c>
      <c r="BW643" s="2">
        <v>22.628983115751499</v>
      </c>
      <c r="BX643" s="2">
        <v>22.8401404711528</v>
      </c>
      <c r="BY643" s="2">
        <v>23.016734766590002</v>
      </c>
      <c r="BZ643" s="2">
        <v>22.7498175056473</v>
      </c>
      <c r="CA643" s="2">
        <v>22.832102719879501</v>
      </c>
      <c r="CB643" s="2">
        <v>22.8901167265856</v>
      </c>
      <c r="CC643" s="2">
        <v>22.705327673932999</v>
      </c>
      <c r="CD643" s="2">
        <v>22.864208936766602</v>
      </c>
      <c r="CE643" s="2">
        <v>22.525146802365601</v>
      </c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</row>
    <row r="644" spans="1:97">
      <c r="A644" s="2" t="s">
        <v>6284</v>
      </c>
      <c r="B644" s="2">
        <v>192.06522000000001</v>
      </c>
      <c r="C644" s="2">
        <v>5.5350000000000001</v>
      </c>
      <c r="D644" s="2" t="s">
        <v>84</v>
      </c>
      <c r="E644" s="2" t="s">
        <v>6285</v>
      </c>
      <c r="F644" s="2" t="s">
        <v>6286</v>
      </c>
      <c r="G644" s="2">
        <v>55520</v>
      </c>
      <c r="H644" s="3" t="str">
        <f>HYPERLINK("https://cloud.oebiotech.com/#/lm/network/55520", "https://cloud.oebiotech.com/#/lm/network/55520")</f>
        <v>https://cloud.oebiotech.com/#/lm/network/55520</v>
      </c>
      <c r="I644" s="2" t="s">
        <v>6287</v>
      </c>
      <c r="J644" s="2">
        <v>44061</v>
      </c>
      <c r="K644" s="2"/>
      <c r="L644" s="2">
        <v>3806</v>
      </c>
      <c r="M644" s="2" t="s">
        <v>6288</v>
      </c>
      <c r="N644" s="2"/>
      <c r="O644" s="2"/>
      <c r="P644" s="2">
        <v>15794</v>
      </c>
      <c r="Q644" s="2"/>
      <c r="R644" s="2"/>
      <c r="S644" s="2" t="s">
        <v>6289</v>
      </c>
      <c r="T644" s="2" t="s">
        <v>6290</v>
      </c>
      <c r="U644" s="2" t="s">
        <v>6291</v>
      </c>
      <c r="V644" s="2" t="s">
        <v>385</v>
      </c>
      <c r="W644" s="2" t="s">
        <v>4381</v>
      </c>
      <c r="X644" s="2" t="s">
        <v>6292</v>
      </c>
      <c r="Y644" s="2" t="s">
        <v>388</v>
      </c>
      <c r="Z644" s="2" t="s">
        <v>4382</v>
      </c>
      <c r="AA644" s="2" t="s">
        <v>6293</v>
      </c>
      <c r="AB644" s="2" t="s">
        <v>3086</v>
      </c>
      <c r="AC644" s="2">
        <v>55.73</v>
      </c>
      <c r="AD644" s="2">
        <v>93.56</v>
      </c>
      <c r="AE644" s="2">
        <v>0</v>
      </c>
      <c r="AF644" s="2" t="s">
        <v>5614</v>
      </c>
      <c r="AG644" s="2" t="s">
        <v>132</v>
      </c>
      <c r="AH644" s="2" t="s">
        <v>6294</v>
      </c>
      <c r="AI644" s="2">
        <v>1.56</v>
      </c>
      <c r="AJ644" s="2">
        <v>17.074122224459799</v>
      </c>
      <c r="AK644" s="2">
        <v>18.090690798365902</v>
      </c>
      <c r="AL644" s="2">
        <v>18.306839058110601</v>
      </c>
      <c r="AM644" s="2">
        <v>18.216588054795199</v>
      </c>
      <c r="AN644" s="2">
        <v>18.430760594280301</v>
      </c>
      <c r="AO644" s="2">
        <v>18.419143988450099</v>
      </c>
      <c r="AP644" s="2">
        <v>18.453063125557499</v>
      </c>
      <c r="AQ644" s="2">
        <v>17.726383223604898</v>
      </c>
      <c r="AR644" s="2">
        <v>17.099011694489199</v>
      </c>
      <c r="AS644" s="2">
        <v>16.611404100596801</v>
      </c>
      <c r="AT644" s="2">
        <v>14.158829767619601</v>
      </c>
      <c r="AU644" s="2">
        <v>16.7426128607162</v>
      </c>
      <c r="AV644" s="2">
        <v>16.807778153499498</v>
      </c>
      <c r="AW644" s="2">
        <v>17.663813104934299</v>
      </c>
      <c r="AX644" s="2">
        <v>17.555429813923698</v>
      </c>
      <c r="AY644" s="2">
        <v>17.119473511538299</v>
      </c>
      <c r="AZ644" s="2">
        <v>17.9598270277362</v>
      </c>
      <c r="BA644" s="2">
        <v>16.403565813875701</v>
      </c>
      <c r="BB644" s="2">
        <v>17.4006784273564</v>
      </c>
      <c r="BC644" s="2">
        <v>17.044951800699899</v>
      </c>
      <c r="BD644" s="2">
        <v>17.072255099053699</v>
      </c>
      <c r="BE644" s="2">
        <v>18.453971407642399</v>
      </c>
      <c r="BF644" s="2">
        <v>17.88920317254</v>
      </c>
      <c r="BG644" s="2">
        <v>18.525635235587099</v>
      </c>
      <c r="BH644" s="2">
        <v>17.7404047988943</v>
      </c>
      <c r="BI644" s="2">
        <v>18.343714941470498</v>
      </c>
      <c r="BJ644" s="2">
        <v>18.410765763940802</v>
      </c>
      <c r="BK644" s="2">
        <v>17.336516932978999</v>
      </c>
      <c r="BL644" s="2">
        <v>17.907059123259302</v>
      </c>
      <c r="BM644" s="2">
        <v>17.538168694037701</v>
      </c>
      <c r="BN644" s="2">
        <v>18.010862592894998</v>
      </c>
      <c r="BO644" s="2">
        <v>18.321105117212401</v>
      </c>
      <c r="BP644" s="2">
        <v>19.245771751028698</v>
      </c>
      <c r="BQ644" s="2">
        <v>18.334790779235099</v>
      </c>
      <c r="BR644" s="2">
        <v>18.168075049757</v>
      </c>
      <c r="BS644" s="2">
        <v>18.363138986705</v>
      </c>
      <c r="BT644" s="2">
        <v>18.432500754741799</v>
      </c>
      <c r="BU644" s="2">
        <v>18.178763262728999</v>
      </c>
      <c r="BV644" s="2">
        <v>18.179833105556899</v>
      </c>
      <c r="BW644" s="2">
        <v>16.521414570354199</v>
      </c>
      <c r="BX644" s="2">
        <v>17.907045094714601</v>
      </c>
      <c r="BY644" s="2">
        <v>19.331643691178002</v>
      </c>
      <c r="BZ644" s="2">
        <v>17.046217148886601</v>
      </c>
      <c r="CA644" s="2">
        <v>16.539217892041499</v>
      </c>
      <c r="CB644" s="2">
        <v>18.361552659651899</v>
      </c>
      <c r="CC644" s="2">
        <v>18.1716885476756</v>
      </c>
      <c r="CD644" s="2">
        <v>19.422277561469802</v>
      </c>
      <c r="CE644" s="2">
        <v>18.809167089899798</v>
      </c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</row>
    <row r="645" spans="1:97">
      <c r="A645" s="2" t="s">
        <v>6295</v>
      </c>
      <c r="B645" s="2">
        <v>148.06014999999999</v>
      </c>
      <c r="C645" s="2">
        <v>1.2050000000000001</v>
      </c>
      <c r="D645" s="2" t="s">
        <v>84</v>
      </c>
      <c r="E645" s="2" t="s">
        <v>6296</v>
      </c>
      <c r="F645" s="2" t="s">
        <v>6297</v>
      </c>
      <c r="G645" s="2">
        <v>48771</v>
      </c>
      <c r="H645" s="3" t="str">
        <f>HYPERLINK("https://cloud.oebiotech.com/#/lm/network/48771", "https://cloud.oebiotech.com/#/lm/network/48771")</f>
        <v>https://cloud.oebiotech.com/#/lm/network/48771</v>
      </c>
      <c r="I645" s="2" t="s">
        <v>6298</v>
      </c>
      <c r="J645" s="2">
        <v>58455</v>
      </c>
      <c r="K645" s="2"/>
      <c r="L645" s="2">
        <v>440851</v>
      </c>
      <c r="M645" s="2" t="s">
        <v>6299</v>
      </c>
      <c r="N645" s="2" t="s">
        <v>3930</v>
      </c>
      <c r="O645" s="2" t="s">
        <v>3931</v>
      </c>
      <c r="P645" s="2">
        <v>27809</v>
      </c>
      <c r="Q645" s="2"/>
      <c r="R645" s="2"/>
      <c r="S645" s="2"/>
      <c r="T645" s="2" t="s">
        <v>6300</v>
      </c>
      <c r="U645" s="2" t="s">
        <v>6301</v>
      </c>
      <c r="V645" s="2" t="s">
        <v>115</v>
      </c>
      <c r="W645" s="2" t="s">
        <v>116</v>
      </c>
      <c r="X645" s="2" t="s">
        <v>117</v>
      </c>
      <c r="Y645" s="2" t="s">
        <v>118</v>
      </c>
      <c r="Z645" s="2" t="s">
        <v>119</v>
      </c>
      <c r="AA645" s="2" t="s">
        <v>120</v>
      </c>
      <c r="AB645" s="2" t="s">
        <v>3086</v>
      </c>
      <c r="AC645" s="2">
        <v>55.69</v>
      </c>
      <c r="AD645" s="2">
        <v>96.58</v>
      </c>
      <c r="AE645" s="2">
        <v>0</v>
      </c>
      <c r="AF645" s="2" t="s">
        <v>5614</v>
      </c>
      <c r="AG645" s="2" t="s">
        <v>103</v>
      </c>
      <c r="AH645" s="2" t="s">
        <v>2312</v>
      </c>
      <c r="AI645" s="2">
        <v>2.0299999999999998</v>
      </c>
      <c r="AJ645" s="2">
        <v>17.868980160117001</v>
      </c>
      <c r="AK645" s="2">
        <v>18.550339730167199</v>
      </c>
      <c r="AL645" s="2">
        <v>18.0220589639023</v>
      </c>
      <c r="AM645" s="2">
        <v>17.800693038486902</v>
      </c>
      <c r="AN645" s="2">
        <v>18.491200166665902</v>
      </c>
      <c r="AO645" s="2">
        <v>18.5489185142671</v>
      </c>
      <c r="AP645" s="2">
        <v>18.618513443135399</v>
      </c>
      <c r="AQ645" s="2">
        <v>18.465947808658999</v>
      </c>
      <c r="AR645" s="2">
        <v>18.492617055897</v>
      </c>
      <c r="AS645" s="2">
        <v>17.632471935092401</v>
      </c>
      <c r="AT645" s="2">
        <v>18.6705490663931</v>
      </c>
      <c r="AU645" s="2">
        <v>18.4245084814312</v>
      </c>
      <c r="AV645" s="2">
        <v>18.457742613741999</v>
      </c>
      <c r="AW645" s="2">
        <v>18.4041294562785</v>
      </c>
      <c r="AX645" s="2">
        <v>18.296628398930999</v>
      </c>
      <c r="AY645" s="2">
        <v>18.292076821615002</v>
      </c>
      <c r="AZ645" s="2">
        <v>18.052418239879799</v>
      </c>
      <c r="BA645" s="2">
        <v>17.8647647585837</v>
      </c>
      <c r="BB645" s="2">
        <v>16.329313011879901</v>
      </c>
      <c r="BC645" s="2">
        <v>18.488193584529199</v>
      </c>
      <c r="BD645" s="2">
        <v>17.741704962472799</v>
      </c>
      <c r="BE645" s="2">
        <v>17.500889561009998</v>
      </c>
      <c r="BF645" s="2">
        <v>17.899415696442102</v>
      </c>
      <c r="BG645" s="2">
        <v>17.427348040173701</v>
      </c>
      <c r="BH645" s="2">
        <v>9.6233145402724691</v>
      </c>
      <c r="BI645" s="2">
        <v>18.393664121194298</v>
      </c>
      <c r="BJ645" s="2">
        <v>18.8287770809698</v>
      </c>
      <c r="BK645" s="2">
        <v>18.467768875617899</v>
      </c>
      <c r="BL645" s="2">
        <v>18.127407381523</v>
      </c>
      <c r="BM645" s="2">
        <v>16.772912479684202</v>
      </c>
      <c r="BN645" s="2">
        <v>17.763970142975101</v>
      </c>
      <c r="BO645" s="2">
        <v>18.325769136603899</v>
      </c>
      <c r="BP645" s="2">
        <v>18.184331731640199</v>
      </c>
      <c r="BQ645" s="2">
        <v>18.375634009730099</v>
      </c>
      <c r="BR645" s="2">
        <v>17.190600779037698</v>
      </c>
      <c r="BS645" s="2">
        <v>18.942922479312699</v>
      </c>
      <c r="BT645" s="2">
        <v>17.009772315655301</v>
      </c>
      <c r="BU645" s="2">
        <v>19.2377211297242</v>
      </c>
      <c r="BV645" s="2">
        <v>19.0237611202474</v>
      </c>
      <c r="BW645" s="2">
        <v>17.8879355611402</v>
      </c>
      <c r="BX645" s="2">
        <v>18.2149797209042</v>
      </c>
      <c r="BY645" s="2">
        <v>18.519518239763499</v>
      </c>
      <c r="BZ645" s="2">
        <v>18.538484094349698</v>
      </c>
      <c r="CA645" s="2">
        <v>18.392006890245099</v>
      </c>
      <c r="CB645" s="2">
        <v>18.2435389911433</v>
      </c>
      <c r="CC645" s="2">
        <v>17.920244735309801</v>
      </c>
      <c r="CD645" s="2">
        <v>19.267719668844101</v>
      </c>
      <c r="CE645" s="2">
        <v>18.725287498167202</v>
      </c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</row>
    <row r="646" spans="1:97">
      <c r="A646" s="2" t="s">
        <v>6302</v>
      </c>
      <c r="B646" s="2">
        <v>210.01696000000001</v>
      </c>
      <c r="C646" s="2">
        <v>0.81899999999999995</v>
      </c>
      <c r="D646" s="2" t="s">
        <v>84</v>
      </c>
      <c r="E646" s="2" t="s">
        <v>6303</v>
      </c>
      <c r="F646" s="2" t="s">
        <v>6304</v>
      </c>
      <c r="G646" s="2">
        <v>47462</v>
      </c>
      <c r="H646" s="3" t="str">
        <f>HYPERLINK("https://cloud.oebiotech.com/#/lm/network/47462", "https://cloud.oebiotech.com/#/lm/network/47462")</f>
        <v>https://cloud.oebiotech.com/#/lm/network/47462</v>
      </c>
      <c r="I646" s="2" t="s">
        <v>6305</v>
      </c>
      <c r="J646" s="2">
        <v>63480</v>
      </c>
      <c r="K646" s="2"/>
      <c r="L646" s="2">
        <v>193475</v>
      </c>
      <c r="M646" s="2" t="s">
        <v>6306</v>
      </c>
      <c r="N646" s="2" t="s">
        <v>3930</v>
      </c>
      <c r="O646" s="2" t="s">
        <v>3931</v>
      </c>
      <c r="P646" s="2">
        <v>17798</v>
      </c>
      <c r="Q646" s="2"/>
      <c r="R646" s="2"/>
      <c r="S646" s="2" t="s">
        <v>6307</v>
      </c>
      <c r="T646" s="2" t="s">
        <v>6308</v>
      </c>
      <c r="U646" s="2" t="s">
        <v>6309</v>
      </c>
      <c r="V646" s="2" t="s">
        <v>115</v>
      </c>
      <c r="W646" s="2" t="s">
        <v>116</v>
      </c>
      <c r="X646" s="2" t="s">
        <v>117</v>
      </c>
      <c r="Y646" s="2" t="s">
        <v>118</v>
      </c>
      <c r="Z646" s="2" t="s">
        <v>119</v>
      </c>
      <c r="AA646" s="2" t="s">
        <v>120</v>
      </c>
      <c r="AB646" s="2" t="s">
        <v>3086</v>
      </c>
      <c r="AC646" s="2">
        <v>55.68</v>
      </c>
      <c r="AD646" s="2">
        <v>96.25</v>
      </c>
      <c r="AE646" s="2">
        <v>0</v>
      </c>
      <c r="AF646" s="2" t="s">
        <v>5614</v>
      </c>
      <c r="AG646" s="2" t="s">
        <v>1088</v>
      </c>
      <c r="AH646" s="2" t="s">
        <v>6310</v>
      </c>
      <c r="AI646" s="2">
        <v>-0.95</v>
      </c>
      <c r="AJ646" s="2">
        <v>19.5544174525151</v>
      </c>
      <c r="AK646" s="2">
        <v>19.183196126273899</v>
      </c>
      <c r="AL646" s="2">
        <v>18.961680523416799</v>
      </c>
      <c r="AM646" s="2">
        <v>19.252130928385299</v>
      </c>
      <c r="AN646" s="2">
        <v>19.8692848199872</v>
      </c>
      <c r="AO646" s="2">
        <v>19.3732224213433</v>
      </c>
      <c r="AP646" s="2">
        <v>18.6229644790218</v>
      </c>
      <c r="AQ646" s="2">
        <v>19.674162210536199</v>
      </c>
      <c r="AR646" s="2">
        <v>19.309438938604799</v>
      </c>
      <c r="AS646" s="2">
        <v>19.406539713600701</v>
      </c>
      <c r="AT646" s="2">
        <v>19.3405472961018</v>
      </c>
      <c r="AU646" s="2">
        <v>15.581676653941701</v>
      </c>
      <c r="AV646" s="2">
        <v>19.751010628413699</v>
      </c>
      <c r="AW646" s="2">
        <v>18.564033536395002</v>
      </c>
      <c r="AX646" s="2">
        <v>19.730046083519198</v>
      </c>
      <c r="AY646" s="2">
        <v>19.694714204454399</v>
      </c>
      <c r="AZ646" s="2">
        <v>19.718911744470699</v>
      </c>
      <c r="BA646" s="2">
        <v>18.8302542965274</v>
      </c>
      <c r="BB646" s="2">
        <v>19.217229319646901</v>
      </c>
      <c r="BC646" s="2">
        <v>17.271103056995301</v>
      </c>
      <c r="BD646" s="2">
        <v>16.158714013192998</v>
      </c>
      <c r="BE646" s="2">
        <v>20.221867961728101</v>
      </c>
      <c r="BF646" s="2">
        <v>19.1571551567684</v>
      </c>
      <c r="BG646" s="2">
        <v>20.099578401663798</v>
      </c>
      <c r="BH646" s="2">
        <v>20.853435587709502</v>
      </c>
      <c r="BI646" s="2">
        <v>19.0090089373167</v>
      </c>
      <c r="BJ646" s="2">
        <v>19.5295233962837</v>
      </c>
      <c r="BK646" s="2">
        <v>18.760228972132001</v>
      </c>
      <c r="BL646" s="2">
        <v>18.2712420125794</v>
      </c>
      <c r="BM646" s="2">
        <v>19.425550225529399</v>
      </c>
      <c r="BN646" s="2">
        <v>20.179109352220699</v>
      </c>
      <c r="BO646" s="2">
        <v>19.325350938306698</v>
      </c>
      <c r="BP646" s="2">
        <v>19.611397003986902</v>
      </c>
      <c r="BQ646" s="2">
        <v>20.151501127733301</v>
      </c>
      <c r="BR646" s="2">
        <v>20.111380573242801</v>
      </c>
      <c r="BS646" s="2">
        <v>19.5913441572071</v>
      </c>
      <c r="BT646" s="2">
        <v>19.020236687722399</v>
      </c>
      <c r="BU646" s="2">
        <v>19.4713438708268</v>
      </c>
      <c r="BV646" s="2">
        <v>19.466665969707002</v>
      </c>
      <c r="BW646" s="2">
        <v>18.148961702145801</v>
      </c>
      <c r="BX646" s="2">
        <v>19.527920239403901</v>
      </c>
      <c r="BY646" s="2">
        <v>20.6317271609358</v>
      </c>
      <c r="BZ646" s="2">
        <v>18.0121439387244</v>
      </c>
      <c r="CA646" s="2">
        <v>20.5716785040497</v>
      </c>
      <c r="CB646" s="2">
        <v>20.0883357730848</v>
      </c>
      <c r="CC646" s="2">
        <v>18.734062811702501</v>
      </c>
      <c r="CD646" s="2">
        <v>21.0022416130811</v>
      </c>
      <c r="CE646" s="2">
        <v>20.098244055261699</v>
      </c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</row>
    <row r="647" spans="1:97">
      <c r="A647" s="2" t="s">
        <v>6311</v>
      </c>
      <c r="B647" s="2">
        <v>142.06586999999999</v>
      </c>
      <c r="C647" s="2">
        <v>4.0129999999999999</v>
      </c>
      <c r="D647" s="2" t="s">
        <v>146</v>
      </c>
      <c r="E647" s="2" t="s">
        <v>6312</v>
      </c>
      <c r="F647" s="2" t="s">
        <v>6313</v>
      </c>
      <c r="G647" s="2">
        <v>64991</v>
      </c>
      <c r="H647" s="3" t="str">
        <f>HYPERLINK("https://cloud.oebiotech.com/#/lm/network/64991", "https://cloud.oebiotech.com/#/lm/network/64991")</f>
        <v>https://cloud.oebiotech.com/#/lm/network/64991</v>
      </c>
      <c r="I647" s="2" t="s">
        <v>6314</v>
      </c>
      <c r="J647" s="2">
        <v>96204</v>
      </c>
      <c r="K647" s="2"/>
      <c r="L647" s="2">
        <v>7060</v>
      </c>
      <c r="M647" s="2"/>
      <c r="N647" s="2"/>
      <c r="O647" s="2"/>
      <c r="P647" s="2">
        <v>132813</v>
      </c>
      <c r="Q647" s="2"/>
      <c r="R647" s="2"/>
      <c r="S647" s="2" t="s">
        <v>6315</v>
      </c>
      <c r="T647" s="2" t="s">
        <v>6316</v>
      </c>
      <c r="U647" s="2" t="s">
        <v>6317</v>
      </c>
      <c r="V647" s="2" t="s">
        <v>553</v>
      </c>
      <c r="W647" s="2" t="s">
        <v>1599</v>
      </c>
      <c r="X647" s="2" t="s">
        <v>375</v>
      </c>
      <c r="Y647" s="2" t="s">
        <v>556</v>
      </c>
      <c r="Z647" s="2" t="s">
        <v>1601</v>
      </c>
      <c r="AA647" s="2"/>
      <c r="AB647" s="2" t="s">
        <v>3086</v>
      </c>
      <c r="AC647" s="2">
        <v>55.67</v>
      </c>
      <c r="AD647" s="2">
        <v>94.13</v>
      </c>
      <c r="AE647" s="2">
        <v>0</v>
      </c>
      <c r="AF647" s="2" t="s">
        <v>6318</v>
      </c>
      <c r="AG647" s="2" t="s">
        <v>194</v>
      </c>
      <c r="AH647" s="2" t="s">
        <v>6319</v>
      </c>
      <c r="AI647" s="2">
        <v>2.11</v>
      </c>
      <c r="AJ647" s="2">
        <v>19.4321409148098</v>
      </c>
      <c r="AK647" s="2">
        <v>19.502860758192099</v>
      </c>
      <c r="AL647" s="2">
        <v>19.195800948454</v>
      </c>
      <c r="AM647" s="2">
        <v>19.389343547878799</v>
      </c>
      <c r="AN647" s="2">
        <v>19.329622905056201</v>
      </c>
      <c r="AO647" s="2">
        <v>19.497951546486899</v>
      </c>
      <c r="AP647" s="2">
        <v>19.298207633853799</v>
      </c>
      <c r="AQ647" s="2">
        <v>19.329882488720401</v>
      </c>
      <c r="AR647" s="2">
        <v>18.878298531288301</v>
      </c>
      <c r="AS647" s="2">
        <v>20.329999106627</v>
      </c>
      <c r="AT647" s="2">
        <v>19.482180390313701</v>
      </c>
      <c r="AU647" s="2">
        <v>19.303386809368501</v>
      </c>
      <c r="AV647" s="2">
        <v>17.6836287496394</v>
      </c>
      <c r="AW647" s="2">
        <v>20.157301719662399</v>
      </c>
      <c r="AX647" s="2">
        <v>17.958425103320302</v>
      </c>
      <c r="AY647" s="2">
        <v>19.6487770956882</v>
      </c>
      <c r="AZ647" s="2">
        <v>17.535504804854099</v>
      </c>
      <c r="BA647" s="2">
        <v>20.1983053215667</v>
      </c>
      <c r="BB647" s="2">
        <v>20.661121174463698</v>
      </c>
      <c r="BC647" s="2">
        <v>19.103427588338398</v>
      </c>
      <c r="BD647" s="2">
        <v>16.761195137431798</v>
      </c>
      <c r="BE647" s="2">
        <v>20.615923281280601</v>
      </c>
      <c r="BF647" s="2">
        <v>18.371043456698001</v>
      </c>
      <c r="BG647" s="2">
        <v>15.7674696249329</v>
      </c>
      <c r="BH647" s="2">
        <v>17.3844884131667</v>
      </c>
      <c r="BI647" s="2">
        <v>20.5225243224289</v>
      </c>
      <c r="BJ647" s="2">
        <v>20.901869683439401</v>
      </c>
      <c r="BK647" s="2">
        <v>19.975688043355301</v>
      </c>
      <c r="BL647" s="2">
        <v>19.625831232256701</v>
      </c>
      <c r="BM647" s="2">
        <v>18.704456580277501</v>
      </c>
      <c r="BN647" s="2">
        <v>19.889684306843801</v>
      </c>
      <c r="BO647" s="2">
        <v>18.118420351296699</v>
      </c>
      <c r="BP647" s="2">
        <v>17.3325324245282</v>
      </c>
      <c r="BQ647" s="2">
        <v>19.422486301189199</v>
      </c>
      <c r="BR647" s="2">
        <v>16.129105889493299</v>
      </c>
      <c r="BS647" s="2">
        <v>19.380922106931099</v>
      </c>
      <c r="BT647" s="2">
        <v>18.143814160343801</v>
      </c>
      <c r="BU647" s="2">
        <v>18.673155634730598</v>
      </c>
      <c r="BV647" s="2">
        <v>19.872601165687701</v>
      </c>
      <c r="BW647" s="2">
        <v>17.677829802020401</v>
      </c>
      <c r="BX647" s="2">
        <v>18.279897134807602</v>
      </c>
      <c r="BY647" s="2">
        <v>20.019747325630199</v>
      </c>
      <c r="BZ647" s="2">
        <v>18.783496460862999</v>
      </c>
      <c r="CA647" s="2">
        <v>18.3957443960212</v>
      </c>
      <c r="CB647" s="2">
        <v>17.185329696279101</v>
      </c>
      <c r="CC647" s="2">
        <v>17.718346038709601</v>
      </c>
      <c r="CD647" s="2">
        <v>19.666803444073199</v>
      </c>
      <c r="CE647" s="2">
        <v>20.7230354602471</v>
      </c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</row>
    <row r="648" spans="1:97">
      <c r="A648" s="2" t="s">
        <v>6320</v>
      </c>
      <c r="B648" s="2">
        <v>221.02977999999999</v>
      </c>
      <c r="C648" s="2">
        <v>0.8</v>
      </c>
      <c r="D648" s="2" t="s">
        <v>146</v>
      </c>
      <c r="E648" s="2" t="s">
        <v>6321</v>
      </c>
      <c r="F648" s="2" t="s">
        <v>6322</v>
      </c>
      <c r="G648" s="2">
        <v>213314</v>
      </c>
      <c r="H648" s="3" t="str">
        <f>HYPERLINK("https://cloud.oebiotech.com/#/lm/network/213314", "https://cloud.oebiotech.com/#/lm/network/213314")</f>
        <v>https://cloud.oebiotech.com/#/lm/network/213314</v>
      </c>
      <c r="I648" s="2" t="s">
        <v>6323</v>
      </c>
      <c r="J648" s="2"/>
      <c r="K648" s="2"/>
      <c r="L648" s="2">
        <v>4078311</v>
      </c>
      <c r="M648" s="2"/>
      <c r="N648" s="2"/>
      <c r="O648" s="2"/>
      <c r="P648" s="2"/>
      <c r="Q648" s="2"/>
      <c r="R648" s="2"/>
      <c r="S648" s="2"/>
      <c r="T648" s="2" t="s">
        <v>6324</v>
      </c>
      <c r="U648" s="2" t="s">
        <v>6325</v>
      </c>
      <c r="V648" s="2" t="s">
        <v>553</v>
      </c>
      <c r="W648" s="2" t="s">
        <v>3480</v>
      </c>
      <c r="X648" s="2" t="s">
        <v>3481</v>
      </c>
      <c r="Y648" s="2" t="s">
        <v>556</v>
      </c>
      <c r="Z648" s="2" t="s">
        <v>3482</v>
      </c>
      <c r="AA648" s="2" t="s">
        <v>3483</v>
      </c>
      <c r="AB648" s="2" t="s">
        <v>3086</v>
      </c>
      <c r="AC648" s="2">
        <v>55.62</v>
      </c>
      <c r="AD648" s="2">
        <v>95.16</v>
      </c>
      <c r="AE648" s="2">
        <v>0</v>
      </c>
      <c r="AF648" s="2" t="s">
        <v>5614</v>
      </c>
      <c r="AG648" s="2" t="s">
        <v>157</v>
      </c>
      <c r="AH648" s="2" t="s">
        <v>6326</v>
      </c>
      <c r="AI648" s="2">
        <v>2.2599999999999998</v>
      </c>
      <c r="AJ648" s="2">
        <v>18.794515055839899</v>
      </c>
      <c r="AK648" s="2">
        <v>19.7269034084512</v>
      </c>
      <c r="AL648" s="2">
        <v>19.683626334004298</v>
      </c>
      <c r="AM648" s="2">
        <v>19.6160516471564</v>
      </c>
      <c r="AN648" s="2">
        <v>19.080030576726099</v>
      </c>
      <c r="AO648" s="2">
        <v>19.374825940241902</v>
      </c>
      <c r="AP648" s="2">
        <v>19.0901820348451</v>
      </c>
      <c r="AQ648" s="2">
        <v>18.7337110190544</v>
      </c>
      <c r="AR648" s="2">
        <v>18.728804854917801</v>
      </c>
      <c r="AS648" s="2">
        <v>15.9554941701453</v>
      </c>
      <c r="AT648" s="2">
        <v>19.0604283776245</v>
      </c>
      <c r="AU648" s="2">
        <v>18.386368709001101</v>
      </c>
      <c r="AV648" s="2">
        <v>17.268820300440499</v>
      </c>
      <c r="AW648" s="2">
        <v>18.585398197685301</v>
      </c>
      <c r="AX648" s="2">
        <v>18.588568543602602</v>
      </c>
      <c r="AY648" s="2">
        <v>18.886597746313399</v>
      </c>
      <c r="AZ648" s="2">
        <v>18.8122257614611</v>
      </c>
      <c r="BA648" s="2">
        <v>18.3429716015753</v>
      </c>
      <c r="BB648" s="2">
        <v>19.550433434812</v>
      </c>
      <c r="BC648" s="2">
        <v>20.012177077881798</v>
      </c>
      <c r="BD648" s="2">
        <v>18.9513845855809</v>
      </c>
      <c r="BE648" s="2">
        <v>19.0986365414647</v>
      </c>
      <c r="BF648" s="2">
        <v>16.974809470837499</v>
      </c>
      <c r="BG648" s="2">
        <v>19.445227173200202</v>
      </c>
      <c r="BH648" s="2">
        <v>18.4015513331268</v>
      </c>
      <c r="BI648" s="2">
        <v>18.3118969770834</v>
      </c>
      <c r="BJ648" s="2">
        <v>18.9127595788047</v>
      </c>
      <c r="BK648" s="2">
        <v>19.4157778871961</v>
      </c>
      <c r="BL648" s="2">
        <v>18.6095130427695</v>
      </c>
      <c r="BM648" s="2">
        <v>19.9811359267689</v>
      </c>
      <c r="BN648" s="2">
        <v>18.682739659807002</v>
      </c>
      <c r="BO648" s="2">
        <v>18.436545028306501</v>
      </c>
      <c r="BP648" s="2">
        <v>18.5939395067563</v>
      </c>
      <c r="BQ648" s="2">
        <v>18.099991257489702</v>
      </c>
      <c r="BR648" s="2">
        <v>18.458740380497201</v>
      </c>
      <c r="BS648" s="2">
        <v>18.781018627733499</v>
      </c>
      <c r="BT648" s="2">
        <v>20.187742507805002</v>
      </c>
      <c r="BU648" s="2">
        <v>17.789790181938098</v>
      </c>
      <c r="BV648" s="2">
        <v>20.081088806178499</v>
      </c>
      <c r="BW648" s="2">
        <v>20.3392320932685</v>
      </c>
      <c r="BX648" s="2">
        <v>18.895097322317</v>
      </c>
      <c r="BY648" s="2">
        <v>18.003924172866501</v>
      </c>
      <c r="BZ648" s="2">
        <v>20.260010145125399</v>
      </c>
      <c r="CA648" s="2">
        <v>20.424941970164902</v>
      </c>
      <c r="CB648" s="2">
        <v>19.789305276595901</v>
      </c>
      <c r="CC648" s="2">
        <v>18.891915064349899</v>
      </c>
      <c r="CD648" s="2">
        <v>18.516417881370302</v>
      </c>
      <c r="CE648" s="2">
        <v>19.043167417133599</v>
      </c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</row>
    <row r="649" spans="1:97">
      <c r="A649" s="2" t="s">
        <v>6327</v>
      </c>
      <c r="B649" s="2">
        <v>193.03483</v>
      </c>
      <c r="C649" s="2">
        <v>0.65300000000000002</v>
      </c>
      <c r="D649" s="2" t="s">
        <v>84</v>
      </c>
      <c r="E649" s="2" t="s">
        <v>6328</v>
      </c>
      <c r="F649" s="2" t="s">
        <v>6329</v>
      </c>
      <c r="G649" s="2">
        <v>2914</v>
      </c>
      <c r="H649" s="3" t="str">
        <f>HYPERLINK("https://cloud.oebiotech.com/#/lm/network/2914", "https://cloud.oebiotech.com/#/lm/network/2914")</f>
        <v>https://cloud.oebiotech.com/#/lm/network/2914</v>
      </c>
      <c r="I649" s="2" t="s">
        <v>6330</v>
      </c>
      <c r="J649" s="2">
        <v>4227</v>
      </c>
      <c r="K649" s="2" t="s">
        <v>6331</v>
      </c>
      <c r="L649" s="2">
        <v>3037582</v>
      </c>
      <c r="M649" s="2" t="s">
        <v>6332</v>
      </c>
      <c r="N649" s="2" t="s">
        <v>6333</v>
      </c>
      <c r="O649" s="2" t="s">
        <v>6334</v>
      </c>
      <c r="P649" s="2">
        <v>30852</v>
      </c>
      <c r="Q649" s="2"/>
      <c r="R649" s="2"/>
      <c r="S649" s="2" t="s">
        <v>6335</v>
      </c>
      <c r="T649" s="2" t="s">
        <v>6336</v>
      </c>
      <c r="U649" s="2" t="s">
        <v>6337</v>
      </c>
      <c r="V649" s="2" t="s">
        <v>338</v>
      </c>
      <c r="W649" s="2" t="s">
        <v>339</v>
      </c>
      <c r="X649" s="2" t="s">
        <v>663</v>
      </c>
      <c r="Y649" s="2" t="s">
        <v>341</v>
      </c>
      <c r="Z649" s="2" t="s">
        <v>341</v>
      </c>
      <c r="AA649" s="2" t="s">
        <v>664</v>
      </c>
      <c r="AB649" s="2" t="s">
        <v>3086</v>
      </c>
      <c r="AC649" s="2">
        <v>55.61</v>
      </c>
      <c r="AD649" s="2">
        <v>95.86</v>
      </c>
      <c r="AE649" s="2">
        <v>0</v>
      </c>
      <c r="AF649" s="2" t="s">
        <v>5614</v>
      </c>
      <c r="AG649" s="2" t="s">
        <v>1088</v>
      </c>
      <c r="AH649" s="2" t="s">
        <v>6338</v>
      </c>
      <c r="AI649" s="2">
        <v>0.52</v>
      </c>
      <c r="AJ649" s="2">
        <v>20.990369022640799</v>
      </c>
      <c r="AK649" s="2">
        <v>21.3088979635153</v>
      </c>
      <c r="AL649" s="2">
        <v>21.235359164317899</v>
      </c>
      <c r="AM649" s="2">
        <v>20.957228204677602</v>
      </c>
      <c r="AN649" s="2">
        <v>21.489997668415199</v>
      </c>
      <c r="AO649" s="2">
        <v>21.062675456970499</v>
      </c>
      <c r="AP649" s="2">
        <v>20.637804483615</v>
      </c>
      <c r="AQ649" s="2">
        <v>20.9174948888285</v>
      </c>
      <c r="AR649" s="2">
        <v>18.9206947559097</v>
      </c>
      <c r="AS649" s="2">
        <v>19.072342409572599</v>
      </c>
      <c r="AT649" s="2">
        <v>19.703046536306701</v>
      </c>
      <c r="AU649" s="2">
        <v>21.5934872655173</v>
      </c>
      <c r="AV649" s="2">
        <v>20.613848138219598</v>
      </c>
      <c r="AW649" s="2">
        <v>19.440722920287001</v>
      </c>
      <c r="AX649" s="2">
        <v>19.396530342638901</v>
      </c>
      <c r="AY649" s="2">
        <v>19.489068926513202</v>
      </c>
      <c r="AZ649" s="2">
        <v>20.163836933374998</v>
      </c>
      <c r="BA649" s="2">
        <v>20.287313047164101</v>
      </c>
      <c r="BB649" s="2">
        <v>20.5359363458549</v>
      </c>
      <c r="BC649" s="2">
        <v>22.0275586262355</v>
      </c>
      <c r="BD649" s="2">
        <v>19.241167536073799</v>
      </c>
      <c r="BE649" s="2">
        <v>19.333916622773501</v>
      </c>
      <c r="BF649" s="2">
        <v>17.724855408253301</v>
      </c>
      <c r="BG649" s="2">
        <v>18.861485973397901</v>
      </c>
      <c r="BH649" s="2">
        <v>18.522747982338899</v>
      </c>
      <c r="BI649" s="2">
        <v>20.794137458391798</v>
      </c>
      <c r="BJ649" s="2">
        <v>19.810556463294201</v>
      </c>
      <c r="BK649" s="2">
        <v>20.281559709432301</v>
      </c>
      <c r="BL649" s="2">
        <v>20.212951097984799</v>
      </c>
      <c r="BM649" s="2">
        <v>22.6944638725681</v>
      </c>
      <c r="BN649" s="2">
        <v>20.617502879719702</v>
      </c>
      <c r="BO649" s="2">
        <v>20.8242872606174</v>
      </c>
      <c r="BP649" s="2">
        <v>20.554216798940299</v>
      </c>
      <c r="BQ649" s="2">
        <v>20.3928686997147</v>
      </c>
      <c r="BR649" s="2">
        <v>20.811863179989</v>
      </c>
      <c r="BS649" s="2">
        <v>21.705625241697302</v>
      </c>
      <c r="BT649" s="2">
        <v>22.455362549792699</v>
      </c>
      <c r="BU649" s="2">
        <v>22.4018252133116</v>
      </c>
      <c r="BV649" s="2">
        <v>22.5891695343559</v>
      </c>
      <c r="BW649" s="2">
        <v>20.185635926493799</v>
      </c>
      <c r="BX649" s="2">
        <v>21.8306017836906</v>
      </c>
      <c r="BY649" s="2">
        <v>20.0940472132846</v>
      </c>
      <c r="BZ649" s="2">
        <v>20.1832152239461</v>
      </c>
      <c r="CA649" s="2">
        <v>20.808731109440899</v>
      </c>
      <c r="CB649" s="2">
        <v>18.210207729330499</v>
      </c>
      <c r="CC649" s="2">
        <v>19.821777531414501</v>
      </c>
      <c r="CD649" s="2">
        <v>19.5501455559737</v>
      </c>
      <c r="CE649" s="2">
        <v>20.004674940900902</v>
      </c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</row>
    <row r="650" spans="1:97">
      <c r="A650" s="2" t="s">
        <v>6339</v>
      </c>
      <c r="B650" s="2">
        <v>175.14391000000001</v>
      </c>
      <c r="C650" s="2">
        <v>0.67900000000000005</v>
      </c>
      <c r="D650" s="2" t="s">
        <v>84</v>
      </c>
      <c r="E650" s="2" t="s">
        <v>6340</v>
      </c>
      <c r="F650" s="2" t="s">
        <v>6341</v>
      </c>
      <c r="G650" s="2">
        <v>206575</v>
      </c>
      <c r="H650" s="3" t="str">
        <f>HYPERLINK("https://cloud.oebiotech.com/#/lm/network/206575", "https://cloud.oebiotech.com/#/lm/network/206575")</f>
        <v>https://cloud.oebiotech.com/#/lm/network/206575</v>
      </c>
      <c r="I650" s="2" t="s">
        <v>6342</v>
      </c>
      <c r="J650" s="2"/>
      <c r="K650" s="2"/>
      <c r="L650" s="2">
        <v>76135158</v>
      </c>
      <c r="M650" s="2"/>
      <c r="N650" s="2"/>
      <c r="O650" s="2"/>
      <c r="P650" s="2"/>
      <c r="Q650" s="2"/>
      <c r="R650" s="2"/>
      <c r="S650" s="2"/>
      <c r="T650" s="2" t="s">
        <v>6343</v>
      </c>
      <c r="U650" s="2" t="s">
        <v>6344</v>
      </c>
      <c r="V650" s="2" t="s">
        <v>115</v>
      </c>
      <c r="W650" s="2" t="s">
        <v>116</v>
      </c>
      <c r="X650" s="2" t="s">
        <v>117</v>
      </c>
      <c r="Y650" s="2" t="s">
        <v>118</v>
      </c>
      <c r="Z650" s="2" t="s">
        <v>119</v>
      </c>
      <c r="AA650" s="2" t="s">
        <v>120</v>
      </c>
      <c r="AB650" s="2" t="s">
        <v>3086</v>
      </c>
      <c r="AC650" s="2">
        <v>55.6</v>
      </c>
      <c r="AD650" s="2">
        <v>94.87</v>
      </c>
      <c r="AE650" s="2">
        <v>0</v>
      </c>
      <c r="AF650" s="2" t="s">
        <v>5614</v>
      </c>
      <c r="AG650" s="2" t="s">
        <v>103</v>
      </c>
      <c r="AH650" s="2" t="s">
        <v>6345</v>
      </c>
      <c r="AI650" s="2">
        <v>1.1399999999999999</v>
      </c>
      <c r="AJ650" s="2">
        <v>20.146187040146199</v>
      </c>
      <c r="AK650" s="2">
        <v>20.442491034149299</v>
      </c>
      <c r="AL650" s="2">
        <v>19.914995158516898</v>
      </c>
      <c r="AM650" s="2">
        <v>20.6134148078945</v>
      </c>
      <c r="AN650" s="2">
        <v>20.652884893686402</v>
      </c>
      <c r="AO650" s="2">
        <v>20.3027565600703</v>
      </c>
      <c r="AP650" s="2">
        <v>20.037950097906599</v>
      </c>
      <c r="AQ650" s="2">
        <v>20.372090679168199</v>
      </c>
      <c r="AR650" s="2">
        <v>20.166129411325201</v>
      </c>
      <c r="AS650" s="2">
        <v>18.623659837475898</v>
      </c>
      <c r="AT650" s="2">
        <v>18.474854511736599</v>
      </c>
      <c r="AU650" s="2">
        <v>18.699962346568601</v>
      </c>
      <c r="AV650" s="2">
        <v>20.673812311480201</v>
      </c>
      <c r="AW650" s="2">
        <v>21.000117837699801</v>
      </c>
      <c r="AX650" s="2">
        <v>20.0900475967162</v>
      </c>
      <c r="AY650" s="2">
        <v>19.3442992675533</v>
      </c>
      <c r="AZ650" s="2">
        <v>19.116689210216901</v>
      </c>
      <c r="BA650" s="2">
        <v>18.8877237380837</v>
      </c>
      <c r="BB650" s="2">
        <v>19.023725552813801</v>
      </c>
      <c r="BC650" s="2">
        <v>19.048824460594499</v>
      </c>
      <c r="BD650" s="2">
        <v>18.953897232848799</v>
      </c>
      <c r="BE650" s="2">
        <v>19.347441933113299</v>
      </c>
      <c r="BF650" s="2">
        <v>19.063250630747099</v>
      </c>
      <c r="BG650" s="2">
        <v>18.512894245491101</v>
      </c>
      <c r="BH650" s="2">
        <v>19.739871104938</v>
      </c>
      <c r="BI650" s="2">
        <v>20.6284052934366</v>
      </c>
      <c r="BJ650" s="2">
        <v>21.243313824495701</v>
      </c>
      <c r="BK650" s="2">
        <v>19.333089775744501</v>
      </c>
      <c r="BL650" s="2">
        <v>20.226148326716</v>
      </c>
      <c r="BM650" s="2">
        <v>20.458990264915201</v>
      </c>
      <c r="BN650" s="2">
        <v>19.939470559892801</v>
      </c>
      <c r="BO650" s="2">
        <v>19.121583725272899</v>
      </c>
      <c r="BP650" s="2">
        <v>21.190833878276901</v>
      </c>
      <c r="BQ650" s="2">
        <v>21.4349125260335</v>
      </c>
      <c r="BR650" s="2">
        <v>21.334718722226899</v>
      </c>
      <c r="BS650" s="2">
        <v>19.559254907564799</v>
      </c>
      <c r="BT650" s="2">
        <v>20.004445705213801</v>
      </c>
      <c r="BU650" s="2">
        <v>19.711136978697699</v>
      </c>
      <c r="BV650" s="2">
        <v>19.5986523773168</v>
      </c>
      <c r="BW650" s="2">
        <v>19.826861588171401</v>
      </c>
      <c r="BX650" s="2">
        <v>20.433406543828202</v>
      </c>
      <c r="BY650" s="2">
        <v>19.9680289996111</v>
      </c>
      <c r="BZ650" s="2">
        <v>17.676228518568401</v>
      </c>
      <c r="CA650" s="2">
        <v>19.663888154802802</v>
      </c>
      <c r="CB650" s="2">
        <v>19.075593370162402</v>
      </c>
      <c r="CC650" s="2">
        <v>21.032627900196999</v>
      </c>
      <c r="CD650" s="2">
        <v>21.3825543511985</v>
      </c>
      <c r="CE650" s="2">
        <v>19.251634732875001</v>
      </c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</row>
    <row r="651" spans="1:97">
      <c r="A651" s="2" t="s">
        <v>6346</v>
      </c>
      <c r="B651" s="2">
        <v>103.00338000000001</v>
      </c>
      <c r="C651" s="2">
        <v>0.79</v>
      </c>
      <c r="D651" s="2" t="s">
        <v>146</v>
      </c>
      <c r="E651" s="2" t="s">
        <v>6347</v>
      </c>
      <c r="F651" s="2" t="s">
        <v>6348</v>
      </c>
      <c r="G651" s="2">
        <v>255993</v>
      </c>
      <c r="H651" s="3" t="str">
        <f>HYPERLINK("https://cloud.oebiotech.com/#/lm/network/255993", "https://cloud.oebiotech.com/#/lm/network/255993")</f>
        <v>https://cloud.oebiotech.com/#/lm/network/255993</v>
      </c>
      <c r="I651" s="2" t="s">
        <v>6349</v>
      </c>
      <c r="J651" s="2">
        <v>70070</v>
      </c>
      <c r="K651" s="2"/>
      <c r="L651" s="2">
        <v>7860</v>
      </c>
      <c r="M651" s="2" t="s">
        <v>6350</v>
      </c>
      <c r="N651" s="2"/>
      <c r="O651" s="2"/>
      <c r="P651" s="2">
        <v>34779</v>
      </c>
      <c r="Q651" s="2"/>
      <c r="R651" s="2"/>
      <c r="S651" s="2" t="s">
        <v>6351</v>
      </c>
      <c r="T651" s="2" t="s">
        <v>6352</v>
      </c>
      <c r="U651" s="2" t="s">
        <v>6353</v>
      </c>
      <c r="V651" s="2" t="s">
        <v>338</v>
      </c>
      <c r="W651" s="2" t="s">
        <v>339</v>
      </c>
      <c r="X651" s="2" t="s">
        <v>340</v>
      </c>
      <c r="Y651" s="2" t="s">
        <v>341</v>
      </c>
      <c r="Z651" s="2" t="s">
        <v>341</v>
      </c>
      <c r="AA651" s="2" t="s">
        <v>342</v>
      </c>
      <c r="AB651" s="2" t="s">
        <v>3086</v>
      </c>
      <c r="AC651" s="2">
        <v>55.59</v>
      </c>
      <c r="AD651" s="2">
        <v>97.72</v>
      </c>
      <c r="AE651" s="2">
        <v>0</v>
      </c>
      <c r="AF651" s="2" t="s">
        <v>5614</v>
      </c>
      <c r="AG651" s="2" t="s">
        <v>157</v>
      </c>
      <c r="AH651" s="2" t="s">
        <v>6354</v>
      </c>
      <c r="AI651" s="2">
        <v>2.91</v>
      </c>
      <c r="AJ651" s="2">
        <v>19.5513903881094</v>
      </c>
      <c r="AK651" s="2">
        <v>19.528561818958998</v>
      </c>
      <c r="AL651" s="2">
        <v>20.126553293661399</v>
      </c>
      <c r="AM651" s="2">
        <v>20.129918483966499</v>
      </c>
      <c r="AN651" s="2">
        <v>19.952332158510998</v>
      </c>
      <c r="AO651" s="2">
        <v>19.472781496604501</v>
      </c>
      <c r="AP651" s="2">
        <v>20.323194058049399</v>
      </c>
      <c r="AQ651" s="2">
        <v>20.260886659377899</v>
      </c>
      <c r="AR651" s="2">
        <v>19.329420477960401</v>
      </c>
      <c r="AS651" s="2">
        <v>19.640787200856</v>
      </c>
      <c r="AT651" s="2">
        <v>19.862514230253801</v>
      </c>
      <c r="AU651" s="2">
        <v>18.848948138502301</v>
      </c>
      <c r="AV651" s="2">
        <v>19.450576613198201</v>
      </c>
      <c r="AW651" s="2">
        <v>19.728760172885099</v>
      </c>
      <c r="AX651" s="2">
        <v>19.974716739517302</v>
      </c>
      <c r="AY651" s="2">
        <v>20.010003002080602</v>
      </c>
      <c r="AZ651" s="2">
        <v>20.231618906450699</v>
      </c>
      <c r="BA651" s="2">
        <v>19.0630270923503</v>
      </c>
      <c r="BB651" s="2">
        <v>20.060876436683301</v>
      </c>
      <c r="BC651" s="2">
        <v>18.965903471145399</v>
      </c>
      <c r="BD651" s="2">
        <v>19.755351804040401</v>
      </c>
      <c r="BE651" s="2">
        <v>20.141029720806301</v>
      </c>
      <c r="BF651" s="2">
        <v>19.508493318977301</v>
      </c>
      <c r="BG651" s="2">
        <v>20.369411655837801</v>
      </c>
      <c r="BH651" s="2">
        <v>20.255688057095899</v>
      </c>
      <c r="BI651" s="2">
        <v>19.476541866993301</v>
      </c>
      <c r="BJ651" s="2">
        <v>20.140367436191902</v>
      </c>
      <c r="BK651" s="2">
        <v>19.611358224179199</v>
      </c>
      <c r="BL651" s="2">
        <v>19.917768668190298</v>
      </c>
      <c r="BM651" s="2">
        <v>19.793167974509899</v>
      </c>
      <c r="BN651" s="2">
        <v>20.414391332724101</v>
      </c>
      <c r="BO651" s="2">
        <v>20.020672894735799</v>
      </c>
      <c r="BP651" s="2">
        <v>21.3180153865829</v>
      </c>
      <c r="BQ651" s="2">
        <v>20.079068061807099</v>
      </c>
      <c r="BR651" s="2">
        <v>18.984528161049099</v>
      </c>
      <c r="BS651" s="2">
        <v>20.721159757671401</v>
      </c>
      <c r="BT651" s="2">
        <v>20.638769428663501</v>
      </c>
      <c r="BU651" s="2">
        <v>18.3889883719891</v>
      </c>
      <c r="BV651" s="2">
        <v>20.702521878365499</v>
      </c>
      <c r="BW651" s="2">
        <v>19.934253392056299</v>
      </c>
      <c r="BX651" s="2">
        <v>20.2392645191591</v>
      </c>
      <c r="BY651" s="2">
        <v>20.019406381081801</v>
      </c>
      <c r="BZ651" s="2">
        <v>19.843555247530901</v>
      </c>
      <c r="CA651" s="2">
        <v>19.640614199626299</v>
      </c>
      <c r="CB651" s="2">
        <v>19.769889937427699</v>
      </c>
      <c r="CC651" s="2">
        <v>20.138068516824401</v>
      </c>
      <c r="CD651" s="2">
        <v>20.5015270420928</v>
      </c>
      <c r="CE651" s="2">
        <v>17.735095324488601</v>
      </c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</row>
    <row r="652" spans="1:97">
      <c r="A652" s="2" t="s">
        <v>6355</v>
      </c>
      <c r="B652" s="2">
        <v>245.13907</v>
      </c>
      <c r="C652" s="2">
        <v>7.34</v>
      </c>
      <c r="D652" s="2" t="s">
        <v>146</v>
      </c>
      <c r="E652" s="2" t="s">
        <v>6356</v>
      </c>
      <c r="F652" s="2" t="s">
        <v>6357</v>
      </c>
      <c r="G652" s="2">
        <v>2073</v>
      </c>
      <c r="H652" s="3" t="str">
        <f>HYPERLINK("https://cloud.oebiotech.com/#/lm/network/2073", "https://cloud.oebiotech.com/#/lm/network/2073")</f>
        <v>https://cloud.oebiotech.com/#/lm/network/2073</v>
      </c>
      <c r="I652" s="2"/>
      <c r="J652" s="2">
        <v>35732</v>
      </c>
      <c r="K652" s="2" t="s">
        <v>6358</v>
      </c>
      <c r="L652" s="2">
        <v>69606</v>
      </c>
      <c r="M652" s="2"/>
      <c r="N652" s="2"/>
      <c r="O652" s="2"/>
      <c r="P652" s="2"/>
      <c r="Q652" s="2"/>
      <c r="R652" s="2"/>
      <c r="S652" s="2"/>
      <c r="T652" s="2" t="s">
        <v>6359</v>
      </c>
      <c r="U652" s="2" t="s">
        <v>6360</v>
      </c>
      <c r="V652" s="2" t="s">
        <v>115</v>
      </c>
      <c r="W652" s="2" t="s">
        <v>403</v>
      </c>
      <c r="X652" s="2" t="s">
        <v>2031</v>
      </c>
      <c r="Y652" s="2" t="s">
        <v>118</v>
      </c>
      <c r="Z652" s="2" t="s">
        <v>405</v>
      </c>
      <c r="AA652" s="2" t="s">
        <v>2032</v>
      </c>
      <c r="AB652" s="2" t="s">
        <v>3086</v>
      </c>
      <c r="AC652" s="2">
        <v>55.59</v>
      </c>
      <c r="AD652" s="2">
        <v>92.41</v>
      </c>
      <c r="AE652" s="2">
        <v>0</v>
      </c>
      <c r="AF652" s="2" t="s">
        <v>5614</v>
      </c>
      <c r="AG652" s="2" t="s">
        <v>157</v>
      </c>
      <c r="AH652" s="2" t="s">
        <v>6361</v>
      </c>
      <c r="AI652" s="2">
        <v>1.63</v>
      </c>
      <c r="AJ652" s="2">
        <v>16.9206804813895</v>
      </c>
      <c r="AK652" s="2">
        <v>17.146834940407899</v>
      </c>
      <c r="AL652" s="2">
        <v>16.995468287937001</v>
      </c>
      <c r="AM652" s="2">
        <v>16.6566212204641</v>
      </c>
      <c r="AN652" s="2">
        <v>16.870497292888999</v>
      </c>
      <c r="AO652" s="2">
        <v>16.478212672898501</v>
      </c>
      <c r="AP652" s="2">
        <v>16.881804282074299</v>
      </c>
      <c r="AQ652" s="2">
        <v>16.635616386794499</v>
      </c>
      <c r="AR652" s="2">
        <v>14.6958992322912</v>
      </c>
      <c r="AS652" s="2">
        <v>15.8560025892984</v>
      </c>
      <c r="AT652" s="2">
        <v>17.529571473580599</v>
      </c>
      <c r="AU652" s="2">
        <v>13.7031400750652</v>
      </c>
      <c r="AV652" s="2">
        <v>15.9414321239493</v>
      </c>
      <c r="AW652" s="2">
        <v>16.442267073999599</v>
      </c>
      <c r="AX652" s="2">
        <v>16.424228138842199</v>
      </c>
      <c r="AY652" s="2">
        <v>15.823072868778301</v>
      </c>
      <c r="AZ652" s="2">
        <v>14.8759278537333</v>
      </c>
      <c r="BA652" s="2">
        <v>15.524991568880999</v>
      </c>
      <c r="BB652" s="2">
        <v>17.0669197710682</v>
      </c>
      <c r="BC652" s="2">
        <v>17.917727126468101</v>
      </c>
      <c r="BD652" s="2">
        <v>15.743627672094</v>
      </c>
      <c r="BE652" s="2">
        <v>17.070572345133201</v>
      </c>
      <c r="BF652" s="2">
        <v>16.2893613389496</v>
      </c>
      <c r="BG652" s="2">
        <v>13.972989655215001</v>
      </c>
      <c r="BH652" s="2">
        <v>15.6346202093734</v>
      </c>
      <c r="BI652" s="2">
        <v>17.1827245904962</v>
      </c>
      <c r="BJ652" s="2">
        <v>17.052000565761499</v>
      </c>
      <c r="BK652" s="2">
        <v>15.8773689785237</v>
      </c>
      <c r="BL652" s="2">
        <v>15.924977153655499</v>
      </c>
      <c r="BM652" s="2">
        <v>15.92564159234</v>
      </c>
      <c r="BN652" s="2">
        <v>17.943792184711501</v>
      </c>
      <c r="BO652" s="2">
        <v>16.3650131535009</v>
      </c>
      <c r="BP652" s="2">
        <v>15.292001621588801</v>
      </c>
      <c r="BQ652" s="2">
        <v>16.885244626409001</v>
      </c>
      <c r="BR652" s="2">
        <v>17.536053962974002</v>
      </c>
      <c r="BS652" s="2">
        <v>15.306770897122</v>
      </c>
      <c r="BT652" s="2">
        <v>14.7298527838333</v>
      </c>
      <c r="BU652" s="2">
        <v>14.9661088545335</v>
      </c>
      <c r="BV652" s="2">
        <v>16.565154006114799</v>
      </c>
      <c r="BW652" s="2">
        <v>16.392449583263101</v>
      </c>
      <c r="BX652" s="2">
        <v>14.9387778516301</v>
      </c>
      <c r="BY652" s="2">
        <v>17.266649488402798</v>
      </c>
      <c r="BZ652" s="2">
        <v>15.984303629663099</v>
      </c>
      <c r="CA652" s="2">
        <v>17.212626141357301</v>
      </c>
      <c r="CB652" s="2">
        <v>16.022015332752801</v>
      </c>
      <c r="CC652" s="2">
        <v>17.6387653814887</v>
      </c>
      <c r="CD652" s="2">
        <v>16.5844516906214</v>
      </c>
      <c r="CE652" s="2">
        <v>16.227751866498501</v>
      </c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</row>
    <row r="653" spans="1:97">
      <c r="A653" s="2" t="s">
        <v>6362</v>
      </c>
      <c r="B653" s="2">
        <v>189.04002</v>
      </c>
      <c r="C653" s="2">
        <v>0.84199999999999997</v>
      </c>
      <c r="D653" s="2" t="s">
        <v>146</v>
      </c>
      <c r="E653" s="2" t="s">
        <v>6363</v>
      </c>
      <c r="F653" s="2" t="s">
        <v>6364</v>
      </c>
      <c r="G653" s="2">
        <v>255201</v>
      </c>
      <c r="H653" s="3" t="str">
        <f>HYPERLINK("https://cloud.oebiotech.com/#/lm/network/255201", "https://cloud.oebiotech.com/#/lm/network/255201")</f>
        <v>https://cloud.oebiotech.com/#/lm/network/255201</v>
      </c>
      <c r="I653" s="2" t="s">
        <v>6365</v>
      </c>
      <c r="J653" s="2"/>
      <c r="K653" s="2"/>
      <c r="L653" s="2">
        <v>151010</v>
      </c>
      <c r="M653" s="2"/>
      <c r="N653" s="2"/>
      <c r="O653" s="2"/>
      <c r="P653" s="2"/>
      <c r="Q653" s="2"/>
      <c r="R653" s="2"/>
      <c r="S653" s="2"/>
      <c r="T653" s="2" t="s">
        <v>6366</v>
      </c>
      <c r="U653" s="2" t="s">
        <v>6367</v>
      </c>
      <c r="V653" s="2" t="s">
        <v>338</v>
      </c>
      <c r="W653" s="2" t="s">
        <v>339</v>
      </c>
      <c r="X653" s="2" t="s">
        <v>663</v>
      </c>
      <c r="Y653" s="2" t="s">
        <v>341</v>
      </c>
      <c r="Z653" s="2" t="s">
        <v>341</v>
      </c>
      <c r="AA653" s="2" t="s">
        <v>664</v>
      </c>
      <c r="AB653" s="2" t="s">
        <v>3086</v>
      </c>
      <c r="AC653" s="2">
        <v>55.58</v>
      </c>
      <c r="AD653" s="2">
        <v>89.47</v>
      </c>
      <c r="AE653" s="2">
        <v>0</v>
      </c>
      <c r="AF653" s="2" t="s">
        <v>5614</v>
      </c>
      <c r="AG653" s="2" t="s">
        <v>993</v>
      </c>
      <c r="AH653" s="2" t="s">
        <v>6368</v>
      </c>
      <c r="AI653" s="2">
        <v>-0.53</v>
      </c>
      <c r="AJ653" s="2">
        <v>22.7577985089588</v>
      </c>
      <c r="AK653" s="2">
        <v>22.500639979171599</v>
      </c>
      <c r="AL653" s="2">
        <v>22.585392297010898</v>
      </c>
      <c r="AM653" s="2">
        <v>22.621285860700802</v>
      </c>
      <c r="AN653" s="2">
        <v>22.542566337283802</v>
      </c>
      <c r="AO653" s="2">
        <v>22.5541326376519</v>
      </c>
      <c r="AP653" s="2">
        <v>22.513165885292398</v>
      </c>
      <c r="AQ653" s="2">
        <v>22.649216974363998</v>
      </c>
      <c r="AR653" s="2">
        <v>21.8490709778042</v>
      </c>
      <c r="AS653" s="2">
        <v>21.278330679597701</v>
      </c>
      <c r="AT653" s="2">
        <v>22.203711658386201</v>
      </c>
      <c r="AU653" s="2">
        <v>22.437655727793398</v>
      </c>
      <c r="AV653" s="2">
        <v>21.9568004504982</v>
      </c>
      <c r="AW653" s="2">
        <v>22.322363681815801</v>
      </c>
      <c r="AX653" s="2">
        <v>22.301776308653899</v>
      </c>
      <c r="AY653" s="2">
        <v>22.3607878349267</v>
      </c>
      <c r="AZ653" s="2">
        <v>22.230465461116601</v>
      </c>
      <c r="BA653" s="2">
        <v>21.9986786680869</v>
      </c>
      <c r="BB653" s="2">
        <v>22.2849706786083</v>
      </c>
      <c r="BC653" s="2">
        <v>21.710129881492701</v>
      </c>
      <c r="BD653" s="2">
        <v>21.9473598823723</v>
      </c>
      <c r="BE653" s="2">
        <v>22.397593682632799</v>
      </c>
      <c r="BF653" s="2">
        <v>21.723713024609001</v>
      </c>
      <c r="BG653" s="2">
        <v>22.949447454088901</v>
      </c>
      <c r="BH653" s="2">
        <v>22.228481203269599</v>
      </c>
      <c r="BI653" s="2">
        <v>23.342839081003799</v>
      </c>
      <c r="BJ653" s="2">
        <v>21.947692357663499</v>
      </c>
      <c r="BK653" s="2">
        <v>22.336683029723101</v>
      </c>
      <c r="BL653" s="2">
        <v>22.123683441025101</v>
      </c>
      <c r="BM653" s="2">
        <v>21.677938659700501</v>
      </c>
      <c r="BN653" s="2">
        <v>22.903011400102599</v>
      </c>
      <c r="BO653" s="2">
        <v>23.1444563553496</v>
      </c>
      <c r="BP653" s="2">
        <v>22.555414151034</v>
      </c>
      <c r="BQ653" s="2">
        <v>22.569726717688798</v>
      </c>
      <c r="BR653" s="2">
        <v>22.482054010414199</v>
      </c>
      <c r="BS653" s="2">
        <v>22.797355799734301</v>
      </c>
      <c r="BT653" s="2">
        <v>22.7337006415895</v>
      </c>
      <c r="BU653" s="2">
        <v>21.691774234854201</v>
      </c>
      <c r="BV653" s="2">
        <v>22.821971739236499</v>
      </c>
      <c r="BW653" s="2">
        <v>20.908759132731799</v>
      </c>
      <c r="BX653" s="2">
        <v>22.4680203469586</v>
      </c>
      <c r="BY653" s="2">
        <v>23.010366840338001</v>
      </c>
      <c r="BZ653" s="2">
        <v>22.408814627205501</v>
      </c>
      <c r="CA653" s="2">
        <v>22.619634817301101</v>
      </c>
      <c r="CB653" s="2">
        <v>22.633557158798101</v>
      </c>
      <c r="CC653" s="2">
        <v>23.083056142984699</v>
      </c>
      <c r="CD653" s="2">
        <v>22.939270138235599</v>
      </c>
      <c r="CE653" s="2">
        <v>21.247764382116301</v>
      </c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</row>
    <row r="654" spans="1:97">
      <c r="A654" s="2" t="s">
        <v>6369</v>
      </c>
      <c r="B654" s="2">
        <v>560.07861000000003</v>
      </c>
      <c r="C654" s="2">
        <v>3.71</v>
      </c>
      <c r="D654" s="2" t="s">
        <v>146</v>
      </c>
      <c r="E654" s="2" t="s">
        <v>6370</v>
      </c>
      <c r="F654" s="2" t="s">
        <v>6371</v>
      </c>
      <c r="G654" s="2">
        <v>204663</v>
      </c>
      <c r="H654" s="3" t="str">
        <f>HYPERLINK("https://cloud.oebiotech.com/#/lm/network/204663", "https://cloud.oebiotech.com/#/lm/network/204663")</f>
        <v>https://cloud.oebiotech.com/#/lm/network/204663</v>
      </c>
      <c r="I654" s="2" t="s">
        <v>6372</v>
      </c>
      <c r="J654" s="2"/>
      <c r="K654" s="2"/>
      <c r="L654" s="2">
        <v>2639</v>
      </c>
      <c r="M654" s="2"/>
      <c r="N654" s="2"/>
      <c r="O654" s="2"/>
      <c r="P654" s="2"/>
      <c r="Q654" s="2"/>
      <c r="R654" s="2"/>
      <c r="S654" s="2"/>
      <c r="T654" s="2" t="s">
        <v>6373</v>
      </c>
      <c r="U654" s="2" t="s">
        <v>6374</v>
      </c>
      <c r="V654" s="2" t="s">
        <v>553</v>
      </c>
      <c r="W654" s="2" t="s">
        <v>6375</v>
      </c>
      <c r="X654" s="2" t="s">
        <v>6376</v>
      </c>
      <c r="Y654" s="2" t="s">
        <v>556</v>
      </c>
      <c r="Z654" s="2" t="s">
        <v>6377</v>
      </c>
      <c r="AA654" s="2" t="s">
        <v>6378</v>
      </c>
      <c r="AB654" s="2" t="s">
        <v>5118</v>
      </c>
      <c r="AC654" s="2">
        <v>55.58</v>
      </c>
      <c r="AD654" s="2">
        <v>87.93</v>
      </c>
      <c r="AE654" s="2">
        <v>68.260000000000005</v>
      </c>
      <c r="AF654" s="2" t="s">
        <v>6379</v>
      </c>
      <c r="AG654" s="2" t="s">
        <v>157</v>
      </c>
      <c r="AH654" s="2" t="s">
        <v>6380</v>
      </c>
      <c r="AI654" s="2">
        <v>-1.79</v>
      </c>
      <c r="AJ654" s="2">
        <v>18.945404827255</v>
      </c>
      <c r="AK654" s="2">
        <v>19.109975436720301</v>
      </c>
      <c r="AL654" s="2">
        <v>19.1542138688155</v>
      </c>
      <c r="AM654" s="2">
        <v>19.123314968761299</v>
      </c>
      <c r="AN654" s="2">
        <v>19.017511251806798</v>
      </c>
      <c r="AO654" s="2">
        <v>19.0120904287702</v>
      </c>
      <c r="AP654" s="2">
        <v>18.990925009957198</v>
      </c>
      <c r="AQ654" s="2">
        <v>18.856877607040801</v>
      </c>
      <c r="AR654" s="2">
        <v>18.276351126544998</v>
      </c>
      <c r="AS654" s="2">
        <v>18.184556251555598</v>
      </c>
      <c r="AT654" s="2">
        <v>18.694509293690601</v>
      </c>
      <c r="AU654" s="2">
        <v>18.634229481215701</v>
      </c>
      <c r="AV654" s="2">
        <v>18.8520030752161</v>
      </c>
      <c r="AW654" s="2">
        <v>18.770387090027601</v>
      </c>
      <c r="AX654" s="2">
        <v>18.502696094492499</v>
      </c>
      <c r="AY654" s="2">
        <v>19.176810037430801</v>
      </c>
      <c r="AZ654" s="2">
        <v>18.904039078973799</v>
      </c>
      <c r="BA654" s="2">
        <v>18.3644803561914</v>
      </c>
      <c r="BB654" s="2">
        <v>19.233978077999101</v>
      </c>
      <c r="BC654" s="2">
        <v>18.943372780224301</v>
      </c>
      <c r="BD654" s="2">
        <v>18.569181115328199</v>
      </c>
      <c r="BE654" s="2">
        <v>19.217178923732799</v>
      </c>
      <c r="BF654" s="2">
        <v>18.948980991343099</v>
      </c>
      <c r="BG654" s="2">
        <v>19.143724245171502</v>
      </c>
      <c r="BH654" s="2">
        <v>19.143010104788701</v>
      </c>
      <c r="BI654" s="2">
        <v>18.6099412810585</v>
      </c>
      <c r="BJ654" s="2">
        <v>19.0585299843836</v>
      </c>
      <c r="BK654" s="2">
        <v>19.010726059672201</v>
      </c>
      <c r="BL654" s="2">
        <v>18.8544410605762</v>
      </c>
      <c r="BM654" s="2">
        <v>19.346771312642701</v>
      </c>
      <c r="BN654" s="2">
        <v>18.9742599126131</v>
      </c>
      <c r="BO654" s="2">
        <v>18.985232821328299</v>
      </c>
      <c r="BP654" s="2">
        <v>18.790015672669</v>
      </c>
      <c r="BQ654" s="2">
        <v>18.888441793964599</v>
      </c>
      <c r="BR654" s="2">
        <v>18.683089328733701</v>
      </c>
      <c r="BS654" s="2">
        <v>18.719600923128901</v>
      </c>
      <c r="BT654" s="2">
        <v>18.652042860003501</v>
      </c>
      <c r="BU654" s="2">
        <v>18.372991450192998</v>
      </c>
      <c r="BV654" s="2">
        <v>18.987385573329998</v>
      </c>
      <c r="BW654" s="2">
        <v>18.442743161608998</v>
      </c>
      <c r="BX654" s="2">
        <v>18.967631104263099</v>
      </c>
      <c r="BY654" s="2">
        <v>19.021132534843701</v>
      </c>
      <c r="BZ654" s="2">
        <v>19.1583564616922</v>
      </c>
      <c r="CA654" s="2">
        <v>19.070486159063801</v>
      </c>
      <c r="CB654" s="2">
        <v>18.847326431201399</v>
      </c>
      <c r="CC654" s="2">
        <v>18.2733151792795</v>
      </c>
      <c r="CD654" s="2">
        <v>18.9986649346734</v>
      </c>
      <c r="CE654" s="2">
        <v>19.032781602630799</v>
      </c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</row>
    <row r="655" spans="1:97">
      <c r="A655" s="2" t="s">
        <v>6381</v>
      </c>
      <c r="B655" s="2">
        <v>283.26283000000001</v>
      </c>
      <c r="C655" s="2">
        <v>8.5370000000000008</v>
      </c>
      <c r="D655" s="2" t="s">
        <v>84</v>
      </c>
      <c r="E655" s="2" t="s">
        <v>6382</v>
      </c>
      <c r="F655" s="2" t="s">
        <v>6383</v>
      </c>
      <c r="G655" s="2">
        <v>581</v>
      </c>
      <c r="H655" s="3" t="str">
        <f>HYPERLINK("https://cloud.oebiotech.com/#/lm/network/581", "https://cloud.oebiotech.com/#/lm/network/581")</f>
        <v>https://cloud.oebiotech.com/#/lm/network/581</v>
      </c>
      <c r="I655" s="2" t="s">
        <v>6384</v>
      </c>
      <c r="J655" s="2">
        <v>3406</v>
      </c>
      <c r="K655" s="2" t="s">
        <v>6385</v>
      </c>
      <c r="L655" s="2">
        <v>637517</v>
      </c>
      <c r="M655" s="2" t="s">
        <v>6386</v>
      </c>
      <c r="N655" s="2"/>
      <c r="O655" s="2"/>
      <c r="P655" s="2">
        <v>27997</v>
      </c>
      <c r="Q655" s="2" t="s">
        <v>756</v>
      </c>
      <c r="R655" s="2" t="s">
        <v>757</v>
      </c>
      <c r="S655" s="2" t="s">
        <v>6387</v>
      </c>
      <c r="T655" s="2" t="s">
        <v>6388</v>
      </c>
      <c r="U655" s="2" t="s">
        <v>6389</v>
      </c>
      <c r="V655" s="2" t="s">
        <v>95</v>
      </c>
      <c r="W655" s="2" t="s">
        <v>96</v>
      </c>
      <c r="X655" s="2" t="s">
        <v>141</v>
      </c>
      <c r="Y655" s="2" t="s">
        <v>98</v>
      </c>
      <c r="Z655" s="2" t="s">
        <v>99</v>
      </c>
      <c r="AA655" s="2" t="s">
        <v>142</v>
      </c>
      <c r="AB655" s="2" t="s">
        <v>5118</v>
      </c>
      <c r="AC655" s="2">
        <v>55.53</v>
      </c>
      <c r="AD655" s="2">
        <v>87.75</v>
      </c>
      <c r="AE655" s="2">
        <v>91.94</v>
      </c>
      <c r="AF655" s="2" t="s">
        <v>6390</v>
      </c>
      <c r="AG655" s="2" t="s">
        <v>103</v>
      </c>
      <c r="AH655" s="2" t="s">
        <v>195</v>
      </c>
      <c r="AI655" s="2">
        <v>1.41</v>
      </c>
      <c r="AJ655" s="2">
        <v>19.115578646575901</v>
      </c>
      <c r="AK655" s="2">
        <v>19.206589686012901</v>
      </c>
      <c r="AL655" s="2">
        <v>18.8752390944966</v>
      </c>
      <c r="AM655" s="2">
        <v>18.564515269004001</v>
      </c>
      <c r="AN655" s="2">
        <v>18.517378779382099</v>
      </c>
      <c r="AO655" s="2">
        <v>18.9784689601716</v>
      </c>
      <c r="AP655" s="2">
        <v>18.0486211838065</v>
      </c>
      <c r="AQ655" s="2">
        <v>19.172781712270901</v>
      </c>
      <c r="AR655" s="2">
        <v>19.086873295394501</v>
      </c>
      <c r="AS655" s="2">
        <v>18.933069806636599</v>
      </c>
      <c r="AT655" s="2">
        <v>18.237127736672701</v>
      </c>
      <c r="AU655" s="2">
        <v>19.174330319267</v>
      </c>
      <c r="AV655" s="2">
        <v>19.271705503910301</v>
      </c>
      <c r="AW655" s="2">
        <v>18.7521972924072</v>
      </c>
      <c r="AX655" s="2">
        <v>18.795450230348699</v>
      </c>
      <c r="AY655" s="2">
        <v>18.3658312848201</v>
      </c>
      <c r="AZ655" s="2">
        <v>18.8544091911895</v>
      </c>
      <c r="BA655" s="2">
        <v>18.9727890627234</v>
      </c>
      <c r="BB655" s="2">
        <v>18.830054078436401</v>
      </c>
      <c r="BC655" s="2">
        <v>18.909893903908898</v>
      </c>
      <c r="BD655" s="2">
        <v>19.0198154804444</v>
      </c>
      <c r="BE655" s="2">
        <v>18.7372292841359</v>
      </c>
      <c r="BF655" s="2">
        <v>18.8162080299564</v>
      </c>
      <c r="BG655" s="2">
        <v>18.916377593609301</v>
      </c>
      <c r="BH655" s="2">
        <v>18.032057999087499</v>
      </c>
      <c r="BI655" s="2">
        <v>18.579986961778499</v>
      </c>
      <c r="BJ655" s="2">
        <v>18.7002389046311</v>
      </c>
      <c r="BK655" s="2">
        <v>18.150709550895801</v>
      </c>
      <c r="BL655" s="2">
        <v>18.923305488702301</v>
      </c>
      <c r="BM655" s="2">
        <v>18.731247524354</v>
      </c>
      <c r="BN655" s="2">
        <v>18.8000674402203</v>
      </c>
      <c r="BO655" s="2">
        <v>19.1542895332271</v>
      </c>
      <c r="BP655" s="2">
        <v>18.852818175582499</v>
      </c>
      <c r="BQ655" s="2">
        <v>18.947337011111401</v>
      </c>
      <c r="BR655" s="2">
        <v>19.045295282099602</v>
      </c>
      <c r="BS655" s="2">
        <v>18.781010076335299</v>
      </c>
      <c r="BT655" s="2">
        <v>18.914365305474298</v>
      </c>
      <c r="BU655" s="2">
        <v>18.758476270666399</v>
      </c>
      <c r="BV655" s="2">
        <v>18.927508629317501</v>
      </c>
      <c r="BW655" s="2">
        <v>18.7539330277693</v>
      </c>
      <c r="BX655" s="2">
        <v>18.287244509825001</v>
      </c>
      <c r="BY655" s="2">
        <v>19.056712165654101</v>
      </c>
      <c r="BZ655" s="2">
        <v>18.5599538231982</v>
      </c>
      <c r="CA655" s="2">
        <v>18.221460906359201</v>
      </c>
      <c r="CB655" s="2">
        <v>18.307701737017901</v>
      </c>
      <c r="CC655" s="2">
        <v>19.114077664716</v>
      </c>
      <c r="CD655" s="2">
        <v>18.870700132956401</v>
      </c>
      <c r="CE655" s="2">
        <v>19.057488587550399</v>
      </c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</row>
    <row r="656" spans="1:97">
      <c r="A656" s="2" t="s">
        <v>6391</v>
      </c>
      <c r="B656" s="2">
        <v>123.06533</v>
      </c>
      <c r="C656" s="2">
        <v>0.58299999999999996</v>
      </c>
      <c r="D656" s="2" t="s">
        <v>84</v>
      </c>
      <c r="E656" s="2" t="s">
        <v>6392</v>
      </c>
      <c r="F656" s="2" t="s">
        <v>6393</v>
      </c>
      <c r="G656" s="2">
        <v>48242</v>
      </c>
      <c r="H656" s="3" t="str">
        <f>HYPERLINK("https://cloud.oebiotech.com/#/lm/network/48242", "https://cloud.oebiotech.com/#/lm/network/48242")</f>
        <v>https://cloud.oebiotech.com/#/lm/network/48242</v>
      </c>
      <c r="I656" s="2" t="s">
        <v>6394</v>
      </c>
      <c r="J656" s="2">
        <v>58213</v>
      </c>
      <c r="K656" s="2"/>
      <c r="L656" s="2">
        <v>169019</v>
      </c>
      <c r="M656" s="2" t="s">
        <v>6395</v>
      </c>
      <c r="N656" s="2"/>
      <c r="O656" s="2"/>
      <c r="P656" s="2">
        <v>48300</v>
      </c>
      <c r="Q656" s="2"/>
      <c r="R656" s="2"/>
      <c r="S656" s="2" t="s">
        <v>6396</v>
      </c>
      <c r="T656" s="2" t="s">
        <v>6397</v>
      </c>
      <c r="U656" s="2" t="s">
        <v>6398</v>
      </c>
      <c r="V656" s="2" t="s">
        <v>338</v>
      </c>
      <c r="W656" s="2" t="s">
        <v>339</v>
      </c>
      <c r="X656" s="2" t="s">
        <v>663</v>
      </c>
      <c r="Y656" s="2" t="s">
        <v>341</v>
      </c>
      <c r="Z656" s="2" t="s">
        <v>341</v>
      </c>
      <c r="AA656" s="2" t="s">
        <v>664</v>
      </c>
      <c r="AB656" s="2" t="s">
        <v>3086</v>
      </c>
      <c r="AC656" s="2">
        <v>55.51</v>
      </c>
      <c r="AD656" s="2">
        <v>97.36</v>
      </c>
      <c r="AE656" s="2">
        <v>0</v>
      </c>
      <c r="AF656" s="2" t="s">
        <v>5614</v>
      </c>
      <c r="AG656" s="2" t="s">
        <v>103</v>
      </c>
      <c r="AH656" s="2" t="s">
        <v>6399</v>
      </c>
      <c r="AI656" s="2">
        <v>-0.81</v>
      </c>
      <c r="AJ656" s="2">
        <v>21.066547786153802</v>
      </c>
      <c r="AK656" s="2">
        <v>21.080461952516998</v>
      </c>
      <c r="AL656" s="2">
        <v>21.205962812263898</v>
      </c>
      <c r="AM656" s="2">
        <v>21.1139052463528</v>
      </c>
      <c r="AN656" s="2">
        <v>21.278834852772398</v>
      </c>
      <c r="AO656" s="2">
        <v>22.007350455440299</v>
      </c>
      <c r="AP656" s="2">
        <v>21.348375047817299</v>
      </c>
      <c r="AQ656" s="2">
        <v>21.167908065628101</v>
      </c>
      <c r="AR656" s="2">
        <v>20.530824778151299</v>
      </c>
      <c r="AS656" s="2">
        <v>20.687870646633101</v>
      </c>
      <c r="AT656" s="2">
        <v>20.757125471815701</v>
      </c>
      <c r="AU656" s="2">
        <v>20.184014518336799</v>
      </c>
      <c r="AV656" s="2">
        <v>21.3850558167264</v>
      </c>
      <c r="AW656" s="2">
        <v>21.254681334345701</v>
      </c>
      <c r="AX656" s="2">
        <v>20.831322275921099</v>
      </c>
      <c r="AY656" s="2">
        <v>21.7748756226393</v>
      </c>
      <c r="AZ656" s="2">
        <v>21.073498115088299</v>
      </c>
      <c r="BA656" s="2">
        <v>20.838363536088899</v>
      </c>
      <c r="BB656" s="2">
        <v>21.2348905449726</v>
      </c>
      <c r="BC656" s="2">
        <v>21.348734842082798</v>
      </c>
      <c r="BD656" s="2">
        <v>21.665438803535199</v>
      </c>
      <c r="BE656" s="2">
        <v>21.461866862760001</v>
      </c>
      <c r="BF656" s="2">
        <v>21.2137688937677</v>
      </c>
      <c r="BG656" s="2">
        <v>21.424712562898598</v>
      </c>
      <c r="BH656" s="2">
        <v>21.653571646122799</v>
      </c>
      <c r="BI656" s="2">
        <v>21.030080660894399</v>
      </c>
      <c r="BJ656" s="2">
        <v>21.0842908162947</v>
      </c>
      <c r="BK656" s="2">
        <v>20.906154017338199</v>
      </c>
      <c r="BL656" s="2">
        <v>21.1862342313791</v>
      </c>
      <c r="BM656" s="2">
        <v>21.146080151652601</v>
      </c>
      <c r="BN656" s="2">
        <v>21.412457338600799</v>
      </c>
      <c r="BO656" s="2">
        <v>21.1448202987063</v>
      </c>
      <c r="BP656" s="2">
        <v>21.203641651472701</v>
      </c>
      <c r="BQ656" s="2">
        <v>20.7333130186686</v>
      </c>
      <c r="BR656" s="2">
        <v>20.023112770156501</v>
      </c>
      <c r="BS656" s="2">
        <v>21.609126774539799</v>
      </c>
      <c r="BT656" s="2">
        <v>20.9440226378752</v>
      </c>
      <c r="BU656" s="2">
        <v>20.320698057070899</v>
      </c>
      <c r="BV656" s="2">
        <v>21.620634271730601</v>
      </c>
      <c r="BW656" s="2">
        <v>20.538008513779101</v>
      </c>
      <c r="BX656" s="2">
        <v>21.205313607041301</v>
      </c>
      <c r="BY656" s="2">
        <v>22.4885746483174</v>
      </c>
      <c r="BZ656" s="2">
        <v>20.8746847167677</v>
      </c>
      <c r="CA656" s="2">
        <v>21.044884296283499</v>
      </c>
      <c r="CB656" s="2">
        <v>21.316643646289801</v>
      </c>
      <c r="CC656" s="2">
        <v>21.370710189226202</v>
      </c>
      <c r="CD656" s="2">
        <v>21.8118519644337</v>
      </c>
      <c r="CE656" s="2">
        <v>20.812873883477501</v>
      </c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</row>
    <row r="657" spans="1:97">
      <c r="A657" s="2" t="s">
        <v>6400</v>
      </c>
      <c r="B657" s="2">
        <v>192.06154000000001</v>
      </c>
      <c r="C657" s="2">
        <v>0.58299999999999996</v>
      </c>
      <c r="D657" s="2" t="s">
        <v>84</v>
      </c>
      <c r="E657" s="2" t="s">
        <v>6401</v>
      </c>
      <c r="F657" s="2" t="s">
        <v>6402</v>
      </c>
      <c r="G657" s="2">
        <v>46937</v>
      </c>
      <c r="H657" s="3" t="str">
        <f>HYPERLINK("https://cloud.oebiotech.com/#/lm/network/46937", "https://cloud.oebiotech.com/#/lm/network/46937")</f>
        <v>https://cloud.oebiotech.com/#/lm/network/46937</v>
      </c>
      <c r="I657" s="2" t="s">
        <v>6403</v>
      </c>
      <c r="J657" s="2">
        <v>5226</v>
      </c>
      <c r="K657" s="2"/>
      <c r="L657" s="2">
        <v>439260</v>
      </c>
      <c r="M657" s="2" t="s">
        <v>6404</v>
      </c>
      <c r="N657" s="2" t="s">
        <v>6405</v>
      </c>
      <c r="O657" s="2" t="s">
        <v>6406</v>
      </c>
      <c r="P657" s="2">
        <v>18357</v>
      </c>
      <c r="Q657" s="2"/>
      <c r="R657" s="2"/>
      <c r="S657" s="2" t="s">
        <v>6407</v>
      </c>
      <c r="T657" s="2" t="s">
        <v>6408</v>
      </c>
      <c r="U657" s="2" t="s">
        <v>6409</v>
      </c>
      <c r="V657" s="2" t="s">
        <v>385</v>
      </c>
      <c r="W657" s="2" t="s">
        <v>3319</v>
      </c>
      <c r="X657" s="2" t="s">
        <v>4101</v>
      </c>
      <c r="Y657" s="2" t="s">
        <v>388</v>
      </c>
      <c r="Z657" s="2" t="s">
        <v>3321</v>
      </c>
      <c r="AA657" s="2" t="s">
        <v>4102</v>
      </c>
      <c r="AB657" s="2" t="s">
        <v>101</v>
      </c>
      <c r="AC657" s="2">
        <v>55.49</v>
      </c>
      <c r="AD657" s="2">
        <v>72.5</v>
      </c>
      <c r="AE657" s="2">
        <v>71.78</v>
      </c>
      <c r="AF657" s="2" t="s">
        <v>6410</v>
      </c>
      <c r="AG657" s="2" t="s">
        <v>1578</v>
      </c>
      <c r="AH657" s="2" t="s">
        <v>6411</v>
      </c>
      <c r="AI657" s="2">
        <v>8.33</v>
      </c>
      <c r="AJ657" s="2">
        <v>22.477922202666701</v>
      </c>
      <c r="AK657" s="2">
        <v>22.443608459821501</v>
      </c>
      <c r="AL657" s="2">
        <v>22.240350054692701</v>
      </c>
      <c r="AM657" s="2">
        <v>22.5823436936166</v>
      </c>
      <c r="AN657" s="2">
        <v>22.364962047619201</v>
      </c>
      <c r="AO657" s="2">
        <v>22.709992879797898</v>
      </c>
      <c r="AP657" s="2">
        <v>22.359517164553299</v>
      </c>
      <c r="AQ657" s="2">
        <v>22.380834153870801</v>
      </c>
      <c r="AR657" s="2">
        <v>22.164567392828101</v>
      </c>
      <c r="AS657" s="2">
        <v>22.1898747584702</v>
      </c>
      <c r="AT657" s="2">
        <v>22.450984266532899</v>
      </c>
      <c r="AU657" s="2">
        <v>22.049401671968099</v>
      </c>
      <c r="AV657" s="2">
        <v>22.456011843166699</v>
      </c>
      <c r="AW657" s="2">
        <v>22.308738086845999</v>
      </c>
      <c r="AX657" s="2">
        <v>22.549746724445999</v>
      </c>
      <c r="AY657" s="2">
        <v>22.673746135875799</v>
      </c>
      <c r="AZ657" s="2">
        <v>22.2144365969612</v>
      </c>
      <c r="BA657" s="2">
        <v>22.129813313180701</v>
      </c>
      <c r="BB657" s="2">
        <v>22.684774662246799</v>
      </c>
      <c r="BC657" s="2">
        <v>22.5461030841292</v>
      </c>
      <c r="BD657" s="2">
        <v>22.4079786335035</v>
      </c>
      <c r="BE657" s="2">
        <v>22.8051265258581</v>
      </c>
      <c r="BF657" s="2">
        <v>22.240079371345399</v>
      </c>
      <c r="BG657" s="2">
        <v>22.529882726734598</v>
      </c>
      <c r="BH657" s="2">
        <v>22.654500917683801</v>
      </c>
      <c r="BI657" s="2">
        <v>22.153067568374599</v>
      </c>
      <c r="BJ657" s="2">
        <v>22.328850038197601</v>
      </c>
      <c r="BK657" s="2">
        <v>22.553848806883501</v>
      </c>
      <c r="BL657" s="2">
        <v>22.569465953531601</v>
      </c>
      <c r="BM657" s="2">
        <v>22.664171951212499</v>
      </c>
      <c r="BN657" s="2">
        <v>22.647271566226401</v>
      </c>
      <c r="BO657" s="2">
        <v>22.205073359034198</v>
      </c>
      <c r="BP657" s="2">
        <v>22.320235202758301</v>
      </c>
      <c r="BQ657" s="2">
        <v>22.073297804933599</v>
      </c>
      <c r="BR657" s="2">
        <v>22.113899318390001</v>
      </c>
      <c r="BS657" s="2">
        <v>22.406650886037902</v>
      </c>
      <c r="BT657" s="2">
        <v>22.561868931331698</v>
      </c>
      <c r="BU657" s="2">
        <v>22.607506465159702</v>
      </c>
      <c r="BV657" s="2">
        <v>22.692056073524899</v>
      </c>
      <c r="BW657" s="2">
        <v>22.5182277297151</v>
      </c>
      <c r="BX657" s="2">
        <v>22.352941338153201</v>
      </c>
      <c r="BY657" s="2">
        <v>23.177989187744</v>
      </c>
      <c r="BZ657" s="2">
        <v>22.204682193895</v>
      </c>
      <c r="CA657" s="2">
        <v>22.304613375516901</v>
      </c>
      <c r="CB657" s="2">
        <v>22.338816020279701</v>
      </c>
      <c r="CC657" s="2">
        <v>22.293745254695001</v>
      </c>
      <c r="CD657" s="2">
        <v>22.664470698446902</v>
      </c>
      <c r="CE657" s="2">
        <v>22.461804635027999</v>
      </c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</row>
    <row r="658" spans="1:97">
      <c r="A658" s="2" t="s">
        <v>6412</v>
      </c>
      <c r="B658" s="2">
        <v>113.03458999999999</v>
      </c>
      <c r="C658" s="2">
        <v>0.80400000000000005</v>
      </c>
      <c r="D658" s="2" t="s">
        <v>84</v>
      </c>
      <c r="E658" s="2" t="s">
        <v>6413</v>
      </c>
      <c r="F658" s="2" t="s">
        <v>6414</v>
      </c>
      <c r="G658" s="2">
        <v>46984</v>
      </c>
      <c r="H658" s="3" t="str">
        <f>HYPERLINK("https://cloud.oebiotech.com/#/lm/network/46984", "https://cloud.oebiotech.com/#/lm/network/46984")</f>
        <v>https://cloud.oebiotech.com/#/lm/network/46984</v>
      </c>
      <c r="I658" s="2" t="s">
        <v>6415</v>
      </c>
      <c r="J658" s="2">
        <v>258</v>
      </c>
      <c r="K658" s="2"/>
      <c r="L658" s="2">
        <v>1174</v>
      </c>
      <c r="M658" s="2" t="s">
        <v>6416</v>
      </c>
      <c r="N658" s="2" t="s">
        <v>6161</v>
      </c>
      <c r="O658" s="2" t="s">
        <v>6162</v>
      </c>
      <c r="P658" s="2">
        <v>17568</v>
      </c>
      <c r="Q658" s="2" t="s">
        <v>6417</v>
      </c>
      <c r="R658" s="2" t="s">
        <v>6418</v>
      </c>
      <c r="S658" s="2" t="s">
        <v>6419</v>
      </c>
      <c r="T658" s="2" t="s">
        <v>6420</v>
      </c>
      <c r="U658" s="2" t="s">
        <v>6421</v>
      </c>
      <c r="V658" s="2" t="s">
        <v>553</v>
      </c>
      <c r="W658" s="2" t="s">
        <v>6104</v>
      </c>
      <c r="X658" s="2" t="s">
        <v>6105</v>
      </c>
      <c r="Y658" s="2" t="s">
        <v>556</v>
      </c>
      <c r="Z658" s="2" t="s">
        <v>6106</v>
      </c>
      <c r="AA658" s="2" t="s">
        <v>6107</v>
      </c>
      <c r="AB658" s="2" t="s">
        <v>3086</v>
      </c>
      <c r="AC658" s="2">
        <v>55.46</v>
      </c>
      <c r="AD658" s="2">
        <v>97.24</v>
      </c>
      <c r="AE658" s="2">
        <v>0</v>
      </c>
      <c r="AF658" s="2" t="s">
        <v>5614</v>
      </c>
      <c r="AG658" s="2" t="s">
        <v>103</v>
      </c>
      <c r="AH658" s="2" t="s">
        <v>6422</v>
      </c>
      <c r="AI658" s="2">
        <v>0</v>
      </c>
      <c r="AJ658" s="2">
        <v>21.216671073043798</v>
      </c>
      <c r="AK658" s="2">
        <v>21.783247344409499</v>
      </c>
      <c r="AL658" s="2">
        <v>21.746913636319</v>
      </c>
      <c r="AM658" s="2">
        <v>21.3098736449003</v>
      </c>
      <c r="AN658" s="2">
        <v>21.6321911341449</v>
      </c>
      <c r="AO658" s="2">
        <v>21.606051493899098</v>
      </c>
      <c r="AP658" s="2">
        <v>21.571709510893601</v>
      </c>
      <c r="AQ658" s="2">
        <v>21.583831356315699</v>
      </c>
      <c r="AR658" s="2">
        <v>21.876011758984099</v>
      </c>
      <c r="AS658" s="2">
        <v>22.627255327335298</v>
      </c>
      <c r="AT658" s="2">
        <v>22.5833550697612</v>
      </c>
      <c r="AU658" s="2">
        <v>21.676318302178998</v>
      </c>
      <c r="AV658" s="2">
        <v>21.152267119751301</v>
      </c>
      <c r="AW658" s="2">
        <v>22.054405623451899</v>
      </c>
      <c r="AX658" s="2">
        <v>22.157721042453701</v>
      </c>
      <c r="AY658" s="2">
        <v>22.1299342545224</v>
      </c>
      <c r="AZ658" s="2">
        <v>21.186578672528199</v>
      </c>
      <c r="BA658" s="2">
        <v>22.307776495503902</v>
      </c>
      <c r="BB658" s="2">
        <v>21.979872290778701</v>
      </c>
      <c r="BC658" s="2">
        <v>21.907865733230601</v>
      </c>
      <c r="BD658" s="2">
        <v>21.318017444941201</v>
      </c>
      <c r="BE658" s="2">
        <v>21.915536885818302</v>
      </c>
      <c r="BF658" s="2">
        <v>21.282671462768299</v>
      </c>
      <c r="BG658" s="2">
        <v>21.6188304323891</v>
      </c>
      <c r="BH658" s="2">
        <v>21.613510061627199</v>
      </c>
      <c r="BI658" s="2">
        <v>22.351654133278299</v>
      </c>
      <c r="BJ658" s="2">
        <v>21.965401715468602</v>
      </c>
      <c r="BK658" s="2">
        <v>22.1989854742354</v>
      </c>
      <c r="BL658" s="2">
        <v>22.339983878499599</v>
      </c>
      <c r="BM658" s="2">
        <v>21.384625819173898</v>
      </c>
      <c r="BN658" s="2">
        <v>21.258424155384201</v>
      </c>
      <c r="BO658" s="2">
        <v>21.084022553525202</v>
      </c>
      <c r="BP658" s="2">
        <v>21.884474455218999</v>
      </c>
      <c r="BQ658" s="2">
        <v>21.2657407244896</v>
      </c>
      <c r="BR658" s="2">
        <v>22.0453125886884</v>
      </c>
      <c r="BS658" s="2">
        <v>21.984682234952199</v>
      </c>
      <c r="BT658" s="2">
        <v>22.3977568475838</v>
      </c>
      <c r="BU658" s="2">
        <v>22.374201898168099</v>
      </c>
      <c r="BV658" s="2">
        <v>21.581502057582401</v>
      </c>
      <c r="BW658" s="2">
        <v>21.6588049044896</v>
      </c>
      <c r="BX658" s="2">
        <v>21.412034966907001</v>
      </c>
      <c r="BY658" s="2">
        <v>21.879147065942199</v>
      </c>
      <c r="BZ658" s="2">
        <v>21.057130382458102</v>
      </c>
      <c r="CA658" s="2">
        <v>21.6642144703867</v>
      </c>
      <c r="CB658" s="2">
        <v>21.941941893856701</v>
      </c>
      <c r="CC658" s="2">
        <v>21.938117864219201</v>
      </c>
      <c r="CD658" s="2">
        <v>21.6027795359729</v>
      </c>
      <c r="CE658" s="2">
        <v>22.053245571169001</v>
      </c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</row>
    <row r="659" spans="1:97">
      <c r="A659" s="2" t="s">
        <v>6423</v>
      </c>
      <c r="B659" s="2">
        <v>211.01338999999999</v>
      </c>
      <c r="C659" s="2">
        <v>1.2709999999999999</v>
      </c>
      <c r="D659" s="2" t="s">
        <v>146</v>
      </c>
      <c r="E659" s="2" t="s">
        <v>6424</v>
      </c>
      <c r="F659" s="2" t="s">
        <v>6425</v>
      </c>
      <c r="G659" s="2">
        <v>62033</v>
      </c>
      <c r="H659" s="3" t="str">
        <f>HYPERLINK("https://cloud.oebiotech.com/#/lm/network/62033", "https://cloud.oebiotech.com/#/lm/network/62033")</f>
        <v>https://cloud.oebiotech.com/#/lm/network/62033</v>
      </c>
      <c r="I659" s="2" t="s">
        <v>6426</v>
      </c>
      <c r="J659" s="2">
        <v>93325</v>
      </c>
      <c r="K659" s="2"/>
      <c r="L659" s="2">
        <v>107978</v>
      </c>
      <c r="M659" s="2"/>
      <c r="N659" s="2"/>
      <c r="O659" s="2"/>
      <c r="P659" s="2">
        <v>173813</v>
      </c>
      <c r="Q659" s="2"/>
      <c r="R659" s="2"/>
      <c r="S659" s="2" t="s">
        <v>6427</v>
      </c>
      <c r="T659" s="2" t="s">
        <v>6428</v>
      </c>
      <c r="U659" s="2" t="s">
        <v>6429</v>
      </c>
      <c r="V659" s="2" t="s">
        <v>115</v>
      </c>
      <c r="W659" s="2" t="s">
        <v>116</v>
      </c>
      <c r="X659" s="2" t="s">
        <v>117</v>
      </c>
      <c r="Y659" s="2" t="s">
        <v>118</v>
      </c>
      <c r="Z659" s="2" t="s">
        <v>119</v>
      </c>
      <c r="AA659" s="2" t="s">
        <v>120</v>
      </c>
      <c r="AB659" s="2" t="s">
        <v>5118</v>
      </c>
      <c r="AC659" s="2">
        <v>55.46</v>
      </c>
      <c r="AD659" s="2">
        <v>81.819999999999993</v>
      </c>
      <c r="AE659" s="2">
        <v>81.209999999999994</v>
      </c>
      <c r="AF659" s="2" t="s">
        <v>6430</v>
      </c>
      <c r="AG659" s="2" t="s">
        <v>4062</v>
      </c>
      <c r="AH659" s="2" t="s">
        <v>6431</v>
      </c>
      <c r="AI659" s="2">
        <v>-3.32</v>
      </c>
      <c r="AJ659" s="2">
        <v>23.911566162786599</v>
      </c>
      <c r="AK659" s="2">
        <v>23.896729504628201</v>
      </c>
      <c r="AL659" s="2">
        <v>23.950685170761901</v>
      </c>
      <c r="AM659" s="2">
        <v>24.0051331710753</v>
      </c>
      <c r="AN659" s="2">
        <v>23.890094404152801</v>
      </c>
      <c r="AO659" s="2">
        <v>23.934213363647601</v>
      </c>
      <c r="AP659" s="2">
        <v>23.924372214290599</v>
      </c>
      <c r="AQ659" s="2">
        <v>23.857655946885099</v>
      </c>
      <c r="AR659" s="2">
        <v>24.002257885621699</v>
      </c>
      <c r="AS659" s="2">
        <v>23.6178105199741</v>
      </c>
      <c r="AT659" s="2">
        <v>23.185262343165999</v>
      </c>
      <c r="AU659" s="2">
        <v>24.297141350725202</v>
      </c>
      <c r="AV659" s="2">
        <v>23.9032395208419</v>
      </c>
      <c r="AW659" s="2">
        <v>23.969313109174902</v>
      </c>
      <c r="AX659" s="2">
        <v>24.0637743555931</v>
      </c>
      <c r="AY659" s="2">
        <v>23.1170287754695</v>
      </c>
      <c r="AZ659" s="2">
        <v>24.109234686527</v>
      </c>
      <c r="BA659" s="2">
        <v>24.282631036332599</v>
      </c>
      <c r="BB659" s="2">
        <v>23.920467792297998</v>
      </c>
      <c r="BC659" s="2">
        <v>23.408825380659099</v>
      </c>
      <c r="BD659" s="2">
        <v>24.1581629030267</v>
      </c>
      <c r="BE659" s="2">
        <v>23.7039976172567</v>
      </c>
      <c r="BF659" s="2">
        <v>23.8689858515175</v>
      </c>
      <c r="BG659" s="2">
        <v>23.8823183758143</v>
      </c>
      <c r="BH659" s="2">
        <v>24.037792856452501</v>
      </c>
      <c r="BI659" s="2">
        <v>23.002464113631099</v>
      </c>
      <c r="BJ659" s="2">
        <v>23.841902346690301</v>
      </c>
      <c r="BK659" s="2">
        <v>24.1288705274679</v>
      </c>
      <c r="BL659" s="2">
        <v>24.287559815640101</v>
      </c>
      <c r="BM659" s="2">
        <v>23.818710596691901</v>
      </c>
      <c r="BN659" s="2">
        <v>23.121572539299098</v>
      </c>
      <c r="BO659" s="2">
        <v>24.0832272802086</v>
      </c>
      <c r="BP659" s="2">
        <v>23.971708766236301</v>
      </c>
      <c r="BQ659" s="2">
        <v>24.061173626632598</v>
      </c>
      <c r="BR659" s="2">
        <v>23.799642907637701</v>
      </c>
      <c r="BS659" s="2">
        <v>23.790010862578601</v>
      </c>
      <c r="BT659" s="2">
        <v>24.0017885500876</v>
      </c>
      <c r="BU659" s="2">
        <v>23.950815069054499</v>
      </c>
      <c r="BV659" s="2">
        <v>23.717003575290502</v>
      </c>
      <c r="BW659" s="2">
        <v>24.257699616201101</v>
      </c>
      <c r="BX659" s="2">
        <v>24.0029161441371</v>
      </c>
      <c r="BY659" s="2">
        <v>23.584142846266499</v>
      </c>
      <c r="BZ659" s="2">
        <v>23.875668419983398</v>
      </c>
      <c r="CA659" s="2">
        <v>23.677160724218702</v>
      </c>
      <c r="CB659" s="2">
        <v>23.4017424386982</v>
      </c>
      <c r="CC659" s="2">
        <v>23.296980128718499</v>
      </c>
      <c r="CD659" s="2">
        <v>23.063402282039501</v>
      </c>
      <c r="CE659" s="2">
        <v>24.042890365161998</v>
      </c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</row>
    <row r="660" spans="1:97">
      <c r="A660" s="2" t="s">
        <v>6432</v>
      </c>
      <c r="B660" s="2">
        <v>194.08118999999999</v>
      </c>
      <c r="C660" s="2">
        <v>5.3840000000000003</v>
      </c>
      <c r="D660" s="2" t="s">
        <v>84</v>
      </c>
      <c r="E660" s="2" t="s">
        <v>6433</v>
      </c>
      <c r="F660" s="2" t="s">
        <v>6434</v>
      </c>
      <c r="G660" s="2">
        <v>1136</v>
      </c>
      <c r="H660" s="3" t="str">
        <f>HYPERLINK("https://cloud.oebiotech.com/#/lm/network/1136", "https://cloud.oebiotech.com/#/lm/network/1136")</f>
        <v>https://cloud.oebiotech.com/#/lm/network/1136</v>
      </c>
      <c r="I660" s="2" t="s">
        <v>6435</v>
      </c>
      <c r="J660" s="2">
        <v>87377</v>
      </c>
      <c r="K660" s="2" t="s">
        <v>6436</v>
      </c>
      <c r="L660" s="2">
        <v>131751124</v>
      </c>
      <c r="M660" s="2"/>
      <c r="N660" s="2"/>
      <c r="O660" s="2"/>
      <c r="P660" s="2"/>
      <c r="Q660" s="2"/>
      <c r="R660" s="2"/>
      <c r="S660" s="2"/>
      <c r="T660" s="2" t="s">
        <v>6437</v>
      </c>
      <c r="U660" s="2" t="s">
        <v>6438</v>
      </c>
      <c r="V660" s="2" t="s">
        <v>95</v>
      </c>
      <c r="W660" s="2" t="s">
        <v>96</v>
      </c>
      <c r="X660" s="2" t="s">
        <v>141</v>
      </c>
      <c r="Y660" s="2" t="s">
        <v>98</v>
      </c>
      <c r="Z660" s="2" t="s">
        <v>99</v>
      </c>
      <c r="AA660" s="2" t="s">
        <v>142</v>
      </c>
      <c r="AB660" s="2" t="s">
        <v>3086</v>
      </c>
      <c r="AC660" s="2">
        <v>55.46</v>
      </c>
      <c r="AD660" s="2">
        <v>93.5</v>
      </c>
      <c r="AE660" s="2">
        <v>0</v>
      </c>
      <c r="AF660" s="2" t="s">
        <v>5614</v>
      </c>
      <c r="AG660" s="2" t="s">
        <v>132</v>
      </c>
      <c r="AH660" s="2" t="s">
        <v>6439</v>
      </c>
      <c r="AI660" s="2">
        <v>0</v>
      </c>
      <c r="AJ660" s="2">
        <v>19.0363612365826</v>
      </c>
      <c r="AK660" s="2">
        <v>19.555031794588899</v>
      </c>
      <c r="AL660" s="2">
        <v>19.3536922224989</v>
      </c>
      <c r="AM660" s="2">
        <v>18.953271094185101</v>
      </c>
      <c r="AN660" s="2">
        <v>19.382715057523601</v>
      </c>
      <c r="AO660" s="2">
        <v>19.124975830879102</v>
      </c>
      <c r="AP660" s="2">
        <v>18.9819999151707</v>
      </c>
      <c r="AQ660" s="2">
        <v>19.107653647952301</v>
      </c>
      <c r="AR660" s="2">
        <v>18.935053917786799</v>
      </c>
      <c r="AS660" s="2">
        <v>18.131920547245102</v>
      </c>
      <c r="AT660" s="2">
        <v>18.164272888707899</v>
      </c>
      <c r="AU660" s="2">
        <v>18.6530789509304</v>
      </c>
      <c r="AV660" s="2">
        <v>18.031887094527399</v>
      </c>
      <c r="AW660" s="2">
        <v>18.409993438814201</v>
      </c>
      <c r="AX660" s="2">
        <v>19.123608518996999</v>
      </c>
      <c r="AY660" s="2">
        <v>18.557595664882498</v>
      </c>
      <c r="AZ660" s="2">
        <v>18.059500525333</v>
      </c>
      <c r="BA660" s="2">
        <v>18.6602799396344</v>
      </c>
      <c r="BB660" s="2">
        <v>18.478968409181402</v>
      </c>
      <c r="BC660" s="2">
        <v>17.547119260742399</v>
      </c>
      <c r="BD660" s="2">
        <v>17.939516200624901</v>
      </c>
      <c r="BE660" s="2">
        <v>19.1602418596107</v>
      </c>
      <c r="BF660" s="2">
        <v>18.452246831699899</v>
      </c>
      <c r="BG660" s="2">
        <v>17.010293487148399</v>
      </c>
      <c r="BH660" s="2">
        <v>18.3808284479368</v>
      </c>
      <c r="BI660" s="2">
        <v>19.321057671694799</v>
      </c>
      <c r="BJ660" s="2">
        <v>18.554741422519399</v>
      </c>
      <c r="BK660" s="2">
        <v>19.958756217250599</v>
      </c>
      <c r="BL660" s="2">
        <v>18.3473186272359</v>
      </c>
      <c r="BM660" s="2">
        <v>18.3378961179451</v>
      </c>
      <c r="BN660" s="2">
        <v>19.036936863582302</v>
      </c>
      <c r="BO660" s="2">
        <v>19.0788392100478</v>
      </c>
      <c r="BP660" s="2">
        <v>19.629729196318198</v>
      </c>
      <c r="BQ660" s="2">
        <v>19.9391205230941</v>
      </c>
      <c r="BR660" s="2">
        <v>20.093327122298199</v>
      </c>
      <c r="BS660" s="2">
        <v>19.4527533952302</v>
      </c>
      <c r="BT660" s="2">
        <v>19.736399437281399</v>
      </c>
      <c r="BU660" s="2">
        <v>19.643990854985802</v>
      </c>
      <c r="BV660" s="2">
        <v>19.656431218071699</v>
      </c>
      <c r="BW660" s="2">
        <v>17.300851671779601</v>
      </c>
      <c r="BX660" s="2">
        <v>18.954863840958598</v>
      </c>
      <c r="BY660" s="2">
        <v>19.363831852593901</v>
      </c>
      <c r="BZ660" s="2">
        <v>18.466708561756601</v>
      </c>
      <c r="CA660" s="2">
        <v>16.951928046284198</v>
      </c>
      <c r="CB660" s="2">
        <v>18.414680405346999</v>
      </c>
      <c r="CC660" s="2">
        <v>19.1606164231513</v>
      </c>
      <c r="CD660" s="2">
        <v>19.322721781464399</v>
      </c>
      <c r="CE660" s="2">
        <v>20.1517350755534</v>
      </c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</row>
    <row r="661" spans="1:97">
      <c r="A661" s="2" t="s">
        <v>6440</v>
      </c>
      <c r="B661" s="2">
        <v>298.14330000000001</v>
      </c>
      <c r="C661" s="2">
        <v>10.68</v>
      </c>
      <c r="D661" s="2" t="s">
        <v>84</v>
      </c>
      <c r="E661" s="2" t="s">
        <v>6441</v>
      </c>
      <c r="F661" s="2" t="s">
        <v>6442</v>
      </c>
      <c r="G661" s="2">
        <v>57249</v>
      </c>
      <c r="H661" s="3" t="str">
        <f>HYPERLINK("https://cloud.oebiotech.com/#/lm/network/57249", "https://cloud.oebiotech.com/#/lm/network/57249")</f>
        <v>https://cloud.oebiotech.com/#/lm/network/57249</v>
      </c>
      <c r="I661" s="2" t="s">
        <v>6443</v>
      </c>
      <c r="J661" s="2">
        <v>84971</v>
      </c>
      <c r="K661" s="2"/>
      <c r="L661" s="2">
        <v>3747</v>
      </c>
      <c r="M661" s="2" t="s">
        <v>6444</v>
      </c>
      <c r="N661" s="2"/>
      <c r="O661" s="2"/>
      <c r="P661" s="2">
        <v>31719</v>
      </c>
      <c r="Q661" s="2"/>
      <c r="R661" s="2"/>
      <c r="S661" s="2" t="s">
        <v>6445</v>
      </c>
      <c r="T661" s="2" t="s">
        <v>6446</v>
      </c>
      <c r="U661" s="2" t="s">
        <v>6447</v>
      </c>
      <c r="V661" s="2" t="s">
        <v>845</v>
      </c>
      <c r="W661" s="2" t="s">
        <v>3853</v>
      </c>
      <c r="X661" s="2" t="s">
        <v>3854</v>
      </c>
      <c r="Y661" s="2" t="s">
        <v>847</v>
      </c>
      <c r="Z661" s="2" t="s">
        <v>3855</v>
      </c>
      <c r="AA661" s="2" t="s">
        <v>3856</v>
      </c>
      <c r="AB661" s="2" t="s">
        <v>3086</v>
      </c>
      <c r="AC661" s="2">
        <v>55.44</v>
      </c>
      <c r="AD661" s="2">
        <v>93.47</v>
      </c>
      <c r="AE661" s="2">
        <v>0</v>
      </c>
      <c r="AF661" s="2" t="s">
        <v>5614</v>
      </c>
      <c r="AG661" s="2" t="s">
        <v>132</v>
      </c>
      <c r="AH661" s="2" t="s">
        <v>6448</v>
      </c>
      <c r="AI661" s="2">
        <v>1.68</v>
      </c>
      <c r="AJ661" s="2">
        <v>23.390512609743801</v>
      </c>
      <c r="AK661" s="2">
        <v>23.310684847772901</v>
      </c>
      <c r="AL661" s="2">
        <v>23.3553353916083</v>
      </c>
      <c r="AM661" s="2">
        <v>23.330698419253601</v>
      </c>
      <c r="AN661" s="2">
        <v>23.267983874905699</v>
      </c>
      <c r="AO661" s="2">
        <v>22.379530049241399</v>
      </c>
      <c r="AP661" s="2">
        <v>23.743222532057001</v>
      </c>
      <c r="AQ661" s="2">
        <v>23.304379419641698</v>
      </c>
      <c r="AR661" s="2">
        <v>23.649267097187799</v>
      </c>
      <c r="AS661" s="2">
        <v>23.096921384936199</v>
      </c>
      <c r="AT661" s="2">
        <v>23.091022370501999</v>
      </c>
      <c r="AU661" s="2">
        <v>23.2884504715826</v>
      </c>
      <c r="AV661" s="2">
        <v>23.299355485001598</v>
      </c>
      <c r="AW661" s="2">
        <v>23.7342503686389</v>
      </c>
      <c r="AX661" s="2">
        <v>23.368898196308301</v>
      </c>
      <c r="AY661" s="2">
        <v>23.108791950443401</v>
      </c>
      <c r="AZ661" s="2">
        <v>23.359380000482901</v>
      </c>
      <c r="BA661" s="2">
        <v>22.8883113036153</v>
      </c>
      <c r="BB661" s="2">
        <v>23.3558528010117</v>
      </c>
      <c r="BC661" s="2">
        <v>23.540676694442499</v>
      </c>
      <c r="BD661" s="2">
        <v>23.182133921667301</v>
      </c>
      <c r="BE661" s="2">
        <v>23.6383510648105</v>
      </c>
      <c r="BF661" s="2">
        <v>23.713569506933499</v>
      </c>
      <c r="BG661" s="2">
        <v>23.247242483332101</v>
      </c>
      <c r="BH661" s="2">
        <v>23.1887869734704</v>
      </c>
      <c r="BI661" s="2">
        <v>23.331772894491799</v>
      </c>
      <c r="BJ661" s="2">
        <v>23.346346068373698</v>
      </c>
      <c r="BK661" s="2">
        <v>23.197426186074502</v>
      </c>
      <c r="BL661" s="2">
        <v>23.392913359444002</v>
      </c>
      <c r="BM661" s="2">
        <v>23.702017659861099</v>
      </c>
      <c r="BN661" s="2">
        <v>23.165613983246502</v>
      </c>
      <c r="BO661" s="2">
        <v>23.914206799940501</v>
      </c>
      <c r="BP661" s="2">
        <v>23.2103000110422</v>
      </c>
      <c r="BQ661" s="2">
        <v>23.161593834602499</v>
      </c>
      <c r="BR661" s="2">
        <v>23.573699491515899</v>
      </c>
      <c r="BS661" s="2">
        <v>23.4859096810127</v>
      </c>
      <c r="BT661" s="2">
        <v>23.4116932092196</v>
      </c>
      <c r="BU661" s="2">
        <v>23.148215719943</v>
      </c>
      <c r="BV661" s="2">
        <v>23.740320217712899</v>
      </c>
      <c r="BW661" s="2">
        <v>23.188124337915099</v>
      </c>
      <c r="BX661" s="2">
        <v>23.2036138720723</v>
      </c>
      <c r="BY661" s="2">
        <v>22.378296470144502</v>
      </c>
      <c r="BZ661" s="2">
        <v>23.193345118239002</v>
      </c>
      <c r="CA661" s="2">
        <v>23.4082380905568</v>
      </c>
      <c r="CB661" s="2">
        <v>22.986901403248901</v>
      </c>
      <c r="CC661" s="2">
        <v>23.210505814448101</v>
      </c>
      <c r="CD661" s="2">
        <v>23.971046065526401</v>
      </c>
      <c r="CE661" s="2">
        <v>23.090695246186399</v>
      </c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</row>
    <row r="662" spans="1:97">
      <c r="A662" s="2" t="s">
        <v>6449</v>
      </c>
      <c r="B662" s="2">
        <v>158.11743000000001</v>
      </c>
      <c r="C662" s="2">
        <v>3.8410000000000002</v>
      </c>
      <c r="D662" s="2" t="s">
        <v>84</v>
      </c>
      <c r="E662" s="2" t="s">
        <v>6450</v>
      </c>
      <c r="F662" s="2" t="s">
        <v>6451</v>
      </c>
      <c r="G662" s="2">
        <v>8766</v>
      </c>
      <c r="H662" s="3" t="str">
        <f>HYPERLINK("https://cloud.oebiotech.com/#/lm/network/8766", "https://cloud.oebiotech.com/#/lm/network/8766")</f>
        <v>https://cloud.oebiotech.com/#/lm/network/8766</v>
      </c>
      <c r="I662" s="2"/>
      <c r="J662" s="2"/>
      <c r="K662" s="2" t="s">
        <v>6452</v>
      </c>
      <c r="L662" s="2">
        <v>54707515</v>
      </c>
      <c r="M662" s="2"/>
      <c r="N662" s="2"/>
      <c r="O662" s="2"/>
      <c r="P662" s="2">
        <v>38839</v>
      </c>
      <c r="Q662" s="2"/>
      <c r="R662" s="2"/>
      <c r="S662" s="2"/>
      <c r="T662" s="2" t="s">
        <v>6453</v>
      </c>
      <c r="U662" s="2" t="s">
        <v>6454</v>
      </c>
      <c r="V662" s="2" t="s">
        <v>95</v>
      </c>
      <c r="W662" s="2" t="s">
        <v>96</v>
      </c>
      <c r="X662" s="2" t="s">
        <v>315</v>
      </c>
      <c r="Y662" s="2" t="s">
        <v>98</v>
      </c>
      <c r="Z662" s="2" t="s">
        <v>99</v>
      </c>
      <c r="AA662" s="2" t="s">
        <v>316</v>
      </c>
      <c r="AB662" s="2" t="s">
        <v>3086</v>
      </c>
      <c r="AC662" s="2">
        <v>55.42</v>
      </c>
      <c r="AD662" s="2">
        <v>97.98</v>
      </c>
      <c r="AE662" s="2">
        <v>0</v>
      </c>
      <c r="AF662" s="2" t="s">
        <v>5614</v>
      </c>
      <c r="AG662" s="2" t="s">
        <v>103</v>
      </c>
      <c r="AH662" s="2" t="s">
        <v>6455</v>
      </c>
      <c r="AI662" s="2">
        <v>1.26</v>
      </c>
      <c r="AJ662" s="2">
        <v>21.451555995079602</v>
      </c>
      <c r="AK662" s="2">
        <v>21.272388723030399</v>
      </c>
      <c r="AL662" s="2">
        <v>21.311596561245501</v>
      </c>
      <c r="AM662" s="2">
        <v>21.4548920670751</v>
      </c>
      <c r="AN662" s="2">
        <v>21.499108750440001</v>
      </c>
      <c r="AO662" s="2">
        <v>21.472119747347602</v>
      </c>
      <c r="AP662" s="2">
        <v>21.2757083331419</v>
      </c>
      <c r="AQ662" s="2">
        <v>21.4154908499812</v>
      </c>
      <c r="AR662" s="2">
        <v>20.580531281376601</v>
      </c>
      <c r="AS662" s="2">
        <v>20.920660624744698</v>
      </c>
      <c r="AT662" s="2">
        <v>21.6059975463298</v>
      </c>
      <c r="AU662" s="2">
        <v>20.795167010977</v>
      </c>
      <c r="AV662" s="2">
        <v>21.4374990405482</v>
      </c>
      <c r="AW662" s="2">
        <v>21.550197484580401</v>
      </c>
      <c r="AX662" s="2">
        <v>20.620849907433598</v>
      </c>
      <c r="AY662" s="2">
        <v>20.705517959680598</v>
      </c>
      <c r="AZ662" s="2">
        <v>21.064381501152202</v>
      </c>
      <c r="BA662" s="2">
        <v>20.522876504297301</v>
      </c>
      <c r="BB662" s="2">
        <v>20.507289637975202</v>
      </c>
      <c r="BC662" s="2">
        <v>21.212690391747699</v>
      </c>
      <c r="BD662" s="2">
        <v>20.6504796839059</v>
      </c>
      <c r="BE662" s="2">
        <v>21.567355574658599</v>
      </c>
      <c r="BF662" s="2">
        <v>20.7303529771408</v>
      </c>
      <c r="BG662" s="2">
        <v>21.584779623417798</v>
      </c>
      <c r="BH662" s="2">
        <v>20.326850872181002</v>
      </c>
      <c r="BI662" s="2">
        <v>21.039114927080899</v>
      </c>
      <c r="BJ662" s="2">
        <v>21.4774980592505</v>
      </c>
      <c r="BK662" s="2">
        <v>21.495402211056199</v>
      </c>
      <c r="BL662" s="2">
        <v>21.0082798268967</v>
      </c>
      <c r="BM662" s="2">
        <v>21.206359798542699</v>
      </c>
      <c r="BN662" s="2">
        <v>21.469100031241201</v>
      </c>
      <c r="BO662" s="2">
        <v>21.343545027768101</v>
      </c>
      <c r="BP662" s="2">
        <v>20.513467883461001</v>
      </c>
      <c r="BQ662" s="2">
        <v>22.149544097868201</v>
      </c>
      <c r="BR662" s="2">
        <v>20.765320241748299</v>
      </c>
      <c r="BS662" s="2">
        <v>20.833471701758999</v>
      </c>
      <c r="BT662" s="2">
        <v>21.756642225113801</v>
      </c>
      <c r="BU662" s="2">
        <v>21.3283404653601</v>
      </c>
      <c r="BV662" s="2">
        <v>21.286689788892101</v>
      </c>
      <c r="BW662" s="2">
        <v>20.317814464535601</v>
      </c>
      <c r="BX662" s="2">
        <v>19.8881254675874</v>
      </c>
      <c r="BY662" s="2">
        <v>22.258345463760101</v>
      </c>
      <c r="BZ662" s="2">
        <v>19.9468585972201</v>
      </c>
      <c r="CA662" s="2">
        <v>20.428017113146201</v>
      </c>
      <c r="CB662" s="2">
        <v>21.748368928600499</v>
      </c>
      <c r="CC662" s="2">
        <v>21.571414421298101</v>
      </c>
      <c r="CD662" s="2">
        <v>21.757884770878501</v>
      </c>
      <c r="CE662" s="2">
        <v>21.124765699795201</v>
      </c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</row>
    <row r="663" spans="1:97">
      <c r="A663" s="2" t="s">
        <v>6456</v>
      </c>
      <c r="B663" s="2">
        <v>171.05609999999999</v>
      </c>
      <c r="C663" s="2">
        <v>4.6769999999999996</v>
      </c>
      <c r="D663" s="2" t="s">
        <v>84</v>
      </c>
      <c r="E663" s="2" t="s">
        <v>6457</v>
      </c>
      <c r="F663" s="2" t="s">
        <v>6458</v>
      </c>
      <c r="G663" s="2">
        <v>62000</v>
      </c>
      <c r="H663" s="3" t="str">
        <f>HYPERLINK("https://cloud.oebiotech.com/#/lm/network/62000", "https://cloud.oebiotech.com/#/lm/network/62000")</f>
        <v>https://cloud.oebiotech.com/#/lm/network/62000</v>
      </c>
      <c r="I663" s="2" t="s">
        <v>6459</v>
      </c>
      <c r="J663" s="2">
        <v>93294</v>
      </c>
      <c r="K663" s="2"/>
      <c r="L663" s="2">
        <v>11658413</v>
      </c>
      <c r="M663" s="2"/>
      <c r="N663" s="2"/>
      <c r="O663" s="2"/>
      <c r="P663" s="2">
        <v>169629</v>
      </c>
      <c r="Q663" s="2"/>
      <c r="R663" s="2"/>
      <c r="S663" s="2" t="s">
        <v>6460</v>
      </c>
      <c r="T663" s="2" t="s">
        <v>6461</v>
      </c>
      <c r="U663" s="2" t="s">
        <v>6462</v>
      </c>
      <c r="V663" s="2" t="s">
        <v>553</v>
      </c>
      <c r="W663" s="2" t="s">
        <v>933</v>
      </c>
      <c r="X663" s="2" t="s">
        <v>2286</v>
      </c>
      <c r="Y663" s="2" t="s">
        <v>556</v>
      </c>
      <c r="Z663" s="2" t="s">
        <v>935</v>
      </c>
      <c r="AA663" s="2" t="s">
        <v>2287</v>
      </c>
      <c r="AB663" s="2" t="s">
        <v>3086</v>
      </c>
      <c r="AC663" s="2">
        <v>55.42</v>
      </c>
      <c r="AD663" s="2">
        <v>96.7</v>
      </c>
      <c r="AE663" s="2">
        <v>0</v>
      </c>
      <c r="AF663" s="2" t="s">
        <v>5614</v>
      </c>
      <c r="AG663" s="2" t="s">
        <v>1088</v>
      </c>
      <c r="AH663" s="2" t="s">
        <v>6463</v>
      </c>
      <c r="AI663" s="2">
        <v>-1.17</v>
      </c>
      <c r="AJ663" s="2">
        <v>21.417083403360099</v>
      </c>
      <c r="AK663" s="2">
        <v>20.818238466096901</v>
      </c>
      <c r="AL663" s="2">
        <v>22.205641867178102</v>
      </c>
      <c r="AM663" s="2">
        <v>22.2085567454697</v>
      </c>
      <c r="AN663" s="2">
        <v>21.967810024432001</v>
      </c>
      <c r="AO663" s="2">
        <v>21.919510486383398</v>
      </c>
      <c r="AP663" s="2">
        <v>21.729312590336399</v>
      </c>
      <c r="AQ663" s="2">
        <v>21.522666219714001</v>
      </c>
      <c r="AR663" s="2">
        <v>19.8826171848049</v>
      </c>
      <c r="AS663" s="2">
        <v>9.6233145402724691</v>
      </c>
      <c r="AT663" s="2">
        <v>21.252697316711501</v>
      </c>
      <c r="AU663" s="2">
        <v>21.933968666247999</v>
      </c>
      <c r="AV663" s="2">
        <v>21.340655427984899</v>
      </c>
      <c r="AW663" s="2">
        <v>21.641494468649402</v>
      </c>
      <c r="AX663" s="2">
        <v>21.515118047171399</v>
      </c>
      <c r="AY663" s="2">
        <v>22.125752256072001</v>
      </c>
      <c r="AZ663" s="2">
        <v>21.9492659480043</v>
      </c>
      <c r="BA663" s="2">
        <v>21.727580683792102</v>
      </c>
      <c r="BB663" s="2">
        <v>21.821728982671399</v>
      </c>
      <c r="BC663" s="2">
        <v>21.5908300981114</v>
      </c>
      <c r="BD663" s="2">
        <v>21.803124749946502</v>
      </c>
      <c r="BE663" s="2">
        <v>22.5025571260596</v>
      </c>
      <c r="BF663" s="2">
        <v>22.2937178117012</v>
      </c>
      <c r="BG663" s="2">
        <v>21.962910510536201</v>
      </c>
      <c r="BH663" s="2">
        <v>22.195022534019898</v>
      </c>
      <c r="BI663" s="2">
        <v>22.062355211844899</v>
      </c>
      <c r="BJ663" s="2">
        <v>21.4010100124645</v>
      </c>
      <c r="BK663" s="2">
        <v>22.120339957538999</v>
      </c>
      <c r="BL663" s="2">
        <v>21.558953280683198</v>
      </c>
      <c r="BM663" s="2">
        <v>21.189598909042999</v>
      </c>
      <c r="BN663" s="2">
        <v>22.302309765076199</v>
      </c>
      <c r="BO663" s="2">
        <v>22.022263186208502</v>
      </c>
      <c r="BP663" s="2">
        <v>21.910219663553899</v>
      </c>
      <c r="BQ663" s="2">
        <v>22.065103309921501</v>
      </c>
      <c r="BR663" s="2">
        <v>21.700406222940401</v>
      </c>
      <c r="BS663" s="2">
        <v>22.207449747358801</v>
      </c>
      <c r="BT663" s="2">
        <v>21.6145246693922</v>
      </c>
      <c r="BU663" s="2">
        <v>21.7896114139498</v>
      </c>
      <c r="BV663" s="2">
        <v>20.961214008918802</v>
      </c>
      <c r="BW663" s="2">
        <v>20.745213118410899</v>
      </c>
      <c r="BX663" s="2">
        <v>21.9295686796975</v>
      </c>
      <c r="BY663" s="2">
        <v>22.4720895075566</v>
      </c>
      <c r="BZ663" s="2">
        <v>21.664019634636801</v>
      </c>
      <c r="CA663" s="2">
        <v>20.999327941669701</v>
      </c>
      <c r="CB663" s="2">
        <v>20.685450391297501</v>
      </c>
      <c r="CC663" s="2">
        <v>21.148977225574701</v>
      </c>
      <c r="CD663" s="2">
        <v>21.481463571293499</v>
      </c>
      <c r="CE663" s="2">
        <v>21.694876610243401</v>
      </c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</row>
    <row r="664" spans="1:97">
      <c r="A664" s="2" t="s">
        <v>6464</v>
      </c>
      <c r="B664" s="2">
        <v>105.01900999999999</v>
      </c>
      <c r="C664" s="2">
        <v>0.75800000000000001</v>
      </c>
      <c r="D664" s="2" t="s">
        <v>146</v>
      </c>
      <c r="E664" s="2" t="s">
        <v>6465</v>
      </c>
      <c r="F664" s="2" t="s">
        <v>6466</v>
      </c>
      <c r="G664" s="2">
        <v>211554</v>
      </c>
      <c r="H664" s="3" t="str">
        <f>HYPERLINK("https://cloud.oebiotech.com/#/lm/network/211554", "https://cloud.oebiotech.com/#/lm/network/211554")</f>
        <v>https://cloud.oebiotech.com/#/lm/network/211554</v>
      </c>
      <c r="I664" s="2" t="s">
        <v>6467</v>
      </c>
      <c r="J664" s="2"/>
      <c r="K664" s="2"/>
      <c r="L664" s="2">
        <v>53673980</v>
      </c>
      <c r="M664" s="2"/>
      <c r="N664" s="2"/>
      <c r="O664" s="2"/>
      <c r="P664" s="2"/>
      <c r="Q664" s="2"/>
      <c r="R664" s="2"/>
      <c r="S664" s="2"/>
      <c r="T664" s="2" t="s">
        <v>6468</v>
      </c>
      <c r="U664" s="2" t="s">
        <v>6469</v>
      </c>
      <c r="V664" s="2" t="s">
        <v>338</v>
      </c>
      <c r="W664" s="2" t="s">
        <v>339</v>
      </c>
      <c r="X664" s="2" t="s">
        <v>1663</v>
      </c>
      <c r="Y664" s="2" t="s">
        <v>341</v>
      </c>
      <c r="Z664" s="2" t="s">
        <v>341</v>
      </c>
      <c r="AA664" s="2" t="s">
        <v>1664</v>
      </c>
      <c r="AB664" s="2" t="s">
        <v>3086</v>
      </c>
      <c r="AC664" s="2">
        <v>55.41</v>
      </c>
      <c r="AD664" s="2">
        <v>98</v>
      </c>
      <c r="AE664" s="2">
        <v>0</v>
      </c>
      <c r="AF664" s="2" t="s">
        <v>5614</v>
      </c>
      <c r="AG664" s="2" t="s">
        <v>194</v>
      </c>
      <c r="AH664" s="2" t="s">
        <v>6470</v>
      </c>
      <c r="AI664" s="2">
        <v>3.05</v>
      </c>
      <c r="AJ664" s="2">
        <v>24.339968814648302</v>
      </c>
      <c r="AK664" s="2">
        <v>24.437077958636699</v>
      </c>
      <c r="AL664" s="2">
        <v>24.532706146531101</v>
      </c>
      <c r="AM664" s="2">
        <v>23.867568680599099</v>
      </c>
      <c r="AN664" s="2">
        <v>24.423741968025499</v>
      </c>
      <c r="AO664" s="2">
        <v>24.8413535677319</v>
      </c>
      <c r="AP664" s="2">
        <v>24.722935840526802</v>
      </c>
      <c r="AQ664" s="2">
        <v>24.4774977893555</v>
      </c>
      <c r="AR664" s="2">
        <v>24.057984388393599</v>
      </c>
      <c r="AS664" s="2">
        <v>23.518873906828102</v>
      </c>
      <c r="AT664" s="2">
        <v>23.941055199842801</v>
      </c>
      <c r="AU664" s="2">
        <v>23.800337454722001</v>
      </c>
      <c r="AV664" s="2">
        <v>24.393228999843199</v>
      </c>
      <c r="AW664" s="2">
        <v>24.079311314583101</v>
      </c>
      <c r="AX664" s="2">
        <v>24.239673387266599</v>
      </c>
      <c r="AY664" s="2">
        <v>24.239636015915799</v>
      </c>
      <c r="AZ664" s="2">
        <v>24.4479774376343</v>
      </c>
      <c r="BA664" s="2">
        <v>23.692392353302701</v>
      </c>
      <c r="BB664" s="2">
        <v>24.2896891968857</v>
      </c>
      <c r="BC664" s="2">
        <v>24.075321214521299</v>
      </c>
      <c r="BD664" s="2">
        <v>24.4344119775838</v>
      </c>
      <c r="BE664" s="2">
        <v>23.749657539566702</v>
      </c>
      <c r="BF664" s="2">
        <v>24.1498592032689</v>
      </c>
      <c r="BG664" s="2">
        <v>24.789604170918</v>
      </c>
      <c r="BH664" s="2">
        <v>24.1757961166333</v>
      </c>
      <c r="BI664" s="2">
        <v>23.487709851090699</v>
      </c>
      <c r="BJ664" s="2">
        <v>24.159807219836601</v>
      </c>
      <c r="BK664" s="2">
        <v>23.993491655160302</v>
      </c>
      <c r="BL664" s="2">
        <v>24.285204279535499</v>
      </c>
      <c r="BM664" s="2">
        <v>24.540882521518402</v>
      </c>
      <c r="BN664" s="2">
        <v>24.670287771892699</v>
      </c>
      <c r="BO664" s="2">
        <v>23.991565321985998</v>
      </c>
      <c r="BP664" s="2">
        <v>24.779180468389701</v>
      </c>
      <c r="BQ664" s="2">
        <v>23.804618619336399</v>
      </c>
      <c r="BR664" s="2">
        <v>24.161066210829102</v>
      </c>
      <c r="BS664" s="2">
        <v>24.368307564458501</v>
      </c>
      <c r="BT664" s="2">
        <v>24.278458935812601</v>
      </c>
      <c r="BU664" s="2">
        <v>24.1122366801923</v>
      </c>
      <c r="BV664" s="2">
        <v>24.817243705548201</v>
      </c>
      <c r="BW664" s="2">
        <v>23.8535897652663</v>
      </c>
      <c r="BX664" s="2">
        <v>24.1227788386818</v>
      </c>
      <c r="BY664" s="2">
        <v>25.007262036620599</v>
      </c>
      <c r="BZ664" s="2">
        <v>24.013649834999601</v>
      </c>
      <c r="CA664" s="2">
        <v>24.479524099558201</v>
      </c>
      <c r="CB664" s="2">
        <v>23.901391723611599</v>
      </c>
      <c r="CC664" s="2">
        <v>23.226365444907401</v>
      </c>
      <c r="CD664" s="2">
        <v>24.798642478013601</v>
      </c>
      <c r="CE664" s="2">
        <v>23.4781210548385</v>
      </c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</row>
    <row r="665" spans="1:97">
      <c r="A665" s="2" t="s">
        <v>6471</v>
      </c>
      <c r="B665" s="2">
        <v>216.19560999999999</v>
      </c>
      <c r="C665" s="2">
        <v>6.4619999999999997</v>
      </c>
      <c r="D665" s="2" t="s">
        <v>84</v>
      </c>
      <c r="E665" s="2" t="s">
        <v>6472</v>
      </c>
      <c r="F665" s="2" t="s">
        <v>6473</v>
      </c>
      <c r="G665" s="2">
        <v>2456</v>
      </c>
      <c r="H665" s="3" t="str">
        <f>HYPERLINK("https://cloud.oebiotech.com/#/lm/network/2456", "https://cloud.oebiotech.com/#/lm/network/2456")</f>
        <v>https://cloud.oebiotech.com/#/lm/network/2456</v>
      </c>
      <c r="I665" s="2"/>
      <c r="J665" s="2">
        <v>35924</v>
      </c>
      <c r="K665" s="2" t="s">
        <v>6474</v>
      </c>
      <c r="L665" s="2">
        <v>69661</v>
      </c>
      <c r="M665" s="2"/>
      <c r="N665" s="2"/>
      <c r="O665" s="2"/>
      <c r="P665" s="2">
        <v>42025</v>
      </c>
      <c r="Q665" s="2"/>
      <c r="R665" s="2"/>
      <c r="S665" s="2"/>
      <c r="T665" s="2" t="s">
        <v>6475</v>
      </c>
      <c r="U665" s="2" t="s">
        <v>6476</v>
      </c>
      <c r="V665" s="2" t="s">
        <v>95</v>
      </c>
      <c r="W665" s="2" t="s">
        <v>96</v>
      </c>
      <c r="X665" s="2" t="s">
        <v>141</v>
      </c>
      <c r="Y665" s="2" t="s">
        <v>98</v>
      </c>
      <c r="Z665" s="2" t="s">
        <v>99</v>
      </c>
      <c r="AA665" s="2" t="s">
        <v>142</v>
      </c>
      <c r="AB665" s="2" t="s">
        <v>3086</v>
      </c>
      <c r="AC665" s="2">
        <v>55.41</v>
      </c>
      <c r="AD665" s="2">
        <v>92.26</v>
      </c>
      <c r="AE665" s="2">
        <v>0</v>
      </c>
      <c r="AF665" s="2" t="s">
        <v>5614</v>
      </c>
      <c r="AG665" s="2" t="s">
        <v>103</v>
      </c>
      <c r="AH665" s="2" t="s">
        <v>6477</v>
      </c>
      <c r="AI665" s="2">
        <v>0.93</v>
      </c>
      <c r="AJ665" s="2">
        <v>19.983538021500401</v>
      </c>
      <c r="AK665" s="2">
        <v>20.268212877195101</v>
      </c>
      <c r="AL665" s="2">
        <v>20.1004720760812</v>
      </c>
      <c r="AM665" s="2">
        <v>20.189889694071699</v>
      </c>
      <c r="AN665" s="2">
        <v>20.270786104276201</v>
      </c>
      <c r="AO665" s="2">
        <v>20.081190189221498</v>
      </c>
      <c r="AP665" s="2">
        <v>20.271415859227101</v>
      </c>
      <c r="AQ665" s="2">
        <v>20.211123993477599</v>
      </c>
      <c r="AR665" s="2">
        <v>20.6112953871502</v>
      </c>
      <c r="AS665" s="2">
        <v>19.7929003639623</v>
      </c>
      <c r="AT665" s="2">
        <v>19.718636234964599</v>
      </c>
      <c r="AU665" s="2">
        <v>19.481920393389501</v>
      </c>
      <c r="AV665" s="2">
        <v>19.373807067103002</v>
      </c>
      <c r="AW665" s="2">
        <v>20.014002239213799</v>
      </c>
      <c r="AX665" s="2">
        <v>19.574759313183101</v>
      </c>
      <c r="AY665" s="2">
        <v>19.422156114688701</v>
      </c>
      <c r="AZ665" s="2">
        <v>20.006356255815302</v>
      </c>
      <c r="BA665" s="2">
        <v>18.949077030741002</v>
      </c>
      <c r="BB665" s="2">
        <v>20.106251649395599</v>
      </c>
      <c r="BC665" s="2">
        <v>19.5441071554778</v>
      </c>
      <c r="BD665" s="2">
        <v>20.054327933379898</v>
      </c>
      <c r="BE665" s="2">
        <v>19.598026758296601</v>
      </c>
      <c r="BF665" s="2">
        <v>19.947725291757202</v>
      </c>
      <c r="BG665" s="2">
        <v>19.362811452511899</v>
      </c>
      <c r="BH665" s="2">
        <v>19.4585535019711</v>
      </c>
      <c r="BI665" s="2">
        <v>20.039888260946</v>
      </c>
      <c r="BJ665" s="2">
        <v>19.831805029859801</v>
      </c>
      <c r="BK665" s="2">
        <v>19.172403432924199</v>
      </c>
      <c r="BL665" s="2">
        <v>19.1428142922421</v>
      </c>
      <c r="BM665" s="2">
        <v>19.0260026701038</v>
      </c>
      <c r="BN665" s="2">
        <v>19.472697164821</v>
      </c>
      <c r="BO665" s="2">
        <v>20.724211136581399</v>
      </c>
      <c r="BP665" s="2">
        <v>18.9504937881538</v>
      </c>
      <c r="BQ665" s="2">
        <v>19.523430269361999</v>
      </c>
      <c r="BR665" s="2">
        <v>19.5081211619374</v>
      </c>
      <c r="BS665" s="2">
        <v>19.435112968505599</v>
      </c>
      <c r="BT665" s="2">
        <v>19.677711023180301</v>
      </c>
      <c r="BU665" s="2">
        <v>19.3434630400412</v>
      </c>
      <c r="BV665" s="2">
        <v>19.544351221974399</v>
      </c>
      <c r="BW665" s="2">
        <v>19.193891815746898</v>
      </c>
      <c r="BX665" s="2">
        <v>19.329932906817</v>
      </c>
      <c r="BY665" s="2">
        <v>19.257121742063202</v>
      </c>
      <c r="BZ665" s="2">
        <v>20.647446384153699</v>
      </c>
      <c r="CA665" s="2">
        <v>19.497305114484899</v>
      </c>
      <c r="CB665" s="2">
        <v>19.765006383665799</v>
      </c>
      <c r="CC665" s="2">
        <v>19.158709576083801</v>
      </c>
      <c r="CD665" s="2">
        <v>19.472099443735001</v>
      </c>
      <c r="CE665" s="2">
        <v>19.254009318475301</v>
      </c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</row>
    <row r="666" spans="1:97">
      <c r="A666" s="2" t="s">
        <v>6478</v>
      </c>
      <c r="B666" s="2">
        <v>371.21964000000003</v>
      </c>
      <c r="C666" s="2">
        <v>12.709</v>
      </c>
      <c r="D666" s="2" t="s">
        <v>146</v>
      </c>
      <c r="E666" s="2" t="s">
        <v>6479</v>
      </c>
      <c r="F666" s="2" t="s">
        <v>6480</v>
      </c>
      <c r="G666" s="2">
        <v>1485</v>
      </c>
      <c r="H666" s="3" t="str">
        <f>HYPERLINK("https://cloud.oebiotech.com/#/lm/network/1485", "https://cloud.oebiotech.com/#/lm/network/1485")</f>
        <v>https://cloud.oebiotech.com/#/lm/network/1485</v>
      </c>
      <c r="I666" s="2"/>
      <c r="J666" s="2"/>
      <c r="K666" s="2" t="s">
        <v>6481</v>
      </c>
      <c r="L666" s="2">
        <v>21777807</v>
      </c>
      <c r="M666" s="2"/>
      <c r="N666" s="2"/>
      <c r="O666" s="2"/>
      <c r="P666" s="2"/>
      <c r="Q666" s="2"/>
      <c r="R666" s="2"/>
      <c r="S666" s="2"/>
      <c r="T666" s="2" t="s">
        <v>6482</v>
      </c>
      <c r="U666" s="2" t="s">
        <v>6483</v>
      </c>
      <c r="V666" s="2" t="s">
        <v>553</v>
      </c>
      <c r="W666" s="2" t="s">
        <v>3480</v>
      </c>
      <c r="X666" s="2" t="s">
        <v>3481</v>
      </c>
      <c r="Y666" s="2" t="s">
        <v>556</v>
      </c>
      <c r="Z666" s="2" t="s">
        <v>3482</v>
      </c>
      <c r="AA666" s="2" t="s">
        <v>3483</v>
      </c>
      <c r="AB666" s="2" t="s">
        <v>3086</v>
      </c>
      <c r="AC666" s="2">
        <v>55.39</v>
      </c>
      <c r="AD666" s="2">
        <v>96.42</v>
      </c>
      <c r="AE666" s="2">
        <v>36.43</v>
      </c>
      <c r="AF666" s="2" t="s">
        <v>6484</v>
      </c>
      <c r="AG666" s="2" t="s">
        <v>157</v>
      </c>
      <c r="AH666" s="2" t="s">
        <v>6485</v>
      </c>
      <c r="AI666" s="2">
        <v>8.6199999999999992</v>
      </c>
      <c r="AJ666" s="2">
        <v>20.5005385540051</v>
      </c>
      <c r="AK666" s="2">
        <v>20.501507332808199</v>
      </c>
      <c r="AL666" s="2">
        <v>20.2338836658354</v>
      </c>
      <c r="AM666" s="2">
        <v>20.383946313017201</v>
      </c>
      <c r="AN666" s="2">
        <v>19.8986042804429</v>
      </c>
      <c r="AO666" s="2">
        <v>19.568810915024802</v>
      </c>
      <c r="AP666" s="2">
        <v>20.4886108473051</v>
      </c>
      <c r="AQ666" s="2">
        <v>20.2613846308336</v>
      </c>
      <c r="AR666" s="2">
        <v>19.5396384707898</v>
      </c>
      <c r="AS666" s="2">
        <v>19.5267435901977</v>
      </c>
      <c r="AT666" s="2">
        <v>21.1782818006659</v>
      </c>
      <c r="AU666" s="2">
        <v>18.300023642210601</v>
      </c>
      <c r="AV666" s="2">
        <v>18.8047473305013</v>
      </c>
      <c r="AW666" s="2">
        <v>19.180819717566798</v>
      </c>
      <c r="AX666" s="2">
        <v>20.780177169105801</v>
      </c>
      <c r="AY666" s="2">
        <v>19.372036365610899</v>
      </c>
      <c r="AZ666" s="2">
        <v>18.784915923653799</v>
      </c>
      <c r="BA666" s="2">
        <v>20.018093482974301</v>
      </c>
      <c r="BB666" s="2">
        <v>20.2142478685168</v>
      </c>
      <c r="BC666" s="2">
        <v>21.777780130576598</v>
      </c>
      <c r="BD666" s="2">
        <v>18.885955846387201</v>
      </c>
      <c r="BE666" s="2">
        <v>19.673460930023801</v>
      </c>
      <c r="BF666" s="2">
        <v>20.266847617633299</v>
      </c>
      <c r="BG666" s="2">
        <v>20.3343978202881</v>
      </c>
      <c r="BH666" s="2">
        <v>20.049668932413301</v>
      </c>
      <c r="BI666" s="2">
        <v>20.317435612805301</v>
      </c>
      <c r="BJ666" s="2">
        <v>20.369376977341901</v>
      </c>
      <c r="BK666" s="2">
        <v>19.7938529971013</v>
      </c>
      <c r="BL666" s="2">
        <v>20.2774764912464</v>
      </c>
      <c r="BM666" s="2">
        <v>19.221395387312601</v>
      </c>
      <c r="BN666" s="2">
        <v>18.893678250166399</v>
      </c>
      <c r="BO666" s="2">
        <v>20.285624032970201</v>
      </c>
      <c r="BP666" s="2">
        <v>20.254731901660399</v>
      </c>
      <c r="BQ666" s="2">
        <v>19.624983889311999</v>
      </c>
      <c r="BR666" s="2">
        <v>21.2946816682859</v>
      </c>
      <c r="BS666" s="2">
        <v>19.076708752885601</v>
      </c>
      <c r="BT666" s="2">
        <v>20.253954537576</v>
      </c>
      <c r="BU666" s="2">
        <v>19.221674719434901</v>
      </c>
      <c r="BV666" s="2">
        <v>20.575302367201701</v>
      </c>
      <c r="BW666" s="2">
        <v>19.9255519190956</v>
      </c>
      <c r="BX666" s="2">
        <v>19.678275930902299</v>
      </c>
      <c r="BY666" s="2">
        <v>20.428149407802302</v>
      </c>
      <c r="BZ666" s="2">
        <v>20.292063157346998</v>
      </c>
      <c r="CA666" s="2">
        <v>19.319638629297401</v>
      </c>
      <c r="CB666" s="2">
        <v>21.491760699093199</v>
      </c>
      <c r="CC666" s="2">
        <v>20.736311408230801</v>
      </c>
      <c r="CD666" s="2">
        <v>20.0750209224408</v>
      </c>
      <c r="CE666" s="2">
        <v>21.636101066645999</v>
      </c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</row>
    <row r="667" spans="1:97">
      <c r="A667" s="2" t="s">
        <v>6486</v>
      </c>
      <c r="B667" s="2">
        <v>299.13859000000002</v>
      </c>
      <c r="C667" s="2">
        <v>6.7009999999999996</v>
      </c>
      <c r="D667" s="2" t="s">
        <v>84</v>
      </c>
      <c r="E667" s="2" t="s">
        <v>6487</v>
      </c>
      <c r="F667" s="2" t="s">
        <v>6488</v>
      </c>
      <c r="G667" s="2">
        <v>207814</v>
      </c>
      <c r="H667" s="3" t="str">
        <f>HYPERLINK("https://cloud.oebiotech.com/#/lm/network/207814", "https://cloud.oebiotech.com/#/lm/network/207814")</f>
        <v>https://cloud.oebiotech.com/#/lm/network/207814</v>
      </c>
      <c r="I667" s="2" t="s">
        <v>6489</v>
      </c>
      <c r="J667" s="2">
        <v>44065</v>
      </c>
      <c r="K667" s="2"/>
      <c r="L667" s="2">
        <v>3718</v>
      </c>
      <c r="M667" s="2"/>
      <c r="N667" s="2"/>
      <c r="O667" s="2"/>
      <c r="P667" s="2">
        <v>76162</v>
      </c>
      <c r="Q667" s="2"/>
      <c r="R667" s="2"/>
      <c r="S667" s="2" t="s">
        <v>6490</v>
      </c>
      <c r="T667" s="2" t="s">
        <v>6491</v>
      </c>
      <c r="U667" s="2" t="s">
        <v>6492</v>
      </c>
      <c r="V667" s="2" t="s">
        <v>845</v>
      </c>
      <c r="W667" s="2" t="s">
        <v>4232</v>
      </c>
      <c r="X667" s="2" t="s">
        <v>375</v>
      </c>
      <c r="Y667" s="2" t="s">
        <v>847</v>
      </c>
      <c r="Z667" s="2" t="s">
        <v>4233</v>
      </c>
      <c r="AA667" s="2"/>
      <c r="AB667" s="2" t="s">
        <v>3086</v>
      </c>
      <c r="AC667" s="2">
        <v>55.36</v>
      </c>
      <c r="AD667" s="2">
        <v>89.15</v>
      </c>
      <c r="AE667" s="2">
        <v>0</v>
      </c>
      <c r="AF667" s="2" t="s">
        <v>5614</v>
      </c>
      <c r="AG667" s="2" t="s">
        <v>132</v>
      </c>
      <c r="AH667" s="2" t="s">
        <v>6493</v>
      </c>
      <c r="AI667" s="2">
        <v>1.34</v>
      </c>
      <c r="AJ667" s="2">
        <v>17.481397400965701</v>
      </c>
      <c r="AK667" s="2">
        <v>17.2623346566001</v>
      </c>
      <c r="AL667" s="2">
        <v>17.6871278903308</v>
      </c>
      <c r="AM667" s="2">
        <v>17.805036140793</v>
      </c>
      <c r="AN667" s="2">
        <v>17.717548312869699</v>
      </c>
      <c r="AO667" s="2">
        <v>18.531372283715999</v>
      </c>
      <c r="AP667" s="2">
        <v>17.9355133856116</v>
      </c>
      <c r="AQ667" s="2">
        <v>17.8168430406092</v>
      </c>
      <c r="AR667" s="2">
        <v>15.936286193205699</v>
      </c>
      <c r="AS667" s="2">
        <v>17.070376224391801</v>
      </c>
      <c r="AT667" s="2">
        <v>17.946431944296702</v>
      </c>
      <c r="AU667" s="2">
        <v>14.939793141900299</v>
      </c>
      <c r="AV667" s="2">
        <v>16.756725183014801</v>
      </c>
      <c r="AW667" s="2">
        <v>17.439946997953101</v>
      </c>
      <c r="AX667" s="2">
        <v>17.9048703126888</v>
      </c>
      <c r="AY667" s="2">
        <v>18.2115775943229</v>
      </c>
      <c r="AZ667" s="2">
        <v>15.5186079785493</v>
      </c>
      <c r="BA667" s="2">
        <v>16.7679701329814</v>
      </c>
      <c r="BB667" s="2">
        <v>17.7781841235672</v>
      </c>
      <c r="BC667" s="2">
        <v>19.823071640031898</v>
      </c>
      <c r="BD667" s="2">
        <v>16.193575410432398</v>
      </c>
      <c r="BE667" s="2">
        <v>19.585049966152901</v>
      </c>
      <c r="BF667" s="2">
        <v>16.869580710685099</v>
      </c>
      <c r="BG667" s="2">
        <v>18.5960726358093</v>
      </c>
      <c r="BH667" s="2">
        <v>17.7138348036876</v>
      </c>
      <c r="BI667" s="2">
        <v>16.750527082952399</v>
      </c>
      <c r="BJ667" s="2">
        <v>18.585146524179098</v>
      </c>
      <c r="BK667" s="2">
        <v>16.9270162126261</v>
      </c>
      <c r="BL667" s="2">
        <v>16.837866884384098</v>
      </c>
      <c r="BM667" s="2">
        <v>15.7725800540485</v>
      </c>
      <c r="BN667" s="2">
        <v>18.122887330890499</v>
      </c>
      <c r="BO667" s="2">
        <v>18.1441545916717</v>
      </c>
      <c r="BP667" s="2">
        <v>17.774763449378401</v>
      </c>
      <c r="BQ667" s="2">
        <v>17.054224644883799</v>
      </c>
      <c r="BR667" s="2">
        <v>18.480652835968002</v>
      </c>
      <c r="BS667" s="2">
        <v>17.3691629661643</v>
      </c>
      <c r="BT667" s="2">
        <v>17.180654924437899</v>
      </c>
      <c r="BU667" s="2">
        <v>18.152266519297601</v>
      </c>
      <c r="BV667" s="2">
        <v>18.589233523109101</v>
      </c>
      <c r="BW667" s="2">
        <v>17.266044308180501</v>
      </c>
      <c r="BX667" s="2">
        <v>15.8190279580874</v>
      </c>
      <c r="BY667" s="2">
        <v>18.956300684018899</v>
      </c>
      <c r="BZ667" s="2">
        <v>16.0575133108666</v>
      </c>
      <c r="CA667" s="2">
        <v>17.299063365929801</v>
      </c>
      <c r="CB667" s="2">
        <v>18.140921264079999</v>
      </c>
      <c r="CC667" s="2">
        <v>17.137557456501099</v>
      </c>
      <c r="CD667" s="2">
        <v>18.429211589491601</v>
      </c>
      <c r="CE667" s="2">
        <v>17.611486447538599</v>
      </c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</row>
    <row r="668" spans="1:97">
      <c r="A668" s="2" t="s">
        <v>6494</v>
      </c>
      <c r="B668" s="2">
        <v>134.02690999999999</v>
      </c>
      <c r="C668" s="2">
        <v>0.76</v>
      </c>
      <c r="D668" s="2" t="s">
        <v>84</v>
      </c>
      <c r="E668" s="2" t="s">
        <v>6495</v>
      </c>
      <c r="F668" s="2" t="s">
        <v>6496</v>
      </c>
      <c r="G668" s="2">
        <v>83443</v>
      </c>
      <c r="H668" s="3" t="str">
        <f>HYPERLINK("https://cloud.oebiotech.com/#/lm/network/83443", "https://cloud.oebiotech.com/#/lm/network/83443")</f>
        <v>https://cloud.oebiotech.com/#/lm/network/83443</v>
      </c>
      <c r="I668" s="2" t="s">
        <v>6497</v>
      </c>
      <c r="J668" s="2">
        <v>315319</v>
      </c>
      <c r="K668" s="2"/>
      <c r="L668" s="2">
        <v>93176</v>
      </c>
      <c r="M668" s="2"/>
      <c r="N668" s="2"/>
      <c r="O668" s="2"/>
      <c r="P668" s="2">
        <v>45171</v>
      </c>
      <c r="Q668" s="2"/>
      <c r="R668" s="2"/>
      <c r="S668" s="2" t="s">
        <v>6498</v>
      </c>
      <c r="T668" s="2" t="s">
        <v>6499</v>
      </c>
      <c r="U668" s="2" t="s">
        <v>6500</v>
      </c>
      <c r="V668" s="2" t="s">
        <v>115</v>
      </c>
      <c r="W668" s="2" t="s">
        <v>116</v>
      </c>
      <c r="X668" s="2" t="s">
        <v>117</v>
      </c>
      <c r="Y668" s="2" t="s">
        <v>118</v>
      </c>
      <c r="Z668" s="2" t="s">
        <v>119</v>
      </c>
      <c r="AA668" s="2" t="s">
        <v>120</v>
      </c>
      <c r="AB668" s="2" t="s">
        <v>3086</v>
      </c>
      <c r="AC668" s="2">
        <v>55.34</v>
      </c>
      <c r="AD668" s="2">
        <v>94.28</v>
      </c>
      <c r="AE668" s="2">
        <v>0</v>
      </c>
      <c r="AF668" s="2" t="s">
        <v>5614</v>
      </c>
      <c r="AG668" s="2" t="s">
        <v>103</v>
      </c>
      <c r="AH668" s="2" t="s">
        <v>6501</v>
      </c>
      <c r="AI668" s="2">
        <v>0.75</v>
      </c>
      <c r="AJ668" s="2">
        <v>22.276615564114501</v>
      </c>
      <c r="AK668" s="2">
        <v>22.152067857561999</v>
      </c>
      <c r="AL668" s="2">
        <v>22.086672608598199</v>
      </c>
      <c r="AM668" s="2">
        <v>22.0979897034026</v>
      </c>
      <c r="AN668" s="2">
        <v>22.1178613157422</v>
      </c>
      <c r="AO668" s="2">
        <v>22.293033220699201</v>
      </c>
      <c r="AP668" s="2">
        <v>22.202594415875101</v>
      </c>
      <c r="AQ668" s="2">
        <v>22.516025174880301</v>
      </c>
      <c r="AR668" s="2">
        <v>21.371881663355399</v>
      </c>
      <c r="AS668" s="2">
        <v>21.157754108913299</v>
      </c>
      <c r="AT668" s="2">
        <v>22.530193622168898</v>
      </c>
      <c r="AU668" s="2">
        <v>22.709669053109799</v>
      </c>
      <c r="AV668" s="2">
        <v>21.7822259397905</v>
      </c>
      <c r="AW668" s="2">
        <v>21.939191073973198</v>
      </c>
      <c r="AX668" s="2">
        <v>21.598950282971199</v>
      </c>
      <c r="AY668" s="2">
        <v>22.2298814294975</v>
      </c>
      <c r="AZ668" s="2">
        <v>21.966282949699298</v>
      </c>
      <c r="BA668" s="2">
        <v>22.431169343857398</v>
      </c>
      <c r="BB668" s="2">
        <v>22.557728627932502</v>
      </c>
      <c r="BC668" s="2">
        <v>22.869725881282498</v>
      </c>
      <c r="BD668" s="2">
        <v>22.297305747081602</v>
      </c>
      <c r="BE668" s="2">
        <v>22.370312674309201</v>
      </c>
      <c r="BF668" s="2">
        <v>23.0872644964142</v>
      </c>
      <c r="BG668" s="2">
        <v>22.992250896603501</v>
      </c>
      <c r="BH668" s="2">
        <v>21.6793366183696</v>
      </c>
      <c r="BI668" s="2">
        <v>21.753464759637101</v>
      </c>
      <c r="BJ668" s="2">
        <v>21.944015736687401</v>
      </c>
      <c r="BK668" s="2">
        <v>22.359999189054601</v>
      </c>
      <c r="BL668" s="2">
        <v>22.014445558908498</v>
      </c>
      <c r="BM668" s="2">
        <v>22.374875599743</v>
      </c>
      <c r="BN668" s="2">
        <v>22.4529529021918</v>
      </c>
      <c r="BO668" s="2">
        <v>19.907824734022199</v>
      </c>
      <c r="BP668" s="2">
        <v>21.5041027526891</v>
      </c>
      <c r="BQ668" s="2">
        <v>22.255388723613301</v>
      </c>
      <c r="BR668" s="2">
        <v>21.673738526489299</v>
      </c>
      <c r="BS668" s="2">
        <v>21.868330680750301</v>
      </c>
      <c r="BT668" s="2">
        <v>22.305620085947499</v>
      </c>
      <c r="BU668" s="2">
        <v>21.891943346654799</v>
      </c>
      <c r="BV668" s="2">
        <v>22.680170177025602</v>
      </c>
      <c r="BW668" s="2">
        <v>22.437348044017199</v>
      </c>
      <c r="BX668" s="2">
        <v>21.863367487349802</v>
      </c>
      <c r="BY668" s="2">
        <v>21.273798614992199</v>
      </c>
      <c r="BZ668" s="2">
        <v>22.5014525598951</v>
      </c>
      <c r="CA668" s="2">
        <v>21.558840406522499</v>
      </c>
      <c r="CB668" s="2">
        <v>21.659659502259501</v>
      </c>
      <c r="CC668" s="2">
        <v>21.718079470956699</v>
      </c>
      <c r="CD668" s="2">
        <v>22.157207490030199</v>
      </c>
      <c r="CE668" s="2">
        <v>22.119295976710301</v>
      </c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</row>
    <row r="669" spans="1:97">
      <c r="A669" s="2" t="s">
        <v>6502</v>
      </c>
      <c r="B669" s="2">
        <v>326.17063999999999</v>
      </c>
      <c r="C669" s="2">
        <v>4.2290000000000001</v>
      </c>
      <c r="D669" s="2" t="s">
        <v>84</v>
      </c>
      <c r="E669" s="2" t="s">
        <v>6503</v>
      </c>
      <c r="F669" s="2" t="s">
        <v>6504</v>
      </c>
      <c r="G669" s="2">
        <v>207893</v>
      </c>
      <c r="H669" s="3" t="str">
        <f>HYPERLINK("https://cloud.oebiotech.com/#/lm/network/207893", "https://cloud.oebiotech.com/#/lm/network/207893")</f>
        <v>https://cloud.oebiotech.com/#/lm/network/207893</v>
      </c>
      <c r="I669" s="2" t="s">
        <v>6505</v>
      </c>
      <c r="J669" s="2">
        <v>357858</v>
      </c>
      <c r="K669" s="2"/>
      <c r="L669" s="2">
        <v>47895</v>
      </c>
      <c r="M669" s="2"/>
      <c r="N669" s="2"/>
      <c r="O669" s="2"/>
      <c r="P669" s="2"/>
      <c r="Q669" s="2"/>
      <c r="R669" s="2"/>
      <c r="S669" s="2"/>
      <c r="T669" s="2" t="s">
        <v>6506</v>
      </c>
      <c r="U669" s="2" t="s">
        <v>6507</v>
      </c>
      <c r="V669" s="2" t="s">
        <v>115</v>
      </c>
      <c r="W669" s="2" t="s">
        <v>116</v>
      </c>
      <c r="X669" s="2" t="s">
        <v>117</v>
      </c>
      <c r="Y669" s="2" t="s">
        <v>118</v>
      </c>
      <c r="Z669" s="2" t="s">
        <v>119</v>
      </c>
      <c r="AA669" s="2" t="s">
        <v>120</v>
      </c>
      <c r="AB669" s="2" t="s">
        <v>3086</v>
      </c>
      <c r="AC669" s="2">
        <v>55.33</v>
      </c>
      <c r="AD669" s="2">
        <v>89.66</v>
      </c>
      <c r="AE669" s="2">
        <v>0</v>
      </c>
      <c r="AF669" s="2" t="s">
        <v>5614</v>
      </c>
      <c r="AG669" s="2" t="s">
        <v>132</v>
      </c>
      <c r="AH669" s="2" t="s">
        <v>6508</v>
      </c>
      <c r="AI669" s="2">
        <v>1.53</v>
      </c>
      <c r="AJ669" s="2">
        <v>16.886838634434401</v>
      </c>
      <c r="AK669" s="2">
        <v>17.364508826032299</v>
      </c>
      <c r="AL669" s="2">
        <v>17.104983412767702</v>
      </c>
      <c r="AM669" s="2">
        <v>16.971759753407198</v>
      </c>
      <c r="AN669" s="2">
        <v>17.153236823350099</v>
      </c>
      <c r="AO669" s="2">
        <v>16.796066233123501</v>
      </c>
      <c r="AP669" s="2">
        <v>17.134737243489699</v>
      </c>
      <c r="AQ669" s="2">
        <v>16.038699122683099</v>
      </c>
      <c r="AR669" s="2">
        <v>16.2323945060072</v>
      </c>
      <c r="AS669" s="2">
        <v>9.6233145402724691</v>
      </c>
      <c r="AT669" s="2">
        <v>9.6233145402724691</v>
      </c>
      <c r="AU669" s="2">
        <v>16.4767517405874</v>
      </c>
      <c r="AV669" s="2">
        <v>16.1699772465325</v>
      </c>
      <c r="AW669" s="2">
        <v>15.885677786701899</v>
      </c>
      <c r="AX669" s="2">
        <v>14.441478810968</v>
      </c>
      <c r="AY669" s="2">
        <v>15.3936331208659</v>
      </c>
      <c r="AZ669" s="2">
        <v>16.018764816635599</v>
      </c>
      <c r="BA669" s="2">
        <v>15.5354637215795</v>
      </c>
      <c r="BB669" s="2">
        <v>16.481006298911499</v>
      </c>
      <c r="BC669" s="2">
        <v>17.125341927276999</v>
      </c>
      <c r="BD669" s="2">
        <v>15.801605052999401</v>
      </c>
      <c r="BE669" s="2">
        <v>16.659855310865101</v>
      </c>
      <c r="BF669" s="2">
        <v>9.6233145402724691</v>
      </c>
      <c r="BG669" s="2">
        <v>17.068845965694301</v>
      </c>
      <c r="BH669" s="2">
        <v>16.482455053145301</v>
      </c>
      <c r="BI669" s="2">
        <v>16.307998013758301</v>
      </c>
      <c r="BJ669" s="2">
        <v>16.584748510916899</v>
      </c>
      <c r="BK669" s="2">
        <v>17.860044320360199</v>
      </c>
      <c r="BL669" s="2">
        <v>16.521396012774002</v>
      </c>
      <c r="BM669" s="2">
        <v>16.042069941282101</v>
      </c>
      <c r="BN669" s="2">
        <v>16.746006706342701</v>
      </c>
      <c r="BO669" s="2">
        <v>16.281666921151398</v>
      </c>
      <c r="BP669" s="2">
        <v>16.790870523894501</v>
      </c>
      <c r="BQ669" s="2">
        <v>16.639986582770302</v>
      </c>
      <c r="BR669" s="2">
        <v>17.324777033115002</v>
      </c>
      <c r="BS669" s="2">
        <v>17.351223518963199</v>
      </c>
      <c r="BT669" s="2">
        <v>17.067102808685899</v>
      </c>
      <c r="BU669" s="2">
        <v>14.693607285966999</v>
      </c>
      <c r="BV669" s="2">
        <v>16.4301060476275</v>
      </c>
      <c r="BW669" s="2">
        <v>15.5688607430852</v>
      </c>
      <c r="BX669" s="2">
        <v>16.130879402903801</v>
      </c>
      <c r="BY669" s="2">
        <v>17.4783694296761</v>
      </c>
      <c r="BZ669" s="2">
        <v>15.2076275183188</v>
      </c>
      <c r="CA669" s="2">
        <v>15.440622967302501</v>
      </c>
      <c r="CB669" s="2">
        <v>16.650572171097199</v>
      </c>
      <c r="CC669" s="2">
        <v>17.2446901291766</v>
      </c>
      <c r="CD669" s="2">
        <v>16.436759845849998</v>
      </c>
      <c r="CE669" s="2">
        <v>17.919615977613599</v>
      </c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</row>
    <row r="670" spans="1:97">
      <c r="A670" s="2" t="s">
        <v>6509</v>
      </c>
      <c r="B670" s="2">
        <v>257.11297000000002</v>
      </c>
      <c r="C670" s="2">
        <v>1.4530000000000001</v>
      </c>
      <c r="D670" s="2" t="s">
        <v>84</v>
      </c>
      <c r="E670" s="2" t="s">
        <v>6510</v>
      </c>
      <c r="F670" s="2" t="s">
        <v>6511</v>
      </c>
      <c r="G670" s="2">
        <v>51436</v>
      </c>
      <c r="H670" s="3" t="str">
        <f>HYPERLINK("https://cloud.oebiotech.com/#/lm/network/51436", "https://cloud.oebiotech.com/#/lm/network/51436")</f>
        <v>https://cloud.oebiotech.com/#/lm/network/51436</v>
      </c>
      <c r="I670" s="2" t="s">
        <v>6512</v>
      </c>
      <c r="J670" s="2">
        <v>62397</v>
      </c>
      <c r="K670" s="2"/>
      <c r="L670" s="2">
        <v>11507134</v>
      </c>
      <c r="M670" s="2" t="s">
        <v>6513</v>
      </c>
      <c r="N670" s="2"/>
      <c r="O670" s="2"/>
      <c r="P670" s="2">
        <v>55458</v>
      </c>
      <c r="Q670" s="2" t="s">
        <v>6514</v>
      </c>
      <c r="R670" s="2" t="s">
        <v>6515</v>
      </c>
      <c r="S670" s="2"/>
      <c r="T670" s="2" t="s">
        <v>6516</v>
      </c>
      <c r="U670" s="2" t="s">
        <v>6517</v>
      </c>
      <c r="V670" s="2" t="s">
        <v>338</v>
      </c>
      <c r="W670" s="2" t="s">
        <v>339</v>
      </c>
      <c r="X670" s="2" t="s">
        <v>663</v>
      </c>
      <c r="Y670" s="2" t="s">
        <v>341</v>
      </c>
      <c r="Z670" s="2" t="s">
        <v>341</v>
      </c>
      <c r="AA670" s="2" t="s">
        <v>664</v>
      </c>
      <c r="AB670" s="2" t="s">
        <v>3086</v>
      </c>
      <c r="AC670" s="2">
        <v>55.31</v>
      </c>
      <c r="AD670" s="2">
        <v>92.6</v>
      </c>
      <c r="AE670" s="2">
        <v>0</v>
      </c>
      <c r="AF670" s="2" t="s">
        <v>5614</v>
      </c>
      <c r="AG670" s="2" t="s">
        <v>103</v>
      </c>
      <c r="AH670" s="2" t="s">
        <v>6518</v>
      </c>
      <c r="AI670" s="2">
        <v>0.78</v>
      </c>
      <c r="AJ670" s="2">
        <v>17.140945571473601</v>
      </c>
      <c r="AK670" s="2">
        <v>17.3541448475181</v>
      </c>
      <c r="AL670" s="2">
        <v>16.9768135753237</v>
      </c>
      <c r="AM670" s="2">
        <v>17.4557899497363</v>
      </c>
      <c r="AN670" s="2">
        <v>17.2697170556674</v>
      </c>
      <c r="AO670" s="2">
        <v>16.9641121566866</v>
      </c>
      <c r="AP670" s="2">
        <v>16.953524208097299</v>
      </c>
      <c r="AQ670" s="2">
        <v>17.442074747724799</v>
      </c>
      <c r="AR670" s="2">
        <v>17.134302573972001</v>
      </c>
      <c r="AS670" s="2">
        <v>15.9021430793346</v>
      </c>
      <c r="AT670" s="2">
        <v>14.785642499040399</v>
      </c>
      <c r="AU670" s="2">
        <v>14.172363436060801</v>
      </c>
      <c r="AV670" s="2">
        <v>15.196540655463201</v>
      </c>
      <c r="AW670" s="2">
        <v>17.517441873252601</v>
      </c>
      <c r="AX670" s="2">
        <v>16.3118391190735</v>
      </c>
      <c r="AY670" s="2">
        <v>15.7852621567743</v>
      </c>
      <c r="AZ670" s="2">
        <v>15.121901752569901</v>
      </c>
      <c r="BA670" s="2">
        <v>15.3019880364192</v>
      </c>
      <c r="BB670" s="2">
        <v>16.070615737569</v>
      </c>
      <c r="BC670" s="2">
        <v>17.632758542360001</v>
      </c>
      <c r="BD670" s="2">
        <v>16.177945424697299</v>
      </c>
      <c r="BE670" s="2">
        <v>17.841634490683798</v>
      </c>
      <c r="BF670" s="2">
        <v>17.288493207236002</v>
      </c>
      <c r="BG670" s="2">
        <v>14.4997879738702</v>
      </c>
      <c r="BH670" s="2">
        <v>17.396043627707002</v>
      </c>
      <c r="BI670" s="2">
        <v>18.059240831001802</v>
      </c>
      <c r="BJ670" s="2">
        <v>17.4600911607846</v>
      </c>
      <c r="BK670" s="2">
        <v>15.516709260732</v>
      </c>
      <c r="BL670" s="2">
        <v>16.664238237514301</v>
      </c>
      <c r="BM670" s="2">
        <v>15.966237760638499</v>
      </c>
      <c r="BN670" s="2">
        <v>16.374122348237801</v>
      </c>
      <c r="BO670" s="2">
        <v>17.477983827989402</v>
      </c>
      <c r="BP670" s="2">
        <v>16.243655061988601</v>
      </c>
      <c r="BQ670" s="2">
        <v>17.042973117412899</v>
      </c>
      <c r="BR670" s="2">
        <v>15.3599828540129</v>
      </c>
      <c r="BS670" s="2">
        <v>16.122280815272699</v>
      </c>
      <c r="BT670" s="2">
        <v>17.115961405438298</v>
      </c>
      <c r="BU670" s="2">
        <v>17.012571510468099</v>
      </c>
      <c r="BV670" s="2">
        <v>16.623882632832299</v>
      </c>
      <c r="BW670" s="2">
        <v>9.6233145402724691</v>
      </c>
      <c r="BX670" s="2">
        <v>16.5580861304278</v>
      </c>
      <c r="BY670" s="2">
        <v>17.557124857036602</v>
      </c>
      <c r="BZ670" s="2">
        <v>17.554788254634602</v>
      </c>
      <c r="CA670" s="2">
        <v>16.6526601438634</v>
      </c>
      <c r="CB670" s="2">
        <v>15.838003093498401</v>
      </c>
      <c r="CC670" s="2">
        <v>16.877632110094599</v>
      </c>
      <c r="CD670" s="2">
        <v>17.048574889838999</v>
      </c>
      <c r="CE670" s="2">
        <v>16.5273258010576</v>
      </c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</row>
    <row r="671" spans="1:97">
      <c r="A671" s="2" t="s">
        <v>6519</v>
      </c>
      <c r="B671" s="2">
        <v>204.10177999999999</v>
      </c>
      <c r="C671" s="2">
        <v>6.883</v>
      </c>
      <c r="D671" s="2" t="s">
        <v>84</v>
      </c>
      <c r="E671" s="2" t="s">
        <v>6520</v>
      </c>
      <c r="F671" s="2" t="s">
        <v>6521</v>
      </c>
      <c r="G671" s="2">
        <v>47805</v>
      </c>
      <c r="H671" s="3" t="str">
        <f>HYPERLINK("https://cloud.oebiotech.com/#/lm/network/47805", "https://cloud.oebiotech.com/#/lm/network/47805")</f>
        <v>https://cloud.oebiotech.com/#/lm/network/47805</v>
      </c>
      <c r="I671" s="2" t="s">
        <v>6522</v>
      </c>
      <c r="J671" s="2">
        <v>6485</v>
      </c>
      <c r="K671" s="2"/>
      <c r="L671" s="2">
        <v>8617</v>
      </c>
      <c r="M671" s="2" t="s">
        <v>6523</v>
      </c>
      <c r="N671" s="2"/>
      <c r="O671" s="2"/>
      <c r="P671" s="2">
        <v>33070</v>
      </c>
      <c r="Q671" s="2"/>
      <c r="R671" s="2"/>
      <c r="S671" s="2" t="s">
        <v>6524</v>
      </c>
      <c r="T671" s="2" t="s">
        <v>6525</v>
      </c>
      <c r="U671" s="2" t="s">
        <v>6526</v>
      </c>
      <c r="V671" s="2" t="s">
        <v>553</v>
      </c>
      <c r="W671" s="2" t="s">
        <v>933</v>
      </c>
      <c r="X671" s="2" t="s">
        <v>3434</v>
      </c>
      <c r="Y671" s="2" t="s">
        <v>556</v>
      </c>
      <c r="Z671" s="2" t="s">
        <v>935</v>
      </c>
      <c r="AA671" s="2" t="s">
        <v>3435</v>
      </c>
      <c r="AB671" s="2" t="s">
        <v>3086</v>
      </c>
      <c r="AC671" s="2">
        <v>55.31</v>
      </c>
      <c r="AD671" s="2">
        <v>92.39</v>
      </c>
      <c r="AE671" s="2">
        <v>0</v>
      </c>
      <c r="AF671" s="2" t="s">
        <v>5614</v>
      </c>
      <c r="AG671" s="2" t="s">
        <v>103</v>
      </c>
      <c r="AH671" s="2" t="s">
        <v>6527</v>
      </c>
      <c r="AI671" s="2">
        <v>0.49</v>
      </c>
      <c r="AJ671" s="2">
        <v>17.4050746332092</v>
      </c>
      <c r="AK671" s="2">
        <v>17.866470895419098</v>
      </c>
      <c r="AL671" s="2">
        <v>17.2699983241376</v>
      </c>
      <c r="AM671" s="2">
        <v>17.2789368807633</v>
      </c>
      <c r="AN671" s="2">
        <v>17.574368458225099</v>
      </c>
      <c r="AO671" s="2">
        <v>16.611425282149</v>
      </c>
      <c r="AP671" s="2">
        <v>17.499472679715101</v>
      </c>
      <c r="AQ671" s="2">
        <v>17.6794209939819</v>
      </c>
      <c r="AR671" s="2">
        <v>16.630566896832502</v>
      </c>
      <c r="AS671" s="2">
        <v>15.0652667578525</v>
      </c>
      <c r="AT671" s="2">
        <v>17.0063950072973</v>
      </c>
      <c r="AU671" s="2">
        <v>17.024933055714499</v>
      </c>
      <c r="AV671" s="2">
        <v>16.724285482938701</v>
      </c>
      <c r="AW671" s="2">
        <v>16.654722446684001</v>
      </c>
      <c r="AX671" s="2">
        <v>18.351117988428399</v>
      </c>
      <c r="AY671" s="2">
        <v>16.0379306121242</v>
      </c>
      <c r="AZ671" s="2">
        <v>16.019003601935299</v>
      </c>
      <c r="BA671" s="2">
        <v>16.6929546150322</v>
      </c>
      <c r="BB671" s="2">
        <v>17.492842340069501</v>
      </c>
      <c r="BC671" s="2">
        <v>17.126173687973001</v>
      </c>
      <c r="BD671" s="2">
        <v>17.7799971938739</v>
      </c>
      <c r="BE671" s="2">
        <v>17.755750379894899</v>
      </c>
      <c r="BF671" s="2">
        <v>16.7104560200458</v>
      </c>
      <c r="BG671" s="2">
        <v>17.946319020915301</v>
      </c>
      <c r="BH671" s="2">
        <v>17.397153597227</v>
      </c>
      <c r="BI671" s="2">
        <v>18.593701098215501</v>
      </c>
      <c r="BJ671" s="2">
        <v>16.197022364730302</v>
      </c>
      <c r="BK671" s="2">
        <v>17.9514433548825</v>
      </c>
      <c r="BL671" s="2">
        <v>17.459820689737601</v>
      </c>
      <c r="BM671" s="2">
        <v>16.5474676931061</v>
      </c>
      <c r="BN671" s="2">
        <v>17.0357583485969</v>
      </c>
      <c r="BO671" s="2">
        <v>17.482357044067601</v>
      </c>
      <c r="BP671" s="2">
        <v>15.707372344501101</v>
      </c>
      <c r="BQ671" s="2">
        <v>17.074497638489099</v>
      </c>
      <c r="BR671" s="2">
        <v>18.9390090927497</v>
      </c>
      <c r="BS671" s="2">
        <v>17.211583012428299</v>
      </c>
      <c r="BT671" s="2">
        <v>17.0757906106384</v>
      </c>
      <c r="BU671" s="2">
        <v>15.331420137442599</v>
      </c>
      <c r="BV671" s="2">
        <v>17.249774005713501</v>
      </c>
      <c r="BW671" s="2">
        <v>15.141577918899801</v>
      </c>
      <c r="BX671" s="2">
        <v>16.7153605185934</v>
      </c>
      <c r="BY671" s="2">
        <v>17.183683740563399</v>
      </c>
      <c r="BZ671" s="2">
        <v>16.9049726549182</v>
      </c>
      <c r="CA671" s="2">
        <v>15.285795568404099</v>
      </c>
      <c r="CB671" s="2">
        <v>17.597034910479401</v>
      </c>
      <c r="CC671" s="2">
        <v>18.3469548989424</v>
      </c>
      <c r="CD671" s="2">
        <v>16.7452121170212</v>
      </c>
      <c r="CE671" s="2">
        <v>18.425787048283301</v>
      </c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</row>
    <row r="672" spans="1:97">
      <c r="A672" s="2" t="s">
        <v>6528</v>
      </c>
      <c r="B672" s="2">
        <v>264.08724999999998</v>
      </c>
      <c r="C672" s="2">
        <v>4.8339999999999996</v>
      </c>
      <c r="D672" s="2" t="s">
        <v>146</v>
      </c>
      <c r="E672" s="2" t="s">
        <v>6529</v>
      </c>
      <c r="F672" s="2" t="s">
        <v>6530</v>
      </c>
      <c r="G672" s="2">
        <v>81782</v>
      </c>
      <c r="H672" s="3" t="str">
        <f>HYPERLINK("https://cloud.oebiotech.com/#/lm/network/81782", "https://cloud.oebiotech.com/#/lm/network/81782")</f>
        <v>https://cloud.oebiotech.com/#/lm/network/81782</v>
      </c>
      <c r="I672" s="2" t="s">
        <v>6531</v>
      </c>
      <c r="J672" s="2"/>
      <c r="K672" s="2"/>
      <c r="L672" s="2">
        <v>124202120</v>
      </c>
      <c r="M672" s="2"/>
      <c r="N672" s="2"/>
      <c r="O672" s="2"/>
      <c r="P672" s="2">
        <v>89911</v>
      </c>
      <c r="Q672" s="2"/>
      <c r="R672" s="2"/>
      <c r="S672" s="2"/>
      <c r="T672" s="2" t="s">
        <v>6532</v>
      </c>
      <c r="U672" s="2" t="s">
        <v>6533</v>
      </c>
      <c r="V672" s="2" t="s">
        <v>115</v>
      </c>
      <c r="W672" s="2" t="s">
        <v>116</v>
      </c>
      <c r="X672" s="2" t="s">
        <v>117</v>
      </c>
      <c r="Y672" s="2" t="s">
        <v>118</v>
      </c>
      <c r="Z672" s="2" t="s">
        <v>119</v>
      </c>
      <c r="AA672" s="2" t="s">
        <v>120</v>
      </c>
      <c r="AB672" s="2" t="s">
        <v>3086</v>
      </c>
      <c r="AC672" s="2">
        <v>55.3</v>
      </c>
      <c r="AD672" s="2">
        <v>91.92</v>
      </c>
      <c r="AE672" s="2">
        <v>0</v>
      </c>
      <c r="AF672" s="2" t="s">
        <v>5614</v>
      </c>
      <c r="AG672" s="2" t="s">
        <v>194</v>
      </c>
      <c r="AH672" s="2" t="s">
        <v>6534</v>
      </c>
      <c r="AI672" s="2">
        <v>1.89</v>
      </c>
      <c r="AJ672" s="2">
        <v>16.902113983969301</v>
      </c>
      <c r="AK672" s="2">
        <v>16.335564120866401</v>
      </c>
      <c r="AL672" s="2">
        <v>16.6622184366034</v>
      </c>
      <c r="AM672" s="2">
        <v>16.533418711575099</v>
      </c>
      <c r="AN672" s="2">
        <v>16.713351875662401</v>
      </c>
      <c r="AO672" s="2">
        <v>16.759413082683398</v>
      </c>
      <c r="AP672" s="2">
        <v>16.721588007928499</v>
      </c>
      <c r="AQ672" s="2">
        <v>16.701506822356301</v>
      </c>
      <c r="AR672" s="2">
        <v>16.6647253187794</v>
      </c>
      <c r="AS672" s="2">
        <v>15.6137356616241</v>
      </c>
      <c r="AT672" s="2">
        <v>15.2960974343733</v>
      </c>
      <c r="AU672" s="2">
        <v>16.729052033965299</v>
      </c>
      <c r="AV672" s="2">
        <v>16.816294324817701</v>
      </c>
      <c r="AW672" s="2">
        <v>16.4654615020678</v>
      </c>
      <c r="AX672" s="2">
        <v>16.059292277114299</v>
      </c>
      <c r="AY672" s="2">
        <v>17.072700599582198</v>
      </c>
      <c r="AZ672" s="2">
        <v>15.7884252172573</v>
      </c>
      <c r="BA672" s="2">
        <v>14.880784038417101</v>
      </c>
      <c r="BB672" s="2">
        <v>15.3323159805058</v>
      </c>
      <c r="BC672" s="2">
        <v>14.034990632991599</v>
      </c>
      <c r="BD672" s="2">
        <v>14.499951121272501</v>
      </c>
      <c r="BE672" s="2">
        <v>15.216790941710901</v>
      </c>
      <c r="BF672" s="2">
        <v>15.9262144423968</v>
      </c>
      <c r="BG672" s="2">
        <v>14.251446904973101</v>
      </c>
      <c r="BH672" s="2">
        <v>16.660464909412301</v>
      </c>
      <c r="BI672" s="2">
        <v>17.448072011177601</v>
      </c>
      <c r="BJ672" s="2">
        <v>15.5885132063044</v>
      </c>
      <c r="BK672" s="2">
        <v>15.979181778067201</v>
      </c>
      <c r="BL672" s="2">
        <v>16.273867703030898</v>
      </c>
      <c r="BM672" s="2">
        <v>16.694003727204301</v>
      </c>
      <c r="BN672" s="2">
        <v>16.781795120394701</v>
      </c>
      <c r="BO672" s="2">
        <v>16.569841371138601</v>
      </c>
      <c r="BP672" s="2">
        <v>13.115908487558</v>
      </c>
      <c r="BQ672" s="2">
        <v>17.434863809283801</v>
      </c>
      <c r="BR672" s="2">
        <v>17.256880187575899</v>
      </c>
      <c r="BS672" s="2">
        <v>18.136450130151498</v>
      </c>
      <c r="BT672" s="2">
        <v>15.9763652021508</v>
      </c>
      <c r="BU672" s="2">
        <v>14.231383954818501</v>
      </c>
      <c r="BV672" s="2">
        <v>14.114059511032201</v>
      </c>
      <c r="BW672" s="2">
        <v>13.198893128191401</v>
      </c>
      <c r="BX672" s="2">
        <v>16.4063862279496</v>
      </c>
      <c r="BY672" s="2">
        <v>17.9366034928671</v>
      </c>
      <c r="BZ672" s="2">
        <v>16.854707585275101</v>
      </c>
      <c r="CA672" s="2">
        <v>16.559251900945501</v>
      </c>
      <c r="CB672" s="2">
        <v>14.395297817227</v>
      </c>
      <c r="CC672" s="2">
        <v>17.386019243419199</v>
      </c>
      <c r="CD672" s="2">
        <v>17.2362270738987</v>
      </c>
      <c r="CE672" s="2">
        <v>14.337978629457</v>
      </c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</row>
    <row r="673" spans="1:97">
      <c r="A673" s="2" t="s">
        <v>6535</v>
      </c>
      <c r="B673" s="2">
        <v>270.07769999999999</v>
      </c>
      <c r="C673" s="2">
        <v>4.9109999999999996</v>
      </c>
      <c r="D673" s="2" t="s">
        <v>146</v>
      </c>
      <c r="E673" s="2" t="s">
        <v>6536</v>
      </c>
      <c r="F673" s="2" t="s">
        <v>6537</v>
      </c>
      <c r="G673" s="2">
        <v>82523</v>
      </c>
      <c r="H673" s="3" t="str">
        <f>HYPERLINK("https://cloud.oebiotech.com/#/lm/network/82523", "https://cloud.oebiotech.com/#/lm/network/82523")</f>
        <v>https://cloud.oebiotech.com/#/lm/network/82523</v>
      </c>
      <c r="I673" s="2" t="s">
        <v>6538</v>
      </c>
      <c r="J673" s="2">
        <v>907</v>
      </c>
      <c r="K673" s="2"/>
      <c r="L673" s="2">
        <v>3082630</v>
      </c>
      <c r="M673" s="2"/>
      <c r="N673" s="2"/>
      <c r="O673" s="2"/>
      <c r="P673" s="2"/>
      <c r="Q673" s="2"/>
      <c r="R673" s="2"/>
      <c r="S673" s="2" t="s">
        <v>6539</v>
      </c>
      <c r="T673" s="2" t="s">
        <v>6540</v>
      </c>
      <c r="U673" s="2" t="s">
        <v>6541</v>
      </c>
      <c r="V673" s="2" t="s">
        <v>338</v>
      </c>
      <c r="W673" s="2" t="s">
        <v>339</v>
      </c>
      <c r="X673" s="2" t="s">
        <v>340</v>
      </c>
      <c r="Y673" s="2" t="s">
        <v>341</v>
      </c>
      <c r="Z673" s="2" t="s">
        <v>341</v>
      </c>
      <c r="AA673" s="2" t="s">
        <v>342</v>
      </c>
      <c r="AB673" s="2" t="s">
        <v>5118</v>
      </c>
      <c r="AC673" s="2">
        <v>55.28</v>
      </c>
      <c r="AD673" s="2">
        <v>90.12</v>
      </c>
      <c r="AE673" s="2">
        <v>67.08</v>
      </c>
      <c r="AF673" s="2" t="s">
        <v>6542</v>
      </c>
      <c r="AG673" s="2" t="s">
        <v>194</v>
      </c>
      <c r="AH673" s="2" t="s">
        <v>6543</v>
      </c>
      <c r="AI673" s="2">
        <v>-1.85</v>
      </c>
      <c r="AJ673" s="2">
        <v>16.718889893562199</v>
      </c>
      <c r="AK673" s="2">
        <v>16.537368268963299</v>
      </c>
      <c r="AL673" s="2">
        <v>16.809345731973199</v>
      </c>
      <c r="AM673" s="2">
        <v>16.880564646166601</v>
      </c>
      <c r="AN673" s="2">
        <v>16.630689318920702</v>
      </c>
      <c r="AO673" s="2">
        <v>16.6277313637787</v>
      </c>
      <c r="AP673" s="2">
        <v>16.371232128369599</v>
      </c>
      <c r="AQ673" s="2">
        <v>16.529522976887101</v>
      </c>
      <c r="AR673" s="2">
        <v>15.465757059563201</v>
      </c>
      <c r="AS673" s="2">
        <v>15.4589694954165</v>
      </c>
      <c r="AT673" s="2">
        <v>16.647646733538</v>
      </c>
      <c r="AU673" s="2">
        <v>16.552231095766</v>
      </c>
      <c r="AV673" s="2">
        <v>16.000616474227702</v>
      </c>
      <c r="AW673" s="2">
        <v>16.5252546836597</v>
      </c>
      <c r="AX673" s="2">
        <v>15.795823553532999</v>
      </c>
      <c r="AY673" s="2">
        <v>16.042793083045101</v>
      </c>
      <c r="AZ673" s="2">
        <v>16.1373854450107</v>
      </c>
      <c r="BA673" s="2">
        <v>16.281386197911999</v>
      </c>
      <c r="BB673" s="2">
        <v>16.098495397004701</v>
      </c>
      <c r="BC673" s="2">
        <v>18.3333500905125</v>
      </c>
      <c r="BD673" s="2">
        <v>16.153579145317</v>
      </c>
      <c r="BE673" s="2">
        <v>14.684045617402701</v>
      </c>
      <c r="BF673" s="2">
        <v>16.8703452118563</v>
      </c>
      <c r="BG673" s="2">
        <v>16.1099483580516</v>
      </c>
      <c r="BH673" s="2">
        <v>14.780654587977001</v>
      </c>
      <c r="BI673" s="2">
        <v>15.861368533686401</v>
      </c>
      <c r="BJ673" s="2">
        <v>15.1277396673407</v>
      </c>
      <c r="BK673" s="2">
        <v>16.2401050318317</v>
      </c>
      <c r="BL673" s="2">
        <v>16.3269801187827</v>
      </c>
      <c r="BM673" s="2">
        <v>16.292409533567501</v>
      </c>
      <c r="BN673" s="2">
        <v>15.5853830493632</v>
      </c>
      <c r="BO673" s="2">
        <v>15.991795735498901</v>
      </c>
      <c r="BP673" s="2">
        <v>15.6408863115768</v>
      </c>
      <c r="BQ673" s="2">
        <v>16.247971076896501</v>
      </c>
      <c r="BR673" s="2">
        <v>16.402691170720399</v>
      </c>
      <c r="BS673" s="2">
        <v>15.7070487402169</v>
      </c>
      <c r="BT673" s="2">
        <v>15.0801575568366</v>
      </c>
      <c r="BU673" s="2">
        <v>16.320023086070101</v>
      </c>
      <c r="BV673" s="2">
        <v>16.847514601879102</v>
      </c>
      <c r="BW673" s="2">
        <v>16.0773636001895</v>
      </c>
      <c r="BX673" s="2">
        <v>16.409968627781002</v>
      </c>
      <c r="BY673" s="2">
        <v>15.678043837271</v>
      </c>
      <c r="BZ673" s="2">
        <v>15.866898321620999</v>
      </c>
      <c r="CA673" s="2">
        <v>15.6647228192098</v>
      </c>
      <c r="CB673" s="2">
        <v>15.7947605569874</v>
      </c>
      <c r="CC673" s="2">
        <v>15.8494266043721</v>
      </c>
      <c r="CD673" s="2">
        <v>15.7820025327495</v>
      </c>
      <c r="CE673" s="2">
        <v>16.360551520843799</v>
      </c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</row>
    <row r="674" spans="1:97">
      <c r="A674" s="2" t="s">
        <v>6544</v>
      </c>
      <c r="B674" s="2">
        <v>786.59930999999995</v>
      </c>
      <c r="C674" s="2">
        <v>10.523999999999999</v>
      </c>
      <c r="D674" s="2" t="s">
        <v>84</v>
      </c>
      <c r="E674" s="2" t="s">
        <v>6545</v>
      </c>
      <c r="F674" s="2" t="s">
        <v>6546</v>
      </c>
      <c r="G674" s="2">
        <v>19475</v>
      </c>
      <c r="H674" s="3" t="str">
        <f>HYPERLINK("https://cloud.oebiotech.com/#/lm/network/19475", "https://cloud.oebiotech.com/#/lm/network/19475")</f>
        <v>https://cloud.oebiotech.com/#/lm/network/19475</v>
      </c>
      <c r="I674" s="2" t="s">
        <v>6547</v>
      </c>
      <c r="J674" s="2">
        <v>60005</v>
      </c>
      <c r="K674" s="2" t="s">
        <v>6548</v>
      </c>
      <c r="L674" s="2">
        <v>53479167</v>
      </c>
      <c r="M674" s="2" t="s">
        <v>4595</v>
      </c>
      <c r="N674" s="2" t="s">
        <v>4596</v>
      </c>
      <c r="O674" s="2" t="s">
        <v>4597</v>
      </c>
      <c r="P674" s="2">
        <v>88741</v>
      </c>
      <c r="Q674" s="2"/>
      <c r="R674" s="2"/>
      <c r="S674" s="2"/>
      <c r="T674" s="2" t="s">
        <v>6549</v>
      </c>
      <c r="U674" s="2" t="s">
        <v>6550</v>
      </c>
      <c r="V674" s="2" t="s">
        <v>95</v>
      </c>
      <c r="W674" s="2" t="s">
        <v>202</v>
      </c>
      <c r="X674" s="2" t="s">
        <v>203</v>
      </c>
      <c r="Y674" s="2" t="s">
        <v>98</v>
      </c>
      <c r="Z674" s="2" t="s">
        <v>204</v>
      </c>
      <c r="AA674" s="2" t="s">
        <v>205</v>
      </c>
      <c r="AB674" s="2" t="s">
        <v>5118</v>
      </c>
      <c r="AC674" s="2">
        <v>55.27</v>
      </c>
      <c r="AD674" s="2">
        <v>86.83</v>
      </c>
      <c r="AE674" s="2">
        <v>93.41</v>
      </c>
      <c r="AF674" s="2" t="s">
        <v>6551</v>
      </c>
      <c r="AG674" s="2" t="s">
        <v>103</v>
      </c>
      <c r="AH674" s="2" t="s">
        <v>6552</v>
      </c>
      <c r="AI674" s="2">
        <v>1.78</v>
      </c>
      <c r="AJ674" s="2">
        <v>26.2738273602316</v>
      </c>
      <c r="AK674" s="2">
        <v>26.5904254133231</v>
      </c>
      <c r="AL674" s="2">
        <v>27.088136282021001</v>
      </c>
      <c r="AM674" s="2">
        <v>26.6713516506091</v>
      </c>
      <c r="AN674" s="2">
        <v>26.587410284761098</v>
      </c>
      <c r="AO674" s="2">
        <v>26.230226037085199</v>
      </c>
      <c r="AP674" s="2">
        <v>27.033855526363201</v>
      </c>
      <c r="AQ674" s="2">
        <v>26.175002215297301</v>
      </c>
      <c r="AR674" s="2">
        <v>26.454623574116798</v>
      </c>
      <c r="AS674" s="2">
        <v>26.142777336285999</v>
      </c>
      <c r="AT674" s="2">
        <v>26.773167410372299</v>
      </c>
      <c r="AU674" s="2">
        <v>25.794156633536701</v>
      </c>
      <c r="AV674" s="2">
        <v>25.719621264852702</v>
      </c>
      <c r="AW674" s="2">
        <v>26.815435354530401</v>
      </c>
      <c r="AX674" s="2">
        <v>26.950088654735399</v>
      </c>
      <c r="AY674" s="2">
        <v>26.966638970024999</v>
      </c>
      <c r="AZ674" s="2">
        <v>26.9219869099819</v>
      </c>
      <c r="BA674" s="2">
        <v>26.858434972361401</v>
      </c>
      <c r="BB674" s="2">
        <v>26.874881300583802</v>
      </c>
      <c r="BC674" s="2">
        <v>26.9397803373047</v>
      </c>
      <c r="BD674" s="2">
        <v>26.989743819477098</v>
      </c>
      <c r="BE674" s="2">
        <v>26.776183769874201</v>
      </c>
      <c r="BF674" s="2">
        <v>26.365912880332498</v>
      </c>
      <c r="BG674" s="2">
        <v>27.003664490054501</v>
      </c>
      <c r="BH674" s="2">
        <v>26.144726968525099</v>
      </c>
      <c r="BI674" s="2">
        <v>27.023719677268101</v>
      </c>
      <c r="BJ674" s="2">
        <v>26.7317245419143</v>
      </c>
      <c r="BK674" s="2">
        <v>27.213444941858899</v>
      </c>
      <c r="BL674" s="2">
        <v>25.746009118710401</v>
      </c>
      <c r="BM674" s="2">
        <v>26.909284009689902</v>
      </c>
      <c r="BN674" s="2">
        <v>27.122773328326002</v>
      </c>
      <c r="BO674" s="2">
        <v>26.868236745955802</v>
      </c>
      <c r="BP674" s="2">
        <v>26.226605660172002</v>
      </c>
      <c r="BQ674" s="2">
        <v>26.623156640005501</v>
      </c>
      <c r="BR674" s="2">
        <v>26.736009881679198</v>
      </c>
      <c r="BS674" s="2">
        <v>27.1051831992798</v>
      </c>
      <c r="BT674" s="2">
        <v>27.208600495835299</v>
      </c>
      <c r="BU674" s="2">
        <v>26.540946401012601</v>
      </c>
      <c r="BV674" s="2">
        <v>26.684581578860598</v>
      </c>
      <c r="BW674" s="2">
        <v>27.022924192797898</v>
      </c>
      <c r="BX674" s="2">
        <v>26.9247520785928</v>
      </c>
      <c r="BY674" s="2">
        <v>26.500503511336099</v>
      </c>
      <c r="BZ674" s="2">
        <v>26.6558052289286</v>
      </c>
      <c r="CA674" s="2">
        <v>26.806463322071298</v>
      </c>
      <c r="CB674" s="2">
        <v>26.906370859976199</v>
      </c>
      <c r="CC674" s="2">
        <v>27.004034365001299</v>
      </c>
      <c r="CD674" s="2">
        <v>26.684324478537199</v>
      </c>
      <c r="CE674" s="2">
        <v>27.041039382233102</v>
      </c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</row>
    <row r="675" spans="1:97">
      <c r="A675" s="2" t="s">
        <v>6553</v>
      </c>
      <c r="B675" s="2">
        <v>267.05054999999999</v>
      </c>
      <c r="C675" s="2">
        <v>5</v>
      </c>
      <c r="D675" s="2" t="s">
        <v>146</v>
      </c>
      <c r="E675" s="2" t="s">
        <v>6554</v>
      </c>
      <c r="F675" s="2" t="s">
        <v>6555</v>
      </c>
      <c r="G675" s="2">
        <v>256913</v>
      </c>
      <c r="H675" s="3" t="str">
        <f>HYPERLINK("https://cloud.oebiotech.com/#/lm/network/256913", "https://cloud.oebiotech.com/#/lm/network/256913")</f>
        <v>https://cloud.oebiotech.com/#/lm/network/256913</v>
      </c>
      <c r="I675" s="2" t="s">
        <v>6556</v>
      </c>
      <c r="J675" s="2">
        <v>63982</v>
      </c>
      <c r="K675" s="2"/>
      <c r="L675" s="2">
        <v>955</v>
      </c>
      <c r="M675" s="2" t="s">
        <v>6557</v>
      </c>
      <c r="N675" s="2" t="s">
        <v>6558</v>
      </c>
      <c r="O675" s="2" t="s">
        <v>6559</v>
      </c>
      <c r="P675" s="2">
        <v>44788</v>
      </c>
      <c r="Q675" s="2"/>
      <c r="R675" s="2"/>
      <c r="S675" s="2"/>
      <c r="T675" s="2" t="s">
        <v>6560</v>
      </c>
      <c r="U675" s="2" t="s">
        <v>6561</v>
      </c>
      <c r="V675" s="2" t="s">
        <v>338</v>
      </c>
      <c r="W675" s="2" t="s">
        <v>339</v>
      </c>
      <c r="X675" s="2" t="s">
        <v>340</v>
      </c>
      <c r="Y675" s="2" t="s">
        <v>341</v>
      </c>
      <c r="Z675" s="2" t="s">
        <v>341</v>
      </c>
      <c r="AA675" s="2" t="s">
        <v>342</v>
      </c>
      <c r="AB675" s="2" t="s">
        <v>3086</v>
      </c>
      <c r="AC675" s="2">
        <v>55.25</v>
      </c>
      <c r="AD675" s="2">
        <v>92.3</v>
      </c>
      <c r="AE675" s="2">
        <v>0</v>
      </c>
      <c r="AF675" s="2" t="s">
        <v>5614</v>
      </c>
      <c r="AG675" s="2" t="s">
        <v>157</v>
      </c>
      <c r="AH675" s="2" t="s">
        <v>6562</v>
      </c>
      <c r="AI675" s="2">
        <v>1.87</v>
      </c>
      <c r="AJ675" s="2">
        <v>18.5010367179718</v>
      </c>
      <c r="AK675" s="2">
        <v>18.578326655480101</v>
      </c>
      <c r="AL675" s="2">
        <v>18.598002615791199</v>
      </c>
      <c r="AM675" s="2">
        <v>18.7828709401746</v>
      </c>
      <c r="AN675" s="2">
        <v>18.664480305652901</v>
      </c>
      <c r="AO675" s="2">
        <v>18.7782933558384</v>
      </c>
      <c r="AP675" s="2">
        <v>18.381640238907501</v>
      </c>
      <c r="AQ675" s="2">
        <v>18.6596674061838</v>
      </c>
      <c r="AR675" s="2">
        <v>18.791518181985101</v>
      </c>
      <c r="AS675" s="2">
        <v>18.592633976140998</v>
      </c>
      <c r="AT675" s="2">
        <v>18.799781269028902</v>
      </c>
      <c r="AU675" s="2">
        <v>18.710681276520301</v>
      </c>
      <c r="AV675" s="2">
        <v>18.7674874708812</v>
      </c>
      <c r="AW675" s="2">
        <v>18.6578261160439</v>
      </c>
      <c r="AX675" s="2">
        <v>18.7590108022038</v>
      </c>
      <c r="AY675" s="2">
        <v>18.788056890639599</v>
      </c>
      <c r="AZ675" s="2">
        <v>18.307270150705399</v>
      </c>
      <c r="BA675" s="2">
        <v>18.553281184045399</v>
      </c>
      <c r="BB675" s="2">
        <v>18.509900464730801</v>
      </c>
      <c r="BC675" s="2">
        <v>18.585756135960899</v>
      </c>
      <c r="BD675" s="2">
        <v>18.737673460669299</v>
      </c>
      <c r="BE675" s="2">
        <v>18.675967539235302</v>
      </c>
      <c r="BF675" s="2">
        <v>18.608311681560899</v>
      </c>
      <c r="BG675" s="2">
        <v>18.781416996243699</v>
      </c>
      <c r="BH675" s="2">
        <v>18.742097356221699</v>
      </c>
      <c r="BI675" s="2">
        <v>18.679785382214799</v>
      </c>
      <c r="BJ675" s="2">
        <v>18.593090128693401</v>
      </c>
      <c r="BK675" s="2">
        <v>18.706287377163498</v>
      </c>
      <c r="BL675" s="2">
        <v>18.593555729165399</v>
      </c>
      <c r="BM675" s="2">
        <v>18.8531675635856</v>
      </c>
      <c r="BN675" s="2">
        <v>18.642322405604201</v>
      </c>
      <c r="BO675" s="2">
        <v>18.726227640560399</v>
      </c>
      <c r="BP675" s="2">
        <v>18.636122574782799</v>
      </c>
      <c r="BQ675" s="2">
        <v>18.6498067119235</v>
      </c>
      <c r="BR675" s="2">
        <v>18.726938322396801</v>
      </c>
      <c r="BS675" s="2">
        <v>18.998808149606099</v>
      </c>
      <c r="BT675" s="2">
        <v>18.690087379772301</v>
      </c>
      <c r="BU675" s="2">
        <v>18.556188132485801</v>
      </c>
      <c r="BV675" s="2">
        <v>18.583999994116201</v>
      </c>
      <c r="BW675" s="2">
        <v>18.6509109012623</v>
      </c>
      <c r="BX675" s="2">
        <v>18.660731214488901</v>
      </c>
      <c r="BY675" s="2">
        <v>18.661070282805301</v>
      </c>
      <c r="BZ675" s="2">
        <v>18.460016066142401</v>
      </c>
      <c r="CA675" s="2">
        <v>18.656316303710099</v>
      </c>
      <c r="CB675" s="2">
        <v>18.599639936291801</v>
      </c>
      <c r="CC675" s="2">
        <v>18.8266642343964</v>
      </c>
      <c r="CD675" s="2">
        <v>18.546223955090198</v>
      </c>
      <c r="CE675" s="2">
        <v>18.6221736790161</v>
      </c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</row>
    <row r="676" spans="1:97">
      <c r="A676" s="2" t="s">
        <v>6563</v>
      </c>
      <c r="B676" s="2">
        <v>175.0719</v>
      </c>
      <c r="C676" s="2">
        <v>0.82699999999999996</v>
      </c>
      <c r="D676" s="2" t="s">
        <v>146</v>
      </c>
      <c r="E676" s="2" t="s">
        <v>6564</v>
      </c>
      <c r="F676" s="2" t="s">
        <v>6565</v>
      </c>
      <c r="G676" s="2">
        <v>266237</v>
      </c>
      <c r="H676" s="3" t="str">
        <f>HYPERLINK("https://cloud.oebiotech.com/#/lm/network/266237", "https://cloud.oebiotech.com/#/lm/network/266237")</f>
        <v>https://cloud.oebiotech.com/#/lm/network/266237</v>
      </c>
      <c r="I676" s="2"/>
      <c r="J676" s="2">
        <v>24013</v>
      </c>
      <c r="K676" s="2"/>
      <c r="L676" s="2">
        <v>24884379</v>
      </c>
      <c r="M676" s="2"/>
      <c r="N676" s="2"/>
      <c r="O676" s="2"/>
      <c r="P676" s="2"/>
      <c r="Q676" s="2"/>
      <c r="R676" s="2"/>
      <c r="S676" s="2"/>
      <c r="T676" s="2" t="s">
        <v>6566</v>
      </c>
      <c r="U676" s="2" t="s">
        <v>6567</v>
      </c>
      <c r="V676" s="2" t="s">
        <v>115</v>
      </c>
      <c r="W676" s="2" t="s">
        <v>116</v>
      </c>
      <c r="X676" s="2" t="s">
        <v>117</v>
      </c>
      <c r="Y676" s="2" t="s">
        <v>118</v>
      </c>
      <c r="Z676" s="2" t="s">
        <v>119</v>
      </c>
      <c r="AA676" s="2" t="s">
        <v>120</v>
      </c>
      <c r="AB676" s="2" t="s">
        <v>3086</v>
      </c>
      <c r="AC676" s="2">
        <v>55.25</v>
      </c>
      <c r="AD676" s="2">
        <v>97.74</v>
      </c>
      <c r="AE676" s="2">
        <v>0</v>
      </c>
      <c r="AF676" s="2" t="s">
        <v>5614</v>
      </c>
      <c r="AG676" s="2" t="s">
        <v>194</v>
      </c>
      <c r="AH676" s="2" t="s">
        <v>1945</v>
      </c>
      <c r="AI676" s="2">
        <v>2.86</v>
      </c>
      <c r="AJ676" s="2">
        <v>23.258563226186901</v>
      </c>
      <c r="AK676" s="2">
        <v>23.414678501026501</v>
      </c>
      <c r="AL676" s="2">
        <v>23.254444425649901</v>
      </c>
      <c r="AM676" s="2">
        <v>23.367717874304599</v>
      </c>
      <c r="AN676" s="2">
        <v>23.201727522871899</v>
      </c>
      <c r="AO676" s="2">
        <v>23.339435733770902</v>
      </c>
      <c r="AP676" s="2">
        <v>23.317367927171102</v>
      </c>
      <c r="AQ676" s="2">
        <v>23.4113875129032</v>
      </c>
      <c r="AR676" s="2">
        <v>22.930023087918102</v>
      </c>
      <c r="AS676" s="2">
        <v>22.821409512292899</v>
      </c>
      <c r="AT676" s="2">
        <v>22.8530818487963</v>
      </c>
      <c r="AU676" s="2">
        <v>23.378237274258002</v>
      </c>
      <c r="AV676" s="2">
        <v>23.0017485693071</v>
      </c>
      <c r="AW676" s="2">
        <v>23.178878401149401</v>
      </c>
      <c r="AX676" s="2">
        <v>22.958551441064898</v>
      </c>
      <c r="AY676" s="2">
        <v>23.187346972640299</v>
      </c>
      <c r="AZ676" s="2">
        <v>23.006919741513201</v>
      </c>
      <c r="BA676" s="2">
        <v>23.0372606936503</v>
      </c>
      <c r="BB676" s="2">
        <v>23.300868641382198</v>
      </c>
      <c r="BC676" s="2">
        <v>24.248095802591301</v>
      </c>
      <c r="BD676" s="2">
        <v>23.305451502592</v>
      </c>
      <c r="BE676" s="2">
        <v>23.4727467584257</v>
      </c>
      <c r="BF676" s="2">
        <v>23.112032061893999</v>
      </c>
      <c r="BG676" s="2">
        <v>23.158952017910298</v>
      </c>
      <c r="BH676" s="2">
        <v>23.1998845076245</v>
      </c>
      <c r="BI676" s="2">
        <v>23.2298282134632</v>
      </c>
      <c r="BJ676" s="2">
        <v>23.076102151393599</v>
      </c>
      <c r="BK676" s="2">
        <v>22.4716578860331</v>
      </c>
      <c r="BL676" s="2">
        <v>23.252622424823802</v>
      </c>
      <c r="BM676" s="2">
        <v>24.001081134363002</v>
      </c>
      <c r="BN676" s="2">
        <v>23.1982737322292</v>
      </c>
      <c r="BO676" s="2">
        <v>22.686470019609601</v>
      </c>
      <c r="BP676" s="2">
        <v>22.692184902719202</v>
      </c>
      <c r="BQ676" s="2">
        <v>23.244436344836199</v>
      </c>
      <c r="BR676" s="2">
        <v>23.0785872914383</v>
      </c>
      <c r="BS676" s="2">
        <v>23.1316491261449</v>
      </c>
      <c r="BT676" s="2">
        <v>23.254817573752899</v>
      </c>
      <c r="BU676" s="2">
        <v>23.168864122123001</v>
      </c>
      <c r="BV676" s="2">
        <v>23.334024000264701</v>
      </c>
      <c r="BW676" s="2">
        <v>23.3939584811516</v>
      </c>
      <c r="BX676" s="2">
        <v>23.3881552374615</v>
      </c>
      <c r="BY676" s="2">
        <v>23.277701500594599</v>
      </c>
      <c r="BZ676" s="2">
        <v>23.566802835065999</v>
      </c>
      <c r="CA676" s="2">
        <v>23.136676893139501</v>
      </c>
      <c r="CB676" s="2">
        <v>23.123666528579999</v>
      </c>
      <c r="CC676" s="2">
        <v>22.8970060705992</v>
      </c>
      <c r="CD676" s="2">
        <v>22.6830560966897</v>
      </c>
      <c r="CE676" s="2">
        <v>22.947435307515999</v>
      </c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</row>
    <row r="677" spans="1:97">
      <c r="A677" s="2" t="s">
        <v>6568</v>
      </c>
      <c r="B677" s="2">
        <v>172.16934000000001</v>
      </c>
      <c r="C677" s="2">
        <v>9.0939999999999994</v>
      </c>
      <c r="D677" s="2" t="s">
        <v>84</v>
      </c>
      <c r="E677" s="2" t="s">
        <v>6569</v>
      </c>
      <c r="F677" s="2" t="s">
        <v>6570</v>
      </c>
      <c r="G677" s="2">
        <v>35254</v>
      </c>
      <c r="H677" s="3" t="str">
        <f>HYPERLINK("https://cloud.oebiotech.com/#/lm/network/35254", "https://cloud.oebiotech.com/#/lm/network/35254")</f>
        <v>https://cloud.oebiotech.com/#/lm/network/35254</v>
      </c>
      <c r="I677" s="2" t="s">
        <v>6571</v>
      </c>
      <c r="J677" s="2">
        <v>41060</v>
      </c>
      <c r="K677" s="2" t="s">
        <v>6572</v>
      </c>
      <c r="L677" s="2">
        <v>637566</v>
      </c>
      <c r="M677" s="2" t="s">
        <v>6573</v>
      </c>
      <c r="N677" s="2"/>
      <c r="O677" s="2"/>
      <c r="P677" s="2">
        <v>17447</v>
      </c>
      <c r="Q677" s="2" t="s">
        <v>6574</v>
      </c>
      <c r="R677" s="2" t="s">
        <v>6575</v>
      </c>
      <c r="S677" s="2" t="s">
        <v>6576</v>
      </c>
      <c r="T677" s="2" t="s">
        <v>6577</v>
      </c>
      <c r="U677" s="2" t="s">
        <v>6578</v>
      </c>
      <c r="V677" s="2" t="s">
        <v>95</v>
      </c>
      <c r="W677" s="2" t="s">
        <v>180</v>
      </c>
      <c r="X677" s="2" t="s">
        <v>5048</v>
      </c>
      <c r="Y677" s="2" t="s">
        <v>98</v>
      </c>
      <c r="Z677" s="2" t="s">
        <v>182</v>
      </c>
      <c r="AA677" s="2" t="s">
        <v>5049</v>
      </c>
      <c r="AB677" s="2" t="s">
        <v>3086</v>
      </c>
      <c r="AC677" s="2">
        <v>55.23</v>
      </c>
      <c r="AD677" s="2">
        <v>97.27</v>
      </c>
      <c r="AE677" s="2">
        <v>0</v>
      </c>
      <c r="AF677" s="2" t="s">
        <v>5614</v>
      </c>
      <c r="AG677" s="2" t="s">
        <v>132</v>
      </c>
      <c r="AH677" s="2" t="s">
        <v>6579</v>
      </c>
      <c r="AI677" s="2">
        <v>1.74</v>
      </c>
      <c r="AJ677" s="2">
        <v>22.085506296587099</v>
      </c>
      <c r="AK677" s="2">
        <v>22.1783931537346</v>
      </c>
      <c r="AL677" s="2">
        <v>22.224758970286601</v>
      </c>
      <c r="AM677" s="2">
        <v>22.374359114145101</v>
      </c>
      <c r="AN677" s="2">
        <v>22.236773266768399</v>
      </c>
      <c r="AO677" s="2">
        <v>21.557180331451399</v>
      </c>
      <c r="AP677" s="2">
        <v>22.285537992335001</v>
      </c>
      <c r="AQ677" s="2">
        <v>22.435096734571999</v>
      </c>
      <c r="AR677" s="2">
        <v>22.352863645303099</v>
      </c>
      <c r="AS677" s="2">
        <v>22.1536611571713</v>
      </c>
      <c r="AT677" s="2">
        <v>22.0606987844067</v>
      </c>
      <c r="AU677" s="2">
        <v>22.409850277629701</v>
      </c>
      <c r="AV677" s="2">
        <v>21.8623938281929</v>
      </c>
      <c r="AW677" s="2">
        <v>21.984808317309199</v>
      </c>
      <c r="AX677" s="2">
        <v>22.5375446440042</v>
      </c>
      <c r="AY677" s="2">
        <v>22.303065621932401</v>
      </c>
      <c r="AZ677" s="2">
        <v>22.234329244033699</v>
      </c>
      <c r="BA677" s="2">
        <v>21.8973604289232</v>
      </c>
      <c r="BB677" s="2">
        <v>21.2930586975442</v>
      </c>
      <c r="BC677" s="2">
        <v>21.945712416991899</v>
      </c>
      <c r="BD677" s="2">
        <v>22.2009737304815</v>
      </c>
      <c r="BE677" s="2">
        <v>22.357413756829601</v>
      </c>
      <c r="BF677" s="2">
        <v>22.333500643408598</v>
      </c>
      <c r="BG677" s="2">
        <v>22.252820014309599</v>
      </c>
      <c r="BH677" s="2">
        <v>22.267745630931302</v>
      </c>
      <c r="BI677" s="2">
        <v>22.270488618390601</v>
      </c>
      <c r="BJ677" s="2">
        <v>22.326219840362199</v>
      </c>
      <c r="BK677" s="2">
        <v>22.568410275503901</v>
      </c>
      <c r="BL677" s="2">
        <v>22.445814424967299</v>
      </c>
      <c r="BM677" s="2">
        <v>22.279816143581598</v>
      </c>
      <c r="BN677" s="2">
        <v>21.581745331024401</v>
      </c>
      <c r="BO677" s="2">
        <v>22.206650316089402</v>
      </c>
      <c r="BP677" s="2">
        <v>21.816858817788599</v>
      </c>
      <c r="BQ677" s="2">
        <v>22.1277175070495</v>
      </c>
      <c r="BR677" s="2">
        <v>22.5202845215431</v>
      </c>
      <c r="BS677" s="2">
        <v>22.198023031605</v>
      </c>
      <c r="BT677" s="2">
        <v>22.4349978870641</v>
      </c>
      <c r="BU677" s="2">
        <v>22.250219206611401</v>
      </c>
      <c r="BV677" s="2">
        <v>22.422508531647601</v>
      </c>
      <c r="BW677" s="2">
        <v>22.033548985432699</v>
      </c>
      <c r="BX677" s="2">
        <v>22.328724891921599</v>
      </c>
      <c r="BY677" s="2">
        <v>22.4290863206785</v>
      </c>
      <c r="BZ677" s="2">
        <v>22.183302350838598</v>
      </c>
      <c r="CA677" s="2">
        <v>22.292088412543599</v>
      </c>
      <c r="CB677" s="2">
        <v>22.247745476970199</v>
      </c>
      <c r="CC677" s="2">
        <v>21.495947718384901</v>
      </c>
      <c r="CD677" s="2">
        <v>22.122452172425099</v>
      </c>
      <c r="CE677" s="2">
        <v>22.2498262553339</v>
      </c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</row>
    <row r="678" spans="1:97">
      <c r="A678" s="2" t="s">
        <v>6580</v>
      </c>
      <c r="B678" s="2">
        <v>185.00072</v>
      </c>
      <c r="C678" s="2">
        <v>6.6559999999999997</v>
      </c>
      <c r="D678" s="2" t="s">
        <v>146</v>
      </c>
      <c r="E678" s="2" t="s">
        <v>6581</v>
      </c>
      <c r="F678" s="2" t="s">
        <v>6582</v>
      </c>
      <c r="G678" s="2">
        <v>204066</v>
      </c>
      <c r="H678" s="3" t="str">
        <f>HYPERLINK("https://cloud.oebiotech.com/#/lm/network/204066", "https://cloud.oebiotech.com/#/lm/network/204066")</f>
        <v>https://cloud.oebiotech.com/#/lm/network/204066</v>
      </c>
      <c r="I678" s="2" t="s">
        <v>6583</v>
      </c>
      <c r="J678" s="2">
        <v>72903</v>
      </c>
      <c r="K678" s="2"/>
      <c r="L678" s="2">
        <v>7412</v>
      </c>
      <c r="M678" s="2" t="s">
        <v>6584</v>
      </c>
      <c r="N678" s="2"/>
      <c r="O678" s="2"/>
      <c r="P678" s="2">
        <v>82275</v>
      </c>
      <c r="Q678" s="2"/>
      <c r="R678" s="2"/>
      <c r="S678" s="2" t="s">
        <v>6585</v>
      </c>
      <c r="T678" s="2" t="s">
        <v>6586</v>
      </c>
      <c r="U678" s="2" t="s">
        <v>6587</v>
      </c>
      <c r="V678" s="2" t="s">
        <v>385</v>
      </c>
      <c r="W678" s="2" t="s">
        <v>386</v>
      </c>
      <c r="X678" s="2" t="s">
        <v>1059</v>
      </c>
      <c r="Y678" s="2" t="s">
        <v>388</v>
      </c>
      <c r="Z678" s="2" t="s">
        <v>389</v>
      </c>
      <c r="AA678" s="2" t="s">
        <v>1060</v>
      </c>
      <c r="AB678" s="2" t="s">
        <v>5118</v>
      </c>
      <c r="AC678" s="2">
        <v>55.23</v>
      </c>
      <c r="AD678" s="2">
        <v>77.67</v>
      </c>
      <c r="AE678" s="2">
        <v>77.239999999999995</v>
      </c>
      <c r="AF678" s="2" t="s">
        <v>6588</v>
      </c>
      <c r="AG678" s="2" t="s">
        <v>157</v>
      </c>
      <c r="AH678" s="2" t="s">
        <v>6589</v>
      </c>
      <c r="AI678" s="2">
        <v>2.16</v>
      </c>
      <c r="AJ678" s="2">
        <v>18.449153442418801</v>
      </c>
      <c r="AK678" s="2">
        <v>18.338932590030499</v>
      </c>
      <c r="AL678" s="2">
        <v>18.428243776780601</v>
      </c>
      <c r="AM678" s="2">
        <v>18.611243427677199</v>
      </c>
      <c r="AN678" s="2">
        <v>18.455347048876199</v>
      </c>
      <c r="AO678" s="2">
        <v>18.399053570924099</v>
      </c>
      <c r="AP678" s="2">
        <v>18.421478461827299</v>
      </c>
      <c r="AQ678" s="2">
        <v>18.105382958728502</v>
      </c>
      <c r="AR678" s="2">
        <v>9.6233145402724691</v>
      </c>
      <c r="AS678" s="2">
        <v>9.6233145402724691</v>
      </c>
      <c r="AT678" s="2">
        <v>9.6233145402724691</v>
      </c>
      <c r="AU678" s="2">
        <v>9.6233145402724691</v>
      </c>
      <c r="AV678" s="2">
        <v>12.7334327274007</v>
      </c>
      <c r="AW678" s="2">
        <v>17.7003652080409</v>
      </c>
      <c r="AX678" s="2">
        <v>9.6233145402724691</v>
      </c>
      <c r="AY678" s="2">
        <v>22.201384578448501</v>
      </c>
      <c r="AZ678" s="2">
        <v>12.394722592110901</v>
      </c>
      <c r="BA678" s="2">
        <v>9.6233145402724691</v>
      </c>
      <c r="BB678" s="2">
        <v>11.173464775950199</v>
      </c>
      <c r="BC678" s="2">
        <v>9.6233145402724691</v>
      </c>
      <c r="BD678" s="2">
        <v>9.6233145402724691</v>
      </c>
      <c r="BE678" s="2">
        <v>18.213693147355102</v>
      </c>
      <c r="BF678" s="2">
        <v>11.6029725336175</v>
      </c>
      <c r="BG678" s="2">
        <v>9.6233145402724691</v>
      </c>
      <c r="BH678" s="2">
        <v>20.403096356321399</v>
      </c>
      <c r="BI678" s="2">
        <v>11.2796105810525</v>
      </c>
      <c r="BJ678" s="2">
        <v>11.3460648987684</v>
      </c>
      <c r="BK678" s="2">
        <v>21.291179435937199</v>
      </c>
      <c r="BL678" s="2">
        <v>9.6233145402724691</v>
      </c>
      <c r="BM678" s="2">
        <v>9.6233145402724691</v>
      </c>
      <c r="BN678" s="2">
        <v>11.2463011923537</v>
      </c>
      <c r="BO678" s="2">
        <v>9.6233145402724691</v>
      </c>
      <c r="BP678" s="2">
        <v>9.6233145402724691</v>
      </c>
      <c r="BQ678" s="2">
        <v>19.651190417317501</v>
      </c>
      <c r="BR678" s="2">
        <v>9.6233145402724691</v>
      </c>
      <c r="BS678" s="2">
        <v>21.337469900237402</v>
      </c>
      <c r="BT678" s="2">
        <v>12.345280488677901</v>
      </c>
      <c r="BU678" s="2">
        <v>9.6233145402724691</v>
      </c>
      <c r="BV678" s="2">
        <v>9.6233145402724691</v>
      </c>
      <c r="BW678" s="2">
        <v>9.6233145402724691</v>
      </c>
      <c r="BX678" s="2">
        <v>9.6233145402724691</v>
      </c>
      <c r="BY678" s="2">
        <v>20.440581676386198</v>
      </c>
      <c r="BZ678" s="2">
        <v>12.5760520403946</v>
      </c>
      <c r="CA678" s="2">
        <v>9.6233145402724691</v>
      </c>
      <c r="CB678" s="2">
        <v>19.8832968671408</v>
      </c>
      <c r="CC678" s="2">
        <v>12.167531047982299</v>
      </c>
      <c r="CD678" s="2">
        <v>13.308761366213201</v>
      </c>
      <c r="CE678" s="2">
        <v>21.6338807065768</v>
      </c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</row>
    <row r="679" spans="1:97">
      <c r="A679" s="2" t="s">
        <v>6590</v>
      </c>
      <c r="B679" s="2">
        <v>309.16511000000003</v>
      </c>
      <c r="C679" s="2">
        <v>0.621</v>
      </c>
      <c r="D679" s="2" t="s">
        <v>84</v>
      </c>
      <c r="E679" s="2" t="s">
        <v>6591</v>
      </c>
      <c r="F679" s="2" t="s">
        <v>6592</v>
      </c>
      <c r="G679" s="2">
        <v>83455</v>
      </c>
      <c r="H679" s="3" t="str">
        <f>HYPERLINK("https://cloud.oebiotech.com/#/lm/network/83455", "https://cloud.oebiotech.com/#/lm/network/83455")</f>
        <v>https://cloud.oebiotech.com/#/lm/network/83455</v>
      </c>
      <c r="I679" s="2" t="s">
        <v>6593</v>
      </c>
      <c r="J679" s="2"/>
      <c r="K679" s="2"/>
      <c r="L679" s="2"/>
      <c r="M679" s="2"/>
      <c r="N679" s="2"/>
      <c r="O679" s="2"/>
      <c r="P679" s="2"/>
      <c r="Q679" s="2"/>
      <c r="R679" s="2"/>
      <c r="S679" s="2" t="s">
        <v>6594</v>
      </c>
      <c r="T679" s="2" t="s">
        <v>6595</v>
      </c>
      <c r="U679" s="2" t="s">
        <v>6596</v>
      </c>
      <c r="V679" s="2" t="s">
        <v>338</v>
      </c>
      <c r="W679" s="2" t="s">
        <v>339</v>
      </c>
      <c r="X679" s="2" t="s">
        <v>663</v>
      </c>
      <c r="Y679" s="2" t="s">
        <v>341</v>
      </c>
      <c r="Z679" s="2" t="s">
        <v>341</v>
      </c>
      <c r="AA679" s="2" t="s">
        <v>664</v>
      </c>
      <c r="AB679" s="2" t="s">
        <v>3086</v>
      </c>
      <c r="AC679" s="2">
        <v>55.23</v>
      </c>
      <c r="AD679" s="2">
        <v>91.58</v>
      </c>
      <c r="AE679" s="2">
        <v>0</v>
      </c>
      <c r="AF679" s="2" t="s">
        <v>5614</v>
      </c>
      <c r="AG679" s="2" t="s">
        <v>103</v>
      </c>
      <c r="AH679" s="2" t="s">
        <v>6597</v>
      </c>
      <c r="AI679" s="2">
        <v>1.62</v>
      </c>
      <c r="AJ679" s="2">
        <v>19.900630358773501</v>
      </c>
      <c r="AK679" s="2">
        <v>19.934543208703602</v>
      </c>
      <c r="AL679" s="2">
        <v>19.944672989239301</v>
      </c>
      <c r="AM679" s="2">
        <v>19.850039439397001</v>
      </c>
      <c r="AN679" s="2">
        <v>19.3441601503411</v>
      </c>
      <c r="AO679" s="2">
        <v>19.3530400136491</v>
      </c>
      <c r="AP679" s="2">
        <v>19.820421444270799</v>
      </c>
      <c r="AQ679" s="2">
        <v>20.078394597988702</v>
      </c>
      <c r="AR679" s="2">
        <v>19.155503354962601</v>
      </c>
      <c r="AS679" s="2">
        <v>18.113980944136799</v>
      </c>
      <c r="AT679" s="2">
        <v>16.395821614947199</v>
      </c>
      <c r="AU679" s="2">
        <v>18.4838863376952</v>
      </c>
      <c r="AV679" s="2">
        <v>19.608357366160998</v>
      </c>
      <c r="AW679" s="2">
        <v>19.898546654736698</v>
      </c>
      <c r="AX679" s="2">
        <v>18.694220002367601</v>
      </c>
      <c r="AY679" s="2">
        <v>20.488750614040601</v>
      </c>
      <c r="AZ679" s="2">
        <v>20.093805680090298</v>
      </c>
      <c r="BA679" s="2">
        <v>19.060279882179199</v>
      </c>
      <c r="BB679" s="2">
        <v>20.109472996203699</v>
      </c>
      <c r="BC679" s="2">
        <v>18.701447969375799</v>
      </c>
      <c r="BD679" s="2">
        <v>19.030580957514001</v>
      </c>
      <c r="BE679" s="2">
        <v>20.3531719007925</v>
      </c>
      <c r="BF679" s="2">
        <v>19.142482967829601</v>
      </c>
      <c r="BG679" s="2">
        <v>20.214660224379202</v>
      </c>
      <c r="BH679" s="2">
        <v>18.8699402465319</v>
      </c>
      <c r="BI679" s="2">
        <v>19.241064629358199</v>
      </c>
      <c r="BJ679" s="2">
        <v>20.774801992706799</v>
      </c>
      <c r="BK679" s="2">
        <v>20.9563432427843</v>
      </c>
      <c r="BL679" s="2">
        <v>19.2861141832736</v>
      </c>
      <c r="BM679" s="2">
        <v>19.229744756526099</v>
      </c>
      <c r="BN679" s="2">
        <v>19.915476522391</v>
      </c>
      <c r="BO679" s="2">
        <v>18.881814526265</v>
      </c>
      <c r="BP679" s="2">
        <v>19.895446487818301</v>
      </c>
      <c r="BQ679" s="2">
        <v>18.993587022581401</v>
      </c>
      <c r="BR679" s="2">
        <v>19.863299486005399</v>
      </c>
      <c r="BS679" s="2">
        <v>21.080320612791201</v>
      </c>
      <c r="BT679" s="2">
        <v>18.534797036997698</v>
      </c>
      <c r="BU679" s="2">
        <v>18.369224322405799</v>
      </c>
      <c r="BV679" s="2">
        <v>19.240158197764998</v>
      </c>
      <c r="BW679" s="2">
        <v>18.9224026084797</v>
      </c>
      <c r="BX679" s="2">
        <v>19.495781087964399</v>
      </c>
      <c r="BY679" s="2">
        <v>21.4674062780383</v>
      </c>
      <c r="BZ679" s="2">
        <v>19.563517308848098</v>
      </c>
      <c r="CA679" s="2">
        <v>21.459931059852</v>
      </c>
      <c r="CB679" s="2">
        <v>20.043341717103299</v>
      </c>
      <c r="CC679" s="2">
        <v>20.193585829262201</v>
      </c>
      <c r="CD679" s="2">
        <v>21.427926313971401</v>
      </c>
      <c r="CE679" s="2">
        <v>20.111719970365499</v>
      </c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</row>
    <row r="680" spans="1:97">
      <c r="A680" s="2" t="s">
        <v>6598</v>
      </c>
      <c r="B680" s="2">
        <v>123.08116</v>
      </c>
      <c r="C680" s="2">
        <v>7.4050000000000002</v>
      </c>
      <c r="D680" s="2" t="s">
        <v>146</v>
      </c>
      <c r="E680" s="2" t="s">
        <v>6599</v>
      </c>
      <c r="F680" s="2" t="s">
        <v>6600</v>
      </c>
      <c r="G680" s="2">
        <v>55977</v>
      </c>
      <c r="H680" s="3" t="str">
        <f>HYPERLINK("https://cloud.oebiotech.com/#/lm/network/55977", "https://cloud.oebiotech.com/#/lm/network/55977")</f>
        <v>https://cloud.oebiotech.com/#/lm/network/55977</v>
      </c>
      <c r="I680" s="2" t="s">
        <v>6601</v>
      </c>
      <c r="J680" s="2">
        <v>87656</v>
      </c>
      <c r="K680" s="2"/>
      <c r="L680" s="2">
        <v>21363</v>
      </c>
      <c r="M680" s="2"/>
      <c r="N680" s="2"/>
      <c r="O680" s="2"/>
      <c r="P680" s="2">
        <v>37277</v>
      </c>
      <c r="Q680" s="2"/>
      <c r="R680" s="2"/>
      <c r="S680" s="2" t="s">
        <v>6602</v>
      </c>
      <c r="T680" s="2" t="s">
        <v>6603</v>
      </c>
      <c r="U680" s="2" t="s">
        <v>6604</v>
      </c>
      <c r="V680" s="2" t="s">
        <v>115</v>
      </c>
      <c r="W680" s="2" t="s">
        <v>116</v>
      </c>
      <c r="X680" s="2" t="s">
        <v>2388</v>
      </c>
      <c r="Y680" s="2" t="s">
        <v>118</v>
      </c>
      <c r="Z680" s="2" t="s">
        <v>119</v>
      </c>
      <c r="AA680" s="2" t="s">
        <v>2389</v>
      </c>
      <c r="AB680" s="2" t="s">
        <v>3086</v>
      </c>
      <c r="AC680" s="2">
        <v>55.2</v>
      </c>
      <c r="AD680" s="2">
        <v>95.5</v>
      </c>
      <c r="AE680" s="2">
        <v>0</v>
      </c>
      <c r="AF680" s="2" t="s">
        <v>5614</v>
      </c>
      <c r="AG680" s="2" t="s">
        <v>993</v>
      </c>
      <c r="AH680" s="2" t="s">
        <v>6605</v>
      </c>
      <c r="AI680" s="2">
        <v>-1.38</v>
      </c>
      <c r="AJ680" s="2">
        <v>16.6392879916575</v>
      </c>
      <c r="AK680" s="2">
        <v>16.892285711707199</v>
      </c>
      <c r="AL680" s="2">
        <v>16.841584002842499</v>
      </c>
      <c r="AM680" s="2">
        <v>16.8343401862364</v>
      </c>
      <c r="AN680" s="2">
        <v>16.9116934541394</v>
      </c>
      <c r="AO680" s="2">
        <v>16.6346854326938</v>
      </c>
      <c r="AP680" s="2">
        <v>17.2405915132587</v>
      </c>
      <c r="AQ680" s="2">
        <v>17.260557289575399</v>
      </c>
      <c r="AR680" s="2">
        <v>16.9809058058683</v>
      </c>
      <c r="AS680" s="2">
        <v>16.1157506365155</v>
      </c>
      <c r="AT680" s="2">
        <v>16.8880165108536</v>
      </c>
      <c r="AU680" s="2">
        <v>17.1478475499874</v>
      </c>
      <c r="AV680" s="2">
        <v>16.538691986658002</v>
      </c>
      <c r="AW680" s="2">
        <v>17.725993718802101</v>
      </c>
      <c r="AX680" s="2">
        <v>15.903861609462099</v>
      </c>
      <c r="AY680" s="2">
        <v>16.197672839503799</v>
      </c>
      <c r="AZ680" s="2">
        <v>16.042305969453199</v>
      </c>
      <c r="BA680" s="2">
        <v>17.178689065580599</v>
      </c>
      <c r="BB680" s="2">
        <v>17.097945696376001</v>
      </c>
      <c r="BC680" s="2">
        <v>17.045342454732399</v>
      </c>
      <c r="BD680" s="2">
        <v>17.147787542694399</v>
      </c>
      <c r="BE680" s="2">
        <v>15.794355448168499</v>
      </c>
      <c r="BF680" s="2">
        <v>16.874682195563899</v>
      </c>
      <c r="BG680" s="2">
        <v>16.334608322382099</v>
      </c>
      <c r="BH680" s="2">
        <v>16.7625429521105</v>
      </c>
      <c r="BI680" s="2">
        <v>16.538494665868001</v>
      </c>
      <c r="BJ680" s="2">
        <v>18.558327208316701</v>
      </c>
      <c r="BK680" s="2">
        <v>17.2350735092074</v>
      </c>
      <c r="BL680" s="2">
        <v>16.695029776749202</v>
      </c>
      <c r="BM680" s="2">
        <v>16.843615265455899</v>
      </c>
      <c r="BN680" s="2">
        <v>17.0814163407283</v>
      </c>
      <c r="BO680" s="2">
        <v>16.8631873673536</v>
      </c>
      <c r="BP680" s="2">
        <v>14.1756041262646</v>
      </c>
      <c r="BQ680" s="2">
        <v>16.9278299190903</v>
      </c>
      <c r="BR680" s="2">
        <v>16.010381897105301</v>
      </c>
      <c r="BS680" s="2">
        <v>16.246630759504299</v>
      </c>
      <c r="BT680" s="2">
        <v>18.637372656135401</v>
      </c>
      <c r="BU680" s="2">
        <v>16.9280358772364</v>
      </c>
      <c r="BV680" s="2">
        <v>16.926988193505199</v>
      </c>
      <c r="BW680" s="2">
        <v>15.828203191426301</v>
      </c>
      <c r="BX680" s="2">
        <v>16.890547628932602</v>
      </c>
      <c r="BY680" s="2">
        <v>16.494975710346498</v>
      </c>
      <c r="BZ680" s="2">
        <v>15.7707908560549</v>
      </c>
      <c r="CA680" s="2">
        <v>16.863771281162201</v>
      </c>
      <c r="CB680" s="2">
        <v>16.005709189264198</v>
      </c>
      <c r="CC680" s="2">
        <v>17.082390454638901</v>
      </c>
      <c r="CD680" s="2">
        <v>17.315442632999002</v>
      </c>
      <c r="CE680" s="2">
        <v>17.105789554148402</v>
      </c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</row>
    <row r="681" spans="1:97">
      <c r="A681" s="2" t="s">
        <v>6606</v>
      </c>
      <c r="B681" s="2">
        <v>249.14908</v>
      </c>
      <c r="C681" s="2">
        <v>11.509</v>
      </c>
      <c r="D681" s="2" t="s">
        <v>146</v>
      </c>
      <c r="E681" s="2" t="s">
        <v>6607</v>
      </c>
      <c r="F681" s="2" t="s">
        <v>6608</v>
      </c>
      <c r="G681" s="2">
        <v>64568</v>
      </c>
      <c r="H681" s="3" t="str">
        <f>HYPERLINK("https://cloud.oebiotech.com/#/lm/network/64568", "https://cloud.oebiotech.com/#/lm/network/64568")</f>
        <v>https://cloud.oebiotech.com/#/lm/network/64568</v>
      </c>
      <c r="I681" s="2" t="s">
        <v>6609</v>
      </c>
      <c r="J681" s="2">
        <v>95870</v>
      </c>
      <c r="K681" s="2"/>
      <c r="L681" s="2">
        <v>5463905</v>
      </c>
      <c r="M681" s="2"/>
      <c r="N681" s="2"/>
      <c r="O681" s="2"/>
      <c r="P681" s="2"/>
      <c r="Q681" s="2"/>
      <c r="R681" s="2"/>
      <c r="S681" s="2" t="s">
        <v>6610</v>
      </c>
      <c r="T681" s="2" t="s">
        <v>6611</v>
      </c>
      <c r="U681" s="2" t="s">
        <v>6612</v>
      </c>
      <c r="V681" s="2" t="s">
        <v>385</v>
      </c>
      <c r="W681" s="2" t="s">
        <v>386</v>
      </c>
      <c r="X681" s="2" t="s">
        <v>375</v>
      </c>
      <c r="Y681" s="2" t="s">
        <v>388</v>
      </c>
      <c r="Z681" s="2" t="s">
        <v>389</v>
      </c>
      <c r="AA681" s="2"/>
      <c r="AB681" s="2" t="s">
        <v>3086</v>
      </c>
      <c r="AC681" s="2">
        <v>55.19</v>
      </c>
      <c r="AD681" s="2">
        <v>91.01</v>
      </c>
      <c r="AE681" s="2">
        <v>0</v>
      </c>
      <c r="AF681" s="2" t="s">
        <v>5614</v>
      </c>
      <c r="AG681" s="2" t="s">
        <v>157</v>
      </c>
      <c r="AH681" s="2" t="s">
        <v>6613</v>
      </c>
      <c r="AI681" s="2">
        <v>2.0099999999999998</v>
      </c>
      <c r="AJ681" s="2">
        <v>19.8587604518634</v>
      </c>
      <c r="AK681" s="2">
        <v>19.3204774282163</v>
      </c>
      <c r="AL681" s="2">
        <v>19.376607911573799</v>
      </c>
      <c r="AM681" s="2">
        <v>19.4977100064349</v>
      </c>
      <c r="AN681" s="2">
        <v>19.4931921648162</v>
      </c>
      <c r="AO681" s="2">
        <v>19.911573521750999</v>
      </c>
      <c r="AP681" s="2">
        <v>20.0555692680473</v>
      </c>
      <c r="AQ681" s="2">
        <v>19.084314130696399</v>
      </c>
      <c r="AR681" s="2">
        <v>18.304871327627598</v>
      </c>
      <c r="AS681" s="2">
        <v>17.815276523322598</v>
      </c>
      <c r="AT681" s="2">
        <v>17.998133786106401</v>
      </c>
      <c r="AU681" s="2">
        <v>17.965079333388601</v>
      </c>
      <c r="AV681" s="2">
        <v>17.923337293873502</v>
      </c>
      <c r="AW681" s="2">
        <v>17.557118647883801</v>
      </c>
      <c r="AX681" s="2">
        <v>17.0200163162108</v>
      </c>
      <c r="AY681" s="2">
        <v>18.200011538795799</v>
      </c>
      <c r="AZ681" s="2">
        <v>17.6753955066402</v>
      </c>
      <c r="BA681" s="2">
        <v>18.0645894765732</v>
      </c>
      <c r="BB681" s="2">
        <v>17.614477144194801</v>
      </c>
      <c r="BC681" s="2">
        <v>17.948105110113101</v>
      </c>
      <c r="BD681" s="2">
        <v>17.211408862435601</v>
      </c>
      <c r="BE681" s="2">
        <v>17.677062357776901</v>
      </c>
      <c r="BF681" s="2">
        <v>18.0263135673428</v>
      </c>
      <c r="BG681" s="2">
        <v>17.4898927147688</v>
      </c>
      <c r="BH681" s="2">
        <v>17.454058186973</v>
      </c>
      <c r="BI681" s="2">
        <v>17.9431548317541</v>
      </c>
      <c r="BJ681" s="2">
        <v>17.692725143440999</v>
      </c>
      <c r="BK681" s="2">
        <v>17.724262164229302</v>
      </c>
      <c r="BL681" s="2">
        <v>17.482679645300401</v>
      </c>
      <c r="BM681" s="2">
        <v>17.6894843374365</v>
      </c>
      <c r="BN681" s="2">
        <v>17.9390978760471</v>
      </c>
      <c r="BO681" s="2">
        <v>17.762282107646101</v>
      </c>
      <c r="BP681" s="2">
        <v>17.3989852062561</v>
      </c>
      <c r="BQ681" s="2">
        <v>17.6903657348171</v>
      </c>
      <c r="BR681" s="2">
        <v>17.864196907746098</v>
      </c>
      <c r="BS681" s="2">
        <v>17.6108333784575</v>
      </c>
      <c r="BT681" s="2">
        <v>17.784321087631898</v>
      </c>
      <c r="BU681" s="2">
        <v>17.901416579790698</v>
      </c>
      <c r="BV681" s="2">
        <v>17.340678135519902</v>
      </c>
      <c r="BW681" s="2">
        <v>17.522516707823399</v>
      </c>
      <c r="BX681" s="2">
        <v>17.741262749909001</v>
      </c>
      <c r="BY681" s="2">
        <v>18.576352882071301</v>
      </c>
      <c r="BZ681" s="2">
        <v>17.7153016582199</v>
      </c>
      <c r="CA681" s="2">
        <v>17.6068263517788</v>
      </c>
      <c r="CB681" s="2">
        <v>17.697027343063301</v>
      </c>
      <c r="CC681" s="2">
        <v>17.874874994908101</v>
      </c>
      <c r="CD681" s="2">
        <v>17.698306055809901</v>
      </c>
      <c r="CE681" s="2">
        <v>17.9174349022936</v>
      </c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</row>
    <row r="682" spans="1:97">
      <c r="A682" s="2" t="s">
        <v>6614</v>
      </c>
      <c r="B682" s="2">
        <v>181.08329000000001</v>
      </c>
      <c r="C682" s="2">
        <v>0.66500000000000004</v>
      </c>
      <c r="D682" s="2" t="s">
        <v>84</v>
      </c>
      <c r="E682" s="2" t="s">
        <v>6615</v>
      </c>
      <c r="F682" s="2" t="s">
        <v>6616</v>
      </c>
      <c r="G682" s="2">
        <v>47230</v>
      </c>
      <c r="H682" s="3" t="str">
        <f>HYPERLINK("https://cloud.oebiotech.com/#/lm/network/47230", "https://cloud.oebiotech.com/#/lm/network/47230")</f>
        <v>https://cloud.oebiotech.com/#/lm/network/47230</v>
      </c>
      <c r="I682" s="2" t="s">
        <v>6617</v>
      </c>
      <c r="J682" s="2">
        <v>5766</v>
      </c>
      <c r="K682" s="2"/>
      <c r="L682" s="2">
        <v>73000</v>
      </c>
      <c r="M682" s="2" t="s">
        <v>6618</v>
      </c>
      <c r="N682" s="2"/>
      <c r="O682" s="2"/>
      <c r="P682" s="2">
        <v>18265</v>
      </c>
      <c r="Q682" s="2"/>
      <c r="R682" s="2"/>
      <c r="S682" s="2" t="s">
        <v>6619</v>
      </c>
      <c r="T682" s="2" t="s">
        <v>6620</v>
      </c>
      <c r="U682" s="2" t="s">
        <v>6621</v>
      </c>
      <c r="V682" s="2" t="s">
        <v>553</v>
      </c>
      <c r="W682" s="2" t="s">
        <v>3468</v>
      </c>
      <c r="X682" s="2" t="s">
        <v>6622</v>
      </c>
      <c r="Y682" s="2" t="s">
        <v>556</v>
      </c>
      <c r="Z682" s="2" t="s">
        <v>3470</v>
      </c>
      <c r="AA682" s="2" t="s">
        <v>6623</v>
      </c>
      <c r="AB682" s="2" t="s">
        <v>3086</v>
      </c>
      <c r="AC682" s="2">
        <v>55.18</v>
      </c>
      <c r="AD682" s="2">
        <v>95.15</v>
      </c>
      <c r="AE682" s="2">
        <v>0</v>
      </c>
      <c r="AF682" s="2" t="s">
        <v>6624</v>
      </c>
      <c r="AG682" s="2" t="s">
        <v>132</v>
      </c>
      <c r="AH682" s="2" t="s">
        <v>6625</v>
      </c>
      <c r="AI682" s="2">
        <v>-0.55000000000000004</v>
      </c>
      <c r="AJ682" s="2">
        <v>21.0920162878528</v>
      </c>
      <c r="AK682" s="2">
        <v>20.845743259925801</v>
      </c>
      <c r="AL682" s="2">
        <v>21.210214419194902</v>
      </c>
      <c r="AM682" s="2">
        <v>21.165467277922598</v>
      </c>
      <c r="AN682" s="2">
        <v>20.8078903786182</v>
      </c>
      <c r="AO682" s="2">
        <v>20.739295139458498</v>
      </c>
      <c r="AP682" s="2">
        <v>21.0766259203827</v>
      </c>
      <c r="AQ682" s="2">
        <v>20.698055019197302</v>
      </c>
      <c r="AR682" s="2">
        <v>20.8940879125864</v>
      </c>
      <c r="AS682" s="2">
        <v>20.713913822035799</v>
      </c>
      <c r="AT682" s="2">
        <v>20.718648642216401</v>
      </c>
      <c r="AU682" s="2">
        <v>20.575948364677998</v>
      </c>
      <c r="AV682" s="2">
        <v>21.1117137373645</v>
      </c>
      <c r="AW682" s="2">
        <v>21.2941368749944</v>
      </c>
      <c r="AX682" s="2">
        <v>21.049196335627499</v>
      </c>
      <c r="AY682" s="2">
        <v>21.155652945116699</v>
      </c>
      <c r="AZ682" s="2">
        <v>20.551087131095901</v>
      </c>
      <c r="BA682" s="2">
        <v>20.908770352512601</v>
      </c>
      <c r="BB682" s="2">
        <v>21.011420479096699</v>
      </c>
      <c r="BC682" s="2">
        <v>20.172323877632699</v>
      </c>
      <c r="BD682" s="2">
        <v>21.389476858093499</v>
      </c>
      <c r="BE682" s="2">
        <v>20.553797806219301</v>
      </c>
      <c r="BF682" s="2">
        <v>20.925652638133499</v>
      </c>
      <c r="BG682" s="2">
        <v>21.1796233866358</v>
      </c>
      <c r="BH682" s="2">
        <v>21.201507372105901</v>
      </c>
      <c r="BI682" s="2">
        <v>20.317148214400198</v>
      </c>
      <c r="BJ682" s="2">
        <v>20.9277784466566</v>
      </c>
      <c r="BK682" s="2">
        <v>20.739097939762701</v>
      </c>
      <c r="BL682" s="2">
        <v>21.1092652758763</v>
      </c>
      <c r="BM682" s="2">
        <v>20.673078364571101</v>
      </c>
      <c r="BN682" s="2">
        <v>20.4695121803727</v>
      </c>
      <c r="BO682" s="2">
        <v>20.576678864563501</v>
      </c>
      <c r="BP682" s="2">
        <v>21.057566358798098</v>
      </c>
      <c r="BQ682" s="2">
        <v>21.035206480172</v>
      </c>
      <c r="BR682" s="2">
        <v>21.020447428381999</v>
      </c>
      <c r="BS682" s="2">
        <v>20.7646727870452</v>
      </c>
      <c r="BT682" s="2">
        <v>21.342878988022999</v>
      </c>
      <c r="BU682" s="2">
        <v>21.171073889395998</v>
      </c>
      <c r="BV682" s="2">
        <v>21.007248248631299</v>
      </c>
      <c r="BW682" s="2">
        <v>20.6620203616285</v>
      </c>
      <c r="BX682" s="2">
        <v>21.105914900942999</v>
      </c>
      <c r="BY682" s="2">
        <v>20.516411350243601</v>
      </c>
      <c r="BZ682" s="2">
        <v>21.050970440390898</v>
      </c>
      <c r="CA682" s="2">
        <v>21.218449504255702</v>
      </c>
      <c r="CB682" s="2">
        <v>21.032393182370601</v>
      </c>
      <c r="CC682" s="2">
        <v>20.8013812955001</v>
      </c>
      <c r="CD682" s="2">
        <v>21.463375340394901</v>
      </c>
      <c r="CE682" s="2">
        <v>21.0969063444598</v>
      </c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</row>
    <row r="683" spans="1:97">
      <c r="A683" s="2" t="s">
        <v>6626</v>
      </c>
      <c r="B683" s="2">
        <v>324.07191</v>
      </c>
      <c r="C683" s="2">
        <v>3.6480000000000001</v>
      </c>
      <c r="D683" s="2" t="s">
        <v>146</v>
      </c>
      <c r="E683" s="2" t="s">
        <v>6627</v>
      </c>
      <c r="F683" s="2" t="s">
        <v>6628</v>
      </c>
      <c r="G683" s="2">
        <v>197081</v>
      </c>
      <c r="H683" s="3" t="str">
        <f>HYPERLINK("https://cloud.oebiotech.com/#/lm/network/197081", "https://cloud.oebiotech.com/#/lm/network/197081")</f>
        <v>https://cloud.oebiotech.com/#/lm/network/197081</v>
      </c>
      <c r="I683" s="2" t="s">
        <v>6629</v>
      </c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 t="s">
        <v>6630</v>
      </c>
      <c r="U683" s="2" t="s">
        <v>6631</v>
      </c>
      <c r="V683" s="2" t="s">
        <v>338</v>
      </c>
      <c r="W683" s="2" t="s">
        <v>339</v>
      </c>
      <c r="X683" s="2" t="s">
        <v>663</v>
      </c>
      <c r="Y683" s="2" t="s">
        <v>341</v>
      </c>
      <c r="Z683" s="2" t="s">
        <v>341</v>
      </c>
      <c r="AA683" s="2" t="s">
        <v>664</v>
      </c>
      <c r="AB683" s="2" t="s">
        <v>3086</v>
      </c>
      <c r="AC683" s="2">
        <v>55.18</v>
      </c>
      <c r="AD683" s="2">
        <v>90.49</v>
      </c>
      <c r="AE683" s="2">
        <v>0</v>
      </c>
      <c r="AF683" s="2" t="s">
        <v>5614</v>
      </c>
      <c r="AG683" s="2" t="s">
        <v>993</v>
      </c>
      <c r="AH683" s="2" t="s">
        <v>6632</v>
      </c>
      <c r="AI683" s="2">
        <v>0</v>
      </c>
      <c r="AJ683" s="2">
        <v>16.936471968921801</v>
      </c>
      <c r="AK683" s="2">
        <v>17.326391301967998</v>
      </c>
      <c r="AL683" s="2">
        <v>16.353612586112298</v>
      </c>
      <c r="AM683" s="2">
        <v>17.116153559231002</v>
      </c>
      <c r="AN683" s="2">
        <v>17.227840501002898</v>
      </c>
      <c r="AO683" s="2">
        <v>16.617735190784099</v>
      </c>
      <c r="AP683" s="2">
        <v>16.219843113127599</v>
      </c>
      <c r="AQ683" s="2">
        <v>17.146106125402099</v>
      </c>
      <c r="AR683" s="2">
        <v>14.7783410380734</v>
      </c>
      <c r="AS683" s="2">
        <v>15.946518872714901</v>
      </c>
      <c r="AT683" s="2">
        <v>15.8390551403252</v>
      </c>
      <c r="AU683" s="2">
        <v>16.532986083914299</v>
      </c>
      <c r="AV683" s="2">
        <v>17.263364666443099</v>
      </c>
      <c r="AW683" s="2">
        <v>16.819480586461101</v>
      </c>
      <c r="AX683" s="2">
        <v>15.8994291502843</v>
      </c>
      <c r="AY683" s="2">
        <v>17.028890474424799</v>
      </c>
      <c r="AZ683" s="2">
        <v>16.161137001707601</v>
      </c>
      <c r="BA683" s="2">
        <v>14.072757324033001</v>
      </c>
      <c r="BB683" s="2">
        <v>16.874647018308998</v>
      </c>
      <c r="BC683" s="2">
        <v>15.6961082258704</v>
      </c>
      <c r="BD683" s="2">
        <v>15.9927713069382</v>
      </c>
      <c r="BE683" s="2">
        <v>18.123774351886201</v>
      </c>
      <c r="BF683" s="2">
        <v>9.6233145402724691</v>
      </c>
      <c r="BG683" s="2">
        <v>16.8574571846464</v>
      </c>
      <c r="BH683" s="2">
        <v>16.5880096564835</v>
      </c>
      <c r="BI683" s="2">
        <v>18.1517928630463</v>
      </c>
      <c r="BJ683" s="2">
        <v>17.589633007389502</v>
      </c>
      <c r="BK683" s="2">
        <v>16.260902815293701</v>
      </c>
      <c r="BL683" s="2">
        <v>17.1127311807514</v>
      </c>
      <c r="BM683" s="2">
        <v>16.5203633137018</v>
      </c>
      <c r="BN683" s="2">
        <v>17.359553461518001</v>
      </c>
      <c r="BO683" s="2">
        <v>15.008993596169701</v>
      </c>
      <c r="BP683" s="2">
        <v>16.9314644606937</v>
      </c>
      <c r="BQ683" s="2">
        <v>16.307435818628001</v>
      </c>
      <c r="BR683" s="2">
        <v>15.355230981556099</v>
      </c>
      <c r="BS683" s="2">
        <v>17.249326170090502</v>
      </c>
      <c r="BT683" s="2">
        <v>16.937531066117501</v>
      </c>
      <c r="BU683" s="2">
        <v>16.1620930968975</v>
      </c>
      <c r="BV683" s="2">
        <v>15.526986066565399</v>
      </c>
      <c r="BW683" s="2">
        <v>9.6233145402724691</v>
      </c>
      <c r="BX683" s="2">
        <v>16.280496940863699</v>
      </c>
      <c r="BY683" s="2">
        <v>18.3212096944869</v>
      </c>
      <c r="BZ683" s="2">
        <v>13.4160202998325</v>
      </c>
      <c r="CA683" s="2">
        <v>9.6233145402724691</v>
      </c>
      <c r="CB683" s="2">
        <v>15.3155136580858</v>
      </c>
      <c r="CC683" s="2">
        <v>16.1309525818838</v>
      </c>
      <c r="CD683" s="2">
        <v>16.3304593127387</v>
      </c>
      <c r="CE683" s="2">
        <v>9.6233145402724691</v>
      </c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</row>
    <row r="684" spans="1:97">
      <c r="A684" s="2" t="s">
        <v>6633</v>
      </c>
      <c r="B684" s="2">
        <v>249.10747000000001</v>
      </c>
      <c r="C684" s="2">
        <v>0.752</v>
      </c>
      <c r="D684" s="2" t="s">
        <v>84</v>
      </c>
      <c r="E684" s="2" t="s">
        <v>6634</v>
      </c>
      <c r="F684" s="2" t="s">
        <v>6635</v>
      </c>
      <c r="G684" s="2">
        <v>54071</v>
      </c>
      <c r="H684" s="3" t="str">
        <f>HYPERLINK("https://cloud.oebiotech.com/#/lm/network/54071", "https://cloud.oebiotech.com/#/lm/network/54071")</f>
        <v>https://cloud.oebiotech.com/#/lm/network/54071</v>
      </c>
      <c r="I684" s="2" t="s">
        <v>6636</v>
      </c>
      <c r="J684" s="2">
        <v>23995</v>
      </c>
      <c r="K684" s="2"/>
      <c r="L684" s="2">
        <v>7020163</v>
      </c>
      <c r="M684" s="2"/>
      <c r="N684" s="2"/>
      <c r="O684" s="2"/>
      <c r="P684" s="2">
        <v>74857</v>
      </c>
      <c r="Q684" s="2"/>
      <c r="R684" s="2"/>
      <c r="S684" s="2" t="s">
        <v>6637</v>
      </c>
      <c r="T684" s="2" t="s">
        <v>6638</v>
      </c>
      <c r="U684" s="2" t="s">
        <v>6639</v>
      </c>
      <c r="V684" s="2" t="s">
        <v>115</v>
      </c>
      <c r="W684" s="2" t="s">
        <v>116</v>
      </c>
      <c r="X684" s="2" t="s">
        <v>117</v>
      </c>
      <c r="Y684" s="2" t="s">
        <v>118</v>
      </c>
      <c r="Z684" s="2" t="s">
        <v>119</v>
      </c>
      <c r="AA684" s="2" t="s">
        <v>120</v>
      </c>
      <c r="AB684" s="2" t="s">
        <v>3086</v>
      </c>
      <c r="AC684" s="2">
        <v>55.18</v>
      </c>
      <c r="AD684" s="2">
        <v>93.66</v>
      </c>
      <c r="AE684" s="2">
        <v>0</v>
      </c>
      <c r="AF684" s="2" t="s">
        <v>5614</v>
      </c>
      <c r="AG684" s="2" t="s">
        <v>103</v>
      </c>
      <c r="AH684" s="2" t="s">
        <v>636</v>
      </c>
      <c r="AI684" s="2">
        <v>2.41</v>
      </c>
      <c r="AJ684" s="2">
        <v>22.628275592095299</v>
      </c>
      <c r="AK684" s="2">
        <v>22.4758350617902</v>
      </c>
      <c r="AL684" s="2">
        <v>22.495189710999998</v>
      </c>
      <c r="AM684" s="2">
        <v>22.554816990067799</v>
      </c>
      <c r="AN684" s="2">
        <v>21.270194567935601</v>
      </c>
      <c r="AO684" s="2">
        <v>22.5532357610061</v>
      </c>
      <c r="AP684" s="2">
        <v>22.515296713277301</v>
      </c>
      <c r="AQ684" s="2">
        <v>22.539398010046199</v>
      </c>
      <c r="AR684" s="2">
        <v>21.461748873283501</v>
      </c>
      <c r="AS684" s="2">
        <v>21.609547381535901</v>
      </c>
      <c r="AT684" s="2">
        <v>21.721458104290399</v>
      </c>
      <c r="AU684" s="2">
        <v>23.172645032641999</v>
      </c>
      <c r="AV684" s="2">
        <v>22.4793904675868</v>
      </c>
      <c r="AW684" s="2">
        <v>21.779790875363201</v>
      </c>
      <c r="AX684" s="2">
        <v>22.548137813144599</v>
      </c>
      <c r="AY684" s="2">
        <v>21.794438070348001</v>
      </c>
      <c r="AZ684" s="2">
        <v>22.543965105582402</v>
      </c>
      <c r="BA684" s="2">
        <v>22.151629640853699</v>
      </c>
      <c r="BB684" s="2">
        <v>21.720750965901399</v>
      </c>
      <c r="BC684" s="2">
        <v>22.512759066963898</v>
      </c>
      <c r="BD684" s="2">
        <v>22.2983925457313</v>
      </c>
      <c r="BE684" s="2">
        <v>21.321164179635598</v>
      </c>
      <c r="BF684" s="2">
        <v>22.057001372463102</v>
      </c>
      <c r="BG684" s="2">
        <v>22.087648454029001</v>
      </c>
      <c r="BH684" s="2">
        <v>21.989733454466801</v>
      </c>
      <c r="BI684" s="2">
        <v>22.290255161322801</v>
      </c>
      <c r="BJ684" s="2">
        <v>22.4073557829592</v>
      </c>
      <c r="BK684" s="2">
        <v>22.095546602491702</v>
      </c>
      <c r="BL684" s="2">
        <v>21.838938487090001</v>
      </c>
      <c r="BM684" s="2">
        <v>23.245320927149901</v>
      </c>
      <c r="BN684" s="2">
        <v>21.120631424496001</v>
      </c>
      <c r="BO684" s="2">
        <v>21.421490660954198</v>
      </c>
      <c r="BP684" s="2">
        <v>22.278410310738</v>
      </c>
      <c r="BQ684" s="2">
        <v>22.4763739219038</v>
      </c>
      <c r="BR684" s="2">
        <v>21.5642354022356</v>
      </c>
      <c r="BS684" s="2">
        <v>22.596940234201799</v>
      </c>
      <c r="BT684" s="2">
        <v>21.9617475707986</v>
      </c>
      <c r="BU684" s="2">
        <v>22.264280100032199</v>
      </c>
      <c r="BV684" s="2">
        <v>21.2794341086549</v>
      </c>
      <c r="BW684" s="2">
        <v>22.386992901191999</v>
      </c>
      <c r="BX684" s="2">
        <v>22.385619105819998</v>
      </c>
      <c r="BY684" s="2">
        <v>22.990054454732601</v>
      </c>
      <c r="BZ684" s="2">
        <v>22.623467852911499</v>
      </c>
      <c r="CA684" s="2">
        <v>21.978537242809001</v>
      </c>
      <c r="CB684" s="2">
        <v>21.626295888508501</v>
      </c>
      <c r="CC684" s="2">
        <v>22.8556852254845</v>
      </c>
      <c r="CD684" s="2">
        <v>22.0379330043063</v>
      </c>
      <c r="CE684" s="2">
        <v>21.774607922659399</v>
      </c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</row>
    <row r="685" spans="1:97">
      <c r="A685" s="2" t="s">
        <v>6640</v>
      </c>
      <c r="B685" s="2">
        <v>313.21579000000003</v>
      </c>
      <c r="C685" s="2">
        <v>8.8119999999999994</v>
      </c>
      <c r="D685" s="2" t="s">
        <v>84</v>
      </c>
      <c r="E685" s="2" t="s">
        <v>6641</v>
      </c>
      <c r="F685" s="2" t="s">
        <v>6642</v>
      </c>
      <c r="G685" s="2">
        <v>45051</v>
      </c>
      <c r="H685" s="3" t="str">
        <f>HYPERLINK("https://cloud.oebiotech.com/#/lm/network/45051", "https://cloud.oebiotech.com/#/lm/network/45051")</f>
        <v>https://cloud.oebiotech.com/#/lm/network/45051</v>
      </c>
      <c r="I685" s="2"/>
      <c r="J685" s="2">
        <v>57872</v>
      </c>
      <c r="K685" s="2" t="s">
        <v>6643</v>
      </c>
      <c r="L685" s="2">
        <v>243761</v>
      </c>
      <c r="M685" s="2" t="s">
        <v>6644</v>
      </c>
      <c r="N685" s="2"/>
      <c r="O685" s="2"/>
      <c r="P685" s="2">
        <v>15826</v>
      </c>
      <c r="Q685" s="2"/>
      <c r="R685" s="2"/>
      <c r="S685" s="2"/>
      <c r="T685" s="2" t="s">
        <v>6645</v>
      </c>
      <c r="U685" s="2" t="s">
        <v>6646</v>
      </c>
      <c r="V685" s="2" t="s">
        <v>95</v>
      </c>
      <c r="W685" s="2" t="s">
        <v>152</v>
      </c>
      <c r="X685" s="2" t="s">
        <v>4609</v>
      </c>
      <c r="Y685" s="2" t="s">
        <v>98</v>
      </c>
      <c r="Z685" s="2" t="s">
        <v>154</v>
      </c>
      <c r="AA685" s="2" t="s">
        <v>4610</v>
      </c>
      <c r="AB685" s="2" t="s">
        <v>3086</v>
      </c>
      <c r="AC685" s="2">
        <v>55.17</v>
      </c>
      <c r="AD685" s="2">
        <v>96.95</v>
      </c>
      <c r="AE685" s="2">
        <v>0</v>
      </c>
      <c r="AF685" s="2" t="s">
        <v>5614</v>
      </c>
      <c r="AG685" s="2" t="s">
        <v>1088</v>
      </c>
      <c r="AH685" s="2" t="s">
        <v>6647</v>
      </c>
      <c r="AI685" s="2">
        <v>3.19</v>
      </c>
      <c r="AJ685" s="2">
        <v>20.273100834977701</v>
      </c>
      <c r="AK685" s="2">
        <v>20.515397426280799</v>
      </c>
      <c r="AL685" s="2">
        <v>20.475377298055999</v>
      </c>
      <c r="AM685" s="2">
        <v>20.654931575028701</v>
      </c>
      <c r="AN685" s="2">
        <v>20.5699496017894</v>
      </c>
      <c r="AO685" s="2">
        <v>20.594254385949199</v>
      </c>
      <c r="AP685" s="2">
        <v>20.2840229213996</v>
      </c>
      <c r="AQ685" s="2">
        <v>20.315898651825702</v>
      </c>
      <c r="AR685" s="2">
        <v>20.322850375505599</v>
      </c>
      <c r="AS685" s="2">
        <v>20.432255232750801</v>
      </c>
      <c r="AT685" s="2">
        <v>20.3041240776938</v>
      </c>
      <c r="AU685" s="2">
        <v>20.403432306524898</v>
      </c>
      <c r="AV685" s="2">
        <v>20.367479125367002</v>
      </c>
      <c r="AW685" s="2">
        <v>20.088833208387001</v>
      </c>
      <c r="AX685" s="2">
        <v>20.3661476517597</v>
      </c>
      <c r="AY685" s="2">
        <v>20.246857130929399</v>
      </c>
      <c r="AZ685" s="2">
        <v>20.4595702487549</v>
      </c>
      <c r="BA685" s="2">
        <v>20.4470277983594</v>
      </c>
      <c r="BB685" s="2">
        <v>20.3754932575665</v>
      </c>
      <c r="BC685" s="2">
        <v>20.4141120528055</v>
      </c>
      <c r="BD685" s="2">
        <v>20.3971352092092</v>
      </c>
      <c r="BE685" s="2">
        <v>20.259061564669999</v>
      </c>
      <c r="BF685" s="2">
        <v>19.953796072771301</v>
      </c>
      <c r="BG685" s="2">
        <v>20.250259436000999</v>
      </c>
      <c r="BH685" s="2">
        <v>20.336862397523898</v>
      </c>
      <c r="BI685" s="2">
        <v>19.903609749988</v>
      </c>
      <c r="BJ685" s="2">
        <v>20.2329036256146</v>
      </c>
      <c r="BK685" s="2">
        <v>20.245537120270701</v>
      </c>
      <c r="BL685" s="2">
        <v>20.288288238058801</v>
      </c>
      <c r="BM685" s="2">
        <v>20.2830643701725</v>
      </c>
      <c r="BN685" s="2">
        <v>20.3021238593155</v>
      </c>
      <c r="BO685" s="2">
        <v>20.236820919170299</v>
      </c>
      <c r="BP685" s="2">
        <v>20.494732177563701</v>
      </c>
      <c r="BQ685" s="2">
        <v>20.300240817478699</v>
      </c>
      <c r="BR685" s="2">
        <v>20.4817934217375</v>
      </c>
      <c r="BS685" s="2">
        <v>20.175138522526101</v>
      </c>
      <c r="BT685" s="2">
        <v>20.2880468431472</v>
      </c>
      <c r="BU685" s="2">
        <v>20.540477614663502</v>
      </c>
      <c r="BV685" s="2">
        <v>20.3352591765935</v>
      </c>
      <c r="BW685" s="2">
        <v>20.494370898488299</v>
      </c>
      <c r="BX685" s="2">
        <v>20.3238859371431</v>
      </c>
      <c r="BY685" s="2">
        <v>20.0583766424303</v>
      </c>
      <c r="BZ685" s="2">
        <v>20.440122672553802</v>
      </c>
      <c r="CA685" s="2">
        <v>20.282951495029302</v>
      </c>
      <c r="CB685" s="2">
        <v>20.523799857539199</v>
      </c>
      <c r="CC685" s="2">
        <v>20.332181058084</v>
      </c>
      <c r="CD685" s="2">
        <v>20.434250121336799</v>
      </c>
      <c r="CE685" s="2">
        <v>20.188834371073199</v>
      </c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</row>
    <row r="686" spans="1:97">
      <c r="A686" s="2" t="s">
        <v>6648</v>
      </c>
      <c r="B686" s="2">
        <v>232.02809999999999</v>
      </c>
      <c r="C686" s="2">
        <v>1.448</v>
      </c>
      <c r="D686" s="2" t="s">
        <v>146</v>
      </c>
      <c r="E686" s="2" t="s">
        <v>6649</v>
      </c>
      <c r="F686" s="2" t="s">
        <v>6650</v>
      </c>
      <c r="G686" s="2">
        <v>48695</v>
      </c>
      <c r="H686" s="3" t="str">
        <f>HYPERLINK("https://cloud.oebiotech.com/#/lm/network/48695", "https://cloud.oebiotech.com/#/lm/network/48695")</f>
        <v>https://cloud.oebiotech.com/#/lm/network/48695</v>
      </c>
      <c r="I686" s="2" t="s">
        <v>6651</v>
      </c>
      <c r="J686" s="2">
        <v>58380</v>
      </c>
      <c r="K686" s="2"/>
      <c r="L686" s="2">
        <v>122136</v>
      </c>
      <c r="M686" s="2" t="s">
        <v>6652</v>
      </c>
      <c r="N686" s="2"/>
      <c r="O686" s="2"/>
      <c r="P686" s="2">
        <v>37946</v>
      </c>
      <c r="Q686" s="2" t="s">
        <v>863</v>
      </c>
      <c r="R686" s="2" t="s">
        <v>864</v>
      </c>
      <c r="S686" s="2" t="s">
        <v>6653</v>
      </c>
      <c r="T686" s="2" t="s">
        <v>6654</v>
      </c>
      <c r="U686" s="2" t="s">
        <v>6655</v>
      </c>
      <c r="V686" s="2" t="s">
        <v>115</v>
      </c>
      <c r="W686" s="2" t="s">
        <v>613</v>
      </c>
      <c r="X686" s="2" t="s">
        <v>614</v>
      </c>
      <c r="Y686" s="2" t="s">
        <v>118</v>
      </c>
      <c r="Z686" s="2" t="s">
        <v>615</v>
      </c>
      <c r="AA686" s="2" t="s">
        <v>616</v>
      </c>
      <c r="AB686" s="2" t="s">
        <v>3086</v>
      </c>
      <c r="AC686" s="2">
        <v>55.15</v>
      </c>
      <c r="AD686" s="2">
        <v>91.8</v>
      </c>
      <c r="AE686" s="2">
        <v>0</v>
      </c>
      <c r="AF686" s="2" t="s">
        <v>5614</v>
      </c>
      <c r="AG686" s="2" t="s">
        <v>194</v>
      </c>
      <c r="AH686" s="2" t="s">
        <v>6656</v>
      </c>
      <c r="AI686" s="2">
        <v>1.72</v>
      </c>
      <c r="AJ686" s="2">
        <v>18.087815070515099</v>
      </c>
      <c r="AK686" s="2">
        <v>18.310158584277101</v>
      </c>
      <c r="AL686" s="2">
        <v>17.6516623577727</v>
      </c>
      <c r="AM686" s="2">
        <v>18.437872416492802</v>
      </c>
      <c r="AN686" s="2">
        <v>17.665235279255501</v>
      </c>
      <c r="AO686" s="2">
        <v>18.370018309450799</v>
      </c>
      <c r="AP686" s="2">
        <v>18.321598951343301</v>
      </c>
      <c r="AQ686" s="2">
        <v>18.2007179887223</v>
      </c>
      <c r="AR686" s="2">
        <v>19.183392228918098</v>
      </c>
      <c r="AS686" s="2">
        <v>15.664197813629499</v>
      </c>
      <c r="AT686" s="2">
        <v>15.2059405958854</v>
      </c>
      <c r="AU686" s="2">
        <v>17.270694823209801</v>
      </c>
      <c r="AV686" s="2">
        <v>18.158108616126398</v>
      </c>
      <c r="AW686" s="2">
        <v>18.0308726621174</v>
      </c>
      <c r="AX686" s="2">
        <v>17.076836677944101</v>
      </c>
      <c r="AY686" s="2">
        <v>17.601144869749199</v>
      </c>
      <c r="AZ686" s="2">
        <v>17.7017748962421</v>
      </c>
      <c r="BA686" s="2">
        <v>16.4305512108605</v>
      </c>
      <c r="BB686" s="2">
        <v>15.4279233327449</v>
      </c>
      <c r="BC686" s="2">
        <v>16.1951191752634</v>
      </c>
      <c r="BD686" s="2">
        <v>16.128045890923001</v>
      </c>
      <c r="BE686" s="2">
        <v>18.006543045086499</v>
      </c>
      <c r="BF686" s="2">
        <v>17.543385545993601</v>
      </c>
      <c r="BG686" s="2">
        <v>17.0812913960782</v>
      </c>
      <c r="BH686" s="2">
        <v>18.299054732841501</v>
      </c>
      <c r="BI686" s="2">
        <v>17.315738297233199</v>
      </c>
      <c r="BJ686" s="2">
        <v>18.5951568253037</v>
      </c>
      <c r="BK686" s="2">
        <v>18.067958479893299</v>
      </c>
      <c r="BL686" s="2">
        <v>16.501614389467999</v>
      </c>
      <c r="BM686" s="2">
        <v>19.596182584298901</v>
      </c>
      <c r="BN686" s="2">
        <v>17.903930611637499</v>
      </c>
      <c r="BO686" s="2">
        <v>16.6628401080835</v>
      </c>
      <c r="BP686" s="2">
        <v>17.597779496652201</v>
      </c>
      <c r="BQ686" s="2">
        <v>17.808443878571399</v>
      </c>
      <c r="BR686" s="2">
        <v>18.193069441188999</v>
      </c>
      <c r="BS686" s="2">
        <v>19.417012708731001</v>
      </c>
      <c r="BT686" s="2">
        <v>16.996004254078201</v>
      </c>
      <c r="BU686" s="2">
        <v>16.736873441542901</v>
      </c>
      <c r="BV686" s="2">
        <v>15.576388978857199</v>
      </c>
      <c r="BW686" s="2">
        <v>16.6104180217643</v>
      </c>
      <c r="BX686" s="2">
        <v>17.767871428593299</v>
      </c>
      <c r="BY686" s="2">
        <v>18.791315376852499</v>
      </c>
      <c r="BZ686" s="2">
        <v>18.070513805201799</v>
      </c>
      <c r="CA686" s="2">
        <v>17.410524640485001</v>
      </c>
      <c r="CB686" s="2">
        <v>16.553953216016499</v>
      </c>
      <c r="CC686" s="2">
        <v>19.122138552012899</v>
      </c>
      <c r="CD686" s="2">
        <v>17.608007574063901</v>
      </c>
      <c r="CE686" s="2">
        <v>16.744708116408301</v>
      </c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</row>
    <row r="687" spans="1:97">
      <c r="A687" s="2" t="s">
        <v>6657</v>
      </c>
      <c r="B687" s="2">
        <v>190.03537</v>
      </c>
      <c r="C687" s="2">
        <v>0.80600000000000005</v>
      </c>
      <c r="D687" s="2" t="s">
        <v>146</v>
      </c>
      <c r="E687" s="2" t="s">
        <v>6658</v>
      </c>
      <c r="F687" s="2" t="s">
        <v>6659</v>
      </c>
      <c r="G687" s="2">
        <v>47649</v>
      </c>
      <c r="H687" s="3" t="str">
        <f>HYPERLINK("https://cloud.oebiotech.com/#/lm/network/47649", "https://cloud.oebiotech.com/#/lm/network/47649")</f>
        <v>https://cloud.oebiotech.com/#/lm/network/47649</v>
      </c>
      <c r="I687" s="2" t="s">
        <v>6660</v>
      </c>
      <c r="J687" s="2">
        <v>6318</v>
      </c>
      <c r="K687" s="2"/>
      <c r="L687" s="2">
        <v>48</v>
      </c>
      <c r="M687" s="2" t="s">
        <v>6661</v>
      </c>
      <c r="N687" s="2" t="s">
        <v>6662</v>
      </c>
      <c r="O687" s="2" t="s">
        <v>6663</v>
      </c>
      <c r="P687" s="2">
        <v>30882</v>
      </c>
      <c r="Q687" s="2" t="s">
        <v>6664</v>
      </c>
      <c r="R687" s="2" t="s">
        <v>6665</v>
      </c>
      <c r="S687" s="2" t="s">
        <v>6666</v>
      </c>
      <c r="T687" s="2" t="s">
        <v>6667</v>
      </c>
      <c r="U687" s="2" t="s">
        <v>6668</v>
      </c>
      <c r="V687" s="2" t="s">
        <v>115</v>
      </c>
      <c r="W687" s="2" t="s">
        <v>403</v>
      </c>
      <c r="X687" s="2" t="s">
        <v>1905</v>
      </c>
      <c r="Y687" s="2" t="s">
        <v>118</v>
      </c>
      <c r="Z687" s="2" t="s">
        <v>405</v>
      </c>
      <c r="AA687" s="2" t="s">
        <v>1906</v>
      </c>
      <c r="AB687" s="2" t="s">
        <v>3086</v>
      </c>
      <c r="AC687" s="2">
        <v>55.14</v>
      </c>
      <c r="AD687" s="2">
        <v>95.89</v>
      </c>
      <c r="AE687" s="2">
        <v>0</v>
      </c>
      <c r="AF687" s="2" t="s">
        <v>5614</v>
      </c>
      <c r="AG687" s="2" t="s">
        <v>157</v>
      </c>
      <c r="AH687" s="2" t="s">
        <v>6669</v>
      </c>
      <c r="AI687" s="2">
        <v>1.58</v>
      </c>
      <c r="AJ687" s="2">
        <v>21.8835374568229</v>
      </c>
      <c r="AK687" s="2">
        <v>21.663307080779699</v>
      </c>
      <c r="AL687" s="2">
        <v>21.682992376945901</v>
      </c>
      <c r="AM687" s="2">
        <v>21.485670840087302</v>
      </c>
      <c r="AN687" s="2">
        <v>21.720982934575702</v>
      </c>
      <c r="AO687" s="2">
        <v>21.781085439792299</v>
      </c>
      <c r="AP687" s="2">
        <v>21.226561858144201</v>
      </c>
      <c r="AQ687" s="2">
        <v>21.417395580658201</v>
      </c>
      <c r="AR687" s="2">
        <v>21.081984404633001</v>
      </c>
      <c r="AS687" s="2">
        <v>17.427552323945001</v>
      </c>
      <c r="AT687" s="2">
        <v>21.2543939376494</v>
      </c>
      <c r="AU687" s="2">
        <v>21.999508885312</v>
      </c>
      <c r="AV687" s="2">
        <v>21.792808921759399</v>
      </c>
      <c r="AW687" s="2">
        <v>21.860861262735298</v>
      </c>
      <c r="AX687" s="2">
        <v>21.220397252409398</v>
      </c>
      <c r="AY687" s="2">
        <v>21.833963647556399</v>
      </c>
      <c r="AZ687" s="2">
        <v>21.453975309811199</v>
      </c>
      <c r="BA687" s="2">
        <v>21.7889312341545</v>
      </c>
      <c r="BB687" s="2">
        <v>21.908494295653401</v>
      </c>
      <c r="BC687" s="2">
        <v>22.5907172148606</v>
      </c>
      <c r="BD687" s="2">
        <v>22.020687813811001</v>
      </c>
      <c r="BE687" s="2">
        <v>21.898163213219899</v>
      </c>
      <c r="BF687" s="2">
        <v>21.948254374021101</v>
      </c>
      <c r="BG687" s="2">
        <v>21.095792028719799</v>
      </c>
      <c r="BH687" s="2">
        <v>21.981843144141699</v>
      </c>
      <c r="BI687" s="2">
        <v>21.989685602434498</v>
      </c>
      <c r="BJ687" s="2">
        <v>21.159559606460299</v>
      </c>
      <c r="BK687" s="2">
        <v>22.007213685246299</v>
      </c>
      <c r="BL687" s="2">
        <v>22.248027817480001</v>
      </c>
      <c r="BM687" s="2">
        <v>22.822685614081699</v>
      </c>
      <c r="BN687" s="2">
        <v>21.878367318738</v>
      </c>
      <c r="BO687" s="2">
        <v>21.772379502662702</v>
      </c>
      <c r="BP687" s="2">
        <v>21.408335732908899</v>
      </c>
      <c r="BQ687" s="2">
        <v>21.999560596531001</v>
      </c>
      <c r="BR687" s="2">
        <v>21.4722184741786</v>
      </c>
      <c r="BS687" s="2">
        <v>21.427683474674801</v>
      </c>
      <c r="BT687" s="2">
        <v>21.858516726216301</v>
      </c>
      <c r="BU687" s="2">
        <v>21.192011588690399</v>
      </c>
      <c r="BV687" s="2">
        <v>21.6934615021143</v>
      </c>
      <c r="BW687" s="2">
        <v>22.440671510243099</v>
      </c>
      <c r="BX687" s="2">
        <v>22.288024906140301</v>
      </c>
      <c r="BY687" s="2">
        <v>21.7544696405065</v>
      </c>
      <c r="BZ687" s="2">
        <v>21.246514510317301</v>
      </c>
      <c r="CA687" s="2">
        <v>20.854530691354601</v>
      </c>
      <c r="CB687" s="2">
        <v>21.064976888501999</v>
      </c>
      <c r="CC687" s="2">
        <v>22.168654865040299</v>
      </c>
      <c r="CD687" s="2">
        <v>21.053534104838501</v>
      </c>
      <c r="CE687" s="2">
        <v>21.925153707634902</v>
      </c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</row>
    <row r="688" spans="1:97">
      <c r="A688" s="2" t="s">
        <v>6670</v>
      </c>
      <c r="B688" s="2">
        <v>237.07639</v>
      </c>
      <c r="C688" s="2">
        <v>7.0460000000000003</v>
      </c>
      <c r="D688" s="2" t="s">
        <v>146</v>
      </c>
      <c r="E688" s="2" t="s">
        <v>6671</v>
      </c>
      <c r="F688" s="2" t="s">
        <v>6672</v>
      </c>
      <c r="G688" s="2">
        <v>257113</v>
      </c>
      <c r="H688" s="3" t="str">
        <f>HYPERLINK("https://cloud.oebiotech.com/#/lm/network/257113", "https://cloud.oebiotech.com/#/lm/network/257113")</f>
        <v>https://cloud.oebiotech.com/#/lm/network/257113</v>
      </c>
      <c r="I688" s="2" t="s">
        <v>6673</v>
      </c>
      <c r="J688" s="2">
        <v>836535</v>
      </c>
      <c r="K688" s="2"/>
      <c r="L688" s="2">
        <v>54372486</v>
      </c>
      <c r="M688" s="2"/>
      <c r="N688" s="2"/>
      <c r="O688" s="2"/>
      <c r="P688" s="2"/>
      <c r="Q688" s="2"/>
      <c r="R688" s="2"/>
      <c r="S688" s="2"/>
      <c r="T688" s="2" t="s">
        <v>6674</v>
      </c>
      <c r="U688" s="2" t="s">
        <v>6675</v>
      </c>
      <c r="V688" s="2" t="s">
        <v>385</v>
      </c>
      <c r="W688" s="2" t="s">
        <v>386</v>
      </c>
      <c r="X688" s="2" t="s">
        <v>5414</v>
      </c>
      <c r="Y688" s="2" t="s">
        <v>388</v>
      </c>
      <c r="Z688" s="2" t="s">
        <v>389</v>
      </c>
      <c r="AA688" s="2" t="s">
        <v>5415</v>
      </c>
      <c r="AB688" s="2" t="s">
        <v>3086</v>
      </c>
      <c r="AC688" s="2">
        <v>55.1</v>
      </c>
      <c r="AD688" s="2">
        <v>92.54</v>
      </c>
      <c r="AE688" s="2">
        <v>0</v>
      </c>
      <c r="AF688" s="2" t="s">
        <v>5614</v>
      </c>
      <c r="AG688" s="2" t="s">
        <v>157</v>
      </c>
      <c r="AH688" s="2" t="s">
        <v>6676</v>
      </c>
      <c r="AI688" s="2">
        <v>1.69</v>
      </c>
      <c r="AJ688" s="2">
        <v>17.622771599965901</v>
      </c>
      <c r="AK688" s="2">
        <v>17.700492753440699</v>
      </c>
      <c r="AL688" s="2">
        <v>17.524222754068099</v>
      </c>
      <c r="AM688" s="2">
        <v>17.746314209951201</v>
      </c>
      <c r="AN688" s="2">
        <v>17.718469997596898</v>
      </c>
      <c r="AO688" s="2">
        <v>17.353233596225</v>
      </c>
      <c r="AP688" s="2">
        <v>17.777565476696299</v>
      </c>
      <c r="AQ688" s="2">
        <v>17.451943866320999</v>
      </c>
      <c r="AR688" s="2">
        <v>18.708558474978599</v>
      </c>
      <c r="AS688" s="2">
        <v>16.7050997823311</v>
      </c>
      <c r="AT688" s="2">
        <v>18.0966896785913</v>
      </c>
      <c r="AU688" s="2">
        <v>16.3260071996663</v>
      </c>
      <c r="AV688" s="2">
        <v>16.223764547902402</v>
      </c>
      <c r="AW688" s="2">
        <v>16.619726220674998</v>
      </c>
      <c r="AX688" s="2">
        <v>15.61177466084</v>
      </c>
      <c r="AY688" s="2">
        <v>16.551649990365998</v>
      </c>
      <c r="AZ688" s="2">
        <v>16.316800702454401</v>
      </c>
      <c r="BA688" s="2">
        <v>18.2564454718412</v>
      </c>
      <c r="BB688" s="2">
        <v>16.0656704604711</v>
      </c>
      <c r="BC688" s="2">
        <v>18.251495493861</v>
      </c>
      <c r="BD688" s="2">
        <v>18.046344635286001</v>
      </c>
      <c r="BE688" s="2">
        <v>17.2296020978551</v>
      </c>
      <c r="BF688" s="2">
        <v>16.99858932798</v>
      </c>
      <c r="BG688" s="2">
        <v>16.611766593667902</v>
      </c>
      <c r="BH688" s="2">
        <v>17.675977218736499</v>
      </c>
      <c r="BI688" s="2">
        <v>16.600704213369799</v>
      </c>
      <c r="BJ688" s="2">
        <v>20.219977868600701</v>
      </c>
      <c r="BK688" s="2">
        <v>18.229460246558801</v>
      </c>
      <c r="BL688" s="2">
        <v>15.341503881962</v>
      </c>
      <c r="BM688" s="2">
        <v>17.8711403594112</v>
      </c>
      <c r="BN688" s="2">
        <v>18.078996931341699</v>
      </c>
      <c r="BO688" s="2">
        <v>17.894742877516801</v>
      </c>
      <c r="BP688" s="2">
        <v>14.6116686315489</v>
      </c>
      <c r="BQ688" s="2">
        <v>17.313221933197301</v>
      </c>
      <c r="BR688" s="2">
        <v>15.329976033360801</v>
      </c>
      <c r="BS688" s="2">
        <v>16.608604824839901</v>
      </c>
      <c r="BT688" s="2">
        <v>20.1980697144649</v>
      </c>
      <c r="BU688" s="2">
        <v>18.3226209662811</v>
      </c>
      <c r="BV688" s="2">
        <v>17.1934196724422</v>
      </c>
      <c r="BW688" s="2">
        <v>15.1723071748597</v>
      </c>
      <c r="BX688" s="2">
        <v>17.507837215671099</v>
      </c>
      <c r="BY688" s="2">
        <v>16.831157161465399</v>
      </c>
      <c r="BZ688" s="2">
        <v>14.9376800201336</v>
      </c>
      <c r="CA688" s="2">
        <v>17.158521134251</v>
      </c>
      <c r="CB688" s="2">
        <v>14.7405065203448</v>
      </c>
      <c r="CC688" s="2">
        <v>17.621401370163401</v>
      </c>
      <c r="CD688" s="2">
        <v>18.510690544960401</v>
      </c>
      <c r="CE688" s="2">
        <v>18.120278991296399</v>
      </c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</row>
    <row r="689" spans="1:97">
      <c r="A689" s="2" t="s">
        <v>6677</v>
      </c>
      <c r="B689" s="2">
        <v>243.13356999999999</v>
      </c>
      <c r="C689" s="2">
        <v>4.3550000000000004</v>
      </c>
      <c r="D689" s="2" t="s">
        <v>84</v>
      </c>
      <c r="E689" s="2" t="s">
        <v>6678</v>
      </c>
      <c r="F689" s="2" t="s">
        <v>6679</v>
      </c>
      <c r="G689" s="2">
        <v>201465</v>
      </c>
      <c r="H689" s="3" t="str">
        <f>HYPERLINK("https://cloud.oebiotech.com/#/lm/network/201465", "https://cloud.oebiotech.com/#/lm/network/201465")</f>
        <v>https://cloud.oebiotech.com/#/lm/network/201465</v>
      </c>
      <c r="I689" s="2" t="s">
        <v>6680</v>
      </c>
      <c r="J689" s="2">
        <v>497</v>
      </c>
      <c r="K689" s="2"/>
      <c r="L689" s="2">
        <v>121454</v>
      </c>
      <c r="M689" s="2"/>
      <c r="N689" s="2"/>
      <c r="O689" s="2"/>
      <c r="P689" s="2"/>
      <c r="Q689" s="2"/>
      <c r="R689" s="2"/>
      <c r="S689" s="2" t="s">
        <v>6681</v>
      </c>
      <c r="T689" s="2" t="s">
        <v>6682</v>
      </c>
      <c r="U689" s="2" t="s">
        <v>6683</v>
      </c>
      <c r="V689" s="2" t="s">
        <v>553</v>
      </c>
      <c r="W689" s="2" t="s">
        <v>6104</v>
      </c>
      <c r="X689" s="2" t="s">
        <v>6105</v>
      </c>
      <c r="Y689" s="2" t="s">
        <v>556</v>
      </c>
      <c r="Z689" s="2" t="s">
        <v>6106</v>
      </c>
      <c r="AA689" s="2" t="s">
        <v>6107</v>
      </c>
      <c r="AB689" s="2" t="s">
        <v>3086</v>
      </c>
      <c r="AC689" s="2">
        <v>55.08</v>
      </c>
      <c r="AD689" s="2">
        <v>92.64</v>
      </c>
      <c r="AE689" s="2">
        <v>0</v>
      </c>
      <c r="AF689" s="2" t="s">
        <v>5614</v>
      </c>
      <c r="AG689" s="2" t="s">
        <v>103</v>
      </c>
      <c r="AH689" s="2" t="s">
        <v>6684</v>
      </c>
      <c r="AI689" s="2">
        <v>1.23</v>
      </c>
      <c r="AJ689" s="2">
        <v>17.490948780428401</v>
      </c>
      <c r="AK689" s="2">
        <v>17.2847903996024</v>
      </c>
      <c r="AL689" s="2">
        <v>18.109559154408799</v>
      </c>
      <c r="AM689" s="2">
        <v>17.7313795619506</v>
      </c>
      <c r="AN689" s="2">
        <v>17.827368695040398</v>
      </c>
      <c r="AO689" s="2">
        <v>17.385328485149</v>
      </c>
      <c r="AP689" s="2">
        <v>18.180121621194299</v>
      </c>
      <c r="AQ689" s="2">
        <v>18.2487724560578</v>
      </c>
      <c r="AR689" s="2">
        <v>16.5303109224438</v>
      </c>
      <c r="AS689" s="2">
        <v>16.766964803526101</v>
      </c>
      <c r="AT689" s="2">
        <v>18.211289169657</v>
      </c>
      <c r="AU689" s="2">
        <v>15.3805916106373</v>
      </c>
      <c r="AV689" s="2">
        <v>17.193920707641901</v>
      </c>
      <c r="AW689" s="2">
        <v>17.354954145814599</v>
      </c>
      <c r="AX689" s="2">
        <v>17.020807011681502</v>
      </c>
      <c r="AY689" s="2">
        <v>16.785740825086499</v>
      </c>
      <c r="AZ689" s="2">
        <v>14.015797455278699</v>
      </c>
      <c r="BA689" s="2">
        <v>14.9688440595766</v>
      </c>
      <c r="BB689" s="2">
        <v>17.7221916266375</v>
      </c>
      <c r="BC689" s="2">
        <v>18.382946376504101</v>
      </c>
      <c r="BD689" s="2">
        <v>16.290132633288199</v>
      </c>
      <c r="BE689" s="2">
        <v>17.1584292217163</v>
      </c>
      <c r="BF689" s="2">
        <v>17.874464094763201</v>
      </c>
      <c r="BG689" s="2">
        <v>16.374529597625099</v>
      </c>
      <c r="BH689" s="2">
        <v>16.500126235119701</v>
      </c>
      <c r="BI689" s="2">
        <v>17.714048327817601</v>
      </c>
      <c r="BJ689" s="2">
        <v>18.588575533811301</v>
      </c>
      <c r="BK689" s="2">
        <v>16.174705509626602</v>
      </c>
      <c r="BL689" s="2">
        <v>16.633882697129</v>
      </c>
      <c r="BM689" s="2">
        <v>16.686176311139398</v>
      </c>
      <c r="BN689" s="2">
        <v>17.617025092869699</v>
      </c>
      <c r="BO689" s="2">
        <v>16.236862729390399</v>
      </c>
      <c r="BP689" s="2">
        <v>16.757101660324</v>
      </c>
      <c r="BQ689" s="2">
        <v>17.464186914449002</v>
      </c>
      <c r="BR689" s="2">
        <v>17.400504158049699</v>
      </c>
      <c r="BS689" s="2">
        <v>17.887117958331999</v>
      </c>
      <c r="BT689" s="2">
        <v>16.709703654731701</v>
      </c>
      <c r="BU689" s="2">
        <v>17.843340579442799</v>
      </c>
      <c r="BV689" s="2">
        <v>17.4882868038876</v>
      </c>
      <c r="BW689" s="2">
        <v>17.800187006485501</v>
      </c>
      <c r="BX689" s="2">
        <v>16.886371049127099</v>
      </c>
      <c r="BY689" s="2">
        <v>18.361818167947099</v>
      </c>
      <c r="BZ689" s="2">
        <v>17.551182834167999</v>
      </c>
      <c r="CA689" s="2">
        <v>17.497919570816101</v>
      </c>
      <c r="CB689" s="2">
        <v>15.5558520954781</v>
      </c>
      <c r="CC689" s="2">
        <v>17.711028744182599</v>
      </c>
      <c r="CD689" s="2">
        <v>18.014620469258301</v>
      </c>
      <c r="CE689" s="2">
        <v>17.519296392042399</v>
      </c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</row>
    <row r="690" spans="1:97">
      <c r="A690" s="2" t="s">
        <v>6685</v>
      </c>
      <c r="B690" s="2">
        <v>225.07633000000001</v>
      </c>
      <c r="C690" s="2">
        <v>5.5039999999999996</v>
      </c>
      <c r="D690" s="2" t="s">
        <v>146</v>
      </c>
      <c r="E690" s="2" t="s">
        <v>6686</v>
      </c>
      <c r="F690" s="2" t="s">
        <v>6687</v>
      </c>
      <c r="G690" s="2">
        <v>199916</v>
      </c>
      <c r="H690" s="3" t="str">
        <f>HYPERLINK("https://cloud.oebiotech.com/#/lm/network/199916", "https://cloud.oebiotech.com/#/lm/network/199916")</f>
        <v>https://cloud.oebiotech.com/#/lm/network/199916</v>
      </c>
      <c r="I690" s="2" t="s">
        <v>6688</v>
      </c>
      <c r="J690" s="2"/>
      <c r="K690" s="2"/>
      <c r="L690" s="2">
        <v>3082710</v>
      </c>
      <c r="M690" s="2"/>
      <c r="N690" s="2"/>
      <c r="O690" s="2"/>
      <c r="P690" s="2"/>
      <c r="Q690" s="2"/>
      <c r="R690" s="2"/>
      <c r="S690" s="2"/>
      <c r="T690" s="2" t="s">
        <v>6689</v>
      </c>
      <c r="U690" s="2" t="s">
        <v>6690</v>
      </c>
      <c r="V690" s="2" t="s">
        <v>95</v>
      </c>
      <c r="W690" s="2" t="s">
        <v>96</v>
      </c>
      <c r="X690" s="2" t="s">
        <v>141</v>
      </c>
      <c r="Y690" s="2" t="s">
        <v>98</v>
      </c>
      <c r="Z690" s="2" t="s">
        <v>99</v>
      </c>
      <c r="AA690" s="2" t="s">
        <v>142</v>
      </c>
      <c r="AB690" s="2" t="s">
        <v>3086</v>
      </c>
      <c r="AC690" s="2">
        <v>55.07</v>
      </c>
      <c r="AD690" s="2">
        <v>92.81</v>
      </c>
      <c r="AE690" s="2">
        <v>0</v>
      </c>
      <c r="AF690" s="2" t="s">
        <v>5614</v>
      </c>
      <c r="AG690" s="2" t="s">
        <v>194</v>
      </c>
      <c r="AH690" s="2" t="s">
        <v>6691</v>
      </c>
      <c r="AI690" s="2">
        <v>2.2200000000000002</v>
      </c>
      <c r="AJ690" s="2">
        <v>18.649529646624199</v>
      </c>
      <c r="AK690" s="2">
        <v>18.578305350948501</v>
      </c>
      <c r="AL690" s="2">
        <v>18.736508790968401</v>
      </c>
      <c r="AM690" s="2">
        <v>18.136126104640201</v>
      </c>
      <c r="AN690" s="2">
        <v>18.6076335888513</v>
      </c>
      <c r="AO690" s="2">
        <v>18.631336945165</v>
      </c>
      <c r="AP690" s="2">
        <v>18.5465135971358</v>
      </c>
      <c r="AQ690" s="2">
        <v>18.8098105436727</v>
      </c>
      <c r="AR690" s="2">
        <v>18.1426079836844</v>
      </c>
      <c r="AS690" s="2">
        <v>18.617812730073101</v>
      </c>
      <c r="AT690" s="2">
        <v>19.083544952465999</v>
      </c>
      <c r="AU690" s="2">
        <v>16.986708236470299</v>
      </c>
      <c r="AV690" s="2">
        <v>15.548243944222801</v>
      </c>
      <c r="AW690" s="2">
        <v>17.0372321665638</v>
      </c>
      <c r="AX690" s="2">
        <v>17.810892284467499</v>
      </c>
      <c r="AY690" s="2">
        <v>18.618401455158601</v>
      </c>
      <c r="AZ690" s="2">
        <v>18.532975053559699</v>
      </c>
      <c r="BA690" s="2">
        <v>18.557376529656999</v>
      </c>
      <c r="BB690" s="2">
        <v>19.752172460046999</v>
      </c>
      <c r="BC690" s="2">
        <v>19.453975023552001</v>
      </c>
      <c r="BD690" s="2">
        <v>17.855990001366202</v>
      </c>
      <c r="BE690" s="2">
        <v>17.959500984770202</v>
      </c>
      <c r="BF690" s="2">
        <v>18.930919470241101</v>
      </c>
      <c r="BG690" s="2">
        <v>18.876584151662801</v>
      </c>
      <c r="BH690" s="2">
        <v>18.8394818155253</v>
      </c>
      <c r="BI690" s="2">
        <v>17.834445063363798</v>
      </c>
      <c r="BJ690" s="2">
        <v>18.686955230278802</v>
      </c>
      <c r="BK690" s="2">
        <v>17.827120739802702</v>
      </c>
      <c r="BL690" s="2">
        <v>14.7139755238004</v>
      </c>
      <c r="BM690" s="2">
        <v>19.399092530657899</v>
      </c>
      <c r="BN690" s="2">
        <v>17.459368777935001</v>
      </c>
      <c r="BO690" s="2">
        <v>19.5131081331545</v>
      </c>
      <c r="BP690" s="2">
        <v>16.9452653860228</v>
      </c>
      <c r="BQ690" s="2">
        <v>18.257048105619301</v>
      </c>
      <c r="BR690" s="2">
        <v>16.656846732906399</v>
      </c>
      <c r="BS690" s="2">
        <v>17.703121617951599</v>
      </c>
      <c r="BT690" s="2">
        <v>19.253808206533801</v>
      </c>
      <c r="BU690" s="2">
        <v>18.653045247847899</v>
      </c>
      <c r="BV690" s="2">
        <v>17.764238912649201</v>
      </c>
      <c r="BW690" s="2">
        <v>18.0094607580141</v>
      </c>
      <c r="BX690" s="2">
        <v>18.165529302204</v>
      </c>
      <c r="BY690" s="2">
        <v>18.285075881301299</v>
      </c>
      <c r="BZ690" s="2">
        <v>18.667777565893299</v>
      </c>
      <c r="CA690" s="2">
        <v>18.075618124616899</v>
      </c>
      <c r="CB690" s="2">
        <v>15.604136204927901</v>
      </c>
      <c r="CC690" s="2">
        <v>16.457782765266401</v>
      </c>
      <c r="CD690" s="2">
        <v>18.424955743894099</v>
      </c>
      <c r="CE690" s="2">
        <v>18.665497027365099</v>
      </c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</row>
    <row r="691" spans="1:97">
      <c r="A691" s="2" t="s">
        <v>6692</v>
      </c>
      <c r="B691" s="2">
        <v>309.17021999999997</v>
      </c>
      <c r="C691" s="2">
        <v>9.5289999999999999</v>
      </c>
      <c r="D691" s="2" t="s">
        <v>146</v>
      </c>
      <c r="E691" s="2" t="s">
        <v>6693</v>
      </c>
      <c r="F691" s="2" t="s">
        <v>6694</v>
      </c>
      <c r="G691" s="2">
        <v>1962</v>
      </c>
      <c r="H691" s="3" t="str">
        <f>HYPERLINK("https://cloud.oebiotech.com/#/lm/network/1962", "https://cloud.oebiotech.com/#/lm/network/1962")</f>
        <v>https://cloud.oebiotech.com/#/lm/network/1962</v>
      </c>
      <c r="I691" s="2"/>
      <c r="J691" s="2"/>
      <c r="K691" s="2" t="s">
        <v>6695</v>
      </c>
      <c r="L691" s="2">
        <v>70679005</v>
      </c>
      <c r="M691" s="2"/>
      <c r="N691" s="2"/>
      <c r="O691" s="2"/>
      <c r="P691" s="2">
        <v>70740</v>
      </c>
      <c r="Q691" s="2"/>
      <c r="R691" s="2"/>
      <c r="S691" s="2"/>
      <c r="T691" s="2" t="s">
        <v>6696</v>
      </c>
      <c r="U691" s="2" t="s">
        <v>6697</v>
      </c>
      <c r="V691" s="2" t="s">
        <v>95</v>
      </c>
      <c r="W691" s="2" t="s">
        <v>96</v>
      </c>
      <c r="X691" s="2" t="s">
        <v>141</v>
      </c>
      <c r="Y691" s="2" t="s">
        <v>98</v>
      </c>
      <c r="Z691" s="2" t="s">
        <v>99</v>
      </c>
      <c r="AA691" s="2" t="s">
        <v>142</v>
      </c>
      <c r="AB691" s="2" t="s">
        <v>3086</v>
      </c>
      <c r="AC691" s="2">
        <v>55.07</v>
      </c>
      <c r="AD691" s="2">
        <v>89.21</v>
      </c>
      <c r="AE691" s="2">
        <v>0</v>
      </c>
      <c r="AF691" s="2" t="s">
        <v>5614</v>
      </c>
      <c r="AG691" s="2" t="s">
        <v>157</v>
      </c>
      <c r="AH691" s="2" t="s">
        <v>6698</v>
      </c>
      <c r="AI691" s="2">
        <v>1.62</v>
      </c>
      <c r="AJ691" s="2">
        <v>18.825668164111601</v>
      </c>
      <c r="AK691" s="2">
        <v>19.343047857524802</v>
      </c>
      <c r="AL691" s="2">
        <v>19.279497435353601</v>
      </c>
      <c r="AM691" s="2">
        <v>18.880089909422299</v>
      </c>
      <c r="AN691" s="2">
        <v>18.8905794817606</v>
      </c>
      <c r="AO691" s="2">
        <v>19.231791512748199</v>
      </c>
      <c r="AP691" s="2">
        <v>18.175144067036999</v>
      </c>
      <c r="AQ691" s="2">
        <v>18.949759213908902</v>
      </c>
      <c r="AR691" s="2">
        <v>19.119190114176099</v>
      </c>
      <c r="AS691" s="2">
        <v>19.549829856726902</v>
      </c>
      <c r="AT691" s="2">
        <v>20.096097314357401</v>
      </c>
      <c r="AU691" s="2">
        <v>20.0472549934291</v>
      </c>
      <c r="AV691" s="2">
        <v>19.109973983358401</v>
      </c>
      <c r="AW691" s="2">
        <v>19.768434428100601</v>
      </c>
      <c r="AX691" s="2">
        <v>19.232958567800399</v>
      </c>
      <c r="AY691" s="2">
        <v>19.881748624682299</v>
      </c>
      <c r="AZ691" s="2">
        <v>19.277933638115101</v>
      </c>
      <c r="BA691" s="2">
        <v>19.066720788508501</v>
      </c>
      <c r="BB691" s="2">
        <v>18.720443208420999</v>
      </c>
      <c r="BC691" s="2">
        <v>20.508191307832501</v>
      </c>
      <c r="BD691" s="2">
        <v>19.9004554029788</v>
      </c>
      <c r="BE691" s="2">
        <v>19.903206777518101</v>
      </c>
      <c r="BF691" s="2">
        <v>19.3011011404346</v>
      </c>
      <c r="BG691" s="2">
        <v>20.013334983197201</v>
      </c>
      <c r="BH691" s="2">
        <v>19.067650049306</v>
      </c>
      <c r="BI691" s="2">
        <v>20.172196123363101</v>
      </c>
      <c r="BJ691" s="2">
        <v>19.0215625478113</v>
      </c>
      <c r="BK691" s="2">
        <v>18.900688122398201</v>
      </c>
      <c r="BL691" s="2">
        <v>18.697954186907399</v>
      </c>
      <c r="BM691" s="2">
        <v>19.232671388938101</v>
      </c>
      <c r="BN691" s="2">
        <v>19.047532456639399</v>
      </c>
      <c r="BO691" s="2">
        <v>19.399135704409701</v>
      </c>
      <c r="BP691" s="2">
        <v>19.207443357455301</v>
      </c>
      <c r="BQ691" s="2">
        <v>19.460753520651799</v>
      </c>
      <c r="BR691" s="2">
        <v>20.010770019918802</v>
      </c>
      <c r="BS691" s="2">
        <v>18.243062803064799</v>
      </c>
      <c r="BT691" s="2">
        <v>18.9913978646793</v>
      </c>
      <c r="BU691" s="2">
        <v>19.799251356334501</v>
      </c>
      <c r="BV691" s="2">
        <v>19.3278436009264</v>
      </c>
      <c r="BW691" s="2">
        <v>19.347444723108602</v>
      </c>
      <c r="BX691" s="2">
        <v>18.903402481551201</v>
      </c>
      <c r="BY691" s="2">
        <v>19.657853568412701</v>
      </c>
      <c r="BZ691" s="2">
        <v>20.277834115257601</v>
      </c>
      <c r="CA691" s="2">
        <v>19.019487515246102</v>
      </c>
      <c r="CB691" s="2">
        <v>20.200335624753201</v>
      </c>
      <c r="CC691" s="2">
        <v>18.962397926211398</v>
      </c>
      <c r="CD691" s="2">
        <v>19.7675907919966</v>
      </c>
      <c r="CE691" s="2">
        <v>19.3139639113679</v>
      </c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</row>
    <row r="692" spans="1:97">
      <c r="A692" s="2" t="s">
        <v>6699</v>
      </c>
      <c r="B692" s="2">
        <v>103.05055</v>
      </c>
      <c r="C692" s="2">
        <v>0.58099999999999996</v>
      </c>
      <c r="D692" s="2" t="s">
        <v>84</v>
      </c>
      <c r="E692" s="2" t="s">
        <v>6700</v>
      </c>
      <c r="F692" s="2" t="s">
        <v>6701</v>
      </c>
      <c r="G692" s="2">
        <v>35138</v>
      </c>
      <c r="H692" s="3" t="str">
        <f>HYPERLINK("https://cloud.oebiotech.com/#/lm/network/35138", "https://cloud.oebiotech.com/#/lm/network/35138")</f>
        <v>https://cloud.oebiotech.com/#/lm/network/35138</v>
      </c>
      <c r="I692" s="2" t="s">
        <v>6702</v>
      </c>
      <c r="J692" s="2">
        <v>1918</v>
      </c>
      <c r="K692" s="2" t="s">
        <v>6703</v>
      </c>
      <c r="L692" s="2">
        <v>6234</v>
      </c>
      <c r="M692" s="2" t="s">
        <v>6704</v>
      </c>
      <c r="N692" s="2"/>
      <c r="O692" s="2"/>
      <c r="P692" s="2">
        <v>40009</v>
      </c>
      <c r="Q692" s="2"/>
      <c r="R692" s="2"/>
      <c r="S692" s="2" t="s">
        <v>6705</v>
      </c>
      <c r="T692" s="2" t="s">
        <v>6706</v>
      </c>
      <c r="U692" s="2" t="s">
        <v>6707</v>
      </c>
      <c r="V692" s="2" t="s">
        <v>553</v>
      </c>
      <c r="W692" s="2" t="s">
        <v>5114</v>
      </c>
      <c r="X692" s="2" t="s">
        <v>6708</v>
      </c>
      <c r="Y692" s="2" t="s">
        <v>556</v>
      </c>
      <c r="Z692" s="2" t="s">
        <v>5116</v>
      </c>
      <c r="AA692" s="2" t="s">
        <v>6709</v>
      </c>
      <c r="AB692" s="2" t="s">
        <v>3086</v>
      </c>
      <c r="AC692" s="2">
        <v>55.05</v>
      </c>
      <c r="AD692" s="2">
        <v>97.84</v>
      </c>
      <c r="AE692" s="2">
        <v>0</v>
      </c>
      <c r="AF692" s="2" t="s">
        <v>5614</v>
      </c>
      <c r="AG692" s="2" t="s">
        <v>103</v>
      </c>
      <c r="AH692" s="2" t="s">
        <v>6710</v>
      </c>
      <c r="AI692" s="2">
        <v>-3.4</v>
      </c>
      <c r="AJ692" s="2">
        <v>22.605725924745698</v>
      </c>
      <c r="AK692" s="2">
        <v>22.289226895945099</v>
      </c>
      <c r="AL692" s="2">
        <v>22.661951699404899</v>
      </c>
      <c r="AM692" s="2">
        <v>22.3865923810725</v>
      </c>
      <c r="AN692" s="2">
        <v>22.896431635750002</v>
      </c>
      <c r="AO692" s="2">
        <v>22.718995675965999</v>
      </c>
      <c r="AP692" s="2">
        <v>22.301560103999002</v>
      </c>
      <c r="AQ692" s="2">
        <v>22.5772715488744</v>
      </c>
      <c r="AR692" s="2">
        <v>22.4044333548166</v>
      </c>
      <c r="AS692" s="2">
        <v>22.226660028279799</v>
      </c>
      <c r="AT692" s="2">
        <v>22.167648580686301</v>
      </c>
      <c r="AU692" s="2">
        <v>22.267762027347199</v>
      </c>
      <c r="AV692" s="2">
        <v>22.609723557753501</v>
      </c>
      <c r="AW692" s="2">
        <v>22.254874244611699</v>
      </c>
      <c r="AX692" s="2">
        <v>22.208261243557001</v>
      </c>
      <c r="AY692" s="2">
        <v>22.504183767396299</v>
      </c>
      <c r="AZ692" s="2">
        <v>22.022433297455599</v>
      </c>
      <c r="BA692" s="2">
        <v>22.3157631026796</v>
      </c>
      <c r="BB692" s="2">
        <v>22.5607245458276</v>
      </c>
      <c r="BC692" s="2">
        <v>22.6696263930586</v>
      </c>
      <c r="BD692" s="2">
        <v>22.335850212629602</v>
      </c>
      <c r="BE692" s="2">
        <v>22.752464778850001</v>
      </c>
      <c r="BF692" s="2">
        <v>21.4667893766646</v>
      </c>
      <c r="BG692" s="2">
        <v>21.664640404760501</v>
      </c>
      <c r="BH692" s="2">
        <v>22.607141718971601</v>
      </c>
      <c r="BI692" s="2">
        <v>22.121620539097702</v>
      </c>
      <c r="BJ692" s="2">
        <v>22.362761849460998</v>
      </c>
      <c r="BK692" s="2">
        <v>22.314460900900698</v>
      </c>
      <c r="BL692" s="2">
        <v>22.327581429936998</v>
      </c>
      <c r="BM692" s="2">
        <v>22.612721488361899</v>
      </c>
      <c r="BN692" s="2">
        <v>22.6360359559892</v>
      </c>
      <c r="BO692" s="2">
        <v>22.2172425337844</v>
      </c>
      <c r="BP692" s="2">
        <v>22.137359116762301</v>
      </c>
      <c r="BQ692" s="2">
        <v>22.161864810616802</v>
      </c>
      <c r="BR692" s="2">
        <v>22.014742808088901</v>
      </c>
      <c r="BS692" s="2">
        <v>22.461747262362099</v>
      </c>
      <c r="BT692" s="2">
        <v>22.686771625980999</v>
      </c>
      <c r="BU692" s="2">
        <v>22.613481493811701</v>
      </c>
      <c r="BV692" s="2">
        <v>22.550032747050199</v>
      </c>
      <c r="BW692" s="2">
        <v>22.4222408502579</v>
      </c>
      <c r="BX692" s="2">
        <v>22.300177618210899</v>
      </c>
      <c r="BY692" s="2">
        <v>22.894477312416999</v>
      </c>
      <c r="BZ692" s="2">
        <v>22.243870984928598</v>
      </c>
      <c r="CA692" s="2">
        <v>22.221803528876801</v>
      </c>
      <c r="CB692" s="2">
        <v>22.167677598725799</v>
      </c>
      <c r="CC692" s="2">
        <v>22.2311142857506</v>
      </c>
      <c r="CD692" s="2">
        <v>22.686033727491999</v>
      </c>
      <c r="CE692" s="2">
        <v>22.514124690355001</v>
      </c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</row>
    <row r="693" spans="1:97">
      <c r="A693" s="2" t="s">
        <v>6711</v>
      </c>
      <c r="B693" s="2">
        <v>197.07828000000001</v>
      </c>
      <c r="C693" s="2">
        <v>0.66</v>
      </c>
      <c r="D693" s="2" t="s">
        <v>84</v>
      </c>
      <c r="E693" s="2" t="s">
        <v>6712</v>
      </c>
      <c r="F693" s="2" t="s">
        <v>6713</v>
      </c>
      <c r="G693" s="2">
        <v>213142</v>
      </c>
      <c r="H693" s="3" t="str">
        <f>HYPERLINK("https://cloud.oebiotech.com/#/lm/network/213142", "https://cloud.oebiotech.com/#/lm/network/213142")</f>
        <v>https://cloud.oebiotech.com/#/lm/network/213142</v>
      </c>
      <c r="I693" s="2" t="s">
        <v>6714</v>
      </c>
      <c r="J693" s="2">
        <v>5672</v>
      </c>
      <c r="K693" s="2"/>
      <c r="L693" s="2">
        <v>135403800</v>
      </c>
      <c r="M693" s="2"/>
      <c r="N693" s="2"/>
      <c r="O693" s="2"/>
      <c r="P693" s="2"/>
      <c r="Q693" s="2"/>
      <c r="R693" s="2"/>
      <c r="S693" s="2" t="s">
        <v>6715</v>
      </c>
      <c r="T693" s="2" t="s">
        <v>6716</v>
      </c>
      <c r="U693" s="2" t="s">
        <v>6717</v>
      </c>
      <c r="V693" s="2" t="s">
        <v>553</v>
      </c>
      <c r="W693" s="2" t="s">
        <v>3468</v>
      </c>
      <c r="X693" s="2" t="s">
        <v>6622</v>
      </c>
      <c r="Y693" s="2" t="s">
        <v>556</v>
      </c>
      <c r="Z693" s="2" t="s">
        <v>3470</v>
      </c>
      <c r="AA693" s="2" t="s">
        <v>6623</v>
      </c>
      <c r="AB693" s="2" t="s">
        <v>3086</v>
      </c>
      <c r="AC693" s="2">
        <v>55.05</v>
      </c>
      <c r="AD693" s="2">
        <v>95.1</v>
      </c>
      <c r="AE693" s="2">
        <v>0</v>
      </c>
      <c r="AF693" s="2" t="s">
        <v>5614</v>
      </c>
      <c r="AG693" s="2" t="s">
        <v>132</v>
      </c>
      <c r="AH693" s="2" t="s">
        <v>6718</v>
      </c>
      <c r="AI693" s="2">
        <v>-1.01</v>
      </c>
      <c r="AJ693" s="2">
        <v>20.2360508971285</v>
      </c>
      <c r="AK693" s="2">
        <v>19.996993695079802</v>
      </c>
      <c r="AL693" s="2">
        <v>20.113412935860801</v>
      </c>
      <c r="AM693" s="2">
        <v>19.853366168497601</v>
      </c>
      <c r="AN693" s="2">
        <v>19.977612901138102</v>
      </c>
      <c r="AO693" s="2">
        <v>19.735653229354501</v>
      </c>
      <c r="AP693" s="2">
        <v>19.431765725983301</v>
      </c>
      <c r="AQ693" s="2">
        <v>19.8126602564518</v>
      </c>
      <c r="AR693" s="2">
        <v>20.182403652964901</v>
      </c>
      <c r="AS693" s="2">
        <v>19.018773888591902</v>
      </c>
      <c r="AT693" s="2">
        <v>19.423796179143601</v>
      </c>
      <c r="AU693" s="2">
        <v>19.224207408113799</v>
      </c>
      <c r="AV693" s="2">
        <v>19.0858683181795</v>
      </c>
      <c r="AW693" s="2">
        <v>19.499290030600999</v>
      </c>
      <c r="AX693" s="2">
        <v>19.832764955029798</v>
      </c>
      <c r="AY693" s="2">
        <v>19.9091725434421</v>
      </c>
      <c r="AZ693" s="2">
        <v>18.3265479424518</v>
      </c>
      <c r="BA693" s="2">
        <v>19.553833290838099</v>
      </c>
      <c r="BB693" s="2">
        <v>19.247701124513402</v>
      </c>
      <c r="BC693" s="2">
        <v>20.1010056136769</v>
      </c>
      <c r="BD693" s="2">
        <v>19.593145199511302</v>
      </c>
      <c r="BE693" s="2">
        <v>19.760656022601999</v>
      </c>
      <c r="BF693" s="2">
        <v>19.791193530615299</v>
      </c>
      <c r="BG693" s="2">
        <v>19.963878894944099</v>
      </c>
      <c r="BH693" s="2">
        <v>19.789837851782899</v>
      </c>
      <c r="BI693" s="2">
        <v>19.5212674643039</v>
      </c>
      <c r="BJ693" s="2">
        <v>19.3111947210806</v>
      </c>
      <c r="BK693" s="2">
        <v>19.8675802752885</v>
      </c>
      <c r="BL693" s="2">
        <v>19.7381912409001</v>
      </c>
      <c r="BM693" s="2">
        <v>19.658845880629599</v>
      </c>
      <c r="BN693" s="2">
        <v>19.634751131573701</v>
      </c>
      <c r="BO693" s="2">
        <v>19.633766043476101</v>
      </c>
      <c r="BP693" s="2">
        <v>19.808281797465298</v>
      </c>
      <c r="BQ693" s="2">
        <v>20.058863472623699</v>
      </c>
      <c r="BR693" s="2">
        <v>19.747983156686701</v>
      </c>
      <c r="BS693" s="2">
        <v>19.921225967067599</v>
      </c>
      <c r="BT693" s="2">
        <v>19.8944889028628</v>
      </c>
      <c r="BU693" s="2">
        <v>19.185466492222599</v>
      </c>
      <c r="BV693" s="2">
        <v>19.7730582460701</v>
      </c>
      <c r="BW693" s="2">
        <v>19.737106018733499</v>
      </c>
      <c r="BX693" s="2">
        <v>19.500509173946799</v>
      </c>
      <c r="BY693" s="2">
        <v>19.541783154235201</v>
      </c>
      <c r="BZ693" s="2">
        <v>19.150651025909301</v>
      </c>
      <c r="CA693" s="2">
        <v>19.734148223717</v>
      </c>
      <c r="CB693" s="2">
        <v>19.948633425808001</v>
      </c>
      <c r="CC693" s="2">
        <v>20.0377870739397</v>
      </c>
      <c r="CD693" s="2">
        <v>19.282173375214899</v>
      </c>
      <c r="CE693" s="2">
        <v>20.210754007710001</v>
      </c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</row>
    <row r="694" spans="1:97">
      <c r="A694" s="2" t="s">
        <v>6719</v>
      </c>
      <c r="B694" s="2">
        <v>256.22678999999999</v>
      </c>
      <c r="C694" s="2">
        <v>9.7759999999999998</v>
      </c>
      <c r="D694" s="2" t="s">
        <v>84</v>
      </c>
      <c r="E694" s="2" t="s">
        <v>6720</v>
      </c>
      <c r="F694" s="2" t="s">
        <v>6721</v>
      </c>
      <c r="G694" s="2">
        <v>61624</v>
      </c>
      <c r="H694" s="3" t="str">
        <f>HYPERLINK("https://cloud.oebiotech.com/#/lm/network/61624", "https://cloud.oebiotech.com/#/lm/network/61624")</f>
        <v>https://cloud.oebiotech.com/#/lm/network/61624</v>
      </c>
      <c r="I694" s="2" t="s">
        <v>6722</v>
      </c>
      <c r="J694" s="2"/>
      <c r="K694" s="2"/>
      <c r="L694" s="2">
        <v>90806</v>
      </c>
      <c r="M694" s="2" t="s">
        <v>6723</v>
      </c>
      <c r="N694" s="2"/>
      <c r="O694" s="2"/>
      <c r="P694" s="2"/>
      <c r="Q694" s="2"/>
      <c r="R694" s="2"/>
      <c r="S694" s="2" t="s">
        <v>6724</v>
      </c>
      <c r="T694" s="2" t="s">
        <v>6725</v>
      </c>
      <c r="U694" s="2" t="s">
        <v>6726</v>
      </c>
      <c r="V694" s="2" t="s">
        <v>553</v>
      </c>
      <c r="W694" s="2" t="s">
        <v>6727</v>
      </c>
      <c r="X694" s="2" t="s">
        <v>375</v>
      </c>
      <c r="Y694" s="2" t="s">
        <v>556</v>
      </c>
      <c r="Z694" s="2" t="s">
        <v>3300</v>
      </c>
      <c r="AA694" s="2"/>
      <c r="AB694" s="2" t="s">
        <v>3086</v>
      </c>
      <c r="AC694" s="2">
        <v>54.96</v>
      </c>
      <c r="AD694" s="2">
        <v>90.05</v>
      </c>
      <c r="AE694" s="2">
        <v>0</v>
      </c>
      <c r="AF694" s="2" t="s">
        <v>5614</v>
      </c>
      <c r="AG694" s="2" t="s">
        <v>132</v>
      </c>
      <c r="AH694" s="2" t="s">
        <v>1469</v>
      </c>
      <c r="AI694" s="2">
        <v>1.17</v>
      </c>
      <c r="AJ694" s="2">
        <v>20.312975692617702</v>
      </c>
      <c r="AK694" s="2">
        <v>20.512226355945099</v>
      </c>
      <c r="AL694" s="2">
        <v>19.804538877379699</v>
      </c>
      <c r="AM694" s="2">
        <v>20.4942813826055</v>
      </c>
      <c r="AN694" s="2">
        <v>20.599661926829398</v>
      </c>
      <c r="AO694" s="2">
        <v>20.643501151886898</v>
      </c>
      <c r="AP694" s="2">
        <v>20.0496147358615</v>
      </c>
      <c r="AQ694" s="2">
        <v>20.448748499684701</v>
      </c>
      <c r="AR694" s="2">
        <v>19.9620085179988</v>
      </c>
      <c r="AS694" s="2">
        <v>19.782414020366701</v>
      </c>
      <c r="AT694" s="2">
        <v>19.766929114646398</v>
      </c>
      <c r="AU694" s="2">
        <v>19.828700500152401</v>
      </c>
      <c r="AV694" s="2">
        <v>19.9027028300019</v>
      </c>
      <c r="AW694" s="2">
        <v>19.705378530070899</v>
      </c>
      <c r="AX694" s="2">
        <v>20.0229081941219</v>
      </c>
      <c r="AY694" s="2">
        <v>19.8951751044319</v>
      </c>
      <c r="AZ694" s="2">
        <v>19.9776602435184</v>
      </c>
      <c r="BA694" s="2">
        <v>19.320452351114699</v>
      </c>
      <c r="BB694" s="2">
        <v>20.444964947948002</v>
      </c>
      <c r="BC694" s="2">
        <v>19.5625086336069</v>
      </c>
      <c r="BD694" s="2">
        <v>20.0916944372002</v>
      </c>
      <c r="BE694" s="2">
        <v>19.949826368866599</v>
      </c>
      <c r="BF694" s="2">
        <v>19.924777498554299</v>
      </c>
      <c r="BG694" s="2">
        <v>19.859007307110701</v>
      </c>
      <c r="BH694" s="2">
        <v>20.032827639560299</v>
      </c>
      <c r="BI694" s="2">
        <v>19.944670044157299</v>
      </c>
      <c r="BJ694" s="2">
        <v>20.126890337504001</v>
      </c>
      <c r="BK694" s="2">
        <v>19.816302591475701</v>
      </c>
      <c r="BL694" s="2">
        <v>19.388569860737999</v>
      </c>
      <c r="BM694" s="2">
        <v>20.0394059222177</v>
      </c>
      <c r="BN694" s="2">
        <v>19.860867618833101</v>
      </c>
      <c r="BO694" s="2">
        <v>20.0970812243315</v>
      </c>
      <c r="BP694" s="2">
        <v>19.944273747141601</v>
      </c>
      <c r="BQ694" s="2">
        <v>20.019915508292801</v>
      </c>
      <c r="BR694" s="2">
        <v>19.884415107103599</v>
      </c>
      <c r="BS694" s="2">
        <v>19.659106385668</v>
      </c>
      <c r="BT694" s="2">
        <v>19.996584195154298</v>
      </c>
      <c r="BU694" s="2">
        <v>19.498248783035699</v>
      </c>
      <c r="BV694" s="2">
        <v>19.989496756235301</v>
      </c>
      <c r="BW694" s="2">
        <v>19.934046130539201</v>
      </c>
      <c r="BX694" s="2">
        <v>19.7064939439428</v>
      </c>
      <c r="BY694" s="2">
        <v>20.097064630660601</v>
      </c>
      <c r="BZ694" s="2">
        <v>20.140517836312199</v>
      </c>
      <c r="CA694" s="2">
        <v>20.093972847130001</v>
      </c>
      <c r="CB694" s="2">
        <v>20.1612897183388</v>
      </c>
      <c r="CC694" s="2">
        <v>19.885247799617101</v>
      </c>
      <c r="CD694" s="2">
        <v>20.082372859449698</v>
      </c>
      <c r="CE694" s="2">
        <v>19.8404831344961</v>
      </c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</row>
    <row r="695" spans="1:97">
      <c r="A695" s="2" t="s">
        <v>6728</v>
      </c>
      <c r="B695" s="2">
        <v>158.15382</v>
      </c>
      <c r="C695" s="2">
        <v>8.36</v>
      </c>
      <c r="D695" s="2" t="s">
        <v>84</v>
      </c>
      <c r="E695" s="2" t="s">
        <v>6729</v>
      </c>
      <c r="F695" s="2" t="s">
        <v>6730</v>
      </c>
      <c r="G695" s="2">
        <v>6243</v>
      </c>
      <c r="H695" s="3" t="str">
        <f>HYPERLINK("https://cloud.oebiotech.com/#/lm/network/6243", "https://cloud.oebiotech.com/#/lm/network/6243")</f>
        <v>https://cloud.oebiotech.com/#/lm/network/6243</v>
      </c>
      <c r="I695" s="2"/>
      <c r="J695" s="2">
        <v>96979</v>
      </c>
      <c r="K695" s="2" t="s">
        <v>6731</v>
      </c>
      <c r="L695" s="2">
        <v>56935890</v>
      </c>
      <c r="M695" s="2"/>
      <c r="N695" s="2"/>
      <c r="O695" s="2"/>
      <c r="P695" s="2"/>
      <c r="Q695" s="2"/>
      <c r="R695" s="2"/>
      <c r="S695" s="2"/>
      <c r="T695" s="2" t="s">
        <v>6732</v>
      </c>
      <c r="U695" s="2" t="s">
        <v>6733</v>
      </c>
      <c r="V695" s="2" t="s">
        <v>95</v>
      </c>
      <c r="W695" s="2" t="s">
        <v>96</v>
      </c>
      <c r="X695" s="2" t="s">
        <v>353</v>
      </c>
      <c r="Y695" s="2" t="s">
        <v>98</v>
      </c>
      <c r="Z695" s="2" t="s">
        <v>99</v>
      </c>
      <c r="AA695" s="2" t="s">
        <v>354</v>
      </c>
      <c r="AB695" s="2" t="s">
        <v>3086</v>
      </c>
      <c r="AC695" s="2">
        <v>54.95</v>
      </c>
      <c r="AD695" s="2">
        <v>98.61</v>
      </c>
      <c r="AE695" s="2">
        <v>0</v>
      </c>
      <c r="AF695" s="2" t="s">
        <v>6734</v>
      </c>
      <c r="AG695" s="2" t="s">
        <v>132</v>
      </c>
      <c r="AH695" s="2" t="s">
        <v>6735</v>
      </c>
      <c r="AI695" s="2">
        <v>0.63</v>
      </c>
      <c r="AJ695" s="2">
        <v>25.635785211401799</v>
      </c>
      <c r="AK695" s="2">
        <v>25.687033155630999</v>
      </c>
      <c r="AL695" s="2">
        <v>25.638375830865701</v>
      </c>
      <c r="AM695" s="2">
        <v>25.590830435827499</v>
      </c>
      <c r="AN695" s="2">
        <v>25.5117601266722</v>
      </c>
      <c r="AO695" s="2">
        <v>25.687519946443999</v>
      </c>
      <c r="AP695" s="2">
        <v>25.3520757572241</v>
      </c>
      <c r="AQ695" s="2">
        <v>25.611731905607801</v>
      </c>
      <c r="AR695" s="2">
        <v>25.562136377677401</v>
      </c>
      <c r="AS695" s="2">
        <v>25.689519583059099</v>
      </c>
      <c r="AT695" s="2">
        <v>25.611907226164799</v>
      </c>
      <c r="AU695" s="2">
        <v>25.710945843275098</v>
      </c>
      <c r="AV695" s="2">
        <v>25.674238574747999</v>
      </c>
      <c r="AW695" s="2">
        <v>25.588405428925</v>
      </c>
      <c r="AX695" s="2">
        <v>25.572110273042799</v>
      </c>
      <c r="AY695" s="2">
        <v>25.6843630717905</v>
      </c>
      <c r="AZ695" s="2">
        <v>25.609747737925101</v>
      </c>
      <c r="BA695" s="2">
        <v>25.6745194721993</v>
      </c>
      <c r="BB695" s="2">
        <v>25.657043053409399</v>
      </c>
      <c r="BC695" s="2">
        <v>25.5726127367682</v>
      </c>
      <c r="BD695" s="2">
        <v>25.6783352972198</v>
      </c>
      <c r="BE695" s="2">
        <v>25.699502330746402</v>
      </c>
      <c r="BF695" s="2">
        <v>25.571924680332401</v>
      </c>
      <c r="BG695" s="2">
        <v>25.615308042246799</v>
      </c>
      <c r="BH695" s="2">
        <v>25.482080847152901</v>
      </c>
      <c r="BI695" s="2">
        <v>25.6100262364244</v>
      </c>
      <c r="BJ695" s="2">
        <v>25.572294730328601</v>
      </c>
      <c r="BK695" s="2">
        <v>25.6093106575048</v>
      </c>
      <c r="BL695" s="2">
        <v>25.5333653332872</v>
      </c>
      <c r="BM695" s="2">
        <v>25.537656920662499</v>
      </c>
      <c r="BN695" s="2">
        <v>25.490568844247999</v>
      </c>
      <c r="BO695" s="2">
        <v>25.657520854468402</v>
      </c>
      <c r="BP695" s="2">
        <v>25.694515283667101</v>
      </c>
      <c r="BQ695" s="2">
        <v>25.720779342859402</v>
      </c>
      <c r="BR695" s="2">
        <v>25.592135987322401</v>
      </c>
      <c r="BS695" s="2">
        <v>25.669297228304</v>
      </c>
      <c r="BT695" s="2">
        <v>25.5436400351497</v>
      </c>
      <c r="BU695" s="2">
        <v>25.666414488126101</v>
      </c>
      <c r="BV695" s="2">
        <v>25.658887734383001</v>
      </c>
      <c r="BW695" s="2">
        <v>25.6113636517602</v>
      </c>
      <c r="BX695" s="2">
        <v>25.467838365568099</v>
      </c>
      <c r="BY695" s="2">
        <v>25.582196755152498</v>
      </c>
      <c r="BZ695" s="2">
        <v>25.495696889158101</v>
      </c>
      <c r="CA695" s="2">
        <v>25.589412193080499</v>
      </c>
      <c r="CB695" s="2">
        <v>25.511136293414101</v>
      </c>
      <c r="CC695" s="2">
        <v>25.601992695451301</v>
      </c>
      <c r="CD695" s="2">
        <v>25.559827861422502</v>
      </c>
      <c r="CE695" s="2">
        <v>25.4705472048045</v>
      </c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</row>
    <row r="696" spans="1:97">
      <c r="A696" s="2" t="s">
        <v>6736</v>
      </c>
      <c r="B696" s="2">
        <v>267.12356</v>
      </c>
      <c r="C696" s="2">
        <v>7.2939999999999996</v>
      </c>
      <c r="D696" s="2" t="s">
        <v>146</v>
      </c>
      <c r="E696" s="2" t="s">
        <v>6737</v>
      </c>
      <c r="F696" s="2" t="s">
        <v>6738</v>
      </c>
      <c r="G696" s="2">
        <v>2665</v>
      </c>
      <c r="H696" s="3" t="str">
        <f>HYPERLINK("https://cloud.oebiotech.com/#/lm/network/2665", "https://cloud.oebiotech.com/#/lm/network/2665")</f>
        <v>https://cloud.oebiotech.com/#/lm/network/2665</v>
      </c>
      <c r="I696" s="2"/>
      <c r="J696" s="2"/>
      <c r="K696" s="2" t="s">
        <v>6739</v>
      </c>
      <c r="L696" s="2">
        <v>86080377</v>
      </c>
      <c r="M696" s="2"/>
      <c r="N696" s="2"/>
      <c r="O696" s="2"/>
      <c r="P696" s="2"/>
      <c r="Q696" s="2"/>
      <c r="R696" s="2"/>
      <c r="S696" s="2"/>
      <c r="T696" s="2" t="s">
        <v>6740</v>
      </c>
      <c r="U696" s="2" t="s">
        <v>6741</v>
      </c>
      <c r="V696" s="2" t="s">
        <v>95</v>
      </c>
      <c r="W696" s="2" t="s">
        <v>96</v>
      </c>
      <c r="X696" s="2" t="s">
        <v>141</v>
      </c>
      <c r="Y696" s="2" t="s">
        <v>98</v>
      </c>
      <c r="Z696" s="2" t="s">
        <v>99</v>
      </c>
      <c r="AA696" s="2" t="s">
        <v>142</v>
      </c>
      <c r="AB696" s="2" t="s">
        <v>3086</v>
      </c>
      <c r="AC696" s="2">
        <v>54.95</v>
      </c>
      <c r="AD696" s="2">
        <v>91.06</v>
      </c>
      <c r="AE696" s="2">
        <v>0</v>
      </c>
      <c r="AF696" s="2" t="s">
        <v>5614</v>
      </c>
      <c r="AG696" s="2" t="s">
        <v>194</v>
      </c>
      <c r="AH696" s="2" t="s">
        <v>6742</v>
      </c>
      <c r="AI696" s="2">
        <v>0.75</v>
      </c>
      <c r="AJ696" s="2">
        <v>17.0103681278019</v>
      </c>
      <c r="AK696" s="2">
        <v>16.795006206677101</v>
      </c>
      <c r="AL696" s="2">
        <v>16.730099783418201</v>
      </c>
      <c r="AM696" s="2">
        <v>16.926629801797901</v>
      </c>
      <c r="AN696" s="2">
        <v>16.286852818302201</v>
      </c>
      <c r="AO696" s="2">
        <v>16.7234711036253</v>
      </c>
      <c r="AP696" s="2">
        <v>16.546809321732798</v>
      </c>
      <c r="AQ696" s="2">
        <v>17.092670025007401</v>
      </c>
      <c r="AR696" s="2">
        <v>17.407642863994798</v>
      </c>
      <c r="AS696" s="2">
        <v>15.7676560912635</v>
      </c>
      <c r="AT696" s="2">
        <v>15.463061643017101</v>
      </c>
      <c r="AU696" s="2">
        <v>15.9155608138514</v>
      </c>
      <c r="AV696" s="2">
        <v>16.192670008332101</v>
      </c>
      <c r="AW696" s="2">
        <v>16.424777454120299</v>
      </c>
      <c r="AX696" s="2">
        <v>16.152178070365299</v>
      </c>
      <c r="AY696" s="2">
        <v>16.543606589985899</v>
      </c>
      <c r="AZ696" s="2">
        <v>16.666171426708601</v>
      </c>
      <c r="BA696" s="2">
        <v>15.0493921058557</v>
      </c>
      <c r="BB696" s="2">
        <v>16.723009862429901</v>
      </c>
      <c r="BC696" s="2">
        <v>18.114657547080999</v>
      </c>
      <c r="BD696" s="2">
        <v>16.873939929694</v>
      </c>
      <c r="BE696" s="2">
        <v>17.103602543905598</v>
      </c>
      <c r="BF696" s="2">
        <v>17.4595458456172</v>
      </c>
      <c r="BG696" s="2">
        <v>16.278469785905902</v>
      </c>
      <c r="BH696" s="2">
        <v>16.727726387969799</v>
      </c>
      <c r="BI696" s="2">
        <v>14.590257798133299</v>
      </c>
      <c r="BJ696" s="2">
        <v>15.979687548684799</v>
      </c>
      <c r="BK696" s="2">
        <v>16.773712177768498</v>
      </c>
      <c r="BL696" s="2">
        <v>16.080766739319699</v>
      </c>
      <c r="BM696" s="2">
        <v>14.372352926724901</v>
      </c>
      <c r="BN696" s="2">
        <v>16.794104736454202</v>
      </c>
      <c r="BO696" s="2">
        <v>17.468544101322301</v>
      </c>
      <c r="BP696" s="2">
        <v>15.769609047601801</v>
      </c>
      <c r="BQ696" s="2">
        <v>17.186212337921202</v>
      </c>
      <c r="BR696" s="2">
        <v>17.002733281664899</v>
      </c>
      <c r="BS696" s="2">
        <v>16.989425546194401</v>
      </c>
      <c r="BT696" s="2">
        <v>17.1934483572165</v>
      </c>
      <c r="BU696" s="2">
        <v>16.540346176425199</v>
      </c>
      <c r="BV696" s="2">
        <v>15.982075337526</v>
      </c>
      <c r="BW696" s="2">
        <v>16.336747999949299</v>
      </c>
      <c r="BX696" s="2">
        <v>16.4403929477627</v>
      </c>
      <c r="BY696" s="2">
        <v>17.5865469893001</v>
      </c>
      <c r="BZ696" s="2">
        <v>17.157029988486901</v>
      </c>
      <c r="CA696" s="2">
        <v>16.1643870685193</v>
      </c>
      <c r="CB696" s="2">
        <v>14.7313370646004</v>
      </c>
      <c r="CC696" s="2">
        <v>17.366138962577299</v>
      </c>
      <c r="CD696" s="2">
        <v>17.931635624231301</v>
      </c>
      <c r="CE696" s="2">
        <v>17.694670885222202</v>
      </c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</row>
    <row r="697" spans="1:97">
      <c r="A697" s="2" t="s">
        <v>6743</v>
      </c>
      <c r="B697" s="2">
        <v>282.11878000000002</v>
      </c>
      <c r="C697" s="2">
        <v>0.78200000000000003</v>
      </c>
      <c r="D697" s="2" t="s">
        <v>84</v>
      </c>
      <c r="E697" s="2" t="s">
        <v>6744</v>
      </c>
      <c r="F697" s="2" t="s">
        <v>6745</v>
      </c>
      <c r="G697" s="2">
        <v>58671</v>
      </c>
      <c r="H697" s="3" t="str">
        <f>HYPERLINK("https://cloud.oebiotech.com/#/lm/network/58671", "https://cloud.oebiotech.com/#/lm/network/58671")</f>
        <v>https://cloud.oebiotech.com/#/lm/network/58671</v>
      </c>
      <c r="I697" s="2" t="s">
        <v>6746</v>
      </c>
      <c r="J697" s="2">
        <v>90132</v>
      </c>
      <c r="K697" s="2"/>
      <c r="L697" s="2">
        <v>72569818</v>
      </c>
      <c r="M697" s="2"/>
      <c r="N697" s="2"/>
      <c r="O697" s="2"/>
      <c r="P697" s="2">
        <v>174468</v>
      </c>
      <c r="Q697" s="2"/>
      <c r="R697" s="2"/>
      <c r="S697" s="2" t="s">
        <v>6747</v>
      </c>
      <c r="T697" s="2" t="s">
        <v>6748</v>
      </c>
      <c r="U697" s="2" t="s">
        <v>6749</v>
      </c>
      <c r="V697" s="2" t="s">
        <v>338</v>
      </c>
      <c r="W697" s="2" t="s">
        <v>339</v>
      </c>
      <c r="X697" s="2" t="s">
        <v>663</v>
      </c>
      <c r="Y697" s="2" t="s">
        <v>341</v>
      </c>
      <c r="Z697" s="2" t="s">
        <v>341</v>
      </c>
      <c r="AA697" s="2" t="s">
        <v>664</v>
      </c>
      <c r="AB697" s="2" t="s">
        <v>3086</v>
      </c>
      <c r="AC697" s="2">
        <v>54.95</v>
      </c>
      <c r="AD697" s="2">
        <v>93.4</v>
      </c>
      <c r="AE697" s="2">
        <v>0</v>
      </c>
      <c r="AF697" s="2" t="s">
        <v>5614</v>
      </c>
      <c r="AG697" s="2" t="s">
        <v>132</v>
      </c>
      <c r="AH697" s="2" t="s">
        <v>6750</v>
      </c>
      <c r="AI697" s="2">
        <v>-1.77</v>
      </c>
      <c r="AJ697" s="2">
        <v>20.512036264690099</v>
      </c>
      <c r="AK697" s="2">
        <v>20.732960240140901</v>
      </c>
      <c r="AL697" s="2">
        <v>20.8636892846351</v>
      </c>
      <c r="AM697" s="2">
        <v>20.987750820075</v>
      </c>
      <c r="AN697" s="2">
        <v>20.9213414673603</v>
      </c>
      <c r="AO697" s="2">
        <v>20.801622197494599</v>
      </c>
      <c r="AP697" s="2">
        <v>20.818342273162699</v>
      </c>
      <c r="AQ697" s="2">
        <v>21.038845717538699</v>
      </c>
      <c r="AR697" s="2">
        <v>20.0609022495318</v>
      </c>
      <c r="AS697" s="2">
        <v>19.574920443276</v>
      </c>
      <c r="AT697" s="2">
        <v>20.099430388809701</v>
      </c>
      <c r="AU697" s="2">
        <v>20.555438118088599</v>
      </c>
      <c r="AV697" s="2">
        <v>20.6142050742063</v>
      </c>
      <c r="AW697" s="2">
        <v>20.602616096496298</v>
      </c>
      <c r="AX697" s="2">
        <v>19.903952155758201</v>
      </c>
      <c r="AY697" s="2">
        <v>20.816559553092699</v>
      </c>
      <c r="AZ697" s="2">
        <v>21.319216460915101</v>
      </c>
      <c r="BA697" s="2">
        <v>21.0889479096287</v>
      </c>
      <c r="BB697" s="2">
        <v>20.3366509166711</v>
      </c>
      <c r="BC697" s="2">
        <v>20.469669358729501</v>
      </c>
      <c r="BD697" s="2">
        <v>21.047916297056599</v>
      </c>
      <c r="BE697" s="2">
        <v>21.497526705209001</v>
      </c>
      <c r="BF697" s="2">
        <v>21.0076042248722</v>
      </c>
      <c r="BG697" s="2">
        <v>20.992026650913299</v>
      </c>
      <c r="BH697" s="2">
        <v>20.242812894871399</v>
      </c>
      <c r="BI697" s="2">
        <v>20.550645464433501</v>
      </c>
      <c r="BJ697" s="2">
        <v>21.055989086794</v>
      </c>
      <c r="BK697" s="2">
        <v>20.787570334208102</v>
      </c>
      <c r="BL697" s="2">
        <v>20.330487542806299</v>
      </c>
      <c r="BM697" s="2">
        <v>21.225686077235999</v>
      </c>
      <c r="BN697" s="2">
        <v>20.633497578333699</v>
      </c>
      <c r="BO697" s="2">
        <v>19.972618394147101</v>
      </c>
      <c r="BP697" s="2">
        <v>20.852288485892601</v>
      </c>
      <c r="BQ697" s="2">
        <v>20.955924287073898</v>
      </c>
      <c r="BR697" s="2">
        <v>20.668852583080898</v>
      </c>
      <c r="BS697" s="2">
        <v>21.1656033328386</v>
      </c>
      <c r="BT697" s="2">
        <v>20.666140811348701</v>
      </c>
      <c r="BU697" s="2">
        <v>20.970333632507899</v>
      </c>
      <c r="BV697" s="2">
        <v>20.452083278124402</v>
      </c>
      <c r="BW697" s="2">
        <v>20.777523804628601</v>
      </c>
      <c r="BX697" s="2">
        <v>20.893345470713399</v>
      </c>
      <c r="BY697" s="2">
        <v>21.1233633274475</v>
      </c>
      <c r="BZ697" s="2">
        <v>21.259916622739802</v>
      </c>
      <c r="CA697" s="2">
        <v>21.291271796828099</v>
      </c>
      <c r="CB697" s="2">
        <v>20.474811753595699</v>
      </c>
      <c r="CC697" s="2">
        <v>21.065336411981001</v>
      </c>
      <c r="CD697" s="2">
        <v>21.557960338119599</v>
      </c>
      <c r="CE697" s="2">
        <v>20.983509840302801</v>
      </c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</row>
    <row r="698" spans="1:97">
      <c r="A698" s="2" t="s">
        <v>6751</v>
      </c>
      <c r="B698" s="2">
        <v>331.16469999999998</v>
      </c>
      <c r="C698" s="2">
        <v>4.1420000000000003</v>
      </c>
      <c r="D698" s="2" t="s">
        <v>84</v>
      </c>
      <c r="E698" s="2" t="s">
        <v>6752</v>
      </c>
      <c r="F698" s="2" t="s">
        <v>6753</v>
      </c>
      <c r="G698" s="2">
        <v>57601</v>
      </c>
      <c r="H698" s="3" t="str">
        <f>HYPERLINK("https://cloud.oebiotech.com/#/lm/network/57601", "https://cloud.oebiotech.com/#/lm/network/57601")</f>
        <v>https://cloud.oebiotech.com/#/lm/network/57601</v>
      </c>
      <c r="I698" s="2" t="s">
        <v>6754</v>
      </c>
      <c r="J698" s="2">
        <v>89201</v>
      </c>
      <c r="K698" s="2"/>
      <c r="L698" s="2">
        <v>14539910</v>
      </c>
      <c r="M698" s="2"/>
      <c r="N698" s="2"/>
      <c r="O698" s="2"/>
      <c r="P698" s="2"/>
      <c r="Q698" s="2"/>
      <c r="R698" s="2"/>
      <c r="S698" s="2" t="s">
        <v>6755</v>
      </c>
      <c r="T698" s="2" t="s">
        <v>6756</v>
      </c>
      <c r="U698" s="2" t="s">
        <v>6757</v>
      </c>
      <c r="V698" s="2" t="s">
        <v>374</v>
      </c>
      <c r="W698" s="2" t="s">
        <v>6758</v>
      </c>
      <c r="X698" s="2" t="s">
        <v>375</v>
      </c>
      <c r="Y698" s="2" t="s">
        <v>376</v>
      </c>
      <c r="Z698" s="2" t="s">
        <v>6759</v>
      </c>
      <c r="AA698" s="2"/>
      <c r="AB698" s="2" t="s">
        <v>3086</v>
      </c>
      <c r="AC698" s="2">
        <v>54.95</v>
      </c>
      <c r="AD698" s="2">
        <v>88.51</v>
      </c>
      <c r="AE698" s="2">
        <v>0</v>
      </c>
      <c r="AF698" s="2" t="s">
        <v>5614</v>
      </c>
      <c r="AG698" s="2" t="s">
        <v>132</v>
      </c>
      <c r="AH698" s="2" t="s">
        <v>6760</v>
      </c>
      <c r="AI698" s="2">
        <v>1.51</v>
      </c>
      <c r="AJ698" s="2">
        <v>17.516763113689599</v>
      </c>
      <c r="AK698" s="2">
        <v>16.3226101846682</v>
      </c>
      <c r="AL698" s="2">
        <v>16.775233200871199</v>
      </c>
      <c r="AM698" s="2">
        <v>17.283716627270099</v>
      </c>
      <c r="AN698" s="2">
        <v>17.173218512007399</v>
      </c>
      <c r="AO698" s="2">
        <v>16.606769542042301</v>
      </c>
      <c r="AP698" s="2">
        <v>16.9333580167634</v>
      </c>
      <c r="AQ698" s="2">
        <v>16.926632349646098</v>
      </c>
      <c r="AR698" s="2">
        <v>9.6233145402724691</v>
      </c>
      <c r="AS698" s="2">
        <v>13.925015646590801</v>
      </c>
      <c r="AT698" s="2">
        <v>14.8591683395664</v>
      </c>
      <c r="AU698" s="2">
        <v>9.6233145402724691</v>
      </c>
      <c r="AV698" s="2">
        <v>9.6233145402724691</v>
      </c>
      <c r="AW698" s="2">
        <v>9.6233145402724691</v>
      </c>
      <c r="AX698" s="2">
        <v>16.586923622242001</v>
      </c>
      <c r="AY698" s="2">
        <v>14.0792914337352</v>
      </c>
      <c r="AZ698" s="2">
        <v>9.6233145402724691</v>
      </c>
      <c r="BA698" s="2">
        <v>14.8061211198166</v>
      </c>
      <c r="BB698" s="2">
        <v>16.201825272639098</v>
      </c>
      <c r="BC698" s="2">
        <v>18.3932145931275</v>
      </c>
      <c r="BD698" s="2">
        <v>14.6146885669667</v>
      </c>
      <c r="BE698" s="2">
        <v>16.668655944894901</v>
      </c>
      <c r="BF698" s="2">
        <v>9.6233145402724691</v>
      </c>
      <c r="BG698" s="2">
        <v>17.2110091505409</v>
      </c>
      <c r="BH698" s="2">
        <v>15.4132669456825</v>
      </c>
      <c r="BI698" s="2">
        <v>14.350582191872901</v>
      </c>
      <c r="BJ698" s="2">
        <v>16.523005799949299</v>
      </c>
      <c r="BK698" s="2">
        <v>9.6233145402724691</v>
      </c>
      <c r="BL698" s="2">
        <v>14.7146737541932</v>
      </c>
      <c r="BM698" s="2">
        <v>14.937253805190901</v>
      </c>
      <c r="BN698" s="2">
        <v>15.0260266957558</v>
      </c>
      <c r="BO698" s="2">
        <v>15.8932576785605</v>
      </c>
      <c r="BP698" s="2">
        <v>14.5985451429347</v>
      </c>
      <c r="BQ698" s="2">
        <v>13.9666766761635</v>
      </c>
      <c r="BR698" s="2">
        <v>17.1065050760905</v>
      </c>
      <c r="BS698" s="2">
        <v>13.9469300268388</v>
      </c>
      <c r="BT698" s="2">
        <v>15.1904470345624</v>
      </c>
      <c r="BU698" s="2">
        <v>17.119109723257001</v>
      </c>
      <c r="BV698" s="2">
        <v>17.279382240243901</v>
      </c>
      <c r="BW698" s="2">
        <v>15.4199789353941</v>
      </c>
      <c r="BX698" s="2">
        <v>9.6233145402724691</v>
      </c>
      <c r="BY698" s="2">
        <v>15.8177758783083</v>
      </c>
      <c r="BZ698" s="2">
        <v>9.6233145402724691</v>
      </c>
      <c r="CA698" s="2">
        <v>15.752240290588601</v>
      </c>
      <c r="CB698" s="2">
        <v>16.132271579411501</v>
      </c>
      <c r="CC698" s="2">
        <v>9.6233145402724691</v>
      </c>
      <c r="CD698" s="2">
        <v>17.696658082220999</v>
      </c>
      <c r="CE698" s="2">
        <v>15.941094845390801</v>
      </c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</row>
    <row r="699" spans="1:97">
      <c r="A699" s="2" t="s">
        <v>6761</v>
      </c>
      <c r="B699" s="2">
        <v>328.32055000000003</v>
      </c>
      <c r="C699" s="2">
        <v>13.282</v>
      </c>
      <c r="D699" s="2" t="s">
        <v>84</v>
      </c>
      <c r="E699" s="2" t="s">
        <v>6762</v>
      </c>
      <c r="F699" s="2" t="s">
        <v>6763</v>
      </c>
      <c r="G699" s="2">
        <v>9060</v>
      </c>
      <c r="H699" s="3" t="str">
        <f>HYPERLINK("https://cloud.oebiotech.com/#/lm/network/9060", "https://cloud.oebiotech.com/#/lm/network/9060")</f>
        <v>https://cloud.oebiotech.com/#/lm/network/9060</v>
      </c>
      <c r="I699" s="2" t="s">
        <v>6764</v>
      </c>
      <c r="J699" s="2">
        <v>3720</v>
      </c>
      <c r="K699" s="2" t="s">
        <v>6765</v>
      </c>
      <c r="L699" s="2">
        <v>27902</v>
      </c>
      <c r="M699" s="2"/>
      <c r="N699" s="2"/>
      <c r="O699" s="2"/>
      <c r="P699" s="2">
        <v>85299</v>
      </c>
      <c r="Q699" s="2" t="s">
        <v>6766</v>
      </c>
      <c r="R699" s="2" t="s">
        <v>6767</v>
      </c>
      <c r="S699" s="2" t="s">
        <v>6768</v>
      </c>
      <c r="T699" s="2" t="s">
        <v>6769</v>
      </c>
      <c r="U699" s="2" t="s">
        <v>6770</v>
      </c>
      <c r="V699" s="2" t="s">
        <v>166</v>
      </c>
      <c r="W699" s="2" t="s">
        <v>167</v>
      </c>
      <c r="X699" s="2" t="s">
        <v>482</v>
      </c>
      <c r="Y699" s="2" t="s">
        <v>169</v>
      </c>
      <c r="Z699" s="2" t="s">
        <v>169</v>
      </c>
      <c r="AA699" s="2" t="s">
        <v>483</v>
      </c>
      <c r="AB699" s="2" t="s">
        <v>3086</v>
      </c>
      <c r="AC699" s="2">
        <v>54.94</v>
      </c>
      <c r="AD699" s="2">
        <v>87.37</v>
      </c>
      <c r="AE699" s="2">
        <v>0</v>
      </c>
      <c r="AF699" s="2" t="s">
        <v>5614</v>
      </c>
      <c r="AG699" s="2" t="s">
        <v>103</v>
      </c>
      <c r="AH699" s="2" t="s">
        <v>6771</v>
      </c>
      <c r="AI699" s="2">
        <v>1.22</v>
      </c>
      <c r="AJ699" s="2">
        <v>18.3779192463223</v>
      </c>
      <c r="AK699" s="2">
        <v>18.109618426634</v>
      </c>
      <c r="AL699" s="2">
        <v>17.158633748708699</v>
      </c>
      <c r="AM699" s="2">
        <v>17.633522100808499</v>
      </c>
      <c r="AN699" s="2">
        <v>17.585585942984</v>
      </c>
      <c r="AO699" s="2">
        <v>18.070332510256499</v>
      </c>
      <c r="AP699" s="2">
        <v>18.103362349145598</v>
      </c>
      <c r="AQ699" s="2">
        <v>17.6710769507769</v>
      </c>
      <c r="AR699" s="2">
        <v>17.7628512976809</v>
      </c>
      <c r="AS699" s="2">
        <v>17.372147138011101</v>
      </c>
      <c r="AT699" s="2">
        <v>17.937883715139002</v>
      </c>
      <c r="AU699" s="2">
        <v>9.6233145402724691</v>
      </c>
      <c r="AV699" s="2">
        <v>16.433652104274</v>
      </c>
      <c r="AW699" s="2">
        <v>17.4035542475415</v>
      </c>
      <c r="AX699" s="2">
        <v>17.745747908920301</v>
      </c>
      <c r="AY699" s="2">
        <v>16.699320306632199</v>
      </c>
      <c r="AZ699" s="2">
        <v>15.0280541104941</v>
      </c>
      <c r="BA699" s="2">
        <v>17.428882570851599</v>
      </c>
      <c r="BB699" s="2">
        <v>18.336951100874099</v>
      </c>
      <c r="BC699" s="2">
        <v>18.603876553747501</v>
      </c>
      <c r="BD699" s="2">
        <v>14.8534050820478</v>
      </c>
      <c r="BE699" s="2">
        <v>17.441517472477599</v>
      </c>
      <c r="BF699" s="2">
        <v>17.8753405603067</v>
      </c>
      <c r="BG699" s="2">
        <v>18.337650819710898</v>
      </c>
      <c r="BH699" s="2">
        <v>15.367647150043499</v>
      </c>
      <c r="BI699" s="2">
        <v>17.919663923639298</v>
      </c>
      <c r="BJ699" s="2">
        <v>17.439694553764699</v>
      </c>
      <c r="BK699" s="2">
        <v>17.4930236369906</v>
      </c>
      <c r="BL699" s="2">
        <v>17.9989808974718</v>
      </c>
      <c r="BM699" s="2">
        <v>15.511841584282299</v>
      </c>
      <c r="BN699" s="2">
        <v>16.323103152037898</v>
      </c>
      <c r="BO699" s="2">
        <v>17.869661733032999</v>
      </c>
      <c r="BP699" s="2">
        <v>18.0215172479454</v>
      </c>
      <c r="BQ699" s="2">
        <v>17.694748682097401</v>
      </c>
      <c r="BR699" s="2">
        <v>18.170212570577</v>
      </c>
      <c r="BS699" s="2">
        <v>15.664115295379601</v>
      </c>
      <c r="BT699" s="2">
        <v>17.358073969644501</v>
      </c>
      <c r="BU699" s="2">
        <v>18.3391348180932</v>
      </c>
      <c r="BV699" s="2">
        <v>17.909211855988001</v>
      </c>
      <c r="BW699" s="2">
        <v>17.3267440592196</v>
      </c>
      <c r="BX699" s="2">
        <v>17.056128893363901</v>
      </c>
      <c r="BY699" s="2">
        <v>17.177372136487001</v>
      </c>
      <c r="BZ699" s="2">
        <v>17.5354517229162</v>
      </c>
      <c r="CA699" s="2">
        <v>16.892698978416899</v>
      </c>
      <c r="CB699" s="2">
        <v>15.9461018884552</v>
      </c>
      <c r="CC699" s="2">
        <v>17.286373929727802</v>
      </c>
      <c r="CD699" s="2">
        <v>18.416527021662802</v>
      </c>
      <c r="CE699" s="2">
        <v>18.1839181477288</v>
      </c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</row>
    <row r="700" spans="1:97">
      <c r="A700" s="2" t="s">
        <v>6772</v>
      </c>
      <c r="B700" s="2">
        <v>241.14304999999999</v>
      </c>
      <c r="C700" s="2">
        <v>6.742</v>
      </c>
      <c r="D700" s="2" t="s">
        <v>84</v>
      </c>
      <c r="E700" s="2" t="s">
        <v>6773</v>
      </c>
      <c r="F700" s="2" t="s">
        <v>6774</v>
      </c>
      <c r="G700" s="2">
        <v>3386</v>
      </c>
      <c r="H700" s="3" t="str">
        <f>HYPERLINK("https://cloud.oebiotech.com/#/lm/network/3386", "https://cloud.oebiotech.com/#/lm/network/3386")</f>
        <v>https://cloud.oebiotech.com/#/lm/network/3386</v>
      </c>
      <c r="I700" s="2"/>
      <c r="J700" s="2"/>
      <c r="K700" s="2" t="s">
        <v>6775</v>
      </c>
      <c r="L700" s="2"/>
      <c r="M700" s="2"/>
      <c r="N700" s="2"/>
      <c r="O700" s="2"/>
      <c r="P700" s="2"/>
      <c r="Q700" s="2"/>
      <c r="R700" s="2"/>
      <c r="S700" s="2"/>
      <c r="T700" s="2" t="s">
        <v>6776</v>
      </c>
      <c r="U700" s="2" t="s">
        <v>6777</v>
      </c>
      <c r="V700" s="2" t="s">
        <v>95</v>
      </c>
      <c r="W700" s="2" t="s">
        <v>96</v>
      </c>
      <c r="X700" s="2" t="s">
        <v>919</v>
      </c>
      <c r="Y700" s="2" t="s">
        <v>98</v>
      </c>
      <c r="Z700" s="2" t="s">
        <v>99</v>
      </c>
      <c r="AA700" s="2" t="s">
        <v>920</v>
      </c>
      <c r="AB700" s="2" t="s">
        <v>3086</v>
      </c>
      <c r="AC700" s="2">
        <v>54.94</v>
      </c>
      <c r="AD700" s="2">
        <v>92.11</v>
      </c>
      <c r="AE700" s="2">
        <v>0</v>
      </c>
      <c r="AF700" s="2" t="s">
        <v>5614</v>
      </c>
      <c r="AG700" s="2" t="s">
        <v>103</v>
      </c>
      <c r="AH700" s="2" t="s">
        <v>6778</v>
      </c>
      <c r="AI700" s="2">
        <v>1.66</v>
      </c>
      <c r="AJ700" s="2">
        <v>19.652909832615201</v>
      </c>
      <c r="AK700" s="2">
        <v>19.9849628270401</v>
      </c>
      <c r="AL700" s="2">
        <v>19.844184069697601</v>
      </c>
      <c r="AM700" s="2">
        <v>19.731348103424001</v>
      </c>
      <c r="AN700" s="2">
        <v>19.9585351998786</v>
      </c>
      <c r="AO700" s="2">
        <v>19.813239531007699</v>
      </c>
      <c r="AP700" s="2">
        <v>19.947625823792801</v>
      </c>
      <c r="AQ700" s="2">
        <v>19.742113445904799</v>
      </c>
      <c r="AR700" s="2">
        <v>19.762674800126199</v>
      </c>
      <c r="AS700" s="2">
        <v>19.6882119358038</v>
      </c>
      <c r="AT700" s="2">
        <v>19.963439042615398</v>
      </c>
      <c r="AU700" s="2">
        <v>19.2756242336872</v>
      </c>
      <c r="AV700" s="2">
        <v>19.597370749322199</v>
      </c>
      <c r="AW700" s="2">
        <v>19.983755033070999</v>
      </c>
      <c r="AX700" s="2">
        <v>19.476905650895802</v>
      </c>
      <c r="AY700" s="2">
        <v>21.086683595563901</v>
      </c>
      <c r="AZ700" s="2">
        <v>19.956302485098401</v>
      </c>
      <c r="BA700" s="2">
        <v>20.095655131588298</v>
      </c>
      <c r="BB700" s="2">
        <v>20.0654840986418</v>
      </c>
      <c r="BC700" s="2">
        <v>20.9350251332217</v>
      </c>
      <c r="BD700" s="2">
        <v>19.049962690949801</v>
      </c>
      <c r="BE700" s="2">
        <v>19.5779307747401</v>
      </c>
      <c r="BF700" s="2">
        <v>18.621497850895398</v>
      </c>
      <c r="BG700" s="2">
        <v>20.235154026927201</v>
      </c>
      <c r="BH700" s="2">
        <v>21.038922176683101</v>
      </c>
      <c r="BI700" s="2">
        <v>18.894183656728401</v>
      </c>
      <c r="BJ700" s="2">
        <v>19.824081611961201</v>
      </c>
      <c r="BK700" s="2">
        <v>19.689547928922799</v>
      </c>
      <c r="BL700" s="2">
        <v>18.803192943058701</v>
      </c>
      <c r="BM700" s="2">
        <v>19.755746664230401</v>
      </c>
      <c r="BN700" s="2">
        <v>19.036958776705301</v>
      </c>
      <c r="BO700" s="2">
        <v>20.0097003501213</v>
      </c>
      <c r="BP700" s="2">
        <v>19.176699417223201</v>
      </c>
      <c r="BQ700" s="2">
        <v>18.817756864036198</v>
      </c>
      <c r="BR700" s="2">
        <v>19.627942170890101</v>
      </c>
      <c r="BS700" s="2">
        <v>20.313859670877299</v>
      </c>
      <c r="BT700" s="2">
        <v>19.872736103342302</v>
      </c>
      <c r="BU700" s="2">
        <v>20.028561746807199</v>
      </c>
      <c r="BV700" s="2">
        <v>19.3594826844061</v>
      </c>
      <c r="BW700" s="2">
        <v>19.640436058339098</v>
      </c>
      <c r="BX700" s="2">
        <v>19.215164131253999</v>
      </c>
      <c r="BY700" s="2">
        <v>20.295975522012199</v>
      </c>
      <c r="BZ700" s="2">
        <v>19.6467262018089</v>
      </c>
      <c r="CA700" s="2">
        <v>19.947021449877699</v>
      </c>
      <c r="CB700" s="2">
        <v>19.4240295162036</v>
      </c>
      <c r="CC700" s="2">
        <v>19.379561658151999</v>
      </c>
      <c r="CD700" s="2">
        <v>19.384172859416999</v>
      </c>
      <c r="CE700" s="2">
        <v>19.5529959360926</v>
      </c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</row>
    <row r="701" spans="1:97">
      <c r="A701" s="2" t="s">
        <v>6779</v>
      </c>
      <c r="B701" s="2">
        <v>193.00726</v>
      </c>
      <c r="C701" s="2">
        <v>4.5670000000000002</v>
      </c>
      <c r="D701" s="2" t="s">
        <v>146</v>
      </c>
      <c r="E701" s="2" t="s">
        <v>6780</v>
      </c>
      <c r="F701" s="2" t="s">
        <v>6781</v>
      </c>
      <c r="G701" s="2">
        <v>199976</v>
      </c>
      <c r="H701" s="3" t="str">
        <f>HYPERLINK("https://cloud.oebiotech.com/#/lm/network/199976", "https://cloud.oebiotech.com/#/lm/network/199976")</f>
        <v>https://cloud.oebiotech.com/#/lm/network/199976</v>
      </c>
      <c r="I701" s="2" t="s">
        <v>6782</v>
      </c>
      <c r="J701" s="2">
        <v>412258</v>
      </c>
      <c r="K701" s="2"/>
      <c r="L701" s="2">
        <v>129981</v>
      </c>
      <c r="M701" s="2"/>
      <c r="N701" s="2"/>
      <c r="O701" s="2"/>
      <c r="P701" s="2"/>
      <c r="Q701" s="2"/>
      <c r="R701" s="2"/>
      <c r="S701" s="2"/>
      <c r="T701" s="2" t="s">
        <v>6783</v>
      </c>
      <c r="U701" s="2" t="s">
        <v>6784</v>
      </c>
      <c r="V701" s="2" t="s">
        <v>553</v>
      </c>
      <c r="W701" s="2" t="s">
        <v>6785</v>
      </c>
      <c r="X701" s="2" t="s">
        <v>375</v>
      </c>
      <c r="Y701" s="2" t="s">
        <v>556</v>
      </c>
      <c r="Z701" s="2" t="s">
        <v>6786</v>
      </c>
      <c r="AA701" s="2"/>
      <c r="AB701" s="2" t="s">
        <v>5118</v>
      </c>
      <c r="AC701" s="2">
        <v>54.93</v>
      </c>
      <c r="AD701" s="2">
        <v>96.21</v>
      </c>
      <c r="AE701" s="2">
        <v>61.63</v>
      </c>
      <c r="AF701" s="2" t="s">
        <v>6787</v>
      </c>
      <c r="AG701" s="2" t="s">
        <v>194</v>
      </c>
      <c r="AH701" s="2" t="s">
        <v>6788</v>
      </c>
      <c r="AI701" s="2">
        <v>2.0699999999999998</v>
      </c>
      <c r="AJ701" s="2">
        <v>21.127677753675201</v>
      </c>
      <c r="AK701" s="2">
        <v>21.131101102189</v>
      </c>
      <c r="AL701" s="2">
        <v>21.378719532650901</v>
      </c>
      <c r="AM701" s="2">
        <v>21.2059915051797</v>
      </c>
      <c r="AN701" s="2">
        <v>21.229223792820498</v>
      </c>
      <c r="AO701" s="2">
        <v>21.036501100163701</v>
      </c>
      <c r="AP701" s="2">
        <v>21.059283727098201</v>
      </c>
      <c r="AQ701" s="2">
        <v>21.048047472748902</v>
      </c>
      <c r="AR701" s="2">
        <v>21.2482985485297</v>
      </c>
      <c r="AS701" s="2">
        <v>20.982773914402099</v>
      </c>
      <c r="AT701" s="2">
        <v>20.842048192558</v>
      </c>
      <c r="AU701" s="2">
        <v>20.9764895661169</v>
      </c>
      <c r="AV701" s="2">
        <v>20.9009584855506</v>
      </c>
      <c r="AW701" s="2">
        <v>21.096866533798799</v>
      </c>
      <c r="AX701" s="2">
        <v>20.836955539681501</v>
      </c>
      <c r="AY701" s="2">
        <v>21.008182340809299</v>
      </c>
      <c r="AZ701" s="2">
        <v>21.025002575138998</v>
      </c>
      <c r="BA701" s="2">
        <v>20.886371034241101</v>
      </c>
      <c r="BB701" s="2">
        <v>21.146731660556799</v>
      </c>
      <c r="BC701" s="2">
        <v>20.979980448907501</v>
      </c>
      <c r="BD701" s="2">
        <v>20.739540404254502</v>
      </c>
      <c r="BE701" s="2">
        <v>20.791873324363301</v>
      </c>
      <c r="BF701" s="2">
        <v>21.320201886724</v>
      </c>
      <c r="BG701" s="2">
        <v>21.5358508005401</v>
      </c>
      <c r="BH701" s="2">
        <v>21.0600131418065</v>
      </c>
      <c r="BI701" s="2">
        <v>20.977431398303299</v>
      </c>
      <c r="BJ701" s="2">
        <v>21.2269855925346</v>
      </c>
      <c r="BK701" s="2">
        <v>21.015893530049802</v>
      </c>
      <c r="BL701" s="2">
        <v>20.953074563494901</v>
      </c>
      <c r="BM701" s="2">
        <v>21.273489089327299</v>
      </c>
      <c r="BN701" s="2">
        <v>20.8126540838728</v>
      </c>
      <c r="BO701" s="2">
        <v>20.796278607664998</v>
      </c>
      <c r="BP701" s="2">
        <v>20.959207852485601</v>
      </c>
      <c r="BQ701" s="2">
        <v>20.996075043575001</v>
      </c>
      <c r="BR701" s="2">
        <v>20.9916333482625</v>
      </c>
      <c r="BS701" s="2">
        <v>20.8934715125928</v>
      </c>
      <c r="BT701" s="2">
        <v>20.813432889230601</v>
      </c>
      <c r="BU701" s="2">
        <v>20.9854779160367</v>
      </c>
      <c r="BV701" s="2">
        <v>21.017488660693498</v>
      </c>
      <c r="BW701" s="2">
        <v>20.995721896219798</v>
      </c>
      <c r="BX701" s="2">
        <v>20.894230982325801</v>
      </c>
      <c r="BY701" s="2">
        <v>20.974925604103898</v>
      </c>
      <c r="BZ701" s="2">
        <v>21.1321968101905</v>
      </c>
      <c r="CA701" s="2">
        <v>20.841559856192799</v>
      </c>
      <c r="CB701" s="2">
        <v>21.057510243611901</v>
      </c>
      <c r="CC701" s="2">
        <v>21.2039352879879</v>
      </c>
      <c r="CD701" s="2">
        <v>21.129276645514199</v>
      </c>
      <c r="CE701" s="2">
        <v>21.038269083214701</v>
      </c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</row>
    <row r="702" spans="1:97">
      <c r="A702" s="2" t="s">
        <v>6789</v>
      </c>
      <c r="B702" s="2">
        <v>265.18040000000002</v>
      </c>
      <c r="C702" s="2">
        <v>11.16</v>
      </c>
      <c r="D702" s="2" t="s">
        <v>146</v>
      </c>
      <c r="E702" s="2" t="s">
        <v>6790</v>
      </c>
      <c r="F702" s="2" t="s">
        <v>6791</v>
      </c>
      <c r="G702" s="2">
        <v>60176</v>
      </c>
      <c r="H702" s="3" t="str">
        <f>HYPERLINK("https://cloud.oebiotech.com/#/lm/network/60176", "https://cloud.oebiotech.com/#/lm/network/60176")</f>
        <v>https://cloud.oebiotech.com/#/lm/network/60176</v>
      </c>
      <c r="I702" s="2" t="s">
        <v>6792</v>
      </c>
      <c r="J702" s="2"/>
      <c r="K702" s="2"/>
      <c r="L702" s="2">
        <v>92231</v>
      </c>
      <c r="M702" s="2"/>
      <c r="N702" s="2"/>
      <c r="O702" s="2"/>
      <c r="P702" s="2">
        <v>132824</v>
      </c>
      <c r="Q702" s="2"/>
      <c r="R702" s="2"/>
      <c r="S702" s="2" t="s">
        <v>6793</v>
      </c>
      <c r="T702" s="2" t="s">
        <v>6794</v>
      </c>
      <c r="U702" s="2" t="s">
        <v>6795</v>
      </c>
      <c r="V702" s="2" t="s">
        <v>95</v>
      </c>
      <c r="W702" s="2" t="s">
        <v>180</v>
      </c>
      <c r="X702" s="2" t="s">
        <v>181</v>
      </c>
      <c r="Y702" s="2" t="s">
        <v>98</v>
      </c>
      <c r="Z702" s="2" t="s">
        <v>182</v>
      </c>
      <c r="AA702" s="2" t="s">
        <v>183</v>
      </c>
      <c r="AB702" s="2" t="s">
        <v>3086</v>
      </c>
      <c r="AC702" s="2">
        <v>54.93</v>
      </c>
      <c r="AD702" s="2">
        <v>90.17</v>
      </c>
      <c r="AE702" s="2">
        <v>0</v>
      </c>
      <c r="AF702" s="2" t="s">
        <v>6796</v>
      </c>
      <c r="AG702" s="2" t="s">
        <v>157</v>
      </c>
      <c r="AH702" s="2" t="s">
        <v>6797</v>
      </c>
      <c r="AI702" s="2">
        <v>1.89</v>
      </c>
      <c r="AJ702" s="2">
        <v>19.309544165096099</v>
      </c>
      <c r="AK702" s="2">
        <v>19.3588762181551</v>
      </c>
      <c r="AL702" s="2">
        <v>18.9650861838849</v>
      </c>
      <c r="AM702" s="2">
        <v>19.004189764164501</v>
      </c>
      <c r="AN702" s="2">
        <v>19.534178405268602</v>
      </c>
      <c r="AO702" s="2">
        <v>19.264540439746199</v>
      </c>
      <c r="AP702" s="2">
        <v>19.333497962803499</v>
      </c>
      <c r="AQ702" s="2">
        <v>19.666746919656401</v>
      </c>
      <c r="AR702" s="2">
        <v>18.715338932266</v>
      </c>
      <c r="AS702" s="2">
        <v>19.729177466777799</v>
      </c>
      <c r="AT702" s="2">
        <v>19.286163220739098</v>
      </c>
      <c r="AU702" s="2">
        <v>18.187725390675901</v>
      </c>
      <c r="AV702" s="2">
        <v>18.976371579692199</v>
      </c>
      <c r="AW702" s="2">
        <v>19.7631527191323</v>
      </c>
      <c r="AX702" s="2">
        <v>19.680244335739001</v>
      </c>
      <c r="AY702" s="2">
        <v>19.459000504418299</v>
      </c>
      <c r="AZ702" s="2">
        <v>19.415183388224602</v>
      </c>
      <c r="BA702" s="2">
        <v>20.4694094721212</v>
      </c>
      <c r="BB702" s="2">
        <v>18.467536576900599</v>
      </c>
      <c r="BC702" s="2">
        <v>19.573001860336699</v>
      </c>
      <c r="BD702" s="2">
        <v>19.571065830639299</v>
      </c>
      <c r="BE702" s="2">
        <v>19.732655556674899</v>
      </c>
      <c r="BF702" s="2">
        <v>17.4968207048476</v>
      </c>
      <c r="BG702" s="2">
        <v>18.2273039580896</v>
      </c>
      <c r="BH702" s="2">
        <v>16.335792985733502</v>
      </c>
      <c r="BI702" s="2">
        <v>19.249403627727499</v>
      </c>
      <c r="BJ702" s="2">
        <v>20.287089057011901</v>
      </c>
      <c r="BK702" s="2">
        <v>17.6936729587534</v>
      </c>
      <c r="BL702" s="2">
        <v>17.6759693649113</v>
      </c>
      <c r="BM702" s="2">
        <v>20.123975959910201</v>
      </c>
      <c r="BN702" s="2">
        <v>19.2686474198754</v>
      </c>
      <c r="BO702" s="2">
        <v>19.000777812283399</v>
      </c>
      <c r="BP702" s="2">
        <v>17.223091409609498</v>
      </c>
      <c r="BQ702" s="2">
        <v>19.924254336373899</v>
      </c>
      <c r="BR702" s="2">
        <v>19.197157768482398</v>
      </c>
      <c r="BS702" s="2">
        <v>19.649995168709399</v>
      </c>
      <c r="BT702" s="2">
        <v>17.952880905971899</v>
      </c>
      <c r="BU702" s="2">
        <v>20.633193899681899</v>
      </c>
      <c r="BV702" s="2">
        <v>17.4231782156535</v>
      </c>
      <c r="BW702" s="2">
        <v>16.975515058521101</v>
      </c>
      <c r="BX702" s="2">
        <v>19.163880999067199</v>
      </c>
      <c r="BY702" s="2">
        <v>20.095630332279502</v>
      </c>
      <c r="BZ702" s="2">
        <v>16.954211648938699</v>
      </c>
      <c r="CA702" s="2">
        <v>16.807174901008199</v>
      </c>
      <c r="CB702" s="2">
        <v>16.797403914924001</v>
      </c>
      <c r="CC702" s="2">
        <v>18.657941747329001</v>
      </c>
      <c r="CD702" s="2">
        <v>19.987131362869</v>
      </c>
      <c r="CE702" s="2">
        <v>16.978332957839701</v>
      </c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</row>
    <row r="703" spans="1:97">
      <c r="A703" s="2" t="s">
        <v>6798</v>
      </c>
      <c r="B703" s="2">
        <v>336.072</v>
      </c>
      <c r="C703" s="2">
        <v>4.524</v>
      </c>
      <c r="D703" s="2" t="s">
        <v>146</v>
      </c>
      <c r="E703" s="2" t="s">
        <v>6799</v>
      </c>
      <c r="F703" s="2" t="s">
        <v>6800</v>
      </c>
      <c r="G703" s="2">
        <v>52201</v>
      </c>
      <c r="H703" s="3" t="str">
        <f>HYPERLINK("https://cloud.oebiotech.com/#/lm/network/52201", "https://cloud.oebiotech.com/#/lm/network/52201")</f>
        <v>https://cloud.oebiotech.com/#/lm/network/52201</v>
      </c>
      <c r="I703" s="2" t="s">
        <v>6801</v>
      </c>
      <c r="J703" s="2"/>
      <c r="K703" s="2"/>
      <c r="L703" s="2">
        <v>53481645</v>
      </c>
      <c r="M703" s="2"/>
      <c r="N703" s="2"/>
      <c r="O703" s="2"/>
      <c r="P703" s="2">
        <v>68486</v>
      </c>
      <c r="Q703" s="2"/>
      <c r="R703" s="2"/>
      <c r="S703" s="2"/>
      <c r="T703" s="2" t="s">
        <v>6802</v>
      </c>
      <c r="U703" s="2" t="s">
        <v>6803</v>
      </c>
      <c r="V703" s="2" t="s">
        <v>338</v>
      </c>
      <c r="W703" s="2" t="s">
        <v>339</v>
      </c>
      <c r="X703" s="2" t="s">
        <v>663</v>
      </c>
      <c r="Y703" s="2" t="s">
        <v>341</v>
      </c>
      <c r="Z703" s="2" t="s">
        <v>341</v>
      </c>
      <c r="AA703" s="2" t="s">
        <v>664</v>
      </c>
      <c r="AB703" s="2" t="s">
        <v>3086</v>
      </c>
      <c r="AC703" s="2">
        <v>54.92</v>
      </c>
      <c r="AD703" s="2">
        <v>89.91</v>
      </c>
      <c r="AE703" s="2">
        <v>0</v>
      </c>
      <c r="AF703" s="2" t="s">
        <v>5614</v>
      </c>
      <c r="AG703" s="2" t="s">
        <v>194</v>
      </c>
      <c r="AH703" s="2" t="s">
        <v>6804</v>
      </c>
      <c r="AI703" s="2">
        <v>1.49</v>
      </c>
      <c r="AJ703" s="2">
        <v>15.9729622905912</v>
      </c>
      <c r="AK703" s="2">
        <v>16.311244000129001</v>
      </c>
      <c r="AL703" s="2">
        <v>16.3478747936696</v>
      </c>
      <c r="AM703" s="2">
        <v>16.008087386091699</v>
      </c>
      <c r="AN703" s="2">
        <v>16.321707940297401</v>
      </c>
      <c r="AO703" s="2">
        <v>16.134654731527501</v>
      </c>
      <c r="AP703" s="2">
        <v>16.374592084438699</v>
      </c>
      <c r="AQ703" s="2">
        <v>15.9749825122916</v>
      </c>
      <c r="AR703" s="2">
        <v>16.1596663939496</v>
      </c>
      <c r="AS703" s="2">
        <v>15.0610479509052</v>
      </c>
      <c r="AT703" s="2">
        <v>14.9717155283246</v>
      </c>
      <c r="AU703" s="2">
        <v>13.094280612262001</v>
      </c>
      <c r="AV703" s="2">
        <v>15.1437698261392</v>
      </c>
      <c r="AW703" s="2">
        <v>16.158226441166502</v>
      </c>
      <c r="AX703" s="2">
        <v>15.5912631547658</v>
      </c>
      <c r="AY703" s="2">
        <v>16.120892928301199</v>
      </c>
      <c r="AZ703" s="2">
        <v>14.140189105168099</v>
      </c>
      <c r="BA703" s="2">
        <v>16.641297364843702</v>
      </c>
      <c r="BB703" s="2">
        <v>16.211164332534199</v>
      </c>
      <c r="BC703" s="2">
        <v>15.469112346141401</v>
      </c>
      <c r="BD703" s="2">
        <v>14.303947664272201</v>
      </c>
      <c r="BE703" s="2">
        <v>16.3318683034096</v>
      </c>
      <c r="BF703" s="2">
        <v>13.9041152482864</v>
      </c>
      <c r="BG703" s="2">
        <v>16.1632127213548</v>
      </c>
      <c r="BH703" s="2">
        <v>16.079587490524201</v>
      </c>
      <c r="BI703" s="2">
        <v>17.182370685934799</v>
      </c>
      <c r="BJ703" s="2">
        <v>15.487536405490401</v>
      </c>
      <c r="BK703" s="2">
        <v>15.354733551367399</v>
      </c>
      <c r="BL703" s="2">
        <v>15.9177503736662</v>
      </c>
      <c r="BM703" s="2">
        <v>15.576510623542401</v>
      </c>
      <c r="BN703" s="2">
        <v>15.6020037337489</v>
      </c>
      <c r="BO703" s="2">
        <v>16.103517924509202</v>
      </c>
      <c r="BP703" s="2">
        <v>16.5163077620434</v>
      </c>
      <c r="BQ703" s="2">
        <v>16.663255658020301</v>
      </c>
      <c r="BR703" s="2">
        <v>15.5626353667489</v>
      </c>
      <c r="BS703" s="2">
        <v>16.6800214209327</v>
      </c>
      <c r="BT703" s="2">
        <v>15.6203355389412</v>
      </c>
      <c r="BU703" s="2">
        <v>17.264240348502401</v>
      </c>
      <c r="BV703" s="2">
        <v>16.868291934071699</v>
      </c>
      <c r="BW703" s="2">
        <v>14.301894110158599</v>
      </c>
      <c r="BX703" s="2">
        <v>15.183788496880901</v>
      </c>
      <c r="BY703" s="2">
        <v>16.773527394030499</v>
      </c>
      <c r="BZ703" s="2">
        <v>15.449438857943701</v>
      </c>
      <c r="CA703" s="2">
        <v>15.0060512073638</v>
      </c>
      <c r="CB703" s="2">
        <v>16.1792608587423</v>
      </c>
      <c r="CC703" s="2">
        <v>16.723211631926699</v>
      </c>
      <c r="CD703" s="2">
        <v>16.6262808427016</v>
      </c>
      <c r="CE703" s="2">
        <v>16.7783627287975</v>
      </c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</row>
    <row r="704" spans="1:97">
      <c r="A704" s="2" t="s">
        <v>6805</v>
      </c>
      <c r="B704" s="2">
        <v>236.09236000000001</v>
      </c>
      <c r="C704" s="2">
        <v>4.9800000000000004</v>
      </c>
      <c r="D704" s="2" t="s">
        <v>146</v>
      </c>
      <c r="E704" s="2" t="s">
        <v>6806</v>
      </c>
      <c r="F704" s="2" t="s">
        <v>6807</v>
      </c>
      <c r="G704" s="2">
        <v>57777</v>
      </c>
      <c r="H704" s="3" t="str">
        <f>HYPERLINK("https://cloud.oebiotech.com/#/lm/network/57777", "https://cloud.oebiotech.com/#/lm/network/57777")</f>
        <v>https://cloud.oebiotech.com/#/lm/network/57777</v>
      </c>
      <c r="I704" s="2" t="s">
        <v>6808</v>
      </c>
      <c r="J704" s="2">
        <v>89370</v>
      </c>
      <c r="K704" s="2"/>
      <c r="L704" s="2">
        <v>131751455</v>
      </c>
      <c r="M704" s="2"/>
      <c r="N704" s="2"/>
      <c r="O704" s="2"/>
      <c r="P704" s="2"/>
      <c r="Q704" s="2"/>
      <c r="R704" s="2"/>
      <c r="S704" s="2"/>
      <c r="T704" s="2" t="s">
        <v>6809</v>
      </c>
      <c r="U704" s="2" t="s">
        <v>6810</v>
      </c>
      <c r="V704" s="2" t="s">
        <v>553</v>
      </c>
      <c r="W704" s="2" t="s">
        <v>2447</v>
      </c>
      <c r="X704" s="2" t="s">
        <v>6211</v>
      </c>
      <c r="Y704" s="2" t="s">
        <v>556</v>
      </c>
      <c r="Z704" s="2" t="s">
        <v>2449</v>
      </c>
      <c r="AA704" s="2" t="s">
        <v>6212</v>
      </c>
      <c r="AB704" s="2" t="s">
        <v>3086</v>
      </c>
      <c r="AC704" s="2">
        <v>54.91</v>
      </c>
      <c r="AD704" s="2">
        <v>92.12</v>
      </c>
      <c r="AE704" s="2">
        <v>0</v>
      </c>
      <c r="AF704" s="2" t="s">
        <v>5614</v>
      </c>
      <c r="AG704" s="2" t="s">
        <v>157</v>
      </c>
      <c r="AH704" s="2" t="s">
        <v>6811</v>
      </c>
      <c r="AI704" s="2">
        <v>1.69</v>
      </c>
      <c r="AJ704" s="2">
        <v>19.0974354215269</v>
      </c>
      <c r="AK704" s="2">
        <v>19.112822488544399</v>
      </c>
      <c r="AL704" s="2">
        <v>19.1231971125423</v>
      </c>
      <c r="AM704" s="2">
        <v>19.3914029951328</v>
      </c>
      <c r="AN704" s="2">
        <v>19.1849893319574</v>
      </c>
      <c r="AO704" s="2">
        <v>19.281857306448501</v>
      </c>
      <c r="AP704" s="2">
        <v>19.111592401764799</v>
      </c>
      <c r="AQ704" s="2">
        <v>19.2336069686828</v>
      </c>
      <c r="AR704" s="2">
        <v>19.554593853949001</v>
      </c>
      <c r="AS704" s="2">
        <v>16.509232840480301</v>
      </c>
      <c r="AT704" s="2">
        <v>17.0974418772722</v>
      </c>
      <c r="AU704" s="2">
        <v>18.074640888963</v>
      </c>
      <c r="AV704" s="2">
        <v>18.765647594941498</v>
      </c>
      <c r="AW704" s="2">
        <v>19.914956397288002</v>
      </c>
      <c r="AX704" s="2">
        <v>17.9653242395657</v>
      </c>
      <c r="AY704" s="2">
        <v>18.968970050562501</v>
      </c>
      <c r="AZ704" s="2">
        <v>19.600931434551701</v>
      </c>
      <c r="BA704" s="2">
        <v>17.905521922287601</v>
      </c>
      <c r="BB704" s="2">
        <v>18.687417957818202</v>
      </c>
      <c r="BC704" s="2">
        <v>17.5158849827375</v>
      </c>
      <c r="BD704" s="2">
        <v>18.786406328984999</v>
      </c>
      <c r="BE704" s="2">
        <v>18.781737500559402</v>
      </c>
      <c r="BF704" s="2">
        <v>20.2658148169096</v>
      </c>
      <c r="BG704" s="2">
        <v>18.723242368292599</v>
      </c>
      <c r="BH704" s="2">
        <v>19.074329676047899</v>
      </c>
      <c r="BI704" s="2">
        <v>19.429171554520401</v>
      </c>
      <c r="BJ704" s="2">
        <v>18.730055523034601</v>
      </c>
      <c r="BK704" s="2">
        <v>19.153818989504501</v>
      </c>
      <c r="BL704" s="2">
        <v>18.460124446024601</v>
      </c>
      <c r="BM704" s="2">
        <v>19.900227776860699</v>
      </c>
      <c r="BN704" s="2">
        <v>19.636931639164398</v>
      </c>
      <c r="BO704" s="2">
        <v>18.148837856179199</v>
      </c>
      <c r="BP704" s="2">
        <v>17.678421193986701</v>
      </c>
      <c r="BQ704" s="2">
        <v>18.618492759711</v>
      </c>
      <c r="BR704" s="2">
        <v>18.502472538153</v>
      </c>
      <c r="BS704" s="2">
        <v>20.092597974934801</v>
      </c>
      <c r="BT704" s="2">
        <v>17.3019522344498</v>
      </c>
      <c r="BU704" s="2">
        <v>18.720023764370001</v>
      </c>
      <c r="BV704" s="2">
        <v>18.505197949382602</v>
      </c>
      <c r="BW704" s="2">
        <v>16.946772888429699</v>
      </c>
      <c r="BX704" s="2">
        <v>18.628749890597799</v>
      </c>
      <c r="BY704" s="2">
        <v>19.939064938167402</v>
      </c>
      <c r="BZ704" s="2">
        <v>19.0693182745351</v>
      </c>
      <c r="CA704" s="2">
        <v>20.3253489507794</v>
      </c>
      <c r="CB704" s="2">
        <v>17.447129407730301</v>
      </c>
      <c r="CC704" s="2">
        <v>18.973502757939301</v>
      </c>
      <c r="CD704" s="2">
        <v>18.770354147592801</v>
      </c>
      <c r="CE704" s="2">
        <v>18.738399178448802</v>
      </c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</row>
    <row r="705" spans="1:97">
      <c r="A705" s="2" t="s">
        <v>6812</v>
      </c>
      <c r="B705" s="2">
        <v>254.24742000000001</v>
      </c>
      <c r="C705" s="2">
        <v>11.708</v>
      </c>
      <c r="D705" s="2" t="s">
        <v>84</v>
      </c>
      <c r="E705" s="2" t="s">
        <v>6813</v>
      </c>
      <c r="F705" s="2" t="s">
        <v>6814</v>
      </c>
      <c r="G705" s="2">
        <v>6558</v>
      </c>
      <c r="H705" s="3" t="str">
        <f>HYPERLINK("https://cloud.oebiotech.com/#/lm/network/6558", "https://cloud.oebiotech.com/#/lm/network/6558")</f>
        <v>https://cloud.oebiotech.com/#/lm/network/6558</v>
      </c>
      <c r="I705" s="2"/>
      <c r="J705" s="2">
        <v>75368</v>
      </c>
      <c r="K705" s="2" t="s">
        <v>6815</v>
      </c>
      <c r="L705" s="2">
        <v>5283377</v>
      </c>
      <c r="M705" s="2"/>
      <c r="N705" s="2"/>
      <c r="O705" s="2"/>
      <c r="P705" s="2"/>
      <c r="Q705" s="2"/>
      <c r="R705" s="2"/>
      <c r="S705" s="2"/>
      <c r="T705" s="2" t="s">
        <v>6816</v>
      </c>
      <c r="U705" s="2" t="s">
        <v>6817</v>
      </c>
      <c r="V705" s="2" t="s">
        <v>95</v>
      </c>
      <c r="W705" s="2" t="s">
        <v>96</v>
      </c>
      <c r="X705" s="2" t="s">
        <v>129</v>
      </c>
      <c r="Y705" s="2" t="s">
        <v>98</v>
      </c>
      <c r="Z705" s="2" t="s">
        <v>99</v>
      </c>
      <c r="AA705" s="2" t="s">
        <v>130</v>
      </c>
      <c r="AB705" s="2" t="s">
        <v>3086</v>
      </c>
      <c r="AC705" s="2">
        <v>54.88</v>
      </c>
      <c r="AD705" s="2">
        <v>90.44</v>
      </c>
      <c r="AE705" s="2">
        <v>0</v>
      </c>
      <c r="AF705" s="2" t="s">
        <v>5614</v>
      </c>
      <c r="AG705" s="2" t="s">
        <v>132</v>
      </c>
      <c r="AH705" s="2" t="s">
        <v>6818</v>
      </c>
      <c r="AI705" s="2">
        <v>1.57</v>
      </c>
      <c r="AJ705" s="2">
        <v>19.570153815556498</v>
      </c>
      <c r="AK705" s="2">
        <v>18.9611313113165</v>
      </c>
      <c r="AL705" s="2">
        <v>18.5082069114688</v>
      </c>
      <c r="AM705" s="2">
        <v>19.628081249677798</v>
      </c>
      <c r="AN705" s="2">
        <v>18.8023241574803</v>
      </c>
      <c r="AO705" s="2">
        <v>19.283061509390901</v>
      </c>
      <c r="AP705" s="2">
        <v>19.0689902243654</v>
      </c>
      <c r="AQ705" s="2">
        <v>19.117768944178898</v>
      </c>
      <c r="AR705" s="2">
        <v>19.5534482932662</v>
      </c>
      <c r="AS705" s="2">
        <v>20.330237676574701</v>
      </c>
      <c r="AT705" s="2">
        <v>19.1919876448747</v>
      </c>
      <c r="AU705" s="2">
        <v>19.6866706601554</v>
      </c>
      <c r="AV705" s="2">
        <v>18.624730354947701</v>
      </c>
      <c r="AW705" s="2">
        <v>20.914094165058501</v>
      </c>
      <c r="AX705" s="2">
        <v>19.128475677887099</v>
      </c>
      <c r="AY705" s="2">
        <v>19.219607665452401</v>
      </c>
      <c r="AZ705" s="2">
        <v>19.386947105584198</v>
      </c>
      <c r="BA705" s="2">
        <v>18.872131483039499</v>
      </c>
      <c r="BB705" s="2">
        <v>20.631501355230402</v>
      </c>
      <c r="BC705" s="2">
        <v>19.809914001438798</v>
      </c>
      <c r="BD705" s="2">
        <v>19.573904424170799</v>
      </c>
      <c r="BE705" s="2">
        <v>19.452942835780199</v>
      </c>
      <c r="BF705" s="2">
        <v>19.908494083089899</v>
      </c>
      <c r="BG705" s="2">
        <v>20.4397738479887</v>
      </c>
      <c r="BH705" s="2">
        <v>18.951046608513298</v>
      </c>
      <c r="BI705" s="2">
        <v>19.714097057486299</v>
      </c>
      <c r="BJ705" s="2">
        <v>18.3624251541736</v>
      </c>
      <c r="BK705" s="2">
        <v>18.9182577276543</v>
      </c>
      <c r="BL705" s="2">
        <v>19.6932303752527</v>
      </c>
      <c r="BM705" s="2">
        <v>17.616717110099199</v>
      </c>
      <c r="BN705" s="2">
        <v>19.167840797483102</v>
      </c>
      <c r="BO705" s="2">
        <v>19.722865219143898</v>
      </c>
      <c r="BP705" s="2">
        <v>18.170857008344399</v>
      </c>
      <c r="BQ705" s="2">
        <v>19.207663999778699</v>
      </c>
      <c r="BR705" s="2">
        <v>19.797806665046298</v>
      </c>
      <c r="BS705" s="2">
        <v>19.5306968099625</v>
      </c>
      <c r="BT705" s="2">
        <v>19.037375465017199</v>
      </c>
      <c r="BU705" s="2">
        <v>20.215587541046698</v>
      </c>
      <c r="BV705" s="2">
        <v>18.9650921322317</v>
      </c>
      <c r="BW705" s="2">
        <v>18.655026896595199</v>
      </c>
      <c r="BX705" s="2">
        <v>17.2641105698894</v>
      </c>
      <c r="BY705" s="2">
        <v>18.678109878382202</v>
      </c>
      <c r="BZ705" s="2">
        <v>19.463611338174299</v>
      </c>
      <c r="CA705" s="2">
        <v>18.692982632579302</v>
      </c>
      <c r="CB705" s="2">
        <v>19.584757684656399</v>
      </c>
      <c r="CC705" s="2">
        <v>16.8407814880464</v>
      </c>
      <c r="CD705" s="2">
        <v>19.716651473987898</v>
      </c>
      <c r="CE705" s="2">
        <v>19.339465270308299</v>
      </c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</row>
    <row r="706" spans="1:97">
      <c r="A706" s="2" t="s">
        <v>6819</v>
      </c>
      <c r="B706" s="2">
        <v>144.06628000000001</v>
      </c>
      <c r="C706" s="2">
        <v>0.53100000000000003</v>
      </c>
      <c r="D706" s="2" t="s">
        <v>146</v>
      </c>
      <c r="E706" s="2" t="s">
        <v>6820</v>
      </c>
      <c r="F706" s="2" t="s">
        <v>6821</v>
      </c>
      <c r="G706" s="2">
        <v>51498</v>
      </c>
      <c r="H706" s="3" t="str">
        <f>HYPERLINK("https://cloud.oebiotech.com/#/lm/network/51498", "https://cloud.oebiotech.com/#/lm/network/51498")</f>
        <v>https://cloud.oebiotech.com/#/lm/network/51498</v>
      </c>
      <c r="I706" s="2" t="s">
        <v>6822</v>
      </c>
      <c r="J706" s="2">
        <v>62455</v>
      </c>
      <c r="K706" s="2"/>
      <c r="L706" s="2">
        <v>8761</v>
      </c>
      <c r="M706" s="2"/>
      <c r="N706" s="2"/>
      <c r="O706" s="2"/>
      <c r="P706" s="2">
        <v>39066</v>
      </c>
      <c r="Q706" s="2"/>
      <c r="R706" s="2"/>
      <c r="S706" s="2" t="s">
        <v>6823</v>
      </c>
      <c r="T706" s="2" t="s">
        <v>6824</v>
      </c>
      <c r="U706" s="2" t="s">
        <v>6825</v>
      </c>
      <c r="V706" s="2" t="s">
        <v>115</v>
      </c>
      <c r="W706" s="2" t="s">
        <v>116</v>
      </c>
      <c r="X706" s="2" t="s">
        <v>117</v>
      </c>
      <c r="Y706" s="2" t="s">
        <v>118</v>
      </c>
      <c r="Z706" s="2" t="s">
        <v>119</v>
      </c>
      <c r="AA706" s="2" t="s">
        <v>120</v>
      </c>
      <c r="AB706" s="2" t="s">
        <v>3086</v>
      </c>
      <c r="AC706" s="2">
        <v>54.87</v>
      </c>
      <c r="AD706" s="2">
        <v>96.05</v>
      </c>
      <c r="AE706" s="2">
        <v>0</v>
      </c>
      <c r="AF706" s="2" t="s">
        <v>6826</v>
      </c>
      <c r="AG706" s="2" t="s">
        <v>993</v>
      </c>
      <c r="AH706" s="2" t="s">
        <v>6827</v>
      </c>
      <c r="AI706" s="2">
        <v>-1.39</v>
      </c>
      <c r="AJ706" s="2">
        <v>20.354173478993701</v>
      </c>
      <c r="AK706" s="2">
        <v>20.677131945962898</v>
      </c>
      <c r="AL706" s="2">
        <v>20.2596622334699</v>
      </c>
      <c r="AM706" s="2">
        <v>20.394753150435299</v>
      </c>
      <c r="AN706" s="2">
        <v>20.306917848556601</v>
      </c>
      <c r="AO706" s="2">
        <v>20.233295808208801</v>
      </c>
      <c r="AP706" s="2">
        <v>20.512775149231899</v>
      </c>
      <c r="AQ706" s="2">
        <v>20.8059012962735</v>
      </c>
      <c r="AR706" s="2">
        <v>20.5148179686757</v>
      </c>
      <c r="AS706" s="2">
        <v>20.247957208567598</v>
      </c>
      <c r="AT706" s="2">
        <v>20.560883107561601</v>
      </c>
      <c r="AU706" s="2">
        <v>20.591501528204901</v>
      </c>
      <c r="AV706" s="2">
        <v>20.396484080525301</v>
      </c>
      <c r="AW706" s="2">
        <v>20.6218041174745</v>
      </c>
      <c r="AX706" s="2">
        <v>20.870981929170799</v>
      </c>
      <c r="AY706" s="2">
        <v>20.662049882010599</v>
      </c>
      <c r="AZ706" s="2">
        <v>20.637168769333702</v>
      </c>
      <c r="BA706" s="2">
        <v>20.507626096730199</v>
      </c>
      <c r="BB706" s="2">
        <v>20.487573067215202</v>
      </c>
      <c r="BC706" s="2">
        <v>20.445858654729498</v>
      </c>
      <c r="BD706" s="2">
        <v>20.5195703371636</v>
      </c>
      <c r="BE706" s="2">
        <v>20.571516872573</v>
      </c>
      <c r="BF706" s="2">
        <v>19.885862659474999</v>
      </c>
      <c r="BG706" s="2">
        <v>20.551650469085999</v>
      </c>
      <c r="BH706" s="2">
        <v>20.3962768339705</v>
      </c>
      <c r="BI706" s="2">
        <v>20.555128032298398</v>
      </c>
      <c r="BJ706" s="2">
        <v>20.717900095006499</v>
      </c>
      <c r="BK706" s="2">
        <v>20.8187970354697</v>
      </c>
      <c r="BL706" s="2">
        <v>20.262461429323501</v>
      </c>
      <c r="BM706" s="2">
        <v>20.716854921521801</v>
      </c>
      <c r="BN706" s="2">
        <v>20.654429672007399</v>
      </c>
      <c r="BO706" s="2">
        <v>20.639525644564699</v>
      </c>
      <c r="BP706" s="2">
        <v>19.362411947576401</v>
      </c>
      <c r="BQ706" s="2">
        <v>19.722586728311502</v>
      </c>
      <c r="BR706" s="2">
        <v>20.7275083891506</v>
      </c>
      <c r="BS706" s="2">
        <v>20.590063731735</v>
      </c>
      <c r="BT706" s="2">
        <v>20.688623418189898</v>
      </c>
      <c r="BU706" s="2">
        <v>20.778432940654099</v>
      </c>
      <c r="BV706" s="2">
        <v>20.418069773240799</v>
      </c>
      <c r="BW706" s="2">
        <v>20.567848307704999</v>
      </c>
      <c r="BX706" s="2">
        <v>20.5040475713202</v>
      </c>
      <c r="BY706" s="2">
        <v>20.411498409393602</v>
      </c>
      <c r="BZ706" s="2">
        <v>20.698944945042701</v>
      </c>
      <c r="CA706" s="2">
        <v>20.303429019854502</v>
      </c>
      <c r="CB706" s="2">
        <v>20.726964008545899</v>
      </c>
      <c r="CC706" s="2">
        <v>20.3606772048084</v>
      </c>
      <c r="CD706" s="2">
        <v>20.5108536808022</v>
      </c>
      <c r="CE706" s="2">
        <v>20.151233728263499</v>
      </c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</row>
    <row r="707" spans="1:97">
      <c r="A707" s="2" t="s">
        <v>6828</v>
      </c>
      <c r="B707" s="2">
        <v>121.06547999999999</v>
      </c>
      <c r="C707" s="2">
        <v>4.8959999999999999</v>
      </c>
      <c r="D707" s="2" t="s">
        <v>146</v>
      </c>
      <c r="E707" s="2" t="s">
        <v>6829</v>
      </c>
      <c r="F707" s="2" t="s">
        <v>6830</v>
      </c>
      <c r="G707" s="2">
        <v>201926</v>
      </c>
      <c r="H707" s="3" t="str">
        <f>HYPERLINK("https://cloud.oebiotech.com/#/lm/network/201926", "https://cloud.oebiotech.com/#/lm/network/201926")</f>
        <v>https://cloud.oebiotech.com/#/lm/network/201926</v>
      </c>
      <c r="I707" s="2" t="s">
        <v>6831</v>
      </c>
      <c r="J707" s="2">
        <v>73022</v>
      </c>
      <c r="K707" s="2"/>
      <c r="L707" s="2">
        <v>7833</v>
      </c>
      <c r="M707" s="2" t="s">
        <v>6832</v>
      </c>
      <c r="N707" s="2"/>
      <c r="O707" s="2"/>
      <c r="P707" s="2">
        <v>59001</v>
      </c>
      <c r="Q707" s="2"/>
      <c r="R707" s="2"/>
      <c r="S707" s="2" t="s">
        <v>6833</v>
      </c>
      <c r="T707" s="2" t="s">
        <v>6834</v>
      </c>
      <c r="U707" s="2" t="s">
        <v>6835</v>
      </c>
      <c r="V707" s="2" t="s">
        <v>553</v>
      </c>
      <c r="W707" s="2" t="s">
        <v>3299</v>
      </c>
      <c r="X707" s="2" t="s">
        <v>375</v>
      </c>
      <c r="Y707" s="2" t="s">
        <v>556</v>
      </c>
      <c r="Z707" s="2" t="s">
        <v>3300</v>
      </c>
      <c r="AA707" s="2"/>
      <c r="AB707" s="2" t="s">
        <v>3086</v>
      </c>
      <c r="AC707" s="2">
        <v>54.84</v>
      </c>
      <c r="AD707" s="2">
        <v>95.38</v>
      </c>
      <c r="AE707" s="2">
        <v>0</v>
      </c>
      <c r="AF707" s="2" t="s">
        <v>5614</v>
      </c>
      <c r="AG707" s="2" t="s">
        <v>993</v>
      </c>
      <c r="AH707" s="2" t="s">
        <v>6836</v>
      </c>
      <c r="AI707" s="2">
        <v>-1.1599999999999999</v>
      </c>
      <c r="AJ707" s="2">
        <v>15.930622543767701</v>
      </c>
      <c r="AK707" s="2">
        <v>16.559653873317401</v>
      </c>
      <c r="AL707" s="2">
        <v>15.369405478525501</v>
      </c>
      <c r="AM707" s="2">
        <v>16.1959532826789</v>
      </c>
      <c r="AN707" s="2">
        <v>16.197873989561</v>
      </c>
      <c r="AO707" s="2">
        <v>15.9479069614517</v>
      </c>
      <c r="AP707" s="2">
        <v>15.8569728065743</v>
      </c>
      <c r="AQ707" s="2">
        <v>16.217814223732798</v>
      </c>
      <c r="AR707" s="2">
        <v>16.634152216470198</v>
      </c>
      <c r="AS707" s="2">
        <v>15.2802995558372</v>
      </c>
      <c r="AT707" s="2">
        <v>12.982071994172999</v>
      </c>
      <c r="AU707" s="2">
        <v>16.0111641273968</v>
      </c>
      <c r="AV707" s="2">
        <v>17.117144897644501</v>
      </c>
      <c r="AW707" s="2">
        <v>9.6233145402724691</v>
      </c>
      <c r="AX707" s="2">
        <v>15.4432644261133</v>
      </c>
      <c r="AY707" s="2">
        <v>16.371307862425201</v>
      </c>
      <c r="AZ707" s="2">
        <v>15.6058999149028</v>
      </c>
      <c r="BA707" s="2">
        <v>14.7653441203394</v>
      </c>
      <c r="BB707" s="2">
        <v>15.551284690118299</v>
      </c>
      <c r="BC707" s="2">
        <v>14.2603565140766</v>
      </c>
      <c r="BD707" s="2">
        <v>15.2019665180185</v>
      </c>
      <c r="BE707" s="2">
        <v>12.1415803136283</v>
      </c>
      <c r="BF707" s="2">
        <v>16.7008868333759</v>
      </c>
      <c r="BG707" s="2">
        <v>17.1011852499227</v>
      </c>
      <c r="BH707" s="2">
        <v>14.3283502563676</v>
      </c>
      <c r="BI707" s="2">
        <v>15.758857430062999</v>
      </c>
      <c r="BJ707" s="2">
        <v>16.257765152690801</v>
      </c>
      <c r="BK707" s="2">
        <v>17.0190835503284</v>
      </c>
      <c r="BL707" s="2">
        <v>16.7377264978795</v>
      </c>
      <c r="BM707" s="2">
        <v>16.329207530966599</v>
      </c>
      <c r="BN707" s="2">
        <v>13.739290136647901</v>
      </c>
      <c r="BO707" s="2">
        <v>15.655604231201499</v>
      </c>
      <c r="BP707" s="2">
        <v>18.6468095976321</v>
      </c>
      <c r="BQ707" s="2">
        <v>15.101514499310699</v>
      </c>
      <c r="BR707" s="2">
        <v>14.3550413242542</v>
      </c>
      <c r="BS707" s="2">
        <v>16.916302623035499</v>
      </c>
      <c r="BT707" s="2">
        <v>17.932351221031301</v>
      </c>
      <c r="BU707" s="2">
        <v>16.1347074675421</v>
      </c>
      <c r="BV707" s="2">
        <v>14.422164000620301</v>
      </c>
      <c r="BW707" s="2">
        <v>9.6233145402724691</v>
      </c>
      <c r="BX707" s="2">
        <v>15.5545552779316</v>
      </c>
      <c r="BY707" s="2">
        <v>14.8858369568163</v>
      </c>
      <c r="BZ707" s="2">
        <v>15.1253674572063</v>
      </c>
      <c r="CA707" s="2">
        <v>13.7948991207359</v>
      </c>
      <c r="CB707" s="2">
        <v>16.0100778490438</v>
      </c>
      <c r="CC707" s="2">
        <v>13.5944809029737</v>
      </c>
      <c r="CD707" s="2">
        <v>16.5870338305273</v>
      </c>
      <c r="CE707" s="2">
        <v>15.842288216217399</v>
      </c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</row>
    <row r="708" spans="1:97">
      <c r="A708" s="2" t="s">
        <v>6837</v>
      </c>
      <c r="B708" s="2">
        <v>267.23244</v>
      </c>
      <c r="C708" s="2">
        <v>13.138999999999999</v>
      </c>
      <c r="D708" s="2" t="s">
        <v>146</v>
      </c>
      <c r="E708" s="2" t="s">
        <v>6838</v>
      </c>
      <c r="F708" s="2" t="s">
        <v>6839</v>
      </c>
      <c r="G708" s="2">
        <v>199788</v>
      </c>
      <c r="H708" s="3" t="str">
        <f>HYPERLINK("https://cloud.oebiotech.com/#/lm/network/199788", "https://cloud.oebiotech.com/#/lm/network/199788")</f>
        <v>https://cloud.oebiotech.com/#/lm/network/199788</v>
      </c>
      <c r="I708" s="2" t="s">
        <v>6840</v>
      </c>
      <c r="J708" s="2"/>
      <c r="K708" s="2"/>
      <c r="L708" s="2">
        <v>4385123</v>
      </c>
      <c r="M708" s="2"/>
      <c r="N708" s="2"/>
      <c r="O708" s="2"/>
      <c r="P708" s="2">
        <v>75098</v>
      </c>
      <c r="Q708" s="2"/>
      <c r="R708" s="2"/>
      <c r="S708" s="2"/>
      <c r="T708" s="2" t="s">
        <v>6841</v>
      </c>
      <c r="U708" s="2" t="s">
        <v>6842</v>
      </c>
      <c r="V708" s="2" t="s">
        <v>95</v>
      </c>
      <c r="W708" s="2" t="s">
        <v>96</v>
      </c>
      <c r="X708" s="2" t="s">
        <v>141</v>
      </c>
      <c r="Y708" s="2" t="s">
        <v>98</v>
      </c>
      <c r="Z708" s="2" t="s">
        <v>99</v>
      </c>
      <c r="AA708" s="2" t="s">
        <v>142</v>
      </c>
      <c r="AB708" s="2" t="s">
        <v>3086</v>
      </c>
      <c r="AC708" s="2">
        <v>54.84</v>
      </c>
      <c r="AD708" s="2">
        <v>89.52</v>
      </c>
      <c r="AE708" s="2">
        <v>0</v>
      </c>
      <c r="AF708" s="2" t="s">
        <v>5614</v>
      </c>
      <c r="AG708" s="2" t="s">
        <v>194</v>
      </c>
      <c r="AH708" s="2" t="s">
        <v>3846</v>
      </c>
      <c r="AI708" s="2">
        <v>1.87</v>
      </c>
      <c r="AJ708" s="2">
        <v>17.4437964269069</v>
      </c>
      <c r="AK708" s="2">
        <v>17.645476409570001</v>
      </c>
      <c r="AL708" s="2">
        <v>17.255287909901199</v>
      </c>
      <c r="AM708" s="2">
        <v>17.605583254337699</v>
      </c>
      <c r="AN708" s="2">
        <v>17.601920988792799</v>
      </c>
      <c r="AO708" s="2">
        <v>17.1747038518645</v>
      </c>
      <c r="AP708" s="2">
        <v>17.6660426141156</v>
      </c>
      <c r="AQ708" s="2">
        <v>17.035459709808499</v>
      </c>
      <c r="AR708" s="2">
        <v>14.7341602501431</v>
      </c>
      <c r="AS708" s="2">
        <v>16.544397902017</v>
      </c>
      <c r="AT708" s="2">
        <v>17.098968222848399</v>
      </c>
      <c r="AU708" s="2">
        <v>17.279217355347999</v>
      </c>
      <c r="AV708" s="2">
        <v>16.010525264900402</v>
      </c>
      <c r="AW708" s="2">
        <v>16.349208995487601</v>
      </c>
      <c r="AX708" s="2">
        <v>18.263233249936398</v>
      </c>
      <c r="AY708" s="2">
        <v>15.408545027564401</v>
      </c>
      <c r="AZ708" s="2">
        <v>14.9473954032796</v>
      </c>
      <c r="BA708" s="2">
        <v>17.530400621542601</v>
      </c>
      <c r="BB708" s="2">
        <v>16.960697831064898</v>
      </c>
      <c r="BC708" s="2">
        <v>18.845126452350101</v>
      </c>
      <c r="BD708" s="2">
        <v>13.947574845943</v>
      </c>
      <c r="BE708" s="2">
        <v>15.9135327185439</v>
      </c>
      <c r="BF708" s="2">
        <v>16.595836727976302</v>
      </c>
      <c r="BG708" s="2">
        <v>18.1333247156699</v>
      </c>
      <c r="BH708" s="2">
        <v>14.4246032836258</v>
      </c>
      <c r="BI708" s="2">
        <v>18.276179623297502</v>
      </c>
      <c r="BJ708" s="2">
        <v>16.419572138109501</v>
      </c>
      <c r="BK708" s="2">
        <v>15.641886355838899</v>
      </c>
      <c r="BL708" s="2">
        <v>17.7311198511042</v>
      </c>
      <c r="BM708" s="2">
        <v>16.920767928778201</v>
      </c>
      <c r="BN708" s="2">
        <v>15.385826683253701</v>
      </c>
      <c r="BO708" s="2">
        <v>17.918068688589901</v>
      </c>
      <c r="BP708" s="2">
        <v>17.7803211219126</v>
      </c>
      <c r="BQ708" s="2">
        <v>17.664238029146698</v>
      </c>
      <c r="BR708" s="2">
        <v>17.191066734976499</v>
      </c>
      <c r="BS708" s="2">
        <v>15.7327408698953</v>
      </c>
      <c r="BT708" s="2">
        <v>17.135262783051498</v>
      </c>
      <c r="BU708" s="2">
        <v>18.3081257265444</v>
      </c>
      <c r="BV708" s="2">
        <v>17.749457929391902</v>
      </c>
      <c r="BW708" s="2">
        <v>16.199716623301502</v>
      </c>
      <c r="BX708" s="2">
        <v>16.761284364237699</v>
      </c>
      <c r="BY708" s="2">
        <v>14.790018537231401</v>
      </c>
      <c r="BZ708" s="2">
        <v>18.060719834991001</v>
      </c>
      <c r="CA708" s="2">
        <v>15.569779675014701</v>
      </c>
      <c r="CB708" s="2">
        <v>18.022947559794702</v>
      </c>
      <c r="CC708" s="2">
        <v>18.187256565730902</v>
      </c>
      <c r="CD708" s="2">
        <v>16.757182674774299</v>
      </c>
      <c r="CE708" s="2">
        <v>19.085491702317601</v>
      </c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</row>
    <row r="709" spans="1:97">
      <c r="A709" s="2" t="s">
        <v>6843</v>
      </c>
      <c r="B709" s="2">
        <v>335.21996999999999</v>
      </c>
      <c r="C709" s="2">
        <v>11.016</v>
      </c>
      <c r="D709" s="2" t="s">
        <v>146</v>
      </c>
      <c r="E709" s="2" t="s">
        <v>6844</v>
      </c>
      <c r="F709" s="2" t="s">
        <v>6845</v>
      </c>
      <c r="G709" s="2">
        <v>4109</v>
      </c>
      <c r="H709" s="3" t="str">
        <f>HYPERLINK("https://cloud.oebiotech.com/#/lm/network/4109", "https://cloud.oebiotech.com/#/lm/network/4109")</f>
        <v>https://cloud.oebiotech.com/#/lm/network/4109</v>
      </c>
      <c r="I709" s="2" t="s">
        <v>6846</v>
      </c>
      <c r="J709" s="2">
        <v>36367</v>
      </c>
      <c r="K709" s="2" t="s">
        <v>6847</v>
      </c>
      <c r="L709" s="2">
        <v>11954058</v>
      </c>
      <c r="M709" s="2" t="s">
        <v>6848</v>
      </c>
      <c r="N709" s="2" t="s">
        <v>6849</v>
      </c>
      <c r="O709" s="2" t="s">
        <v>6850</v>
      </c>
      <c r="P709" s="2"/>
      <c r="Q709" s="2"/>
      <c r="R709" s="2"/>
      <c r="S709" s="2" t="s">
        <v>6851</v>
      </c>
      <c r="T709" s="2" t="s">
        <v>6852</v>
      </c>
      <c r="U709" s="2" t="s">
        <v>6853</v>
      </c>
      <c r="V709" s="2" t="s">
        <v>95</v>
      </c>
      <c r="W709" s="2" t="s">
        <v>96</v>
      </c>
      <c r="X709" s="2" t="s">
        <v>141</v>
      </c>
      <c r="Y709" s="2" t="s">
        <v>98</v>
      </c>
      <c r="Z709" s="2" t="s">
        <v>99</v>
      </c>
      <c r="AA709" s="2" t="s">
        <v>142</v>
      </c>
      <c r="AB709" s="2" t="s">
        <v>101</v>
      </c>
      <c r="AC709" s="2">
        <v>54.83</v>
      </c>
      <c r="AD709" s="2">
        <v>87.52</v>
      </c>
      <c r="AE709" s="2">
        <v>47.55</v>
      </c>
      <c r="AF709" s="2" t="s">
        <v>6854</v>
      </c>
      <c r="AG709" s="2" t="s">
        <v>194</v>
      </c>
      <c r="AH709" s="2" t="s">
        <v>6855</v>
      </c>
      <c r="AI709" s="2">
        <v>8.35</v>
      </c>
      <c r="AJ709" s="2">
        <v>17.787032105101801</v>
      </c>
      <c r="AK709" s="2">
        <v>17.502910644922999</v>
      </c>
      <c r="AL709" s="2">
        <v>17.491504121048099</v>
      </c>
      <c r="AM709" s="2">
        <v>17.356313719078699</v>
      </c>
      <c r="AN709" s="2">
        <v>17.362368859409901</v>
      </c>
      <c r="AO709" s="2">
        <v>17.2753594978116</v>
      </c>
      <c r="AP709" s="2">
        <v>17.700667356526399</v>
      </c>
      <c r="AQ709" s="2">
        <v>17.382011967122899</v>
      </c>
      <c r="AR709" s="2">
        <v>17.621111567212701</v>
      </c>
      <c r="AS709" s="2">
        <v>17.079698834656998</v>
      </c>
      <c r="AT709" s="2">
        <v>17.659776654449399</v>
      </c>
      <c r="AU709" s="2">
        <v>17.6844565431688</v>
      </c>
      <c r="AV709" s="2">
        <v>17.732125945464301</v>
      </c>
      <c r="AW709" s="2">
        <v>17.655584876309302</v>
      </c>
      <c r="AX709" s="2">
        <v>17.501739006786099</v>
      </c>
      <c r="AY709" s="2">
        <v>17.5754770552692</v>
      </c>
      <c r="AZ709" s="2">
        <v>15.437666907116</v>
      </c>
      <c r="BA709" s="2">
        <v>17.2984838950381</v>
      </c>
      <c r="BB709" s="2">
        <v>17.505444616590299</v>
      </c>
      <c r="BC709" s="2">
        <v>17.856055858752399</v>
      </c>
      <c r="BD709" s="2">
        <v>16.462220109171401</v>
      </c>
      <c r="BE709" s="2">
        <v>18.254022863389601</v>
      </c>
      <c r="BF709" s="2">
        <v>16.601871310531301</v>
      </c>
      <c r="BG709" s="2">
        <v>15.8189291294785</v>
      </c>
      <c r="BH709" s="2">
        <v>18.105925588925501</v>
      </c>
      <c r="BI709" s="2">
        <v>16.993190613189501</v>
      </c>
      <c r="BJ709" s="2">
        <v>18.037755898399599</v>
      </c>
      <c r="BK709" s="2">
        <v>17.0310802054519</v>
      </c>
      <c r="BL709" s="2">
        <v>17.172381505599098</v>
      </c>
      <c r="BM709" s="2">
        <v>17.123396287728401</v>
      </c>
      <c r="BN709" s="2">
        <v>18.0050535923776</v>
      </c>
      <c r="BO709" s="2">
        <v>16.893099088035601</v>
      </c>
      <c r="BP709" s="2">
        <v>16.985650405278498</v>
      </c>
      <c r="BQ709" s="2">
        <v>17.693844238369099</v>
      </c>
      <c r="BR709" s="2">
        <v>17.597127831957</v>
      </c>
      <c r="BS709" s="2">
        <v>17.567475156320299</v>
      </c>
      <c r="BT709" s="2">
        <v>15.966168125729</v>
      </c>
      <c r="BU709" s="2">
        <v>18.426581185993399</v>
      </c>
      <c r="BV709" s="2">
        <v>17.2099692287793</v>
      </c>
      <c r="BW709" s="2">
        <v>18.171728709828599</v>
      </c>
      <c r="BX709" s="2">
        <v>16.400084741454599</v>
      </c>
      <c r="BY709" s="2">
        <v>17.433754619301599</v>
      </c>
      <c r="BZ709" s="2">
        <v>17.706532373669202</v>
      </c>
      <c r="CA709" s="2">
        <v>17.512254591582799</v>
      </c>
      <c r="CB709" s="2">
        <v>17.159088160305799</v>
      </c>
      <c r="CC709" s="2">
        <v>16.787411726010198</v>
      </c>
      <c r="CD709" s="2">
        <v>17.996973565463399</v>
      </c>
      <c r="CE709" s="2">
        <v>17.074402722643001</v>
      </c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</row>
    <row r="710" spans="1:97">
      <c r="A710" s="2" t="s">
        <v>6856</v>
      </c>
      <c r="B710" s="2">
        <v>183.06602000000001</v>
      </c>
      <c r="C710" s="2">
        <v>4.806</v>
      </c>
      <c r="D710" s="2" t="s">
        <v>146</v>
      </c>
      <c r="E710" s="2" t="s">
        <v>6857</v>
      </c>
      <c r="F710" s="2" t="s">
        <v>6858</v>
      </c>
      <c r="G710" s="2">
        <v>1359</v>
      </c>
      <c r="H710" s="3" t="str">
        <f>HYPERLINK("https://cloud.oebiotech.com/#/lm/network/1359", "https://cloud.oebiotech.com/#/lm/network/1359")</f>
        <v>https://cloud.oebiotech.com/#/lm/network/1359</v>
      </c>
      <c r="I710" s="2" t="s">
        <v>6859</v>
      </c>
      <c r="J710" s="2">
        <v>94205</v>
      </c>
      <c r="K710" s="2" t="s">
        <v>6860</v>
      </c>
      <c r="L710" s="2">
        <v>59561170</v>
      </c>
      <c r="M710" s="2"/>
      <c r="N710" s="2"/>
      <c r="O710" s="2"/>
      <c r="P710" s="2"/>
      <c r="Q710" s="2"/>
      <c r="R710" s="2"/>
      <c r="S710" s="2"/>
      <c r="T710" s="2" t="s">
        <v>6861</v>
      </c>
      <c r="U710" s="2" t="s">
        <v>6862</v>
      </c>
      <c r="V710" s="2" t="s">
        <v>95</v>
      </c>
      <c r="W710" s="2" t="s">
        <v>96</v>
      </c>
      <c r="X710" s="2" t="s">
        <v>141</v>
      </c>
      <c r="Y710" s="2" t="s">
        <v>98</v>
      </c>
      <c r="Z710" s="2" t="s">
        <v>99</v>
      </c>
      <c r="AA710" s="2" t="s">
        <v>142</v>
      </c>
      <c r="AB710" s="2" t="s">
        <v>3086</v>
      </c>
      <c r="AC710" s="2">
        <v>54.83</v>
      </c>
      <c r="AD710" s="2">
        <v>93.85</v>
      </c>
      <c r="AE710" s="2">
        <v>0</v>
      </c>
      <c r="AF710" s="2" t="s">
        <v>5614</v>
      </c>
      <c r="AG710" s="2" t="s">
        <v>194</v>
      </c>
      <c r="AH710" s="2" t="s">
        <v>6863</v>
      </c>
      <c r="AI710" s="2">
        <v>1.64</v>
      </c>
      <c r="AJ710" s="2">
        <v>18.6720315955423</v>
      </c>
      <c r="AK710" s="2">
        <v>18.713971061499201</v>
      </c>
      <c r="AL710" s="2">
        <v>18.358935996547199</v>
      </c>
      <c r="AM710" s="2">
        <v>18.029356307713702</v>
      </c>
      <c r="AN710" s="2">
        <v>18.6013809269514</v>
      </c>
      <c r="AO710" s="2">
        <v>18.2918396562774</v>
      </c>
      <c r="AP710" s="2">
        <v>18.4740917038813</v>
      </c>
      <c r="AQ710" s="2">
        <v>18.2272968592507</v>
      </c>
      <c r="AR710" s="2">
        <v>19.759703716779001</v>
      </c>
      <c r="AS710" s="2">
        <v>19.956322963355898</v>
      </c>
      <c r="AT710" s="2">
        <v>19.064715849725001</v>
      </c>
      <c r="AU710" s="2">
        <v>19.3205533399837</v>
      </c>
      <c r="AV710" s="2">
        <v>18.565298657461</v>
      </c>
      <c r="AW710" s="2">
        <v>19.200397545018902</v>
      </c>
      <c r="AX710" s="2">
        <v>18.4348785878386</v>
      </c>
      <c r="AY710" s="2">
        <v>18.501063199964499</v>
      </c>
      <c r="AZ710" s="2">
        <v>18.085908815903501</v>
      </c>
      <c r="BA710" s="2">
        <v>17.902763895827899</v>
      </c>
      <c r="BB710" s="2">
        <v>17.747492563658898</v>
      </c>
      <c r="BC710" s="2">
        <v>17.667200889799702</v>
      </c>
      <c r="BD710" s="2">
        <v>18.933730615935801</v>
      </c>
      <c r="BE710" s="2">
        <v>16.4166591681531</v>
      </c>
      <c r="BF710" s="2">
        <v>17.8943015347803</v>
      </c>
      <c r="BG710" s="2">
        <v>17.997670548463201</v>
      </c>
      <c r="BH710" s="2">
        <v>18.597656359091701</v>
      </c>
      <c r="BI710" s="2">
        <v>18.429201453126101</v>
      </c>
      <c r="BJ710" s="2">
        <v>19.4196445332129</v>
      </c>
      <c r="BK710" s="2">
        <v>19.512640053573001</v>
      </c>
      <c r="BL710" s="2">
        <v>18.402216503993699</v>
      </c>
      <c r="BM710" s="2">
        <v>19.9501063944222</v>
      </c>
      <c r="BN710" s="2">
        <v>18.430300139349601</v>
      </c>
      <c r="BO710" s="2">
        <v>18.2272401142957</v>
      </c>
      <c r="BP710" s="2">
        <v>17.3318748621822</v>
      </c>
      <c r="BQ710" s="2">
        <v>18.711814222349702</v>
      </c>
      <c r="BR710" s="2">
        <v>18.9092980966055</v>
      </c>
      <c r="BS710" s="2">
        <v>18.639290995023298</v>
      </c>
      <c r="BT710" s="2">
        <v>17.8803604080281</v>
      </c>
      <c r="BU710" s="2">
        <v>18.093167258195201</v>
      </c>
      <c r="BV710" s="2">
        <v>17.991054265107799</v>
      </c>
      <c r="BW710" s="2">
        <v>18.0855179472596</v>
      </c>
      <c r="BX710" s="2">
        <v>19.784582386915801</v>
      </c>
      <c r="BY710" s="2">
        <v>16.734982110609501</v>
      </c>
      <c r="BZ710" s="2">
        <v>17.926375805080198</v>
      </c>
      <c r="CA710" s="2">
        <v>17.937407500769101</v>
      </c>
      <c r="CB710" s="2">
        <v>20.018082898555999</v>
      </c>
      <c r="CC710" s="2">
        <v>18.503258037098799</v>
      </c>
      <c r="CD710" s="2">
        <v>18.502253298876699</v>
      </c>
      <c r="CE710" s="2">
        <v>18.447368203965599</v>
      </c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</row>
    <row r="711" spans="1:97">
      <c r="A711" s="2" t="s">
        <v>6864</v>
      </c>
      <c r="B711" s="2">
        <v>272.22161</v>
      </c>
      <c r="C711" s="2">
        <v>8.673</v>
      </c>
      <c r="D711" s="2" t="s">
        <v>84</v>
      </c>
      <c r="E711" s="2" t="s">
        <v>6865</v>
      </c>
      <c r="F711" s="2" t="s">
        <v>6866</v>
      </c>
      <c r="G711" s="2">
        <v>209184</v>
      </c>
      <c r="H711" s="3" t="str">
        <f>HYPERLINK("https://cloud.oebiotech.com/#/lm/network/209184", "https://cloud.oebiotech.com/#/lm/network/209184")</f>
        <v>https://cloud.oebiotech.com/#/lm/network/209184</v>
      </c>
      <c r="I711" s="2" t="s">
        <v>6867</v>
      </c>
      <c r="J711" s="2"/>
      <c r="K711" s="2"/>
      <c r="L711" s="2">
        <v>7348</v>
      </c>
      <c r="M711" s="2"/>
      <c r="N711" s="2"/>
      <c r="O711" s="2"/>
      <c r="P711" s="2"/>
      <c r="Q711" s="2"/>
      <c r="R711" s="2"/>
      <c r="S711" s="2"/>
      <c r="T711" s="2" t="s">
        <v>6868</v>
      </c>
      <c r="U711" s="2" t="s">
        <v>6869</v>
      </c>
      <c r="V711" s="2" t="s">
        <v>115</v>
      </c>
      <c r="W711" s="2" t="s">
        <v>116</v>
      </c>
      <c r="X711" s="2" t="s">
        <v>117</v>
      </c>
      <c r="Y711" s="2" t="s">
        <v>118</v>
      </c>
      <c r="Z711" s="2" t="s">
        <v>119</v>
      </c>
      <c r="AA711" s="2" t="s">
        <v>120</v>
      </c>
      <c r="AB711" s="2" t="s">
        <v>3086</v>
      </c>
      <c r="AC711" s="2">
        <v>54.83</v>
      </c>
      <c r="AD711" s="2">
        <v>90.56</v>
      </c>
      <c r="AE711" s="2">
        <v>0</v>
      </c>
      <c r="AF711" s="2" t="s">
        <v>5614</v>
      </c>
      <c r="AG711" s="2" t="s">
        <v>103</v>
      </c>
      <c r="AH711" s="2" t="s">
        <v>6870</v>
      </c>
      <c r="AI711" s="2">
        <v>1.47</v>
      </c>
      <c r="AJ711" s="2">
        <v>17.426838514224201</v>
      </c>
      <c r="AK711" s="2">
        <v>17.743324658094899</v>
      </c>
      <c r="AL711" s="2">
        <v>17.4815211752938</v>
      </c>
      <c r="AM711" s="2">
        <v>17.567950580951301</v>
      </c>
      <c r="AN711" s="2">
        <v>17.796235919754999</v>
      </c>
      <c r="AO711" s="2">
        <v>17.0012462119921</v>
      </c>
      <c r="AP711" s="2">
        <v>17.995996583053</v>
      </c>
      <c r="AQ711" s="2">
        <v>17.885030143072999</v>
      </c>
      <c r="AR711" s="2">
        <v>18.1831554338169</v>
      </c>
      <c r="AS711" s="2">
        <v>16.756571307085899</v>
      </c>
      <c r="AT711" s="2">
        <v>17.323959592404499</v>
      </c>
      <c r="AU711" s="2">
        <v>17.5946812821599</v>
      </c>
      <c r="AV711" s="2">
        <v>17.5234134032548</v>
      </c>
      <c r="AW711" s="2">
        <v>17.066657152434299</v>
      </c>
      <c r="AX711" s="2">
        <v>16.975389777796199</v>
      </c>
      <c r="AY711" s="2">
        <v>17.2180420153834</v>
      </c>
      <c r="AZ711" s="2">
        <v>17.399247378416401</v>
      </c>
      <c r="BA711" s="2">
        <v>17.6497222438671</v>
      </c>
      <c r="BB711" s="2">
        <v>18.216787105878399</v>
      </c>
      <c r="BC711" s="2">
        <v>17.4131393237341</v>
      </c>
      <c r="BD711" s="2">
        <v>16.535310465327601</v>
      </c>
      <c r="BE711" s="2">
        <v>16.9869561628309</v>
      </c>
      <c r="BF711" s="2">
        <v>17.3198662205034</v>
      </c>
      <c r="BG711" s="2">
        <v>17.5834384158224</v>
      </c>
      <c r="BH711" s="2">
        <v>17.175386883525601</v>
      </c>
      <c r="BI711" s="2">
        <v>18.388913896669301</v>
      </c>
      <c r="BJ711" s="2">
        <v>16.975641111969701</v>
      </c>
      <c r="BK711" s="2">
        <v>17.088210080256001</v>
      </c>
      <c r="BL711" s="2">
        <v>15.976563228442901</v>
      </c>
      <c r="BM711" s="2">
        <v>16.736971581901798</v>
      </c>
      <c r="BN711" s="2">
        <v>17.036472640221099</v>
      </c>
      <c r="BO711" s="2">
        <v>17.2877351919844</v>
      </c>
      <c r="BP711" s="2">
        <v>16.898029632663501</v>
      </c>
      <c r="BQ711" s="2">
        <v>17.523089290650798</v>
      </c>
      <c r="BR711" s="2">
        <v>17.720820724042198</v>
      </c>
      <c r="BS711" s="2">
        <v>16.821415630007198</v>
      </c>
      <c r="BT711" s="2">
        <v>17.2918799807318</v>
      </c>
      <c r="BU711" s="2">
        <v>17.1667445675787</v>
      </c>
      <c r="BV711" s="2">
        <v>16.912625775248301</v>
      </c>
      <c r="BW711" s="2">
        <v>16.609679426677101</v>
      </c>
      <c r="BX711" s="2">
        <v>16.723756921815902</v>
      </c>
      <c r="BY711" s="2">
        <v>17.2711342513403</v>
      </c>
      <c r="BZ711" s="2">
        <v>17.230817635511201</v>
      </c>
      <c r="CA711" s="2">
        <v>17.5806761471332</v>
      </c>
      <c r="CB711" s="2">
        <v>17.1270843924598</v>
      </c>
      <c r="CC711" s="2">
        <v>16.9355201765221</v>
      </c>
      <c r="CD711" s="2">
        <v>17.430818161228199</v>
      </c>
      <c r="CE711" s="2">
        <v>17.051089851620201</v>
      </c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</row>
    <row r="712" spans="1:97">
      <c r="A712" s="2" t="s">
        <v>6871</v>
      </c>
      <c r="B712" s="2">
        <v>325.22703999999999</v>
      </c>
      <c r="C712" s="2">
        <v>6.0590000000000002</v>
      </c>
      <c r="D712" s="2" t="s">
        <v>84</v>
      </c>
      <c r="E712" s="2" t="s">
        <v>6872</v>
      </c>
      <c r="F712" s="2" t="s">
        <v>6873</v>
      </c>
      <c r="G712" s="2">
        <v>198945</v>
      </c>
      <c r="H712" s="3" t="str">
        <f>HYPERLINK("https://cloud.oebiotech.com/#/lm/network/198945", "https://cloud.oebiotech.com/#/lm/network/198945")</f>
        <v>https://cloud.oebiotech.com/#/lm/network/198945</v>
      </c>
      <c r="I712" s="2" t="s">
        <v>6874</v>
      </c>
      <c r="J712" s="2"/>
      <c r="K712" s="2"/>
      <c r="L712" s="2">
        <v>2344</v>
      </c>
      <c r="M712" s="2"/>
      <c r="N712" s="2"/>
      <c r="O712" s="2"/>
      <c r="P712" s="2">
        <v>94353</v>
      </c>
      <c r="Q712" s="2"/>
      <c r="R712" s="2"/>
      <c r="S712" s="2"/>
      <c r="T712" s="2" t="s">
        <v>6875</v>
      </c>
      <c r="U712" s="2" t="s">
        <v>6876</v>
      </c>
      <c r="V712" s="2" t="s">
        <v>385</v>
      </c>
      <c r="W712" s="2" t="s">
        <v>386</v>
      </c>
      <c r="X712" s="2" t="s">
        <v>2011</v>
      </c>
      <c r="Y712" s="2" t="s">
        <v>388</v>
      </c>
      <c r="Z712" s="2" t="s">
        <v>389</v>
      </c>
      <c r="AA712" s="2" t="s">
        <v>2012</v>
      </c>
      <c r="AB712" s="2" t="s">
        <v>5118</v>
      </c>
      <c r="AC712" s="2">
        <v>54.83</v>
      </c>
      <c r="AD712" s="2">
        <v>98.66</v>
      </c>
      <c r="AE712" s="2">
        <v>48.58</v>
      </c>
      <c r="AF712" s="2" t="s">
        <v>6877</v>
      </c>
      <c r="AG712" s="2" t="s">
        <v>132</v>
      </c>
      <c r="AH712" s="2" t="s">
        <v>6878</v>
      </c>
      <c r="AI712" s="2">
        <v>1.23</v>
      </c>
      <c r="AJ712" s="2">
        <v>24.1243539582028</v>
      </c>
      <c r="AK712" s="2">
        <v>24.035667391323202</v>
      </c>
      <c r="AL712" s="2">
        <v>23.7888448447756</v>
      </c>
      <c r="AM712" s="2">
        <v>24.067648802933299</v>
      </c>
      <c r="AN712" s="2">
        <v>23.914897141563898</v>
      </c>
      <c r="AO712" s="2">
        <v>24.082585895113102</v>
      </c>
      <c r="AP712" s="2">
        <v>24.014723285507898</v>
      </c>
      <c r="AQ712" s="2">
        <v>24.127744721753501</v>
      </c>
      <c r="AR712" s="2">
        <v>23.836252042092099</v>
      </c>
      <c r="AS712" s="2">
        <v>24.009577008891601</v>
      </c>
      <c r="AT712" s="2">
        <v>23.983873873775099</v>
      </c>
      <c r="AU712" s="2">
        <v>24.020134557065902</v>
      </c>
      <c r="AV712" s="2">
        <v>23.9211585137583</v>
      </c>
      <c r="AW712" s="2">
        <v>24.105193531635301</v>
      </c>
      <c r="AX712" s="2">
        <v>23.913977463318499</v>
      </c>
      <c r="AY712" s="2">
        <v>24.0010151753599</v>
      </c>
      <c r="AZ712" s="2">
        <v>24.0667371092511</v>
      </c>
      <c r="BA712" s="2">
        <v>23.9676899691123</v>
      </c>
      <c r="BB712" s="2">
        <v>23.920573935877901</v>
      </c>
      <c r="BC712" s="2">
        <v>24.0527066389221</v>
      </c>
      <c r="BD712" s="2">
        <v>24.004803749125301</v>
      </c>
      <c r="BE712" s="2">
        <v>24.062168173327098</v>
      </c>
      <c r="BF712" s="2">
        <v>24.010008345371102</v>
      </c>
      <c r="BG712" s="2">
        <v>24.100147236898099</v>
      </c>
      <c r="BH712" s="2">
        <v>24.056151104143598</v>
      </c>
      <c r="BI712" s="2">
        <v>23.979905078266899</v>
      </c>
      <c r="BJ712" s="2">
        <v>24.088232460224098</v>
      </c>
      <c r="BK712" s="2">
        <v>23.993735932169098</v>
      </c>
      <c r="BL712" s="2">
        <v>23.966326860145799</v>
      </c>
      <c r="BM712" s="2">
        <v>24.058226815722701</v>
      </c>
      <c r="BN712" s="2">
        <v>23.974632938593299</v>
      </c>
      <c r="BO712" s="2">
        <v>24.058022143581599</v>
      </c>
      <c r="BP712" s="2">
        <v>24.0748803785768</v>
      </c>
      <c r="BQ712" s="2">
        <v>23.948073213396999</v>
      </c>
      <c r="BR712" s="2">
        <v>23.9476933215511</v>
      </c>
      <c r="BS712" s="2">
        <v>24.0427085815166</v>
      </c>
      <c r="BT712" s="2">
        <v>23.986398339773601</v>
      </c>
      <c r="BU712" s="2">
        <v>24.033346267192201</v>
      </c>
      <c r="BV712" s="2">
        <v>23.9704096005111</v>
      </c>
      <c r="BW712" s="2">
        <v>24.0151931100465</v>
      </c>
      <c r="BX712" s="2">
        <v>23.937559697464302</v>
      </c>
      <c r="BY712" s="2">
        <v>24.1412282240351</v>
      </c>
      <c r="BZ712" s="2">
        <v>23.9789742538787</v>
      </c>
      <c r="CA712" s="2">
        <v>23.858147036838002</v>
      </c>
      <c r="CB712" s="2">
        <v>24.114160980584099</v>
      </c>
      <c r="CC712" s="2">
        <v>24.051040017906899</v>
      </c>
      <c r="CD712" s="2">
        <v>24.0486664777901</v>
      </c>
      <c r="CE712" s="2">
        <v>24.038076866329099</v>
      </c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</row>
    <row r="713" spans="1:97">
      <c r="A713" s="2" t="s">
        <v>6879</v>
      </c>
      <c r="B713" s="2">
        <v>141.06666000000001</v>
      </c>
      <c r="C713" s="2">
        <v>0.85099999999999998</v>
      </c>
      <c r="D713" s="2" t="s">
        <v>146</v>
      </c>
      <c r="E713" s="2" t="s">
        <v>6880</v>
      </c>
      <c r="F713" s="2" t="s">
        <v>6881</v>
      </c>
      <c r="G713" s="2">
        <v>197266</v>
      </c>
      <c r="H713" s="3" t="str">
        <f>HYPERLINK("https://cloud.oebiotech.com/#/lm/network/197266", "https://cloud.oebiotech.com/#/lm/network/197266")</f>
        <v>https://cloud.oebiotech.com/#/lm/network/197266</v>
      </c>
      <c r="I713" s="2" t="s">
        <v>6882</v>
      </c>
      <c r="J713" s="2">
        <v>43384</v>
      </c>
      <c r="K713" s="2"/>
      <c r="L713" s="2">
        <v>126041</v>
      </c>
      <c r="M713" s="2" t="s">
        <v>6883</v>
      </c>
      <c r="N713" s="2" t="s">
        <v>6884</v>
      </c>
      <c r="O713" s="2" t="s">
        <v>6885</v>
      </c>
      <c r="P713" s="2">
        <v>27592</v>
      </c>
      <c r="Q713" s="2"/>
      <c r="R713" s="2"/>
      <c r="S713" s="2" t="s">
        <v>6886</v>
      </c>
      <c r="T713" s="2" t="s">
        <v>6887</v>
      </c>
      <c r="U713" s="2" t="s">
        <v>6888</v>
      </c>
      <c r="V713" s="2" t="s">
        <v>115</v>
      </c>
      <c r="W713" s="2" t="s">
        <v>116</v>
      </c>
      <c r="X713" s="2" t="s">
        <v>117</v>
      </c>
      <c r="Y713" s="2" t="s">
        <v>118</v>
      </c>
      <c r="Z713" s="2" t="s">
        <v>119</v>
      </c>
      <c r="AA713" s="2" t="s">
        <v>120</v>
      </c>
      <c r="AB713" s="2" t="s">
        <v>3086</v>
      </c>
      <c r="AC713" s="2">
        <v>54.82</v>
      </c>
      <c r="AD713" s="2">
        <v>96.17</v>
      </c>
      <c r="AE713" s="2">
        <v>0</v>
      </c>
      <c r="AF713" s="2" t="s">
        <v>5614</v>
      </c>
      <c r="AG713" s="2" t="s">
        <v>194</v>
      </c>
      <c r="AH713" s="2" t="s">
        <v>6889</v>
      </c>
      <c r="AI713" s="2">
        <v>2.13</v>
      </c>
      <c r="AJ713" s="2">
        <v>20.133047602190501</v>
      </c>
      <c r="AK713" s="2">
        <v>19.824282800441299</v>
      </c>
      <c r="AL713" s="2">
        <v>19.835201246194998</v>
      </c>
      <c r="AM713" s="2">
        <v>18.6853355750643</v>
      </c>
      <c r="AN713" s="2">
        <v>19.991350915604698</v>
      </c>
      <c r="AO713" s="2">
        <v>20.163526617771801</v>
      </c>
      <c r="AP713" s="2">
        <v>19.7251871947905</v>
      </c>
      <c r="AQ713" s="2">
        <v>20.054985215556101</v>
      </c>
      <c r="AR713" s="2">
        <v>20.0189177828331</v>
      </c>
      <c r="AS713" s="2">
        <v>19.283155946110298</v>
      </c>
      <c r="AT713" s="2">
        <v>20.123970556116902</v>
      </c>
      <c r="AU713" s="2">
        <v>19.518093009196601</v>
      </c>
      <c r="AV713" s="2">
        <v>19.9489317576265</v>
      </c>
      <c r="AW713" s="2">
        <v>19.675025027008601</v>
      </c>
      <c r="AX713" s="2">
        <v>19.798187544431499</v>
      </c>
      <c r="AY713" s="2">
        <v>19.434464344192801</v>
      </c>
      <c r="AZ713" s="2">
        <v>19.806417852867401</v>
      </c>
      <c r="BA713" s="2">
        <v>19.490477273963599</v>
      </c>
      <c r="BB713" s="2">
        <v>19.818562846181401</v>
      </c>
      <c r="BC713" s="2">
        <v>20.272997436934201</v>
      </c>
      <c r="BD713" s="2">
        <v>19.963824382772302</v>
      </c>
      <c r="BE713" s="2">
        <v>19.791883702959499</v>
      </c>
      <c r="BF713" s="2">
        <v>19.980221248628201</v>
      </c>
      <c r="BG713" s="2">
        <v>20.054455314549699</v>
      </c>
      <c r="BH713" s="2">
        <v>20.144516725406</v>
      </c>
      <c r="BI713" s="2">
        <v>19.8995635048</v>
      </c>
      <c r="BJ713" s="2">
        <v>20.0538952781185</v>
      </c>
      <c r="BK713" s="2">
        <v>19.421449594429902</v>
      </c>
      <c r="BL713" s="2">
        <v>19.734802748942101</v>
      </c>
      <c r="BM713" s="2">
        <v>20.102669804513798</v>
      </c>
      <c r="BN713" s="2">
        <v>19.779125964028601</v>
      </c>
      <c r="BO713" s="2">
        <v>19.543273160796701</v>
      </c>
      <c r="BP713" s="2">
        <v>19.407523083335299</v>
      </c>
      <c r="BQ713" s="2">
        <v>19.111517011543299</v>
      </c>
      <c r="BR713" s="2">
        <v>19.6970187882545</v>
      </c>
      <c r="BS713" s="2">
        <v>19.386934121567801</v>
      </c>
      <c r="BT713" s="2">
        <v>18.8444764025819</v>
      </c>
      <c r="BU713" s="2">
        <v>19.439355863491301</v>
      </c>
      <c r="BV713" s="2">
        <v>19.8715837301779</v>
      </c>
      <c r="BW713" s="2">
        <v>20.027097538821899</v>
      </c>
      <c r="BX713" s="2">
        <v>18.988852633465601</v>
      </c>
      <c r="BY713" s="2">
        <v>19.759144013945701</v>
      </c>
      <c r="BZ713" s="2">
        <v>20.240077854010401</v>
      </c>
      <c r="CA713" s="2">
        <v>19.994051973705801</v>
      </c>
      <c r="CB713" s="2">
        <v>19.431790919764499</v>
      </c>
      <c r="CC713" s="2">
        <v>19.742529132550999</v>
      </c>
      <c r="CD713" s="2">
        <v>19.579376324860899</v>
      </c>
      <c r="CE713" s="2">
        <v>19.509051519615699</v>
      </c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</row>
    <row r="714" spans="1:97">
      <c r="A714" s="2" t="s">
        <v>6890</v>
      </c>
      <c r="B714" s="2">
        <v>145.05032</v>
      </c>
      <c r="C714" s="2">
        <v>0.52500000000000002</v>
      </c>
      <c r="D714" s="2" t="s">
        <v>146</v>
      </c>
      <c r="E714" s="2" t="s">
        <v>6891</v>
      </c>
      <c r="F714" s="2" t="s">
        <v>6892</v>
      </c>
      <c r="G714" s="2">
        <v>199749</v>
      </c>
      <c r="H714" s="3" t="str">
        <f>HYPERLINK("https://cloud.oebiotech.com/#/lm/network/199749", "https://cloud.oebiotech.com/#/lm/network/199749")</f>
        <v>https://cloud.oebiotech.com/#/lm/network/199749</v>
      </c>
      <c r="I714" s="2" t="s">
        <v>6893</v>
      </c>
      <c r="J714" s="2"/>
      <c r="K714" s="2"/>
      <c r="L714" s="2">
        <v>219984</v>
      </c>
      <c r="M714" s="2"/>
      <c r="N714" s="2"/>
      <c r="O714" s="2"/>
      <c r="P714" s="2">
        <v>144042</v>
      </c>
      <c r="Q714" s="2"/>
      <c r="R714" s="2"/>
      <c r="S714" s="2"/>
      <c r="T714" s="2" t="s">
        <v>6894</v>
      </c>
      <c r="U714" s="2" t="s">
        <v>6895</v>
      </c>
      <c r="V714" s="2" t="s">
        <v>338</v>
      </c>
      <c r="W714" s="2" t="s">
        <v>339</v>
      </c>
      <c r="X714" s="2" t="s">
        <v>663</v>
      </c>
      <c r="Y714" s="2" t="s">
        <v>341</v>
      </c>
      <c r="Z714" s="2" t="s">
        <v>341</v>
      </c>
      <c r="AA714" s="2" t="s">
        <v>664</v>
      </c>
      <c r="AB714" s="2" t="s">
        <v>3086</v>
      </c>
      <c r="AC714" s="2">
        <v>54.81</v>
      </c>
      <c r="AD714" s="2">
        <v>96.28</v>
      </c>
      <c r="AE714" s="2">
        <v>0</v>
      </c>
      <c r="AF714" s="2" t="s">
        <v>5614</v>
      </c>
      <c r="AG714" s="2" t="s">
        <v>993</v>
      </c>
      <c r="AH714" s="2" t="s">
        <v>6896</v>
      </c>
      <c r="AI714" s="2">
        <v>-1.38</v>
      </c>
      <c r="AJ714" s="2">
        <v>19.549417296818302</v>
      </c>
      <c r="AK714" s="2">
        <v>20.722744121755099</v>
      </c>
      <c r="AL714" s="2">
        <v>20.5081362536054</v>
      </c>
      <c r="AM714" s="2">
        <v>20.239316270786301</v>
      </c>
      <c r="AN714" s="2">
        <v>20.693069200978801</v>
      </c>
      <c r="AO714" s="2">
        <v>20.5667182251063</v>
      </c>
      <c r="AP714" s="2">
        <v>20.5942716741962</v>
      </c>
      <c r="AQ714" s="2">
        <v>20.5477313058047</v>
      </c>
      <c r="AR714" s="2">
        <v>20.614918088422598</v>
      </c>
      <c r="AS714" s="2">
        <v>20.711906253609001</v>
      </c>
      <c r="AT714" s="2">
        <v>20.722168265719301</v>
      </c>
      <c r="AU714" s="2">
        <v>20.701884554627899</v>
      </c>
      <c r="AV714" s="2">
        <v>20.6053950278896</v>
      </c>
      <c r="AW714" s="2">
        <v>19.375600180408</v>
      </c>
      <c r="AX714" s="2">
        <v>20.838915107620998</v>
      </c>
      <c r="AY714" s="2">
        <v>20.721693684464402</v>
      </c>
      <c r="AZ714" s="2">
        <v>20.616147929776801</v>
      </c>
      <c r="BA714" s="2">
        <v>20.628143270826399</v>
      </c>
      <c r="BB714" s="2">
        <v>20.639723176004701</v>
      </c>
      <c r="BC714" s="2">
        <v>20.617845697354099</v>
      </c>
      <c r="BD714" s="2">
        <v>20.6033498027791</v>
      </c>
      <c r="BE714" s="2">
        <v>20.7227781194185</v>
      </c>
      <c r="BF714" s="2">
        <v>20.608670314603799</v>
      </c>
      <c r="BG714" s="2">
        <v>20.429739225884902</v>
      </c>
      <c r="BH714" s="2">
        <v>20.599588272644699</v>
      </c>
      <c r="BI714" s="2">
        <v>20.450097464167701</v>
      </c>
      <c r="BJ714" s="2">
        <v>20.570482072510199</v>
      </c>
      <c r="BK714" s="2">
        <v>20.671590536535099</v>
      </c>
      <c r="BL714" s="2">
        <v>20.4477670177519</v>
      </c>
      <c r="BM714" s="2">
        <v>19.324760027963201</v>
      </c>
      <c r="BN714" s="2">
        <v>20.641291269420801</v>
      </c>
      <c r="BO714" s="2">
        <v>20.607409172854201</v>
      </c>
      <c r="BP714" s="2">
        <v>20.389268807259299</v>
      </c>
      <c r="BQ714" s="2">
        <v>20.542455952350998</v>
      </c>
      <c r="BR714" s="2">
        <v>20.695507899409399</v>
      </c>
      <c r="BS714" s="2">
        <v>20.593921056844099</v>
      </c>
      <c r="BT714" s="2">
        <v>20.2623827310641</v>
      </c>
      <c r="BU714" s="2">
        <v>19.365176060611599</v>
      </c>
      <c r="BV714" s="2">
        <v>19.483586264744901</v>
      </c>
      <c r="BW714" s="2">
        <v>20.532635458042201</v>
      </c>
      <c r="BX714" s="2">
        <v>20.512504231543701</v>
      </c>
      <c r="BY714" s="2">
        <v>19.447039505803001</v>
      </c>
      <c r="BZ714" s="2">
        <v>20.5069365927747</v>
      </c>
      <c r="CA714" s="2">
        <v>20.693275601229001</v>
      </c>
      <c r="CB714" s="2">
        <v>20.567587649387299</v>
      </c>
      <c r="CC714" s="2">
        <v>20.5589563906567</v>
      </c>
      <c r="CD714" s="2">
        <v>20.516495050309501</v>
      </c>
      <c r="CE714" s="2">
        <v>20.516247321736699</v>
      </c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</row>
    <row r="715" spans="1:97">
      <c r="A715" s="2" t="s">
        <v>6897</v>
      </c>
      <c r="B715" s="2">
        <v>281.13792000000001</v>
      </c>
      <c r="C715" s="2">
        <v>6.6680000000000001</v>
      </c>
      <c r="D715" s="2" t="s">
        <v>84</v>
      </c>
      <c r="E715" s="2" t="s">
        <v>6898</v>
      </c>
      <c r="F715" s="2" t="s">
        <v>6899</v>
      </c>
      <c r="G715" s="2">
        <v>61917</v>
      </c>
      <c r="H715" s="3" t="str">
        <f>HYPERLINK("https://cloud.oebiotech.com/#/lm/network/61917", "https://cloud.oebiotech.com/#/lm/network/61917")</f>
        <v>https://cloud.oebiotech.com/#/lm/network/61917</v>
      </c>
      <c r="I715" s="2" t="s">
        <v>6900</v>
      </c>
      <c r="J715" s="2">
        <v>93218</v>
      </c>
      <c r="K715" s="2"/>
      <c r="L715" s="2">
        <v>73880643</v>
      </c>
      <c r="M715" s="2"/>
      <c r="N715" s="2"/>
      <c r="O715" s="2"/>
      <c r="P715" s="2"/>
      <c r="Q715" s="2"/>
      <c r="R715" s="2"/>
      <c r="S715" s="2" t="s">
        <v>6901</v>
      </c>
      <c r="T715" s="2" t="s">
        <v>6902</v>
      </c>
      <c r="U715" s="2" t="s">
        <v>6903</v>
      </c>
      <c r="V715" s="2" t="s">
        <v>95</v>
      </c>
      <c r="W715" s="2" t="s">
        <v>180</v>
      </c>
      <c r="X715" s="2" t="s">
        <v>2949</v>
      </c>
      <c r="Y715" s="2" t="s">
        <v>98</v>
      </c>
      <c r="Z715" s="2" t="s">
        <v>182</v>
      </c>
      <c r="AA715" s="2" t="s">
        <v>2950</v>
      </c>
      <c r="AB715" s="2" t="s">
        <v>3086</v>
      </c>
      <c r="AC715" s="2">
        <v>54.81</v>
      </c>
      <c r="AD715" s="2">
        <v>90.41</v>
      </c>
      <c r="AE715" s="2">
        <v>0</v>
      </c>
      <c r="AF715" s="2" t="s">
        <v>5614</v>
      </c>
      <c r="AG715" s="2" t="s">
        <v>103</v>
      </c>
      <c r="AH715" s="2" t="s">
        <v>6904</v>
      </c>
      <c r="AI715" s="2">
        <v>1.42</v>
      </c>
      <c r="AJ715" s="2">
        <v>18.640665844483401</v>
      </c>
      <c r="AK715" s="2">
        <v>18.7047474394227</v>
      </c>
      <c r="AL715" s="2">
        <v>18.473555857409501</v>
      </c>
      <c r="AM715" s="2">
        <v>18.898728793704201</v>
      </c>
      <c r="AN715" s="2">
        <v>18.683861933615901</v>
      </c>
      <c r="AO715" s="2">
        <v>18.638849963312399</v>
      </c>
      <c r="AP715" s="2">
        <v>18.8245901473454</v>
      </c>
      <c r="AQ715" s="2">
        <v>18.853825646939601</v>
      </c>
      <c r="AR715" s="2">
        <v>17.974698971051001</v>
      </c>
      <c r="AS715" s="2">
        <v>17.945973741548698</v>
      </c>
      <c r="AT715" s="2">
        <v>18.2545669084423</v>
      </c>
      <c r="AU715" s="2">
        <v>17.5776774631961</v>
      </c>
      <c r="AV715" s="2">
        <v>19.140151975586701</v>
      </c>
      <c r="AW715" s="2">
        <v>17.8197465080185</v>
      </c>
      <c r="AX715" s="2">
        <v>17.301768032218899</v>
      </c>
      <c r="AY715" s="2">
        <v>17.676729334380699</v>
      </c>
      <c r="AZ715" s="2">
        <v>18.5802058922086</v>
      </c>
      <c r="BA715" s="2">
        <v>17.892874151172499</v>
      </c>
      <c r="BB715" s="2">
        <v>18.270940780793701</v>
      </c>
      <c r="BC715" s="2">
        <v>19.484421134937399</v>
      </c>
      <c r="BD715" s="2">
        <v>18.310998652749699</v>
      </c>
      <c r="BE715" s="2">
        <v>18.529445233896201</v>
      </c>
      <c r="BF715" s="2">
        <v>17.9100281075022</v>
      </c>
      <c r="BG715" s="2">
        <v>16.644041023236198</v>
      </c>
      <c r="BH715" s="2">
        <v>18.600146051385899</v>
      </c>
      <c r="BI715" s="2">
        <v>17.056506160557898</v>
      </c>
      <c r="BJ715" s="2">
        <v>18.747604308405698</v>
      </c>
      <c r="BK715" s="2">
        <v>18.100822670605101</v>
      </c>
      <c r="BL715" s="2">
        <v>18.108072420745799</v>
      </c>
      <c r="BM715" s="2">
        <v>19.708827447335501</v>
      </c>
      <c r="BN715" s="2">
        <v>19.038709248855099</v>
      </c>
      <c r="BO715" s="2">
        <v>18.8602016748548</v>
      </c>
      <c r="BP715" s="2">
        <v>17.669847203104201</v>
      </c>
      <c r="BQ715" s="2">
        <v>18.198346044619601</v>
      </c>
      <c r="BR715" s="2">
        <v>17.794159896769699</v>
      </c>
      <c r="BS715" s="2">
        <v>18.9472404276753</v>
      </c>
      <c r="BT715" s="2">
        <v>19.7027320535447</v>
      </c>
      <c r="BU715" s="2">
        <v>18.251064701628401</v>
      </c>
      <c r="BV715" s="2">
        <v>18.304463181099099</v>
      </c>
      <c r="BW715" s="2">
        <v>17.651105662261202</v>
      </c>
      <c r="BX715" s="2">
        <v>18.087091977949001</v>
      </c>
      <c r="BY715" s="2">
        <v>18.588563968840301</v>
      </c>
      <c r="BZ715" s="2">
        <v>17.156344924275899</v>
      </c>
      <c r="CA715" s="2">
        <v>17.193202785540102</v>
      </c>
      <c r="CB715" s="2">
        <v>17.345526442287699</v>
      </c>
      <c r="CC715" s="2">
        <v>17.277488920874301</v>
      </c>
      <c r="CD715" s="2">
        <v>18.776780728936298</v>
      </c>
      <c r="CE715" s="2">
        <v>18.9703801119045</v>
      </c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</row>
    <row r="716" spans="1:97">
      <c r="A716" s="2" t="s">
        <v>6905</v>
      </c>
      <c r="B716" s="2">
        <v>124.99104</v>
      </c>
      <c r="C716" s="2">
        <v>0.71</v>
      </c>
      <c r="D716" s="2" t="s">
        <v>146</v>
      </c>
      <c r="E716" s="2" t="s">
        <v>6906</v>
      </c>
      <c r="F716" s="2" t="s">
        <v>6907</v>
      </c>
      <c r="G716" s="2">
        <v>48178</v>
      </c>
      <c r="H716" s="3" t="str">
        <f>HYPERLINK("https://cloud.oebiotech.com/#/lm/network/48178", "https://cloud.oebiotech.com/#/lm/network/48178")</f>
        <v>https://cloud.oebiotech.com/#/lm/network/48178</v>
      </c>
      <c r="I716" s="2" t="s">
        <v>6908</v>
      </c>
      <c r="J716" s="2">
        <v>6987</v>
      </c>
      <c r="K716" s="2"/>
      <c r="L716" s="2">
        <v>7866</v>
      </c>
      <c r="M716" s="2" t="s">
        <v>6909</v>
      </c>
      <c r="N716" s="2" t="s">
        <v>6910</v>
      </c>
      <c r="O716" s="2" t="s">
        <v>6911</v>
      </c>
      <c r="P716" s="2">
        <v>1157</v>
      </c>
      <c r="Q716" s="2"/>
      <c r="R716" s="2"/>
      <c r="S716" s="2" t="s">
        <v>6912</v>
      </c>
      <c r="T716" s="2" t="s">
        <v>6913</v>
      </c>
      <c r="U716" s="2" t="s">
        <v>6914</v>
      </c>
      <c r="V716" s="2" t="s">
        <v>115</v>
      </c>
      <c r="W716" s="2" t="s">
        <v>2162</v>
      </c>
      <c r="X716" s="2" t="s">
        <v>2163</v>
      </c>
      <c r="Y716" s="2" t="s">
        <v>118</v>
      </c>
      <c r="Z716" s="2" t="s">
        <v>2164</v>
      </c>
      <c r="AA716" s="2" t="s">
        <v>2164</v>
      </c>
      <c r="AB716" s="2" t="s">
        <v>3086</v>
      </c>
      <c r="AC716" s="2">
        <v>54.8</v>
      </c>
      <c r="AD716" s="2">
        <v>95.64</v>
      </c>
      <c r="AE716" s="2">
        <v>0</v>
      </c>
      <c r="AF716" s="2" t="s">
        <v>5614</v>
      </c>
      <c r="AG716" s="2" t="s">
        <v>194</v>
      </c>
      <c r="AH716" s="2" t="s">
        <v>6915</v>
      </c>
      <c r="AI716" s="2">
        <v>2.88</v>
      </c>
      <c r="AJ716" s="2">
        <v>18.874463374309599</v>
      </c>
      <c r="AK716" s="2">
        <v>19.411124538507998</v>
      </c>
      <c r="AL716" s="2">
        <v>19.313802068632601</v>
      </c>
      <c r="AM716" s="2">
        <v>19.023330597930499</v>
      </c>
      <c r="AN716" s="2">
        <v>19.5524639977607</v>
      </c>
      <c r="AO716" s="2">
        <v>18.634686354306499</v>
      </c>
      <c r="AP716" s="2">
        <v>18.9833907356116</v>
      </c>
      <c r="AQ716" s="2">
        <v>19.384099062839802</v>
      </c>
      <c r="AR716" s="2">
        <v>19.955741630909898</v>
      </c>
      <c r="AS716" s="2">
        <v>19.9789402882177</v>
      </c>
      <c r="AT716" s="2">
        <v>18.766242315825799</v>
      </c>
      <c r="AU716" s="2">
        <v>19.021306155128201</v>
      </c>
      <c r="AV716" s="2">
        <v>17.810070312034401</v>
      </c>
      <c r="AW716" s="2">
        <v>19.177990034502599</v>
      </c>
      <c r="AX716" s="2">
        <v>19.686966391764098</v>
      </c>
      <c r="AY716" s="2">
        <v>19.049363759476901</v>
      </c>
      <c r="AZ716" s="2">
        <v>19.3762577481337</v>
      </c>
      <c r="BA716" s="2">
        <v>19.635834651674202</v>
      </c>
      <c r="BB716" s="2">
        <v>19.502541589877101</v>
      </c>
      <c r="BC716" s="2">
        <v>17.1805671306664</v>
      </c>
      <c r="BD716" s="2">
        <v>18.483415646553699</v>
      </c>
      <c r="BE716" s="2">
        <v>19.036513931436598</v>
      </c>
      <c r="BF716" s="2">
        <v>18.8018753944902</v>
      </c>
      <c r="BG716" s="2">
        <v>18.691523123910201</v>
      </c>
      <c r="BH716" s="2">
        <v>18.8440883290667</v>
      </c>
      <c r="BI716" s="2">
        <v>19.4274721607452</v>
      </c>
      <c r="BJ716" s="2">
        <v>19.242779000754599</v>
      </c>
      <c r="BK716" s="2">
        <v>19.255732470072001</v>
      </c>
      <c r="BL716" s="2">
        <v>18.941576148362699</v>
      </c>
      <c r="BM716" s="2">
        <v>16.043964986970401</v>
      </c>
      <c r="BN716" s="2">
        <v>17.853693694921802</v>
      </c>
      <c r="BO716" s="2">
        <v>19.598352206375601</v>
      </c>
      <c r="BP716" s="2">
        <v>18.5260941120046</v>
      </c>
      <c r="BQ716" s="2">
        <v>19.5796632173905</v>
      </c>
      <c r="BR716" s="2">
        <v>19.042771872769301</v>
      </c>
      <c r="BS716" s="2">
        <v>17.095465121435399</v>
      </c>
      <c r="BT716" s="2">
        <v>19.9154042478057</v>
      </c>
      <c r="BU716" s="2">
        <v>18.717006764327401</v>
      </c>
      <c r="BV716" s="2">
        <v>18.600054159189899</v>
      </c>
      <c r="BW716" s="2">
        <v>17.3441829328411</v>
      </c>
      <c r="BX716" s="2">
        <v>18.712937818244601</v>
      </c>
      <c r="BY716" s="2">
        <v>18.946854428955699</v>
      </c>
      <c r="BZ716" s="2">
        <v>21.186943741752</v>
      </c>
      <c r="CA716" s="2">
        <v>16.276658954179201</v>
      </c>
      <c r="CB716" s="2">
        <v>19.687928125915899</v>
      </c>
      <c r="CC716" s="2">
        <v>19.667273615039701</v>
      </c>
      <c r="CD716" s="2">
        <v>18.983192642094401</v>
      </c>
      <c r="CE716" s="2">
        <v>19.4419697837982</v>
      </c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</row>
    <row r="717" spans="1:97">
      <c r="A717" s="2" t="s">
        <v>6916</v>
      </c>
      <c r="B717" s="2">
        <v>243.15967000000001</v>
      </c>
      <c r="C717" s="2">
        <v>8.48</v>
      </c>
      <c r="D717" s="2" t="s">
        <v>146</v>
      </c>
      <c r="E717" s="2" t="s">
        <v>6917</v>
      </c>
      <c r="F717" s="2" t="s">
        <v>6918</v>
      </c>
      <c r="G717" s="2">
        <v>2829</v>
      </c>
      <c r="H717" s="3" t="str">
        <f>HYPERLINK("https://cloud.oebiotech.com/#/lm/network/2829", "https://cloud.oebiotech.com/#/lm/network/2829")</f>
        <v>https://cloud.oebiotech.com/#/lm/network/2829</v>
      </c>
      <c r="I717" s="2" t="s">
        <v>6919</v>
      </c>
      <c r="J717" s="2">
        <v>6622</v>
      </c>
      <c r="K717" s="2" t="s">
        <v>6920</v>
      </c>
      <c r="L717" s="2">
        <v>10458</v>
      </c>
      <c r="M717" s="2"/>
      <c r="N717" s="2"/>
      <c r="O717" s="2"/>
      <c r="P717" s="2">
        <v>73718</v>
      </c>
      <c r="Q717" s="2"/>
      <c r="R717" s="2"/>
      <c r="S717" s="2" t="s">
        <v>6921</v>
      </c>
      <c r="T717" s="2" t="s">
        <v>6922</v>
      </c>
      <c r="U717" s="2" t="s">
        <v>6923</v>
      </c>
      <c r="V717" s="2" t="s">
        <v>95</v>
      </c>
      <c r="W717" s="2" t="s">
        <v>96</v>
      </c>
      <c r="X717" s="2" t="s">
        <v>141</v>
      </c>
      <c r="Y717" s="2" t="s">
        <v>98</v>
      </c>
      <c r="Z717" s="2" t="s">
        <v>99</v>
      </c>
      <c r="AA717" s="2" t="s">
        <v>142</v>
      </c>
      <c r="AB717" s="2" t="s">
        <v>3086</v>
      </c>
      <c r="AC717" s="2">
        <v>54.76</v>
      </c>
      <c r="AD717" s="2">
        <v>91.83</v>
      </c>
      <c r="AE717" s="2">
        <v>0</v>
      </c>
      <c r="AF717" s="2" t="s">
        <v>5614</v>
      </c>
      <c r="AG717" s="2" t="s">
        <v>194</v>
      </c>
      <c r="AH717" s="2" t="s">
        <v>6924</v>
      </c>
      <c r="AI717" s="2">
        <v>2.06</v>
      </c>
      <c r="AJ717" s="2">
        <v>19.4318804306284</v>
      </c>
      <c r="AK717" s="2">
        <v>19.401365856189699</v>
      </c>
      <c r="AL717" s="2">
        <v>18.746491358969401</v>
      </c>
      <c r="AM717" s="2">
        <v>19.381689999696601</v>
      </c>
      <c r="AN717" s="2">
        <v>19.006597473370601</v>
      </c>
      <c r="AO717" s="2">
        <v>19.316308073731602</v>
      </c>
      <c r="AP717" s="2">
        <v>19.075373538239599</v>
      </c>
      <c r="AQ717" s="2">
        <v>19.621173504067801</v>
      </c>
      <c r="AR717" s="2">
        <v>20.9954236726125</v>
      </c>
      <c r="AS717" s="2">
        <v>18.261886067930501</v>
      </c>
      <c r="AT717" s="2">
        <v>18.4895360132017</v>
      </c>
      <c r="AU717" s="2">
        <v>18.867447282820098</v>
      </c>
      <c r="AV717" s="2">
        <v>19.1133060842687</v>
      </c>
      <c r="AW717" s="2">
        <v>20.3436803011267</v>
      </c>
      <c r="AX717" s="2">
        <v>18.707860108197998</v>
      </c>
      <c r="AY717" s="2">
        <v>19.670869864741199</v>
      </c>
      <c r="AZ717" s="2">
        <v>18.759443284959101</v>
      </c>
      <c r="BA717" s="2">
        <v>18.618713343724501</v>
      </c>
      <c r="BB717" s="2">
        <v>18.961050206243801</v>
      </c>
      <c r="BC717" s="2">
        <v>19.803834857684301</v>
      </c>
      <c r="BD717" s="2">
        <v>18.6952406637709</v>
      </c>
      <c r="BE717" s="2">
        <v>19.454532086793002</v>
      </c>
      <c r="BF717" s="2">
        <v>19.017659295040701</v>
      </c>
      <c r="BG717" s="2">
        <v>18.560672642623999</v>
      </c>
      <c r="BH717" s="2">
        <v>19.6504435358599</v>
      </c>
      <c r="BI717" s="2">
        <v>18.921136120654801</v>
      </c>
      <c r="BJ717" s="2">
        <v>19.180779079407099</v>
      </c>
      <c r="BK717" s="2">
        <v>19.077692463847299</v>
      </c>
      <c r="BL717" s="2">
        <v>18.809241181306501</v>
      </c>
      <c r="BM717" s="2">
        <v>18.6833145460647</v>
      </c>
      <c r="BN717" s="2">
        <v>19.8898731813536</v>
      </c>
      <c r="BO717" s="2">
        <v>19.110864823576598</v>
      </c>
      <c r="BP717" s="2">
        <v>18.861584413043701</v>
      </c>
      <c r="BQ717" s="2">
        <v>18.871807108781798</v>
      </c>
      <c r="BR717" s="2">
        <v>19.1100858879459</v>
      </c>
      <c r="BS717" s="2">
        <v>19.890112379978898</v>
      </c>
      <c r="BT717" s="2">
        <v>19.0097836308361</v>
      </c>
      <c r="BU717" s="2">
        <v>19.033492180280899</v>
      </c>
      <c r="BV717" s="2">
        <v>19.104303024415699</v>
      </c>
      <c r="BW717" s="2">
        <v>19.012545295607499</v>
      </c>
      <c r="BX717" s="2">
        <v>19.081560648215699</v>
      </c>
      <c r="BY717" s="2">
        <v>19.905076033185502</v>
      </c>
      <c r="BZ717" s="2">
        <v>18.424775117226002</v>
      </c>
      <c r="CA717" s="2">
        <v>19.355092183082402</v>
      </c>
      <c r="CB717" s="2">
        <v>19.083071823744099</v>
      </c>
      <c r="CC717" s="2">
        <v>18.5835617078335</v>
      </c>
      <c r="CD717" s="2">
        <v>19.7306527910124</v>
      </c>
      <c r="CE717" s="2">
        <v>19.225063504888599</v>
      </c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</row>
    <row r="718" spans="1:97">
      <c r="A718" s="2" t="s">
        <v>6925</v>
      </c>
      <c r="B718" s="2">
        <v>245.01204999999999</v>
      </c>
      <c r="C718" s="2">
        <v>4.2709999999999999</v>
      </c>
      <c r="D718" s="2" t="s">
        <v>146</v>
      </c>
      <c r="E718" s="2" t="s">
        <v>6926</v>
      </c>
      <c r="F718" s="2" t="s">
        <v>6927</v>
      </c>
      <c r="G718" s="2">
        <v>144383</v>
      </c>
      <c r="H718" s="3" t="str">
        <f>HYPERLINK("https://cloud.oebiotech.com/#/lm/network/144383", "https://cloud.oebiotech.com/#/lm/network/144383")</f>
        <v>https://cloud.oebiotech.com/#/lm/network/144383</v>
      </c>
      <c r="I718" s="2" t="s">
        <v>6928</v>
      </c>
      <c r="J718" s="2"/>
      <c r="K718" s="2"/>
      <c r="L718" s="2">
        <v>49844036</v>
      </c>
      <c r="M718" s="2"/>
      <c r="N718" s="2"/>
      <c r="O718" s="2"/>
      <c r="P718" s="2"/>
      <c r="Q718" s="2"/>
      <c r="R718" s="2"/>
      <c r="S718" s="2"/>
      <c r="T718" s="2" t="s">
        <v>6929</v>
      </c>
      <c r="U718" s="2" t="s">
        <v>6930</v>
      </c>
      <c r="V718" s="2" t="s">
        <v>115</v>
      </c>
      <c r="W718" s="2" t="s">
        <v>613</v>
      </c>
      <c r="X718" s="2" t="s">
        <v>614</v>
      </c>
      <c r="Y718" s="2" t="s">
        <v>118</v>
      </c>
      <c r="Z718" s="2" t="s">
        <v>615</v>
      </c>
      <c r="AA718" s="2" t="s">
        <v>616</v>
      </c>
      <c r="AB718" s="2" t="s">
        <v>3086</v>
      </c>
      <c r="AC718" s="2">
        <v>54.76</v>
      </c>
      <c r="AD718" s="2">
        <v>90.61</v>
      </c>
      <c r="AE718" s="2">
        <v>0</v>
      </c>
      <c r="AF718" s="2" t="s">
        <v>5614</v>
      </c>
      <c r="AG718" s="2" t="s">
        <v>194</v>
      </c>
      <c r="AH718" s="2" t="s">
        <v>2483</v>
      </c>
      <c r="AI718" s="2">
        <v>2.04</v>
      </c>
      <c r="AJ718" s="2">
        <v>17.660604596018999</v>
      </c>
      <c r="AK718" s="2">
        <v>17.791410232660699</v>
      </c>
      <c r="AL718" s="2">
        <v>17.624657398460698</v>
      </c>
      <c r="AM718" s="2">
        <v>17.790788261798902</v>
      </c>
      <c r="AN718" s="2">
        <v>17.885580262503201</v>
      </c>
      <c r="AO718" s="2">
        <v>17.455771571813901</v>
      </c>
      <c r="AP718" s="2">
        <v>17.667709629676601</v>
      </c>
      <c r="AQ718" s="2">
        <v>17.6100258389442</v>
      </c>
      <c r="AR718" s="2">
        <v>18.0694068119533</v>
      </c>
      <c r="AS718" s="2">
        <v>16.576739417672702</v>
      </c>
      <c r="AT718" s="2">
        <v>9.6233145402724691</v>
      </c>
      <c r="AU718" s="2">
        <v>16.049810907889</v>
      </c>
      <c r="AV718" s="2">
        <v>17.6775172576491</v>
      </c>
      <c r="AW718" s="2">
        <v>15.469026785727999</v>
      </c>
      <c r="AX718" s="2">
        <v>17.404291561485</v>
      </c>
      <c r="AY718" s="2">
        <v>17.004563605537101</v>
      </c>
      <c r="AZ718" s="2">
        <v>14.515211959320901</v>
      </c>
      <c r="BA718" s="2">
        <v>9.6233145402724691</v>
      </c>
      <c r="BB718" s="2">
        <v>17.498545705153798</v>
      </c>
      <c r="BC718" s="2">
        <v>9.6233145402724691</v>
      </c>
      <c r="BD718" s="2">
        <v>15.7757555819666</v>
      </c>
      <c r="BE718" s="2">
        <v>9.6233145402724691</v>
      </c>
      <c r="BF718" s="2">
        <v>16.598682959734202</v>
      </c>
      <c r="BG718" s="2">
        <v>18.0949355466188</v>
      </c>
      <c r="BH718" s="2">
        <v>9.6233145402724691</v>
      </c>
      <c r="BI718" s="2">
        <v>17.357880563127701</v>
      </c>
      <c r="BJ718" s="2">
        <v>17.677275267947199</v>
      </c>
      <c r="BK718" s="2">
        <v>15.615898852855899</v>
      </c>
      <c r="BL718" s="2">
        <v>18.8866161722672</v>
      </c>
      <c r="BM718" s="2">
        <v>17.819984511144501</v>
      </c>
      <c r="BN718" s="2">
        <v>12.8268503412366</v>
      </c>
      <c r="BO718" s="2">
        <v>16.9047867758267</v>
      </c>
      <c r="BP718" s="2">
        <v>19.1841382755462</v>
      </c>
      <c r="BQ718" s="2">
        <v>18.680652122297499</v>
      </c>
      <c r="BR718" s="2">
        <v>15.636138297342301</v>
      </c>
      <c r="BS718" s="2">
        <v>17.868282889764298</v>
      </c>
      <c r="BT718" s="2">
        <v>18.005431842947001</v>
      </c>
      <c r="BU718" s="2">
        <v>17.923551844382001</v>
      </c>
      <c r="BV718" s="2">
        <v>14.8778793812695</v>
      </c>
      <c r="BW718" s="2">
        <v>9.6233145402724691</v>
      </c>
      <c r="BX718" s="2">
        <v>18.145801373770201</v>
      </c>
      <c r="BY718" s="2">
        <v>19.9114612891223</v>
      </c>
      <c r="BZ718" s="2">
        <v>17.009835067327</v>
      </c>
      <c r="CA718" s="2">
        <v>13.2323579652954</v>
      </c>
      <c r="CB718" s="2">
        <v>17.074822374882899</v>
      </c>
      <c r="CC718" s="2">
        <v>12.6821233505789</v>
      </c>
      <c r="CD718" s="2">
        <v>18.8662729845617</v>
      </c>
      <c r="CE718" s="2">
        <v>14.79538525749</v>
      </c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</row>
    <row r="719" spans="1:97">
      <c r="A719" s="2" t="s">
        <v>6931</v>
      </c>
      <c r="B719" s="2">
        <v>396.31033000000002</v>
      </c>
      <c r="C719" s="2">
        <v>9.5990000000000002</v>
      </c>
      <c r="D719" s="2" t="s">
        <v>84</v>
      </c>
      <c r="E719" s="2" t="s">
        <v>6932</v>
      </c>
      <c r="F719" s="2" t="s">
        <v>6933</v>
      </c>
      <c r="G719" s="2">
        <v>52258</v>
      </c>
      <c r="H719" s="3" t="str">
        <f>HYPERLINK("https://cloud.oebiotech.com/#/lm/network/52258", "https://cloud.oebiotech.com/#/lm/network/52258")</f>
        <v>https://cloud.oebiotech.com/#/lm/network/52258</v>
      </c>
      <c r="I719" s="2" t="s">
        <v>6934</v>
      </c>
      <c r="J719" s="2"/>
      <c r="K719" s="2"/>
      <c r="L719" s="2"/>
      <c r="M719" s="2"/>
      <c r="N719" s="2"/>
      <c r="O719" s="2"/>
      <c r="P719" s="2"/>
      <c r="Q719" s="2"/>
      <c r="R719" s="2"/>
      <c r="S719" s="2" t="s">
        <v>6935</v>
      </c>
      <c r="T719" s="2" t="s">
        <v>6936</v>
      </c>
      <c r="U719" s="2" t="s">
        <v>6937</v>
      </c>
      <c r="V719" s="2" t="s">
        <v>95</v>
      </c>
      <c r="W719" s="2" t="s">
        <v>96</v>
      </c>
      <c r="X719" s="2" t="s">
        <v>97</v>
      </c>
      <c r="Y719" s="2" t="s">
        <v>98</v>
      </c>
      <c r="Z719" s="2" t="s">
        <v>99</v>
      </c>
      <c r="AA719" s="2" t="s">
        <v>100</v>
      </c>
      <c r="AB719" s="2" t="s">
        <v>3086</v>
      </c>
      <c r="AC719" s="2">
        <v>54.76</v>
      </c>
      <c r="AD719" s="2">
        <v>85.16</v>
      </c>
      <c r="AE719" s="2">
        <v>0</v>
      </c>
      <c r="AF719" s="2" t="s">
        <v>5614</v>
      </c>
      <c r="AG719" s="2" t="s">
        <v>4104</v>
      </c>
      <c r="AH719" s="2" t="s">
        <v>6938</v>
      </c>
      <c r="AI719" s="2">
        <v>1.26</v>
      </c>
      <c r="AJ719" s="2">
        <v>18.2010043211713</v>
      </c>
      <c r="AK719" s="2">
        <v>18.1094635587875</v>
      </c>
      <c r="AL719" s="2">
        <v>17.976331691623098</v>
      </c>
      <c r="AM719" s="2">
        <v>18.0017517832012</v>
      </c>
      <c r="AN719" s="2">
        <v>18.1593825788846</v>
      </c>
      <c r="AO719" s="2">
        <v>17.8691796884928</v>
      </c>
      <c r="AP719" s="2">
        <v>17.063630068913699</v>
      </c>
      <c r="AQ719" s="2">
        <v>18.010965441757001</v>
      </c>
      <c r="AR719" s="2">
        <v>14.6154152626723</v>
      </c>
      <c r="AS719" s="2">
        <v>15.5151749920695</v>
      </c>
      <c r="AT719" s="2">
        <v>19.221499116562001</v>
      </c>
      <c r="AU719" s="2">
        <v>17.066187808818398</v>
      </c>
      <c r="AV719" s="2">
        <v>15.816535710481</v>
      </c>
      <c r="AW719" s="2">
        <v>16.8229647350846</v>
      </c>
      <c r="AX719" s="2">
        <v>17.985665246283201</v>
      </c>
      <c r="AY719" s="2">
        <v>17.636901202145001</v>
      </c>
      <c r="AZ719" s="2">
        <v>15.391217069054299</v>
      </c>
      <c r="BA719" s="2">
        <v>17.3103589387201</v>
      </c>
      <c r="BB719" s="2">
        <v>17.5730542259099</v>
      </c>
      <c r="BC719" s="2">
        <v>18.812217204998898</v>
      </c>
      <c r="BD719" s="2">
        <v>16.1640253944317</v>
      </c>
      <c r="BE719" s="2">
        <v>16.2902048253573</v>
      </c>
      <c r="BF719" s="2">
        <v>17.231190330322299</v>
      </c>
      <c r="BG719" s="2">
        <v>18.087094568468899</v>
      </c>
      <c r="BH719" s="2">
        <v>15.945413886610501</v>
      </c>
      <c r="BI719" s="2">
        <v>19.7172539978522</v>
      </c>
      <c r="BJ719" s="2">
        <v>17.758034809213498</v>
      </c>
      <c r="BK719" s="2">
        <v>15.1292536313951</v>
      </c>
      <c r="BL719" s="2">
        <v>18.3233655827296</v>
      </c>
      <c r="BM719" s="2">
        <v>9.6233145402724691</v>
      </c>
      <c r="BN719" s="2">
        <v>18.022334053656198</v>
      </c>
      <c r="BO719" s="2">
        <v>18.282369485896901</v>
      </c>
      <c r="BP719" s="2">
        <v>18.259055804597999</v>
      </c>
      <c r="BQ719" s="2">
        <v>18.829485497030699</v>
      </c>
      <c r="BR719" s="2">
        <v>18.229702446172698</v>
      </c>
      <c r="BS719" s="2">
        <v>16.845545057544602</v>
      </c>
      <c r="BT719" s="2">
        <v>19.070815755631301</v>
      </c>
      <c r="BU719" s="2">
        <v>17.798077798302099</v>
      </c>
      <c r="BV719" s="2">
        <v>17.872415652773601</v>
      </c>
      <c r="BW719" s="2">
        <v>18.178479046543501</v>
      </c>
      <c r="BX719" s="2">
        <v>17.363247406649599</v>
      </c>
      <c r="BY719" s="2">
        <v>15.832521433248001</v>
      </c>
      <c r="BZ719" s="2">
        <v>17.8747960655393</v>
      </c>
      <c r="CA719" s="2">
        <v>17.389869427477102</v>
      </c>
      <c r="CB719" s="2">
        <v>18.323091670155002</v>
      </c>
      <c r="CC719" s="2">
        <v>18.898537178157799</v>
      </c>
      <c r="CD719" s="2">
        <v>16.379960925749302</v>
      </c>
      <c r="CE719" s="2">
        <v>18.268207850437602</v>
      </c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</row>
    <row r="720" spans="1:97">
      <c r="A720" s="2" t="s">
        <v>6939</v>
      </c>
      <c r="B720" s="2">
        <v>213.05534</v>
      </c>
      <c r="C720" s="2">
        <v>5.5309999999999997</v>
      </c>
      <c r="D720" s="2" t="s">
        <v>146</v>
      </c>
      <c r="E720" s="2" t="s">
        <v>6940</v>
      </c>
      <c r="F720" s="2" t="s">
        <v>6941</v>
      </c>
      <c r="G720" s="2">
        <v>62238</v>
      </c>
      <c r="H720" s="3" t="str">
        <f>HYPERLINK("https://cloud.oebiotech.com/#/lm/network/62238", "https://cloud.oebiotech.com/#/lm/network/62238")</f>
        <v>https://cloud.oebiotech.com/#/lm/network/62238</v>
      </c>
      <c r="I720" s="2" t="s">
        <v>6942</v>
      </c>
      <c r="J720" s="2">
        <v>93524</v>
      </c>
      <c r="K720" s="2"/>
      <c r="L720" s="2">
        <v>86155512</v>
      </c>
      <c r="M720" s="2"/>
      <c r="N720" s="2"/>
      <c r="O720" s="2"/>
      <c r="P720" s="2">
        <v>174190</v>
      </c>
      <c r="Q720" s="2"/>
      <c r="R720" s="2"/>
      <c r="S720" s="2"/>
      <c r="T720" s="2" t="s">
        <v>6943</v>
      </c>
      <c r="U720" s="2" t="s">
        <v>6944</v>
      </c>
      <c r="V720" s="2" t="s">
        <v>95</v>
      </c>
      <c r="W720" s="2" t="s">
        <v>96</v>
      </c>
      <c r="X720" s="2" t="s">
        <v>353</v>
      </c>
      <c r="Y720" s="2" t="s">
        <v>98</v>
      </c>
      <c r="Z720" s="2" t="s">
        <v>99</v>
      </c>
      <c r="AA720" s="2" t="s">
        <v>354</v>
      </c>
      <c r="AB720" s="2" t="s">
        <v>3086</v>
      </c>
      <c r="AC720" s="2">
        <v>54.75</v>
      </c>
      <c r="AD720" s="2">
        <v>92.11</v>
      </c>
      <c r="AE720" s="2">
        <v>0</v>
      </c>
      <c r="AF720" s="2" t="s">
        <v>5614</v>
      </c>
      <c r="AG720" s="2" t="s">
        <v>993</v>
      </c>
      <c r="AH720" s="2" t="s">
        <v>6945</v>
      </c>
      <c r="AI720" s="2">
        <v>-0.47</v>
      </c>
      <c r="AJ720" s="2">
        <v>17.781832828130099</v>
      </c>
      <c r="AK720" s="2">
        <v>17.618910027184899</v>
      </c>
      <c r="AL720" s="2">
        <v>17.882400593850001</v>
      </c>
      <c r="AM720" s="2">
        <v>17.419277500496801</v>
      </c>
      <c r="AN720" s="2">
        <v>17.9061294225213</v>
      </c>
      <c r="AO720" s="2">
        <v>17.841701805057301</v>
      </c>
      <c r="AP720" s="2">
        <v>17.863042925357099</v>
      </c>
      <c r="AQ720" s="2">
        <v>18.1105858722613</v>
      </c>
      <c r="AR720" s="2">
        <v>17.9982183157504</v>
      </c>
      <c r="AS720" s="2">
        <v>17.853409224641801</v>
      </c>
      <c r="AT720" s="2">
        <v>17.2731130746476</v>
      </c>
      <c r="AU720" s="2">
        <v>17.8720708657474</v>
      </c>
      <c r="AV720" s="2">
        <v>17.8027232176951</v>
      </c>
      <c r="AW720" s="2">
        <v>17.702182900991499</v>
      </c>
      <c r="AX720" s="2">
        <v>18.002326740313801</v>
      </c>
      <c r="AY720" s="2">
        <v>17.631651484839399</v>
      </c>
      <c r="AZ720" s="2">
        <v>18.123213484142799</v>
      </c>
      <c r="BA720" s="2">
        <v>17.6248325734866</v>
      </c>
      <c r="BB720" s="2">
        <v>18.0522257925365</v>
      </c>
      <c r="BC720" s="2">
        <v>18.145627904685501</v>
      </c>
      <c r="BD720" s="2">
        <v>17.379671367822802</v>
      </c>
      <c r="BE720" s="2">
        <v>17.306234484117599</v>
      </c>
      <c r="BF720" s="2">
        <v>17.917662043973799</v>
      </c>
      <c r="BG720" s="2">
        <v>17.966287111500399</v>
      </c>
      <c r="BH720" s="2">
        <v>17.7649881183745</v>
      </c>
      <c r="BI720" s="2">
        <v>17.6811953724544</v>
      </c>
      <c r="BJ720" s="2">
        <v>16.991623591992202</v>
      </c>
      <c r="BK720" s="2">
        <v>17.751614664898501</v>
      </c>
      <c r="BL720" s="2">
        <v>17.633195407722301</v>
      </c>
      <c r="BM720" s="2">
        <v>17.450898225622002</v>
      </c>
      <c r="BN720" s="2">
        <v>17.773498483213999</v>
      </c>
      <c r="BO720" s="2">
        <v>17.976346349078199</v>
      </c>
      <c r="BP720" s="2">
        <v>17.8492100282553</v>
      </c>
      <c r="BQ720" s="2">
        <v>17.7910691932777</v>
      </c>
      <c r="BR720" s="2">
        <v>18.032238893637501</v>
      </c>
      <c r="BS720" s="2">
        <v>18.000678470221299</v>
      </c>
      <c r="BT720" s="2">
        <v>18.0416068589827</v>
      </c>
      <c r="BU720" s="2">
        <v>18.020944574044101</v>
      </c>
      <c r="BV720" s="2">
        <v>17.6656822662206</v>
      </c>
      <c r="BW720" s="2">
        <v>18.086174900714202</v>
      </c>
      <c r="BX720" s="2">
        <v>18.070869200876999</v>
      </c>
      <c r="BY720" s="2">
        <v>17.466483102313401</v>
      </c>
      <c r="BZ720" s="2">
        <v>18.043632802105002</v>
      </c>
      <c r="CA720" s="2">
        <v>17.591417886478901</v>
      </c>
      <c r="CB720" s="2">
        <v>17.643639628377301</v>
      </c>
      <c r="CC720" s="2">
        <v>18.036411734191802</v>
      </c>
      <c r="CD720" s="2">
        <v>18.1789106732639</v>
      </c>
      <c r="CE720" s="2">
        <v>18.065532627345299</v>
      </c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</row>
    <row r="721" spans="1:97">
      <c r="A721" s="2" t="s">
        <v>6946</v>
      </c>
      <c r="B721" s="2">
        <v>506.35991999999999</v>
      </c>
      <c r="C721" s="2">
        <v>11.135</v>
      </c>
      <c r="D721" s="2" t="s">
        <v>84</v>
      </c>
      <c r="E721" s="2" t="s">
        <v>6947</v>
      </c>
      <c r="F721" s="2" t="s">
        <v>6948</v>
      </c>
      <c r="G721" s="2">
        <v>19924</v>
      </c>
      <c r="H721" s="3" t="str">
        <f>HYPERLINK("https://cloud.oebiotech.com/#/lm/network/19924", "https://cloud.oebiotech.com/#/lm/network/19924")</f>
        <v>https://cloud.oebiotech.com/#/lm/network/19924</v>
      </c>
      <c r="I721" s="2" t="s">
        <v>6949</v>
      </c>
      <c r="J721" s="2">
        <v>46693</v>
      </c>
      <c r="K721" s="2" t="s">
        <v>6950</v>
      </c>
      <c r="L721" s="2">
        <v>24779513</v>
      </c>
      <c r="M721" s="2" t="s">
        <v>264</v>
      </c>
      <c r="N721" s="2" t="s">
        <v>265</v>
      </c>
      <c r="O721" s="2" t="s">
        <v>266</v>
      </c>
      <c r="P721" s="2">
        <v>84753</v>
      </c>
      <c r="Q721" s="2"/>
      <c r="R721" s="2"/>
      <c r="S721" s="2"/>
      <c r="T721" s="2" t="s">
        <v>6951</v>
      </c>
      <c r="U721" s="2" t="s">
        <v>6952</v>
      </c>
      <c r="V721" s="2" t="s">
        <v>95</v>
      </c>
      <c r="W721" s="2" t="s">
        <v>202</v>
      </c>
      <c r="X721" s="2" t="s">
        <v>203</v>
      </c>
      <c r="Y721" s="2" t="s">
        <v>98</v>
      </c>
      <c r="Z721" s="2" t="s">
        <v>204</v>
      </c>
      <c r="AA721" s="2" t="s">
        <v>205</v>
      </c>
      <c r="AB721" s="2" t="s">
        <v>3086</v>
      </c>
      <c r="AC721" s="2">
        <v>54.73</v>
      </c>
      <c r="AD721" s="2">
        <v>96.11</v>
      </c>
      <c r="AE721" s="2">
        <v>0</v>
      </c>
      <c r="AF721" s="2" t="s">
        <v>5614</v>
      </c>
      <c r="AG721" s="2" t="s">
        <v>103</v>
      </c>
      <c r="AH721" s="2" t="s">
        <v>6953</v>
      </c>
      <c r="AI721" s="2">
        <v>1.18</v>
      </c>
      <c r="AJ721" s="2">
        <v>22.906598692717999</v>
      </c>
      <c r="AK721" s="2">
        <v>22.920993332832399</v>
      </c>
      <c r="AL721" s="2">
        <v>23.060912428794602</v>
      </c>
      <c r="AM721" s="2">
        <v>22.864862270280799</v>
      </c>
      <c r="AN721" s="2">
        <v>22.815771067360298</v>
      </c>
      <c r="AO721" s="2">
        <v>22.806478851665201</v>
      </c>
      <c r="AP721" s="2">
        <v>22.943845091636899</v>
      </c>
      <c r="AQ721" s="2">
        <v>22.978743031277801</v>
      </c>
      <c r="AR721" s="2">
        <v>23.082511391392199</v>
      </c>
      <c r="AS721" s="2">
        <v>21.777391902031599</v>
      </c>
      <c r="AT721" s="2">
        <v>22.533115147060698</v>
      </c>
      <c r="AU721" s="2">
        <v>22.414020007644901</v>
      </c>
      <c r="AV721" s="2">
        <v>22.439542954956501</v>
      </c>
      <c r="AW721" s="2">
        <v>22.641641540239402</v>
      </c>
      <c r="AX721" s="2">
        <v>22.859166900366301</v>
      </c>
      <c r="AY721" s="2">
        <v>22.92069913672</v>
      </c>
      <c r="AZ721" s="2">
        <v>22.836813797059101</v>
      </c>
      <c r="BA721" s="2">
        <v>21.5885865314272</v>
      </c>
      <c r="BB721" s="2">
        <v>22.2211478761891</v>
      </c>
      <c r="BC721" s="2">
        <v>23.487442853029201</v>
      </c>
      <c r="BD721" s="2">
        <v>22.4977211392121</v>
      </c>
      <c r="BE721" s="2">
        <v>23.055107620606002</v>
      </c>
      <c r="BF721" s="2">
        <v>23.0623233273799</v>
      </c>
      <c r="BG721" s="2">
        <v>22.972679098640501</v>
      </c>
      <c r="BH721" s="2">
        <v>23.465466103181502</v>
      </c>
      <c r="BI721" s="2">
        <v>22.679511719536801</v>
      </c>
      <c r="BJ721" s="2">
        <v>22.7378052786304</v>
      </c>
      <c r="BK721" s="2">
        <v>22.486779126650902</v>
      </c>
      <c r="BL721" s="2">
        <v>22.56366091656</v>
      </c>
      <c r="BM721" s="2">
        <v>22.617001169769001</v>
      </c>
      <c r="BN721" s="2">
        <v>22.222386054033301</v>
      </c>
      <c r="BO721" s="2">
        <v>21.902689064445202</v>
      </c>
      <c r="BP721" s="2">
        <v>22.8146313456912</v>
      </c>
      <c r="BQ721" s="2">
        <v>22.413280536878801</v>
      </c>
      <c r="BR721" s="2">
        <v>22.9992132228499</v>
      </c>
      <c r="BS721" s="2">
        <v>23.109450322388302</v>
      </c>
      <c r="BT721" s="2">
        <v>22.9227573052016</v>
      </c>
      <c r="BU721" s="2">
        <v>22.5906579947839</v>
      </c>
      <c r="BV721" s="2">
        <v>22.7815948475541</v>
      </c>
      <c r="BW721" s="2">
        <v>22.332732001110202</v>
      </c>
      <c r="BX721" s="2">
        <v>22.913528975126098</v>
      </c>
      <c r="BY721" s="2">
        <v>23.6351362204549</v>
      </c>
      <c r="BZ721" s="2">
        <v>22.826738652475601</v>
      </c>
      <c r="CA721" s="2">
        <v>22.688155492536598</v>
      </c>
      <c r="CB721" s="2">
        <v>22.7401217907308</v>
      </c>
      <c r="CC721" s="2">
        <v>22.105182895788499</v>
      </c>
      <c r="CD721" s="2">
        <v>23.0978214005304</v>
      </c>
      <c r="CE721" s="2">
        <v>21.843054090871501</v>
      </c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</row>
    <row r="722" spans="1:97">
      <c r="A722" s="2" t="s">
        <v>6954</v>
      </c>
      <c r="B722" s="2">
        <v>385.30556999999999</v>
      </c>
      <c r="C722" s="2">
        <v>11.228</v>
      </c>
      <c r="D722" s="2" t="s">
        <v>84</v>
      </c>
      <c r="E722" s="2" t="s">
        <v>6955</v>
      </c>
      <c r="F722" s="2" t="s">
        <v>6956</v>
      </c>
      <c r="G722" s="2">
        <v>198490</v>
      </c>
      <c r="H722" s="3" t="str">
        <f>HYPERLINK("https://cloud.oebiotech.com/#/lm/network/198490", "https://cloud.oebiotech.com/#/lm/network/198490")</f>
        <v>https://cloud.oebiotech.com/#/lm/network/198490</v>
      </c>
      <c r="I722" s="2" t="s">
        <v>6957</v>
      </c>
      <c r="J722" s="2"/>
      <c r="K722" s="2"/>
      <c r="L722" s="2">
        <v>74945990</v>
      </c>
      <c r="M722" s="2"/>
      <c r="N722" s="2"/>
      <c r="O722" s="2"/>
      <c r="P722" s="2"/>
      <c r="Q722" s="2"/>
      <c r="R722" s="2"/>
      <c r="S722" s="2"/>
      <c r="T722" s="2" t="s">
        <v>6958</v>
      </c>
      <c r="U722" s="2" t="s">
        <v>6959</v>
      </c>
      <c r="V722" s="2" t="s">
        <v>115</v>
      </c>
      <c r="W722" s="2" t="s">
        <v>116</v>
      </c>
      <c r="X722" s="2" t="s">
        <v>117</v>
      </c>
      <c r="Y722" s="2" t="s">
        <v>118</v>
      </c>
      <c r="Z722" s="2" t="s">
        <v>119</v>
      </c>
      <c r="AA722" s="2" t="s">
        <v>120</v>
      </c>
      <c r="AB722" s="2" t="s">
        <v>3086</v>
      </c>
      <c r="AC722" s="2">
        <v>54.73</v>
      </c>
      <c r="AD722" s="2">
        <v>85.46</v>
      </c>
      <c r="AE722" s="2">
        <v>0</v>
      </c>
      <c r="AF722" s="2" t="s">
        <v>5614</v>
      </c>
      <c r="AG722" s="2" t="s">
        <v>132</v>
      </c>
      <c r="AH722" s="2" t="s">
        <v>6960</v>
      </c>
      <c r="AI722" s="2">
        <v>1.3</v>
      </c>
      <c r="AJ722" s="2">
        <v>18.2605324353597</v>
      </c>
      <c r="AK722" s="2">
        <v>18.450295007559902</v>
      </c>
      <c r="AL722" s="2">
        <v>18.489280494667099</v>
      </c>
      <c r="AM722" s="2">
        <v>18.1391119341665</v>
      </c>
      <c r="AN722" s="2">
        <v>18.094779712908299</v>
      </c>
      <c r="AO722" s="2">
        <v>18.170048909238901</v>
      </c>
      <c r="AP722" s="2">
        <v>18.5744410089677</v>
      </c>
      <c r="AQ722" s="2">
        <v>17.838157698659401</v>
      </c>
      <c r="AR722" s="2">
        <v>18.3980326053657</v>
      </c>
      <c r="AS722" s="2">
        <v>15.6386087170566</v>
      </c>
      <c r="AT722" s="2">
        <v>17.698637391516101</v>
      </c>
      <c r="AU722" s="2">
        <v>16.664237681867199</v>
      </c>
      <c r="AV722" s="2">
        <v>19.008665540983699</v>
      </c>
      <c r="AW722" s="2">
        <v>18.213215216747599</v>
      </c>
      <c r="AX722" s="2">
        <v>16.616753000546101</v>
      </c>
      <c r="AY722" s="2">
        <v>18.619091455368899</v>
      </c>
      <c r="AZ722" s="2">
        <v>17.261148610920699</v>
      </c>
      <c r="BA722" s="2">
        <v>17.113810828333399</v>
      </c>
      <c r="BB722" s="2">
        <v>18.486944704002099</v>
      </c>
      <c r="BC722" s="2">
        <v>19.145510961719001</v>
      </c>
      <c r="BD722" s="2">
        <v>15.703129257737899</v>
      </c>
      <c r="BE722" s="2">
        <v>18.249710361719401</v>
      </c>
      <c r="BF722" s="2">
        <v>17.40558425787</v>
      </c>
      <c r="BG722" s="2">
        <v>18.0601554424677</v>
      </c>
      <c r="BH722" s="2">
        <v>14.872086140582899</v>
      </c>
      <c r="BI722" s="2">
        <v>17.386036594472699</v>
      </c>
      <c r="BJ722" s="2">
        <v>19.100774762885099</v>
      </c>
      <c r="BK722" s="2">
        <v>15.168096601798601</v>
      </c>
      <c r="BL722" s="2">
        <v>19.060979184117301</v>
      </c>
      <c r="BM722" s="2">
        <v>18.139916965870398</v>
      </c>
      <c r="BN722" s="2">
        <v>18.510976865397499</v>
      </c>
      <c r="BO722" s="2">
        <v>18.4925854898359</v>
      </c>
      <c r="BP722" s="2">
        <v>19.512859918697501</v>
      </c>
      <c r="BQ722" s="2">
        <v>18.649302110195201</v>
      </c>
      <c r="BR722" s="2">
        <v>18.272360967595102</v>
      </c>
      <c r="BS722" s="2">
        <v>18.387694552216001</v>
      </c>
      <c r="BT722" s="2">
        <v>17.4622497501095</v>
      </c>
      <c r="BU722" s="2">
        <v>18.3655030798285</v>
      </c>
      <c r="BV722" s="2">
        <v>18.923168770716401</v>
      </c>
      <c r="BW722" s="2">
        <v>17.914689243388199</v>
      </c>
      <c r="BX722" s="2">
        <v>17.545797224437099</v>
      </c>
      <c r="BY722" s="2">
        <v>18.949859389610701</v>
      </c>
      <c r="BZ722" s="2">
        <v>17.716989956935699</v>
      </c>
      <c r="CA722" s="2">
        <v>18.305908863277899</v>
      </c>
      <c r="CB722" s="2">
        <v>17.1396761479559</v>
      </c>
      <c r="CC722" s="2">
        <v>16.853705511103399</v>
      </c>
      <c r="CD722" s="2">
        <v>18.755297259006301</v>
      </c>
      <c r="CE722" s="2">
        <v>17.0366944559525</v>
      </c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</row>
    <row r="723" spans="1:97">
      <c r="A723" s="2" t="s">
        <v>6961</v>
      </c>
      <c r="B723" s="2">
        <v>300.2165</v>
      </c>
      <c r="C723" s="2">
        <v>5.8650000000000002</v>
      </c>
      <c r="D723" s="2" t="s">
        <v>84</v>
      </c>
      <c r="E723" s="2" t="s">
        <v>6962</v>
      </c>
      <c r="F723" s="2" t="s">
        <v>6963</v>
      </c>
      <c r="G723" s="2">
        <v>198269</v>
      </c>
      <c r="H723" s="3" t="str">
        <f>HYPERLINK("https://cloud.oebiotech.com/#/lm/network/198269", "https://cloud.oebiotech.com/#/lm/network/198269")</f>
        <v>https://cloud.oebiotech.com/#/lm/network/198269</v>
      </c>
      <c r="I723" s="2" t="s">
        <v>6964</v>
      </c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 t="s">
        <v>6965</v>
      </c>
      <c r="U723" s="2" t="s">
        <v>6966</v>
      </c>
      <c r="V723" s="2" t="s">
        <v>95</v>
      </c>
      <c r="W723" s="2" t="s">
        <v>96</v>
      </c>
      <c r="X723" s="2" t="s">
        <v>97</v>
      </c>
      <c r="Y723" s="2" t="s">
        <v>98</v>
      </c>
      <c r="Z723" s="2" t="s">
        <v>99</v>
      </c>
      <c r="AA723" s="2" t="s">
        <v>100</v>
      </c>
      <c r="AB723" s="2" t="s">
        <v>3086</v>
      </c>
      <c r="AC723" s="2">
        <v>54.63</v>
      </c>
      <c r="AD723" s="2">
        <v>89.49</v>
      </c>
      <c r="AE723" s="2">
        <v>0</v>
      </c>
      <c r="AF723" s="2" t="s">
        <v>5614</v>
      </c>
      <c r="AG723" s="2" t="s">
        <v>103</v>
      </c>
      <c r="AH723" s="2" t="s">
        <v>6967</v>
      </c>
      <c r="AI723" s="2">
        <v>1.33</v>
      </c>
      <c r="AJ723" s="2">
        <v>19.521786821797601</v>
      </c>
      <c r="AK723" s="2">
        <v>19.591609196091401</v>
      </c>
      <c r="AL723" s="2">
        <v>19.2703783511461</v>
      </c>
      <c r="AM723" s="2">
        <v>19.593596412822901</v>
      </c>
      <c r="AN723" s="2">
        <v>19.6153208890901</v>
      </c>
      <c r="AO723" s="2">
        <v>19.505939413489099</v>
      </c>
      <c r="AP723" s="2">
        <v>19.4235859670802</v>
      </c>
      <c r="AQ723" s="2">
        <v>19.4220323574181</v>
      </c>
      <c r="AR723" s="2">
        <v>17.9288216035864</v>
      </c>
      <c r="AS723" s="2">
        <v>18.334467700088599</v>
      </c>
      <c r="AT723" s="2">
        <v>17.623733558760701</v>
      </c>
      <c r="AU723" s="2">
        <v>19.513247590423699</v>
      </c>
      <c r="AV723" s="2">
        <v>18.133020815120201</v>
      </c>
      <c r="AW723" s="2">
        <v>18.7726549209228</v>
      </c>
      <c r="AX723" s="2">
        <v>18.189586380283998</v>
      </c>
      <c r="AY723" s="2">
        <v>20.458952719448799</v>
      </c>
      <c r="AZ723" s="2">
        <v>18.1335529502587</v>
      </c>
      <c r="BA723" s="2">
        <v>20.103384723421801</v>
      </c>
      <c r="BB723" s="2">
        <v>19.124169359455799</v>
      </c>
      <c r="BC723" s="2">
        <v>19.299939244008598</v>
      </c>
      <c r="BD723" s="2">
        <v>18.271814248125501</v>
      </c>
      <c r="BE723" s="2">
        <v>19.782452079881399</v>
      </c>
      <c r="BF723" s="2">
        <v>19.0210870858837</v>
      </c>
      <c r="BG723" s="2">
        <v>19.0747468412623</v>
      </c>
      <c r="BH723" s="2">
        <v>18.783233078075799</v>
      </c>
      <c r="BI723" s="2">
        <v>18.7691233490964</v>
      </c>
      <c r="BJ723" s="2">
        <v>19.644271362741499</v>
      </c>
      <c r="BK723" s="2">
        <v>17.336943562989799</v>
      </c>
      <c r="BL723" s="2">
        <v>18.288644870637398</v>
      </c>
      <c r="BM723" s="2">
        <v>18.955288206611598</v>
      </c>
      <c r="BN723" s="2">
        <v>18.882811120373301</v>
      </c>
      <c r="BO723" s="2">
        <v>18.945651010013101</v>
      </c>
      <c r="BP723" s="2">
        <v>17.755510471741999</v>
      </c>
      <c r="BQ723" s="2">
        <v>19.008159213231401</v>
      </c>
      <c r="BR723" s="2">
        <v>18.956077928459699</v>
      </c>
      <c r="BS723" s="2">
        <v>20.760537666425702</v>
      </c>
      <c r="BT723" s="2">
        <v>19.908234512400099</v>
      </c>
      <c r="BU723" s="2">
        <v>20.419124211647699</v>
      </c>
      <c r="BV723" s="2">
        <v>19.928461353811699</v>
      </c>
      <c r="BW723" s="2">
        <v>17.7281885159545</v>
      </c>
      <c r="BX723" s="2">
        <v>18.436364708140498</v>
      </c>
      <c r="BY723" s="2">
        <v>20.1948735392629</v>
      </c>
      <c r="BZ723" s="2">
        <v>19.413308085649799</v>
      </c>
      <c r="CA723" s="2">
        <v>18.649576307332602</v>
      </c>
      <c r="CB723" s="2">
        <v>18.934588919199498</v>
      </c>
      <c r="CC723" s="2">
        <v>19.218163396514299</v>
      </c>
      <c r="CD723" s="2">
        <v>18.9369258684724</v>
      </c>
      <c r="CE723" s="2">
        <v>19.205952738893401</v>
      </c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</row>
    <row r="724" spans="1:97">
      <c r="A724" s="2" t="s">
        <v>6968</v>
      </c>
      <c r="B724" s="2">
        <v>241.03058999999999</v>
      </c>
      <c r="C724" s="2">
        <v>0.73299999999999998</v>
      </c>
      <c r="D724" s="2" t="s">
        <v>84</v>
      </c>
      <c r="E724" s="2" t="s">
        <v>6969</v>
      </c>
      <c r="F724" s="2" t="s">
        <v>6970</v>
      </c>
      <c r="G724" s="2">
        <v>46921</v>
      </c>
      <c r="H724" s="3" t="str">
        <f>HYPERLINK("https://cloud.oebiotech.com/#/lm/network/46921", "https://cloud.oebiotech.com/#/lm/network/46921")</f>
        <v>https://cloud.oebiotech.com/#/lm/network/46921</v>
      </c>
      <c r="I724" s="2" t="s">
        <v>6971</v>
      </c>
      <c r="J724" s="2">
        <v>17</v>
      </c>
      <c r="K724" s="2"/>
      <c r="L724" s="2">
        <v>67678</v>
      </c>
      <c r="M724" s="2" t="s">
        <v>6972</v>
      </c>
      <c r="N724" s="2" t="s">
        <v>6973</v>
      </c>
      <c r="O724" s="2" t="s">
        <v>6974</v>
      </c>
      <c r="P724" s="2">
        <v>16283</v>
      </c>
      <c r="Q724" s="2" t="s">
        <v>6975</v>
      </c>
      <c r="R724" s="2" t="s">
        <v>6976</v>
      </c>
      <c r="S724" s="2" t="s">
        <v>6977</v>
      </c>
      <c r="T724" s="2" t="s">
        <v>6978</v>
      </c>
      <c r="U724" s="2" t="s">
        <v>6979</v>
      </c>
      <c r="V724" s="2" t="s">
        <v>115</v>
      </c>
      <c r="W724" s="2" t="s">
        <v>116</v>
      </c>
      <c r="X724" s="2" t="s">
        <v>117</v>
      </c>
      <c r="Y724" s="2" t="s">
        <v>118</v>
      </c>
      <c r="Z724" s="2" t="s">
        <v>119</v>
      </c>
      <c r="AA724" s="2" t="s">
        <v>120</v>
      </c>
      <c r="AB724" s="2" t="s">
        <v>3086</v>
      </c>
      <c r="AC724" s="2">
        <v>54.62</v>
      </c>
      <c r="AD724" s="2">
        <v>89.53</v>
      </c>
      <c r="AE724" s="2">
        <v>0</v>
      </c>
      <c r="AF724" s="2" t="s">
        <v>5614</v>
      </c>
      <c r="AG724" s="2" t="s">
        <v>103</v>
      </c>
      <c r="AH724" s="2" t="s">
        <v>6980</v>
      </c>
      <c r="AI724" s="2">
        <v>2.0699999999999998</v>
      </c>
      <c r="AJ724" s="2">
        <v>20.089991651459499</v>
      </c>
      <c r="AK724" s="2">
        <v>20.313190417634399</v>
      </c>
      <c r="AL724" s="2">
        <v>20.168006472936899</v>
      </c>
      <c r="AM724" s="2">
        <v>20.683265579452801</v>
      </c>
      <c r="AN724" s="2">
        <v>19.7849076508564</v>
      </c>
      <c r="AO724" s="2">
        <v>19.8740547741046</v>
      </c>
      <c r="AP724" s="2">
        <v>20.136910418178601</v>
      </c>
      <c r="AQ724" s="2">
        <v>19.7514299384125</v>
      </c>
      <c r="AR724" s="2">
        <v>20.825763566943198</v>
      </c>
      <c r="AS724" s="2">
        <v>20.212181599637599</v>
      </c>
      <c r="AT724" s="2">
        <v>19.896421280477998</v>
      </c>
      <c r="AU724" s="2">
        <v>18.5485621165952</v>
      </c>
      <c r="AV724" s="2">
        <v>18.6839386712014</v>
      </c>
      <c r="AW724" s="2">
        <v>20.232005065565001</v>
      </c>
      <c r="AX724" s="2">
        <v>19.841432190861099</v>
      </c>
      <c r="AY724" s="2">
        <v>18.672745309142499</v>
      </c>
      <c r="AZ724" s="2">
        <v>20.3748230647609</v>
      </c>
      <c r="BA724" s="2">
        <v>20.17340479996</v>
      </c>
      <c r="BB724" s="2">
        <v>19.286730246265801</v>
      </c>
      <c r="BC724" s="2">
        <v>16.740857615067</v>
      </c>
      <c r="BD724" s="2">
        <v>16.832271827505501</v>
      </c>
      <c r="BE724" s="2">
        <v>16.858690969742302</v>
      </c>
      <c r="BF724" s="2">
        <v>20.0724345823904</v>
      </c>
      <c r="BG724" s="2">
        <v>17.751880843879501</v>
      </c>
      <c r="BH724" s="2">
        <v>18.054869033639498</v>
      </c>
      <c r="BI724" s="2">
        <v>20.402340556977901</v>
      </c>
      <c r="BJ724" s="2">
        <v>20.086051352627301</v>
      </c>
      <c r="BK724" s="2">
        <v>20.690285799787599</v>
      </c>
      <c r="BL724" s="2">
        <v>19.603886656793801</v>
      </c>
      <c r="BM724" s="2">
        <v>16.556906099203101</v>
      </c>
      <c r="BN724" s="2">
        <v>17.630420787189301</v>
      </c>
      <c r="BO724" s="2">
        <v>19.9928303086269</v>
      </c>
      <c r="BP724" s="2">
        <v>20.5299556626622</v>
      </c>
      <c r="BQ724" s="2">
        <v>20.585507110538799</v>
      </c>
      <c r="BR724" s="2">
        <v>20.153153308811099</v>
      </c>
      <c r="BS724" s="2">
        <v>19.587984338910701</v>
      </c>
      <c r="BT724" s="2">
        <v>20.4055671299419</v>
      </c>
      <c r="BU724" s="2">
        <v>20.241247283729901</v>
      </c>
      <c r="BV724" s="2">
        <v>19.1287556465258</v>
      </c>
      <c r="BW724" s="2">
        <v>20.050014601876601</v>
      </c>
      <c r="BX724" s="2">
        <v>19.107929796296901</v>
      </c>
      <c r="BY724" s="2">
        <v>19.097913042956701</v>
      </c>
      <c r="BZ724" s="2">
        <v>19.9430368281838</v>
      </c>
      <c r="CA724" s="2">
        <v>17.308649039730401</v>
      </c>
      <c r="CB724" s="2">
        <v>20.309551714285501</v>
      </c>
      <c r="CC724" s="2">
        <v>19.993609963444801</v>
      </c>
      <c r="CD724" s="2">
        <v>20.344994598300499</v>
      </c>
      <c r="CE724" s="2">
        <v>20.439644755535099</v>
      </c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</row>
    <row r="725" spans="1:97">
      <c r="A725" s="2" t="s">
        <v>6981</v>
      </c>
      <c r="B725" s="2">
        <v>397.22237000000001</v>
      </c>
      <c r="C725" s="2">
        <v>9.64</v>
      </c>
      <c r="D725" s="2" t="s">
        <v>146</v>
      </c>
      <c r="E725" s="2" t="s">
        <v>6982</v>
      </c>
      <c r="F725" s="2" t="s">
        <v>6983</v>
      </c>
      <c r="G725" s="2">
        <v>3909</v>
      </c>
      <c r="H725" s="3" t="str">
        <f>HYPERLINK("https://cloud.oebiotech.com/#/lm/network/3909", "https://cloud.oebiotech.com/#/lm/network/3909")</f>
        <v>https://cloud.oebiotech.com/#/lm/network/3909</v>
      </c>
      <c r="I725" s="2" t="s">
        <v>6984</v>
      </c>
      <c r="J725" s="2">
        <v>63351</v>
      </c>
      <c r="K725" s="2" t="s">
        <v>6985</v>
      </c>
      <c r="L725" s="2">
        <v>5280497</v>
      </c>
      <c r="M725" s="2" t="s">
        <v>6986</v>
      </c>
      <c r="N725" s="2" t="s">
        <v>6987</v>
      </c>
      <c r="O725" s="2" t="s">
        <v>6988</v>
      </c>
      <c r="P725" s="2">
        <v>15627</v>
      </c>
      <c r="Q725" s="2" t="s">
        <v>6989</v>
      </c>
      <c r="R725" s="2" t="s">
        <v>6990</v>
      </c>
      <c r="S725" s="2" t="s">
        <v>6991</v>
      </c>
      <c r="T725" s="2" t="s">
        <v>6992</v>
      </c>
      <c r="U725" s="2" t="s">
        <v>6993</v>
      </c>
      <c r="V725" s="2" t="s">
        <v>95</v>
      </c>
      <c r="W725" s="2" t="s">
        <v>96</v>
      </c>
      <c r="X725" s="2" t="s">
        <v>3216</v>
      </c>
      <c r="Y725" s="2" t="s">
        <v>98</v>
      </c>
      <c r="Z725" s="2" t="s">
        <v>99</v>
      </c>
      <c r="AA725" s="2" t="s">
        <v>3217</v>
      </c>
      <c r="AB725" s="2" t="s">
        <v>3086</v>
      </c>
      <c r="AC725" s="2">
        <v>54.62</v>
      </c>
      <c r="AD725" s="2">
        <v>94.82</v>
      </c>
      <c r="AE725" s="2">
        <v>0</v>
      </c>
      <c r="AF725" s="2" t="s">
        <v>5614</v>
      </c>
      <c r="AG725" s="2" t="s">
        <v>157</v>
      </c>
      <c r="AH725" s="2" t="s">
        <v>4338</v>
      </c>
      <c r="AI725" s="2">
        <v>2.0099999999999998</v>
      </c>
      <c r="AJ725" s="2">
        <v>19.6520549953329</v>
      </c>
      <c r="AK725" s="2">
        <v>19.366641248019601</v>
      </c>
      <c r="AL725" s="2">
        <v>19.425071298663301</v>
      </c>
      <c r="AM725" s="2">
        <v>19.5280085224144</v>
      </c>
      <c r="AN725" s="2">
        <v>19.632956514477101</v>
      </c>
      <c r="AO725" s="2">
        <v>19.658397711663799</v>
      </c>
      <c r="AP725" s="2">
        <v>19.2775394328721</v>
      </c>
      <c r="AQ725" s="2">
        <v>19.642924759133201</v>
      </c>
      <c r="AR725" s="2">
        <v>17.610333595012499</v>
      </c>
      <c r="AS725" s="2">
        <v>17.850437392321599</v>
      </c>
      <c r="AT725" s="2">
        <v>18.432429552466299</v>
      </c>
      <c r="AU725" s="2">
        <v>17.7776365540096</v>
      </c>
      <c r="AV725" s="2">
        <v>19.996019085531099</v>
      </c>
      <c r="AW725" s="2">
        <v>17.968709255876298</v>
      </c>
      <c r="AX725" s="2">
        <v>18.9479346342934</v>
      </c>
      <c r="AY725" s="2">
        <v>18.096304912109499</v>
      </c>
      <c r="AZ725" s="2">
        <v>18.9206786207492</v>
      </c>
      <c r="BA725" s="2">
        <v>19.468222838596699</v>
      </c>
      <c r="BB725" s="2">
        <v>18.8880473787986</v>
      </c>
      <c r="BC725" s="2">
        <v>20.044567390750299</v>
      </c>
      <c r="BD725" s="2">
        <v>17.461814582355</v>
      </c>
      <c r="BE725" s="2">
        <v>19.334824051885001</v>
      </c>
      <c r="BF725" s="2">
        <v>18.782593078513301</v>
      </c>
      <c r="BG725" s="2">
        <v>19.191645739722901</v>
      </c>
      <c r="BH725" s="2">
        <v>20.315946742570201</v>
      </c>
      <c r="BI725" s="2">
        <v>19.7812178257387</v>
      </c>
      <c r="BJ725" s="2">
        <v>18.695518264286399</v>
      </c>
      <c r="BK725" s="2">
        <v>19.4336932578431</v>
      </c>
      <c r="BL725" s="2">
        <v>18.748100548491699</v>
      </c>
      <c r="BM725" s="2">
        <v>18.774859206702398</v>
      </c>
      <c r="BN725" s="2">
        <v>19.3363503430731</v>
      </c>
      <c r="BO725" s="2">
        <v>18.224946587779598</v>
      </c>
      <c r="BP725" s="2">
        <v>19.072822235209198</v>
      </c>
      <c r="BQ725" s="2">
        <v>18.376902026426698</v>
      </c>
      <c r="BR725" s="2">
        <v>19.0027255364745</v>
      </c>
      <c r="BS725" s="2">
        <v>20.740490824481402</v>
      </c>
      <c r="BT725" s="2">
        <v>18.407627969746901</v>
      </c>
      <c r="BU725" s="2">
        <v>19.119151122732902</v>
      </c>
      <c r="BV725" s="2">
        <v>20.839769075782002</v>
      </c>
      <c r="BW725" s="2">
        <v>18.702425788326298</v>
      </c>
      <c r="BX725" s="2">
        <v>18.069361966961399</v>
      </c>
      <c r="BY725" s="2">
        <v>21.658984247111899</v>
      </c>
      <c r="BZ725" s="2">
        <v>18.5711817945696</v>
      </c>
      <c r="CA725" s="2">
        <v>18.801500666096601</v>
      </c>
      <c r="CB725" s="2">
        <v>20.304430348357201</v>
      </c>
      <c r="CC725" s="2">
        <v>19.982503612695499</v>
      </c>
      <c r="CD725" s="2">
        <v>19.8253278452129</v>
      </c>
      <c r="CE725" s="2">
        <v>20.490329868426901</v>
      </c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</row>
    <row r="726" spans="1:97">
      <c r="A726" s="2" t="s">
        <v>6994</v>
      </c>
      <c r="B726" s="2">
        <v>176.03836000000001</v>
      </c>
      <c r="C726" s="2">
        <v>3.5720000000000001</v>
      </c>
      <c r="D726" s="2" t="s">
        <v>146</v>
      </c>
      <c r="E726" s="2" t="s">
        <v>6995</v>
      </c>
      <c r="F726" s="2" t="s">
        <v>6996</v>
      </c>
      <c r="G726" s="2">
        <v>209162</v>
      </c>
      <c r="H726" s="3" t="str">
        <f>HYPERLINK("https://cloud.oebiotech.com/#/lm/network/209162", "https://cloud.oebiotech.com/#/lm/network/209162")</f>
        <v>https://cloud.oebiotech.com/#/lm/network/209162</v>
      </c>
      <c r="I726" s="2" t="s">
        <v>6997</v>
      </c>
      <c r="J726" s="2">
        <v>4233</v>
      </c>
      <c r="K726" s="2"/>
      <c r="L726" s="2">
        <v>911</v>
      </c>
      <c r="M726" s="2" t="s">
        <v>6998</v>
      </c>
      <c r="N726" s="2" t="s">
        <v>1585</v>
      </c>
      <c r="O726" s="2" t="s">
        <v>1586</v>
      </c>
      <c r="P726" s="2"/>
      <c r="Q726" s="2"/>
      <c r="R726" s="2"/>
      <c r="S726" s="2" t="s">
        <v>6999</v>
      </c>
      <c r="T726" s="2" t="s">
        <v>7000</v>
      </c>
      <c r="U726" s="2" t="s">
        <v>7001</v>
      </c>
      <c r="V726" s="2" t="s">
        <v>115</v>
      </c>
      <c r="W726" s="2" t="s">
        <v>116</v>
      </c>
      <c r="X726" s="2" t="s">
        <v>117</v>
      </c>
      <c r="Y726" s="2" t="s">
        <v>118</v>
      </c>
      <c r="Z726" s="2" t="s">
        <v>119</v>
      </c>
      <c r="AA726" s="2" t="s">
        <v>120</v>
      </c>
      <c r="AB726" s="2" t="s">
        <v>3086</v>
      </c>
      <c r="AC726" s="2">
        <v>54.61</v>
      </c>
      <c r="AD726" s="2">
        <v>93.42</v>
      </c>
      <c r="AE726" s="2">
        <v>0</v>
      </c>
      <c r="AF726" s="2" t="s">
        <v>5614</v>
      </c>
      <c r="AG726" s="2" t="s">
        <v>194</v>
      </c>
      <c r="AH726" s="2" t="s">
        <v>7002</v>
      </c>
      <c r="AI726" s="2">
        <v>1.7</v>
      </c>
      <c r="AJ726" s="2">
        <v>19.640346485136401</v>
      </c>
      <c r="AK726" s="2">
        <v>18.676480394455702</v>
      </c>
      <c r="AL726" s="2">
        <v>19.386808568308599</v>
      </c>
      <c r="AM726" s="2">
        <v>18.637428768822399</v>
      </c>
      <c r="AN726" s="2">
        <v>19.338032618604601</v>
      </c>
      <c r="AO726" s="2">
        <v>18.394591100209801</v>
      </c>
      <c r="AP726" s="2">
        <v>19.3653056681195</v>
      </c>
      <c r="AQ726" s="2">
        <v>19.479148062446502</v>
      </c>
      <c r="AR726" s="2">
        <v>18.8660012506298</v>
      </c>
      <c r="AS726" s="2">
        <v>18.816944011575899</v>
      </c>
      <c r="AT726" s="2">
        <v>18.2086259338639</v>
      </c>
      <c r="AU726" s="2">
        <v>18.072385382414101</v>
      </c>
      <c r="AV726" s="2">
        <v>18.94099503388</v>
      </c>
      <c r="AW726" s="2">
        <v>19.428410617563799</v>
      </c>
      <c r="AX726" s="2">
        <v>18.256228779066099</v>
      </c>
      <c r="AY726" s="2">
        <v>19.005664265959201</v>
      </c>
      <c r="AZ726" s="2">
        <v>19.205528508013799</v>
      </c>
      <c r="BA726" s="2">
        <v>18.9301615731849</v>
      </c>
      <c r="BB726" s="2">
        <v>18.970384353189001</v>
      </c>
      <c r="BC726" s="2">
        <v>18.9514770216411</v>
      </c>
      <c r="BD726" s="2">
        <v>18.362937827728299</v>
      </c>
      <c r="BE726" s="2">
        <v>19.2753692060307</v>
      </c>
      <c r="BF726" s="2">
        <v>19.6759721378676</v>
      </c>
      <c r="BG726" s="2">
        <v>19.410454208601799</v>
      </c>
      <c r="BH726" s="2">
        <v>19.015540063116699</v>
      </c>
      <c r="BI726" s="2">
        <v>19.500949957847599</v>
      </c>
      <c r="BJ726" s="2">
        <v>18.802402009236001</v>
      </c>
      <c r="BK726" s="2">
        <v>18.825166314320398</v>
      </c>
      <c r="BL726" s="2">
        <v>18.801589171268802</v>
      </c>
      <c r="BM726" s="2">
        <v>19.2128571278419</v>
      </c>
      <c r="BN726" s="2">
        <v>19.383193334684702</v>
      </c>
      <c r="BO726" s="2">
        <v>18.9637493546294</v>
      </c>
      <c r="BP726" s="2">
        <v>19.271057153563699</v>
      </c>
      <c r="BQ726" s="2">
        <v>19.377465335422599</v>
      </c>
      <c r="BR726" s="2">
        <v>18.9140569786585</v>
      </c>
      <c r="BS726" s="2">
        <v>19.324928730412001</v>
      </c>
      <c r="BT726" s="2">
        <v>18.6639286047327</v>
      </c>
      <c r="BU726" s="2">
        <v>18.752064336275598</v>
      </c>
      <c r="BV726" s="2">
        <v>19.060156735745799</v>
      </c>
      <c r="BW726" s="2">
        <v>17.7535120780556</v>
      </c>
      <c r="BX726" s="2">
        <v>18.651388066318098</v>
      </c>
      <c r="BY726" s="2">
        <v>19.261275533820701</v>
      </c>
      <c r="BZ726" s="2">
        <v>19.335134508721602</v>
      </c>
      <c r="CA726" s="2">
        <v>19.194391436512099</v>
      </c>
      <c r="CB726" s="2">
        <v>18.461237618924301</v>
      </c>
      <c r="CC726" s="2">
        <v>18.432617215493998</v>
      </c>
      <c r="CD726" s="2">
        <v>19.5044319537839</v>
      </c>
      <c r="CE726" s="2">
        <v>18.832122432832001</v>
      </c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</row>
    <row r="727" spans="1:97">
      <c r="A727" s="2" t="s">
        <v>7003</v>
      </c>
      <c r="B727" s="2">
        <v>263.16480000000001</v>
      </c>
      <c r="C727" s="2">
        <v>10.032999999999999</v>
      </c>
      <c r="D727" s="2" t="s">
        <v>146</v>
      </c>
      <c r="E727" s="2" t="s">
        <v>7004</v>
      </c>
      <c r="F727" s="2" t="s">
        <v>7005</v>
      </c>
      <c r="G727" s="2">
        <v>63826</v>
      </c>
      <c r="H727" s="3" t="str">
        <f>HYPERLINK("https://cloud.oebiotech.com/#/lm/network/63826", "https://cloud.oebiotech.com/#/lm/network/63826")</f>
        <v>https://cloud.oebiotech.com/#/lm/network/63826</v>
      </c>
      <c r="I727" s="2" t="s">
        <v>7006</v>
      </c>
      <c r="J727" s="2"/>
      <c r="K727" s="2"/>
      <c r="L727" s="2">
        <v>131752906</v>
      </c>
      <c r="M727" s="2"/>
      <c r="N727" s="2"/>
      <c r="O727" s="2"/>
      <c r="P727" s="2"/>
      <c r="Q727" s="2"/>
      <c r="R727" s="2"/>
      <c r="S727" s="2"/>
      <c r="T727" s="2" t="s">
        <v>7007</v>
      </c>
      <c r="U727" s="2" t="s">
        <v>7008</v>
      </c>
      <c r="V727" s="2" t="s">
        <v>95</v>
      </c>
      <c r="W727" s="2" t="s">
        <v>180</v>
      </c>
      <c r="X727" s="2" t="s">
        <v>181</v>
      </c>
      <c r="Y727" s="2" t="s">
        <v>98</v>
      </c>
      <c r="Z727" s="2" t="s">
        <v>182</v>
      </c>
      <c r="AA727" s="2" t="s">
        <v>183</v>
      </c>
      <c r="AB727" s="2" t="s">
        <v>3086</v>
      </c>
      <c r="AC727" s="2">
        <v>54.61</v>
      </c>
      <c r="AD727" s="2">
        <v>90.24</v>
      </c>
      <c r="AE727" s="2">
        <v>0</v>
      </c>
      <c r="AF727" s="2" t="s">
        <v>5614</v>
      </c>
      <c r="AG727" s="2" t="s">
        <v>157</v>
      </c>
      <c r="AH727" s="2" t="s">
        <v>7009</v>
      </c>
      <c r="AI727" s="2">
        <v>1.9</v>
      </c>
      <c r="AJ727" s="2">
        <v>18.2379839727815</v>
      </c>
      <c r="AK727" s="2">
        <v>18.302346899840298</v>
      </c>
      <c r="AL727" s="2">
        <v>18.085860125159801</v>
      </c>
      <c r="AM727" s="2">
        <v>18.243034157958</v>
      </c>
      <c r="AN727" s="2">
        <v>18.789811764874301</v>
      </c>
      <c r="AO727" s="2">
        <v>18.833457564503298</v>
      </c>
      <c r="AP727" s="2">
        <v>18.702537933613399</v>
      </c>
      <c r="AQ727" s="2">
        <v>18.683212172677401</v>
      </c>
      <c r="AR727" s="2">
        <v>18.435732921758799</v>
      </c>
      <c r="AS727" s="2">
        <v>18.724827037213</v>
      </c>
      <c r="AT727" s="2">
        <v>17.907570044982101</v>
      </c>
      <c r="AU727" s="2">
        <v>18.4023520914062</v>
      </c>
      <c r="AV727" s="2">
        <v>18.2922410074524</v>
      </c>
      <c r="AW727" s="2">
        <v>18.565900763011399</v>
      </c>
      <c r="AX727" s="2">
        <v>18.3632128363761</v>
      </c>
      <c r="AY727" s="2">
        <v>18.1131047223605</v>
      </c>
      <c r="AZ727" s="2">
        <v>18.5197372127801</v>
      </c>
      <c r="BA727" s="2">
        <v>18.3438719239021</v>
      </c>
      <c r="BB727" s="2">
        <v>18.258710756178001</v>
      </c>
      <c r="BC727" s="2">
        <v>17.844179256759599</v>
      </c>
      <c r="BD727" s="2">
        <v>18.100778535002199</v>
      </c>
      <c r="BE727" s="2">
        <v>17.671680237833399</v>
      </c>
      <c r="BF727" s="2">
        <v>18.432342277988301</v>
      </c>
      <c r="BG727" s="2">
        <v>18.330375013156502</v>
      </c>
      <c r="BH727" s="2">
        <v>18.632886599137802</v>
      </c>
      <c r="BI727" s="2">
        <v>18.290762256915301</v>
      </c>
      <c r="BJ727" s="2">
        <v>18.118015728515498</v>
      </c>
      <c r="BK727" s="2">
        <v>18.557695087448899</v>
      </c>
      <c r="BL727" s="2">
        <v>18.7881537774939</v>
      </c>
      <c r="BM727" s="2">
        <v>18.595148446082401</v>
      </c>
      <c r="BN727" s="2">
        <v>18.514093666059299</v>
      </c>
      <c r="BO727" s="2">
        <v>18.516565001833701</v>
      </c>
      <c r="BP727" s="2">
        <v>18.096057268970899</v>
      </c>
      <c r="BQ727" s="2">
        <v>18.670144431700201</v>
      </c>
      <c r="BR727" s="2">
        <v>19.005579102443999</v>
      </c>
      <c r="BS727" s="2">
        <v>18.799295125219899</v>
      </c>
      <c r="BT727" s="2">
        <v>18.7137777601518</v>
      </c>
      <c r="BU727" s="2">
        <v>18.731037426068902</v>
      </c>
      <c r="BV727" s="2">
        <v>18.5646951842579</v>
      </c>
      <c r="BW727" s="2">
        <v>18.161844195283699</v>
      </c>
      <c r="BX727" s="2">
        <v>18.672889956448898</v>
      </c>
      <c r="BY727" s="2">
        <v>18.827419155567199</v>
      </c>
      <c r="BZ727" s="2">
        <v>18.765069338855</v>
      </c>
      <c r="CA727" s="2">
        <v>18.1007359890557</v>
      </c>
      <c r="CB727" s="2">
        <v>18.696466488374401</v>
      </c>
      <c r="CC727" s="2">
        <v>18.559180636630298</v>
      </c>
      <c r="CD727" s="2">
        <v>18.4793652353484</v>
      </c>
      <c r="CE727" s="2">
        <v>18.520744505771798</v>
      </c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</row>
    <row r="728" spans="1:97">
      <c r="A728" s="2" t="s">
        <v>7010</v>
      </c>
      <c r="B728" s="2">
        <v>283.15352999999999</v>
      </c>
      <c r="C728" s="2">
        <v>10.406000000000001</v>
      </c>
      <c r="D728" s="2" t="s">
        <v>84</v>
      </c>
      <c r="E728" s="2" t="s">
        <v>7011</v>
      </c>
      <c r="F728" s="2" t="s">
        <v>7012</v>
      </c>
      <c r="G728" s="2">
        <v>198721</v>
      </c>
      <c r="H728" s="3" t="str">
        <f>HYPERLINK("https://cloud.oebiotech.com/#/lm/network/198721", "https://cloud.oebiotech.com/#/lm/network/198721")</f>
        <v>https://cloud.oebiotech.com/#/lm/network/198721</v>
      </c>
      <c r="I728" s="2" t="s">
        <v>7013</v>
      </c>
      <c r="J728" s="2"/>
      <c r="K728" s="2"/>
      <c r="L728" s="2">
        <v>2240</v>
      </c>
      <c r="M728" s="2"/>
      <c r="N728" s="2"/>
      <c r="O728" s="2"/>
      <c r="P728" s="2"/>
      <c r="Q728" s="2"/>
      <c r="R728" s="2"/>
      <c r="S728" s="2"/>
      <c r="T728" s="2" t="s">
        <v>7014</v>
      </c>
      <c r="U728" s="2" t="s">
        <v>7015</v>
      </c>
      <c r="V728" s="2" t="s">
        <v>95</v>
      </c>
      <c r="W728" s="2" t="s">
        <v>180</v>
      </c>
      <c r="X728" s="2" t="s">
        <v>2949</v>
      </c>
      <c r="Y728" s="2" t="s">
        <v>98</v>
      </c>
      <c r="Z728" s="2" t="s">
        <v>182</v>
      </c>
      <c r="AA728" s="2" t="s">
        <v>2950</v>
      </c>
      <c r="AB728" s="2" t="s">
        <v>3086</v>
      </c>
      <c r="AC728" s="2">
        <v>54.6</v>
      </c>
      <c r="AD728" s="2">
        <v>90.51</v>
      </c>
      <c r="AE728" s="2">
        <v>0</v>
      </c>
      <c r="AF728" s="2" t="s">
        <v>5614</v>
      </c>
      <c r="AG728" s="2" t="s">
        <v>103</v>
      </c>
      <c r="AH728" s="2" t="s">
        <v>7016</v>
      </c>
      <c r="AI728" s="2">
        <v>1.77</v>
      </c>
      <c r="AJ728" s="2">
        <v>19.0607234758568</v>
      </c>
      <c r="AK728" s="2">
        <v>18.796447033530999</v>
      </c>
      <c r="AL728" s="2">
        <v>19.042337901911601</v>
      </c>
      <c r="AM728" s="2">
        <v>18.927744547761801</v>
      </c>
      <c r="AN728" s="2">
        <v>19.116349926761</v>
      </c>
      <c r="AO728" s="2">
        <v>18.8094384048267</v>
      </c>
      <c r="AP728" s="2">
        <v>18.9372602430306</v>
      </c>
      <c r="AQ728" s="2">
        <v>18.155794356267599</v>
      </c>
      <c r="AR728" s="2">
        <v>18.831459258941599</v>
      </c>
      <c r="AS728" s="2">
        <v>17.868379359453701</v>
      </c>
      <c r="AT728" s="2">
        <v>18.9074036895801</v>
      </c>
      <c r="AU728" s="2">
        <v>17.303492968729099</v>
      </c>
      <c r="AV728" s="2">
        <v>19.827460434501301</v>
      </c>
      <c r="AW728" s="2">
        <v>18.632437853650799</v>
      </c>
      <c r="AX728" s="2">
        <v>17.110577410625801</v>
      </c>
      <c r="AY728" s="2">
        <v>19.057637053290101</v>
      </c>
      <c r="AZ728" s="2">
        <v>16.750278190677101</v>
      </c>
      <c r="BA728" s="2">
        <v>19.170643181194599</v>
      </c>
      <c r="BB728" s="2">
        <v>18.289083775600599</v>
      </c>
      <c r="BC728" s="2">
        <v>19.018279845690898</v>
      </c>
      <c r="BD728" s="2">
        <v>9.6233145402724691</v>
      </c>
      <c r="BE728" s="2">
        <v>17.562224608091601</v>
      </c>
      <c r="BF728" s="2">
        <v>18.186630729036999</v>
      </c>
      <c r="BG728" s="2">
        <v>17.982182766477699</v>
      </c>
      <c r="BH728" s="2">
        <v>19.775318364337299</v>
      </c>
      <c r="BI728" s="2">
        <v>16.830638248722401</v>
      </c>
      <c r="BJ728" s="2">
        <v>18.7467663889237</v>
      </c>
      <c r="BK728" s="2">
        <v>18.970813950370701</v>
      </c>
      <c r="BL728" s="2">
        <v>17.245272573846599</v>
      </c>
      <c r="BM728" s="2">
        <v>19.1876615590262</v>
      </c>
      <c r="BN728" s="2">
        <v>20.128149453318901</v>
      </c>
      <c r="BO728" s="2">
        <v>18.880857829211401</v>
      </c>
      <c r="BP728" s="2">
        <v>9.6233145402724691</v>
      </c>
      <c r="BQ728" s="2">
        <v>18.836733362335998</v>
      </c>
      <c r="BR728" s="2">
        <v>16.6931677117452</v>
      </c>
      <c r="BS728" s="2">
        <v>19.887846621253399</v>
      </c>
      <c r="BT728" s="2">
        <v>18.8517546525364</v>
      </c>
      <c r="BU728" s="2">
        <v>18.639067350839301</v>
      </c>
      <c r="BV728" s="2">
        <v>18.248397048872199</v>
      </c>
      <c r="BW728" s="2">
        <v>16.160127474380602</v>
      </c>
      <c r="BX728" s="2">
        <v>16.3449877847642</v>
      </c>
      <c r="BY728" s="2">
        <v>19.6238806328988</v>
      </c>
      <c r="BZ728" s="2">
        <v>16.144437384938101</v>
      </c>
      <c r="CA728" s="2">
        <v>18.359849400916499</v>
      </c>
      <c r="CB728" s="2">
        <v>18.6940305337504</v>
      </c>
      <c r="CC728" s="2">
        <v>17.738394988982801</v>
      </c>
      <c r="CD728" s="2">
        <v>19.2546631135334</v>
      </c>
      <c r="CE728" s="2">
        <v>19.9438199938118</v>
      </c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</row>
    <row r="729" spans="1:97">
      <c r="A729" s="2" t="s">
        <v>7017</v>
      </c>
      <c r="B729" s="2">
        <v>251.12836999999999</v>
      </c>
      <c r="C729" s="2">
        <v>7.7670000000000003</v>
      </c>
      <c r="D729" s="2" t="s">
        <v>146</v>
      </c>
      <c r="E729" s="2" t="s">
        <v>7018</v>
      </c>
      <c r="F729" s="2" t="s">
        <v>7019</v>
      </c>
      <c r="G729" s="2">
        <v>54579</v>
      </c>
      <c r="H729" s="3" t="str">
        <f>HYPERLINK("https://cloud.oebiotech.com/#/lm/network/54579", "https://cloud.oebiotech.com/#/lm/network/54579")</f>
        <v>https://cloud.oebiotech.com/#/lm/network/54579</v>
      </c>
      <c r="I729" s="2" t="s">
        <v>7020</v>
      </c>
      <c r="J729" s="2"/>
      <c r="K729" s="2"/>
      <c r="L729" s="2">
        <v>85167039</v>
      </c>
      <c r="M729" s="2"/>
      <c r="N729" s="2"/>
      <c r="O729" s="2"/>
      <c r="P729" s="2"/>
      <c r="Q729" s="2"/>
      <c r="R729" s="2"/>
      <c r="S729" s="2" t="s">
        <v>7021</v>
      </c>
      <c r="T729" s="2" t="s">
        <v>7022</v>
      </c>
      <c r="U729" s="2" t="s">
        <v>7023</v>
      </c>
      <c r="V729" s="2" t="s">
        <v>338</v>
      </c>
      <c r="W729" s="2" t="s">
        <v>339</v>
      </c>
      <c r="X729" s="2" t="s">
        <v>340</v>
      </c>
      <c r="Y729" s="2" t="s">
        <v>341</v>
      </c>
      <c r="Z729" s="2" t="s">
        <v>341</v>
      </c>
      <c r="AA729" s="2" t="s">
        <v>342</v>
      </c>
      <c r="AB729" s="2" t="s">
        <v>3086</v>
      </c>
      <c r="AC729" s="2">
        <v>54.56</v>
      </c>
      <c r="AD729" s="2">
        <v>91.17</v>
      </c>
      <c r="AE729" s="2">
        <v>0</v>
      </c>
      <c r="AF729" s="2" t="s">
        <v>5614</v>
      </c>
      <c r="AG729" s="2" t="s">
        <v>157</v>
      </c>
      <c r="AH729" s="2" t="s">
        <v>7024</v>
      </c>
      <c r="AI729" s="2">
        <v>1.99</v>
      </c>
      <c r="AJ729" s="2">
        <v>19.859638636499401</v>
      </c>
      <c r="AK729" s="2">
        <v>18.9033831212469</v>
      </c>
      <c r="AL729" s="2">
        <v>19.537267435620901</v>
      </c>
      <c r="AM729" s="2">
        <v>19.4924624068932</v>
      </c>
      <c r="AN729" s="2">
        <v>19.4534627999351</v>
      </c>
      <c r="AO729" s="2">
        <v>19.4034039391723</v>
      </c>
      <c r="AP729" s="2">
        <v>19.311358630611402</v>
      </c>
      <c r="AQ729" s="2">
        <v>19.175001219016799</v>
      </c>
      <c r="AR729" s="2">
        <v>19.524995450937698</v>
      </c>
      <c r="AS729" s="2">
        <v>16.997839271267701</v>
      </c>
      <c r="AT729" s="2">
        <v>17.797998415076599</v>
      </c>
      <c r="AU729" s="2">
        <v>19.081279925804299</v>
      </c>
      <c r="AV729" s="2">
        <v>18.429621112658801</v>
      </c>
      <c r="AW729" s="2">
        <v>18.905013713214998</v>
      </c>
      <c r="AX729" s="2">
        <v>18.992105708068198</v>
      </c>
      <c r="AY729" s="2">
        <v>18.357500072641098</v>
      </c>
      <c r="AZ729" s="2">
        <v>18.296401212324099</v>
      </c>
      <c r="BA729" s="2">
        <v>18.314622982271899</v>
      </c>
      <c r="BB729" s="2">
        <v>19.688242248598598</v>
      </c>
      <c r="BC729" s="2">
        <v>19.038422527475198</v>
      </c>
      <c r="BD729" s="2">
        <v>18.464124839071701</v>
      </c>
      <c r="BE729" s="2">
        <v>19.160401491263201</v>
      </c>
      <c r="BF729" s="2">
        <v>17.908647633708799</v>
      </c>
      <c r="BG729" s="2">
        <v>19.739843192431799</v>
      </c>
      <c r="BH729" s="2">
        <v>18.5826729763345</v>
      </c>
      <c r="BI729" s="2">
        <v>19.437406565398799</v>
      </c>
      <c r="BJ729" s="2">
        <v>18.592462402689101</v>
      </c>
      <c r="BK729" s="2">
        <v>19.4255397355948</v>
      </c>
      <c r="BL729" s="2">
        <v>18.330842056671099</v>
      </c>
      <c r="BM729" s="2">
        <v>18.393454311376001</v>
      </c>
      <c r="BN729" s="2">
        <v>18.3876883685619</v>
      </c>
      <c r="BO729" s="2">
        <v>19.623637173852899</v>
      </c>
      <c r="BP729" s="2">
        <v>19.123502407265299</v>
      </c>
      <c r="BQ729" s="2">
        <v>18.675301564532099</v>
      </c>
      <c r="BR729" s="2">
        <v>19.276833875509801</v>
      </c>
      <c r="BS729" s="2">
        <v>18.3313582456631</v>
      </c>
      <c r="BT729" s="2">
        <v>18.409818509858098</v>
      </c>
      <c r="BU729" s="2">
        <v>18.4781052483259</v>
      </c>
      <c r="BV729" s="2">
        <v>19.175695365282301</v>
      </c>
      <c r="BW729" s="2">
        <v>18.9493291999372</v>
      </c>
      <c r="BX729" s="2">
        <v>18.100743482160201</v>
      </c>
      <c r="BY729" s="2">
        <v>19.564099238369899</v>
      </c>
      <c r="BZ729" s="2">
        <v>20.0045112126788</v>
      </c>
      <c r="CA729" s="2">
        <v>18.4918419035025</v>
      </c>
      <c r="CB729" s="2">
        <v>18.2583820509387</v>
      </c>
      <c r="CC729" s="2">
        <v>19.903062476237999</v>
      </c>
      <c r="CD729" s="2">
        <v>20.260879758323899</v>
      </c>
      <c r="CE729" s="2">
        <v>20.103570018272102</v>
      </c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</row>
    <row r="730" spans="1:97">
      <c r="A730" s="2" t="s">
        <v>7025</v>
      </c>
      <c r="B730" s="2">
        <v>429.17270000000002</v>
      </c>
      <c r="C730" s="2">
        <v>5.1269999999999998</v>
      </c>
      <c r="D730" s="2" t="s">
        <v>84</v>
      </c>
      <c r="E730" s="2" t="s">
        <v>7026</v>
      </c>
      <c r="F730" s="2" t="s">
        <v>7027</v>
      </c>
      <c r="G730" s="2">
        <v>211024</v>
      </c>
      <c r="H730" s="3" t="str">
        <f>HYPERLINK("https://cloud.oebiotech.com/#/lm/network/211024", "https://cloud.oebiotech.com/#/lm/network/211024")</f>
        <v>https://cloud.oebiotech.com/#/lm/network/211024</v>
      </c>
      <c r="I730" s="2" t="s">
        <v>7028</v>
      </c>
      <c r="J730" s="2"/>
      <c r="K730" s="2"/>
      <c r="L730" s="2">
        <v>53395247</v>
      </c>
      <c r="M730" s="2"/>
      <c r="N730" s="2"/>
      <c r="O730" s="2"/>
      <c r="P730" s="2"/>
      <c r="Q730" s="2"/>
      <c r="R730" s="2"/>
      <c r="S730" s="2"/>
      <c r="T730" s="2" t="s">
        <v>7029</v>
      </c>
      <c r="U730" s="2" t="s">
        <v>7030</v>
      </c>
      <c r="V730" s="2" t="s">
        <v>95</v>
      </c>
      <c r="W730" s="2" t="s">
        <v>96</v>
      </c>
      <c r="X730" s="2" t="s">
        <v>2173</v>
      </c>
      <c r="Y730" s="2" t="s">
        <v>98</v>
      </c>
      <c r="Z730" s="2" t="s">
        <v>99</v>
      </c>
      <c r="AA730" s="2" t="s">
        <v>2174</v>
      </c>
      <c r="AB730" s="2" t="s">
        <v>3086</v>
      </c>
      <c r="AC730" s="2">
        <v>54.56</v>
      </c>
      <c r="AD730" s="2">
        <v>86.7</v>
      </c>
      <c r="AE730" s="2">
        <v>30.16</v>
      </c>
      <c r="AF730" s="2" t="s">
        <v>7031</v>
      </c>
      <c r="AG730" s="2" t="s">
        <v>103</v>
      </c>
      <c r="AH730" s="2" t="s">
        <v>7032</v>
      </c>
      <c r="AI730" s="2">
        <v>6.52</v>
      </c>
      <c r="AJ730" s="2">
        <v>17.489518961747699</v>
      </c>
      <c r="AK730" s="2">
        <v>17.6313288445251</v>
      </c>
      <c r="AL730" s="2">
        <v>16.843236408362799</v>
      </c>
      <c r="AM730" s="2">
        <v>17.318937375060798</v>
      </c>
      <c r="AN730" s="2">
        <v>17.205680725332101</v>
      </c>
      <c r="AO730" s="2">
        <v>16.9773050818855</v>
      </c>
      <c r="AP730" s="2">
        <v>17.330571616990799</v>
      </c>
      <c r="AQ730" s="2">
        <v>17.178499227982499</v>
      </c>
      <c r="AR730" s="2">
        <v>17.471764586327598</v>
      </c>
      <c r="AS730" s="2">
        <v>9.6233145402724691</v>
      </c>
      <c r="AT730" s="2">
        <v>9.6233145402724691</v>
      </c>
      <c r="AU730" s="2">
        <v>18.003084023797602</v>
      </c>
      <c r="AV730" s="2">
        <v>16.079639986864201</v>
      </c>
      <c r="AW730" s="2">
        <v>19.2697257291596</v>
      </c>
      <c r="AX730" s="2">
        <v>9.6233145402724691</v>
      </c>
      <c r="AY730" s="2">
        <v>17.355258688022001</v>
      </c>
      <c r="AZ730" s="2">
        <v>18.258271392228099</v>
      </c>
      <c r="BA730" s="2">
        <v>9.6233145402724691</v>
      </c>
      <c r="BB730" s="2">
        <v>9.6233145402724691</v>
      </c>
      <c r="BC730" s="2">
        <v>9.6233145402724691</v>
      </c>
      <c r="BD730" s="2">
        <v>9.6233145402724691</v>
      </c>
      <c r="BE730" s="2">
        <v>18.338339142874201</v>
      </c>
      <c r="BF730" s="2">
        <v>17.376684169330399</v>
      </c>
      <c r="BG730" s="2">
        <v>9.6233145402724691</v>
      </c>
      <c r="BH730" s="2">
        <v>15.817764638374801</v>
      </c>
      <c r="BI730" s="2">
        <v>9.6233145402724691</v>
      </c>
      <c r="BJ730" s="2">
        <v>9.6233145402724691</v>
      </c>
      <c r="BK730" s="2">
        <v>19.391903672127601</v>
      </c>
      <c r="BL730" s="2">
        <v>9.6233145402724691</v>
      </c>
      <c r="BM730" s="2">
        <v>15.226765146258099</v>
      </c>
      <c r="BN730" s="2">
        <v>16.629024996638002</v>
      </c>
      <c r="BO730" s="2">
        <v>9.6233145402724691</v>
      </c>
      <c r="BP730" s="2">
        <v>9.6233145402724691</v>
      </c>
      <c r="BQ730" s="2">
        <v>9.6233145402724691</v>
      </c>
      <c r="BR730" s="2">
        <v>17.968953321752402</v>
      </c>
      <c r="BS730" s="2">
        <v>19.115752007882701</v>
      </c>
      <c r="BT730" s="2">
        <v>9.6233145402724691</v>
      </c>
      <c r="BU730" s="2">
        <v>9.6233145402724691</v>
      </c>
      <c r="BV730" s="2">
        <v>9.6233145402724691</v>
      </c>
      <c r="BW730" s="2">
        <v>17.589458114041701</v>
      </c>
      <c r="BX730" s="2">
        <v>9.6233145402724691</v>
      </c>
      <c r="BY730" s="2">
        <v>20.4752340423485</v>
      </c>
      <c r="BZ730" s="2">
        <v>18.646520389464801</v>
      </c>
      <c r="CA730" s="2">
        <v>14.506978806301801</v>
      </c>
      <c r="CB730" s="2">
        <v>9.6233145402724691</v>
      </c>
      <c r="CC730" s="2">
        <v>9.6233145402724691</v>
      </c>
      <c r="CD730" s="2">
        <v>9.6233145402724691</v>
      </c>
      <c r="CE730" s="2">
        <v>13.8869577986118</v>
      </c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</row>
    <row r="731" spans="1:97">
      <c r="A731" s="2" t="s">
        <v>7033</v>
      </c>
      <c r="B731" s="2">
        <v>274.14418999999998</v>
      </c>
      <c r="C731" s="2">
        <v>9.8160000000000007</v>
      </c>
      <c r="D731" s="2" t="s">
        <v>84</v>
      </c>
      <c r="E731" s="2" t="s">
        <v>7034</v>
      </c>
      <c r="F731" s="2" t="s">
        <v>7035</v>
      </c>
      <c r="G731" s="2">
        <v>33933</v>
      </c>
      <c r="H731" s="3" t="str">
        <f>HYPERLINK("https://cloud.oebiotech.com/#/lm/network/33933", "https://cloud.oebiotech.com/#/lm/network/33933")</f>
        <v>https://cloud.oebiotech.com/#/lm/network/33933</v>
      </c>
      <c r="I731" s="2" t="s">
        <v>7036</v>
      </c>
      <c r="J731" s="2">
        <v>52246</v>
      </c>
      <c r="K731" s="2" t="s">
        <v>7037</v>
      </c>
      <c r="L731" s="2">
        <v>1214726</v>
      </c>
      <c r="M731" s="2"/>
      <c r="N731" s="2"/>
      <c r="O731" s="2"/>
      <c r="P731" s="2"/>
      <c r="Q731" s="2"/>
      <c r="R731" s="2"/>
      <c r="S731" s="2"/>
      <c r="T731" s="2" t="s">
        <v>7038</v>
      </c>
      <c r="U731" s="2" t="s">
        <v>7039</v>
      </c>
      <c r="V731" s="2" t="s">
        <v>845</v>
      </c>
      <c r="W731" s="2" t="s">
        <v>3064</v>
      </c>
      <c r="X731" s="2" t="s">
        <v>3065</v>
      </c>
      <c r="Y731" s="2" t="s">
        <v>847</v>
      </c>
      <c r="Z731" s="2" t="s">
        <v>3066</v>
      </c>
      <c r="AA731" s="2" t="s">
        <v>3067</v>
      </c>
      <c r="AB731" s="2" t="s">
        <v>3086</v>
      </c>
      <c r="AC731" s="2">
        <v>54.55</v>
      </c>
      <c r="AD731" s="2">
        <v>89.46</v>
      </c>
      <c r="AE731" s="2">
        <v>0</v>
      </c>
      <c r="AF731" s="2" t="s">
        <v>5614</v>
      </c>
      <c r="AG731" s="2" t="s">
        <v>132</v>
      </c>
      <c r="AH731" s="2" t="s">
        <v>7040</v>
      </c>
      <c r="AI731" s="2">
        <v>-1.46</v>
      </c>
      <c r="AJ731" s="2">
        <v>17.601299198284998</v>
      </c>
      <c r="AK731" s="2">
        <v>18.435221993934199</v>
      </c>
      <c r="AL731" s="2">
        <v>18.0198166746856</v>
      </c>
      <c r="AM731" s="2">
        <v>17.966171111761</v>
      </c>
      <c r="AN731" s="2">
        <v>18.0335571617222</v>
      </c>
      <c r="AO731" s="2">
        <v>18.204436076301501</v>
      </c>
      <c r="AP731" s="2">
        <v>18.138794254472899</v>
      </c>
      <c r="AQ731" s="2">
        <v>17.8220531782165</v>
      </c>
      <c r="AR731" s="2">
        <v>18.284051679398601</v>
      </c>
      <c r="AS731" s="2">
        <v>15.5908601022936</v>
      </c>
      <c r="AT731" s="2">
        <v>17.726997142171498</v>
      </c>
      <c r="AU731" s="2">
        <v>18.2820880846587</v>
      </c>
      <c r="AV731" s="2">
        <v>17.670182579615702</v>
      </c>
      <c r="AW731" s="2">
        <v>17.825943348037701</v>
      </c>
      <c r="AX731" s="2">
        <v>17.606229665638502</v>
      </c>
      <c r="AY731" s="2">
        <v>17.024819567285299</v>
      </c>
      <c r="AZ731" s="2">
        <v>18.021100888851699</v>
      </c>
      <c r="BA731" s="2">
        <v>17.9034188110892</v>
      </c>
      <c r="BB731" s="2">
        <v>18.090562467831901</v>
      </c>
      <c r="BC731" s="2">
        <v>17.171003175811201</v>
      </c>
      <c r="BD731" s="2">
        <v>16.978646562315099</v>
      </c>
      <c r="BE731" s="2">
        <v>17.129211564737599</v>
      </c>
      <c r="BF731" s="2">
        <v>16.670516702559901</v>
      </c>
      <c r="BG731" s="2">
        <v>18.7143563789922</v>
      </c>
      <c r="BH731" s="2">
        <v>15.85383877144</v>
      </c>
      <c r="BI731" s="2">
        <v>18.769714056830001</v>
      </c>
      <c r="BJ731" s="2">
        <v>16.836585322683401</v>
      </c>
      <c r="BK731" s="2">
        <v>17.0125478325503</v>
      </c>
      <c r="BL731" s="2">
        <v>18.142189443369901</v>
      </c>
      <c r="BM731" s="2">
        <v>17.451364068041698</v>
      </c>
      <c r="BN731" s="2">
        <v>17.043622977408599</v>
      </c>
      <c r="BO731" s="2">
        <v>18.2150529283998</v>
      </c>
      <c r="BP731" s="2">
        <v>17.8854298228181</v>
      </c>
      <c r="BQ731" s="2">
        <v>17.671160177784699</v>
      </c>
      <c r="BR731" s="2">
        <v>18.901582242338598</v>
      </c>
      <c r="BS731" s="2">
        <v>18.456708467296298</v>
      </c>
      <c r="BT731" s="2">
        <v>17.452659841867501</v>
      </c>
      <c r="BU731" s="2">
        <v>18.167015565990098</v>
      </c>
      <c r="BV731" s="2">
        <v>18.149481094112499</v>
      </c>
      <c r="BW731" s="2">
        <v>15.4356090622857</v>
      </c>
      <c r="BX731" s="2">
        <v>16.2424138239898</v>
      </c>
      <c r="BY731" s="2">
        <v>18.342768521976598</v>
      </c>
      <c r="BZ731" s="2">
        <v>17.352509542710699</v>
      </c>
      <c r="CA731" s="2">
        <v>18.0646797254463</v>
      </c>
      <c r="CB731" s="2">
        <v>18.033691954601501</v>
      </c>
      <c r="CC731" s="2">
        <v>18.320355542361799</v>
      </c>
      <c r="CD731" s="2">
        <v>18.286121878632699</v>
      </c>
      <c r="CE731" s="2">
        <v>17.765918317845799</v>
      </c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</row>
    <row r="732" spans="1:97">
      <c r="A732" s="2" t="s">
        <v>7041</v>
      </c>
      <c r="B732" s="2">
        <v>141.06558000000001</v>
      </c>
      <c r="C732" s="2">
        <v>0.753</v>
      </c>
      <c r="D732" s="2" t="s">
        <v>84</v>
      </c>
      <c r="E732" s="2" t="s">
        <v>7042</v>
      </c>
      <c r="F732" s="2" t="s">
        <v>7043</v>
      </c>
      <c r="G732" s="2">
        <v>47884</v>
      </c>
      <c r="H732" s="3" t="str">
        <f>HYPERLINK("https://cloud.oebiotech.com/#/lm/network/47884", "https://cloud.oebiotech.com/#/lm/network/47884")</f>
        <v>https://cloud.oebiotech.com/#/lm/network/47884</v>
      </c>
      <c r="I732" s="2" t="s">
        <v>7044</v>
      </c>
      <c r="J732" s="2">
        <v>6585</v>
      </c>
      <c r="K732" s="2"/>
      <c r="L732" s="2">
        <v>70630</v>
      </c>
      <c r="M732" s="2" t="s">
        <v>7045</v>
      </c>
      <c r="N732" s="2" t="s">
        <v>546</v>
      </c>
      <c r="O732" s="2" t="s">
        <v>547</v>
      </c>
      <c r="P732" s="2">
        <v>73087</v>
      </c>
      <c r="Q732" s="2"/>
      <c r="R732" s="2"/>
      <c r="S732" s="2" t="s">
        <v>7046</v>
      </c>
      <c r="T732" s="2" t="s">
        <v>7047</v>
      </c>
      <c r="U732" s="2" t="s">
        <v>7048</v>
      </c>
      <c r="V732" s="2" t="s">
        <v>553</v>
      </c>
      <c r="W732" s="2" t="s">
        <v>554</v>
      </c>
      <c r="X732" s="2" t="s">
        <v>555</v>
      </c>
      <c r="Y732" s="2" t="s">
        <v>556</v>
      </c>
      <c r="Z732" s="2" t="s">
        <v>557</v>
      </c>
      <c r="AA732" s="2" t="s">
        <v>558</v>
      </c>
      <c r="AB732" s="2" t="s">
        <v>3086</v>
      </c>
      <c r="AC732" s="2">
        <v>54.54</v>
      </c>
      <c r="AD732" s="2">
        <v>95.69</v>
      </c>
      <c r="AE732" s="2">
        <v>0</v>
      </c>
      <c r="AF732" s="2" t="s">
        <v>5614</v>
      </c>
      <c r="AG732" s="2" t="s">
        <v>103</v>
      </c>
      <c r="AH732" s="2" t="s">
        <v>7049</v>
      </c>
      <c r="AI732" s="2">
        <v>2.13</v>
      </c>
      <c r="AJ732" s="2">
        <v>21.534685495622</v>
      </c>
      <c r="AK732" s="2">
        <v>20.893462284066899</v>
      </c>
      <c r="AL732" s="2">
        <v>21.371262784122202</v>
      </c>
      <c r="AM732" s="2">
        <v>21.3278597914885</v>
      </c>
      <c r="AN732" s="2">
        <v>21.207352793542899</v>
      </c>
      <c r="AO732" s="2">
        <v>21.544824197904902</v>
      </c>
      <c r="AP732" s="2">
        <v>21.461985586736098</v>
      </c>
      <c r="AQ732" s="2">
        <v>20.9311629635231</v>
      </c>
      <c r="AR732" s="2">
        <v>21.254474935589801</v>
      </c>
      <c r="AS732" s="2">
        <v>20.6158163264306</v>
      </c>
      <c r="AT732" s="2">
        <v>20.454562950355299</v>
      </c>
      <c r="AU732" s="2">
        <v>20.281609671628001</v>
      </c>
      <c r="AV732" s="2">
        <v>21.4825859644506</v>
      </c>
      <c r="AW732" s="2">
        <v>21.312894236263801</v>
      </c>
      <c r="AX732" s="2">
        <v>21.340050493716198</v>
      </c>
      <c r="AY732" s="2">
        <v>21.8350154577235</v>
      </c>
      <c r="AZ732" s="2">
        <v>21.1450797754541</v>
      </c>
      <c r="BA732" s="2">
        <v>21.282789036343001</v>
      </c>
      <c r="BB732" s="2">
        <v>20.9998242643038</v>
      </c>
      <c r="BC732" s="2">
        <v>20.738597397207599</v>
      </c>
      <c r="BD732" s="2">
        <v>21.5465468875482</v>
      </c>
      <c r="BE732" s="2">
        <v>20.624470002238802</v>
      </c>
      <c r="BF732" s="2">
        <v>20.8405151823799</v>
      </c>
      <c r="BG732" s="2">
        <v>22.091355409721402</v>
      </c>
      <c r="BH732" s="2">
        <v>21.342560221785199</v>
      </c>
      <c r="BI732" s="2">
        <v>21.4135591927501</v>
      </c>
      <c r="BJ732" s="2">
        <v>21.440043711891299</v>
      </c>
      <c r="BK732" s="2">
        <v>20.886527761265601</v>
      </c>
      <c r="BL732" s="2">
        <v>20.535169165423198</v>
      </c>
      <c r="BM732" s="2">
        <v>20.945844719022801</v>
      </c>
      <c r="BN732" s="2">
        <v>20.725716105836899</v>
      </c>
      <c r="BO732" s="2">
        <v>19.934180280758302</v>
      </c>
      <c r="BP732" s="2">
        <v>21.6649691708941</v>
      </c>
      <c r="BQ732" s="2">
        <v>21.428981168839901</v>
      </c>
      <c r="BR732" s="2">
        <v>20.883560567966999</v>
      </c>
      <c r="BS732" s="2">
        <v>21.8323381738102</v>
      </c>
      <c r="BT732" s="2">
        <v>21.510557397996099</v>
      </c>
      <c r="BU732" s="2">
        <v>20.991652563078599</v>
      </c>
      <c r="BV732" s="2">
        <v>21.031562858510799</v>
      </c>
      <c r="BW732" s="2">
        <v>20.708840444291301</v>
      </c>
      <c r="BX732" s="2">
        <v>21.590973732509799</v>
      </c>
      <c r="BY732" s="2">
        <v>21.719764248301701</v>
      </c>
      <c r="BZ732" s="2">
        <v>21.400942297929799</v>
      </c>
      <c r="CA732" s="2">
        <v>20.709052495308001</v>
      </c>
      <c r="CB732" s="2">
        <v>20.432550810366202</v>
      </c>
      <c r="CC732" s="2">
        <v>20.905174746271399</v>
      </c>
      <c r="CD732" s="2">
        <v>21.9105251736997</v>
      </c>
      <c r="CE732" s="2">
        <v>21.165978518350801</v>
      </c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</row>
    <row r="733" spans="1:97">
      <c r="A733" s="2" t="s">
        <v>7050</v>
      </c>
      <c r="B733" s="2">
        <v>321.17009999999999</v>
      </c>
      <c r="C733" s="2">
        <v>7.9889999999999999</v>
      </c>
      <c r="D733" s="2" t="s">
        <v>146</v>
      </c>
      <c r="E733" s="2" t="s">
        <v>7051</v>
      </c>
      <c r="F733" s="2" t="s">
        <v>7052</v>
      </c>
      <c r="G733" s="2">
        <v>6382</v>
      </c>
      <c r="H733" s="3" t="str">
        <f>HYPERLINK("https://cloud.oebiotech.com/#/lm/network/6382", "https://cloud.oebiotech.com/#/lm/network/6382")</f>
        <v>https://cloud.oebiotech.com/#/lm/network/6382</v>
      </c>
      <c r="I733" s="2" t="s">
        <v>7053</v>
      </c>
      <c r="J733" s="2">
        <v>93600</v>
      </c>
      <c r="K733" s="2" t="s">
        <v>7054</v>
      </c>
      <c r="L733" s="2">
        <v>5317634</v>
      </c>
      <c r="M733" s="2"/>
      <c r="N733" s="2"/>
      <c r="O733" s="2"/>
      <c r="P733" s="2"/>
      <c r="Q733" s="2"/>
      <c r="R733" s="2"/>
      <c r="S733" s="2" t="s">
        <v>7055</v>
      </c>
      <c r="T733" s="2" t="s">
        <v>7056</v>
      </c>
      <c r="U733" s="2" t="s">
        <v>7057</v>
      </c>
      <c r="V733" s="2" t="s">
        <v>95</v>
      </c>
      <c r="W733" s="2" t="s">
        <v>96</v>
      </c>
      <c r="X733" s="2" t="s">
        <v>353</v>
      </c>
      <c r="Y733" s="2" t="s">
        <v>98</v>
      </c>
      <c r="Z733" s="2" t="s">
        <v>99</v>
      </c>
      <c r="AA733" s="2" t="s">
        <v>354</v>
      </c>
      <c r="AB733" s="2" t="s">
        <v>3086</v>
      </c>
      <c r="AC733" s="2">
        <v>54.54</v>
      </c>
      <c r="AD733" s="2">
        <v>88.13</v>
      </c>
      <c r="AE733" s="2">
        <v>0</v>
      </c>
      <c r="AF733" s="2" t="s">
        <v>5614</v>
      </c>
      <c r="AG733" s="2" t="s">
        <v>157</v>
      </c>
      <c r="AH733" s="2" t="s">
        <v>6283</v>
      </c>
      <c r="AI733" s="2">
        <v>1.87</v>
      </c>
      <c r="AJ733" s="2">
        <v>16.979620234480901</v>
      </c>
      <c r="AK733" s="2">
        <v>16.945538368397301</v>
      </c>
      <c r="AL733" s="2">
        <v>17.1463851054604</v>
      </c>
      <c r="AM733" s="2">
        <v>17.4461966096884</v>
      </c>
      <c r="AN733" s="2">
        <v>17.1801528545666</v>
      </c>
      <c r="AO733" s="2">
        <v>17.424741703323399</v>
      </c>
      <c r="AP733" s="2">
        <v>17.300595211723799</v>
      </c>
      <c r="AQ733" s="2">
        <v>17.414412557852199</v>
      </c>
      <c r="AR733" s="2">
        <v>14.870981605687801</v>
      </c>
      <c r="AS733" s="2">
        <v>15.6698146159584</v>
      </c>
      <c r="AT733" s="2">
        <v>17.9570176195706</v>
      </c>
      <c r="AU733" s="2">
        <v>15.7821233815082</v>
      </c>
      <c r="AV733" s="2">
        <v>16.3120157449919</v>
      </c>
      <c r="AW733" s="2">
        <v>16.788621611180901</v>
      </c>
      <c r="AX733" s="2">
        <v>16.805036959762699</v>
      </c>
      <c r="AY733" s="2">
        <v>17.525810432371799</v>
      </c>
      <c r="AZ733" s="2">
        <v>16.988253748621499</v>
      </c>
      <c r="BA733" s="2">
        <v>18.5481385235652</v>
      </c>
      <c r="BB733" s="2">
        <v>18.681655524658002</v>
      </c>
      <c r="BC733" s="2">
        <v>17.190918632847598</v>
      </c>
      <c r="BD733" s="2">
        <v>18.125101994505101</v>
      </c>
      <c r="BE733" s="2">
        <v>17.690139534928601</v>
      </c>
      <c r="BF733" s="2">
        <v>17.178414512673999</v>
      </c>
      <c r="BG733" s="2">
        <v>17.187906336360602</v>
      </c>
      <c r="BH733" s="2">
        <v>14.022980654837101</v>
      </c>
      <c r="BI733" s="2">
        <v>17.151852456296101</v>
      </c>
      <c r="BJ733" s="2">
        <v>17.986082121642699</v>
      </c>
      <c r="BK733" s="2">
        <v>14.950009041886201</v>
      </c>
      <c r="BL733" s="2">
        <v>14.926224636696899</v>
      </c>
      <c r="BM733" s="2">
        <v>16.224308108799601</v>
      </c>
      <c r="BN733" s="2">
        <v>18.064768074413699</v>
      </c>
      <c r="BO733" s="2">
        <v>16.214549077534699</v>
      </c>
      <c r="BP733" s="2">
        <v>15.519063372969001</v>
      </c>
      <c r="BQ733" s="2">
        <v>16.224343346490599</v>
      </c>
      <c r="BR733" s="2">
        <v>16.0487448399488</v>
      </c>
      <c r="BS733" s="2">
        <v>17.877664578833599</v>
      </c>
      <c r="BT733" s="2">
        <v>16.707430046306101</v>
      </c>
      <c r="BU733" s="2">
        <v>18.4868656533734</v>
      </c>
      <c r="BV733" s="2">
        <v>17.954980639835401</v>
      </c>
      <c r="BW733" s="2">
        <v>14.8117263928554</v>
      </c>
      <c r="BX733" s="2">
        <v>17.861963479242899</v>
      </c>
      <c r="BY733" s="2">
        <v>17.7718960857861</v>
      </c>
      <c r="BZ733" s="2">
        <v>16.2019064234361</v>
      </c>
      <c r="CA733" s="2">
        <v>16.644343298884799</v>
      </c>
      <c r="CB733" s="2">
        <v>14.458479028147799</v>
      </c>
      <c r="CC733" s="2">
        <v>16.917014438494</v>
      </c>
      <c r="CD733" s="2">
        <v>18.337059720463898</v>
      </c>
      <c r="CE733" s="2">
        <v>15.6107523637351</v>
      </c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</row>
    <row r="734" spans="1:97">
      <c r="A734" s="2" t="s">
        <v>7058</v>
      </c>
      <c r="B734" s="2">
        <v>223.06077999999999</v>
      </c>
      <c r="C734" s="2">
        <v>4.91</v>
      </c>
      <c r="D734" s="2" t="s">
        <v>146</v>
      </c>
      <c r="E734" s="2" t="s">
        <v>7059</v>
      </c>
      <c r="F734" s="2" t="s">
        <v>7060</v>
      </c>
      <c r="G734" s="2">
        <v>56906</v>
      </c>
      <c r="H734" s="3" t="str">
        <f>HYPERLINK("https://cloud.oebiotech.com/#/lm/network/56906", "https://cloud.oebiotech.com/#/lm/network/56906")</f>
        <v>https://cloud.oebiotech.com/#/lm/network/56906</v>
      </c>
      <c r="I734" s="2" t="s">
        <v>7061</v>
      </c>
      <c r="J734" s="2">
        <v>45738</v>
      </c>
      <c r="K734" s="2"/>
      <c r="L734" s="2">
        <v>637775</v>
      </c>
      <c r="M734" s="2" t="s">
        <v>7062</v>
      </c>
      <c r="N734" s="2"/>
      <c r="O734" s="2"/>
      <c r="P734" s="2">
        <v>15714</v>
      </c>
      <c r="Q734" s="2"/>
      <c r="R734" s="2"/>
      <c r="S734" s="2" t="s">
        <v>7063</v>
      </c>
      <c r="T734" s="2" t="s">
        <v>7064</v>
      </c>
      <c r="U734" s="2" t="s">
        <v>7065</v>
      </c>
      <c r="V734" s="2" t="s">
        <v>845</v>
      </c>
      <c r="W734" s="2" t="s">
        <v>970</v>
      </c>
      <c r="X734" s="2" t="s">
        <v>971</v>
      </c>
      <c r="Y734" s="2" t="s">
        <v>847</v>
      </c>
      <c r="Z734" s="2" t="s">
        <v>972</v>
      </c>
      <c r="AA734" s="2" t="s">
        <v>973</v>
      </c>
      <c r="AB734" s="2" t="s">
        <v>3086</v>
      </c>
      <c r="AC734" s="2">
        <v>54.51</v>
      </c>
      <c r="AD734" s="2">
        <v>93.15</v>
      </c>
      <c r="AE734" s="2">
        <v>0</v>
      </c>
      <c r="AF734" s="2" t="s">
        <v>5614</v>
      </c>
      <c r="AG734" s="2" t="s">
        <v>194</v>
      </c>
      <c r="AH734" s="2" t="s">
        <v>994</v>
      </c>
      <c r="AI734" s="2">
        <v>1.79</v>
      </c>
      <c r="AJ734" s="2">
        <v>17.535778385069399</v>
      </c>
      <c r="AK734" s="2">
        <v>17.029671146749799</v>
      </c>
      <c r="AL734" s="2">
        <v>17.430639737043901</v>
      </c>
      <c r="AM734" s="2">
        <v>17.321446441058399</v>
      </c>
      <c r="AN734" s="2">
        <v>17.111474577341198</v>
      </c>
      <c r="AO734" s="2">
        <v>16.608641206403998</v>
      </c>
      <c r="AP734" s="2">
        <v>17.376149135472001</v>
      </c>
      <c r="AQ734" s="2">
        <v>16.4995724913929</v>
      </c>
      <c r="AR734" s="2">
        <v>11.6198806514828</v>
      </c>
      <c r="AS734" s="2">
        <v>11.501429192758099</v>
      </c>
      <c r="AT734" s="2">
        <v>9.6233145402724691</v>
      </c>
      <c r="AU734" s="2">
        <v>13.101685199236501</v>
      </c>
      <c r="AV734" s="2">
        <v>12.127020592308099</v>
      </c>
      <c r="AW734" s="2">
        <v>17.120611302961301</v>
      </c>
      <c r="AX734" s="2">
        <v>9.6233145402724691</v>
      </c>
      <c r="AY734" s="2">
        <v>9.6233145402724691</v>
      </c>
      <c r="AZ734" s="2">
        <v>9.6233145402724691</v>
      </c>
      <c r="BA734" s="2">
        <v>13.516608627246001</v>
      </c>
      <c r="BB734" s="2">
        <v>13.789162735010301</v>
      </c>
      <c r="BC734" s="2">
        <v>11.985037844424101</v>
      </c>
      <c r="BD734" s="2">
        <v>13.5883761714777</v>
      </c>
      <c r="BE734" s="2">
        <v>9.6233145402724691</v>
      </c>
      <c r="BF734" s="2">
        <v>15.038996556064699</v>
      </c>
      <c r="BG734" s="2">
        <v>9.6233145402724691</v>
      </c>
      <c r="BH734" s="2">
        <v>13.384809377395401</v>
      </c>
      <c r="BI734" s="2">
        <v>9.6233145402724691</v>
      </c>
      <c r="BJ734" s="2">
        <v>9.6233145402724691</v>
      </c>
      <c r="BK734" s="2">
        <v>9.6233145402724691</v>
      </c>
      <c r="BL734" s="2">
        <v>9.6233145402724691</v>
      </c>
      <c r="BM734" s="2">
        <v>11.459677511608501</v>
      </c>
      <c r="BN734" s="2">
        <v>9.6233145402724691</v>
      </c>
      <c r="BO734" s="2">
        <v>12.840425859904601</v>
      </c>
      <c r="BP734" s="2">
        <v>9.6233145402724691</v>
      </c>
      <c r="BQ734" s="2">
        <v>9.6233145402724691</v>
      </c>
      <c r="BR734" s="2">
        <v>9.6233145402724691</v>
      </c>
      <c r="BS734" s="2">
        <v>14.694917182273899</v>
      </c>
      <c r="BT734" s="2">
        <v>9.6233145402724691</v>
      </c>
      <c r="BU734" s="2">
        <v>9.6233145402724691</v>
      </c>
      <c r="BV734" s="2">
        <v>9.6233145402724691</v>
      </c>
      <c r="BW734" s="2">
        <v>11.4352222788508</v>
      </c>
      <c r="BX734" s="2">
        <v>9.6233145402724691</v>
      </c>
      <c r="BY734" s="2">
        <v>9.6233145402724691</v>
      </c>
      <c r="BZ734" s="2">
        <v>9.6233145402724691</v>
      </c>
      <c r="CA734" s="2">
        <v>16.6787101635068</v>
      </c>
      <c r="CB734" s="2">
        <v>9.6233145402724691</v>
      </c>
      <c r="CC734" s="2">
        <v>9.6233145402724691</v>
      </c>
      <c r="CD734" s="2">
        <v>9.6233145402724691</v>
      </c>
      <c r="CE734" s="2">
        <v>9.6233145402724691</v>
      </c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</row>
    <row r="735" spans="1:97">
      <c r="A735" s="2" t="s">
        <v>7066</v>
      </c>
      <c r="B735" s="2">
        <v>183.10222999999999</v>
      </c>
      <c r="C735" s="2">
        <v>7.67</v>
      </c>
      <c r="D735" s="2" t="s">
        <v>146</v>
      </c>
      <c r="E735" s="2" t="s">
        <v>7067</v>
      </c>
      <c r="F735" s="2" t="s">
        <v>7068</v>
      </c>
      <c r="G735" s="2">
        <v>59890</v>
      </c>
      <c r="H735" s="3" t="str">
        <f>HYPERLINK("https://cloud.oebiotech.com/#/lm/network/59890", "https://cloud.oebiotech.com/#/lm/network/59890")</f>
        <v>https://cloud.oebiotech.com/#/lm/network/59890</v>
      </c>
      <c r="I735" s="2" t="s">
        <v>7069</v>
      </c>
      <c r="J735" s="2">
        <v>91258</v>
      </c>
      <c r="K735" s="2"/>
      <c r="L735" s="2">
        <v>67760064</v>
      </c>
      <c r="M735" s="2"/>
      <c r="N735" s="2"/>
      <c r="O735" s="2"/>
      <c r="P735" s="2">
        <v>169123</v>
      </c>
      <c r="Q735" s="2"/>
      <c r="R735" s="2"/>
      <c r="S735" s="2" t="s">
        <v>7070</v>
      </c>
      <c r="T735" s="2" t="s">
        <v>7071</v>
      </c>
      <c r="U735" s="2" t="s">
        <v>7072</v>
      </c>
      <c r="V735" s="2" t="s">
        <v>95</v>
      </c>
      <c r="W735" s="2" t="s">
        <v>180</v>
      </c>
      <c r="X735" s="2" t="s">
        <v>5048</v>
      </c>
      <c r="Y735" s="2" t="s">
        <v>98</v>
      </c>
      <c r="Z735" s="2" t="s">
        <v>182</v>
      </c>
      <c r="AA735" s="2" t="s">
        <v>5049</v>
      </c>
      <c r="AB735" s="2" t="s">
        <v>3086</v>
      </c>
      <c r="AC735" s="2">
        <v>54.49</v>
      </c>
      <c r="AD735" s="2">
        <v>93.44</v>
      </c>
      <c r="AE735" s="2">
        <v>0</v>
      </c>
      <c r="AF735" s="2" t="s">
        <v>5614</v>
      </c>
      <c r="AG735" s="2" t="s">
        <v>157</v>
      </c>
      <c r="AH735" s="2" t="s">
        <v>7073</v>
      </c>
      <c r="AI735" s="2">
        <v>2.73</v>
      </c>
      <c r="AJ735" s="2">
        <v>19.772140777189598</v>
      </c>
      <c r="AK735" s="2">
        <v>20.5149775092898</v>
      </c>
      <c r="AL735" s="2">
        <v>20.2607418681159</v>
      </c>
      <c r="AM735" s="2">
        <v>20.280800702897199</v>
      </c>
      <c r="AN735" s="2">
        <v>19.742633105394599</v>
      </c>
      <c r="AO735" s="2">
        <v>20.082869288864899</v>
      </c>
      <c r="AP735" s="2">
        <v>20.034365206199102</v>
      </c>
      <c r="AQ735" s="2">
        <v>20.4051384396477</v>
      </c>
      <c r="AR735" s="2">
        <v>18.776135674712599</v>
      </c>
      <c r="AS735" s="2">
        <v>19.3426531053499</v>
      </c>
      <c r="AT735" s="2">
        <v>19.125226153973799</v>
      </c>
      <c r="AU735" s="2">
        <v>18.985346825985999</v>
      </c>
      <c r="AV735" s="2">
        <v>19.379951008315299</v>
      </c>
      <c r="AW735" s="2">
        <v>19.4376985195975</v>
      </c>
      <c r="AX735" s="2">
        <v>19.0470059500547</v>
      </c>
      <c r="AY735" s="2">
        <v>19.4039665217765</v>
      </c>
      <c r="AZ735" s="2">
        <v>21.599381268089999</v>
      </c>
      <c r="BA735" s="2">
        <v>18.9647766386644</v>
      </c>
      <c r="BB735" s="2">
        <v>18.9263033794462</v>
      </c>
      <c r="BC735" s="2">
        <v>22.445469616133099</v>
      </c>
      <c r="BD735" s="2">
        <v>18.822006856797401</v>
      </c>
      <c r="BE735" s="2">
        <v>19.683842543026401</v>
      </c>
      <c r="BF735" s="2">
        <v>19.1083269445637</v>
      </c>
      <c r="BG735" s="2">
        <v>19.036017204769301</v>
      </c>
      <c r="BH735" s="2">
        <v>19.1763451758702</v>
      </c>
      <c r="BI735" s="2">
        <v>19.960119659431701</v>
      </c>
      <c r="BJ735" s="2">
        <v>19.0405255322556</v>
      </c>
      <c r="BK735" s="2">
        <v>20.4771544450848</v>
      </c>
      <c r="BL735" s="2">
        <v>19.812762601482699</v>
      </c>
      <c r="BM735" s="2">
        <v>20.520241023933899</v>
      </c>
      <c r="BN735" s="2">
        <v>19.092589432943399</v>
      </c>
      <c r="BO735" s="2">
        <v>19.438378162605499</v>
      </c>
      <c r="BP735" s="2">
        <v>19.861352705705201</v>
      </c>
      <c r="BQ735" s="2">
        <v>18.846010018410698</v>
      </c>
      <c r="BR735" s="2">
        <v>18.947685388407599</v>
      </c>
      <c r="BS735" s="2">
        <v>19.083876071044902</v>
      </c>
      <c r="BT735" s="2">
        <v>22.219369812827299</v>
      </c>
      <c r="BU735" s="2">
        <v>18.9003221045283</v>
      </c>
      <c r="BV735" s="2">
        <v>24.234718459616801</v>
      </c>
      <c r="BW735" s="2">
        <v>19.022052324464699</v>
      </c>
      <c r="BX735" s="2">
        <v>18.8872055595455</v>
      </c>
      <c r="BY735" s="2">
        <v>19.4603712409235</v>
      </c>
      <c r="BZ735" s="2">
        <v>18.871562464247699</v>
      </c>
      <c r="CA735" s="2">
        <v>18.522191818866599</v>
      </c>
      <c r="CB735" s="2">
        <v>19.418233398249701</v>
      </c>
      <c r="CC735" s="2">
        <v>20.619654076268201</v>
      </c>
      <c r="CD735" s="2">
        <v>20.385056859755199</v>
      </c>
      <c r="CE735" s="2">
        <v>20.577332452870699</v>
      </c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</row>
    <row r="736" spans="1:97">
      <c r="A736" s="2" t="s">
        <v>7074</v>
      </c>
      <c r="B736" s="2">
        <v>319.19089000000002</v>
      </c>
      <c r="C736" s="2">
        <v>9.9380000000000006</v>
      </c>
      <c r="D736" s="2" t="s">
        <v>146</v>
      </c>
      <c r="E736" s="2" t="s">
        <v>7075</v>
      </c>
      <c r="F736" s="2" t="s">
        <v>7076</v>
      </c>
      <c r="G736" s="2">
        <v>62563</v>
      </c>
      <c r="H736" s="3" t="str">
        <f>HYPERLINK("https://cloud.oebiotech.com/#/lm/network/62563", "https://cloud.oebiotech.com/#/lm/network/62563")</f>
        <v>https://cloud.oebiotech.com/#/lm/network/62563</v>
      </c>
      <c r="I736" s="2" t="s">
        <v>7077</v>
      </c>
      <c r="J736" s="2">
        <v>93864</v>
      </c>
      <c r="K736" s="2"/>
      <c r="L736" s="2">
        <v>14440537</v>
      </c>
      <c r="M736" s="2"/>
      <c r="N736" s="2"/>
      <c r="O736" s="2"/>
      <c r="P736" s="2">
        <v>175095</v>
      </c>
      <c r="Q736" s="2"/>
      <c r="R736" s="2"/>
      <c r="S736" s="2" t="s">
        <v>7078</v>
      </c>
      <c r="T736" s="2" t="s">
        <v>7079</v>
      </c>
      <c r="U736" s="2" t="s">
        <v>7080</v>
      </c>
      <c r="V736" s="2" t="s">
        <v>385</v>
      </c>
      <c r="W736" s="2" t="s">
        <v>3319</v>
      </c>
      <c r="X736" s="2" t="s">
        <v>3320</v>
      </c>
      <c r="Y736" s="2" t="s">
        <v>388</v>
      </c>
      <c r="Z736" s="2" t="s">
        <v>3321</v>
      </c>
      <c r="AA736" s="2" t="s">
        <v>3322</v>
      </c>
      <c r="AB736" s="2" t="s">
        <v>3086</v>
      </c>
      <c r="AC736" s="2">
        <v>54.48</v>
      </c>
      <c r="AD736" s="2">
        <v>88.39</v>
      </c>
      <c r="AE736" s="2">
        <v>0</v>
      </c>
      <c r="AF736" s="2" t="s">
        <v>5614</v>
      </c>
      <c r="AG736" s="2" t="s">
        <v>194</v>
      </c>
      <c r="AH736" s="2" t="s">
        <v>7081</v>
      </c>
      <c r="AI736" s="2">
        <v>1.88</v>
      </c>
      <c r="AJ736" s="2">
        <v>17.556660593065299</v>
      </c>
      <c r="AK736" s="2">
        <v>17.453203182967702</v>
      </c>
      <c r="AL736" s="2">
        <v>17.6160348782787</v>
      </c>
      <c r="AM736" s="2">
        <v>17.5413872128814</v>
      </c>
      <c r="AN736" s="2">
        <v>17.554254353338301</v>
      </c>
      <c r="AO736" s="2">
        <v>17.699653510431599</v>
      </c>
      <c r="AP736" s="2">
        <v>17.378586976145801</v>
      </c>
      <c r="AQ736" s="2">
        <v>17.483375336068001</v>
      </c>
      <c r="AR736" s="2">
        <v>15.6495144201717</v>
      </c>
      <c r="AS736" s="2">
        <v>13.9994839047126</v>
      </c>
      <c r="AT736" s="2">
        <v>16.902052728650698</v>
      </c>
      <c r="AU736" s="2">
        <v>17.1500287691686</v>
      </c>
      <c r="AV736" s="2">
        <v>17.907886918020498</v>
      </c>
      <c r="AW736" s="2">
        <v>17.853523324062898</v>
      </c>
      <c r="AX736" s="2">
        <v>16.681635658338699</v>
      </c>
      <c r="AY736" s="2">
        <v>18.361149870938501</v>
      </c>
      <c r="AZ736" s="2">
        <v>17.5624857899011</v>
      </c>
      <c r="BA736" s="2">
        <v>17.482423145776199</v>
      </c>
      <c r="BB736" s="2">
        <v>17.450898950346801</v>
      </c>
      <c r="BC736" s="2">
        <v>17.8636658529594</v>
      </c>
      <c r="BD736" s="2">
        <v>17.339560631273201</v>
      </c>
      <c r="BE736" s="2">
        <v>18.5229752365486</v>
      </c>
      <c r="BF736" s="2">
        <v>17.473765353404801</v>
      </c>
      <c r="BG736" s="2">
        <v>17.049516759493301</v>
      </c>
      <c r="BH736" s="2">
        <v>17.523935338002399</v>
      </c>
      <c r="BI736" s="2">
        <v>17.839110515871301</v>
      </c>
      <c r="BJ736" s="2">
        <v>18.235308503629099</v>
      </c>
      <c r="BK736" s="2">
        <v>16.203071123356299</v>
      </c>
      <c r="BL736" s="2">
        <v>16.432531461167802</v>
      </c>
      <c r="BM736" s="2">
        <v>17.1223502858168</v>
      </c>
      <c r="BN736" s="2">
        <v>16.965847063072601</v>
      </c>
      <c r="BO736" s="2">
        <v>17.3078543289162</v>
      </c>
      <c r="BP736" s="2">
        <v>17.510616222907199</v>
      </c>
      <c r="BQ736" s="2">
        <v>17.6592858084291</v>
      </c>
      <c r="BR736" s="2">
        <v>16.323477209071701</v>
      </c>
      <c r="BS736" s="2">
        <v>18.1564439814933</v>
      </c>
      <c r="BT736" s="2">
        <v>18.496317425083099</v>
      </c>
      <c r="BU736" s="2">
        <v>17.8951096919807</v>
      </c>
      <c r="BV736" s="2">
        <v>17.487698432283398</v>
      </c>
      <c r="BW736" s="2">
        <v>16.993234737780799</v>
      </c>
      <c r="BX736" s="2">
        <v>16.716649883263699</v>
      </c>
      <c r="BY736" s="2">
        <v>18.6022388891646</v>
      </c>
      <c r="BZ736" s="2">
        <v>18.217842048986999</v>
      </c>
      <c r="CA736" s="2">
        <v>17.017772097809999</v>
      </c>
      <c r="CB736" s="2">
        <v>17.1783372822144</v>
      </c>
      <c r="CC736" s="2">
        <v>17.031914171465701</v>
      </c>
      <c r="CD736" s="2">
        <v>18.133289290665601</v>
      </c>
      <c r="CE736" s="2">
        <v>16.777238360342899</v>
      </c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</row>
    <row r="737" spans="1:97">
      <c r="A737" s="2" t="s">
        <v>7082</v>
      </c>
      <c r="B737" s="2">
        <v>347.17088000000001</v>
      </c>
      <c r="C737" s="2">
        <v>11.364000000000001</v>
      </c>
      <c r="D737" s="2" t="s">
        <v>146</v>
      </c>
      <c r="E737" s="2" t="s">
        <v>7083</v>
      </c>
      <c r="F737" s="2" t="s">
        <v>7084</v>
      </c>
      <c r="G737" s="2">
        <v>211432</v>
      </c>
      <c r="H737" s="3" t="str">
        <f>HYPERLINK("https://cloud.oebiotech.com/#/lm/network/211432", "https://cloud.oebiotech.com/#/lm/network/211432")</f>
        <v>https://cloud.oebiotech.com/#/lm/network/211432</v>
      </c>
      <c r="I737" s="2" t="s">
        <v>7085</v>
      </c>
      <c r="J737" s="2"/>
      <c r="K737" s="2"/>
      <c r="L737" s="2">
        <v>23423985</v>
      </c>
      <c r="M737" s="2"/>
      <c r="N737" s="2"/>
      <c r="O737" s="2"/>
      <c r="P737" s="2"/>
      <c r="Q737" s="2"/>
      <c r="R737" s="2"/>
      <c r="S737" s="2"/>
      <c r="T737" s="2" t="s">
        <v>7086</v>
      </c>
      <c r="U737" s="2" t="s">
        <v>7087</v>
      </c>
      <c r="V737" s="2" t="s">
        <v>115</v>
      </c>
      <c r="W737" s="2" t="s">
        <v>116</v>
      </c>
      <c r="X737" s="2" t="s">
        <v>1642</v>
      </c>
      <c r="Y737" s="2" t="s">
        <v>118</v>
      </c>
      <c r="Z737" s="2" t="s">
        <v>119</v>
      </c>
      <c r="AA737" s="2" t="s">
        <v>1643</v>
      </c>
      <c r="AB737" s="2" t="s">
        <v>3086</v>
      </c>
      <c r="AC737" s="2">
        <v>54.48</v>
      </c>
      <c r="AD737" s="2">
        <v>89.31</v>
      </c>
      <c r="AE737" s="2">
        <v>0</v>
      </c>
      <c r="AF737" s="2" t="s">
        <v>5614</v>
      </c>
      <c r="AG737" s="2" t="s">
        <v>157</v>
      </c>
      <c r="AH737" s="2" t="s">
        <v>7088</v>
      </c>
      <c r="AI737" s="2">
        <v>0.57999999999999996</v>
      </c>
      <c r="AJ737" s="2">
        <v>17.5962034444408</v>
      </c>
      <c r="AK737" s="2">
        <v>17.315232013772</v>
      </c>
      <c r="AL737" s="2">
        <v>17.210531613982901</v>
      </c>
      <c r="AM737" s="2">
        <v>17.372177753066801</v>
      </c>
      <c r="AN737" s="2">
        <v>17.404190674135702</v>
      </c>
      <c r="AO737" s="2">
        <v>16.9824567632342</v>
      </c>
      <c r="AP737" s="2">
        <v>16.851333147855499</v>
      </c>
      <c r="AQ737" s="2">
        <v>16.997349970384398</v>
      </c>
      <c r="AR737" s="2">
        <v>16.813700413061401</v>
      </c>
      <c r="AS737" s="2">
        <v>16.633050557686001</v>
      </c>
      <c r="AT737" s="2">
        <v>16.8085361380348</v>
      </c>
      <c r="AU737" s="2">
        <v>16.375449985606402</v>
      </c>
      <c r="AV737" s="2">
        <v>16.093504222528601</v>
      </c>
      <c r="AW737" s="2">
        <v>17.011324890909901</v>
      </c>
      <c r="AX737" s="2">
        <v>15.8753106793369</v>
      </c>
      <c r="AY737" s="2">
        <v>16.5391203314555</v>
      </c>
      <c r="AZ737" s="2">
        <v>15.195379128631</v>
      </c>
      <c r="BA737" s="2">
        <v>15.708573899099401</v>
      </c>
      <c r="BB737" s="2">
        <v>16.714748736171199</v>
      </c>
      <c r="BC737" s="2">
        <v>16.305821291450201</v>
      </c>
      <c r="BD737" s="2">
        <v>16.695844057283299</v>
      </c>
      <c r="BE737" s="2">
        <v>18.090633275861101</v>
      </c>
      <c r="BF737" s="2">
        <v>17.696580184495701</v>
      </c>
      <c r="BG737" s="2">
        <v>17.879714739262301</v>
      </c>
      <c r="BH737" s="2">
        <v>16.665488595811802</v>
      </c>
      <c r="BI737" s="2">
        <v>15.5592330767515</v>
      </c>
      <c r="BJ737" s="2">
        <v>16.017764052410602</v>
      </c>
      <c r="BK737" s="2">
        <v>16.403122399108501</v>
      </c>
      <c r="BL737" s="2">
        <v>15.0199025488961</v>
      </c>
      <c r="BM737" s="2">
        <v>15.2706654441668</v>
      </c>
      <c r="BN737" s="2">
        <v>15.5923259249971</v>
      </c>
      <c r="BO737" s="2">
        <v>15.922035204447599</v>
      </c>
      <c r="BP737" s="2">
        <v>15.5416886402946</v>
      </c>
      <c r="BQ737" s="2">
        <v>16.0185442473297</v>
      </c>
      <c r="BR737" s="2">
        <v>15.6487022033879</v>
      </c>
      <c r="BS737" s="2">
        <v>14.518013783084401</v>
      </c>
      <c r="BT737" s="2">
        <v>14.9331558145656</v>
      </c>
      <c r="BU737" s="2">
        <v>15.766117087518699</v>
      </c>
      <c r="BV737" s="2">
        <v>15.791606792963799</v>
      </c>
      <c r="BW737" s="2">
        <v>15.4884197958282</v>
      </c>
      <c r="BX737" s="2">
        <v>15.7755284941745</v>
      </c>
      <c r="BY737" s="2">
        <v>17.108714541215502</v>
      </c>
      <c r="BZ737" s="2">
        <v>15.402782588584801</v>
      </c>
      <c r="CA737" s="2">
        <v>17.172132712115999</v>
      </c>
      <c r="CB737" s="2">
        <v>15.4459934947366</v>
      </c>
      <c r="CC737" s="2">
        <v>15.842926304574</v>
      </c>
      <c r="CD737" s="2">
        <v>15.723000926842699</v>
      </c>
      <c r="CE737" s="2">
        <v>15.661931153362801</v>
      </c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</row>
    <row r="738" spans="1:97">
      <c r="A738" s="2" t="s">
        <v>7089</v>
      </c>
      <c r="B738" s="2">
        <v>297.24286999999998</v>
      </c>
      <c r="C738" s="2">
        <v>11.657999999999999</v>
      </c>
      <c r="D738" s="2" t="s">
        <v>146</v>
      </c>
      <c r="E738" s="2" t="s">
        <v>7090</v>
      </c>
      <c r="F738" s="2" t="s">
        <v>7091</v>
      </c>
      <c r="G738" s="2">
        <v>3165</v>
      </c>
      <c r="H738" s="3" t="str">
        <f>HYPERLINK("https://cloud.oebiotech.com/#/lm/network/3165", "https://cloud.oebiotech.com/#/lm/network/3165")</f>
        <v>https://cloud.oebiotech.com/#/lm/network/3165</v>
      </c>
      <c r="I738" s="2"/>
      <c r="J738" s="2">
        <v>35657</v>
      </c>
      <c r="K738" s="2" t="s">
        <v>7092</v>
      </c>
      <c r="L738" s="2">
        <v>5312851</v>
      </c>
      <c r="M738" s="2"/>
      <c r="N738" s="2"/>
      <c r="O738" s="2"/>
      <c r="P738" s="2"/>
      <c r="Q738" s="2"/>
      <c r="R738" s="2"/>
      <c r="S738" s="2"/>
      <c r="T738" s="2" t="s">
        <v>7093</v>
      </c>
      <c r="U738" s="2" t="s">
        <v>7094</v>
      </c>
      <c r="V738" s="2" t="s">
        <v>95</v>
      </c>
      <c r="W738" s="2" t="s">
        <v>96</v>
      </c>
      <c r="X738" s="2" t="s">
        <v>141</v>
      </c>
      <c r="Y738" s="2" t="s">
        <v>98</v>
      </c>
      <c r="Z738" s="2" t="s">
        <v>99</v>
      </c>
      <c r="AA738" s="2" t="s">
        <v>142</v>
      </c>
      <c r="AB738" s="2" t="s">
        <v>3086</v>
      </c>
      <c r="AC738" s="2">
        <v>54.43</v>
      </c>
      <c r="AD738" s="2">
        <v>89.01</v>
      </c>
      <c r="AE738" s="2">
        <v>0</v>
      </c>
      <c r="AF738" s="2" t="s">
        <v>5614</v>
      </c>
      <c r="AG738" s="2" t="s">
        <v>194</v>
      </c>
      <c r="AH738" s="2" t="s">
        <v>7095</v>
      </c>
      <c r="AI738" s="2">
        <v>2.02</v>
      </c>
      <c r="AJ738" s="2">
        <v>20.330334327873</v>
      </c>
      <c r="AK738" s="2">
        <v>20.451907042297599</v>
      </c>
      <c r="AL738" s="2">
        <v>21.040472884111502</v>
      </c>
      <c r="AM738" s="2">
        <v>20.473419159338</v>
      </c>
      <c r="AN738" s="2">
        <v>20.912031417044201</v>
      </c>
      <c r="AO738" s="2">
        <v>19.915715131196599</v>
      </c>
      <c r="AP738" s="2">
        <v>20.765960455938199</v>
      </c>
      <c r="AQ738" s="2">
        <v>20.814680309864801</v>
      </c>
      <c r="AR738" s="2">
        <v>19.769915838383699</v>
      </c>
      <c r="AS738" s="2">
        <v>19.665483547265499</v>
      </c>
      <c r="AT738" s="2">
        <v>19.7917226435294</v>
      </c>
      <c r="AU738" s="2">
        <v>20.3604135334094</v>
      </c>
      <c r="AV738" s="2">
        <v>19.971681769306699</v>
      </c>
      <c r="AW738" s="2">
        <v>20.2988181415143</v>
      </c>
      <c r="AX738" s="2">
        <v>19.946379796155199</v>
      </c>
      <c r="AY738" s="2">
        <v>19.709567228838001</v>
      </c>
      <c r="AZ738" s="2">
        <v>19.602572195993499</v>
      </c>
      <c r="BA738" s="2">
        <v>19.8729809696516</v>
      </c>
      <c r="BB738" s="2">
        <v>20.049382200641201</v>
      </c>
      <c r="BC738" s="2">
        <v>19.808882985227701</v>
      </c>
      <c r="BD738" s="2">
        <v>19.595907660949798</v>
      </c>
      <c r="BE738" s="2">
        <v>20.067488404085399</v>
      </c>
      <c r="BF738" s="2">
        <v>19.8143350572395</v>
      </c>
      <c r="BG738" s="2">
        <v>19.831389779339801</v>
      </c>
      <c r="BH738" s="2">
        <v>20.305389142146002</v>
      </c>
      <c r="BI738" s="2">
        <v>19.496693770234401</v>
      </c>
      <c r="BJ738" s="2">
        <v>19.647659696311699</v>
      </c>
      <c r="BK738" s="2">
        <v>19.459196532346802</v>
      </c>
      <c r="BL738" s="2">
        <v>19.202043761717</v>
      </c>
      <c r="BM738" s="2">
        <v>19.3867744948972</v>
      </c>
      <c r="BN738" s="2">
        <v>20.071813885511698</v>
      </c>
      <c r="BO738" s="2">
        <v>19.819028535191698</v>
      </c>
      <c r="BP738" s="2">
        <v>19.713073455782599</v>
      </c>
      <c r="BQ738" s="2">
        <v>19.711909747925901</v>
      </c>
      <c r="BR738" s="2">
        <v>21.378890422195099</v>
      </c>
      <c r="BS738" s="2">
        <v>20.242818417851002</v>
      </c>
      <c r="BT738" s="2">
        <v>19.962570612927401</v>
      </c>
      <c r="BU738" s="2">
        <v>20.080109530618198</v>
      </c>
      <c r="BV738" s="2">
        <v>19.513291316264599</v>
      </c>
      <c r="BW738" s="2">
        <v>18.551051184463599</v>
      </c>
      <c r="BX738" s="2">
        <v>19.717659071293301</v>
      </c>
      <c r="BY738" s="2">
        <v>21.546642887558001</v>
      </c>
      <c r="BZ738" s="2">
        <v>20.307242252134799</v>
      </c>
      <c r="CA738" s="2">
        <v>19.8037268487133</v>
      </c>
      <c r="CB738" s="2">
        <v>20.3703505021134</v>
      </c>
      <c r="CC738" s="2">
        <v>20.140244947557498</v>
      </c>
      <c r="CD738" s="2">
        <v>19.9452674152909</v>
      </c>
      <c r="CE738" s="2">
        <v>20.037758739878299</v>
      </c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</row>
    <row r="739" spans="1:97">
      <c r="A739" s="2" t="s">
        <v>7096</v>
      </c>
      <c r="B739" s="2">
        <v>335.22215999999997</v>
      </c>
      <c r="C739" s="2">
        <v>10.58</v>
      </c>
      <c r="D739" s="2" t="s">
        <v>146</v>
      </c>
      <c r="E739" s="2" t="s">
        <v>7097</v>
      </c>
      <c r="F739" s="2" t="s">
        <v>7098</v>
      </c>
      <c r="G739" s="2">
        <v>2929</v>
      </c>
      <c r="H739" s="3" t="str">
        <f>HYPERLINK("https://cloud.oebiotech.com/#/lm/network/2929", "https://cloud.oebiotech.com/#/lm/network/2929")</f>
        <v>https://cloud.oebiotech.com/#/lm/network/2929</v>
      </c>
      <c r="I739" s="2"/>
      <c r="J739" s="2">
        <v>74940</v>
      </c>
      <c r="K739" s="2" t="s">
        <v>7099</v>
      </c>
      <c r="L739" s="2">
        <v>52921870</v>
      </c>
      <c r="M739" s="2"/>
      <c r="N739" s="2"/>
      <c r="O739" s="2"/>
      <c r="P739" s="2"/>
      <c r="Q739" s="2"/>
      <c r="R739" s="2"/>
      <c r="S739" s="2"/>
      <c r="T739" s="2" t="s">
        <v>7100</v>
      </c>
      <c r="U739" s="2" t="s">
        <v>7101</v>
      </c>
      <c r="V739" s="2" t="s">
        <v>95</v>
      </c>
      <c r="W739" s="2" t="s">
        <v>96</v>
      </c>
      <c r="X739" s="2" t="s">
        <v>141</v>
      </c>
      <c r="Y739" s="2" t="s">
        <v>98</v>
      </c>
      <c r="Z739" s="2" t="s">
        <v>99</v>
      </c>
      <c r="AA739" s="2" t="s">
        <v>142</v>
      </c>
      <c r="AB739" s="2" t="s">
        <v>3086</v>
      </c>
      <c r="AC739" s="2">
        <v>54.41</v>
      </c>
      <c r="AD739" s="2">
        <v>87.52</v>
      </c>
      <c r="AE739" s="2">
        <v>0</v>
      </c>
      <c r="AF739" s="2" t="s">
        <v>5614</v>
      </c>
      <c r="AG739" s="2" t="s">
        <v>194</v>
      </c>
      <c r="AH739" s="2" t="s">
        <v>6855</v>
      </c>
      <c r="AI739" s="2">
        <v>1.79</v>
      </c>
      <c r="AJ739" s="2">
        <v>18.1681086512089</v>
      </c>
      <c r="AK739" s="2">
        <v>17.991721345455499</v>
      </c>
      <c r="AL739" s="2">
        <v>19.050327941536601</v>
      </c>
      <c r="AM739" s="2">
        <v>17.9239763827626</v>
      </c>
      <c r="AN739" s="2">
        <v>18.142419820110501</v>
      </c>
      <c r="AO739" s="2">
        <v>18.406003532663998</v>
      </c>
      <c r="AP739" s="2">
        <v>18.1866341139749</v>
      </c>
      <c r="AQ739" s="2">
        <v>18.354234873294999</v>
      </c>
      <c r="AR739" s="2">
        <v>17.0476856509813</v>
      </c>
      <c r="AS739" s="2">
        <v>16.525145313285801</v>
      </c>
      <c r="AT739" s="2">
        <v>17.424319596551399</v>
      </c>
      <c r="AU739" s="2">
        <v>17.483435958832601</v>
      </c>
      <c r="AV739" s="2">
        <v>19.017610039595201</v>
      </c>
      <c r="AW739" s="2">
        <v>19.0655911593886</v>
      </c>
      <c r="AX739" s="2">
        <v>17.921134115285302</v>
      </c>
      <c r="AY739" s="2">
        <v>19.0542344506521</v>
      </c>
      <c r="AZ739" s="2">
        <v>17.9367999800706</v>
      </c>
      <c r="BA739" s="2">
        <v>17.797082470021198</v>
      </c>
      <c r="BB739" s="2">
        <v>18.295287570212299</v>
      </c>
      <c r="BC739" s="2">
        <v>18.735737605375999</v>
      </c>
      <c r="BD739" s="2">
        <v>17.941481241729701</v>
      </c>
      <c r="BE739" s="2">
        <v>18.6091324120633</v>
      </c>
      <c r="BF739" s="2">
        <v>17.479907412975098</v>
      </c>
      <c r="BG739" s="2">
        <v>17.250228365395699</v>
      </c>
      <c r="BH739" s="2">
        <v>18.133133028920501</v>
      </c>
      <c r="BI739" s="2">
        <v>18.189892926630499</v>
      </c>
      <c r="BJ739" s="2">
        <v>18.638102799597199</v>
      </c>
      <c r="BK739" s="2">
        <v>17.386142296625898</v>
      </c>
      <c r="BL739" s="2">
        <v>17.4437147739282</v>
      </c>
      <c r="BM739" s="2">
        <v>17.687875651606699</v>
      </c>
      <c r="BN739" s="2">
        <v>18.032141048702499</v>
      </c>
      <c r="BO739" s="2">
        <v>17.895415230438399</v>
      </c>
      <c r="BP739" s="2">
        <v>18.356129105633698</v>
      </c>
      <c r="BQ739" s="2">
        <v>19.009034861023299</v>
      </c>
      <c r="BR739" s="2">
        <v>18.162469810931899</v>
      </c>
      <c r="BS739" s="2">
        <v>19.0683802467485</v>
      </c>
      <c r="BT739" s="2">
        <v>18.511473243506099</v>
      </c>
      <c r="BU739" s="2">
        <v>18.215797641456501</v>
      </c>
      <c r="BV739" s="2">
        <v>18.7714029673634</v>
      </c>
      <c r="BW739" s="2">
        <v>17.890103753540501</v>
      </c>
      <c r="BX739" s="2">
        <v>17.433179772835899</v>
      </c>
      <c r="BY739" s="2">
        <v>19.228296863694201</v>
      </c>
      <c r="BZ739" s="2">
        <v>16.9892351550291</v>
      </c>
      <c r="CA739" s="2">
        <v>17.023768861596999</v>
      </c>
      <c r="CB739" s="2">
        <v>18.532748950743802</v>
      </c>
      <c r="CC739" s="2">
        <v>16.8784183430529</v>
      </c>
      <c r="CD739" s="2">
        <v>18.504359927457902</v>
      </c>
      <c r="CE739" s="2">
        <v>18.262987946839001</v>
      </c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</row>
    <row r="740" spans="1:97">
      <c r="A740" s="2" t="s">
        <v>7102</v>
      </c>
      <c r="B740" s="2">
        <v>358.29457000000002</v>
      </c>
      <c r="C740" s="2">
        <v>11.622999999999999</v>
      </c>
      <c r="D740" s="2" t="s">
        <v>84</v>
      </c>
      <c r="E740" s="2" t="s">
        <v>7103</v>
      </c>
      <c r="F740" s="2" t="s">
        <v>7104</v>
      </c>
      <c r="G740" s="2">
        <v>198451</v>
      </c>
      <c r="H740" s="3" t="str">
        <f>HYPERLINK("https://cloud.oebiotech.com/#/lm/network/198451", "https://cloud.oebiotech.com/#/lm/network/198451")</f>
        <v>https://cloud.oebiotech.com/#/lm/network/198451</v>
      </c>
      <c r="I740" s="2" t="s">
        <v>7105</v>
      </c>
      <c r="J740" s="2"/>
      <c r="K740" s="2"/>
      <c r="L740" s="2">
        <v>14239841</v>
      </c>
      <c r="M740" s="2"/>
      <c r="N740" s="2"/>
      <c r="O740" s="2"/>
      <c r="P740" s="2"/>
      <c r="Q740" s="2"/>
      <c r="R740" s="2"/>
      <c r="S740" s="2"/>
      <c r="T740" s="2" t="s">
        <v>7106</v>
      </c>
      <c r="U740" s="2" t="s">
        <v>7107</v>
      </c>
      <c r="V740" s="2" t="s">
        <v>115</v>
      </c>
      <c r="W740" s="2" t="s">
        <v>116</v>
      </c>
      <c r="X740" s="2" t="s">
        <v>117</v>
      </c>
      <c r="Y740" s="2" t="s">
        <v>118</v>
      </c>
      <c r="Z740" s="2" t="s">
        <v>119</v>
      </c>
      <c r="AA740" s="2" t="s">
        <v>120</v>
      </c>
      <c r="AB740" s="2" t="s">
        <v>3086</v>
      </c>
      <c r="AC740" s="2">
        <v>54.4</v>
      </c>
      <c r="AD740" s="2">
        <v>86.67</v>
      </c>
      <c r="AE740" s="2">
        <v>0</v>
      </c>
      <c r="AF740" s="2" t="s">
        <v>5614</v>
      </c>
      <c r="AG740" s="2" t="s">
        <v>103</v>
      </c>
      <c r="AH740" s="2" t="s">
        <v>7108</v>
      </c>
      <c r="AI740" s="2">
        <v>1.67</v>
      </c>
      <c r="AJ740" s="2">
        <v>18.7474763043884</v>
      </c>
      <c r="AK740" s="2">
        <v>18.3730538761777</v>
      </c>
      <c r="AL740" s="2">
        <v>18.6422294585347</v>
      </c>
      <c r="AM740" s="2">
        <v>18.588485463659001</v>
      </c>
      <c r="AN740" s="2">
        <v>18.107123777259901</v>
      </c>
      <c r="AO740" s="2">
        <v>18.358611155042698</v>
      </c>
      <c r="AP740" s="2">
        <v>17.803992773935398</v>
      </c>
      <c r="AQ740" s="2">
        <v>18.720424937952799</v>
      </c>
      <c r="AR740" s="2">
        <v>18.576655137088501</v>
      </c>
      <c r="AS740" s="2">
        <v>18.9500476988222</v>
      </c>
      <c r="AT740" s="2">
        <v>18.787260195771399</v>
      </c>
      <c r="AU740" s="2">
        <v>18.028522264243101</v>
      </c>
      <c r="AV740" s="2">
        <v>18.836293297360299</v>
      </c>
      <c r="AW740" s="2">
        <v>18.702797701122101</v>
      </c>
      <c r="AX740" s="2">
        <v>18.8704171302414</v>
      </c>
      <c r="AY740" s="2">
        <v>19.150344679143799</v>
      </c>
      <c r="AZ740" s="2">
        <v>18.187990641085499</v>
      </c>
      <c r="BA740" s="2">
        <v>18.511579370190201</v>
      </c>
      <c r="BB740" s="2">
        <v>18.814442650486999</v>
      </c>
      <c r="BC740" s="2">
        <v>18.467569929607102</v>
      </c>
      <c r="BD740" s="2">
        <v>18.866773565613201</v>
      </c>
      <c r="BE740" s="2">
        <v>18.269765900443002</v>
      </c>
      <c r="BF740" s="2">
        <v>18.659257128771301</v>
      </c>
      <c r="BG740" s="2">
        <v>18.516586776234298</v>
      </c>
      <c r="BH740" s="2">
        <v>18.873055370964799</v>
      </c>
      <c r="BI740" s="2">
        <v>18.6420799055558</v>
      </c>
      <c r="BJ740" s="2">
        <v>18.5218476150201</v>
      </c>
      <c r="BK740" s="2">
        <v>18.597326934454699</v>
      </c>
      <c r="BL740" s="2">
        <v>18.224673775737202</v>
      </c>
      <c r="BM740" s="2">
        <v>18.277381443620001</v>
      </c>
      <c r="BN740" s="2">
        <v>18.222719398971599</v>
      </c>
      <c r="BO740" s="2">
        <v>17.812708476858099</v>
      </c>
      <c r="BP740" s="2">
        <v>18.453900373268201</v>
      </c>
      <c r="BQ740" s="2">
        <v>18.461677356634301</v>
      </c>
      <c r="BR740" s="2">
        <v>18.654274288592799</v>
      </c>
      <c r="BS740" s="2">
        <v>18.5780477181344</v>
      </c>
      <c r="BT740" s="2">
        <v>18.682111825708699</v>
      </c>
      <c r="BU740" s="2">
        <v>18.513124175379101</v>
      </c>
      <c r="BV740" s="2">
        <v>18.386795456769999</v>
      </c>
      <c r="BW740" s="2">
        <v>18.387607600032599</v>
      </c>
      <c r="BX740" s="2">
        <v>18.128888325083199</v>
      </c>
      <c r="BY740" s="2">
        <v>18.077402772563701</v>
      </c>
      <c r="BZ740" s="2">
        <v>18.337748282089201</v>
      </c>
      <c r="CA740" s="2">
        <v>18.692339010864501</v>
      </c>
      <c r="CB740" s="2">
        <v>18.500781789347698</v>
      </c>
      <c r="CC740" s="2">
        <v>17.804850537676199</v>
      </c>
      <c r="CD740" s="2">
        <v>18.376209304886199</v>
      </c>
      <c r="CE740" s="2">
        <v>18.431383869035301</v>
      </c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</row>
    <row r="741" spans="1:97">
      <c r="A741" s="2" t="s">
        <v>7109</v>
      </c>
      <c r="B741" s="2">
        <v>297.24284999999998</v>
      </c>
      <c r="C741" s="2">
        <v>12.532</v>
      </c>
      <c r="D741" s="2" t="s">
        <v>146</v>
      </c>
      <c r="E741" s="2" t="s">
        <v>7110</v>
      </c>
      <c r="F741" s="2" t="s">
        <v>7111</v>
      </c>
      <c r="G741" s="2">
        <v>55742</v>
      </c>
      <c r="H741" s="3" t="str">
        <f>HYPERLINK("https://cloud.oebiotech.com/#/lm/network/55742", "https://cloud.oebiotech.com/#/lm/network/55742")</f>
        <v>https://cloud.oebiotech.com/#/lm/network/55742</v>
      </c>
      <c r="I741" s="2" t="s">
        <v>7112</v>
      </c>
      <c r="J741" s="2">
        <v>87429</v>
      </c>
      <c r="K741" s="2"/>
      <c r="L741" s="2">
        <v>53656633</v>
      </c>
      <c r="M741" s="2"/>
      <c r="N741" s="2"/>
      <c r="O741" s="2"/>
      <c r="P741" s="2"/>
      <c r="Q741" s="2"/>
      <c r="R741" s="2"/>
      <c r="S741" s="2" t="s">
        <v>7113</v>
      </c>
      <c r="T741" s="2" t="s">
        <v>7114</v>
      </c>
      <c r="U741" s="2" t="s">
        <v>7115</v>
      </c>
      <c r="V741" s="2" t="s">
        <v>95</v>
      </c>
      <c r="W741" s="2" t="s">
        <v>96</v>
      </c>
      <c r="X741" s="2" t="s">
        <v>3216</v>
      </c>
      <c r="Y741" s="2" t="s">
        <v>98</v>
      </c>
      <c r="Z741" s="2" t="s">
        <v>99</v>
      </c>
      <c r="AA741" s="2" t="s">
        <v>3217</v>
      </c>
      <c r="AB741" s="2" t="s">
        <v>3086</v>
      </c>
      <c r="AC741" s="2">
        <v>54.39</v>
      </c>
      <c r="AD741" s="2">
        <v>89.01</v>
      </c>
      <c r="AE741" s="2">
        <v>0</v>
      </c>
      <c r="AF741" s="2" t="s">
        <v>5614</v>
      </c>
      <c r="AG741" s="2" t="s">
        <v>194</v>
      </c>
      <c r="AH741" s="2" t="s">
        <v>7095</v>
      </c>
      <c r="AI741" s="2">
        <v>2.35</v>
      </c>
      <c r="AJ741" s="2">
        <v>20.483321905223999</v>
      </c>
      <c r="AK741" s="2">
        <v>21.449955357387001</v>
      </c>
      <c r="AL741" s="2">
        <v>21.1231785742597</v>
      </c>
      <c r="AM741" s="2">
        <v>21.0287671412249</v>
      </c>
      <c r="AN741" s="2">
        <v>20.838381357329201</v>
      </c>
      <c r="AO741" s="2">
        <v>21.2279095872588</v>
      </c>
      <c r="AP741" s="2">
        <v>21.165511870411699</v>
      </c>
      <c r="AQ741" s="2">
        <v>21.129640369535501</v>
      </c>
      <c r="AR741" s="2">
        <v>21.2569231188393</v>
      </c>
      <c r="AS741" s="2">
        <v>19.678332676035499</v>
      </c>
      <c r="AT741" s="2">
        <v>20.6803658939466</v>
      </c>
      <c r="AU741" s="2">
        <v>20.7750199244777</v>
      </c>
      <c r="AV741" s="2">
        <v>20.237237309379299</v>
      </c>
      <c r="AW741" s="2">
        <v>21.090951617091999</v>
      </c>
      <c r="AX741" s="2">
        <v>20.889461391824401</v>
      </c>
      <c r="AY741" s="2">
        <v>21.4797713351632</v>
      </c>
      <c r="AZ741" s="2">
        <v>20.661355945440398</v>
      </c>
      <c r="BA741" s="2">
        <v>21.1250563371628</v>
      </c>
      <c r="BB741" s="2">
        <v>21.344389221647099</v>
      </c>
      <c r="BC741" s="2">
        <v>20.888341290031999</v>
      </c>
      <c r="BD741" s="2">
        <v>20.902773212223401</v>
      </c>
      <c r="BE741" s="2">
        <v>20.4864187866545</v>
      </c>
      <c r="BF741" s="2">
        <v>21.043738052976099</v>
      </c>
      <c r="BG741" s="2">
        <v>20.922606083798399</v>
      </c>
      <c r="BH741" s="2">
        <v>20.844973281602599</v>
      </c>
      <c r="BI741" s="2">
        <v>20.7259264563648</v>
      </c>
      <c r="BJ741" s="2">
        <v>20.783747879894399</v>
      </c>
      <c r="BK741" s="2">
        <v>20.283778246176102</v>
      </c>
      <c r="BL741" s="2">
        <v>20.543024114821701</v>
      </c>
      <c r="BM741" s="2">
        <v>21.000889646428</v>
      </c>
      <c r="BN741" s="2">
        <v>20.977309100198099</v>
      </c>
      <c r="BO741" s="2">
        <v>21.150722242151001</v>
      </c>
      <c r="BP741" s="2">
        <v>20.924736005959399</v>
      </c>
      <c r="BQ741" s="2">
        <v>21.050490305237702</v>
      </c>
      <c r="BR741" s="2">
        <v>21.609528873150602</v>
      </c>
      <c r="BS741" s="2">
        <v>20.783042361739199</v>
      </c>
      <c r="BT741" s="2">
        <v>20.917850014837299</v>
      </c>
      <c r="BU741" s="2">
        <v>20.931755941601399</v>
      </c>
      <c r="BV741" s="2">
        <v>21.370569264457998</v>
      </c>
      <c r="BW741" s="2">
        <v>20.006109421840801</v>
      </c>
      <c r="BX741" s="2">
        <v>19.775108445083202</v>
      </c>
      <c r="BY741" s="2">
        <v>21.445857053744302</v>
      </c>
      <c r="BZ741" s="2">
        <v>21.305973225404699</v>
      </c>
      <c r="CA741" s="2">
        <v>20.857570410087401</v>
      </c>
      <c r="CB741" s="2">
        <v>20.959183706944199</v>
      </c>
      <c r="CC741" s="2">
        <v>20.584446955975</v>
      </c>
      <c r="CD741" s="2">
        <v>20.915274716387199</v>
      </c>
      <c r="CE741" s="2">
        <v>21.101943839354199</v>
      </c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</row>
    <row r="742" spans="1:97">
      <c r="A742" s="2" t="s">
        <v>7116</v>
      </c>
      <c r="B742" s="2">
        <v>277.15517999999997</v>
      </c>
      <c r="C742" s="2">
        <v>4.5309999999999997</v>
      </c>
      <c r="D742" s="2" t="s">
        <v>146</v>
      </c>
      <c r="E742" s="2" t="s">
        <v>7117</v>
      </c>
      <c r="F742" s="2" t="s">
        <v>7118</v>
      </c>
      <c r="G742" s="2">
        <v>199854</v>
      </c>
      <c r="H742" s="3" t="str">
        <f>HYPERLINK("https://cloud.oebiotech.com/#/lm/network/199854", "https://cloud.oebiotech.com/#/lm/network/199854")</f>
        <v>https://cloud.oebiotech.com/#/lm/network/199854</v>
      </c>
      <c r="I742" s="2" t="s">
        <v>7119</v>
      </c>
      <c r="J742" s="2"/>
      <c r="K742" s="2"/>
      <c r="L742" s="2">
        <v>707167</v>
      </c>
      <c r="M742" s="2"/>
      <c r="N742" s="2"/>
      <c r="O742" s="2"/>
      <c r="P742" s="2"/>
      <c r="Q742" s="2"/>
      <c r="R742" s="2"/>
      <c r="S742" s="2"/>
      <c r="T742" s="2" t="s">
        <v>7120</v>
      </c>
      <c r="U742" s="2" t="s">
        <v>7121</v>
      </c>
      <c r="V742" s="2" t="s">
        <v>553</v>
      </c>
      <c r="W742" s="2" t="s">
        <v>933</v>
      </c>
      <c r="X742" s="2" t="s">
        <v>7122</v>
      </c>
      <c r="Y742" s="2" t="s">
        <v>556</v>
      </c>
      <c r="Z742" s="2" t="s">
        <v>935</v>
      </c>
      <c r="AA742" s="2" t="s">
        <v>7123</v>
      </c>
      <c r="AB742" s="2" t="s">
        <v>3086</v>
      </c>
      <c r="AC742" s="2">
        <v>54.34</v>
      </c>
      <c r="AD742" s="2">
        <v>90.52</v>
      </c>
      <c r="AE742" s="2">
        <v>0</v>
      </c>
      <c r="AF742" s="2" t="s">
        <v>5614</v>
      </c>
      <c r="AG742" s="2" t="s">
        <v>157</v>
      </c>
      <c r="AH742" s="2" t="s">
        <v>7124</v>
      </c>
      <c r="AI742" s="2">
        <v>2.16</v>
      </c>
      <c r="AJ742" s="2">
        <v>16.3848302835416</v>
      </c>
      <c r="AK742" s="2">
        <v>16.372587422044599</v>
      </c>
      <c r="AL742" s="2">
        <v>16.167609447055501</v>
      </c>
      <c r="AM742" s="2">
        <v>16.496612892103499</v>
      </c>
      <c r="AN742" s="2">
        <v>16.293396207134901</v>
      </c>
      <c r="AO742" s="2">
        <v>16.2423440389151</v>
      </c>
      <c r="AP742" s="2">
        <v>16.575913964438801</v>
      </c>
      <c r="AQ742" s="2">
        <v>16.117535763677001</v>
      </c>
      <c r="AR742" s="2">
        <v>15.4359609190812</v>
      </c>
      <c r="AS742" s="2">
        <v>15.019369199286899</v>
      </c>
      <c r="AT742" s="2">
        <v>16.006248050248999</v>
      </c>
      <c r="AU742" s="2">
        <v>15.712077162829599</v>
      </c>
      <c r="AV742" s="2">
        <v>16.242542777925301</v>
      </c>
      <c r="AW742" s="2">
        <v>16.5056842644507</v>
      </c>
      <c r="AX742" s="2">
        <v>15.5503118073735</v>
      </c>
      <c r="AY742" s="2">
        <v>15.875907461441299</v>
      </c>
      <c r="AZ742" s="2">
        <v>15.509772221347699</v>
      </c>
      <c r="BA742" s="2">
        <v>15.8967886143543</v>
      </c>
      <c r="BB742" s="2">
        <v>16.9362719283227</v>
      </c>
      <c r="BC742" s="2">
        <v>16.335025133266299</v>
      </c>
      <c r="BD742" s="2">
        <v>15.561258107516799</v>
      </c>
      <c r="BE742" s="2">
        <v>17.047287961621301</v>
      </c>
      <c r="BF742" s="2">
        <v>15.400696686893101</v>
      </c>
      <c r="BG742" s="2">
        <v>16.675475521469401</v>
      </c>
      <c r="BH742" s="2">
        <v>16.645712887039998</v>
      </c>
      <c r="BI742" s="2">
        <v>14.9457528999517</v>
      </c>
      <c r="BJ742" s="2">
        <v>16.0189970842079</v>
      </c>
      <c r="BK742" s="2">
        <v>15.9536608359123</v>
      </c>
      <c r="BL742" s="2">
        <v>16.2450187642469</v>
      </c>
      <c r="BM742" s="2">
        <v>16.977503202816798</v>
      </c>
      <c r="BN742" s="2">
        <v>16.626078885688202</v>
      </c>
      <c r="BO742" s="2">
        <v>16.092607265260899</v>
      </c>
      <c r="BP742" s="2">
        <v>15.9892232894014</v>
      </c>
      <c r="BQ742" s="2">
        <v>16.716925939738399</v>
      </c>
      <c r="BR742" s="2">
        <v>15.7508665907114</v>
      </c>
      <c r="BS742" s="2">
        <v>16.267197253631601</v>
      </c>
      <c r="BT742" s="2">
        <v>16.472132016661401</v>
      </c>
      <c r="BU742" s="2">
        <v>15.552055437421799</v>
      </c>
      <c r="BV742" s="2">
        <v>17.248250778538502</v>
      </c>
      <c r="BW742" s="2">
        <v>15.8771750740045</v>
      </c>
      <c r="BX742" s="2">
        <v>16.1315157749669</v>
      </c>
      <c r="BY742" s="2">
        <v>16.9880994938508</v>
      </c>
      <c r="BZ742" s="2">
        <v>16.2847819969118</v>
      </c>
      <c r="CA742" s="2">
        <v>16.4445726681503</v>
      </c>
      <c r="CB742" s="2">
        <v>15.747568874883701</v>
      </c>
      <c r="CC742" s="2">
        <v>15.729990025792601</v>
      </c>
      <c r="CD742" s="2">
        <v>16.1177041727797</v>
      </c>
      <c r="CE742" s="2">
        <v>16.0504553574978</v>
      </c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</row>
    <row r="743" spans="1:97">
      <c r="A743" s="2" t="s">
        <v>7125</v>
      </c>
      <c r="B743" s="2">
        <v>248.14887999999999</v>
      </c>
      <c r="C743" s="2">
        <v>1.0680000000000001</v>
      </c>
      <c r="D743" s="2" t="s">
        <v>84</v>
      </c>
      <c r="E743" s="2" t="s">
        <v>7126</v>
      </c>
      <c r="F743" s="2" t="s">
        <v>7127</v>
      </c>
      <c r="G743" s="2">
        <v>52185</v>
      </c>
      <c r="H743" s="3" t="str">
        <f>HYPERLINK("https://cloud.oebiotech.com/#/lm/network/52185", "https://cloud.oebiotech.com/#/lm/network/52185")</f>
        <v>https://cloud.oebiotech.com/#/lm/network/52185</v>
      </c>
      <c r="I743" s="2" t="s">
        <v>7128</v>
      </c>
      <c r="J743" s="2"/>
      <c r="K743" s="2"/>
      <c r="L743" s="2"/>
      <c r="M743" s="2"/>
      <c r="N743" s="2"/>
      <c r="O743" s="2"/>
      <c r="P743" s="2"/>
      <c r="Q743" s="2"/>
      <c r="R743" s="2"/>
      <c r="S743" s="2" t="s">
        <v>7129</v>
      </c>
      <c r="T743" s="2" t="s">
        <v>7130</v>
      </c>
      <c r="U743" s="2" t="s">
        <v>7131</v>
      </c>
      <c r="V743" s="2" t="s">
        <v>95</v>
      </c>
      <c r="W743" s="2" t="s">
        <v>96</v>
      </c>
      <c r="X743" s="2" t="s">
        <v>97</v>
      </c>
      <c r="Y743" s="2" t="s">
        <v>98</v>
      </c>
      <c r="Z743" s="2" t="s">
        <v>99</v>
      </c>
      <c r="AA743" s="2" t="s">
        <v>100</v>
      </c>
      <c r="AB743" s="2" t="s">
        <v>3086</v>
      </c>
      <c r="AC743" s="2">
        <v>54.34</v>
      </c>
      <c r="AD743" s="2">
        <v>92.32</v>
      </c>
      <c r="AE743" s="2">
        <v>0</v>
      </c>
      <c r="AF743" s="2" t="s">
        <v>5614</v>
      </c>
      <c r="AG743" s="2" t="s">
        <v>103</v>
      </c>
      <c r="AH743" s="2" t="s">
        <v>7132</v>
      </c>
      <c r="AI743" s="2">
        <v>1.21</v>
      </c>
      <c r="AJ743" s="2">
        <v>19.795546352469099</v>
      </c>
      <c r="AK743" s="2">
        <v>19.493252454676998</v>
      </c>
      <c r="AL743" s="2">
        <v>19.494954954594402</v>
      </c>
      <c r="AM743" s="2">
        <v>19.3142824744485</v>
      </c>
      <c r="AN743" s="2">
        <v>19.231302921674999</v>
      </c>
      <c r="AO743" s="2">
        <v>19.5902452413631</v>
      </c>
      <c r="AP743" s="2">
        <v>19.575267120472599</v>
      </c>
      <c r="AQ743" s="2">
        <v>19.372394378543898</v>
      </c>
      <c r="AR743" s="2">
        <v>18.175385713893402</v>
      </c>
      <c r="AS743" s="2">
        <v>17.942543140865499</v>
      </c>
      <c r="AT743" s="2">
        <v>20.270580850622899</v>
      </c>
      <c r="AU743" s="2">
        <v>18.671413942130901</v>
      </c>
      <c r="AV743" s="2">
        <v>18.727601759526099</v>
      </c>
      <c r="AW743" s="2">
        <v>18.981057095638899</v>
      </c>
      <c r="AX743" s="2">
        <v>19.8174419993424</v>
      </c>
      <c r="AY743" s="2">
        <v>18.584826559229398</v>
      </c>
      <c r="AZ743" s="2">
        <v>16.144499324152001</v>
      </c>
      <c r="BA743" s="2">
        <v>18.694939314309401</v>
      </c>
      <c r="BB743" s="2">
        <v>19.828484260954902</v>
      </c>
      <c r="BC743" s="2">
        <v>21.229762801995399</v>
      </c>
      <c r="BD743" s="2">
        <v>18.856468022430398</v>
      </c>
      <c r="BE743" s="2">
        <v>18.621373143768299</v>
      </c>
      <c r="BF743" s="2">
        <v>19.369751601545399</v>
      </c>
      <c r="BG743" s="2">
        <v>18.7692198044024</v>
      </c>
      <c r="BH743" s="2">
        <v>18.5050087136329</v>
      </c>
      <c r="BI743" s="2">
        <v>20.620898238623301</v>
      </c>
      <c r="BJ743" s="2">
        <v>19.828036433062501</v>
      </c>
      <c r="BK743" s="2">
        <v>17.709008468225999</v>
      </c>
      <c r="BL743" s="2">
        <v>18.466097377836601</v>
      </c>
      <c r="BM743" s="2">
        <v>15.444903909842401</v>
      </c>
      <c r="BN743" s="2">
        <v>18.645784364418301</v>
      </c>
      <c r="BO743" s="2">
        <v>18.857473586977498</v>
      </c>
      <c r="BP743" s="2">
        <v>18.738759888732101</v>
      </c>
      <c r="BQ743" s="2">
        <v>19.089100849835301</v>
      </c>
      <c r="BR743" s="2">
        <v>18.795121689448798</v>
      </c>
      <c r="BS743" s="2">
        <v>18.544717527274901</v>
      </c>
      <c r="BT743" s="2">
        <v>18.090236137454099</v>
      </c>
      <c r="BU743" s="2">
        <v>19.4007456488252</v>
      </c>
      <c r="BV743" s="2">
        <v>18.435734101709201</v>
      </c>
      <c r="BW743" s="2">
        <v>19.3166835650864</v>
      </c>
      <c r="BX743" s="2">
        <v>17.927859136852899</v>
      </c>
      <c r="BY743" s="2">
        <v>18.308938902422099</v>
      </c>
      <c r="BZ743" s="2">
        <v>19.269130035800899</v>
      </c>
      <c r="CA743" s="2">
        <v>19.9381896776421</v>
      </c>
      <c r="CB743" s="2">
        <v>18.929486990643301</v>
      </c>
      <c r="CC743" s="2">
        <v>19.372209472980899</v>
      </c>
      <c r="CD743" s="2">
        <v>18.6910103054432</v>
      </c>
      <c r="CE743" s="2">
        <v>19.146879801862799</v>
      </c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</row>
    <row r="744" spans="1:97">
      <c r="A744" s="2" t="s">
        <v>7133</v>
      </c>
      <c r="B744" s="2">
        <v>329.27944000000002</v>
      </c>
      <c r="C744" s="2">
        <v>8.1</v>
      </c>
      <c r="D744" s="2" t="s">
        <v>84</v>
      </c>
      <c r="E744" s="2" t="s">
        <v>7134</v>
      </c>
      <c r="F744" s="2" t="s">
        <v>7135</v>
      </c>
      <c r="G744" s="2">
        <v>8836</v>
      </c>
      <c r="H744" s="3" t="str">
        <f>HYPERLINK("https://cloud.oebiotech.com/#/lm/network/8836", "https://cloud.oebiotech.com/#/lm/network/8836")</f>
        <v>https://cloud.oebiotech.com/#/lm/network/8836</v>
      </c>
      <c r="I744" s="2"/>
      <c r="J744" s="2"/>
      <c r="K744" s="2" t="s">
        <v>7136</v>
      </c>
      <c r="L744" s="2">
        <v>9927445</v>
      </c>
      <c r="M744" s="2"/>
      <c r="N744" s="2"/>
      <c r="O744" s="2"/>
      <c r="P744" s="2"/>
      <c r="Q744" s="2"/>
      <c r="R744" s="2"/>
      <c r="S744" s="2" t="s">
        <v>7137</v>
      </c>
      <c r="T744" s="2" t="s">
        <v>7138</v>
      </c>
      <c r="U744" s="2" t="s">
        <v>7139</v>
      </c>
      <c r="V744" s="2" t="s">
        <v>115</v>
      </c>
      <c r="W744" s="2" t="s">
        <v>116</v>
      </c>
      <c r="X744" s="2" t="s">
        <v>117</v>
      </c>
      <c r="Y744" s="2" t="s">
        <v>118</v>
      </c>
      <c r="Z744" s="2" t="s">
        <v>119</v>
      </c>
      <c r="AA744" s="2" t="s">
        <v>120</v>
      </c>
      <c r="AB744" s="2" t="s">
        <v>3086</v>
      </c>
      <c r="AC744" s="2">
        <v>54.34</v>
      </c>
      <c r="AD744" s="2">
        <v>87.89</v>
      </c>
      <c r="AE744" s="2">
        <v>0</v>
      </c>
      <c r="AF744" s="2" t="s">
        <v>5614</v>
      </c>
      <c r="AG744" s="2" t="s">
        <v>103</v>
      </c>
      <c r="AH744" s="2" t="s">
        <v>7140</v>
      </c>
      <c r="AI744" s="2">
        <v>1.52</v>
      </c>
      <c r="AJ744" s="2">
        <v>18.754939355911699</v>
      </c>
      <c r="AK744" s="2">
        <v>18.550682200792501</v>
      </c>
      <c r="AL744" s="2">
        <v>18.4037909644716</v>
      </c>
      <c r="AM744" s="2">
        <v>18.077258752783301</v>
      </c>
      <c r="AN744" s="2">
        <v>18.693851655263</v>
      </c>
      <c r="AO744" s="2">
        <v>18.486960568583999</v>
      </c>
      <c r="AP744" s="2">
        <v>18.676424092956601</v>
      </c>
      <c r="AQ744" s="2">
        <v>18.761019135341702</v>
      </c>
      <c r="AR744" s="2">
        <v>18.3825761976723</v>
      </c>
      <c r="AS744" s="2">
        <v>18.8053648882494</v>
      </c>
      <c r="AT744" s="2">
        <v>18.254767660965101</v>
      </c>
      <c r="AU744" s="2">
        <v>18.490783515144699</v>
      </c>
      <c r="AV744" s="2">
        <v>18.745005947277601</v>
      </c>
      <c r="AW744" s="2">
        <v>18.613307936727502</v>
      </c>
      <c r="AX744" s="2">
        <v>18.6191979437674</v>
      </c>
      <c r="AY744" s="2">
        <v>18.335283092485799</v>
      </c>
      <c r="AZ744" s="2">
        <v>18.564286723814501</v>
      </c>
      <c r="BA744" s="2">
        <v>18.5228561173667</v>
      </c>
      <c r="BB744" s="2">
        <v>18.214830212451702</v>
      </c>
      <c r="BC744" s="2">
        <v>18.5003064245358</v>
      </c>
      <c r="BD744" s="2">
        <v>18.359288994738598</v>
      </c>
      <c r="BE744" s="2">
        <v>18.324143840492901</v>
      </c>
      <c r="BF744" s="2">
        <v>18.658562684017301</v>
      </c>
      <c r="BG744" s="2">
        <v>18.779424373404101</v>
      </c>
      <c r="BH744" s="2">
        <v>18.564530712455198</v>
      </c>
      <c r="BI744" s="2">
        <v>18.404020696680998</v>
      </c>
      <c r="BJ744" s="2">
        <v>18.601299125732002</v>
      </c>
      <c r="BK744" s="2">
        <v>18.480797220840099</v>
      </c>
      <c r="BL744" s="2">
        <v>18.385052350493801</v>
      </c>
      <c r="BM744" s="2">
        <v>18.468942055243701</v>
      </c>
      <c r="BN744" s="2">
        <v>18.5373059647251</v>
      </c>
      <c r="BO744" s="2">
        <v>18.316053661639401</v>
      </c>
      <c r="BP744" s="2">
        <v>18.804544328547699</v>
      </c>
      <c r="BQ744" s="2">
        <v>18.996927928101002</v>
      </c>
      <c r="BR744" s="2">
        <v>18.823513252533701</v>
      </c>
      <c r="BS744" s="2">
        <v>18.1829839748493</v>
      </c>
      <c r="BT744" s="2">
        <v>18.430693674919599</v>
      </c>
      <c r="BU744" s="2">
        <v>17.992343911677501</v>
      </c>
      <c r="BV744" s="2">
        <v>18.208831562521599</v>
      </c>
      <c r="BW744" s="2">
        <v>18.290147035984401</v>
      </c>
      <c r="BX744" s="2">
        <v>18.7725490301906</v>
      </c>
      <c r="BY744" s="2">
        <v>18.534327088799198</v>
      </c>
      <c r="BZ744" s="2">
        <v>18.6407286065579</v>
      </c>
      <c r="CA744" s="2">
        <v>18.329814028501598</v>
      </c>
      <c r="CB744" s="2">
        <v>18.541300728037001</v>
      </c>
      <c r="CC744" s="2">
        <v>18.524511260675801</v>
      </c>
      <c r="CD744" s="2">
        <v>18.535428522686299</v>
      </c>
      <c r="CE744" s="2">
        <v>18.609685161223599</v>
      </c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</row>
    <row r="745" spans="1:97">
      <c r="A745" s="2" t="s">
        <v>7141</v>
      </c>
      <c r="B745" s="2">
        <v>466.32992000000002</v>
      </c>
      <c r="C745" s="2">
        <v>11.083</v>
      </c>
      <c r="D745" s="2" t="s">
        <v>84</v>
      </c>
      <c r="E745" s="2" t="s">
        <v>7142</v>
      </c>
      <c r="F745" s="2" t="s">
        <v>7143</v>
      </c>
      <c r="G745" s="2">
        <v>197423</v>
      </c>
      <c r="H745" s="3" t="str">
        <f>HYPERLINK("https://cloud.oebiotech.com/#/lm/network/197423", "https://cloud.oebiotech.com/#/lm/network/197423")</f>
        <v>https://cloud.oebiotech.com/#/lm/network/197423</v>
      </c>
      <c r="I745" s="2" t="s">
        <v>7144</v>
      </c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 t="s">
        <v>7145</v>
      </c>
      <c r="U745" s="2" t="s">
        <v>7146</v>
      </c>
      <c r="V745" s="2" t="s">
        <v>95</v>
      </c>
      <c r="W745" s="2" t="s">
        <v>96</v>
      </c>
      <c r="X745" s="2" t="s">
        <v>97</v>
      </c>
      <c r="Y745" s="2" t="s">
        <v>98</v>
      </c>
      <c r="Z745" s="2" t="s">
        <v>99</v>
      </c>
      <c r="AA745" s="2" t="s">
        <v>100</v>
      </c>
      <c r="AB745" s="2" t="s">
        <v>3086</v>
      </c>
      <c r="AC745" s="2">
        <v>54.34</v>
      </c>
      <c r="AD745" s="2">
        <v>88.89</v>
      </c>
      <c r="AE745" s="2">
        <v>0</v>
      </c>
      <c r="AF745" s="2" t="s">
        <v>5614</v>
      </c>
      <c r="AG745" s="2" t="s">
        <v>3544</v>
      </c>
      <c r="AH745" s="2" t="s">
        <v>7147</v>
      </c>
      <c r="AI745" s="2">
        <v>-1.29</v>
      </c>
      <c r="AJ745" s="2">
        <v>20.3283729721255</v>
      </c>
      <c r="AK745" s="2">
        <v>20.388798319920099</v>
      </c>
      <c r="AL745" s="2">
        <v>20.543004737740901</v>
      </c>
      <c r="AM745" s="2">
        <v>20.503715672178</v>
      </c>
      <c r="AN745" s="2">
        <v>20.265810674380301</v>
      </c>
      <c r="AO745" s="2">
        <v>20.642229343933899</v>
      </c>
      <c r="AP745" s="2">
        <v>20.3338287042139</v>
      </c>
      <c r="AQ745" s="2">
        <v>20.654158738919701</v>
      </c>
      <c r="AR745" s="2">
        <v>20.390089932770099</v>
      </c>
      <c r="AS745" s="2">
        <v>19.3579601575148</v>
      </c>
      <c r="AT745" s="2">
        <v>20.047255113266399</v>
      </c>
      <c r="AU745" s="2">
        <v>19.5453406513804</v>
      </c>
      <c r="AV745" s="2">
        <v>20.941715774700899</v>
      </c>
      <c r="AW745" s="2">
        <v>19.881867284188701</v>
      </c>
      <c r="AX745" s="2">
        <v>20.033861073086001</v>
      </c>
      <c r="AY745" s="2">
        <v>19.793323823544199</v>
      </c>
      <c r="AZ745" s="2">
        <v>20.711583135515799</v>
      </c>
      <c r="BA745" s="2">
        <v>18.978126681324301</v>
      </c>
      <c r="BB745" s="2">
        <v>20.0480687253756</v>
      </c>
      <c r="BC745" s="2">
        <v>20.357777740948301</v>
      </c>
      <c r="BD745" s="2">
        <v>19.7116588747812</v>
      </c>
      <c r="BE745" s="2">
        <v>20.522487168520801</v>
      </c>
      <c r="BF745" s="2">
        <v>19.042754802812102</v>
      </c>
      <c r="BG745" s="2">
        <v>20.770793267149699</v>
      </c>
      <c r="BH745" s="2">
        <v>21.996298364362801</v>
      </c>
      <c r="BI745" s="2">
        <v>19.5293168668167</v>
      </c>
      <c r="BJ745" s="2">
        <v>19.305109389486098</v>
      </c>
      <c r="BK745" s="2">
        <v>20.010503957326101</v>
      </c>
      <c r="BL745" s="2">
        <v>20.4562929344048</v>
      </c>
      <c r="BM745" s="2">
        <v>20.406173598535599</v>
      </c>
      <c r="BN745" s="2">
        <v>20.257277291875901</v>
      </c>
      <c r="BO745" s="2">
        <v>19.812978985700099</v>
      </c>
      <c r="BP745" s="2">
        <v>20.172761157751399</v>
      </c>
      <c r="BQ745" s="2">
        <v>20.133541273491499</v>
      </c>
      <c r="BR745" s="2">
        <v>20.754687741823499</v>
      </c>
      <c r="BS745" s="2">
        <v>20.168056436371</v>
      </c>
      <c r="BT745" s="2">
        <v>20.123475088735201</v>
      </c>
      <c r="BU745" s="2">
        <v>19.087311456202102</v>
      </c>
      <c r="BV745" s="2">
        <v>19.740110266944001</v>
      </c>
      <c r="BW745" s="2">
        <v>19.857281941436302</v>
      </c>
      <c r="BX745" s="2">
        <v>19.842519153805501</v>
      </c>
      <c r="BY745" s="2">
        <v>21.0861236785362</v>
      </c>
      <c r="BZ745" s="2">
        <v>18.706735111892399</v>
      </c>
      <c r="CA745" s="2">
        <v>20.632791356217801</v>
      </c>
      <c r="CB745" s="2">
        <v>20.0003864414108</v>
      </c>
      <c r="CC745" s="2">
        <v>18.199905893627498</v>
      </c>
      <c r="CD745" s="2">
        <v>19.260316194803799</v>
      </c>
      <c r="CE745" s="2">
        <v>20.268347622042899</v>
      </c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</row>
    <row r="746" spans="1:97">
      <c r="A746" s="2" t="s">
        <v>7148</v>
      </c>
      <c r="B746" s="2">
        <v>449.36399</v>
      </c>
      <c r="C746" s="2">
        <v>13.515000000000001</v>
      </c>
      <c r="D746" s="2" t="s">
        <v>146</v>
      </c>
      <c r="E746" s="2" t="s">
        <v>7149</v>
      </c>
      <c r="F746" s="2" t="s">
        <v>7150</v>
      </c>
      <c r="G746" s="2">
        <v>46435</v>
      </c>
      <c r="H746" s="3" t="str">
        <f>HYPERLINK("https://cloud.oebiotech.com/#/lm/network/46435", "https://cloud.oebiotech.com/#/lm/network/46435")</f>
        <v>https://cloud.oebiotech.com/#/lm/network/46435</v>
      </c>
      <c r="I746" s="2"/>
      <c r="J746" s="2">
        <v>84851</v>
      </c>
      <c r="K746" s="2" t="s">
        <v>7151</v>
      </c>
      <c r="L746" s="2">
        <v>194473</v>
      </c>
      <c r="M746" s="2"/>
      <c r="N746" s="2"/>
      <c r="O746" s="2"/>
      <c r="P746" s="2"/>
      <c r="Q746" s="2"/>
      <c r="R746" s="2"/>
      <c r="S746" s="2"/>
      <c r="T746" s="2" t="s">
        <v>7152</v>
      </c>
      <c r="U746" s="2" t="s">
        <v>7153</v>
      </c>
      <c r="V746" s="2" t="s">
        <v>95</v>
      </c>
      <c r="W746" s="2" t="s">
        <v>152</v>
      </c>
      <c r="X746" s="2" t="s">
        <v>278</v>
      </c>
      <c r="Y746" s="2" t="s">
        <v>98</v>
      </c>
      <c r="Z746" s="2" t="s">
        <v>154</v>
      </c>
      <c r="AA746" s="2" t="s">
        <v>279</v>
      </c>
      <c r="AB746" s="2" t="s">
        <v>3086</v>
      </c>
      <c r="AC746" s="2">
        <v>54.32</v>
      </c>
      <c r="AD746" s="2">
        <v>82.03</v>
      </c>
      <c r="AE746" s="2">
        <v>0</v>
      </c>
      <c r="AF746" s="2" t="s">
        <v>5614</v>
      </c>
      <c r="AG746" s="2" t="s">
        <v>157</v>
      </c>
      <c r="AH746" s="2" t="s">
        <v>1423</v>
      </c>
      <c r="AI746" s="2">
        <v>-0.89</v>
      </c>
      <c r="AJ746" s="2">
        <v>19.102497593545401</v>
      </c>
      <c r="AK746" s="2">
        <v>19.295706166639</v>
      </c>
      <c r="AL746" s="2">
        <v>18.9151344918644</v>
      </c>
      <c r="AM746" s="2">
        <v>18.652724766743098</v>
      </c>
      <c r="AN746" s="2">
        <v>19.1849351344224</v>
      </c>
      <c r="AO746" s="2">
        <v>18.930290756830601</v>
      </c>
      <c r="AP746" s="2">
        <v>18.713346001672001</v>
      </c>
      <c r="AQ746" s="2">
        <v>18.901014231978301</v>
      </c>
      <c r="AR746" s="2">
        <v>17.587577933811001</v>
      </c>
      <c r="AS746" s="2">
        <v>18.078042367977499</v>
      </c>
      <c r="AT746" s="2">
        <v>19.192502084480299</v>
      </c>
      <c r="AU746" s="2">
        <v>17.811712095766399</v>
      </c>
      <c r="AV746" s="2">
        <v>17.458215144799802</v>
      </c>
      <c r="AW746" s="2">
        <v>17.9870565653287</v>
      </c>
      <c r="AX746" s="2">
        <v>18.564812089238099</v>
      </c>
      <c r="AY746" s="2">
        <v>18.825640434782301</v>
      </c>
      <c r="AZ746" s="2">
        <v>18.368657998936701</v>
      </c>
      <c r="BA746" s="2">
        <v>18.720720677329101</v>
      </c>
      <c r="BB746" s="2">
        <v>18.262268902914101</v>
      </c>
      <c r="BC746" s="2">
        <v>20.323674205414601</v>
      </c>
      <c r="BD746" s="2">
        <v>17.954529006746402</v>
      </c>
      <c r="BE746" s="2">
        <v>18.794307276818</v>
      </c>
      <c r="BF746" s="2">
        <v>18.099359266352501</v>
      </c>
      <c r="BG746" s="2">
        <v>18.482951417285399</v>
      </c>
      <c r="BH746" s="2">
        <v>17.302248533723599</v>
      </c>
      <c r="BI746" s="2">
        <v>18.374061072560199</v>
      </c>
      <c r="BJ746" s="2">
        <v>18.932174143296901</v>
      </c>
      <c r="BK746" s="2">
        <v>17.077724717707898</v>
      </c>
      <c r="BL746" s="2">
        <v>18.432412301901699</v>
      </c>
      <c r="BM746" s="2">
        <v>18.908243514955601</v>
      </c>
      <c r="BN746" s="2">
        <v>18.590045469834301</v>
      </c>
      <c r="BO746" s="2">
        <v>18.49396581069</v>
      </c>
      <c r="BP746" s="2">
        <v>18.353738951377</v>
      </c>
      <c r="BQ746" s="2">
        <v>18.344828540331701</v>
      </c>
      <c r="BR746" s="2">
        <v>18.742368125964699</v>
      </c>
      <c r="BS746" s="2">
        <v>18.714123442950399</v>
      </c>
      <c r="BT746" s="2">
        <v>19.079841127032701</v>
      </c>
      <c r="BU746" s="2">
        <v>19.091974896231601</v>
      </c>
      <c r="BV746" s="2">
        <v>19.0223771062001</v>
      </c>
      <c r="BW746" s="2">
        <v>17.706062715497801</v>
      </c>
      <c r="BX746" s="2">
        <v>18.886164921738899</v>
      </c>
      <c r="BY746" s="2">
        <v>19.294130204109202</v>
      </c>
      <c r="BZ746" s="2">
        <v>18.604245106196299</v>
      </c>
      <c r="CA746" s="2">
        <v>17.926478254645701</v>
      </c>
      <c r="CB746" s="2">
        <v>18.356494182327399</v>
      </c>
      <c r="CC746" s="2">
        <v>18.744611650556799</v>
      </c>
      <c r="CD746" s="2">
        <v>19.580804624429099</v>
      </c>
      <c r="CE746" s="2">
        <v>18.3820708790048</v>
      </c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</row>
    <row r="747" spans="1:97">
      <c r="A747" s="2" t="s">
        <v>7154</v>
      </c>
      <c r="B747" s="2">
        <v>130.01675</v>
      </c>
      <c r="C747" s="2">
        <v>0.58299999999999996</v>
      </c>
      <c r="D747" s="2" t="s">
        <v>84</v>
      </c>
      <c r="E747" s="2" t="s">
        <v>7155</v>
      </c>
      <c r="F747" s="2" t="s">
        <v>7156</v>
      </c>
      <c r="G747" s="2">
        <v>208704</v>
      </c>
      <c r="H747" s="3" t="str">
        <f>HYPERLINK("https://cloud.oebiotech.com/#/lm/network/208704", "https://cloud.oebiotech.com/#/lm/network/208704")</f>
        <v>https://cloud.oebiotech.com/#/lm/network/208704</v>
      </c>
      <c r="I747" s="2" t="s">
        <v>7157</v>
      </c>
      <c r="J747" s="2">
        <v>65814</v>
      </c>
      <c r="K747" s="2"/>
      <c r="L747" s="2">
        <v>6412</v>
      </c>
      <c r="M747" s="2" t="s">
        <v>7158</v>
      </c>
      <c r="N747" s="2"/>
      <c r="O747" s="2"/>
      <c r="P747" s="2">
        <v>17760</v>
      </c>
      <c r="Q747" s="2"/>
      <c r="R747" s="2"/>
      <c r="S747" s="2" t="s">
        <v>7159</v>
      </c>
      <c r="T747" s="2" t="s">
        <v>7160</v>
      </c>
      <c r="U747" s="2" t="s">
        <v>7161</v>
      </c>
      <c r="V747" s="2" t="s">
        <v>115</v>
      </c>
      <c r="W747" s="2" t="s">
        <v>613</v>
      </c>
      <c r="X747" s="2" t="s">
        <v>7162</v>
      </c>
      <c r="Y747" s="2" t="s">
        <v>118</v>
      </c>
      <c r="Z747" s="2" t="s">
        <v>615</v>
      </c>
      <c r="AA747" s="2" t="s">
        <v>7163</v>
      </c>
      <c r="AB747" s="2" t="s">
        <v>3086</v>
      </c>
      <c r="AC747" s="2">
        <v>54.31</v>
      </c>
      <c r="AD747" s="2">
        <v>96.14</v>
      </c>
      <c r="AE747" s="2">
        <v>0</v>
      </c>
      <c r="AF747" s="2" t="s">
        <v>5614</v>
      </c>
      <c r="AG747" s="2" t="s">
        <v>132</v>
      </c>
      <c r="AH747" s="2" t="s">
        <v>7164</v>
      </c>
      <c r="AI747" s="2">
        <v>0</v>
      </c>
      <c r="AJ747" s="2">
        <v>25.2957528952704</v>
      </c>
      <c r="AK747" s="2">
        <v>25.039925482680701</v>
      </c>
      <c r="AL747" s="2">
        <v>25.4537246427703</v>
      </c>
      <c r="AM747" s="2">
        <v>25.091055846693699</v>
      </c>
      <c r="AN747" s="2">
        <v>25.380890387152299</v>
      </c>
      <c r="AO747" s="2">
        <v>25.2327448106793</v>
      </c>
      <c r="AP747" s="2">
        <v>24.943406166327598</v>
      </c>
      <c r="AQ747" s="2">
        <v>25.2963332391313</v>
      </c>
      <c r="AR747" s="2">
        <v>24.838694413726301</v>
      </c>
      <c r="AS747" s="2">
        <v>24.8244808483018</v>
      </c>
      <c r="AT747" s="2">
        <v>24.889002136972</v>
      </c>
      <c r="AU747" s="2">
        <v>24.694010378922702</v>
      </c>
      <c r="AV747" s="2">
        <v>25.203300906166799</v>
      </c>
      <c r="AW747" s="2">
        <v>25.177333278655599</v>
      </c>
      <c r="AX747" s="2">
        <v>25.008818588557698</v>
      </c>
      <c r="AY747" s="2">
        <v>25.247515618477401</v>
      </c>
      <c r="AZ747" s="2">
        <v>24.979302708037</v>
      </c>
      <c r="BA747" s="2">
        <v>24.8879355913447</v>
      </c>
      <c r="BB747" s="2">
        <v>25.268234258569599</v>
      </c>
      <c r="BC747" s="2">
        <v>25.200297043736999</v>
      </c>
      <c r="BD747" s="2">
        <v>24.9591712992022</v>
      </c>
      <c r="BE747" s="2">
        <v>25.412443473778801</v>
      </c>
      <c r="BF747" s="2">
        <v>25.025984539542101</v>
      </c>
      <c r="BG747" s="2">
        <v>25.083681376141399</v>
      </c>
      <c r="BH747" s="2">
        <v>25.327534222970201</v>
      </c>
      <c r="BI747" s="2">
        <v>24.752787394152001</v>
      </c>
      <c r="BJ747" s="2">
        <v>25.156970417067399</v>
      </c>
      <c r="BK747" s="2">
        <v>24.950687236466699</v>
      </c>
      <c r="BL747" s="2">
        <v>24.947341830837999</v>
      </c>
      <c r="BM747" s="2">
        <v>25.3773887177828</v>
      </c>
      <c r="BN747" s="2">
        <v>25.2205509729305</v>
      </c>
      <c r="BO747" s="2">
        <v>24.961054372124401</v>
      </c>
      <c r="BP747" s="2">
        <v>24.926865322565401</v>
      </c>
      <c r="BQ747" s="2">
        <v>24.859876584102199</v>
      </c>
      <c r="BR747" s="2">
        <v>24.6471246040451</v>
      </c>
      <c r="BS747" s="2">
        <v>25.262053721681902</v>
      </c>
      <c r="BT747" s="2">
        <v>25.287289096741599</v>
      </c>
      <c r="BU747" s="2">
        <v>25.136980881306201</v>
      </c>
      <c r="BV747" s="2">
        <v>25.2488980695211</v>
      </c>
      <c r="BW747" s="2">
        <v>25.1090303185076</v>
      </c>
      <c r="BX747" s="2">
        <v>25.022826113256301</v>
      </c>
      <c r="BY747" s="2">
        <v>25.916532092173401</v>
      </c>
      <c r="BZ747" s="2">
        <v>24.7822356370073</v>
      </c>
      <c r="CA747" s="2">
        <v>24.8592471283675</v>
      </c>
      <c r="CB747" s="2">
        <v>24.892093694368899</v>
      </c>
      <c r="CC747" s="2">
        <v>24.986040841016901</v>
      </c>
      <c r="CD747" s="2">
        <v>25.412879637054999</v>
      </c>
      <c r="CE747" s="2">
        <v>25.108596221907799</v>
      </c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</row>
    <row r="748" spans="1:97">
      <c r="A748" s="2" t="s">
        <v>7165</v>
      </c>
      <c r="B748" s="2">
        <v>305.08136999999999</v>
      </c>
      <c r="C748" s="2">
        <v>8.0329999999999995</v>
      </c>
      <c r="D748" s="2" t="s">
        <v>146</v>
      </c>
      <c r="E748" s="2" t="s">
        <v>7166</v>
      </c>
      <c r="F748" s="2" t="s">
        <v>7167</v>
      </c>
      <c r="G748" s="2">
        <v>60757</v>
      </c>
      <c r="H748" s="3" t="str">
        <f>HYPERLINK("https://cloud.oebiotech.com/#/lm/network/60757", "https://cloud.oebiotech.com/#/lm/network/60757")</f>
        <v>https://cloud.oebiotech.com/#/lm/network/60757</v>
      </c>
      <c r="I748" s="2" t="s">
        <v>7168</v>
      </c>
      <c r="J748" s="2">
        <v>92083</v>
      </c>
      <c r="K748" s="2"/>
      <c r="L748" s="2">
        <v>10804574</v>
      </c>
      <c r="M748" s="2"/>
      <c r="N748" s="2"/>
      <c r="O748" s="2"/>
      <c r="P748" s="2">
        <v>174927</v>
      </c>
      <c r="Q748" s="2"/>
      <c r="R748" s="2"/>
      <c r="S748" s="2"/>
      <c r="T748" s="2" t="s">
        <v>7169</v>
      </c>
      <c r="U748" s="2" t="s">
        <v>7170</v>
      </c>
      <c r="V748" s="2" t="s">
        <v>385</v>
      </c>
      <c r="W748" s="2" t="s">
        <v>4381</v>
      </c>
      <c r="X748" s="2" t="s">
        <v>7171</v>
      </c>
      <c r="Y748" s="2" t="s">
        <v>388</v>
      </c>
      <c r="Z748" s="2" t="s">
        <v>4382</v>
      </c>
      <c r="AA748" s="2" t="s">
        <v>7172</v>
      </c>
      <c r="AB748" s="2" t="s">
        <v>3086</v>
      </c>
      <c r="AC748" s="2">
        <v>54.31</v>
      </c>
      <c r="AD748" s="2">
        <v>87.21</v>
      </c>
      <c r="AE748" s="2">
        <v>0</v>
      </c>
      <c r="AF748" s="2" t="s">
        <v>5614</v>
      </c>
      <c r="AG748" s="2" t="s">
        <v>194</v>
      </c>
      <c r="AH748" s="2" t="s">
        <v>7173</v>
      </c>
      <c r="AI748" s="2">
        <v>1.64</v>
      </c>
      <c r="AJ748" s="2">
        <v>18.633427981900901</v>
      </c>
      <c r="AK748" s="2">
        <v>18.155955295786502</v>
      </c>
      <c r="AL748" s="2">
        <v>17.523589444305699</v>
      </c>
      <c r="AM748" s="2">
        <v>18.617667008715401</v>
      </c>
      <c r="AN748" s="2">
        <v>18.429196303171199</v>
      </c>
      <c r="AO748" s="2">
        <v>18.417674292679401</v>
      </c>
      <c r="AP748" s="2">
        <v>18.748869412930901</v>
      </c>
      <c r="AQ748" s="2">
        <v>18.6739092223971</v>
      </c>
      <c r="AR748" s="2">
        <v>18.797597380727101</v>
      </c>
      <c r="AS748" s="2">
        <v>18.440261902956799</v>
      </c>
      <c r="AT748" s="2">
        <v>18.738849227773699</v>
      </c>
      <c r="AU748" s="2">
        <v>18.045849176587399</v>
      </c>
      <c r="AV748" s="2">
        <v>18.778052128886401</v>
      </c>
      <c r="AW748" s="2">
        <v>18.418204733551502</v>
      </c>
      <c r="AX748" s="2">
        <v>18.165641910677699</v>
      </c>
      <c r="AY748" s="2">
        <v>18.897228724243298</v>
      </c>
      <c r="AZ748" s="2">
        <v>19.2551426824317</v>
      </c>
      <c r="BA748" s="2">
        <v>18.933365394186801</v>
      </c>
      <c r="BB748" s="2">
        <v>18.821280555427101</v>
      </c>
      <c r="BC748" s="2">
        <v>18.247328336170199</v>
      </c>
      <c r="BD748" s="2">
        <v>18.851825308092199</v>
      </c>
      <c r="BE748" s="2">
        <v>18.605801662089299</v>
      </c>
      <c r="BF748" s="2">
        <v>18.317235808130398</v>
      </c>
      <c r="BG748" s="2">
        <v>18.026718160357898</v>
      </c>
      <c r="BH748" s="2">
        <v>18.817549907607699</v>
      </c>
      <c r="BI748" s="2">
        <v>18.856477110714</v>
      </c>
      <c r="BJ748" s="2">
        <v>18.4537548784878</v>
      </c>
      <c r="BK748" s="2">
        <v>18.045707357194399</v>
      </c>
      <c r="BL748" s="2">
        <v>18.404585450284898</v>
      </c>
      <c r="BM748" s="2">
        <v>18.870364809896301</v>
      </c>
      <c r="BN748" s="2">
        <v>19.365692114348398</v>
      </c>
      <c r="BO748" s="2">
        <v>18.901255937009701</v>
      </c>
      <c r="BP748" s="2">
        <v>18.6595823637814</v>
      </c>
      <c r="BQ748" s="2">
        <v>18.6125788827202</v>
      </c>
      <c r="BR748" s="2">
        <v>18.4812526819079</v>
      </c>
      <c r="BS748" s="2">
        <v>18.200753184820702</v>
      </c>
      <c r="BT748" s="2">
        <v>18.669005997643801</v>
      </c>
      <c r="BU748" s="2">
        <v>18.861707862010402</v>
      </c>
      <c r="BV748" s="2">
        <v>18.702455448829401</v>
      </c>
      <c r="BW748" s="2">
        <v>18.3066768812837</v>
      </c>
      <c r="BX748" s="2">
        <v>18.4980379220715</v>
      </c>
      <c r="BY748" s="2">
        <v>19.069772521960001</v>
      </c>
      <c r="BZ748" s="2">
        <v>18.358750344999699</v>
      </c>
      <c r="CA748" s="2">
        <v>18.6788586831481</v>
      </c>
      <c r="CB748" s="2">
        <v>18.887141495729601</v>
      </c>
      <c r="CC748" s="2">
        <v>18.736304611130699</v>
      </c>
      <c r="CD748" s="2">
        <v>18.797375351980801</v>
      </c>
      <c r="CE748" s="2">
        <v>19.1172113685783</v>
      </c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</row>
    <row r="749" spans="1:97">
      <c r="A749" s="2" t="s">
        <v>7174</v>
      </c>
      <c r="B749" s="2">
        <v>330.22703000000001</v>
      </c>
      <c r="C749" s="2">
        <v>5.4080000000000004</v>
      </c>
      <c r="D749" s="2" t="s">
        <v>84</v>
      </c>
      <c r="E749" s="2" t="s">
        <v>7175</v>
      </c>
      <c r="F749" s="2" t="s">
        <v>7176</v>
      </c>
      <c r="G749" s="2">
        <v>197627</v>
      </c>
      <c r="H749" s="3" t="str">
        <f>HYPERLINK("https://cloud.oebiotech.com/#/lm/network/197627", "https://cloud.oebiotech.com/#/lm/network/197627")</f>
        <v>https://cloud.oebiotech.com/#/lm/network/197627</v>
      </c>
      <c r="I749" s="2" t="s">
        <v>7177</v>
      </c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 t="s">
        <v>7178</v>
      </c>
      <c r="U749" s="2" t="s">
        <v>7179</v>
      </c>
      <c r="V749" s="2" t="s">
        <v>95</v>
      </c>
      <c r="W749" s="2" t="s">
        <v>96</v>
      </c>
      <c r="X749" s="2" t="s">
        <v>97</v>
      </c>
      <c r="Y749" s="2" t="s">
        <v>98</v>
      </c>
      <c r="Z749" s="2" t="s">
        <v>99</v>
      </c>
      <c r="AA749" s="2" t="s">
        <v>100</v>
      </c>
      <c r="AB749" s="2" t="s">
        <v>3086</v>
      </c>
      <c r="AC749" s="2">
        <v>54.3</v>
      </c>
      <c r="AD749" s="2">
        <v>89.38</v>
      </c>
      <c r="AE749" s="2">
        <v>0</v>
      </c>
      <c r="AF749" s="2" t="s">
        <v>5614</v>
      </c>
      <c r="AG749" s="2" t="s">
        <v>103</v>
      </c>
      <c r="AH749" s="2" t="s">
        <v>7180</v>
      </c>
      <c r="AI749" s="2">
        <v>1.51</v>
      </c>
      <c r="AJ749" s="2">
        <v>17.664923881858499</v>
      </c>
      <c r="AK749" s="2">
        <v>17.673113112926</v>
      </c>
      <c r="AL749" s="2">
        <v>17.105846424382399</v>
      </c>
      <c r="AM749" s="2">
        <v>17.693071719997199</v>
      </c>
      <c r="AN749" s="2">
        <v>17.9887022144875</v>
      </c>
      <c r="AO749" s="2">
        <v>17.351377529642999</v>
      </c>
      <c r="AP749" s="2">
        <v>17.877804509539398</v>
      </c>
      <c r="AQ749" s="2">
        <v>17.8959585656639</v>
      </c>
      <c r="AR749" s="2">
        <v>19.176870358873401</v>
      </c>
      <c r="AS749" s="2">
        <v>16.711793725358898</v>
      </c>
      <c r="AT749" s="2">
        <v>15.7350646412307</v>
      </c>
      <c r="AU749" s="2">
        <v>16.446587892966502</v>
      </c>
      <c r="AV749" s="2">
        <v>16.189110677467198</v>
      </c>
      <c r="AW749" s="2">
        <v>18.480485913622299</v>
      </c>
      <c r="AX749" s="2">
        <v>17.188899031970902</v>
      </c>
      <c r="AY749" s="2">
        <v>17.068242016133599</v>
      </c>
      <c r="AZ749" s="2">
        <v>15.6566927180082</v>
      </c>
      <c r="BA749" s="2">
        <v>14.314388521113999</v>
      </c>
      <c r="BB749" s="2">
        <v>16.793121780257501</v>
      </c>
      <c r="BC749" s="2">
        <v>17.5011497199737</v>
      </c>
      <c r="BD749" s="2">
        <v>16.900653632530499</v>
      </c>
      <c r="BE749" s="2">
        <v>18.0354806519763</v>
      </c>
      <c r="BF749" s="2">
        <v>15.2850351403753</v>
      </c>
      <c r="BG749" s="2">
        <v>17.476999681539301</v>
      </c>
      <c r="BH749" s="2">
        <v>17.465686603132699</v>
      </c>
      <c r="BI749" s="2">
        <v>18.166714317311399</v>
      </c>
      <c r="BJ749" s="2">
        <v>17.646654050426498</v>
      </c>
      <c r="BK749" s="2">
        <v>16.558887474687399</v>
      </c>
      <c r="BL749" s="2">
        <v>18.332503316620301</v>
      </c>
      <c r="BM749" s="2">
        <v>16.746317490686302</v>
      </c>
      <c r="BN749" s="2">
        <v>17.855305709369102</v>
      </c>
      <c r="BO749" s="2">
        <v>16.380999742923301</v>
      </c>
      <c r="BP749" s="2">
        <v>17.538717596978401</v>
      </c>
      <c r="BQ749" s="2">
        <v>17.600438535304999</v>
      </c>
      <c r="BR749" s="2">
        <v>17.686547717115001</v>
      </c>
      <c r="BS749" s="2">
        <v>18.363576895082101</v>
      </c>
      <c r="BT749" s="2">
        <v>17.450333232144299</v>
      </c>
      <c r="BU749" s="2">
        <v>17.607465993531498</v>
      </c>
      <c r="BV749" s="2">
        <v>17.840115028372601</v>
      </c>
      <c r="BW749" s="2">
        <v>15.652153702727</v>
      </c>
      <c r="BX749" s="2">
        <v>16.8048184673729</v>
      </c>
      <c r="BY749" s="2">
        <v>18.205915975563499</v>
      </c>
      <c r="BZ749" s="2">
        <v>16.828178517549301</v>
      </c>
      <c r="CA749" s="2">
        <v>16.414363500078998</v>
      </c>
      <c r="CB749" s="2">
        <v>15.4531458591616</v>
      </c>
      <c r="CC749" s="2">
        <v>17.652141725819401</v>
      </c>
      <c r="CD749" s="2">
        <v>17.121806364386298</v>
      </c>
      <c r="CE749" s="2">
        <v>17.329517906662598</v>
      </c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</row>
    <row r="750" spans="1:97">
      <c r="A750" s="2" t="s">
        <v>7181</v>
      </c>
      <c r="B750" s="2">
        <v>231.16972999999999</v>
      </c>
      <c r="C750" s="2">
        <v>3.819</v>
      </c>
      <c r="D750" s="2" t="s">
        <v>84</v>
      </c>
      <c r="E750" s="2" t="s">
        <v>7182</v>
      </c>
      <c r="F750" s="2" t="s">
        <v>7183</v>
      </c>
      <c r="G750" s="2">
        <v>53943</v>
      </c>
      <c r="H750" s="3" t="str">
        <f>HYPERLINK("https://cloud.oebiotech.com/#/lm/network/53943", "https://cloud.oebiotech.com/#/lm/network/53943")</f>
        <v>https://cloud.oebiotech.com/#/lm/network/53943</v>
      </c>
      <c r="I750" s="2" t="s">
        <v>7184</v>
      </c>
      <c r="J750" s="2"/>
      <c r="K750" s="2"/>
      <c r="L750" s="2">
        <v>435949</v>
      </c>
      <c r="M750" s="2"/>
      <c r="N750" s="2"/>
      <c r="O750" s="2"/>
      <c r="P750" s="2"/>
      <c r="Q750" s="2"/>
      <c r="R750" s="2"/>
      <c r="S750" s="2"/>
      <c r="T750" s="2" t="s">
        <v>7185</v>
      </c>
      <c r="U750" s="2" t="s">
        <v>7186</v>
      </c>
      <c r="V750" s="2" t="s">
        <v>115</v>
      </c>
      <c r="W750" s="2" t="s">
        <v>116</v>
      </c>
      <c r="X750" s="2" t="s">
        <v>117</v>
      </c>
      <c r="Y750" s="2" t="s">
        <v>118</v>
      </c>
      <c r="Z750" s="2" t="s">
        <v>119</v>
      </c>
      <c r="AA750" s="2" t="s">
        <v>120</v>
      </c>
      <c r="AB750" s="2" t="s">
        <v>3086</v>
      </c>
      <c r="AC750" s="2">
        <v>54.27</v>
      </c>
      <c r="AD750" s="2">
        <v>92.53</v>
      </c>
      <c r="AE750" s="2">
        <v>0</v>
      </c>
      <c r="AF750" s="2" t="s">
        <v>5614</v>
      </c>
      <c r="AG750" s="2" t="s">
        <v>103</v>
      </c>
      <c r="AH750" s="2" t="s">
        <v>7187</v>
      </c>
      <c r="AI750" s="2">
        <v>2.6</v>
      </c>
      <c r="AJ750" s="2">
        <v>18.222063843990099</v>
      </c>
      <c r="AK750" s="2">
        <v>18.183188491981401</v>
      </c>
      <c r="AL750" s="2">
        <v>18.651523309138302</v>
      </c>
      <c r="AM750" s="2">
        <v>18.244468318569901</v>
      </c>
      <c r="AN750" s="2">
        <v>18.576176149802102</v>
      </c>
      <c r="AO750" s="2">
        <v>18.594493404708199</v>
      </c>
      <c r="AP750" s="2">
        <v>18.553714068056902</v>
      </c>
      <c r="AQ750" s="2">
        <v>18.341714001260598</v>
      </c>
      <c r="AR750" s="2">
        <v>17.4893618436952</v>
      </c>
      <c r="AS750" s="2">
        <v>17.052720976693699</v>
      </c>
      <c r="AT750" s="2">
        <v>17.444162877761901</v>
      </c>
      <c r="AU750" s="2">
        <v>16.7989783717086</v>
      </c>
      <c r="AV750" s="2">
        <v>17.167338168129</v>
      </c>
      <c r="AW750" s="2">
        <v>18.6421754364696</v>
      </c>
      <c r="AX750" s="2">
        <v>17.956748672259</v>
      </c>
      <c r="AY750" s="2">
        <v>17.258544411704001</v>
      </c>
      <c r="AZ750" s="2">
        <v>18.429121790258598</v>
      </c>
      <c r="BA750" s="2">
        <v>17.919042480159899</v>
      </c>
      <c r="BB750" s="2">
        <v>18.933692787000901</v>
      </c>
      <c r="BC750" s="2">
        <v>18.0614862192907</v>
      </c>
      <c r="BD750" s="2">
        <v>17.039047015082399</v>
      </c>
      <c r="BE750" s="2">
        <v>18.7123142251152</v>
      </c>
      <c r="BF750" s="2">
        <v>18.040553276940699</v>
      </c>
      <c r="BG750" s="2">
        <v>18.5555486703356</v>
      </c>
      <c r="BH750" s="2">
        <v>18.527249276122699</v>
      </c>
      <c r="BI750" s="2">
        <v>9.6233145402724691</v>
      </c>
      <c r="BJ750" s="2">
        <v>18.170297181979802</v>
      </c>
      <c r="BK750" s="2">
        <v>17.6740206399149</v>
      </c>
      <c r="BL750" s="2">
        <v>18.1578471867427</v>
      </c>
      <c r="BM750" s="2">
        <v>19.043665906567501</v>
      </c>
      <c r="BN750" s="2">
        <v>18.4950222974289</v>
      </c>
      <c r="BO750" s="2">
        <v>18.193427084334498</v>
      </c>
      <c r="BP750" s="2">
        <v>18.017850375029901</v>
      </c>
      <c r="BQ750" s="2">
        <v>18.159189000752299</v>
      </c>
      <c r="BR750" s="2">
        <v>18.1468253962951</v>
      </c>
      <c r="BS750" s="2">
        <v>17.8428169485605</v>
      </c>
      <c r="BT750" s="2">
        <v>18.425057567027402</v>
      </c>
      <c r="BU750" s="2">
        <v>18.002541617185098</v>
      </c>
      <c r="BV750" s="2">
        <v>19.215610586881599</v>
      </c>
      <c r="BW750" s="2">
        <v>16.511475328281499</v>
      </c>
      <c r="BX750" s="2">
        <v>18.148850414992101</v>
      </c>
      <c r="BY750" s="2">
        <v>19.077723075046901</v>
      </c>
      <c r="BZ750" s="2">
        <v>18.105882120560398</v>
      </c>
      <c r="CA750" s="2">
        <v>18.2712896657446</v>
      </c>
      <c r="CB750" s="2">
        <v>17.7526992065347</v>
      </c>
      <c r="CC750" s="2">
        <v>16.230901017220098</v>
      </c>
      <c r="CD750" s="2">
        <v>18.439907645207999</v>
      </c>
      <c r="CE750" s="2">
        <v>17.918083950095902</v>
      </c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</row>
    <row r="751" spans="1:97">
      <c r="A751" s="2" t="s">
        <v>7188</v>
      </c>
      <c r="B751" s="2">
        <v>340.24775</v>
      </c>
      <c r="C751" s="2">
        <v>7.5069999999999997</v>
      </c>
      <c r="D751" s="2" t="s">
        <v>84</v>
      </c>
      <c r="E751" s="2" t="s">
        <v>7189</v>
      </c>
      <c r="F751" s="2" t="s">
        <v>7190</v>
      </c>
      <c r="G751" s="2">
        <v>44969</v>
      </c>
      <c r="H751" s="3" t="str">
        <f>HYPERLINK("https://cloud.oebiotech.com/#/lm/network/44969", "https://cloud.oebiotech.com/#/lm/network/44969")</f>
        <v>https://cloud.oebiotech.com/#/lm/network/44969</v>
      </c>
      <c r="I751" s="2"/>
      <c r="J751" s="2"/>
      <c r="K751" s="2" t="s">
        <v>7191</v>
      </c>
      <c r="L751" s="2">
        <v>73242220</v>
      </c>
      <c r="M751" s="2"/>
      <c r="N751" s="2"/>
      <c r="O751" s="2"/>
      <c r="P751" s="2"/>
      <c r="Q751" s="2"/>
      <c r="R751" s="2"/>
      <c r="S751" s="2"/>
      <c r="T751" s="2" t="s">
        <v>7192</v>
      </c>
      <c r="U751" s="2" t="s">
        <v>7193</v>
      </c>
      <c r="V751" s="2" t="s">
        <v>338</v>
      </c>
      <c r="W751" s="2" t="s">
        <v>339</v>
      </c>
      <c r="X751" s="2" t="s">
        <v>3877</v>
      </c>
      <c r="Y751" s="2" t="s">
        <v>341</v>
      </c>
      <c r="Z751" s="2" t="s">
        <v>341</v>
      </c>
      <c r="AA751" s="2" t="s">
        <v>3878</v>
      </c>
      <c r="AB751" s="2" t="s">
        <v>3086</v>
      </c>
      <c r="AC751" s="2">
        <v>54.25</v>
      </c>
      <c r="AD751" s="2">
        <v>97.22</v>
      </c>
      <c r="AE751" s="2">
        <v>0</v>
      </c>
      <c r="AF751" s="2" t="s">
        <v>7194</v>
      </c>
      <c r="AG751" s="2" t="s">
        <v>132</v>
      </c>
      <c r="AH751" s="2" t="s">
        <v>7195</v>
      </c>
      <c r="AI751" s="2">
        <v>1.47</v>
      </c>
      <c r="AJ751" s="2">
        <v>19.5980882944068</v>
      </c>
      <c r="AK751" s="2">
        <v>19.4862473736098</v>
      </c>
      <c r="AL751" s="2">
        <v>19.4688924710896</v>
      </c>
      <c r="AM751" s="2">
        <v>19.332943281620199</v>
      </c>
      <c r="AN751" s="2">
        <v>19.066690442175901</v>
      </c>
      <c r="AO751" s="2">
        <v>19.228328433719799</v>
      </c>
      <c r="AP751" s="2">
        <v>19.850844222027099</v>
      </c>
      <c r="AQ751" s="2">
        <v>19.2614436986482</v>
      </c>
      <c r="AR751" s="2">
        <v>17.112320173242299</v>
      </c>
      <c r="AS751" s="2">
        <v>18.411125304184601</v>
      </c>
      <c r="AT751" s="2">
        <v>19.042320906984099</v>
      </c>
      <c r="AU751" s="2">
        <v>18.523714321648601</v>
      </c>
      <c r="AV751" s="2">
        <v>16.654970905003601</v>
      </c>
      <c r="AW751" s="2">
        <v>19.049817234717299</v>
      </c>
      <c r="AX751" s="2">
        <v>18.510992390660601</v>
      </c>
      <c r="AY751" s="2">
        <v>19.363238400488601</v>
      </c>
      <c r="AZ751" s="2">
        <v>16.431132575041101</v>
      </c>
      <c r="BA751" s="2">
        <v>19.908431104286699</v>
      </c>
      <c r="BB751" s="2">
        <v>19.875834376697799</v>
      </c>
      <c r="BC751" s="2">
        <v>20.359600065277899</v>
      </c>
      <c r="BD751" s="2">
        <v>16.7788950119349</v>
      </c>
      <c r="BE751" s="2">
        <v>19.159452577005599</v>
      </c>
      <c r="BF751" s="2">
        <v>18.510596482882701</v>
      </c>
      <c r="BG751" s="2">
        <v>20.091001860799</v>
      </c>
      <c r="BH751" s="2">
        <v>18.069622363162001</v>
      </c>
      <c r="BI751" s="2">
        <v>19.3796996240618</v>
      </c>
      <c r="BJ751" s="2">
        <v>18.8785372468408</v>
      </c>
      <c r="BK751" s="2">
        <v>16.909375014315401</v>
      </c>
      <c r="BL751" s="2">
        <v>20.1064798236042</v>
      </c>
      <c r="BM751" s="2">
        <v>18.2871667122226</v>
      </c>
      <c r="BN751" s="2">
        <v>18.164740502109701</v>
      </c>
      <c r="BO751" s="2">
        <v>19.9322519130926</v>
      </c>
      <c r="BP751" s="2">
        <v>19.752695858623401</v>
      </c>
      <c r="BQ751" s="2">
        <v>20.0057965924671</v>
      </c>
      <c r="BR751" s="2">
        <v>19.560579544721499</v>
      </c>
      <c r="BS751" s="2">
        <v>18.712452205177101</v>
      </c>
      <c r="BT751" s="2">
        <v>20.258573061030599</v>
      </c>
      <c r="BU751" s="2">
        <v>19.311471744161299</v>
      </c>
      <c r="BV751" s="2">
        <v>20.032775402394499</v>
      </c>
      <c r="BW751" s="2">
        <v>18.914818739808801</v>
      </c>
      <c r="BX751" s="2">
        <v>19.036919375759499</v>
      </c>
      <c r="BY751" s="2">
        <v>18.378546760204401</v>
      </c>
      <c r="BZ751" s="2">
        <v>19.3797447567568</v>
      </c>
      <c r="CA751" s="2">
        <v>18.906049629643299</v>
      </c>
      <c r="CB751" s="2">
        <v>18.996204514110602</v>
      </c>
      <c r="CC751" s="2">
        <v>20.304675010638299</v>
      </c>
      <c r="CD751" s="2">
        <v>19.054293416366502</v>
      </c>
      <c r="CE751" s="2">
        <v>19.150805377026501</v>
      </c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</row>
    <row r="752" spans="1:97">
      <c r="A752" s="2" t="s">
        <v>7196</v>
      </c>
      <c r="B752" s="2">
        <v>109.02918</v>
      </c>
      <c r="C752" s="2">
        <v>3.6019999999999999</v>
      </c>
      <c r="D752" s="2" t="s">
        <v>146</v>
      </c>
      <c r="E752" s="2" t="s">
        <v>7197</v>
      </c>
      <c r="F752" s="2" t="s">
        <v>7198</v>
      </c>
      <c r="G752" s="2">
        <v>63739</v>
      </c>
      <c r="H752" s="3" t="str">
        <f>HYPERLINK("https://cloud.oebiotech.com/#/lm/network/63739", "https://cloud.oebiotech.com/#/lm/network/63739")</f>
        <v>https://cloud.oebiotech.com/#/lm/network/63739</v>
      </c>
      <c r="I752" s="2" t="s">
        <v>7199</v>
      </c>
      <c r="J752" s="2">
        <v>95077</v>
      </c>
      <c r="K752" s="2"/>
      <c r="L752" s="2">
        <v>19309</v>
      </c>
      <c r="M752" s="2"/>
      <c r="N752" s="2"/>
      <c r="O752" s="2"/>
      <c r="P752" s="2">
        <v>76247</v>
      </c>
      <c r="Q752" s="2"/>
      <c r="R752" s="2"/>
      <c r="S752" s="2"/>
      <c r="T752" s="2" t="s">
        <v>7200</v>
      </c>
      <c r="U752" s="2" t="s">
        <v>7201</v>
      </c>
      <c r="V752" s="2" t="s">
        <v>553</v>
      </c>
      <c r="W752" s="2" t="s">
        <v>2261</v>
      </c>
      <c r="X752" s="2" t="s">
        <v>2262</v>
      </c>
      <c r="Y752" s="2" t="s">
        <v>556</v>
      </c>
      <c r="Z752" s="2" t="s">
        <v>2263</v>
      </c>
      <c r="AA752" s="2" t="s">
        <v>2264</v>
      </c>
      <c r="AB752" s="2" t="s">
        <v>3086</v>
      </c>
      <c r="AC752" s="2">
        <v>54.24</v>
      </c>
      <c r="AD752" s="2">
        <v>95.97</v>
      </c>
      <c r="AE752" s="2">
        <v>0</v>
      </c>
      <c r="AF752" s="2" t="s">
        <v>7202</v>
      </c>
      <c r="AG752" s="2" t="s">
        <v>993</v>
      </c>
      <c r="AH752" s="2" t="s">
        <v>7203</v>
      </c>
      <c r="AI752" s="2">
        <v>-2.11</v>
      </c>
      <c r="AJ752" s="2">
        <v>19.2917385479793</v>
      </c>
      <c r="AK752" s="2">
        <v>19.270613732860699</v>
      </c>
      <c r="AL752" s="2">
        <v>18.980138601185999</v>
      </c>
      <c r="AM752" s="2">
        <v>19.5550918022746</v>
      </c>
      <c r="AN752" s="2">
        <v>19.2643963927428</v>
      </c>
      <c r="AO752" s="2">
        <v>18.625893305627301</v>
      </c>
      <c r="AP752" s="2">
        <v>19.049372321950202</v>
      </c>
      <c r="AQ752" s="2">
        <v>19.2586476202199</v>
      </c>
      <c r="AR752" s="2">
        <v>17.1115020858498</v>
      </c>
      <c r="AS752" s="2">
        <v>15.9975166909013</v>
      </c>
      <c r="AT752" s="2">
        <v>15.5157327888063</v>
      </c>
      <c r="AU752" s="2">
        <v>17.772253416357799</v>
      </c>
      <c r="AV752" s="2">
        <v>19.7020368817041</v>
      </c>
      <c r="AW752" s="2">
        <v>16.999451532515501</v>
      </c>
      <c r="AX752" s="2">
        <v>16.219247566970999</v>
      </c>
      <c r="AY752" s="2">
        <v>18.902538576744099</v>
      </c>
      <c r="AZ752" s="2">
        <v>18.032763364983399</v>
      </c>
      <c r="BA752" s="2">
        <v>20.209496785667799</v>
      </c>
      <c r="BB752" s="2">
        <v>18.200260217584201</v>
      </c>
      <c r="BC752" s="2">
        <v>19.824349250974301</v>
      </c>
      <c r="BD752" s="2">
        <v>17.721888347312099</v>
      </c>
      <c r="BE752" s="2">
        <v>17.750450339203301</v>
      </c>
      <c r="BF752" s="2">
        <v>17.821685056210399</v>
      </c>
      <c r="BG752" s="2">
        <v>19.0149360619418</v>
      </c>
      <c r="BH752" s="2">
        <v>16.988508732211599</v>
      </c>
      <c r="BI752" s="2">
        <v>19.389579436021801</v>
      </c>
      <c r="BJ752" s="2">
        <v>17.553889712021501</v>
      </c>
      <c r="BK752" s="2">
        <v>18.743785169529101</v>
      </c>
      <c r="BL752" s="2">
        <v>19.151498080513299</v>
      </c>
      <c r="BM752" s="2">
        <v>19.3598205602174</v>
      </c>
      <c r="BN752" s="2">
        <v>18.445165711643099</v>
      </c>
      <c r="BO752" s="2">
        <v>17.797450589736101</v>
      </c>
      <c r="BP752" s="2">
        <v>18.582582757409298</v>
      </c>
      <c r="BQ752" s="2">
        <v>20.235927062892401</v>
      </c>
      <c r="BR752" s="2">
        <v>16.9751979730896</v>
      </c>
      <c r="BS752" s="2">
        <v>19.8021458589232</v>
      </c>
      <c r="BT752" s="2">
        <v>18.214084620157202</v>
      </c>
      <c r="BU752" s="2">
        <v>18.833206545308901</v>
      </c>
      <c r="BV752" s="2">
        <v>18.683970803852901</v>
      </c>
      <c r="BW752" s="2">
        <v>16.260173448629601</v>
      </c>
      <c r="BX752" s="2">
        <v>17.249499506466101</v>
      </c>
      <c r="BY752" s="2">
        <v>21.271501794432599</v>
      </c>
      <c r="BZ752" s="2">
        <v>17.9811506051932</v>
      </c>
      <c r="CA752" s="2">
        <v>19.080761977826</v>
      </c>
      <c r="CB752" s="2">
        <v>20.1484082094447</v>
      </c>
      <c r="CC752" s="2">
        <v>17.235811840777199</v>
      </c>
      <c r="CD752" s="2">
        <v>18.826737960150901</v>
      </c>
      <c r="CE752" s="2">
        <v>18.815832598177199</v>
      </c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</row>
    <row r="753" spans="1:97">
      <c r="A753" s="2" t="s">
        <v>7204</v>
      </c>
      <c r="B753" s="2">
        <v>253.14402999999999</v>
      </c>
      <c r="C753" s="2">
        <v>8.9260000000000002</v>
      </c>
      <c r="D753" s="2" t="s">
        <v>146</v>
      </c>
      <c r="E753" s="2" t="s">
        <v>7205</v>
      </c>
      <c r="F753" s="2" t="s">
        <v>7206</v>
      </c>
      <c r="G753" s="2">
        <v>61903</v>
      </c>
      <c r="H753" s="3" t="str">
        <f>HYPERLINK("https://cloud.oebiotech.com/#/lm/network/61903", "https://cloud.oebiotech.com/#/lm/network/61903")</f>
        <v>https://cloud.oebiotech.com/#/lm/network/61903</v>
      </c>
      <c r="I753" s="2" t="s">
        <v>7207</v>
      </c>
      <c r="J753" s="2">
        <v>93202</v>
      </c>
      <c r="K753" s="2"/>
      <c r="L753" s="2">
        <v>73817713</v>
      </c>
      <c r="M753" s="2"/>
      <c r="N753" s="2"/>
      <c r="O753" s="2"/>
      <c r="P753" s="2"/>
      <c r="Q753" s="2"/>
      <c r="R753" s="2"/>
      <c r="S753" s="2" t="s">
        <v>7208</v>
      </c>
      <c r="T753" s="2" t="s">
        <v>7209</v>
      </c>
      <c r="U753" s="2" t="s">
        <v>7210</v>
      </c>
      <c r="V753" s="2" t="s">
        <v>553</v>
      </c>
      <c r="W753" s="2" t="s">
        <v>3299</v>
      </c>
      <c r="X753" s="2" t="s">
        <v>375</v>
      </c>
      <c r="Y753" s="2" t="s">
        <v>556</v>
      </c>
      <c r="Z753" s="2" t="s">
        <v>3300</v>
      </c>
      <c r="AA753" s="2"/>
      <c r="AB753" s="2" t="s">
        <v>3086</v>
      </c>
      <c r="AC753" s="2">
        <v>54.24</v>
      </c>
      <c r="AD753" s="2">
        <v>91.03</v>
      </c>
      <c r="AE753" s="2">
        <v>0</v>
      </c>
      <c r="AF753" s="2" t="s">
        <v>5614</v>
      </c>
      <c r="AG753" s="2" t="s">
        <v>157</v>
      </c>
      <c r="AH753" s="2" t="s">
        <v>2196</v>
      </c>
      <c r="AI753" s="2">
        <v>1.98</v>
      </c>
      <c r="AJ753" s="2">
        <v>19.032785153296398</v>
      </c>
      <c r="AK753" s="2">
        <v>19.0668823095886</v>
      </c>
      <c r="AL753" s="2">
        <v>19.047732878629201</v>
      </c>
      <c r="AM753" s="2">
        <v>19.3132327851994</v>
      </c>
      <c r="AN753" s="2">
        <v>19.0444674700747</v>
      </c>
      <c r="AO753" s="2">
        <v>19.160095927579601</v>
      </c>
      <c r="AP753" s="2">
        <v>18.939124024887199</v>
      </c>
      <c r="AQ753" s="2">
        <v>19.3099475251203</v>
      </c>
      <c r="AR753" s="2">
        <v>17.853793398530101</v>
      </c>
      <c r="AS753" s="2">
        <v>16.722467358638902</v>
      </c>
      <c r="AT753" s="2">
        <v>18.819653528356501</v>
      </c>
      <c r="AU753" s="2">
        <v>18.148856173146399</v>
      </c>
      <c r="AV753" s="2">
        <v>19.8422350499111</v>
      </c>
      <c r="AW753" s="2">
        <v>19.4520508628888</v>
      </c>
      <c r="AX753" s="2">
        <v>18.763274978825201</v>
      </c>
      <c r="AY753" s="2">
        <v>19.65762498622</v>
      </c>
      <c r="AZ753" s="2">
        <v>18.571960757927801</v>
      </c>
      <c r="BA753" s="2">
        <v>19.0615745794628</v>
      </c>
      <c r="BB753" s="2">
        <v>18.403822828846199</v>
      </c>
      <c r="BC753" s="2">
        <v>20.155949886969001</v>
      </c>
      <c r="BD753" s="2">
        <v>18.045701385545701</v>
      </c>
      <c r="BE753" s="2">
        <v>19.062272358208698</v>
      </c>
      <c r="BF753" s="2">
        <v>18.7715374738533</v>
      </c>
      <c r="BG753" s="2">
        <v>18.976048499380301</v>
      </c>
      <c r="BH753" s="2">
        <v>19.2517416724423</v>
      </c>
      <c r="BI753" s="2">
        <v>18.373911418177901</v>
      </c>
      <c r="BJ753" s="2">
        <v>18.759260728734301</v>
      </c>
      <c r="BK753" s="2">
        <v>18.8655401822218</v>
      </c>
      <c r="BL753" s="2">
        <v>18.565722299427101</v>
      </c>
      <c r="BM753" s="2">
        <v>19.682600231400901</v>
      </c>
      <c r="BN753" s="2">
        <v>19.154734537690899</v>
      </c>
      <c r="BO753" s="2">
        <v>19.009570814047201</v>
      </c>
      <c r="BP753" s="2">
        <v>17.7814195897618</v>
      </c>
      <c r="BQ753" s="2">
        <v>19.3027984097704</v>
      </c>
      <c r="BR753" s="2">
        <v>19.698421743687799</v>
      </c>
      <c r="BS753" s="2">
        <v>19.685094208735901</v>
      </c>
      <c r="BT753" s="2">
        <v>18.7819041436309</v>
      </c>
      <c r="BU753" s="2">
        <v>18.288378660611599</v>
      </c>
      <c r="BV753" s="2">
        <v>19.291112228976999</v>
      </c>
      <c r="BW753" s="2">
        <v>17.876471142188802</v>
      </c>
      <c r="BX753" s="2">
        <v>18.453045878742099</v>
      </c>
      <c r="BY753" s="2">
        <v>20.1996430407542</v>
      </c>
      <c r="BZ753" s="2">
        <v>18.520388292231999</v>
      </c>
      <c r="CA753" s="2">
        <v>19.3420111258101</v>
      </c>
      <c r="CB753" s="2">
        <v>19.427814572571201</v>
      </c>
      <c r="CC753" s="2">
        <v>18.761069470235</v>
      </c>
      <c r="CD753" s="2">
        <v>19.230645745184901</v>
      </c>
      <c r="CE753" s="2">
        <v>19.291065990749399</v>
      </c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</row>
    <row r="754" spans="1:97">
      <c r="A754" s="2" t="s">
        <v>7211</v>
      </c>
      <c r="B754" s="2">
        <v>277.21573000000001</v>
      </c>
      <c r="C754" s="2">
        <v>10.592000000000001</v>
      </c>
      <c r="D754" s="2" t="s">
        <v>84</v>
      </c>
      <c r="E754" s="2" t="s">
        <v>7212</v>
      </c>
      <c r="F754" s="2" t="s">
        <v>7213</v>
      </c>
      <c r="G754" s="2">
        <v>3305</v>
      </c>
      <c r="H754" s="3" t="str">
        <f>HYPERLINK("https://cloud.oebiotech.com/#/lm/network/3305", "https://cloud.oebiotech.com/#/lm/network/3305")</f>
        <v>https://cloud.oebiotech.com/#/lm/network/3305</v>
      </c>
      <c r="I754" s="2"/>
      <c r="J754" s="2"/>
      <c r="K754" s="2" t="s">
        <v>7214</v>
      </c>
      <c r="L754" s="2">
        <v>6439481</v>
      </c>
      <c r="M754" s="2"/>
      <c r="N754" s="2"/>
      <c r="O754" s="2"/>
      <c r="P754" s="2"/>
      <c r="Q754" s="2"/>
      <c r="R754" s="2"/>
      <c r="S754" s="2"/>
      <c r="T754" s="2" t="s">
        <v>7215</v>
      </c>
      <c r="U754" s="2" t="s">
        <v>7216</v>
      </c>
      <c r="V754" s="2" t="s">
        <v>95</v>
      </c>
      <c r="W754" s="2" t="s">
        <v>96</v>
      </c>
      <c r="X754" s="2" t="s">
        <v>919</v>
      </c>
      <c r="Y754" s="2" t="s">
        <v>98</v>
      </c>
      <c r="Z754" s="2" t="s">
        <v>99</v>
      </c>
      <c r="AA754" s="2" t="s">
        <v>920</v>
      </c>
      <c r="AB754" s="2" t="s">
        <v>3086</v>
      </c>
      <c r="AC754" s="2">
        <v>54.22</v>
      </c>
      <c r="AD754" s="2">
        <v>88.28</v>
      </c>
      <c r="AE754" s="2">
        <v>0</v>
      </c>
      <c r="AF754" s="2" t="s">
        <v>5614</v>
      </c>
      <c r="AG754" s="2" t="s">
        <v>103</v>
      </c>
      <c r="AH754" s="2" t="s">
        <v>5373</v>
      </c>
      <c r="AI754" s="2">
        <v>1.8</v>
      </c>
      <c r="AJ754" s="2">
        <v>20.232342564045101</v>
      </c>
      <c r="AK754" s="2">
        <v>19.917611132500699</v>
      </c>
      <c r="AL754" s="2">
        <v>19.772794319520301</v>
      </c>
      <c r="AM754" s="2">
        <v>19.7319990623241</v>
      </c>
      <c r="AN754" s="2">
        <v>19.5594644590978</v>
      </c>
      <c r="AO754" s="2">
        <v>19.445349886371499</v>
      </c>
      <c r="AP754" s="2">
        <v>19.988024857474699</v>
      </c>
      <c r="AQ754" s="2">
        <v>19.993955939289101</v>
      </c>
      <c r="AR754" s="2">
        <v>20.360942499290399</v>
      </c>
      <c r="AS754" s="2">
        <v>18.475944312505899</v>
      </c>
      <c r="AT754" s="2">
        <v>18.662716386214601</v>
      </c>
      <c r="AU754" s="2">
        <v>19.939417843839401</v>
      </c>
      <c r="AV754" s="2">
        <v>19.944975986024001</v>
      </c>
      <c r="AW754" s="2">
        <v>20.356358965975001</v>
      </c>
      <c r="AX754" s="2">
        <v>18.992736267062</v>
      </c>
      <c r="AY754" s="2">
        <v>20.7654301042767</v>
      </c>
      <c r="AZ754" s="2">
        <v>18.736588591961699</v>
      </c>
      <c r="BA754" s="2">
        <v>19.160170348357202</v>
      </c>
      <c r="BB754" s="2">
        <v>19.1258857785168</v>
      </c>
      <c r="BC754" s="2">
        <v>19.589978470991898</v>
      </c>
      <c r="BD754" s="2">
        <v>19.244954933346399</v>
      </c>
      <c r="BE754" s="2">
        <v>19.468751622119701</v>
      </c>
      <c r="BF754" s="2">
        <v>19.803624853835</v>
      </c>
      <c r="BG754" s="2">
        <v>17.314380466089901</v>
      </c>
      <c r="BH754" s="2">
        <v>21.3486697179431</v>
      </c>
      <c r="BI754" s="2">
        <v>18.228113372734001</v>
      </c>
      <c r="BJ754" s="2">
        <v>19.788595741219599</v>
      </c>
      <c r="BK754" s="2">
        <v>20.220530627699301</v>
      </c>
      <c r="BL754" s="2">
        <v>18.888059838793499</v>
      </c>
      <c r="BM754" s="2">
        <v>19.565373413721801</v>
      </c>
      <c r="BN754" s="2">
        <v>20.229857648462701</v>
      </c>
      <c r="BO754" s="2">
        <v>18.666950785415601</v>
      </c>
      <c r="BP754" s="2">
        <v>18.208475432065899</v>
      </c>
      <c r="BQ754" s="2">
        <v>19.9723013305473</v>
      </c>
      <c r="BR754" s="2">
        <v>20.270699886928501</v>
      </c>
      <c r="BS754" s="2">
        <v>20.5597000141778</v>
      </c>
      <c r="BT754" s="2">
        <v>18.890860812921701</v>
      </c>
      <c r="BU754" s="2">
        <v>19.470138337809999</v>
      </c>
      <c r="BV754" s="2">
        <v>18.706406474136202</v>
      </c>
      <c r="BW754" s="2">
        <v>19.919780654494001</v>
      </c>
      <c r="BX754" s="2">
        <v>19.2858685420935</v>
      </c>
      <c r="BY754" s="2">
        <v>21.296009348990399</v>
      </c>
      <c r="BZ754" s="2">
        <v>19.435562775012698</v>
      </c>
      <c r="CA754" s="2">
        <v>19.6064040559502</v>
      </c>
      <c r="CB754" s="2">
        <v>20.4813053024277</v>
      </c>
      <c r="CC754" s="2">
        <v>18.706862533729499</v>
      </c>
      <c r="CD754" s="2">
        <v>19.580028398024901</v>
      </c>
      <c r="CE754" s="2">
        <v>18.917916938496301</v>
      </c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</row>
    <row r="755" spans="1:97">
      <c r="A755" s="2" t="s">
        <v>7217</v>
      </c>
      <c r="B755" s="2">
        <v>193.15447</v>
      </c>
      <c r="C755" s="2">
        <v>0.71099999999999997</v>
      </c>
      <c r="D755" s="2" t="s">
        <v>84</v>
      </c>
      <c r="E755" s="2" t="s">
        <v>7218</v>
      </c>
      <c r="F755" s="2" t="s">
        <v>7219</v>
      </c>
      <c r="G755" s="2">
        <v>209032</v>
      </c>
      <c r="H755" s="3" t="str">
        <f>HYPERLINK("https://cloud.oebiotech.com/#/lm/network/209032", "https://cloud.oebiotech.com/#/lm/network/209032")</f>
        <v>https://cloud.oebiotech.com/#/lm/network/209032</v>
      </c>
      <c r="I755" s="2" t="s">
        <v>7220</v>
      </c>
      <c r="J755" s="2"/>
      <c r="K755" s="2"/>
      <c r="L755" s="2">
        <v>21121256</v>
      </c>
      <c r="M755" s="2"/>
      <c r="N755" s="2"/>
      <c r="O755" s="2"/>
      <c r="P755" s="2"/>
      <c r="Q755" s="2"/>
      <c r="R755" s="2"/>
      <c r="S755" s="2"/>
      <c r="T755" s="2" t="s">
        <v>7221</v>
      </c>
      <c r="U755" s="2" t="s">
        <v>7222</v>
      </c>
      <c r="V755" s="2" t="s">
        <v>115</v>
      </c>
      <c r="W755" s="2" t="s">
        <v>116</v>
      </c>
      <c r="X755" s="2" t="s">
        <v>117</v>
      </c>
      <c r="Y755" s="2" t="s">
        <v>118</v>
      </c>
      <c r="Z755" s="2" t="s">
        <v>119</v>
      </c>
      <c r="AA755" s="2" t="s">
        <v>120</v>
      </c>
      <c r="AB755" s="2" t="s">
        <v>5118</v>
      </c>
      <c r="AC755" s="2">
        <v>54.21</v>
      </c>
      <c r="AD755" s="2">
        <v>97.3</v>
      </c>
      <c r="AE755" s="2">
        <v>92.46</v>
      </c>
      <c r="AF755" s="2" t="s">
        <v>7223</v>
      </c>
      <c r="AG755" s="2" t="s">
        <v>132</v>
      </c>
      <c r="AH755" s="2" t="s">
        <v>7224</v>
      </c>
      <c r="AI755" s="2">
        <v>1.04</v>
      </c>
      <c r="AJ755" s="2">
        <v>23.7733833955993</v>
      </c>
      <c r="AK755" s="2">
        <v>24.241131699992302</v>
      </c>
      <c r="AL755" s="2">
        <v>23.8869223009407</v>
      </c>
      <c r="AM755" s="2">
        <v>24.144105205938601</v>
      </c>
      <c r="AN755" s="2">
        <v>23.940531750311798</v>
      </c>
      <c r="AO755" s="2">
        <v>23.8475105369468</v>
      </c>
      <c r="AP755" s="2">
        <v>23.966641308261998</v>
      </c>
      <c r="AQ755" s="2">
        <v>23.924651690779999</v>
      </c>
      <c r="AR755" s="2">
        <v>25.099500935904899</v>
      </c>
      <c r="AS755" s="2">
        <v>22.283206802788399</v>
      </c>
      <c r="AT755" s="2">
        <v>19.637432607473201</v>
      </c>
      <c r="AU755" s="2">
        <v>22.527418516231801</v>
      </c>
      <c r="AV755" s="2">
        <v>22.78990338729</v>
      </c>
      <c r="AW755" s="2">
        <v>22.638900633154901</v>
      </c>
      <c r="AX755" s="2">
        <v>22.214265518846599</v>
      </c>
      <c r="AY755" s="2">
        <v>22.683232863432</v>
      </c>
      <c r="AZ755" s="2">
        <v>22.569454505546702</v>
      </c>
      <c r="BA755" s="2">
        <v>23.256052369626001</v>
      </c>
      <c r="BB755" s="2">
        <v>23.767530244085801</v>
      </c>
      <c r="BC755" s="2">
        <v>24.935686027753501</v>
      </c>
      <c r="BD755" s="2">
        <v>23.3795833860671</v>
      </c>
      <c r="BE755" s="2">
        <v>22.924504105611199</v>
      </c>
      <c r="BF755" s="2">
        <v>21.9009057764492</v>
      </c>
      <c r="BG755" s="2">
        <v>22.761576153450601</v>
      </c>
      <c r="BH755" s="2">
        <v>25.253510813373801</v>
      </c>
      <c r="BI755" s="2">
        <v>22.724020828846498</v>
      </c>
      <c r="BJ755" s="2">
        <v>22.5966561134945</v>
      </c>
      <c r="BK755" s="2">
        <v>23.244398651679202</v>
      </c>
      <c r="BL755" s="2">
        <v>25.173992770601402</v>
      </c>
      <c r="BM755" s="2">
        <v>22.076889228817599</v>
      </c>
      <c r="BN755" s="2">
        <v>25.792284644490199</v>
      </c>
      <c r="BO755" s="2">
        <v>23.254951462604598</v>
      </c>
      <c r="BP755" s="2">
        <v>21.654005315532501</v>
      </c>
      <c r="BQ755" s="2">
        <v>24.408704302194</v>
      </c>
      <c r="BR755" s="2">
        <v>23.131946697126601</v>
      </c>
      <c r="BS755" s="2">
        <v>23.884514417678002</v>
      </c>
      <c r="BT755" s="2">
        <v>23.416113452239902</v>
      </c>
      <c r="BU755" s="2">
        <v>22.3443340691442</v>
      </c>
      <c r="BV755" s="2">
        <v>25.761060415918902</v>
      </c>
      <c r="BW755" s="2">
        <v>22.752740601591601</v>
      </c>
      <c r="BX755" s="2">
        <v>23.270523049690599</v>
      </c>
      <c r="BY755" s="2">
        <v>23.183529588797398</v>
      </c>
      <c r="BZ755" s="2">
        <v>23.4979658461633</v>
      </c>
      <c r="CA755" s="2">
        <v>22.124744967036602</v>
      </c>
      <c r="CB755" s="2">
        <v>23.6596016651187</v>
      </c>
      <c r="CC755" s="2">
        <v>21.782513474529502</v>
      </c>
      <c r="CD755" s="2">
        <v>22.588612247862802</v>
      </c>
      <c r="CE755" s="2">
        <v>22.756848082229499</v>
      </c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</row>
    <row r="756" spans="1:97">
      <c r="A756" s="2" t="s">
        <v>7225</v>
      </c>
      <c r="B756" s="2">
        <v>340.17750000000001</v>
      </c>
      <c r="C756" s="2">
        <v>4.8209999999999997</v>
      </c>
      <c r="D756" s="2" t="s">
        <v>84</v>
      </c>
      <c r="E756" s="2" t="s">
        <v>7226</v>
      </c>
      <c r="F756" s="2" t="s">
        <v>7227</v>
      </c>
      <c r="G756" s="2">
        <v>197677</v>
      </c>
      <c r="H756" s="3" t="str">
        <f>HYPERLINK("https://cloud.oebiotech.com/#/lm/network/197677", "https://cloud.oebiotech.com/#/lm/network/197677")</f>
        <v>https://cloud.oebiotech.com/#/lm/network/197677</v>
      </c>
      <c r="I756" s="2" t="s">
        <v>7228</v>
      </c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 t="s">
        <v>7229</v>
      </c>
      <c r="U756" s="2" t="s">
        <v>7230</v>
      </c>
      <c r="V756" s="2" t="s">
        <v>95</v>
      </c>
      <c r="W756" s="2" t="s">
        <v>96</v>
      </c>
      <c r="X756" s="2" t="s">
        <v>97</v>
      </c>
      <c r="Y756" s="2" t="s">
        <v>98</v>
      </c>
      <c r="Z756" s="2" t="s">
        <v>99</v>
      </c>
      <c r="AA756" s="2" t="s">
        <v>100</v>
      </c>
      <c r="AB756" s="2" t="s">
        <v>3086</v>
      </c>
      <c r="AC756" s="2">
        <v>54.21</v>
      </c>
      <c r="AD756" s="2">
        <v>88.14</v>
      </c>
      <c r="AE756" s="2">
        <v>41.38</v>
      </c>
      <c r="AF756" s="2" t="s">
        <v>7231</v>
      </c>
      <c r="AG756" s="2" t="s">
        <v>103</v>
      </c>
      <c r="AH756" s="2" t="s">
        <v>7232</v>
      </c>
      <c r="AI756" s="2">
        <v>-5.88</v>
      </c>
      <c r="AJ756" s="2">
        <v>19.304654391627299</v>
      </c>
      <c r="AK756" s="2">
        <v>19.124134920856999</v>
      </c>
      <c r="AL756" s="2">
        <v>19.265844455100801</v>
      </c>
      <c r="AM756" s="2">
        <v>19.2478019367468</v>
      </c>
      <c r="AN756" s="2">
        <v>19.291936846636698</v>
      </c>
      <c r="AO756" s="2">
        <v>19.051269464467001</v>
      </c>
      <c r="AP756" s="2">
        <v>19.282123568315001</v>
      </c>
      <c r="AQ756" s="2">
        <v>19.130950722299101</v>
      </c>
      <c r="AR756" s="2">
        <v>17.393495538397499</v>
      </c>
      <c r="AS756" s="2">
        <v>15.463483183841999</v>
      </c>
      <c r="AT756" s="2">
        <v>17.5394249591867</v>
      </c>
      <c r="AU756" s="2">
        <v>16.810420383814201</v>
      </c>
      <c r="AV756" s="2">
        <v>15.045368906997901</v>
      </c>
      <c r="AW756" s="2">
        <v>17.400081488393599</v>
      </c>
      <c r="AX756" s="2">
        <v>13.982071102610901</v>
      </c>
      <c r="AY756" s="2">
        <v>16.1124313614614</v>
      </c>
      <c r="AZ756" s="2">
        <v>14.1227738118576</v>
      </c>
      <c r="BA756" s="2">
        <v>15.195009950110901</v>
      </c>
      <c r="BB756" s="2">
        <v>16.708769750886201</v>
      </c>
      <c r="BC756" s="2">
        <v>14.7951427170389</v>
      </c>
      <c r="BD756" s="2">
        <v>17.1489420463414</v>
      </c>
      <c r="BE756" s="2">
        <v>15.215308509124601</v>
      </c>
      <c r="BF756" s="2">
        <v>18.637232683325799</v>
      </c>
      <c r="BG756" s="2">
        <v>9.6233145402724691</v>
      </c>
      <c r="BH756" s="2">
        <v>17.5936892460441</v>
      </c>
      <c r="BI756" s="2">
        <v>17.317481775399202</v>
      </c>
      <c r="BJ756" s="2">
        <v>16.1007510265481</v>
      </c>
      <c r="BK756" s="2">
        <v>16.7193686318411</v>
      </c>
      <c r="BL756" s="2">
        <v>15.6609644043057</v>
      </c>
      <c r="BM756" s="2">
        <v>20.940689350420701</v>
      </c>
      <c r="BN756" s="2">
        <v>14.905182959812601</v>
      </c>
      <c r="BO756" s="2">
        <v>16.4028861551954</v>
      </c>
      <c r="BP756" s="2">
        <v>16.196946124017401</v>
      </c>
      <c r="BQ756" s="2">
        <v>17.484202971046301</v>
      </c>
      <c r="BR756" s="2">
        <v>15.633035795082201</v>
      </c>
      <c r="BS756" s="2">
        <v>18.1291157025206</v>
      </c>
      <c r="BT756" s="2">
        <v>9.6233145402724691</v>
      </c>
      <c r="BU756" s="2">
        <v>15.680293585304801</v>
      </c>
      <c r="BV756" s="2">
        <v>14.077707821676899</v>
      </c>
      <c r="BW756" s="2">
        <v>14.280381485683</v>
      </c>
      <c r="BX756" s="2">
        <v>17.6639756009513</v>
      </c>
      <c r="BY756" s="2">
        <v>17.3390048611023</v>
      </c>
      <c r="BZ756" s="2">
        <v>15.8775453634588</v>
      </c>
      <c r="CA756" s="2">
        <v>24.520983352884301</v>
      </c>
      <c r="CB756" s="2">
        <v>18.700324801636398</v>
      </c>
      <c r="CC756" s="2">
        <v>15.7323998517427</v>
      </c>
      <c r="CD756" s="2">
        <v>16.664253100994699</v>
      </c>
      <c r="CE756" s="2">
        <v>16.811019395141201</v>
      </c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</row>
    <row r="757" spans="1:97">
      <c r="A757" s="2" t="s">
        <v>7233</v>
      </c>
      <c r="B757" s="2">
        <v>103.03979</v>
      </c>
      <c r="C757" s="2">
        <v>0.80500000000000005</v>
      </c>
      <c r="D757" s="2" t="s">
        <v>146</v>
      </c>
      <c r="E757" s="2" t="s">
        <v>7234</v>
      </c>
      <c r="F757" s="2" t="s">
        <v>7235</v>
      </c>
      <c r="G757" s="2">
        <v>48012</v>
      </c>
      <c r="H757" s="3" t="str">
        <f>HYPERLINK("https://cloud.oebiotech.com/#/lm/network/48012", "https://cloud.oebiotech.com/#/lm/network/48012")</f>
        <v>https://cloud.oebiotech.com/#/lm/network/48012</v>
      </c>
      <c r="I757" s="2" t="s">
        <v>7236</v>
      </c>
      <c r="J757" s="2">
        <v>140</v>
      </c>
      <c r="K757" s="2"/>
      <c r="L757" s="2">
        <v>222285</v>
      </c>
      <c r="M757" s="2" t="s">
        <v>7237</v>
      </c>
      <c r="N757" s="2" t="s">
        <v>1540</v>
      </c>
      <c r="O757" s="2" t="s">
        <v>1541</v>
      </c>
      <c r="P757" s="2">
        <v>17113</v>
      </c>
      <c r="Q757" s="2"/>
      <c r="R757" s="2"/>
      <c r="S757" s="2" t="s">
        <v>7238</v>
      </c>
      <c r="T757" s="2" t="s">
        <v>7239</v>
      </c>
      <c r="U757" s="2" t="s">
        <v>7240</v>
      </c>
      <c r="V757" s="2" t="s">
        <v>338</v>
      </c>
      <c r="W757" s="2" t="s">
        <v>339</v>
      </c>
      <c r="X757" s="2" t="s">
        <v>663</v>
      </c>
      <c r="Y757" s="2" t="s">
        <v>341</v>
      </c>
      <c r="Z757" s="2" t="s">
        <v>341</v>
      </c>
      <c r="AA757" s="2" t="s">
        <v>664</v>
      </c>
      <c r="AB757" s="2" t="s">
        <v>3086</v>
      </c>
      <c r="AC757" s="2">
        <v>54.16</v>
      </c>
      <c r="AD757" s="2">
        <v>97.47</v>
      </c>
      <c r="AE757" s="2">
        <v>0</v>
      </c>
      <c r="AF757" s="2" t="s">
        <v>5614</v>
      </c>
      <c r="AG757" s="2" t="s">
        <v>993</v>
      </c>
      <c r="AH757" s="2" t="s">
        <v>6399</v>
      </c>
      <c r="AI757" s="2">
        <v>-2.62</v>
      </c>
      <c r="AJ757" s="2">
        <v>21.176292150271799</v>
      </c>
      <c r="AK757" s="2">
        <v>21.103366646006901</v>
      </c>
      <c r="AL757" s="2">
        <v>21.2045968262657</v>
      </c>
      <c r="AM757" s="2">
        <v>20.986562697347399</v>
      </c>
      <c r="AN757" s="2">
        <v>20.774715680920298</v>
      </c>
      <c r="AO757" s="2">
        <v>21.201812191670001</v>
      </c>
      <c r="AP757" s="2">
        <v>20.374539860166301</v>
      </c>
      <c r="AQ757" s="2">
        <v>21.265094410185</v>
      </c>
      <c r="AR757" s="2">
        <v>21.106004141888501</v>
      </c>
      <c r="AS757" s="2">
        <v>21.2143119577809</v>
      </c>
      <c r="AT757" s="2">
        <v>21.132930061596699</v>
      </c>
      <c r="AU757" s="2">
        <v>21.1425541023068</v>
      </c>
      <c r="AV757" s="2">
        <v>20.716692321509001</v>
      </c>
      <c r="AW757" s="2">
        <v>21.214826928592299</v>
      </c>
      <c r="AX757" s="2">
        <v>21.045186557840101</v>
      </c>
      <c r="AY757" s="2">
        <v>21.283725606931501</v>
      </c>
      <c r="AZ757" s="2">
        <v>21.196296966574799</v>
      </c>
      <c r="BA757" s="2">
        <v>20.8738698083998</v>
      </c>
      <c r="BB757" s="2">
        <v>21.015313166891499</v>
      </c>
      <c r="BC757" s="2">
        <v>21.2369001485682</v>
      </c>
      <c r="BD757" s="2">
        <v>21.150749470961401</v>
      </c>
      <c r="BE757" s="2">
        <v>21.116317883994501</v>
      </c>
      <c r="BF757" s="2">
        <v>21.122859204678502</v>
      </c>
      <c r="BG757" s="2">
        <v>21.0825700198567</v>
      </c>
      <c r="BH757" s="2">
        <v>20.9913451575942</v>
      </c>
      <c r="BI757" s="2">
        <v>20.815510222512199</v>
      </c>
      <c r="BJ757" s="2">
        <v>20.937783882323</v>
      </c>
      <c r="BK757" s="2">
        <v>20.938607339597201</v>
      </c>
      <c r="BL757" s="2">
        <v>21.053324947133301</v>
      </c>
      <c r="BM757" s="2">
        <v>21.252259444127699</v>
      </c>
      <c r="BN757" s="2">
        <v>21.001242369775301</v>
      </c>
      <c r="BO757" s="2">
        <v>20.7372705518383</v>
      </c>
      <c r="BP757" s="2">
        <v>20.8022491971332</v>
      </c>
      <c r="BQ757" s="2">
        <v>20.670121890061999</v>
      </c>
      <c r="BR757" s="2">
        <v>20.956799851527201</v>
      </c>
      <c r="BS757" s="2">
        <v>20.8567377893798</v>
      </c>
      <c r="BT757" s="2">
        <v>20.8094117906466</v>
      </c>
      <c r="BU757" s="2">
        <v>20.749539267816399</v>
      </c>
      <c r="BV757" s="2">
        <v>20.851044672520899</v>
      </c>
      <c r="BW757" s="2">
        <v>20.8122769659686</v>
      </c>
      <c r="BX757" s="2">
        <v>20.946786835726702</v>
      </c>
      <c r="BY757" s="2">
        <v>20.5579986316164</v>
      </c>
      <c r="BZ757" s="2">
        <v>20.9347483475137</v>
      </c>
      <c r="CA757" s="2">
        <v>20.448269811916099</v>
      </c>
      <c r="CB757" s="2">
        <v>21.324518754015301</v>
      </c>
      <c r="CC757" s="2">
        <v>21.036379616628999</v>
      </c>
      <c r="CD757" s="2">
        <v>21.048891381899701</v>
      </c>
      <c r="CE757" s="2">
        <v>20.961183529658499</v>
      </c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</row>
    <row r="758" spans="1:97">
      <c r="A758" s="2" t="s">
        <v>7241</v>
      </c>
      <c r="B758" s="2">
        <v>227.12474</v>
      </c>
      <c r="C758" s="2">
        <v>0.72</v>
      </c>
      <c r="D758" s="2" t="s">
        <v>84</v>
      </c>
      <c r="E758" s="2" t="s">
        <v>7242</v>
      </c>
      <c r="F758" s="2" t="s">
        <v>7243</v>
      </c>
      <c r="G758" s="2">
        <v>205701</v>
      </c>
      <c r="H758" s="3" t="str">
        <f>HYPERLINK("https://cloud.oebiotech.com/#/lm/network/205701", "https://cloud.oebiotech.com/#/lm/network/205701")</f>
        <v>https://cloud.oebiotech.com/#/lm/network/205701</v>
      </c>
      <c r="I758" s="2" t="s">
        <v>7244</v>
      </c>
      <c r="J758" s="2"/>
      <c r="K758" s="2"/>
      <c r="L758" s="2">
        <v>55256</v>
      </c>
      <c r="M758" s="2"/>
      <c r="N758" s="2"/>
      <c r="O758" s="2"/>
      <c r="P758" s="2"/>
      <c r="Q758" s="2"/>
      <c r="R758" s="2"/>
      <c r="S758" s="2"/>
      <c r="T758" s="2" t="s">
        <v>7245</v>
      </c>
      <c r="U758" s="2" t="s">
        <v>7246</v>
      </c>
      <c r="V758" s="2" t="s">
        <v>553</v>
      </c>
      <c r="W758" s="2" t="s">
        <v>949</v>
      </c>
      <c r="X758" s="2" t="s">
        <v>950</v>
      </c>
      <c r="Y758" s="2" t="s">
        <v>556</v>
      </c>
      <c r="Z758" s="2" t="s">
        <v>951</v>
      </c>
      <c r="AA758" s="2" t="s">
        <v>952</v>
      </c>
      <c r="AB758" s="2" t="s">
        <v>5118</v>
      </c>
      <c r="AC758" s="2">
        <v>54.15</v>
      </c>
      <c r="AD758" s="2">
        <v>98.14</v>
      </c>
      <c r="AE758" s="2">
        <v>95.51</v>
      </c>
      <c r="AF758" s="2" t="s">
        <v>7247</v>
      </c>
      <c r="AG758" s="2" t="s">
        <v>132</v>
      </c>
      <c r="AH758" s="2" t="s">
        <v>7248</v>
      </c>
      <c r="AI758" s="2">
        <v>1.76</v>
      </c>
      <c r="AJ758" s="2">
        <v>23.384529711436901</v>
      </c>
      <c r="AK758" s="2">
        <v>23.9159649474589</v>
      </c>
      <c r="AL758" s="2">
        <v>23.599761875364401</v>
      </c>
      <c r="AM758" s="2">
        <v>23.688160978987401</v>
      </c>
      <c r="AN758" s="2">
        <v>23.593304057876001</v>
      </c>
      <c r="AO758" s="2">
        <v>23.584946328528599</v>
      </c>
      <c r="AP758" s="2">
        <v>23.617723566928699</v>
      </c>
      <c r="AQ758" s="2">
        <v>23.643628259811202</v>
      </c>
      <c r="AR758" s="2">
        <v>22.901298342460201</v>
      </c>
      <c r="AS758" s="2">
        <v>23.326666614328801</v>
      </c>
      <c r="AT758" s="2">
        <v>22.604493207833801</v>
      </c>
      <c r="AU758" s="2">
        <v>22.478431801238202</v>
      </c>
      <c r="AV758" s="2">
        <v>23.3977839711978</v>
      </c>
      <c r="AW758" s="2">
        <v>24.783597432964001</v>
      </c>
      <c r="AX758" s="2">
        <v>22.7357422776407</v>
      </c>
      <c r="AY758" s="2">
        <v>23.296330195167101</v>
      </c>
      <c r="AZ758" s="2">
        <v>23.515531543350502</v>
      </c>
      <c r="BA758" s="2">
        <v>23.102338031136401</v>
      </c>
      <c r="BB758" s="2">
        <v>22.9192052526559</v>
      </c>
      <c r="BC758" s="2">
        <v>22.284067846340299</v>
      </c>
      <c r="BD758" s="2">
        <v>23.744929942661699</v>
      </c>
      <c r="BE758" s="2">
        <v>24.861323385141699</v>
      </c>
      <c r="BF758" s="2">
        <v>23.6113215069091</v>
      </c>
      <c r="BG758" s="2">
        <v>23.586202881795799</v>
      </c>
      <c r="BH758" s="2">
        <v>23.452201229792799</v>
      </c>
      <c r="BI758" s="2">
        <v>22.9959447525505</v>
      </c>
      <c r="BJ758" s="2">
        <v>24.812988381971099</v>
      </c>
      <c r="BK758" s="2">
        <v>23.502165363609802</v>
      </c>
      <c r="BL758" s="2">
        <v>22.728730303145799</v>
      </c>
      <c r="BM758" s="2">
        <v>22.815075654532698</v>
      </c>
      <c r="BN758" s="2">
        <v>23.521245940182698</v>
      </c>
      <c r="BO758" s="2">
        <v>22.9559709369044</v>
      </c>
      <c r="BP758" s="2">
        <v>23.426600606203099</v>
      </c>
      <c r="BQ758" s="2">
        <v>23.286194195513399</v>
      </c>
      <c r="BR758" s="2">
        <v>23.012581039151801</v>
      </c>
      <c r="BS758" s="2">
        <v>23.597925570227801</v>
      </c>
      <c r="BT758" s="2">
        <v>23.169073639489199</v>
      </c>
      <c r="BU758" s="2">
        <v>23.440467823716599</v>
      </c>
      <c r="BV758" s="2">
        <v>22.7661080408087</v>
      </c>
      <c r="BW758" s="2">
        <v>22.3410148251367</v>
      </c>
      <c r="BX758" s="2">
        <v>23.543712659677599</v>
      </c>
      <c r="BY758" s="2">
        <v>23.927847900017301</v>
      </c>
      <c r="BZ758" s="2">
        <v>24.402028405980701</v>
      </c>
      <c r="CA758" s="2">
        <v>23.1056564811234</v>
      </c>
      <c r="CB758" s="2">
        <v>23.8065316922597</v>
      </c>
      <c r="CC758" s="2">
        <v>23.7199932684108</v>
      </c>
      <c r="CD758" s="2">
        <v>24.2842848480316</v>
      </c>
      <c r="CE758" s="2">
        <v>23.859126452377701</v>
      </c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</row>
    <row r="759" spans="1:97">
      <c r="A759" s="2" t="s">
        <v>7249</v>
      </c>
      <c r="B759" s="2">
        <v>363.21607</v>
      </c>
      <c r="C759" s="2">
        <v>5.6189999999999998</v>
      </c>
      <c r="D759" s="2" t="s">
        <v>84</v>
      </c>
      <c r="E759" s="2" t="s">
        <v>7250</v>
      </c>
      <c r="F759" s="2" t="s">
        <v>7251</v>
      </c>
      <c r="G759" s="2">
        <v>45034</v>
      </c>
      <c r="H759" s="3" t="str">
        <f>HYPERLINK("https://cloud.oebiotech.com/#/lm/network/45034", "https://cloud.oebiotech.com/#/lm/network/45034")</f>
        <v>https://cloud.oebiotech.com/#/lm/network/45034</v>
      </c>
      <c r="I759" s="2"/>
      <c r="J759" s="2">
        <v>57861</v>
      </c>
      <c r="K759" s="2" t="s">
        <v>7252</v>
      </c>
      <c r="L759" s="2">
        <v>441835</v>
      </c>
      <c r="M759" s="2" t="s">
        <v>7253</v>
      </c>
      <c r="N759" s="2"/>
      <c r="O759" s="2"/>
      <c r="P759" s="2">
        <v>27709</v>
      </c>
      <c r="Q759" s="2"/>
      <c r="R759" s="2"/>
      <c r="S759" s="2"/>
      <c r="T759" s="2" t="s">
        <v>7254</v>
      </c>
      <c r="U759" s="2" t="s">
        <v>7255</v>
      </c>
      <c r="V759" s="2" t="s">
        <v>95</v>
      </c>
      <c r="W759" s="2" t="s">
        <v>152</v>
      </c>
      <c r="X759" s="2" t="s">
        <v>7256</v>
      </c>
      <c r="Y759" s="2" t="s">
        <v>98</v>
      </c>
      <c r="Z759" s="2" t="s">
        <v>154</v>
      </c>
      <c r="AA759" s="2" t="s">
        <v>7257</v>
      </c>
      <c r="AB759" s="2" t="s">
        <v>3086</v>
      </c>
      <c r="AC759" s="2">
        <v>54.14</v>
      </c>
      <c r="AD759" s="2">
        <v>86.31</v>
      </c>
      <c r="AE759" s="2">
        <v>0</v>
      </c>
      <c r="AF759" s="2" t="s">
        <v>5614</v>
      </c>
      <c r="AG759" s="2" t="s">
        <v>103</v>
      </c>
      <c r="AH759" s="2" t="s">
        <v>158</v>
      </c>
      <c r="AI759" s="2">
        <v>1.38</v>
      </c>
      <c r="AJ759" s="2">
        <v>18.228088376128099</v>
      </c>
      <c r="AK759" s="2">
        <v>18.841871182624001</v>
      </c>
      <c r="AL759" s="2">
        <v>18.1439358980512</v>
      </c>
      <c r="AM759" s="2">
        <v>17.742861829143699</v>
      </c>
      <c r="AN759" s="2">
        <v>18.567369014685202</v>
      </c>
      <c r="AO759" s="2">
        <v>17.8994788340006</v>
      </c>
      <c r="AP759" s="2">
        <v>18.298715004406802</v>
      </c>
      <c r="AQ759" s="2">
        <v>18.329230485110902</v>
      </c>
      <c r="AR759" s="2">
        <v>15.5656293037149</v>
      </c>
      <c r="AS759" s="2">
        <v>17.389500432809498</v>
      </c>
      <c r="AT759" s="2">
        <v>18.1089809949837</v>
      </c>
      <c r="AU759" s="2">
        <v>16.638769905840501</v>
      </c>
      <c r="AV759" s="2">
        <v>18.528817913166499</v>
      </c>
      <c r="AW759" s="2">
        <v>18.001053359940901</v>
      </c>
      <c r="AX759" s="2">
        <v>18.183151362084399</v>
      </c>
      <c r="AY759" s="2">
        <v>17.270982742663001</v>
      </c>
      <c r="AZ759" s="2">
        <v>17.773545358366299</v>
      </c>
      <c r="BA759" s="2">
        <v>18.531153812938999</v>
      </c>
      <c r="BB759" s="2">
        <v>18.2414691594647</v>
      </c>
      <c r="BC759" s="2">
        <v>19.2760789340313</v>
      </c>
      <c r="BD759" s="2">
        <v>15.462383406397599</v>
      </c>
      <c r="BE759" s="2">
        <v>18.8077613649588</v>
      </c>
      <c r="BF759" s="2">
        <v>9.6233145402724691</v>
      </c>
      <c r="BG759" s="2">
        <v>18.7475059053025</v>
      </c>
      <c r="BH759" s="2">
        <v>17.660919850871899</v>
      </c>
      <c r="BI759" s="2">
        <v>19.4634562424454</v>
      </c>
      <c r="BJ759" s="2">
        <v>18.733634070559201</v>
      </c>
      <c r="BK759" s="2">
        <v>16.083038598126901</v>
      </c>
      <c r="BL759" s="2">
        <v>18.357255507606801</v>
      </c>
      <c r="BM759" s="2">
        <v>15.9438382468188</v>
      </c>
      <c r="BN759" s="2">
        <v>17.445181799827498</v>
      </c>
      <c r="BO759" s="2">
        <v>17.553488830085801</v>
      </c>
      <c r="BP759" s="2">
        <v>18.898134144527301</v>
      </c>
      <c r="BQ759" s="2">
        <v>18.4016949400208</v>
      </c>
      <c r="BR759" s="2">
        <v>18.597374477798599</v>
      </c>
      <c r="BS759" s="2">
        <v>17.506136935992199</v>
      </c>
      <c r="BT759" s="2">
        <v>17.9410293753226</v>
      </c>
      <c r="BU759" s="2">
        <v>18.8386389250768</v>
      </c>
      <c r="BV759" s="2">
        <v>18.888840292033599</v>
      </c>
      <c r="BW759" s="2">
        <v>17.061659032068398</v>
      </c>
      <c r="BX759" s="2">
        <v>17.890330547877198</v>
      </c>
      <c r="BY759" s="2">
        <v>18.690921192911201</v>
      </c>
      <c r="BZ759" s="2">
        <v>18.394261585210501</v>
      </c>
      <c r="CA759" s="2">
        <v>9.6233145402724691</v>
      </c>
      <c r="CB759" s="2">
        <v>18.504901210467398</v>
      </c>
      <c r="CC759" s="2">
        <v>18.261184154132</v>
      </c>
      <c r="CD759" s="2">
        <v>18.555410490405901</v>
      </c>
      <c r="CE759" s="2">
        <v>18.738811830708599</v>
      </c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</row>
    <row r="760" spans="1:97">
      <c r="A760" s="2" t="s">
        <v>7258</v>
      </c>
      <c r="B760" s="2">
        <v>166.08615</v>
      </c>
      <c r="C760" s="2">
        <v>0.78700000000000003</v>
      </c>
      <c r="D760" s="2" t="s">
        <v>84</v>
      </c>
      <c r="E760" s="2" t="s">
        <v>7259</v>
      </c>
      <c r="F760" s="2" t="s">
        <v>7260</v>
      </c>
      <c r="G760" s="2">
        <v>83631</v>
      </c>
      <c r="H760" s="3" t="str">
        <f>HYPERLINK("https://cloud.oebiotech.com/#/lm/network/83631", "https://cloud.oebiotech.com/#/lm/network/83631")</f>
        <v>https://cloud.oebiotech.com/#/lm/network/83631</v>
      </c>
      <c r="I760" s="2" t="s">
        <v>7261</v>
      </c>
      <c r="J760" s="2">
        <v>43322</v>
      </c>
      <c r="K760" s="2"/>
      <c r="L760" s="2">
        <v>838</v>
      </c>
      <c r="M760" s="2"/>
      <c r="N760" s="2"/>
      <c r="O760" s="2"/>
      <c r="P760" s="2">
        <v>33568</v>
      </c>
      <c r="Q760" s="2"/>
      <c r="R760" s="2"/>
      <c r="S760" s="2" t="s">
        <v>7262</v>
      </c>
      <c r="T760" s="2" t="s">
        <v>7263</v>
      </c>
      <c r="U760" s="2" t="s">
        <v>7264</v>
      </c>
      <c r="V760" s="2" t="s">
        <v>385</v>
      </c>
      <c r="W760" s="2" t="s">
        <v>3319</v>
      </c>
      <c r="X760" s="2" t="s">
        <v>4101</v>
      </c>
      <c r="Y760" s="2" t="s">
        <v>388</v>
      </c>
      <c r="Z760" s="2" t="s">
        <v>3321</v>
      </c>
      <c r="AA760" s="2" t="s">
        <v>4102</v>
      </c>
      <c r="AB760" s="2" t="s">
        <v>3086</v>
      </c>
      <c r="AC760" s="2">
        <v>54.12</v>
      </c>
      <c r="AD760" s="2">
        <v>94.13</v>
      </c>
      <c r="AE760" s="2">
        <v>0</v>
      </c>
      <c r="AF760" s="2" t="s">
        <v>5614</v>
      </c>
      <c r="AG760" s="2" t="s">
        <v>1088</v>
      </c>
      <c r="AH760" s="2" t="s">
        <v>7265</v>
      </c>
      <c r="AI760" s="2">
        <v>3.61</v>
      </c>
      <c r="AJ760" s="2">
        <v>19.744447722644399</v>
      </c>
      <c r="AK760" s="2">
        <v>19.867787340878898</v>
      </c>
      <c r="AL760" s="2">
        <v>19.126712512772801</v>
      </c>
      <c r="AM760" s="2">
        <v>19.405712466781701</v>
      </c>
      <c r="AN760" s="2">
        <v>19.565821442391702</v>
      </c>
      <c r="AO760" s="2">
        <v>19.211855840004901</v>
      </c>
      <c r="AP760" s="2">
        <v>20.022934559897699</v>
      </c>
      <c r="AQ760" s="2">
        <v>19.353769808833899</v>
      </c>
      <c r="AR760" s="2">
        <v>17.457131226852301</v>
      </c>
      <c r="AS760" s="2">
        <v>19.897710675538001</v>
      </c>
      <c r="AT760" s="2">
        <v>9.6233145402724691</v>
      </c>
      <c r="AU760" s="2">
        <v>20.026012912809801</v>
      </c>
      <c r="AV760" s="2">
        <v>18.2558803805453</v>
      </c>
      <c r="AW760" s="2">
        <v>18.151191492330199</v>
      </c>
      <c r="AX760" s="2">
        <v>20.135180664453301</v>
      </c>
      <c r="AY760" s="2">
        <v>20.475085575828398</v>
      </c>
      <c r="AZ760" s="2">
        <v>19.372936012464098</v>
      </c>
      <c r="BA760" s="2">
        <v>19.595027014774299</v>
      </c>
      <c r="BB760" s="2">
        <v>20.8801209474301</v>
      </c>
      <c r="BC760" s="2">
        <v>20.311408236684802</v>
      </c>
      <c r="BD760" s="2">
        <v>18.400330117882401</v>
      </c>
      <c r="BE760" s="2">
        <v>21.401345209129701</v>
      </c>
      <c r="BF760" s="2">
        <v>19.024285651595399</v>
      </c>
      <c r="BG760" s="2">
        <v>9.6233145402724691</v>
      </c>
      <c r="BH760" s="2">
        <v>18.900999054073701</v>
      </c>
      <c r="BI760" s="2">
        <v>18.240108899358301</v>
      </c>
      <c r="BJ760" s="2">
        <v>18.440620655934499</v>
      </c>
      <c r="BK760" s="2">
        <v>19.016816474409399</v>
      </c>
      <c r="BL760" s="2">
        <v>18.311043147515999</v>
      </c>
      <c r="BM760" s="2">
        <v>19.519411274871999</v>
      </c>
      <c r="BN760" s="2">
        <v>20.532709186991099</v>
      </c>
      <c r="BO760" s="2">
        <v>19.138280050920901</v>
      </c>
      <c r="BP760" s="2">
        <v>9.6233145402724691</v>
      </c>
      <c r="BQ760" s="2">
        <v>17.282497270459501</v>
      </c>
      <c r="BR760" s="2">
        <v>20.586327488756101</v>
      </c>
      <c r="BS760" s="2">
        <v>19.982055346945899</v>
      </c>
      <c r="BT760" s="2">
        <v>18.505680349462601</v>
      </c>
      <c r="BU760" s="2">
        <v>19.550225968645101</v>
      </c>
      <c r="BV760" s="2">
        <v>19.7752878655579</v>
      </c>
      <c r="BW760" s="2">
        <v>17.003853753748899</v>
      </c>
      <c r="BX760" s="2">
        <v>20.4556084273942</v>
      </c>
      <c r="BY760" s="2">
        <v>21.001568378805299</v>
      </c>
      <c r="BZ760" s="2">
        <v>18.5836908648389</v>
      </c>
      <c r="CA760" s="2">
        <v>19.0742218634926</v>
      </c>
      <c r="CB760" s="2">
        <v>19.192637359340399</v>
      </c>
      <c r="CC760" s="2">
        <v>16.7673312466822</v>
      </c>
      <c r="CD760" s="2">
        <v>15.801716693790199</v>
      </c>
      <c r="CE760" s="2">
        <v>19.019354863881102</v>
      </c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</row>
    <row r="761" spans="1:97">
      <c r="A761" s="2" t="s">
        <v>7266</v>
      </c>
      <c r="B761" s="2">
        <v>159.11355</v>
      </c>
      <c r="C761" s="2">
        <v>0.80400000000000005</v>
      </c>
      <c r="D761" s="2" t="s">
        <v>146</v>
      </c>
      <c r="E761" s="2" t="s">
        <v>7267</v>
      </c>
      <c r="F761" s="2" t="s">
        <v>7268</v>
      </c>
      <c r="G761" s="2">
        <v>47774</v>
      </c>
      <c r="H761" s="3" t="str">
        <f>HYPERLINK("https://cloud.oebiotech.com/#/lm/network/47774", "https://cloud.oebiotech.com/#/lm/network/47774")</f>
        <v>https://cloud.oebiotech.com/#/lm/network/47774</v>
      </c>
      <c r="I761" s="2" t="s">
        <v>7269</v>
      </c>
      <c r="J761" s="2">
        <v>58082</v>
      </c>
      <c r="K761" s="2"/>
      <c r="L761" s="2">
        <v>164795</v>
      </c>
      <c r="M761" s="2" t="s">
        <v>7270</v>
      </c>
      <c r="N761" s="2"/>
      <c r="O761" s="2"/>
      <c r="P761" s="2">
        <v>17604</v>
      </c>
      <c r="Q761" s="2"/>
      <c r="R761" s="2"/>
      <c r="S761" s="2" t="s">
        <v>7271</v>
      </c>
      <c r="T761" s="2" t="s">
        <v>7272</v>
      </c>
      <c r="U761" s="2" t="s">
        <v>7273</v>
      </c>
      <c r="V761" s="2" t="s">
        <v>115</v>
      </c>
      <c r="W761" s="2" t="s">
        <v>116</v>
      </c>
      <c r="X761" s="2" t="s">
        <v>117</v>
      </c>
      <c r="Y761" s="2" t="s">
        <v>118</v>
      </c>
      <c r="Z761" s="2" t="s">
        <v>119</v>
      </c>
      <c r="AA761" s="2" t="s">
        <v>120</v>
      </c>
      <c r="AB761" s="2" t="s">
        <v>3086</v>
      </c>
      <c r="AC761" s="2">
        <v>54.11</v>
      </c>
      <c r="AD761" s="2">
        <v>95.42</v>
      </c>
      <c r="AE761" s="2">
        <v>0</v>
      </c>
      <c r="AF761" s="2" t="s">
        <v>7274</v>
      </c>
      <c r="AG761" s="2" t="s">
        <v>194</v>
      </c>
      <c r="AH761" s="2" t="s">
        <v>5754</v>
      </c>
      <c r="AI761" s="2">
        <v>1.89</v>
      </c>
      <c r="AJ761" s="2">
        <v>22.2146233354609</v>
      </c>
      <c r="AK761" s="2">
        <v>20.7063479303152</v>
      </c>
      <c r="AL761" s="2">
        <v>22.181050261012601</v>
      </c>
      <c r="AM761" s="2">
        <v>22.2181984593532</v>
      </c>
      <c r="AN761" s="2">
        <v>22.078225055593201</v>
      </c>
      <c r="AO761" s="2">
        <v>22.2089112190828</v>
      </c>
      <c r="AP761" s="2">
        <v>21.645463422766401</v>
      </c>
      <c r="AQ761" s="2">
        <v>22.281591946226001</v>
      </c>
      <c r="AR761" s="2">
        <v>22.1168561416644</v>
      </c>
      <c r="AS761" s="2">
        <v>22.3403373246684</v>
      </c>
      <c r="AT761" s="2">
        <v>22.116619739370599</v>
      </c>
      <c r="AU761" s="2">
        <v>22.6203972786615</v>
      </c>
      <c r="AV761" s="2">
        <v>21.875985494136501</v>
      </c>
      <c r="AW761" s="2">
        <v>21.74129074196</v>
      </c>
      <c r="AX761" s="2">
        <v>21.982640040551502</v>
      </c>
      <c r="AY761" s="2">
        <v>22.112770412890999</v>
      </c>
      <c r="AZ761" s="2">
        <v>21.983560510396899</v>
      </c>
      <c r="BA761" s="2">
        <v>22.4066934190426</v>
      </c>
      <c r="BB761" s="2">
        <v>21.037437905600999</v>
      </c>
      <c r="BC761" s="2">
        <v>22.176860162462901</v>
      </c>
      <c r="BD761" s="2">
        <v>22.3110481907981</v>
      </c>
      <c r="BE761" s="2">
        <v>21.904043438966699</v>
      </c>
      <c r="BF761" s="2">
        <v>21.648839334778401</v>
      </c>
      <c r="BG761" s="2">
        <v>21.836948453458799</v>
      </c>
      <c r="BH761" s="2">
        <v>21.621349853893399</v>
      </c>
      <c r="BI761" s="2">
        <v>21.975272733630199</v>
      </c>
      <c r="BJ761" s="2">
        <v>21.396686103147101</v>
      </c>
      <c r="BK761" s="2">
        <v>22.447571655145101</v>
      </c>
      <c r="BL761" s="2">
        <v>22.231372431254901</v>
      </c>
      <c r="BM761" s="2">
        <v>22.8901585550459</v>
      </c>
      <c r="BN761" s="2">
        <v>21.3521985723212</v>
      </c>
      <c r="BO761" s="2">
        <v>21.738113260716201</v>
      </c>
      <c r="BP761" s="2">
        <v>21.387204704723001</v>
      </c>
      <c r="BQ761" s="2">
        <v>21.740521293734901</v>
      </c>
      <c r="BR761" s="2">
        <v>21.960205781175699</v>
      </c>
      <c r="BS761" s="2">
        <v>21.683098069371098</v>
      </c>
      <c r="BT761" s="2">
        <v>21.315748417331999</v>
      </c>
      <c r="BU761" s="2">
        <v>21.778243959263602</v>
      </c>
      <c r="BV761" s="2">
        <v>21.0355775458188</v>
      </c>
      <c r="BW761" s="2">
        <v>22.6811362320474</v>
      </c>
      <c r="BX761" s="2">
        <v>21.611933127509499</v>
      </c>
      <c r="BY761" s="2">
        <v>21.9395272483059</v>
      </c>
      <c r="BZ761" s="2">
        <v>22.108290434514899</v>
      </c>
      <c r="CA761" s="2">
        <v>21.670277542965898</v>
      </c>
      <c r="CB761" s="2">
        <v>20.5836343210532</v>
      </c>
      <c r="CC761" s="2">
        <v>22.256676524453599</v>
      </c>
      <c r="CD761" s="2">
        <v>21.003022927421799</v>
      </c>
      <c r="CE761" s="2">
        <v>21.550814316207301</v>
      </c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</row>
    <row r="762" spans="1:97">
      <c r="A762" s="2" t="s">
        <v>7275</v>
      </c>
      <c r="B762" s="2">
        <v>111.00845</v>
      </c>
      <c r="C762" s="2">
        <v>1.002</v>
      </c>
      <c r="D762" s="2" t="s">
        <v>146</v>
      </c>
      <c r="E762" s="2" t="s">
        <v>7276</v>
      </c>
      <c r="F762" s="2" t="s">
        <v>7277</v>
      </c>
      <c r="G762" s="2">
        <v>52223</v>
      </c>
      <c r="H762" s="3" t="str">
        <f>HYPERLINK("https://cloud.oebiotech.com/#/lm/network/52223", "https://cloud.oebiotech.com/#/lm/network/52223")</f>
        <v>https://cloud.oebiotech.com/#/lm/network/52223</v>
      </c>
      <c r="I762" s="2" t="s">
        <v>7278</v>
      </c>
      <c r="J762" s="2">
        <v>319338</v>
      </c>
      <c r="K762" s="2"/>
      <c r="L762" s="2">
        <v>119412</v>
      </c>
      <c r="M762" s="2" t="s">
        <v>7279</v>
      </c>
      <c r="N762" s="2" t="s">
        <v>2226</v>
      </c>
      <c r="O762" s="2" t="s">
        <v>2227</v>
      </c>
      <c r="P762" s="2">
        <v>17204</v>
      </c>
      <c r="Q762" s="2"/>
      <c r="R762" s="2"/>
      <c r="S762" s="2"/>
      <c r="T762" s="2" t="s">
        <v>7280</v>
      </c>
      <c r="U762" s="2" t="s">
        <v>7281</v>
      </c>
      <c r="V762" s="2" t="s">
        <v>115</v>
      </c>
      <c r="W762" s="2" t="s">
        <v>403</v>
      </c>
      <c r="X762" s="2" t="s">
        <v>404</v>
      </c>
      <c r="Y762" s="2" t="s">
        <v>118</v>
      </c>
      <c r="Z762" s="2" t="s">
        <v>405</v>
      </c>
      <c r="AA762" s="2" t="s">
        <v>406</v>
      </c>
      <c r="AB762" s="2" t="s">
        <v>3086</v>
      </c>
      <c r="AC762" s="2">
        <v>54.08</v>
      </c>
      <c r="AD762" s="2">
        <v>99.1</v>
      </c>
      <c r="AE762" s="2">
        <v>0</v>
      </c>
      <c r="AF762" s="2" t="s">
        <v>5614</v>
      </c>
      <c r="AG762" s="2" t="s">
        <v>993</v>
      </c>
      <c r="AH762" s="2" t="s">
        <v>1908</v>
      </c>
      <c r="AI762" s="2">
        <v>-2.0699999999999998</v>
      </c>
      <c r="AJ762" s="2">
        <v>23.409919924791101</v>
      </c>
      <c r="AK762" s="2">
        <v>23.139319325681502</v>
      </c>
      <c r="AL762" s="2">
        <v>23.596919123180399</v>
      </c>
      <c r="AM762" s="2">
        <v>23.538859648337699</v>
      </c>
      <c r="AN762" s="2">
        <v>23.695685577719701</v>
      </c>
      <c r="AO762" s="2">
        <v>23.268750240798301</v>
      </c>
      <c r="AP762" s="2">
        <v>23.731575134729798</v>
      </c>
      <c r="AQ762" s="2">
        <v>23.264060605218699</v>
      </c>
      <c r="AR762" s="2">
        <v>23.003524474408799</v>
      </c>
      <c r="AS762" s="2">
        <v>22.378084611812501</v>
      </c>
      <c r="AT762" s="2">
        <v>22.418235565582499</v>
      </c>
      <c r="AU762" s="2">
        <v>23.043960095780101</v>
      </c>
      <c r="AV762" s="2">
        <v>23.616449382936999</v>
      </c>
      <c r="AW762" s="2">
        <v>23.5799917559542</v>
      </c>
      <c r="AX762" s="2">
        <v>23.1587272843819</v>
      </c>
      <c r="AY762" s="2">
        <v>23.214880995733299</v>
      </c>
      <c r="AZ762" s="2">
        <v>22.508116300645401</v>
      </c>
      <c r="BA762" s="2">
        <v>22.853613333564599</v>
      </c>
      <c r="BB762" s="2">
        <v>23.2542795769048</v>
      </c>
      <c r="BC762" s="2">
        <v>23.802893747798102</v>
      </c>
      <c r="BD762" s="2">
        <v>23.585281463466099</v>
      </c>
      <c r="BE762" s="2">
        <v>23.751202568103999</v>
      </c>
      <c r="BF762" s="2">
        <v>23.728586955699701</v>
      </c>
      <c r="BG762" s="2">
        <v>23.204692022444</v>
      </c>
      <c r="BH762" s="2">
        <v>23.3414251729947</v>
      </c>
      <c r="BI762" s="2">
        <v>22.745236049633601</v>
      </c>
      <c r="BJ762" s="2">
        <v>23.495579713735701</v>
      </c>
      <c r="BK762" s="2">
        <v>23.032771026235601</v>
      </c>
      <c r="BL762" s="2">
        <v>23.1583394253676</v>
      </c>
      <c r="BM762" s="2">
        <v>23.8695200407168</v>
      </c>
      <c r="BN762" s="2">
        <v>23.734809084973701</v>
      </c>
      <c r="BO762" s="2">
        <v>22.735334434397402</v>
      </c>
      <c r="BP762" s="2">
        <v>22.9961586454843</v>
      </c>
      <c r="BQ762" s="2">
        <v>23.633899775200099</v>
      </c>
      <c r="BR762" s="2">
        <v>23.141595232261199</v>
      </c>
      <c r="BS762" s="2">
        <v>22.581391232796499</v>
      </c>
      <c r="BT762" s="2">
        <v>22.301334396144799</v>
      </c>
      <c r="BU762" s="2">
        <v>23.2010257324728</v>
      </c>
      <c r="BV762" s="2">
        <v>23.455164524911901</v>
      </c>
      <c r="BW762" s="2">
        <v>22.6391051212767</v>
      </c>
      <c r="BX762" s="2">
        <v>22.709457382989399</v>
      </c>
      <c r="BY762" s="2">
        <v>23.438592249286501</v>
      </c>
      <c r="BZ762" s="2">
        <v>23.118000562462001</v>
      </c>
      <c r="CA762" s="2">
        <v>22.9836946032549</v>
      </c>
      <c r="CB762" s="2">
        <v>22.023673891855399</v>
      </c>
      <c r="CC762" s="2">
        <v>23.136315787132698</v>
      </c>
      <c r="CD762" s="2">
        <v>23.233682997530899</v>
      </c>
      <c r="CE762" s="2">
        <v>22.8446913384313</v>
      </c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</row>
    <row r="763" spans="1:97">
      <c r="A763" s="2" t="s">
        <v>7282</v>
      </c>
      <c r="B763" s="2">
        <v>217.04692</v>
      </c>
      <c r="C763" s="2">
        <v>0.66800000000000004</v>
      </c>
      <c r="D763" s="2" t="s">
        <v>84</v>
      </c>
      <c r="E763" s="2" t="s">
        <v>7283</v>
      </c>
      <c r="F763" s="2" t="s">
        <v>7284</v>
      </c>
      <c r="G763" s="2">
        <v>204124</v>
      </c>
      <c r="H763" s="3" t="str">
        <f>HYPERLINK("https://cloud.oebiotech.com/#/lm/network/204124", "https://cloud.oebiotech.com/#/lm/network/204124")</f>
        <v>https://cloud.oebiotech.com/#/lm/network/204124</v>
      </c>
      <c r="I763" s="2" t="s">
        <v>7285</v>
      </c>
      <c r="J763" s="2"/>
      <c r="K763" s="2"/>
      <c r="L763" s="2">
        <v>3816043</v>
      </c>
      <c r="M763" s="2"/>
      <c r="N763" s="2"/>
      <c r="O763" s="2"/>
      <c r="P763" s="2"/>
      <c r="Q763" s="2"/>
      <c r="R763" s="2"/>
      <c r="S763" s="2"/>
      <c r="T763" s="2" t="s">
        <v>7286</v>
      </c>
      <c r="U763" s="2" t="s">
        <v>7287</v>
      </c>
      <c r="V763" s="2" t="s">
        <v>338</v>
      </c>
      <c r="W763" s="2" t="s">
        <v>339</v>
      </c>
      <c r="X763" s="2" t="s">
        <v>663</v>
      </c>
      <c r="Y763" s="2" t="s">
        <v>341</v>
      </c>
      <c r="Z763" s="2" t="s">
        <v>341</v>
      </c>
      <c r="AA763" s="2" t="s">
        <v>664</v>
      </c>
      <c r="AB763" s="2" t="s">
        <v>3086</v>
      </c>
      <c r="AC763" s="2">
        <v>54.08</v>
      </c>
      <c r="AD763" s="2">
        <v>90.89</v>
      </c>
      <c r="AE763" s="2">
        <v>0</v>
      </c>
      <c r="AF763" s="2" t="s">
        <v>7288</v>
      </c>
      <c r="AG763" s="2" t="s">
        <v>3544</v>
      </c>
      <c r="AH763" s="2" t="s">
        <v>7289</v>
      </c>
      <c r="AI763" s="2">
        <v>1.84</v>
      </c>
      <c r="AJ763" s="2">
        <v>24.7341576415999</v>
      </c>
      <c r="AK763" s="2">
        <v>24.786961939716999</v>
      </c>
      <c r="AL763" s="2">
        <v>24.587148870106901</v>
      </c>
      <c r="AM763" s="2">
        <v>24.606045464106401</v>
      </c>
      <c r="AN763" s="2">
        <v>23.6718069384324</v>
      </c>
      <c r="AO763" s="2">
        <v>24.5581044264284</v>
      </c>
      <c r="AP763" s="2">
        <v>24.637582707623899</v>
      </c>
      <c r="AQ763" s="2">
        <v>24.578891805825801</v>
      </c>
      <c r="AR763" s="2">
        <v>24.628156270382</v>
      </c>
      <c r="AS763" s="2">
        <v>24.4290333356664</v>
      </c>
      <c r="AT763" s="2">
        <v>24.601175599481401</v>
      </c>
      <c r="AU763" s="2">
        <v>24.5573899314935</v>
      </c>
      <c r="AV763" s="2">
        <v>24.611602863541499</v>
      </c>
      <c r="AW763" s="2">
        <v>24.678139133176799</v>
      </c>
      <c r="AX763" s="2">
        <v>24.6181774161475</v>
      </c>
      <c r="AY763" s="2">
        <v>24.705968939052301</v>
      </c>
      <c r="AZ763" s="2">
        <v>24.589922463330399</v>
      </c>
      <c r="BA763" s="2">
        <v>24.468071845339701</v>
      </c>
      <c r="BB763" s="2">
        <v>24.6524500480859</v>
      </c>
      <c r="BC763" s="2">
        <v>24.649238474272799</v>
      </c>
      <c r="BD763" s="2">
        <v>24.688163606925801</v>
      </c>
      <c r="BE763" s="2">
        <v>24.768057731913501</v>
      </c>
      <c r="BF763" s="2">
        <v>24.085668396674102</v>
      </c>
      <c r="BG763" s="2">
        <v>24.7606772936468</v>
      </c>
      <c r="BH763" s="2">
        <v>24.513510650259001</v>
      </c>
      <c r="BI763" s="2">
        <v>24.807221173795298</v>
      </c>
      <c r="BJ763" s="2">
        <v>24.742246378914601</v>
      </c>
      <c r="BK763" s="2">
        <v>24.605170468018599</v>
      </c>
      <c r="BL763" s="2">
        <v>24.584330152787999</v>
      </c>
      <c r="BM763" s="2">
        <v>24.3776233895601</v>
      </c>
      <c r="BN763" s="2">
        <v>24.739204757034798</v>
      </c>
      <c r="BO763" s="2">
        <v>24.579630365978399</v>
      </c>
      <c r="BP763" s="2">
        <v>24.828777904001701</v>
      </c>
      <c r="BQ763" s="2">
        <v>24.499950034649</v>
      </c>
      <c r="BR763" s="2">
        <v>24.461912464840399</v>
      </c>
      <c r="BS763" s="2">
        <v>24.665410225874101</v>
      </c>
      <c r="BT763" s="2">
        <v>24.842957172598101</v>
      </c>
      <c r="BU763" s="2">
        <v>24.776340150885201</v>
      </c>
      <c r="BV763" s="2">
        <v>23.805899740965899</v>
      </c>
      <c r="BW763" s="2">
        <v>24.685795465162698</v>
      </c>
      <c r="BX763" s="2">
        <v>24.516708902506899</v>
      </c>
      <c r="BY763" s="2">
        <v>23.6956091098846</v>
      </c>
      <c r="BZ763" s="2">
        <v>24.658411709789601</v>
      </c>
      <c r="CA763" s="2">
        <v>24.6978212596911</v>
      </c>
      <c r="CB763" s="2">
        <v>24.4635702803131</v>
      </c>
      <c r="CC763" s="2">
        <v>24.5324645423301</v>
      </c>
      <c r="CD763" s="2">
        <v>24.789781253614901</v>
      </c>
      <c r="CE763" s="2">
        <v>24.479412703023002</v>
      </c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</row>
    <row r="764" spans="1:97">
      <c r="A764" s="2" t="s">
        <v>7290</v>
      </c>
      <c r="B764" s="2">
        <v>251.09200999999999</v>
      </c>
      <c r="C764" s="2">
        <v>8.1509999999999998</v>
      </c>
      <c r="D764" s="2" t="s">
        <v>146</v>
      </c>
      <c r="E764" s="2" t="s">
        <v>7291</v>
      </c>
      <c r="F764" s="2" t="s">
        <v>7292</v>
      </c>
      <c r="G764" s="2">
        <v>64499</v>
      </c>
      <c r="H764" s="3" t="str">
        <f>HYPERLINK("https://cloud.oebiotech.com/#/lm/network/64499", "https://cloud.oebiotech.com/#/lm/network/64499")</f>
        <v>https://cloud.oebiotech.com/#/lm/network/64499</v>
      </c>
      <c r="I764" s="2" t="s">
        <v>7293</v>
      </c>
      <c r="J764" s="2">
        <v>95809</v>
      </c>
      <c r="K764" s="2"/>
      <c r="L764" s="2">
        <v>12531626</v>
      </c>
      <c r="M764" s="2"/>
      <c r="N764" s="2"/>
      <c r="O764" s="2"/>
      <c r="P764" s="2">
        <v>166521</v>
      </c>
      <c r="Q764" s="2"/>
      <c r="R764" s="2"/>
      <c r="S764" s="2" t="s">
        <v>7294</v>
      </c>
      <c r="T764" s="2" t="s">
        <v>7295</v>
      </c>
      <c r="U764" s="2" t="s">
        <v>7296</v>
      </c>
      <c r="V764" s="2" t="s">
        <v>553</v>
      </c>
      <c r="W764" s="2" t="s">
        <v>2193</v>
      </c>
      <c r="X764" s="2" t="s">
        <v>4866</v>
      </c>
      <c r="Y764" s="2" t="s">
        <v>556</v>
      </c>
      <c r="Z764" s="2" t="s">
        <v>2194</v>
      </c>
      <c r="AA764" s="2" t="s">
        <v>4867</v>
      </c>
      <c r="AB764" s="2" t="s">
        <v>3086</v>
      </c>
      <c r="AC764" s="2">
        <v>54.07</v>
      </c>
      <c r="AD764" s="2">
        <v>96.24</v>
      </c>
      <c r="AE764" s="2">
        <v>0</v>
      </c>
      <c r="AF764" s="2" t="s">
        <v>5614</v>
      </c>
      <c r="AG764" s="2" t="s">
        <v>157</v>
      </c>
      <c r="AH764" s="2" t="s">
        <v>7297</v>
      </c>
      <c r="AI764" s="2">
        <v>1.99</v>
      </c>
      <c r="AJ764" s="2">
        <v>21.650061248147399</v>
      </c>
      <c r="AK764" s="2">
        <v>21.6463283356203</v>
      </c>
      <c r="AL764" s="2">
        <v>21.5950432326207</v>
      </c>
      <c r="AM764" s="2">
        <v>21.338921733828201</v>
      </c>
      <c r="AN764" s="2">
        <v>21.255981930580901</v>
      </c>
      <c r="AO764" s="2">
        <v>21.505520668975699</v>
      </c>
      <c r="AP764" s="2">
        <v>21.250963776065699</v>
      </c>
      <c r="AQ764" s="2">
        <v>21.577351226800399</v>
      </c>
      <c r="AR764" s="2">
        <v>21.548166860122901</v>
      </c>
      <c r="AS764" s="2">
        <v>21.6039452639302</v>
      </c>
      <c r="AT764" s="2">
        <v>21.675433287666198</v>
      </c>
      <c r="AU764" s="2">
        <v>21.161217342366399</v>
      </c>
      <c r="AV764" s="2">
        <v>21.695563006567301</v>
      </c>
      <c r="AW764" s="2">
        <v>21.7503745237548</v>
      </c>
      <c r="AX764" s="2">
        <v>21.570863825365699</v>
      </c>
      <c r="AY764" s="2">
        <v>21.560898510665499</v>
      </c>
      <c r="AZ764" s="2">
        <v>21.573649919279401</v>
      </c>
      <c r="BA764" s="2">
        <v>21.136538503477301</v>
      </c>
      <c r="BB764" s="2">
        <v>21.335758432649001</v>
      </c>
      <c r="BC764" s="2">
        <v>21.6248930035791</v>
      </c>
      <c r="BD764" s="2">
        <v>21.472638146495001</v>
      </c>
      <c r="BE764" s="2">
        <v>21.502866632449201</v>
      </c>
      <c r="BF764" s="2">
        <v>21.664322237607099</v>
      </c>
      <c r="BG764" s="2">
        <v>21.704942882871901</v>
      </c>
      <c r="BH764" s="2">
        <v>21.444019987968399</v>
      </c>
      <c r="BI764" s="2">
        <v>21.012619206107701</v>
      </c>
      <c r="BJ764" s="2">
        <v>21.475353329076398</v>
      </c>
      <c r="BK764" s="2">
        <v>21.498298400923101</v>
      </c>
      <c r="BL764" s="2">
        <v>21.5672374223834</v>
      </c>
      <c r="BM764" s="2">
        <v>21.668559204130901</v>
      </c>
      <c r="BN764" s="2">
        <v>21.1342445078512</v>
      </c>
      <c r="BO764" s="2">
        <v>21.696141842236099</v>
      </c>
      <c r="BP764" s="2">
        <v>21.454837239578399</v>
      </c>
      <c r="BQ764" s="2">
        <v>21.678820682312299</v>
      </c>
      <c r="BR764" s="2">
        <v>21.357290049078902</v>
      </c>
      <c r="BS764" s="2">
        <v>21.436570474246398</v>
      </c>
      <c r="BT764" s="2">
        <v>21.198014842683701</v>
      </c>
      <c r="BU764" s="2">
        <v>21.4683845678097</v>
      </c>
      <c r="BV764" s="2">
        <v>21.330664646521502</v>
      </c>
      <c r="BW764" s="2">
        <v>21.153398110265002</v>
      </c>
      <c r="BX764" s="2">
        <v>21.311840571094098</v>
      </c>
      <c r="BY764" s="2">
        <v>21.3509475150694</v>
      </c>
      <c r="BZ764" s="2">
        <v>21.4873780899362</v>
      </c>
      <c r="CA764" s="2">
        <v>21.453502231782</v>
      </c>
      <c r="CB764" s="2">
        <v>21.599074804320601</v>
      </c>
      <c r="CC764" s="2">
        <v>21.6297008211579</v>
      </c>
      <c r="CD764" s="2">
        <v>21.3290186601273</v>
      </c>
      <c r="CE764" s="2">
        <v>21.1057802460369</v>
      </c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</row>
    <row r="765" spans="1:97">
      <c r="A765" s="2" t="s">
        <v>7298</v>
      </c>
      <c r="B765" s="2">
        <v>323.21967000000001</v>
      </c>
      <c r="C765" s="2">
        <v>10.032999999999999</v>
      </c>
      <c r="D765" s="2" t="s">
        <v>146</v>
      </c>
      <c r="E765" s="2" t="s">
        <v>7299</v>
      </c>
      <c r="F765" s="2" t="s">
        <v>7300</v>
      </c>
      <c r="G765" s="2">
        <v>44859</v>
      </c>
      <c r="H765" s="3" t="str">
        <f>HYPERLINK("https://cloud.oebiotech.com/#/lm/network/44859", "https://cloud.oebiotech.com/#/lm/network/44859")</f>
        <v>https://cloud.oebiotech.com/#/lm/network/44859</v>
      </c>
      <c r="I765" s="2"/>
      <c r="J765" s="2">
        <v>84283</v>
      </c>
      <c r="K765" s="2" t="s">
        <v>7301</v>
      </c>
      <c r="L765" s="2">
        <v>9547219</v>
      </c>
      <c r="M765" s="2"/>
      <c r="N765" s="2"/>
      <c r="O765" s="2"/>
      <c r="P765" s="2"/>
      <c r="Q765" s="2"/>
      <c r="R765" s="2"/>
      <c r="S765" s="2"/>
      <c r="T765" s="2" t="s">
        <v>7302</v>
      </c>
      <c r="U765" s="2" t="s">
        <v>7303</v>
      </c>
      <c r="V765" s="2" t="s">
        <v>95</v>
      </c>
      <c r="W765" s="2" t="s">
        <v>152</v>
      </c>
      <c r="X765" s="2" t="s">
        <v>5492</v>
      </c>
      <c r="Y765" s="2" t="s">
        <v>98</v>
      </c>
      <c r="Z765" s="2" t="s">
        <v>154</v>
      </c>
      <c r="AA765" s="2" t="s">
        <v>5493</v>
      </c>
      <c r="AB765" s="2" t="s">
        <v>3086</v>
      </c>
      <c r="AC765" s="2">
        <v>54.07</v>
      </c>
      <c r="AD765" s="2">
        <v>96.03</v>
      </c>
      <c r="AE765" s="2">
        <v>37.39</v>
      </c>
      <c r="AF765" s="2" t="s">
        <v>7304</v>
      </c>
      <c r="AG765" s="2" t="s">
        <v>157</v>
      </c>
      <c r="AH765" s="2" t="s">
        <v>7305</v>
      </c>
      <c r="AI765" s="2">
        <v>9.59</v>
      </c>
      <c r="AJ765" s="2">
        <v>21.707038491562098</v>
      </c>
      <c r="AK765" s="2">
        <v>21.781562970441499</v>
      </c>
      <c r="AL765" s="2">
        <v>21.575535904660001</v>
      </c>
      <c r="AM765" s="2">
        <v>21.634627387627798</v>
      </c>
      <c r="AN765" s="2">
        <v>21.517261816771502</v>
      </c>
      <c r="AO765" s="2">
        <v>21.619815901431199</v>
      </c>
      <c r="AP765" s="2">
        <v>21.491696467125699</v>
      </c>
      <c r="AQ765" s="2">
        <v>21.545023724374001</v>
      </c>
      <c r="AR765" s="2">
        <v>21.696771470395198</v>
      </c>
      <c r="AS765" s="2">
        <v>21.798446170456899</v>
      </c>
      <c r="AT765" s="2">
        <v>21.6043716239055</v>
      </c>
      <c r="AU765" s="2">
        <v>21.5741995270728</v>
      </c>
      <c r="AV765" s="2">
        <v>21.633087184082701</v>
      </c>
      <c r="AW765" s="2">
        <v>21.714974530450402</v>
      </c>
      <c r="AX765" s="2">
        <v>21.632275183554</v>
      </c>
      <c r="AY765" s="2">
        <v>21.622474457865401</v>
      </c>
      <c r="AZ765" s="2">
        <v>21.574978267077999</v>
      </c>
      <c r="BA765" s="2">
        <v>21.638648640353502</v>
      </c>
      <c r="BB765" s="2">
        <v>21.567736879252401</v>
      </c>
      <c r="BC765" s="2">
        <v>21.693934408031499</v>
      </c>
      <c r="BD765" s="2">
        <v>21.586081219883798</v>
      </c>
      <c r="BE765" s="2">
        <v>21.606576672199001</v>
      </c>
      <c r="BF765" s="2">
        <v>21.5052643311253</v>
      </c>
      <c r="BG765" s="2">
        <v>21.5530867161361</v>
      </c>
      <c r="BH765" s="2">
        <v>21.594619035658202</v>
      </c>
      <c r="BI765" s="2">
        <v>21.464084873642101</v>
      </c>
      <c r="BJ765" s="2">
        <v>21.515507100185499</v>
      </c>
      <c r="BK765" s="2">
        <v>21.590315083583601</v>
      </c>
      <c r="BL765" s="2">
        <v>21.676136275328901</v>
      </c>
      <c r="BM765" s="2">
        <v>21.5848875097502</v>
      </c>
      <c r="BN765" s="2">
        <v>21.433767779486899</v>
      </c>
      <c r="BO765" s="2">
        <v>21.4971432857511</v>
      </c>
      <c r="BP765" s="2">
        <v>21.488004532988001</v>
      </c>
      <c r="BQ765" s="2">
        <v>21.577613884049899</v>
      </c>
      <c r="BR765" s="2">
        <v>21.526540425658101</v>
      </c>
      <c r="BS765" s="2">
        <v>21.602648724260501</v>
      </c>
      <c r="BT765" s="2">
        <v>21.497501410539801</v>
      </c>
      <c r="BU765" s="2">
        <v>21.5460642615597</v>
      </c>
      <c r="BV765" s="2">
        <v>21.4945049128678</v>
      </c>
      <c r="BW765" s="2">
        <v>21.6210079887876</v>
      </c>
      <c r="BX765" s="2">
        <v>21.513784460850498</v>
      </c>
      <c r="BY765" s="2">
        <v>21.573434864280099</v>
      </c>
      <c r="BZ765" s="2">
        <v>21.544708090647099</v>
      </c>
      <c r="CA765" s="2">
        <v>21.474376363187002</v>
      </c>
      <c r="CB765" s="2">
        <v>21.554498433100498</v>
      </c>
      <c r="CC765" s="2">
        <v>21.600364371721199</v>
      </c>
      <c r="CD765" s="2">
        <v>21.464312473282501</v>
      </c>
      <c r="CE765" s="2">
        <v>21.546151497801901</v>
      </c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</row>
    <row r="766" spans="1:97">
      <c r="A766" s="2" t="s">
        <v>7306</v>
      </c>
      <c r="B766" s="2">
        <v>281.24695000000003</v>
      </c>
      <c r="C766" s="2">
        <v>10.913</v>
      </c>
      <c r="D766" s="2" t="s">
        <v>84</v>
      </c>
      <c r="E766" s="2" t="s">
        <v>7307</v>
      </c>
      <c r="F766" s="2" t="s">
        <v>7308</v>
      </c>
      <c r="G766" s="2">
        <v>3215</v>
      </c>
      <c r="H766" s="3" t="str">
        <f>HYPERLINK("https://cloud.oebiotech.com/#/lm/network/3215", "https://cloud.oebiotech.com/#/lm/network/3215")</f>
        <v>https://cloud.oebiotech.com/#/lm/network/3215</v>
      </c>
      <c r="I766" s="2"/>
      <c r="J766" s="2">
        <v>74756</v>
      </c>
      <c r="K766" s="2" t="s">
        <v>7309</v>
      </c>
      <c r="L766" s="2">
        <v>5312908</v>
      </c>
      <c r="M766" s="2"/>
      <c r="N766" s="2"/>
      <c r="O766" s="2"/>
      <c r="P766" s="2"/>
      <c r="Q766" s="2"/>
      <c r="R766" s="2"/>
      <c r="S766" s="2"/>
      <c r="T766" s="2" t="s">
        <v>7310</v>
      </c>
      <c r="U766" s="2" t="s">
        <v>7311</v>
      </c>
      <c r="V766" s="2" t="s">
        <v>95</v>
      </c>
      <c r="W766" s="2" t="s">
        <v>96</v>
      </c>
      <c r="X766" s="2" t="s">
        <v>141</v>
      </c>
      <c r="Y766" s="2" t="s">
        <v>98</v>
      </c>
      <c r="Z766" s="2" t="s">
        <v>99</v>
      </c>
      <c r="AA766" s="2" t="s">
        <v>142</v>
      </c>
      <c r="AB766" s="2" t="s">
        <v>3086</v>
      </c>
      <c r="AC766" s="2">
        <v>54.05</v>
      </c>
      <c r="AD766" s="2">
        <v>96.56</v>
      </c>
      <c r="AE766" s="2">
        <v>0</v>
      </c>
      <c r="AF766" s="2" t="s">
        <v>5614</v>
      </c>
      <c r="AG766" s="2" t="s">
        <v>1088</v>
      </c>
      <c r="AH766" s="2" t="s">
        <v>7095</v>
      </c>
      <c r="AI766" s="2">
        <v>3.91</v>
      </c>
      <c r="AJ766" s="2">
        <v>21.125258220249101</v>
      </c>
      <c r="AK766" s="2">
        <v>21.8901125841324</v>
      </c>
      <c r="AL766" s="2">
        <v>21.4164885814602</v>
      </c>
      <c r="AM766" s="2">
        <v>21.479819131083602</v>
      </c>
      <c r="AN766" s="2">
        <v>21.454008927286299</v>
      </c>
      <c r="AO766" s="2">
        <v>21.180254607280801</v>
      </c>
      <c r="AP766" s="2">
        <v>21.496268665647602</v>
      </c>
      <c r="AQ766" s="2">
        <v>21.513833701478202</v>
      </c>
      <c r="AR766" s="2">
        <v>21.5563756663981</v>
      </c>
      <c r="AS766" s="2">
        <v>20.990601904498899</v>
      </c>
      <c r="AT766" s="2">
        <v>22.613048105054599</v>
      </c>
      <c r="AU766" s="2">
        <v>21.501968647024398</v>
      </c>
      <c r="AV766" s="2">
        <v>20.7706471346252</v>
      </c>
      <c r="AW766" s="2">
        <v>21.271170695195</v>
      </c>
      <c r="AX766" s="2">
        <v>21.4558379398885</v>
      </c>
      <c r="AY766" s="2">
        <v>20.5672274865472</v>
      </c>
      <c r="AZ766" s="2">
        <v>19.7462217229603</v>
      </c>
      <c r="BA766" s="2">
        <v>21.918507665466599</v>
      </c>
      <c r="BB766" s="2">
        <v>21.593842318462499</v>
      </c>
      <c r="BC766" s="2">
        <v>22.092606213650601</v>
      </c>
      <c r="BD766" s="2">
        <v>20.2255079788739</v>
      </c>
      <c r="BE766" s="2">
        <v>20.848104777684402</v>
      </c>
      <c r="BF766" s="2">
        <v>21.280212290676399</v>
      </c>
      <c r="BG766" s="2">
        <v>20.776733645591602</v>
      </c>
      <c r="BH766" s="2">
        <v>21.0762787523208</v>
      </c>
      <c r="BI766" s="2">
        <v>22.014129467191498</v>
      </c>
      <c r="BJ766" s="2">
        <v>21.5507447518956</v>
      </c>
      <c r="BK766" s="2">
        <v>20.5761560778042</v>
      </c>
      <c r="BL766" s="2">
        <v>21.994184627049801</v>
      </c>
      <c r="BM766" s="2">
        <v>21.147050610579399</v>
      </c>
      <c r="BN766" s="2">
        <v>21.5078815557223</v>
      </c>
      <c r="BO766" s="2">
        <v>20.923738918919501</v>
      </c>
      <c r="BP766" s="2">
        <v>21.627561621011498</v>
      </c>
      <c r="BQ766" s="2">
        <v>21.857069724063699</v>
      </c>
      <c r="BR766" s="2">
        <v>21.091434734182901</v>
      </c>
      <c r="BS766" s="2">
        <v>21.074190452585899</v>
      </c>
      <c r="BT766" s="2">
        <v>20.259512537961999</v>
      </c>
      <c r="BU766" s="2">
        <v>23.2354056392163</v>
      </c>
      <c r="BV766" s="2">
        <v>21.0853220387737</v>
      </c>
      <c r="BW766" s="2">
        <v>20.7828744746806</v>
      </c>
      <c r="BX766" s="2">
        <v>21.164540687494199</v>
      </c>
      <c r="BY766" s="2">
        <v>21.2605996866174</v>
      </c>
      <c r="BZ766" s="2">
        <v>21.573153393439402</v>
      </c>
      <c r="CA766" s="2">
        <v>20.725466349114601</v>
      </c>
      <c r="CB766" s="2">
        <v>22.8198971526737</v>
      </c>
      <c r="CC766" s="2">
        <v>21.810049685310801</v>
      </c>
      <c r="CD766" s="2">
        <v>20.9952063455443</v>
      </c>
      <c r="CE766" s="2">
        <v>21.291807535267299</v>
      </c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</row>
    <row r="767" spans="1:97">
      <c r="A767" s="2" t="s">
        <v>7312</v>
      </c>
      <c r="B767" s="2">
        <v>465.19213000000002</v>
      </c>
      <c r="C767" s="2">
        <v>7.9139999999999997</v>
      </c>
      <c r="D767" s="2" t="s">
        <v>146</v>
      </c>
      <c r="E767" s="2" t="s">
        <v>7313</v>
      </c>
      <c r="F767" s="2" t="s">
        <v>7314</v>
      </c>
      <c r="G767" s="2">
        <v>209568</v>
      </c>
      <c r="H767" s="3" t="str">
        <f>HYPERLINK("https://cloud.oebiotech.com/#/lm/network/209568", "https://cloud.oebiotech.com/#/lm/network/209568")</f>
        <v>https://cloud.oebiotech.com/#/lm/network/209568</v>
      </c>
      <c r="I767" s="2" t="s">
        <v>7315</v>
      </c>
      <c r="J767" s="2"/>
      <c r="K767" s="2"/>
      <c r="L767" s="2">
        <v>100017</v>
      </c>
      <c r="M767" s="2"/>
      <c r="N767" s="2"/>
      <c r="O767" s="2"/>
      <c r="P767" s="2"/>
      <c r="Q767" s="2"/>
      <c r="R767" s="2"/>
      <c r="S767" s="2"/>
      <c r="T767" s="2" t="s">
        <v>7316</v>
      </c>
      <c r="U767" s="2" t="s">
        <v>7317</v>
      </c>
      <c r="V767" s="2" t="s">
        <v>95</v>
      </c>
      <c r="W767" s="2" t="s">
        <v>180</v>
      </c>
      <c r="X767" s="2" t="s">
        <v>1790</v>
      </c>
      <c r="Y767" s="2" t="s">
        <v>98</v>
      </c>
      <c r="Z767" s="2" t="s">
        <v>182</v>
      </c>
      <c r="AA767" s="2" t="s">
        <v>1791</v>
      </c>
      <c r="AB767" s="2" t="s">
        <v>5118</v>
      </c>
      <c r="AC767" s="2">
        <v>54.05</v>
      </c>
      <c r="AD767" s="2">
        <v>93.33</v>
      </c>
      <c r="AE767" s="2">
        <v>50.85</v>
      </c>
      <c r="AF767" s="2" t="s">
        <v>7318</v>
      </c>
      <c r="AG767" s="2" t="s">
        <v>194</v>
      </c>
      <c r="AH767" s="2" t="s">
        <v>7319</v>
      </c>
      <c r="AI767" s="2">
        <v>-0.43</v>
      </c>
      <c r="AJ767" s="2">
        <v>19.6086879993981</v>
      </c>
      <c r="AK767" s="2">
        <v>19.4633610654395</v>
      </c>
      <c r="AL767" s="2">
        <v>19.685694811640602</v>
      </c>
      <c r="AM767" s="2">
        <v>19.6019795670558</v>
      </c>
      <c r="AN767" s="2">
        <v>19.5098134436784</v>
      </c>
      <c r="AO767" s="2">
        <v>19.5624006352168</v>
      </c>
      <c r="AP767" s="2">
        <v>19.566229375690199</v>
      </c>
      <c r="AQ767" s="2">
        <v>19.572001018549599</v>
      </c>
      <c r="AR767" s="2">
        <v>16.487600307765099</v>
      </c>
      <c r="AS767" s="2">
        <v>17.1512934808907</v>
      </c>
      <c r="AT767" s="2">
        <v>20.030347327718601</v>
      </c>
      <c r="AU767" s="2">
        <v>18.683185095809499</v>
      </c>
      <c r="AV767" s="2">
        <v>20.0668940262569</v>
      </c>
      <c r="AW767" s="2">
        <v>19.929562622795501</v>
      </c>
      <c r="AX767" s="2">
        <v>18.295504618764401</v>
      </c>
      <c r="AY767" s="2">
        <v>20.2413999688102</v>
      </c>
      <c r="AZ767" s="2">
        <v>19.7047093673274</v>
      </c>
      <c r="BA767" s="2">
        <v>19.397868959918899</v>
      </c>
      <c r="BB767" s="2">
        <v>18.812844231048299</v>
      </c>
      <c r="BC767" s="2">
        <v>21.606545104541802</v>
      </c>
      <c r="BD767" s="2">
        <v>17.947707415991999</v>
      </c>
      <c r="BE767" s="2">
        <v>21.2697691186622</v>
      </c>
      <c r="BF767" s="2">
        <v>16.672123229492001</v>
      </c>
      <c r="BG767" s="2">
        <v>19.546403980151201</v>
      </c>
      <c r="BH767" s="2">
        <v>20.0348470034406</v>
      </c>
      <c r="BI767" s="2">
        <v>15.142413038982999</v>
      </c>
      <c r="BJ767" s="2">
        <v>20.139703198891901</v>
      </c>
      <c r="BK767" s="2">
        <v>18.241248249847299</v>
      </c>
      <c r="BL767" s="2">
        <v>18.588192120252899</v>
      </c>
      <c r="BM767" s="2">
        <v>18.128566875652201</v>
      </c>
      <c r="BN767" s="2">
        <v>19.128922373587699</v>
      </c>
      <c r="BO767" s="2">
        <v>18.6422142253634</v>
      </c>
      <c r="BP767" s="2">
        <v>19.346341930243199</v>
      </c>
      <c r="BQ767" s="2">
        <v>19.043070951594601</v>
      </c>
      <c r="BR767" s="2">
        <v>19.736236737480699</v>
      </c>
      <c r="BS767" s="2">
        <v>19.492558362811501</v>
      </c>
      <c r="BT767" s="2">
        <v>19.128526248930399</v>
      </c>
      <c r="BU767" s="2">
        <v>18.9808215384497</v>
      </c>
      <c r="BV767" s="2">
        <v>17.6877842269617</v>
      </c>
      <c r="BW767" s="2">
        <v>20.165769339012598</v>
      </c>
      <c r="BX767" s="2">
        <v>18.877724602142798</v>
      </c>
      <c r="BY767" s="2">
        <v>20.844255211938499</v>
      </c>
      <c r="BZ767" s="2">
        <v>18.386250601715499</v>
      </c>
      <c r="CA767" s="2">
        <v>16.006949057453699</v>
      </c>
      <c r="CB767" s="2">
        <v>19.544520387494199</v>
      </c>
      <c r="CC767" s="2">
        <v>17.872007299045499</v>
      </c>
      <c r="CD767" s="2">
        <v>18.7145207600913</v>
      </c>
      <c r="CE767" s="2">
        <v>20.180617729277699</v>
      </c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</row>
    <row r="768" spans="1:97">
      <c r="A768" s="2" t="s">
        <v>7320</v>
      </c>
      <c r="B768" s="2">
        <v>88.040109999999999</v>
      </c>
      <c r="C768" s="2">
        <v>0.749</v>
      </c>
      <c r="D768" s="2" t="s">
        <v>146</v>
      </c>
      <c r="E768" s="2" t="s">
        <v>7321</v>
      </c>
      <c r="F768" s="2" t="s">
        <v>7322</v>
      </c>
      <c r="G768" s="2">
        <v>46967</v>
      </c>
      <c r="H768" s="3" t="str">
        <f>HYPERLINK("https://cloud.oebiotech.com/#/lm/network/46967", "https://cloud.oebiotech.com/#/lm/network/46967")</f>
        <v>https://cloud.oebiotech.com/#/lm/network/46967</v>
      </c>
      <c r="I768" s="2" t="s">
        <v>7323</v>
      </c>
      <c r="J768" s="2">
        <v>51</v>
      </c>
      <c r="K768" s="2"/>
      <c r="L768" s="2">
        <v>1088</v>
      </c>
      <c r="M768" s="2" t="s">
        <v>7324</v>
      </c>
      <c r="N768" s="2" t="s">
        <v>468</v>
      </c>
      <c r="O768" s="2" t="s">
        <v>469</v>
      </c>
      <c r="P768" s="2">
        <v>15611</v>
      </c>
      <c r="Q768" s="2"/>
      <c r="R768" s="2"/>
      <c r="S768" s="2" t="s">
        <v>7325</v>
      </c>
      <c r="T768" s="2" t="s">
        <v>7326</v>
      </c>
      <c r="U768" s="2" t="s">
        <v>7327</v>
      </c>
      <c r="V768" s="2" t="s">
        <v>115</v>
      </c>
      <c r="W768" s="2" t="s">
        <v>116</v>
      </c>
      <c r="X768" s="2" t="s">
        <v>117</v>
      </c>
      <c r="Y768" s="2" t="s">
        <v>118</v>
      </c>
      <c r="Z768" s="2" t="s">
        <v>119</v>
      </c>
      <c r="AA768" s="2" t="s">
        <v>120</v>
      </c>
      <c r="AB768" s="2" t="s">
        <v>3086</v>
      </c>
      <c r="AC768" s="2">
        <v>54.01</v>
      </c>
      <c r="AD768" s="2">
        <v>97.95</v>
      </c>
      <c r="AE768" s="2">
        <v>0</v>
      </c>
      <c r="AF768" s="2" t="s">
        <v>5614</v>
      </c>
      <c r="AG768" s="2" t="s">
        <v>194</v>
      </c>
      <c r="AH768" s="2" t="s">
        <v>7328</v>
      </c>
      <c r="AI768" s="2">
        <v>3.41</v>
      </c>
      <c r="AJ768" s="2">
        <v>19.7987155226159</v>
      </c>
      <c r="AK768" s="2">
        <v>20.732545049346399</v>
      </c>
      <c r="AL768" s="2">
        <v>21.214285991535501</v>
      </c>
      <c r="AM768" s="2">
        <v>21.0492442119366</v>
      </c>
      <c r="AN768" s="2">
        <v>20.671888546179201</v>
      </c>
      <c r="AO768" s="2">
        <v>20.329418955926901</v>
      </c>
      <c r="AP768" s="2">
        <v>20.7025712187267</v>
      </c>
      <c r="AQ768" s="2">
        <v>20.769930749377401</v>
      </c>
      <c r="AR768" s="2">
        <v>20.504281873863299</v>
      </c>
      <c r="AS768" s="2">
        <v>20.793695451180302</v>
      </c>
      <c r="AT768" s="2">
        <v>20.5867427202468</v>
      </c>
      <c r="AU768" s="2">
        <v>21.1801628000436</v>
      </c>
      <c r="AV768" s="2">
        <v>20.863911953512901</v>
      </c>
      <c r="AW768" s="2">
        <v>21.270801659344201</v>
      </c>
      <c r="AX768" s="2">
        <v>20.536873429745299</v>
      </c>
      <c r="AY768" s="2">
        <v>21.250082118660401</v>
      </c>
      <c r="AZ768" s="2">
        <v>20.7238437292133</v>
      </c>
      <c r="BA768" s="2">
        <v>18.6430989636332</v>
      </c>
      <c r="BB768" s="2">
        <v>21.3543715372723</v>
      </c>
      <c r="BC768" s="2">
        <v>21.2095028660348</v>
      </c>
      <c r="BD768" s="2">
        <v>20.669601267857999</v>
      </c>
      <c r="BE768" s="2">
        <v>19.891777667259099</v>
      </c>
      <c r="BF768" s="2">
        <v>21.1580916308213</v>
      </c>
      <c r="BG768" s="2">
        <v>21.734067737547299</v>
      </c>
      <c r="BH768" s="2">
        <v>21.3619221211138</v>
      </c>
      <c r="BI768" s="2">
        <v>21.0283980564083</v>
      </c>
      <c r="BJ768" s="2">
        <v>20.7450206089913</v>
      </c>
      <c r="BK768" s="2">
        <v>20.363330170851</v>
      </c>
      <c r="BL768" s="2">
        <v>20.671180888743098</v>
      </c>
      <c r="BM768" s="2">
        <v>20.6268631827535</v>
      </c>
      <c r="BN768" s="2">
        <v>21.313574908078401</v>
      </c>
      <c r="BO768" s="2">
        <v>20.1317338853836</v>
      </c>
      <c r="BP768" s="2">
        <v>19.795879931997</v>
      </c>
      <c r="BQ768" s="2">
        <v>19.1570557535082</v>
      </c>
      <c r="BR768" s="2">
        <v>20.697204198975399</v>
      </c>
      <c r="BS768" s="2">
        <v>21.266383163281699</v>
      </c>
      <c r="BT768" s="2">
        <v>20.8752911708699</v>
      </c>
      <c r="BU768" s="2">
        <v>20.150956601309201</v>
      </c>
      <c r="BV768" s="2">
        <v>21.217136136717102</v>
      </c>
      <c r="BW768" s="2">
        <v>21.959118550180001</v>
      </c>
      <c r="BX768" s="2">
        <v>20.527799657381099</v>
      </c>
      <c r="BY768" s="2">
        <v>21.6998762797521</v>
      </c>
      <c r="BZ768" s="2">
        <v>21.378851992329299</v>
      </c>
      <c r="CA768" s="2">
        <v>20.5376842992356</v>
      </c>
      <c r="CB768" s="2">
        <v>20.585578003088699</v>
      </c>
      <c r="CC768" s="2">
        <v>20.223100108672401</v>
      </c>
      <c r="CD768" s="2">
        <v>20.341051498269501</v>
      </c>
      <c r="CE768" s="2">
        <v>20.475997453431699</v>
      </c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</row>
    <row r="769" spans="1:97">
      <c r="A769" s="2" t="s">
        <v>7329</v>
      </c>
      <c r="B769" s="2">
        <v>189.03976</v>
      </c>
      <c r="C769" s="2">
        <v>1.1890000000000001</v>
      </c>
      <c r="D769" s="2" t="s">
        <v>146</v>
      </c>
      <c r="E769" s="2" t="s">
        <v>7330</v>
      </c>
      <c r="F769" s="2" t="s">
        <v>7331</v>
      </c>
      <c r="G769" s="2">
        <v>2865</v>
      </c>
      <c r="H769" s="3" t="str">
        <f>HYPERLINK("https://cloud.oebiotech.com/#/lm/network/2865", "https://cloud.oebiotech.com/#/lm/network/2865")</f>
        <v>https://cloud.oebiotech.com/#/lm/network/2865</v>
      </c>
      <c r="I769" s="2"/>
      <c r="J769" s="2">
        <v>74924</v>
      </c>
      <c r="K769" s="2" t="s">
        <v>7332</v>
      </c>
      <c r="L769" s="2">
        <v>553</v>
      </c>
      <c r="M769" s="2" t="s">
        <v>7333</v>
      </c>
      <c r="N769" s="2"/>
      <c r="O769" s="2"/>
      <c r="P769" s="2">
        <v>73089</v>
      </c>
      <c r="Q769" s="2"/>
      <c r="R769" s="2"/>
      <c r="S769" s="2"/>
      <c r="T769" s="2" t="s">
        <v>7334</v>
      </c>
      <c r="U769" s="2" t="s">
        <v>7335</v>
      </c>
      <c r="V769" s="2" t="s">
        <v>115</v>
      </c>
      <c r="W769" s="2" t="s">
        <v>403</v>
      </c>
      <c r="X769" s="2" t="s">
        <v>2031</v>
      </c>
      <c r="Y769" s="2" t="s">
        <v>118</v>
      </c>
      <c r="Z769" s="2" t="s">
        <v>405</v>
      </c>
      <c r="AA769" s="2" t="s">
        <v>2032</v>
      </c>
      <c r="AB769" s="2" t="s">
        <v>3086</v>
      </c>
      <c r="AC769" s="2">
        <v>54</v>
      </c>
      <c r="AD769" s="2">
        <v>94.93</v>
      </c>
      <c r="AE769" s="2">
        <v>0</v>
      </c>
      <c r="AF769" s="2" t="s">
        <v>5614</v>
      </c>
      <c r="AG769" s="2" t="s">
        <v>194</v>
      </c>
      <c r="AH769" s="2" t="s">
        <v>7336</v>
      </c>
      <c r="AI769" s="2">
        <v>3.7</v>
      </c>
      <c r="AJ769" s="2">
        <v>21.672946232069702</v>
      </c>
      <c r="AK769" s="2">
        <v>21.826298012745301</v>
      </c>
      <c r="AL769" s="2">
        <v>21.8076057354765</v>
      </c>
      <c r="AM769" s="2">
        <v>22.007891892130399</v>
      </c>
      <c r="AN769" s="2">
        <v>21.879977764851201</v>
      </c>
      <c r="AO769" s="2">
        <v>21.8872425221507</v>
      </c>
      <c r="AP769" s="2">
        <v>21.930425891973801</v>
      </c>
      <c r="AQ769" s="2">
        <v>21.783372973193799</v>
      </c>
      <c r="AR769" s="2">
        <v>21.140292167833302</v>
      </c>
      <c r="AS769" s="2">
        <v>20.3759146246589</v>
      </c>
      <c r="AT769" s="2">
        <v>21.442092926247401</v>
      </c>
      <c r="AU769" s="2">
        <v>21.720836243016699</v>
      </c>
      <c r="AV769" s="2">
        <v>21.153418979625101</v>
      </c>
      <c r="AW769" s="2">
        <v>21.6908929222251</v>
      </c>
      <c r="AX769" s="2">
        <v>21.684435200035999</v>
      </c>
      <c r="AY769" s="2">
        <v>21.432544515278799</v>
      </c>
      <c r="AZ769" s="2">
        <v>21.4456833186218</v>
      </c>
      <c r="BA769" s="2">
        <v>20.3419947893493</v>
      </c>
      <c r="BB769" s="2">
        <v>21.660006206488202</v>
      </c>
      <c r="BC769" s="2">
        <v>20.9926321311046</v>
      </c>
      <c r="BD769" s="2">
        <v>21.259109156241699</v>
      </c>
      <c r="BE769" s="2">
        <v>21.3830163283661</v>
      </c>
      <c r="BF769" s="2">
        <v>21.022833197308302</v>
      </c>
      <c r="BG769" s="2">
        <v>21.997977973257299</v>
      </c>
      <c r="BH769" s="2">
        <v>21.229669721091</v>
      </c>
      <c r="BI769" s="2">
        <v>22.876059725675599</v>
      </c>
      <c r="BJ769" s="2">
        <v>21.704764753029998</v>
      </c>
      <c r="BK769" s="2">
        <v>21.5792980455901</v>
      </c>
      <c r="BL769" s="2">
        <v>21.410493736383501</v>
      </c>
      <c r="BM769" s="2">
        <v>21.286065008734099</v>
      </c>
      <c r="BN769" s="2">
        <v>21.974101667855201</v>
      </c>
      <c r="BO769" s="2">
        <v>22.177557000838402</v>
      </c>
      <c r="BP769" s="2">
        <v>21.559459543705799</v>
      </c>
      <c r="BQ769" s="2">
        <v>22.054047758581699</v>
      </c>
      <c r="BR769" s="2">
        <v>21.7247778361107</v>
      </c>
      <c r="BS769" s="2">
        <v>22.131536303894698</v>
      </c>
      <c r="BT769" s="2">
        <v>21.892438339939002</v>
      </c>
      <c r="BU769" s="2">
        <v>21.179001812793299</v>
      </c>
      <c r="BV769" s="2">
        <v>21.988849291916399</v>
      </c>
      <c r="BW769" s="2">
        <v>20.144071346573199</v>
      </c>
      <c r="BX769" s="2">
        <v>21.5589946577247</v>
      </c>
      <c r="BY769" s="2">
        <v>21.818845285191198</v>
      </c>
      <c r="BZ769" s="2">
        <v>21.603841907728</v>
      </c>
      <c r="CA769" s="2">
        <v>21.823337794736599</v>
      </c>
      <c r="CB769" s="2">
        <v>21.614093290626599</v>
      </c>
      <c r="CC769" s="2">
        <v>22.3049695986128</v>
      </c>
      <c r="CD769" s="2">
        <v>21.936403114632899</v>
      </c>
      <c r="CE769" s="2">
        <v>20.626631597372601</v>
      </c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</row>
    <row r="770" spans="1:97">
      <c r="A770" s="2" t="s">
        <v>7337</v>
      </c>
      <c r="B770" s="2">
        <v>453.28519999999997</v>
      </c>
      <c r="C770" s="2">
        <v>8.3420000000000005</v>
      </c>
      <c r="D770" s="2" t="s">
        <v>146</v>
      </c>
      <c r="E770" s="2" t="s">
        <v>7338</v>
      </c>
      <c r="F770" s="2" t="s">
        <v>7339</v>
      </c>
      <c r="G770" s="2">
        <v>204188</v>
      </c>
      <c r="H770" s="3" t="str">
        <f>HYPERLINK("https://cloud.oebiotech.com/#/lm/network/204188", "https://cloud.oebiotech.com/#/lm/network/204188")</f>
        <v>https://cloud.oebiotech.com/#/lm/network/204188</v>
      </c>
      <c r="I770" s="2" t="s">
        <v>7340</v>
      </c>
      <c r="J770" s="2"/>
      <c r="K770" s="2"/>
      <c r="L770" s="2">
        <v>303</v>
      </c>
      <c r="M770" s="2"/>
      <c r="N770" s="2"/>
      <c r="O770" s="2"/>
      <c r="P770" s="2"/>
      <c r="Q770" s="2"/>
      <c r="R770" s="2"/>
      <c r="S770" s="2"/>
      <c r="T770" s="2" t="s">
        <v>7341</v>
      </c>
      <c r="U770" s="2" t="s">
        <v>7342</v>
      </c>
      <c r="V770" s="2" t="s">
        <v>95</v>
      </c>
      <c r="W770" s="2" t="s">
        <v>152</v>
      </c>
      <c r="X770" s="2" t="s">
        <v>278</v>
      </c>
      <c r="Y770" s="2" t="s">
        <v>98</v>
      </c>
      <c r="Z770" s="2" t="s">
        <v>154</v>
      </c>
      <c r="AA770" s="2" t="s">
        <v>279</v>
      </c>
      <c r="AB770" s="2" t="s">
        <v>3086</v>
      </c>
      <c r="AC770" s="2">
        <v>54</v>
      </c>
      <c r="AD770" s="2">
        <v>82.19</v>
      </c>
      <c r="AE770" s="2">
        <v>0</v>
      </c>
      <c r="AF770" s="2" t="s">
        <v>5614</v>
      </c>
      <c r="AG770" s="2" t="s">
        <v>157</v>
      </c>
      <c r="AH770" s="2" t="s">
        <v>1274</v>
      </c>
      <c r="AI770" s="2">
        <v>1.32</v>
      </c>
      <c r="AJ770" s="2">
        <v>17.912993449428399</v>
      </c>
      <c r="AK770" s="2">
        <v>17.778207485335699</v>
      </c>
      <c r="AL770" s="2">
        <v>17.731781931913801</v>
      </c>
      <c r="AM770" s="2">
        <v>17.5569084934492</v>
      </c>
      <c r="AN770" s="2">
        <v>17.415875760554599</v>
      </c>
      <c r="AO770" s="2">
        <v>17.563766342355098</v>
      </c>
      <c r="AP770" s="2">
        <v>17.2261580542161</v>
      </c>
      <c r="AQ770" s="2">
        <v>17.389727789045399</v>
      </c>
      <c r="AR770" s="2">
        <v>11.9182818690511</v>
      </c>
      <c r="AS770" s="2">
        <v>14.3545014733574</v>
      </c>
      <c r="AT770" s="2">
        <v>12.0268934055524</v>
      </c>
      <c r="AU770" s="2">
        <v>16.136195913226501</v>
      </c>
      <c r="AV770" s="2">
        <v>16.5984833537028</v>
      </c>
      <c r="AW770" s="2">
        <v>18.5922631387328</v>
      </c>
      <c r="AX770" s="2">
        <v>14.8077252091985</v>
      </c>
      <c r="AY770" s="2">
        <v>15.3641548367256</v>
      </c>
      <c r="AZ770" s="2">
        <v>16.1503768117927</v>
      </c>
      <c r="BA770" s="2">
        <v>17.626915696406801</v>
      </c>
      <c r="BB770" s="2">
        <v>15.632910022928399</v>
      </c>
      <c r="BC770" s="2">
        <v>17.266022065510601</v>
      </c>
      <c r="BD770" s="2">
        <v>15.429253401246299</v>
      </c>
      <c r="BE770" s="2">
        <v>15.821054946137901</v>
      </c>
      <c r="BF770" s="2">
        <v>14.9497013447409</v>
      </c>
      <c r="BG770" s="2">
        <v>16.3667473777578</v>
      </c>
      <c r="BH770" s="2">
        <v>12.0026779108795</v>
      </c>
      <c r="BI770" s="2">
        <v>13.9503964190367</v>
      </c>
      <c r="BJ770" s="2">
        <v>16.317348130582801</v>
      </c>
      <c r="BK770" s="2">
        <v>16.599808116341599</v>
      </c>
      <c r="BL770" s="2">
        <v>18.609617607539199</v>
      </c>
      <c r="BM770" s="2">
        <v>17.723506300713399</v>
      </c>
      <c r="BN770" s="2">
        <v>15.6587612603961</v>
      </c>
      <c r="BO770" s="2">
        <v>14.333910051444899</v>
      </c>
      <c r="BP770" s="2">
        <v>17.745013204269899</v>
      </c>
      <c r="BQ770" s="2">
        <v>19.001322916719701</v>
      </c>
      <c r="BR770" s="2">
        <v>14.0774683356622</v>
      </c>
      <c r="BS770" s="2">
        <v>15.116549871763601</v>
      </c>
      <c r="BT770" s="2">
        <v>13.2911505498091</v>
      </c>
      <c r="BU770" s="2">
        <v>16.5735483774857</v>
      </c>
      <c r="BV770" s="2">
        <v>18.001044725812999</v>
      </c>
      <c r="BW770" s="2">
        <v>18.053131864825801</v>
      </c>
      <c r="BX770" s="2">
        <v>12.171921101327399</v>
      </c>
      <c r="BY770" s="2">
        <v>15.544591096802799</v>
      </c>
      <c r="BZ770" s="2">
        <v>19.180709501501099</v>
      </c>
      <c r="CA770" s="2">
        <v>16.949987391270501</v>
      </c>
      <c r="CB770" s="2">
        <v>18.118964232933902</v>
      </c>
      <c r="CC770" s="2">
        <v>16.595222655144401</v>
      </c>
      <c r="CD770" s="2">
        <v>15.6975353127081</v>
      </c>
      <c r="CE770" s="2">
        <v>15.834362903059199</v>
      </c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</row>
    <row r="771" spans="1:97">
      <c r="A771" s="2" t="s">
        <v>7343</v>
      </c>
      <c r="B771" s="2">
        <v>165.05447000000001</v>
      </c>
      <c r="C771" s="2">
        <v>1.129</v>
      </c>
      <c r="D771" s="2" t="s">
        <v>84</v>
      </c>
      <c r="E771" s="2" t="s">
        <v>7344</v>
      </c>
      <c r="F771" s="2" t="s">
        <v>7345</v>
      </c>
      <c r="G771" s="2">
        <v>64669</v>
      </c>
      <c r="H771" s="3" t="str">
        <f>HYPERLINK("https://cloud.oebiotech.com/#/lm/network/64669", "https://cloud.oebiotech.com/#/lm/network/64669")</f>
        <v>https://cloud.oebiotech.com/#/lm/network/64669</v>
      </c>
      <c r="I771" s="2" t="s">
        <v>7346</v>
      </c>
      <c r="J771" s="2"/>
      <c r="K771" s="2"/>
      <c r="L771" s="2">
        <v>5280841</v>
      </c>
      <c r="M771" s="2" t="s">
        <v>7347</v>
      </c>
      <c r="N771" s="2"/>
      <c r="O771" s="2"/>
      <c r="P771" s="2">
        <v>28873</v>
      </c>
      <c r="Q771" s="2"/>
      <c r="R771" s="2"/>
      <c r="S771" s="2" t="s">
        <v>7348</v>
      </c>
      <c r="T771" s="2" t="s">
        <v>7349</v>
      </c>
      <c r="U771" s="2" t="s">
        <v>7350</v>
      </c>
      <c r="V771" s="2" t="s">
        <v>845</v>
      </c>
      <c r="W771" s="2" t="s">
        <v>970</v>
      </c>
      <c r="X771" s="2" t="s">
        <v>971</v>
      </c>
      <c r="Y771" s="2" t="s">
        <v>847</v>
      </c>
      <c r="Z771" s="2" t="s">
        <v>972</v>
      </c>
      <c r="AA771" s="2" t="s">
        <v>973</v>
      </c>
      <c r="AB771" s="2" t="s">
        <v>5118</v>
      </c>
      <c r="AC771" s="2">
        <v>53.98</v>
      </c>
      <c r="AD771" s="2">
        <v>97.81</v>
      </c>
      <c r="AE771" s="2">
        <v>90.12</v>
      </c>
      <c r="AF771" s="2" t="s">
        <v>7351</v>
      </c>
      <c r="AG771" s="2" t="s">
        <v>103</v>
      </c>
      <c r="AH771" s="2" t="s">
        <v>1745</v>
      </c>
      <c r="AI771" s="2">
        <v>0.61</v>
      </c>
      <c r="AJ771" s="2">
        <v>25.679830877572499</v>
      </c>
      <c r="AK771" s="2">
        <v>25.630756962754798</v>
      </c>
      <c r="AL771" s="2">
        <v>25.904622382322401</v>
      </c>
      <c r="AM771" s="2">
        <v>25.6928799258657</v>
      </c>
      <c r="AN771" s="2">
        <v>25.634713285188301</v>
      </c>
      <c r="AO771" s="2">
        <v>25.773055979654</v>
      </c>
      <c r="AP771" s="2">
        <v>25.597486876894099</v>
      </c>
      <c r="AQ771" s="2">
        <v>25.660457415715801</v>
      </c>
      <c r="AR771" s="2">
        <v>25.214777129638101</v>
      </c>
      <c r="AS771" s="2">
        <v>24.660642269721802</v>
      </c>
      <c r="AT771" s="2">
        <v>25.085659974812899</v>
      </c>
      <c r="AU771" s="2">
        <v>25.7426056222189</v>
      </c>
      <c r="AV771" s="2">
        <v>25.5949971136383</v>
      </c>
      <c r="AW771" s="2">
        <v>25.5561914270891</v>
      </c>
      <c r="AX771" s="2">
        <v>25.2230068392834</v>
      </c>
      <c r="AY771" s="2">
        <v>25.731514111458001</v>
      </c>
      <c r="AZ771" s="2">
        <v>25.351916522482401</v>
      </c>
      <c r="BA771" s="2">
        <v>25.1608085233546</v>
      </c>
      <c r="BB771" s="2">
        <v>25.860987275291301</v>
      </c>
      <c r="BC771" s="2">
        <v>25.7862048129393</v>
      </c>
      <c r="BD771" s="2">
        <v>24.690794181953599</v>
      </c>
      <c r="BE771" s="2">
        <v>25.6882606368941</v>
      </c>
      <c r="BF771" s="2">
        <v>25.502423849419799</v>
      </c>
      <c r="BG771" s="2">
        <v>25.349869501325401</v>
      </c>
      <c r="BH771" s="2">
        <v>25.734097283474402</v>
      </c>
      <c r="BI771" s="2">
        <v>25.121328958468499</v>
      </c>
      <c r="BJ771" s="2">
        <v>25.406937101434998</v>
      </c>
      <c r="BK771" s="2">
        <v>25.1492820980462</v>
      </c>
      <c r="BL771" s="2">
        <v>25.191952123994799</v>
      </c>
      <c r="BM771" s="2">
        <v>26.683800358065799</v>
      </c>
      <c r="BN771" s="2">
        <v>25.9844534270376</v>
      </c>
      <c r="BO771" s="2">
        <v>25.362214553939801</v>
      </c>
      <c r="BP771" s="2">
        <v>25.5824062856402</v>
      </c>
      <c r="BQ771" s="2">
        <v>25.712033241080299</v>
      </c>
      <c r="BR771" s="2">
        <v>25.271841621640402</v>
      </c>
      <c r="BS771" s="2">
        <v>25.9323241524731</v>
      </c>
      <c r="BT771" s="2">
        <v>24.608457705655301</v>
      </c>
      <c r="BU771" s="2">
        <v>25.367777759288</v>
      </c>
      <c r="BV771" s="2">
        <v>25.694948113855801</v>
      </c>
      <c r="BW771" s="2">
        <v>24.930577235274001</v>
      </c>
      <c r="BX771" s="2">
        <v>25.389419309406801</v>
      </c>
      <c r="BY771" s="2">
        <v>25.903627067745699</v>
      </c>
      <c r="BZ771" s="2">
        <v>26.272643452140699</v>
      </c>
      <c r="CA771" s="2">
        <v>26.465898815368099</v>
      </c>
      <c r="CB771" s="2">
        <v>25.153653118378902</v>
      </c>
      <c r="CC771" s="2">
        <v>25.4192280490538</v>
      </c>
      <c r="CD771" s="2">
        <v>25.892362909197601</v>
      </c>
      <c r="CE771" s="2">
        <v>25.448081286844701</v>
      </c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</row>
    <row r="772" spans="1:97">
      <c r="A772" s="2" t="s">
        <v>7352</v>
      </c>
      <c r="B772" s="2">
        <v>273.09084000000001</v>
      </c>
      <c r="C772" s="2">
        <v>4.4029999999999996</v>
      </c>
      <c r="D772" s="2" t="s">
        <v>146</v>
      </c>
      <c r="E772" s="2" t="s">
        <v>7353</v>
      </c>
      <c r="F772" s="2" t="s">
        <v>7354</v>
      </c>
      <c r="G772" s="2">
        <v>202052</v>
      </c>
      <c r="H772" s="3" t="str">
        <f>HYPERLINK("https://cloud.oebiotech.com/#/lm/network/202052", "https://cloud.oebiotech.com/#/lm/network/202052")</f>
        <v>https://cloud.oebiotech.com/#/lm/network/202052</v>
      </c>
      <c r="I772" s="2" t="s">
        <v>7355</v>
      </c>
      <c r="J772" s="2"/>
      <c r="K772" s="2"/>
      <c r="L772" s="2">
        <v>17965293</v>
      </c>
      <c r="M772" s="2"/>
      <c r="N772" s="2"/>
      <c r="O772" s="2"/>
      <c r="P772" s="2"/>
      <c r="Q772" s="2"/>
      <c r="R772" s="2"/>
      <c r="S772" s="2"/>
      <c r="T772" s="2" t="s">
        <v>7356</v>
      </c>
      <c r="U772" s="2" t="s">
        <v>7357</v>
      </c>
      <c r="V772" s="2" t="s">
        <v>553</v>
      </c>
      <c r="W772" s="2" t="s">
        <v>7358</v>
      </c>
      <c r="X772" s="2" t="s">
        <v>375</v>
      </c>
      <c r="Y772" s="2" t="s">
        <v>556</v>
      </c>
      <c r="Z772" s="2" t="s">
        <v>7359</v>
      </c>
      <c r="AA772" s="2"/>
      <c r="AB772" s="2" t="s">
        <v>3086</v>
      </c>
      <c r="AC772" s="2">
        <v>53.96</v>
      </c>
      <c r="AD772" s="2">
        <v>89.64</v>
      </c>
      <c r="AE772" s="2">
        <v>0</v>
      </c>
      <c r="AF772" s="2" t="s">
        <v>5614</v>
      </c>
      <c r="AG772" s="2" t="s">
        <v>157</v>
      </c>
      <c r="AH772" s="2" t="s">
        <v>7360</v>
      </c>
      <c r="AI772" s="2">
        <v>2.56</v>
      </c>
      <c r="AJ772" s="2">
        <v>16.355994005559001</v>
      </c>
      <c r="AK772" s="2">
        <v>16.274963383144598</v>
      </c>
      <c r="AL772" s="2">
        <v>16.626035096080901</v>
      </c>
      <c r="AM772" s="2">
        <v>16.5124985121363</v>
      </c>
      <c r="AN772" s="2">
        <v>16.856574585794998</v>
      </c>
      <c r="AO772" s="2">
        <v>16.4214240139403</v>
      </c>
      <c r="AP772" s="2">
        <v>16.615137908177299</v>
      </c>
      <c r="AQ772" s="2">
        <v>16.498904197638701</v>
      </c>
      <c r="AR772" s="2">
        <v>15.708612694412301</v>
      </c>
      <c r="AS772" s="2">
        <v>15.0196745530369</v>
      </c>
      <c r="AT772" s="2">
        <v>15.058360892445799</v>
      </c>
      <c r="AU772" s="2">
        <v>15.292300780300801</v>
      </c>
      <c r="AV772" s="2">
        <v>15.955569997734999</v>
      </c>
      <c r="AW772" s="2">
        <v>16.9903094215572</v>
      </c>
      <c r="AX772" s="2">
        <v>16.0177699233822</v>
      </c>
      <c r="AY772" s="2">
        <v>15.7312232901811</v>
      </c>
      <c r="AZ772" s="2">
        <v>15.8010121006788</v>
      </c>
      <c r="BA772" s="2">
        <v>15.910435445268799</v>
      </c>
      <c r="BB772" s="2">
        <v>16.421063989783399</v>
      </c>
      <c r="BC772" s="2">
        <v>16.361178235194298</v>
      </c>
      <c r="BD772" s="2">
        <v>15.8327535686257</v>
      </c>
      <c r="BE772" s="2">
        <v>17.015467649684599</v>
      </c>
      <c r="BF772" s="2">
        <v>15.491524319765601</v>
      </c>
      <c r="BG772" s="2">
        <v>16.427207087150101</v>
      </c>
      <c r="BH772" s="2">
        <v>16.290639341698501</v>
      </c>
      <c r="BI772" s="2">
        <v>16.9206742017188</v>
      </c>
      <c r="BJ772" s="2">
        <v>16.423495119403398</v>
      </c>
      <c r="BK772" s="2">
        <v>15.4474435965954</v>
      </c>
      <c r="BL772" s="2">
        <v>15.924645979232301</v>
      </c>
      <c r="BM772" s="2">
        <v>16.5075484519217</v>
      </c>
      <c r="BN772" s="2">
        <v>16.715512150088301</v>
      </c>
      <c r="BO772" s="2">
        <v>16.233095908258399</v>
      </c>
      <c r="BP772" s="2">
        <v>16.3439998823027</v>
      </c>
      <c r="BQ772" s="2">
        <v>16.961884305021901</v>
      </c>
      <c r="BR772" s="2">
        <v>16.8857446259921</v>
      </c>
      <c r="BS772" s="2">
        <v>16.944295240567499</v>
      </c>
      <c r="BT772" s="2">
        <v>16.398312488777702</v>
      </c>
      <c r="BU772" s="2">
        <v>16.6791477025454</v>
      </c>
      <c r="BV772" s="2">
        <v>16.868804834397899</v>
      </c>
      <c r="BW772" s="2">
        <v>14.4962814530885</v>
      </c>
      <c r="BX772" s="2">
        <v>16.669630979512</v>
      </c>
      <c r="BY772" s="2">
        <v>17.196534027958201</v>
      </c>
      <c r="BZ772" s="2">
        <v>16.409874515943098</v>
      </c>
      <c r="CA772" s="2">
        <v>16.295330937688298</v>
      </c>
      <c r="CB772" s="2">
        <v>14.9001172531975</v>
      </c>
      <c r="CC772" s="2">
        <v>16.622032509778599</v>
      </c>
      <c r="CD772" s="2">
        <v>16.911889794658901</v>
      </c>
      <c r="CE772" s="2">
        <v>16.301914645890001</v>
      </c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</row>
    <row r="773" spans="1:97">
      <c r="A773" s="2" t="s">
        <v>7361</v>
      </c>
      <c r="B773" s="2">
        <v>650.43748000000005</v>
      </c>
      <c r="C773" s="2">
        <v>12.010999999999999</v>
      </c>
      <c r="D773" s="2" t="s">
        <v>84</v>
      </c>
      <c r="E773" s="2" t="s">
        <v>7362</v>
      </c>
      <c r="F773" s="2" t="s">
        <v>7363</v>
      </c>
      <c r="G773" s="2">
        <v>27827</v>
      </c>
      <c r="H773" s="3" t="str">
        <f>HYPERLINK("https://cloud.oebiotech.com/#/lm/network/27827", "https://cloud.oebiotech.com/#/lm/network/27827")</f>
        <v>https://cloud.oebiotech.com/#/lm/network/27827</v>
      </c>
      <c r="I773" s="2"/>
      <c r="J773" s="2">
        <v>82381</v>
      </c>
      <c r="K773" s="2" t="s">
        <v>7364</v>
      </c>
      <c r="L773" s="2">
        <v>46907874</v>
      </c>
      <c r="M773" s="2"/>
      <c r="N773" s="2"/>
      <c r="O773" s="2"/>
      <c r="P773" s="2">
        <v>61042</v>
      </c>
      <c r="Q773" s="2"/>
      <c r="R773" s="2"/>
      <c r="S773" s="2"/>
      <c r="T773" s="2" t="s">
        <v>7365</v>
      </c>
      <c r="U773" s="2" t="s">
        <v>7366</v>
      </c>
      <c r="V773" s="2" t="s">
        <v>95</v>
      </c>
      <c r="W773" s="2" t="s">
        <v>202</v>
      </c>
      <c r="X773" s="2" t="s">
        <v>203</v>
      </c>
      <c r="Y773" s="2" t="s">
        <v>98</v>
      </c>
      <c r="Z773" s="2" t="s">
        <v>204</v>
      </c>
      <c r="AA773" s="2" t="s">
        <v>205</v>
      </c>
      <c r="AB773" s="2" t="s">
        <v>3086</v>
      </c>
      <c r="AC773" s="2">
        <v>53.95</v>
      </c>
      <c r="AD773" s="2">
        <v>88.47</v>
      </c>
      <c r="AE773" s="2">
        <v>0</v>
      </c>
      <c r="AF773" s="2" t="s">
        <v>5614</v>
      </c>
      <c r="AG773" s="2" t="s">
        <v>103</v>
      </c>
      <c r="AH773" s="2" t="s">
        <v>7367</v>
      </c>
      <c r="AI773" s="2">
        <v>2.46</v>
      </c>
      <c r="AJ773" s="2">
        <v>19.0466231528093</v>
      </c>
      <c r="AK773" s="2">
        <v>19.568069004293701</v>
      </c>
      <c r="AL773" s="2">
        <v>19.422947429642299</v>
      </c>
      <c r="AM773" s="2">
        <v>19.888068061141801</v>
      </c>
      <c r="AN773" s="2">
        <v>19.890543146325399</v>
      </c>
      <c r="AO773" s="2">
        <v>19.8572872880512</v>
      </c>
      <c r="AP773" s="2">
        <v>19.953286499422301</v>
      </c>
      <c r="AQ773" s="2">
        <v>19.859076834680099</v>
      </c>
      <c r="AR773" s="2">
        <v>17.037803023332099</v>
      </c>
      <c r="AS773" s="2">
        <v>17.674624490429999</v>
      </c>
      <c r="AT773" s="2">
        <v>17.685697788365601</v>
      </c>
      <c r="AU773" s="2">
        <v>15.2200325019974</v>
      </c>
      <c r="AV773" s="2">
        <v>18.242674557683099</v>
      </c>
      <c r="AW773" s="2">
        <v>15.5290205284177</v>
      </c>
      <c r="AX773" s="2">
        <v>17.992905208396099</v>
      </c>
      <c r="AY773" s="2">
        <v>16.573520123679501</v>
      </c>
      <c r="AZ773" s="2">
        <v>17.101504855803601</v>
      </c>
      <c r="BA773" s="2">
        <v>17.480128930023898</v>
      </c>
      <c r="BB773" s="2">
        <v>18.761983895565098</v>
      </c>
      <c r="BC773" s="2">
        <v>17.389677464570099</v>
      </c>
      <c r="BD773" s="2">
        <v>15.984749097864499</v>
      </c>
      <c r="BE773" s="2">
        <v>17.740052869042302</v>
      </c>
      <c r="BF773" s="2">
        <v>9.6233145402724691</v>
      </c>
      <c r="BG773" s="2">
        <v>18.1003591280829</v>
      </c>
      <c r="BH773" s="2">
        <v>18.2385312532363</v>
      </c>
      <c r="BI773" s="2">
        <v>18.285237162521501</v>
      </c>
      <c r="BJ773" s="2">
        <v>18.6247867830464</v>
      </c>
      <c r="BK773" s="2">
        <v>17.6952112964394</v>
      </c>
      <c r="BL773" s="2">
        <v>17.7203874944604</v>
      </c>
      <c r="BM773" s="2">
        <v>18.727101774927402</v>
      </c>
      <c r="BN773" s="2">
        <v>9.6233145402724691</v>
      </c>
      <c r="BO773" s="2">
        <v>9.6233145402724691</v>
      </c>
      <c r="BP773" s="2">
        <v>17.796018499219102</v>
      </c>
      <c r="BQ773" s="2">
        <v>18.006604841712299</v>
      </c>
      <c r="BR773" s="2">
        <v>15.4765927512404</v>
      </c>
      <c r="BS773" s="2">
        <v>17.197771786572002</v>
      </c>
      <c r="BT773" s="2">
        <v>17.606856129016901</v>
      </c>
      <c r="BU773" s="2">
        <v>17.254811710228498</v>
      </c>
      <c r="BV773" s="2">
        <v>17.865592345580399</v>
      </c>
      <c r="BW773" s="2">
        <v>17.6454812647486</v>
      </c>
      <c r="BX773" s="2">
        <v>17.1426803707642</v>
      </c>
      <c r="BY773" s="2">
        <v>17.9732577786382</v>
      </c>
      <c r="BZ773" s="2">
        <v>9.6233145402724691</v>
      </c>
      <c r="CA773" s="2">
        <v>18.075226547106301</v>
      </c>
      <c r="CB773" s="2">
        <v>15.9028185864777</v>
      </c>
      <c r="CC773" s="2">
        <v>16.347508394092401</v>
      </c>
      <c r="CD773" s="2">
        <v>17.9051903651836</v>
      </c>
      <c r="CE773" s="2">
        <v>9.6233145402724691</v>
      </c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</row>
    <row r="774" spans="1:97">
      <c r="A774" s="2" t="s">
        <v>7368</v>
      </c>
      <c r="B774" s="2">
        <v>155.04659000000001</v>
      </c>
      <c r="C774" s="2">
        <v>5.6710000000000003</v>
      </c>
      <c r="D774" s="2" t="s">
        <v>84</v>
      </c>
      <c r="E774" s="2" t="s">
        <v>7369</v>
      </c>
      <c r="F774" s="2" t="s">
        <v>7370</v>
      </c>
      <c r="G774" s="2">
        <v>199587</v>
      </c>
      <c r="H774" s="3" t="str">
        <f>HYPERLINK("https://cloud.oebiotech.com/#/lm/network/199587", "https://cloud.oebiotech.com/#/lm/network/199587")</f>
        <v>https://cloud.oebiotech.com/#/lm/network/199587</v>
      </c>
      <c r="I774" s="2" t="s">
        <v>7371</v>
      </c>
      <c r="J774" s="2">
        <v>44692</v>
      </c>
      <c r="K774" s="2"/>
      <c r="L774" s="2">
        <v>13601</v>
      </c>
      <c r="M774" s="2" t="s">
        <v>7372</v>
      </c>
      <c r="N774" s="2"/>
      <c r="O774" s="2"/>
      <c r="P774" s="2">
        <v>24567</v>
      </c>
      <c r="Q774" s="2"/>
      <c r="R774" s="2"/>
      <c r="S774" s="2" t="s">
        <v>7373</v>
      </c>
      <c r="T774" s="2" t="s">
        <v>7374</v>
      </c>
      <c r="U774" s="2" t="s">
        <v>7375</v>
      </c>
      <c r="V774" s="2" t="s">
        <v>338</v>
      </c>
      <c r="W774" s="2" t="s">
        <v>339</v>
      </c>
      <c r="X774" s="2" t="s">
        <v>3877</v>
      </c>
      <c r="Y774" s="2" t="s">
        <v>341</v>
      </c>
      <c r="Z774" s="2" t="s">
        <v>341</v>
      </c>
      <c r="AA774" s="2" t="s">
        <v>3878</v>
      </c>
      <c r="AB774" s="2" t="s">
        <v>5118</v>
      </c>
      <c r="AC774" s="2">
        <v>53.94</v>
      </c>
      <c r="AD774" s="2">
        <v>72.209999999999994</v>
      </c>
      <c r="AE774" s="2">
        <v>74.44</v>
      </c>
      <c r="AF774" s="2" t="s">
        <v>7376</v>
      </c>
      <c r="AG774" s="2" t="s">
        <v>3544</v>
      </c>
      <c r="AH774" s="2" t="s">
        <v>7377</v>
      </c>
      <c r="AI774" s="2">
        <v>1.93</v>
      </c>
      <c r="AJ774" s="2">
        <v>19.151292068561901</v>
      </c>
      <c r="AK774" s="2">
        <v>20.557669690289899</v>
      </c>
      <c r="AL774" s="2">
        <v>20.070146461395499</v>
      </c>
      <c r="AM774" s="2">
        <v>20.325402272663201</v>
      </c>
      <c r="AN774" s="2">
        <v>20.3436905577909</v>
      </c>
      <c r="AO774" s="2">
        <v>20.4813527174013</v>
      </c>
      <c r="AP774" s="2">
        <v>20.425309552480499</v>
      </c>
      <c r="AQ774" s="2">
        <v>20.240439604429</v>
      </c>
      <c r="AR774" s="2">
        <v>22.398736717956101</v>
      </c>
      <c r="AS774" s="2">
        <v>19.9108274322084</v>
      </c>
      <c r="AT774" s="2">
        <v>20.862872028531601</v>
      </c>
      <c r="AU774" s="2">
        <v>23.4081432993856</v>
      </c>
      <c r="AV774" s="2">
        <v>24.217573322674799</v>
      </c>
      <c r="AW774" s="2">
        <v>20.2093210031965</v>
      </c>
      <c r="AX774" s="2">
        <v>24.864697952646601</v>
      </c>
      <c r="AY774" s="2">
        <v>23.0561935099525</v>
      </c>
      <c r="AZ774" s="2">
        <v>19.382767693712399</v>
      </c>
      <c r="BA774" s="2">
        <v>24.169868745202599</v>
      </c>
      <c r="BB774" s="2">
        <v>21.896191006149301</v>
      </c>
      <c r="BC774" s="2">
        <v>22.636062847856699</v>
      </c>
      <c r="BD774" s="2">
        <v>22.576639416960099</v>
      </c>
      <c r="BE774" s="2">
        <v>23.219008941285502</v>
      </c>
      <c r="BF774" s="2">
        <v>21.647523541854401</v>
      </c>
      <c r="BG774" s="2">
        <v>22.348856914238102</v>
      </c>
      <c r="BH774" s="2">
        <v>23.7511707592523</v>
      </c>
      <c r="BI774" s="2">
        <v>20.3793145005768</v>
      </c>
      <c r="BJ774" s="2">
        <v>23.414594512315499</v>
      </c>
      <c r="BK774" s="2">
        <v>24.255159691044199</v>
      </c>
      <c r="BL774" s="2">
        <v>24.381876866521601</v>
      </c>
      <c r="BM774" s="2">
        <v>23.999152070739601</v>
      </c>
      <c r="BN774" s="2">
        <v>24.1374839957695</v>
      </c>
      <c r="BO774" s="2">
        <v>21.207611356331999</v>
      </c>
      <c r="BP774" s="2">
        <v>24.892148371689199</v>
      </c>
      <c r="BQ774" s="2">
        <v>24.098702931864501</v>
      </c>
      <c r="BR774" s="2">
        <v>21.645595594204998</v>
      </c>
      <c r="BS774" s="2">
        <v>23.347576894304201</v>
      </c>
      <c r="BT774" s="2">
        <v>24.277924647863099</v>
      </c>
      <c r="BU774" s="2">
        <v>22.428049185769499</v>
      </c>
      <c r="BV774" s="2">
        <v>25.0143609837185</v>
      </c>
      <c r="BW774" s="2">
        <v>24.171158317414399</v>
      </c>
      <c r="BX774" s="2">
        <v>24.395992328457801</v>
      </c>
      <c r="BY774" s="2">
        <v>24.6588058494942</v>
      </c>
      <c r="BZ774" s="2">
        <v>23.009964501110201</v>
      </c>
      <c r="CA774" s="2">
        <v>23.968430727289299</v>
      </c>
      <c r="CB774" s="2">
        <v>22.835829874787802</v>
      </c>
      <c r="CC774" s="2">
        <v>23.232566245202801</v>
      </c>
      <c r="CD774" s="2">
        <v>23.102612581470101</v>
      </c>
      <c r="CE774" s="2">
        <v>24.293509569574201</v>
      </c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</row>
    <row r="775" spans="1:97">
      <c r="A775" s="2" t="s">
        <v>7378</v>
      </c>
      <c r="B775" s="2">
        <v>315.25342000000001</v>
      </c>
      <c r="C775" s="2">
        <v>10.170999999999999</v>
      </c>
      <c r="D775" s="2" t="s">
        <v>146</v>
      </c>
      <c r="E775" s="2" t="s">
        <v>7379</v>
      </c>
      <c r="F775" s="2" t="s">
        <v>7380</v>
      </c>
      <c r="G775" s="2">
        <v>3099</v>
      </c>
      <c r="H775" s="3" t="str">
        <f>HYPERLINK("https://cloud.oebiotech.com/#/lm/network/3099", "https://cloud.oebiotech.com/#/lm/network/3099")</f>
        <v>https://cloud.oebiotech.com/#/lm/network/3099</v>
      </c>
      <c r="I775" s="2"/>
      <c r="J775" s="2">
        <v>35470</v>
      </c>
      <c r="K775" s="2" t="s">
        <v>7381</v>
      </c>
      <c r="L775" s="2">
        <v>5282930</v>
      </c>
      <c r="M775" s="2"/>
      <c r="N775" s="2"/>
      <c r="O775" s="2"/>
      <c r="P775" s="2"/>
      <c r="Q775" s="2"/>
      <c r="R775" s="2"/>
      <c r="S775" s="2"/>
      <c r="T775" s="2" t="s">
        <v>7382</v>
      </c>
      <c r="U775" s="2" t="s">
        <v>7383</v>
      </c>
      <c r="V775" s="2" t="s">
        <v>95</v>
      </c>
      <c r="W775" s="2" t="s">
        <v>96</v>
      </c>
      <c r="X775" s="2" t="s">
        <v>141</v>
      </c>
      <c r="Y775" s="2" t="s">
        <v>98</v>
      </c>
      <c r="Z775" s="2" t="s">
        <v>99</v>
      </c>
      <c r="AA775" s="2" t="s">
        <v>142</v>
      </c>
      <c r="AB775" s="2" t="s">
        <v>3086</v>
      </c>
      <c r="AC775" s="2">
        <v>53.94</v>
      </c>
      <c r="AD775" s="2">
        <v>88.14</v>
      </c>
      <c r="AE775" s="2">
        <v>0</v>
      </c>
      <c r="AF775" s="2" t="s">
        <v>5614</v>
      </c>
      <c r="AG775" s="2" t="s">
        <v>194</v>
      </c>
      <c r="AH775" s="2" t="s">
        <v>3924</v>
      </c>
      <c r="AI775" s="2">
        <v>2.2200000000000002</v>
      </c>
      <c r="AJ775" s="2">
        <v>17.759362885037401</v>
      </c>
      <c r="AK775" s="2">
        <v>17.907213486939099</v>
      </c>
      <c r="AL775" s="2">
        <v>18.1846593466008</v>
      </c>
      <c r="AM775" s="2">
        <v>17.833828592617099</v>
      </c>
      <c r="AN775" s="2">
        <v>18.559934672175601</v>
      </c>
      <c r="AO775" s="2">
        <v>18.210052158935898</v>
      </c>
      <c r="AP775" s="2">
        <v>18.4812346255016</v>
      </c>
      <c r="AQ775" s="2">
        <v>17.532516800925801</v>
      </c>
      <c r="AR775" s="2">
        <v>19.814697862875899</v>
      </c>
      <c r="AS775" s="2">
        <v>18.1638900134549</v>
      </c>
      <c r="AT775" s="2">
        <v>17.829800887207799</v>
      </c>
      <c r="AU775" s="2">
        <v>18.079525096556399</v>
      </c>
      <c r="AV775" s="2">
        <v>18.135209315668298</v>
      </c>
      <c r="AW775" s="2">
        <v>19.6990270120906</v>
      </c>
      <c r="AX775" s="2">
        <v>17.046050845346599</v>
      </c>
      <c r="AY775" s="2">
        <v>18.8058138895205</v>
      </c>
      <c r="AZ775" s="2">
        <v>17.5612035776205</v>
      </c>
      <c r="BA775" s="2">
        <v>16.363461997638002</v>
      </c>
      <c r="BB775" s="2">
        <v>17.089943447348499</v>
      </c>
      <c r="BC775" s="2">
        <v>18.025532913900001</v>
      </c>
      <c r="BD775" s="2">
        <v>17.124787725658798</v>
      </c>
      <c r="BE775" s="2">
        <v>18.446601300050599</v>
      </c>
      <c r="BF775" s="2">
        <v>16.715285568405999</v>
      </c>
      <c r="BG775" s="2">
        <v>17.669107964995401</v>
      </c>
      <c r="BH775" s="2">
        <v>18.7649409319684</v>
      </c>
      <c r="BI775" s="2">
        <v>16.0798464122797</v>
      </c>
      <c r="BJ775" s="2">
        <v>18.484290783471501</v>
      </c>
      <c r="BK775" s="2">
        <v>17.504003409182499</v>
      </c>
      <c r="BL775" s="2">
        <v>18.304389158753899</v>
      </c>
      <c r="BM775" s="2">
        <v>18.400001869525301</v>
      </c>
      <c r="BN775" s="2">
        <v>19.774682274227199</v>
      </c>
      <c r="BO775" s="2">
        <v>17.0856162318813</v>
      </c>
      <c r="BP775" s="2">
        <v>17.881368941278701</v>
      </c>
      <c r="BQ775" s="2">
        <v>17.070478952637501</v>
      </c>
      <c r="BR775" s="2">
        <v>18.370262381165201</v>
      </c>
      <c r="BS775" s="2">
        <v>18.655696390465501</v>
      </c>
      <c r="BT775" s="2">
        <v>17.820030648155399</v>
      </c>
      <c r="BU775" s="2">
        <v>18.331676424252301</v>
      </c>
      <c r="BV775" s="2">
        <v>17.587927056948899</v>
      </c>
      <c r="BW775" s="2">
        <v>17.2355191525217</v>
      </c>
      <c r="BX775" s="2">
        <v>17.679379962328198</v>
      </c>
      <c r="BY775" s="2">
        <v>18.599625626827201</v>
      </c>
      <c r="BZ775" s="2">
        <v>16.8645567599605</v>
      </c>
      <c r="CA775" s="2">
        <v>18.699750691673199</v>
      </c>
      <c r="CB775" s="2">
        <v>18.7710358800942</v>
      </c>
      <c r="CC775" s="2">
        <v>17.703571485080801</v>
      </c>
      <c r="CD775" s="2">
        <v>18.319517730982099</v>
      </c>
      <c r="CE775" s="2">
        <v>18.078977705585501</v>
      </c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</row>
    <row r="776" spans="1:97">
      <c r="A776" s="2" t="s">
        <v>7384</v>
      </c>
      <c r="B776" s="2">
        <v>502.29395</v>
      </c>
      <c r="C776" s="2">
        <v>10.515000000000001</v>
      </c>
      <c r="D776" s="2" t="s">
        <v>146</v>
      </c>
      <c r="E776" s="2" t="s">
        <v>7385</v>
      </c>
      <c r="F776" s="2" t="s">
        <v>7386</v>
      </c>
      <c r="G776" s="2">
        <v>21183</v>
      </c>
      <c r="H776" s="3" t="str">
        <f>HYPERLINK("https://cloud.oebiotech.com/#/lm/network/21183", "https://cloud.oebiotech.com/#/lm/network/21183")</f>
        <v>https://cloud.oebiotech.com/#/lm/network/21183</v>
      </c>
      <c r="I776" s="2" t="s">
        <v>7387</v>
      </c>
      <c r="J776" s="2">
        <v>62301</v>
      </c>
      <c r="K776" s="2" t="s">
        <v>7388</v>
      </c>
      <c r="L776" s="2">
        <v>52925141</v>
      </c>
      <c r="M776" s="2"/>
      <c r="N776" s="2"/>
      <c r="O776" s="2"/>
      <c r="P776" s="2"/>
      <c r="Q776" s="2"/>
      <c r="R776" s="2"/>
      <c r="S776" s="2"/>
      <c r="T776" s="2" t="s">
        <v>7389</v>
      </c>
      <c r="U776" s="2" t="s">
        <v>7390</v>
      </c>
      <c r="V776" s="2" t="s">
        <v>95</v>
      </c>
      <c r="W776" s="2" t="s">
        <v>202</v>
      </c>
      <c r="X776" s="2" t="s">
        <v>327</v>
      </c>
      <c r="Y776" s="2" t="s">
        <v>98</v>
      </c>
      <c r="Z776" s="2" t="s">
        <v>204</v>
      </c>
      <c r="AA776" s="2" t="s">
        <v>328</v>
      </c>
      <c r="AB776" s="2" t="s">
        <v>3086</v>
      </c>
      <c r="AC776" s="2">
        <v>53.94</v>
      </c>
      <c r="AD776" s="2">
        <v>83.31</v>
      </c>
      <c r="AE776" s="2">
        <v>0</v>
      </c>
      <c r="AF776" s="2" t="s">
        <v>5614</v>
      </c>
      <c r="AG776" s="2" t="s">
        <v>194</v>
      </c>
      <c r="AH776" s="2" t="s">
        <v>1917</v>
      </c>
      <c r="AI776" s="2">
        <v>0</v>
      </c>
      <c r="AJ776" s="2">
        <v>18.884500562250501</v>
      </c>
      <c r="AK776" s="2">
        <v>19.104936845596001</v>
      </c>
      <c r="AL776" s="2">
        <v>19.052505618209299</v>
      </c>
      <c r="AM776" s="2">
        <v>18.7836605351904</v>
      </c>
      <c r="AN776" s="2">
        <v>18.751671081686599</v>
      </c>
      <c r="AO776" s="2">
        <v>18.983927116251099</v>
      </c>
      <c r="AP776" s="2">
        <v>18.418218324643199</v>
      </c>
      <c r="AQ776" s="2">
        <v>19.065969956273499</v>
      </c>
      <c r="AR776" s="2">
        <v>19.6699610793661</v>
      </c>
      <c r="AS776" s="2">
        <v>17.207416379537001</v>
      </c>
      <c r="AT776" s="2">
        <v>18.7387267108465</v>
      </c>
      <c r="AU776" s="2">
        <v>19.448354656027099</v>
      </c>
      <c r="AV776" s="2">
        <v>18.760849510058101</v>
      </c>
      <c r="AW776" s="2">
        <v>19.0052212346503</v>
      </c>
      <c r="AX776" s="2">
        <v>17.067319124585499</v>
      </c>
      <c r="AY776" s="2">
        <v>16.925461255082901</v>
      </c>
      <c r="AZ776" s="2">
        <v>18.902249502119499</v>
      </c>
      <c r="BA776" s="2">
        <v>18.259629123655401</v>
      </c>
      <c r="BB776" s="2">
        <v>18.004822414800199</v>
      </c>
      <c r="BC776" s="2">
        <v>16.810046393326001</v>
      </c>
      <c r="BD776" s="2">
        <v>18.914785928920701</v>
      </c>
      <c r="BE776" s="2">
        <v>16.707643307248699</v>
      </c>
      <c r="BF776" s="2">
        <v>17.9562499976001</v>
      </c>
      <c r="BG776" s="2">
        <v>19.372666931791599</v>
      </c>
      <c r="BH776" s="2">
        <v>17.994236080513101</v>
      </c>
      <c r="BI776" s="2">
        <v>20.0253996005885</v>
      </c>
      <c r="BJ776" s="2">
        <v>18.503679952108701</v>
      </c>
      <c r="BK776" s="2">
        <v>18.585574390696902</v>
      </c>
      <c r="BL776" s="2">
        <v>19.2531802291765</v>
      </c>
      <c r="BM776" s="2">
        <v>18.317022137234598</v>
      </c>
      <c r="BN776" s="2">
        <v>19.1741203231993</v>
      </c>
      <c r="BO776" s="2">
        <v>19.4959794207203</v>
      </c>
      <c r="BP776" s="2">
        <v>18.7966872955169</v>
      </c>
      <c r="BQ776" s="2">
        <v>18.468108480999</v>
      </c>
      <c r="BR776" s="2">
        <v>19.070984468196201</v>
      </c>
      <c r="BS776" s="2">
        <v>19.3620038319633</v>
      </c>
      <c r="BT776" s="2">
        <v>16.501235573801999</v>
      </c>
      <c r="BU776" s="2">
        <v>18.182139083134899</v>
      </c>
      <c r="BV776" s="2">
        <v>19.112893993678501</v>
      </c>
      <c r="BW776" s="2">
        <v>16.999394494019899</v>
      </c>
      <c r="BX776" s="2">
        <v>18.6731686119148</v>
      </c>
      <c r="BY776" s="2">
        <v>18.328608885847899</v>
      </c>
      <c r="BZ776" s="2">
        <v>18.340251869599602</v>
      </c>
      <c r="CA776" s="2">
        <v>18.858726386467598</v>
      </c>
      <c r="CB776" s="2">
        <v>18.9773090233261</v>
      </c>
      <c r="CC776" s="2">
        <v>19.374308834493998</v>
      </c>
      <c r="CD776" s="2">
        <v>18.434543244310799</v>
      </c>
      <c r="CE776" s="2">
        <v>18.276926245222</v>
      </c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</row>
    <row r="777" spans="1:97">
      <c r="A777" s="2" t="s">
        <v>7391</v>
      </c>
      <c r="B777" s="2">
        <v>195.11272</v>
      </c>
      <c r="C777" s="2">
        <v>3.5910000000000002</v>
      </c>
      <c r="D777" s="2" t="s">
        <v>84</v>
      </c>
      <c r="E777" s="2" t="s">
        <v>7392</v>
      </c>
      <c r="F777" s="2" t="s">
        <v>7393</v>
      </c>
      <c r="G777" s="2">
        <v>211687</v>
      </c>
      <c r="H777" s="3" t="str">
        <f>HYPERLINK("https://cloud.oebiotech.com/#/lm/network/211687", "https://cloud.oebiotech.com/#/lm/network/211687")</f>
        <v>https://cloud.oebiotech.com/#/lm/network/211687</v>
      </c>
      <c r="I777" s="2" t="s">
        <v>7394</v>
      </c>
      <c r="J777" s="2"/>
      <c r="K777" s="2"/>
      <c r="L777" s="2">
        <v>56990431</v>
      </c>
      <c r="M777" s="2"/>
      <c r="N777" s="2"/>
      <c r="O777" s="2"/>
      <c r="P777" s="2"/>
      <c r="Q777" s="2"/>
      <c r="R777" s="2"/>
      <c r="S777" s="2"/>
      <c r="T777" s="2" t="s">
        <v>7395</v>
      </c>
      <c r="U777" s="2" t="s">
        <v>7396</v>
      </c>
      <c r="V777" s="2" t="s">
        <v>553</v>
      </c>
      <c r="W777" s="2" t="s">
        <v>7397</v>
      </c>
      <c r="X777" s="2" t="s">
        <v>375</v>
      </c>
      <c r="Y777" s="2" t="s">
        <v>556</v>
      </c>
      <c r="Z777" s="2" t="s">
        <v>7398</v>
      </c>
      <c r="AA777" s="2"/>
      <c r="AB777" s="2" t="s">
        <v>3086</v>
      </c>
      <c r="AC777" s="2">
        <v>53.93</v>
      </c>
      <c r="AD777" s="2">
        <v>93.71</v>
      </c>
      <c r="AE777" s="2">
        <v>0</v>
      </c>
      <c r="AF777" s="2" t="s">
        <v>5614</v>
      </c>
      <c r="AG777" s="2" t="s">
        <v>132</v>
      </c>
      <c r="AH777" s="2" t="s">
        <v>7399</v>
      </c>
      <c r="AI777" s="2">
        <v>0.51</v>
      </c>
      <c r="AJ777" s="2">
        <v>20.822847422948399</v>
      </c>
      <c r="AK777" s="2">
        <v>20.827049368004701</v>
      </c>
      <c r="AL777" s="2">
        <v>20.775113582488402</v>
      </c>
      <c r="AM777" s="2">
        <v>20.755931620998801</v>
      </c>
      <c r="AN777" s="2">
        <v>20.823387587827</v>
      </c>
      <c r="AO777" s="2">
        <v>20.8897069558626</v>
      </c>
      <c r="AP777" s="2">
        <v>20.9523250267614</v>
      </c>
      <c r="AQ777" s="2">
        <v>20.849510163819801</v>
      </c>
      <c r="AR777" s="2">
        <v>20.042534464696299</v>
      </c>
      <c r="AS777" s="2">
        <v>19.241711352989999</v>
      </c>
      <c r="AT777" s="2">
        <v>19.479094247782399</v>
      </c>
      <c r="AU777" s="2">
        <v>19.836892478778498</v>
      </c>
      <c r="AV777" s="2">
        <v>20.419720164626199</v>
      </c>
      <c r="AW777" s="2">
        <v>21.577532752382002</v>
      </c>
      <c r="AX777" s="2">
        <v>20.2928925102268</v>
      </c>
      <c r="AY777" s="2">
        <v>20.419028410708599</v>
      </c>
      <c r="AZ777" s="2">
        <v>19.502239505463798</v>
      </c>
      <c r="BA777" s="2">
        <v>21.240018889308601</v>
      </c>
      <c r="BB777" s="2">
        <v>20.701389900892099</v>
      </c>
      <c r="BC777" s="2">
        <v>20.454031370306598</v>
      </c>
      <c r="BD777" s="2">
        <v>20.174349802894302</v>
      </c>
      <c r="BE777" s="2">
        <v>21.821901522953901</v>
      </c>
      <c r="BF777" s="2">
        <v>19.791358989675601</v>
      </c>
      <c r="BG777" s="2">
        <v>21.052680697258001</v>
      </c>
      <c r="BH777" s="2">
        <v>20.091896989241899</v>
      </c>
      <c r="BI777" s="2">
        <v>20.5003618853512</v>
      </c>
      <c r="BJ777" s="2">
        <v>21.324485220867501</v>
      </c>
      <c r="BK777" s="2">
        <v>21.153685102442299</v>
      </c>
      <c r="BL777" s="2">
        <v>21.3070671092852</v>
      </c>
      <c r="BM777" s="2">
        <v>20.806568060835801</v>
      </c>
      <c r="BN777" s="2">
        <v>20.703664406903599</v>
      </c>
      <c r="BO777" s="2">
        <v>21.359504593510401</v>
      </c>
      <c r="BP777" s="2">
        <v>20.590577438055899</v>
      </c>
      <c r="BQ777" s="2">
        <v>21.169179881109201</v>
      </c>
      <c r="BR777" s="2">
        <v>20.025887495463198</v>
      </c>
      <c r="BS777" s="2">
        <v>20.857817324781202</v>
      </c>
      <c r="BT777" s="2">
        <v>19.947820159430101</v>
      </c>
      <c r="BU777" s="2">
        <v>22.427612346242601</v>
      </c>
      <c r="BV777" s="2">
        <v>20.056410238824</v>
      </c>
      <c r="BW777" s="2">
        <v>19.864043556343699</v>
      </c>
      <c r="BX777" s="2">
        <v>20.742832247892199</v>
      </c>
      <c r="BY777" s="2">
        <v>22.3661506326496</v>
      </c>
      <c r="BZ777" s="2">
        <v>22.1179721855076</v>
      </c>
      <c r="CA777" s="2">
        <v>19.3020537231336</v>
      </c>
      <c r="CB777" s="2">
        <v>19.1225771288453</v>
      </c>
      <c r="CC777" s="2">
        <v>20.410793138262498</v>
      </c>
      <c r="CD777" s="2">
        <v>21.623022150998398</v>
      </c>
      <c r="CE777" s="2">
        <v>21.193141602712799</v>
      </c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</row>
    <row r="778" spans="1:97">
      <c r="A778" s="2" t="s">
        <v>7400</v>
      </c>
      <c r="B778" s="2">
        <v>395.24315000000001</v>
      </c>
      <c r="C778" s="2">
        <v>9.4489999999999998</v>
      </c>
      <c r="D778" s="2" t="s">
        <v>146</v>
      </c>
      <c r="E778" s="2" t="s">
        <v>7401</v>
      </c>
      <c r="F778" s="2" t="s">
        <v>7402</v>
      </c>
      <c r="G778" s="2">
        <v>267550</v>
      </c>
      <c r="H778" s="3" t="str">
        <f>HYPERLINK("https://cloud.oebiotech.com/#/lm/network/267550", "https://cloud.oebiotech.com/#/lm/network/267550")</f>
        <v>https://cloud.oebiotech.com/#/lm/network/267550</v>
      </c>
      <c r="I778" s="2"/>
      <c r="J778" s="2">
        <v>45680</v>
      </c>
      <c r="K778" s="2"/>
      <c r="L778" s="2">
        <v>44266707</v>
      </c>
      <c r="M778" s="2"/>
      <c r="N778" s="2"/>
      <c r="O778" s="2"/>
      <c r="P778" s="2"/>
      <c r="Q778" s="2"/>
      <c r="R778" s="2"/>
      <c r="S778" s="2"/>
      <c r="T778" s="2" t="s">
        <v>7403</v>
      </c>
      <c r="U778" s="2" t="s">
        <v>7404</v>
      </c>
      <c r="V778" s="2" t="s">
        <v>95</v>
      </c>
      <c r="W778" s="2" t="s">
        <v>96</v>
      </c>
      <c r="X778" s="2" t="s">
        <v>3216</v>
      </c>
      <c r="Y778" s="2" t="s">
        <v>98</v>
      </c>
      <c r="Z778" s="2" t="s">
        <v>99</v>
      </c>
      <c r="AA778" s="2" t="s">
        <v>3217</v>
      </c>
      <c r="AB778" s="2" t="s">
        <v>3086</v>
      </c>
      <c r="AC778" s="2">
        <v>53.92</v>
      </c>
      <c r="AD778" s="2">
        <v>85.64</v>
      </c>
      <c r="AE778" s="2">
        <v>0</v>
      </c>
      <c r="AF778" s="2" t="s">
        <v>5614</v>
      </c>
      <c r="AG778" s="2" t="s">
        <v>157</v>
      </c>
      <c r="AH778" s="2" t="s">
        <v>3367</v>
      </c>
      <c r="AI778" s="2">
        <v>1.77</v>
      </c>
      <c r="AJ778" s="2">
        <v>17.549076124343401</v>
      </c>
      <c r="AK778" s="2">
        <v>18.092612323302099</v>
      </c>
      <c r="AL778" s="2">
        <v>18.308507108400399</v>
      </c>
      <c r="AM778" s="2">
        <v>18.307373645353199</v>
      </c>
      <c r="AN778" s="2">
        <v>18.038742091452999</v>
      </c>
      <c r="AO778" s="2">
        <v>18.3744709288735</v>
      </c>
      <c r="AP778" s="2">
        <v>18.292959600616499</v>
      </c>
      <c r="AQ778" s="2">
        <v>18.506488162398401</v>
      </c>
      <c r="AR778" s="2">
        <v>17.3987122161301</v>
      </c>
      <c r="AS778" s="2">
        <v>17.260738468923702</v>
      </c>
      <c r="AT778" s="2">
        <v>16.7035626986364</v>
      </c>
      <c r="AU778" s="2">
        <v>16.6299418277525</v>
      </c>
      <c r="AV778" s="2">
        <v>17.1939280207359</v>
      </c>
      <c r="AW778" s="2">
        <v>16.625283761803001</v>
      </c>
      <c r="AX778" s="2">
        <v>17.275291106445501</v>
      </c>
      <c r="AY778" s="2">
        <v>17.6755768947809</v>
      </c>
      <c r="AZ778" s="2">
        <v>16.309466583784001</v>
      </c>
      <c r="BA778" s="2">
        <v>16.7202484005781</v>
      </c>
      <c r="BB778" s="2">
        <v>17.3757025567458</v>
      </c>
      <c r="BC778" s="2">
        <v>17.265991858866599</v>
      </c>
      <c r="BD778" s="2">
        <v>17.258399304650499</v>
      </c>
      <c r="BE778" s="2">
        <v>19.704146948240101</v>
      </c>
      <c r="BF778" s="2">
        <v>17.229619933894</v>
      </c>
      <c r="BG778" s="2">
        <v>16.933692729377999</v>
      </c>
      <c r="BH778" s="2">
        <v>17.025811666800799</v>
      </c>
      <c r="BI778" s="2">
        <v>16.778811999983901</v>
      </c>
      <c r="BJ778" s="2">
        <v>16.954265162164599</v>
      </c>
      <c r="BK778" s="2">
        <v>16.864398972912401</v>
      </c>
      <c r="BL778" s="2">
        <v>17.097744621853401</v>
      </c>
      <c r="BM778" s="2">
        <v>17.2972837684684</v>
      </c>
      <c r="BN778" s="2">
        <v>17.3773807725956</v>
      </c>
      <c r="BO778" s="2">
        <v>17.0015907189565</v>
      </c>
      <c r="BP778" s="2">
        <v>17.046972309524399</v>
      </c>
      <c r="BQ778" s="2">
        <v>17.223622121444599</v>
      </c>
      <c r="BR778" s="2">
        <v>16.865878712075901</v>
      </c>
      <c r="BS778" s="2">
        <v>17.700375978375099</v>
      </c>
      <c r="BT778" s="2">
        <v>17.041550286675999</v>
      </c>
      <c r="BU778" s="2">
        <v>17.3909925495268</v>
      </c>
      <c r="BV778" s="2">
        <v>17.229068322765901</v>
      </c>
      <c r="BW778" s="2">
        <v>16.961357782065001</v>
      </c>
      <c r="BX778" s="2">
        <v>17.011273343691101</v>
      </c>
      <c r="BY778" s="2">
        <v>21.055539937323701</v>
      </c>
      <c r="BZ778" s="2">
        <v>17.0245542573115</v>
      </c>
      <c r="CA778" s="2">
        <v>17.157118436600101</v>
      </c>
      <c r="CB778" s="2">
        <v>16.645127145672902</v>
      </c>
      <c r="CC778" s="2">
        <v>17.079621342549501</v>
      </c>
      <c r="CD778" s="2">
        <v>17.565496102293199</v>
      </c>
      <c r="CE778" s="2">
        <v>17.406225105465399</v>
      </c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</row>
    <row r="779" spans="1:97">
      <c r="A779" s="2" t="s">
        <v>7405</v>
      </c>
      <c r="B779" s="2">
        <v>333.09329000000002</v>
      </c>
      <c r="C779" s="2">
        <v>1.071</v>
      </c>
      <c r="D779" s="2" t="s">
        <v>146</v>
      </c>
      <c r="E779" s="2" t="s">
        <v>7406</v>
      </c>
      <c r="F779" s="2" t="s">
        <v>7407</v>
      </c>
      <c r="G779" s="2">
        <v>54362</v>
      </c>
      <c r="H779" s="3" t="str">
        <f>HYPERLINK("https://cloud.oebiotech.com/#/lm/network/54362", "https://cloud.oebiotech.com/#/lm/network/54362")</f>
        <v>https://cloud.oebiotech.com/#/lm/network/54362</v>
      </c>
      <c r="I779" s="2" t="s">
        <v>7408</v>
      </c>
      <c r="J779" s="2">
        <v>86247</v>
      </c>
      <c r="K779" s="2"/>
      <c r="L779" s="2">
        <v>131750866</v>
      </c>
      <c r="M779" s="2"/>
      <c r="N779" s="2"/>
      <c r="O779" s="2"/>
      <c r="P779" s="2">
        <v>168589</v>
      </c>
      <c r="Q779" s="2"/>
      <c r="R779" s="2"/>
      <c r="S779" s="2" t="s">
        <v>7409</v>
      </c>
      <c r="T779" s="2" t="s">
        <v>7410</v>
      </c>
      <c r="U779" s="2" t="s">
        <v>7411</v>
      </c>
      <c r="V779" s="2" t="s">
        <v>338</v>
      </c>
      <c r="W779" s="2" t="s">
        <v>339</v>
      </c>
      <c r="X779" s="2" t="s">
        <v>663</v>
      </c>
      <c r="Y779" s="2" t="s">
        <v>341</v>
      </c>
      <c r="Z779" s="2" t="s">
        <v>341</v>
      </c>
      <c r="AA779" s="2" t="s">
        <v>664</v>
      </c>
      <c r="AB779" s="2" t="s">
        <v>3086</v>
      </c>
      <c r="AC779" s="2">
        <v>53.91</v>
      </c>
      <c r="AD779" s="2">
        <v>94.41</v>
      </c>
      <c r="AE779" s="2">
        <v>0</v>
      </c>
      <c r="AF779" s="2" t="s">
        <v>5614</v>
      </c>
      <c r="AG779" s="2" t="s">
        <v>194</v>
      </c>
      <c r="AH779" s="2" t="s">
        <v>7412</v>
      </c>
      <c r="AI779" s="2">
        <v>2.1</v>
      </c>
      <c r="AJ779" s="2">
        <v>20.5713718063508</v>
      </c>
      <c r="AK779" s="2">
        <v>20.4977323498563</v>
      </c>
      <c r="AL779" s="2">
        <v>20.754200231363502</v>
      </c>
      <c r="AM779" s="2">
        <v>20.498362841238499</v>
      </c>
      <c r="AN779" s="2">
        <v>20.6372530202086</v>
      </c>
      <c r="AO779" s="2">
        <v>20.473841370417698</v>
      </c>
      <c r="AP779" s="2">
        <v>20.282285983159198</v>
      </c>
      <c r="AQ779" s="2">
        <v>20.562972984874101</v>
      </c>
      <c r="AR779" s="2">
        <v>19.896401116680298</v>
      </c>
      <c r="AS779" s="2">
        <v>20.617440238013899</v>
      </c>
      <c r="AT779" s="2">
        <v>20.2942940218039</v>
      </c>
      <c r="AU779" s="2">
        <v>18.625836243162201</v>
      </c>
      <c r="AV779" s="2">
        <v>19.485778218635801</v>
      </c>
      <c r="AW779" s="2">
        <v>20.538338453381002</v>
      </c>
      <c r="AX779" s="2">
        <v>20.1023725005718</v>
      </c>
      <c r="AY779" s="2">
        <v>20.2646274268164</v>
      </c>
      <c r="AZ779" s="2">
        <v>20.224383058525099</v>
      </c>
      <c r="BA779" s="2">
        <v>19.836794512084602</v>
      </c>
      <c r="BB779" s="2">
        <v>20.5361249556132</v>
      </c>
      <c r="BC779" s="2">
        <v>21.067874008026202</v>
      </c>
      <c r="BD779" s="2">
        <v>20.214482816946301</v>
      </c>
      <c r="BE779" s="2">
        <v>20.490134714841901</v>
      </c>
      <c r="BF779" s="2">
        <v>19.329203435102901</v>
      </c>
      <c r="BG779" s="2">
        <v>21.090225080576001</v>
      </c>
      <c r="BH779" s="2">
        <v>19.445740712418001</v>
      </c>
      <c r="BI779" s="2">
        <v>21.304032118063599</v>
      </c>
      <c r="BJ779" s="2">
        <v>20.647494737205399</v>
      </c>
      <c r="BK779" s="2">
        <v>20.260728363169701</v>
      </c>
      <c r="BL779" s="2">
        <v>20.6389050377995</v>
      </c>
      <c r="BM779" s="2">
        <v>18.947703849372299</v>
      </c>
      <c r="BN779" s="2">
        <v>19.476717235059901</v>
      </c>
      <c r="BO779" s="2">
        <v>19.890177187974398</v>
      </c>
      <c r="BP779" s="2">
        <v>20.257577027930001</v>
      </c>
      <c r="BQ779" s="2">
        <v>19.246921503817301</v>
      </c>
      <c r="BR779" s="2">
        <v>20.0598599376241</v>
      </c>
      <c r="BS779" s="2">
        <v>20.525402377867501</v>
      </c>
      <c r="BT779" s="2">
        <v>19.5417239136215</v>
      </c>
      <c r="BU779" s="2">
        <v>21.045435542158099</v>
      </c>
      <c r="BV779" s="2">
        <v>20.400851852362202</v>
      </c>
      <c r="BW779" s="2">
        <v>19.3646870917452</v>
      </c>
      <c r="BX779" s="2">
        <v>19.1160032000505</v>
      </c>
      <c r="BY779" s="2">
        <v>21.080449467187101</v>
      </c>
      <c r="BZ779" s="2">
        <v>18.524371185296602</v>
      </c>
      <c r="CA779" s="2">
        <v>20.433568550768499</v>
      </c>
      <c r="CB779" s="2">
        <v>20.479524925992202</v>
      </c>
      <c r="CC779" s="2">
        <v>20.877213051022501</v>
      </c>
      <c r="CD779" s="2">
        <v>20.605438987270499</v>
      </c>
      <c r="CE779" s="2">
        <v>20.425987047187199</v>
      </c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</row>
    <row r="780" spans="1:97">
      <c r="A780" s="2" t="s">
        <v>7413</v>
      </c>
      <c r="B780" s="2">
        <v>257.07378999999997</v>
      </c>
      <c r="C780" s="2">
        <v>0.85599999999999998</v>
      </c>
      <c r="D780" s="2" t="s">
        <v>84</v>
      </c>
      <c r="E780" s="2" t="s">
        <v>7414</v>
      </c>
      <c r="F780" s="2" t="s">
        <v>7415</v>
      </c>
      <c r="G780" s="2">
        <v>202466</v>
      </c>
      <c r="H780" s="3" t="str">
        <f>HYPERLINK("https://cloud.oebiotech.com/#/lm/network/202466", "https://cloud.oebiotech.com/#/lm/network/202466")</f>
        <v>https://cloud.oebiotech.com/#/lm/network/202466</v>
      </c>
      <c r="I780" s="2" t="s">
        <v>7416</v>
      </c>
      <c r="J780" s="2"/>
      <c r="K780" s="2"/>
      <c r="L780" s="2">
        <v>167782</v>
      </c>
      <c r="M780" s="2"/>
      <c r="N780" s="2"/>
      <c r="O780" s="2"/>
      <c r="P780" s="2">
        <v>132232</v>
      </c>
      <c r="Q780" s="2"/>
      <c r="R780" s="2"/>
      <c r="S780" s="2"/>
      <c r="T780" s="2" t="s">
        <v>7417</v>
      </c>
      <c r="U780" s="2" t="s">
        <v>7418</v>
      </c>
      <c r="V780" s="2" t="s">
        <v>115</v>
      </c>
      <c r="W780" s="2" t="s">
        <v>116</v>
      </c>
      <c r="X780" s="2" t="s">
        <v>117</v>
      </c>
      <c r="Y780" s="2" t="s">
        <v>118</v>
      </c>
      <c r="Z780" s="2" t="s">
        <v>119</v>
      </c>
      <c r="AA780" s="2" t="s">
        <v>120</v>
      </c>
      <c r="AB780" s="2" t="s">
        <v>3086</v>
      </c>
      <c r="AC780" s="2">
        <v>53.91</v>
      </c>
      <c r="AD780" s="2">
        <v>90.58</v>
      </c>
      <c r="AE780" s="2">
        <v>0</v>
      </c>
      <c r="AF780" s="2" t="s">
        <v>7419</v>
      </c>
      <c r="AG780" s="2" t="s">
        <v>1578</v>
      </c>
      <c r="AH780" s="2" t="s">
        <v>1173</v>
      </c>
      <c r="AI780" s="2">
        <v>2.33</v>
      </c>
      <c r="AJ780" s="2">
        <v>24.058482612596102</v>
      </c>
      <c r="AK780" s="2">
        <v>23.898463392116401</v>
      </c>
      <c r="AL780" s="2">
        <v>23.966426124429798</v>
      </c>
      <c r="AM780" s="2">
        <v>24.11369914794</v>
      </c>
      <c r="AN780" s="2">
        <v>23.461170445652201</v>
      </c>
      <c r="AO780" s="2">
        <v>24.244572309602798</v>
      </c>
      <c r="AP780" s="2">
        <v>23.794050272301401</v>
      </c>
      <c r="AQ780" s="2">
        <v>24.313848467315701</v>
      </c>
      <c r="AR780" s="2">
        <v>23.667756188935002</v>
      </c>
      <c r="AS780" s="2">
        <v>24.0692807990626</v>
      </c>
      <c r="AT780" s="2">
        <v>23.343979726951801</v>
      </c>
      <c r="AU780" s="2">
        <v>23.871472516724399</v>
      </c>
      <c r="AV780" s="2">
        <v>23.447698340452899</v>
      </c>
      <c r="AW780" s="2">
        <v>23.564380648137</v>
      </c>
      <c r="AX780" s="2">
        <v>23.764416352908999</v>
      </c>
      <c r="AY780" s="2">
        <v>23.9942939328179</v>
      </c>
      <c r="AZ780" s="2">
        <v>23.6606619708461</v>
      </c>
      <c r="BA780" s="2">
        <v>24.2031364684754</v>
      </c>
      <c r="BB780" s="2">
        <v>24.200304594767299</v>
      </c>
      <c r="BC780" s="2">
        <v>23.772402888134899</v>
      </c>
      <c r="BD780" s="2">
        <v>23.7016664339626</v>
      </c>
      <c r="BE780" s="2">
        <v>23.596654487161299</v>
      </c>
      <c r="BF780" s="2">
        <v>23.993708351945202</v>
      </c>
      <c r="BG780" s="2">
        <v>23.900816587136401</v>
      </c>
      <c r="BH780" s="2">
        <v>23.515399406731699</v>
      </c>
      <c r="BI780" s="2">
        <v>23.330434791522499</v>
      </c>
      <c r="BJ780" s="2">
        <v>23.6925015405706</v>
      </c>
      <c r="BK780" s="2">
        <v>23.894890337583099</v>
      </c>
      <c r="BL780" s="2">
        <v>24.150882196308199</v>
      </c>
      <c r="BM780" s="2">
        <v>23.867579508973002</v>
      </c>
      <c r="BN780" s="2">
        <v>23.9107684091518</v>
      </c>
      <c r="BO780" s="2">
        <v>23.956004278312001</v>
      </c>
      <c r="BP780" s="2">
        <v>23.92201026439</v>
      </c>
      <c r="BQ780" s="2">
        <v>24.125274934291799</v>
      </c>
      <c r="BR780" s="2">
        <v>23.684717687386598</v>
      </c>
      <c r="BS780" s="2">
        <v>23.654663584272502</v>
      </c>
      <c r="BT780" s="2">
        <v>23.856316565089699</v>
      </c>
      <c r="BU780" s="2">
        <v>23.8622702657301</v>
      </c>
      <c r="BV780" s="2">
        <v>23.382410823776699</v>
      </c>
      <c r="BW780" s="2">
        <v>23.4241575191683</v>
      </c>
      <c r="BX780" s="2">
        <v>23.605712717543199</v>
      </c>
      <c r="BY780" s="2">
        <v>24.122878774470902</v>
      </c>
      <c r="BZ780" s="2">
        <v>23.7986873336442</v>
      </c>
      <c r="CA780" s="2">
        <v>23.632995117294499</v>
      </c>
      <c r="CB780" s="2">
        <v>23.425702032926601</v>
      </c>
      <c r="CC780" s="2">
        <v>24.156699862743199</v>
      </c>
      <c r="CD780" s="2">
        <v>23.884452840915099</v>
      </c>
      <c r="CE780" s="2">
        <v>23.8715568986207</v>
      </c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</row>
    <row r="781" spans="1:97">
      <c r="A781" s="2" t="s">
        <v>7420</v>
      </c>
      <c r="B781" s="2">
        <v>243.12327999999999</v>
      </c>
      <c r="C781" s="2">
        <v>5.2489999999999997</v>
      </c>
      <c r="D781" s="2" t="s">
        <v>146</v>
      </c>
      <c r="E781" s="2" t="s">
        <v>7421</v>
      </c>
      <c r="F781" s="2" t="s">
        <v>7422</v>
      </c>
      <c r="G781" s="2">
        <v>10303</v>
      </c>
      <c r="H781" s="3" t="str">
        <f>HYPERLINK("https://cloud.oebiotech.com/#/lm/network/10303", "https://cloud.oebiotech.com/#/lm/network/10303")</f>
        <v>https://cloud.oebiotech.com/#/lm/network/10303</v>
      </c>
      <c r="I781" s="2"/>
      <c r="J781" s="2"/>
      <c r="K781" s="2" t="s">
        <v>7423</v>
      </c>
      <c r="L781" s="2">
        <v>86289663</v>
      </c>
      <c r="M781" s="2"/>
      <c r="N781" s="2"/>
      <c r="O781" s="2"/>
      <c r="P781" s="2">
        <v>78841</v>
      </c>
      <c r="Q781" s="2"/>
      <c r="R781" s="2"/>
      <c r="S781" s="2"/>
      <c r="T781" s="2" t="s">
        <v>7424</v>
      </c>
      <c r="U781" s="2" t="s">
        <v>7425</v>
      </c>
      <c r="V781" s="2" t="s">
        <v>338</v>
      </c>
      <c r="W781" s="2" t="s">
        <v>339</v>
      </c>
      <c r="X781" s="2" t="s">
        <v>663</v>
      </c>
      <c r="Y781" s="2" t="s">
        <v>341</v>
      </c>
      <c r="Z781" s="2" t="s">
        <v>341</v>
      </c>
      <c r="AA781" s="2" t="s">
        <v>664</v>
      </c>
      <c r="AB781" s="2" t="s">
        <v>3086</v>
      </c>
      <c r="AC781" s="2">
        <v>53.9</v>
      </c>
      <c r="AD781" s="2">
        <v>92.46</v>
      </c>
      <c r="AE781" s="2">
        <v>0</v>
      </c>
      <c r="AF781" s="2" t="s">
        <v>5614</v>
      </c>
      <c r="AG781" s="2" t="s">
        <v>993</v>
      </c>
      <c r="AH781" s="2" t="s">
        <v>7426</v>
      </c>
      <c r="AI781" s="2">
        <v>-0.41</v>
      </c>
      <c r="AJ781" s="2">
        <v>17.568569912884701</v>
      </c>
      <c r="AK781" s="2">
        <v>17.161273920816299</v>
      </c>
      <c r="AL781" s="2">
        <v>17.420050343470301</v>
      </c>
      <c r="AM781" s="2">
        <v>17.583833706292101</v>
      </c>
      <c r="AN781" s="2">
        <v>17.4169363684498</v>
      </c>
      <c r="AO781" s="2">
        <v>17.113100448044399</v>
      </c>
      <c r="AP781" s="2">
        <v>17.202736330167099</v>
      </c>
      <c r="AQ781" s="2">
        <v>17.487481293393198</v>
      </c>
      <c r="AR781" s="2">
        <v>18.7022860003459</v>
      </c>
      <c r="AS781" s="2">
        <v>16.0341956362237</v>
      </c>
      <c r="AT781" s="2">
        <v>16.920596285012198</v>
      </c>
      <c r="AU781" s="2">
        <v>16.954387178530698</v>
      </c>
      <c r="AV781" s="2">
        <v>17.399415457373099</v>
      </c>
      <c r="AW781" s="2">
        <v>19.1623511517056</v>
      </c>
      <c r="AX781" s="2">
        <v>16.903351373316202</v>
      </c>
      <c r="AY781" s="2">
        <v>17.631578593337199</v>
      </c>
      <c r="AZ781" s="2">
        <v>16.699765193751901</v>
      </c>
      <c r="BA781" s="2">
        <v>16.528733380018501</v>
      </c>
      <c r="BB781" s="2">
        <v>17.0007656561746</v>
      </c>
      <c r="BC781" s="2">
        <v>17.1088852079425</v>
      </c>
      <c r="BD781" s="2">
        <v>17.167891256540301</v>
      </c>
      <c r="BE781" s="2">
        <v>17.108149114494498</v>
      </c>
      <c r="BF781" s="2">
        <v>16.291616255465001</v>
      </c>
      <c r="BG781" s="2">
        <v>16.4731387564632</v>
      </c>
      <c r="BH781" s="2">
        <v>16.7142461885621</v>
      </c>
      <c r="BI781" s="2">
        <v>17.0239985929516</v>
      </c>
      <c r="BJ781" s="2">
        <v>17.415984908848099</v>
      </c>
      <c r="BK781" s="2">
        <v>17.1535024540471</v>
      </c>
      <c r="BL781" s="2">
        <v>16.778502748049998</v>
      </c>
      <c r="BM781" s="2">
        <v>17.6264037003161</v>
      </c>
      <c r="BN781" s="2">
        <v>19.218396762137299</v>
      </c>
      <c r="BO781" s="2">
        <v>16.6601464903849</v>
      </c>
      <c r="BP781" s="2">
        <v>16.705246825269001</v>
      </c>
      <c r="BQ781" s="2">
        <v>17.375285964609699</v>
      </c>
      <c r="BR781" s="2">
        <v>18.307676792576601</v>
      </c>
      <c r="BS781" s="2">
        <v>20.530071424438699</v>
      </c>
      <c r="BT781" s="2">
        <v>16.234892631881198</v>
      </c>
      <c r="BU781" s="2">
        <v>16.723684272839101</v>
      </c>
      <c r="BV781" s="2">
        <v>15.6721664712343</v>
      </c>
      <c r="BW781" s="2">
        <v>16.945751871373499</v>
      </c>
      <c r="BX781" s="2">
        <v>16.928172510771301</v>
      </c>
      <c r="BY781" s="2">
        <v>17.3232854421809</v>
      </c>
      <c r="BZ781" s="2">
        <v>16.748844326723599</v>
      </c>
      <c r="CA781" s="2">
        <v>17.411256084074299</v>
      </c>
      <c r="CB781" s="2">
        <v>15.977429078362601</v>
      </c>
      <c r="CC781" s="2">
        <v>16.7213424840945</v>
      </c>
      <c r="CD781" s="2">
        <v>16.503989671299799</v>
      </c>
      <c r="CE781" s="2">
        <v>16.497321235929199</v>
      </c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</row>
    <row r="782" spans="1:97">
      <c r="A782" s="2" t="s">
        <v>7427</v>
      </c>
      <c r="B782" s="2">
        <v>479.22791000000001</v>
      </c>
      <c r="C782" s="2">
        <v>6.3289999999999997</v>
      </c>
      <c r="D782" s="2" t="s">
        <v>146</v>
      </c>
      <c r="E782" s="2" t="s">
        <v>7428</v>
      </c>
      <c r="F782" s="2" t="s">
        <v>7429</v>
      </c>
      <c r="G782" s="2">
        <v>50904</v>
      </c>
      <c r="H782" s="3" t="str">
        <f>HYPERLINK("https://cloud.oebiotech.com/#/lm/network/50904", "https://cloud.oebiotech.com/#/lm/network/50904")</f>
        <v>https://cloud.oebiotech.com/#/lm/network/50904</v>
      </c>
      <c r="I782" s="2" t="s">
        <v>7430</v>
      </c>
      <c r="J782" s="2">
        <v>57950</v>
      </c>
      <c r="K782" s="2"/>
      <c r="L782" s="2">
        <v>53478031</v>
      </c>
      <c r="M782" s="2"/>
      <c r="N782" s="2"/>
      <c r="O782" s="2"/>
      <c r="P782" s="2"/>
      <c r="Q782" s="2"/>
      <c r="R782" s="2"/>
      <c r="S782" s="2"/>
      <c r="T782" s="2" t="s">
        <v>7431</v>
      </c>
      <c r="U782" s="2" t="s">
        <v>7432</v>
      </c>
      <c r="V782" s="2" t="s">
        <v>95</v>
      </c>
      <c r="W782" s="2" t="s">
        <v>152</v>
      </c>
      <c r="X782" s="2" t="s">
        <v>2791</v>
      </c>
      <c r="Y782" s="2" t="s">
        <v>98</v>
      </c>
      <c r="Z782" s="2" t="s">
        <v>154</v>
      </c>
      <c r="AA782" s="2" t="s">
        <v>2792</v>
      </c>
      <c r="AB782" s="2" t="s">
        <v>3086</v>
      </c>
      <c r="AC782" s="2">
        <v>53.9</v>
      </c>
      <c r="AD782" s="2">
        <v>83.14</v>
      </c>
      <c r="AE782" s="2">
        <v>0</v>
      </c>
      <c r="AF782" s="2" t="s">
        <v>5614</v>
      </c>
      <c r="AG782" s="2" t="s">
        <v>194</v>
      </c>
      <c r="AH782" s="2" t="s">
        <v>7433</v>
      </c>
      <c r="AI782" s="2">
        <v>1.67</v>
      </c>
      <c r="AJ782" s="2">
        <v>16.704647487476802</v>
      </c>
      <c r="AK782" s="2">
        <v>16.7334453059648</v>
      </c>
      <c r="AL782" s="2">
        <v>16.7201787817934</v>
      </c>
      <c r="AM782" s="2">
        <v>16.908065359480901</v>
      </c>
      <c r="AN782" s="2">
        <v>16.853949731121801</v>
      </c>
      <c r="AO782" s="2">
        <v>16.8372016641889</v>
      </c>
      <c r="AP782" s="2">
        <v>16.6469411581432</v>
      </c>
      <c r="AQ782" s="2">
        <v>17.038729661716001</v>
      </c>
      <c r="AR782" s="2">
        <v>15.169345678149</v>
      </c>
      <c r="AS782" s="2">
        <v>15.045459353015501</v>
      </c>
      <c r="AT782" s="2">
        <v>15.0585651003832</v>
      </c>
      <c r="AU782" s="2">
        <v>15.2521039877238</v>
      </c>
      <c r="AV782" s="2">
        <v>14.394022503650101</v>
      </c>
      <c r="AW782" s="2">
        <v>17.101767874752699</v>
      </c>
      <c r="AX782" s="2">
        <v>14.0887079211581</v>
      </c>
      <c r="AY782" s="2">
        <v>16.429145006982001</v>
      </c>
      <c r="AZ782" s="2">
        <v>16.2154353582022</v>
      </c>
      <c r="BA782" s="2">
        <v>16.942903441757402</v>
      </c>
      <c r="BB782" s="2">
        <v>17.761636996391001</v>
      </c>
      <c r="BC782" s="2">
        <v>17.5945673559015</v>
      </c>
      <c r="BD782" s="2">
        <v>16.241146745783801</v>
      </c>
      <c r="BE782" s="2">
        <v>18.211441517160601</v>
      </c>
      <c r="BF782" s="2">
        <v>14.453927132102599</v>
      </c>
      <c r="BG782" s="2">
        <v>16.0446218706171</v>
      </c>
      <c r="BH782" s="2">
        <v>16.023867817287499</v>
      </c>
      <c r="BI782" s="2">
        <v>12.7761615762559</v>
      </c>
      <c r="BJ782" s="2">
        <v>17.0170318419678</v>
      </c>
      <c r="BK782" s="2">
        <v>16.398103855086401</v>
      </c>
      <c r="BL782" s="2">
        <v>16.291312457582102</v>
      </c>
      <c r="BM782" s="2">
        <v>16.245108480316201</v>
      </c>
      <c r="BN782" s="2">
        <v>15.935286850143299</v>
      </c>
      <c r="BO782" s="2">
        <v>16.542198790857299</v>
      </c>
      <c r="BP782" s="2">
        <v>14.618876412268699</v>
      </c>
      <c r="BQ782" s="2">
        <v>16.917122043198901</v>
      </c>
      <c r="BR782" s="2">
        <v>13.371803864742301</v>
      </c>
      <c r="BS782" s="2">
        <v>15.854199024328601</v>
      </c>
      <c r="BT782" s="2">
        <v>17.130961728995299</v>
      </c>
      <c r="BU782" s="2">
        <v>17.562176898544202</v>
      </c>
      <c r="BV782" s="2">
        <v>17.700932065429601</v>
      </c>
      <c r="BW782" s="2">
        <v>16.347817885014301</v>
      </c>
      <c r="BX782" s="2">
        <v>15.473528508922399</v>
      </c>
      <c r="BY782" s="2">
        <v>17.858455807341599</v>
      </c>
      <c r="BZ782" s="2">
        <v>16.038197118357498</v>
      </c>
      <c r="CA782" s="2">
        <v>14.3890941943013</v>
      </c>
      <c r="CB782" s="2">
        <v>16.8559193974496</v>
      </c>
      <c r="CC782" s="2">
        <v>16.115109506581401</v>
      </c>
      <c r="CD782" s="2">
        <v>16.620892351645299</v>
      </c>
      <c r="CE782" s="2">
        <v>17.005238781946399</v>
      </c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</row>
    <row r="783" spans="1:97">
      <c r="A783" s="2" t="s">
        <v>7434</v>
      </c>
      <c r="B783" s="2">
        <v>283.26261</v>
      </c>
      <c r="C783" s="2">
        <v>11.419</v>
      </c>
      <c r="D783" s="2" t="s">
        <v>84</v>
      </c>
      <c r="E783" s="2" t="s">
        <v>7435</v>
      </c>
      <c r="F783" s="2" t="s">
        <v>7436</v>
      </c>
      <c r="G783" s="2">
        <v>3089</v>
      </c>
      <c r="H783" s="3" t="str">
        <f>HYPERLINK("https://cloud.oebiotech.com/#/lm/network/3089", "https://cloud.oebiotech.com/#/lm/network/3089")</f>
        <v>https://cloud.oebiotech.com/#/lm/network/3089</v>
      </c>
      <c r="I783" s="2"/>
      <c r="J783" s="2">
        <v>35447</v>
      </c>
      <c r="K783" s="2" t="s">
        <v>7437</v>
      </c>
      <c r="L783" s="2">
        <v>5282914</v>
      </c>
      <c r="M783" s="2"/>
      <c r="N783" s="2"/>
      <c r="O783" s="2"/>
      <c r="P783" s="2"/>
      <c r="Q783" s="2"/>
      <c r="R783" s="2"/>
      <c r="S783" s="2"/>
      <c r="T783" s="2" t="s">
        <v>7438</v>
      </c>
      <c r="U783" s="2" t="s">
        <v>7439</v>
      </c>
      <c r="V783" s="2" t="s">
        <v>95</v>
      </c>
      <c r="W783" s="2" t="s">
        <v>96</v>
      </c>
      <c r="X783" s="2" t="s">
        <v>141</v>
      </c>
      <c r="Y783" s="2" t="s">
        <v>98</v>
      </c>
      <c r="Z783" s="2" t="s">
        <v>99</v>
      </c>
      <c r="AA783" s="2" t="s">
        <v>142</v>
      </c>
      <c r="AB783" s="2" t="s">
        <v>3086</v>
      </c>
      <c r="AC783" s="2">
        <v>53.89</v>
      </c>
      <c r="AD783" s="2">
        <v>95.9</v>
      </c>
      <c r="AE783" s="2">
        <v>0</v>
      </c>
      <c r="AF783" s="2" t="s">
        <v>5614</v>
      </c>
      <c r="AG783" s="2" t="s">
        <v>1088</v>
      </c>
      <c r="AH783" s="2" t="s">
        <v>7440</v>
      </c>
      <c r="AI783" s="2">
        <v>3.88</v>
      </c>
      <c r="AJ783" s="2">
        <v>20.864415198267402</v>
      </c>
      <c r="AK783" s="2">
        <v>21.974925016110902</v>
      </c>
      <c r="AL783" s="2">
        <v>21.682462122621299</v>
      </c>
      <c r="AM783" s="2">
        <v>21.7638256755992</v>
      </c>
      <c r="AN783" s="2">
        <v>21.613000643639001</v>
      </c>
      <c r="AO783" s="2">
        <v>21.872812602231999</v>
      </c>
      <c r="AP783" s="2">
        <v>21.066764901216501</v>
      </c>
      <c r="AQ783" s="2">
        <v>21.9739530476512</v>
      </c>
      <c r="AR783" s="2">
        <v>22.301674192096002</v>
      </c>
      <c r="AS783" s="2">
        <v>21.6703015692114</v>
      </c>
      <c r="AT783" s="2">
        <v>22.350998925639001</v>
      </c>
      <c r="AU783" s="2">
        <v>22.239572475187099</v>
      </c>
      <c r="AV783" s="2">
        <v>21.723402102675401</v>
      </c>
      <c r="AW783" s="2">
        <v>21.692665271397399</v>
      </c>
      <c r="AX783" s="2">
        <v>21.5269550192221</v>
      </c>
      <c r="AY783" s="2">
        <v>21.582092950265899</v>
      </c>
      <c r="AZ783" s="2">
        <v>19.753554939139999</v>
      </c>
      <c r="BA783" s="2">
        <v>22.289484959726199</v>
      </c>
      <c r="BB783" s="2">
        <v>21.5423860216222</v>
      </c>
      <c r="BC783" s="2">
        <v>22.1793962539289</v>
      </c>
      <c r="BD783" s="2">
        <v>20.801620445166002</v>
      </c>
      <c r="BE783" s="2">
        <v>20.815159718177501</v>
      </c>
      <c r="BF783" s="2">
        <v>20.653344182108199</v>
      </c>
      <c r="BG783" s="2">
        <v>20.975941633925</v>
      </c>
      <c r="BH783" s="2">
        <v>22.064788154763701</v>
      </c>
      <c r="BI783" s="2">
        <v>22.034146770817198</v>
      </c>
      <c r="BJ783" s="2">
        <v>21.731890588188499</v>
      </c>
      <c r="BK783" s="2">
        <v>21.529560588654899</v>
      </c>
      <c r="BL783" s="2">
        <v>22.562998421558099</v>
      </c>
      <c r="BM783" s="2">
        <v>21.206446770057301</v>
      </c>
      <c r="BN783" s="2">
        <v>21.657649128163602</v>
      </c>
      <c r="BO783" s="2">
        <v>21.421311798582099</v>
      </c>
      <c r="BP783" s="2">
        <v>21.574175925127999</v>
      </c>
      <c r="BQ783" s="2">
        <v>21.425010222623801</v>
      </c>
      <c r="BR783" s="2">
        <v>21.941337458608899</v>
      </c>
      <c r="BS783" s="2">
        <v>21.403853735785098</v>
      </c>
      <c r="BT783" s="2">
        <v>21.9260349515447</v>
      </c>
      <c r="BU783" s="2">
        <v>22.687729975004501</v>
      </c>
      <c r="BV783" s="2">
        <v>22.004631209400099</v>
      </c>
      <c r="BW783" s="2">
        <v>20.882541200322802</v>
      </c>
      <c r="BX783" s="2">
        <v>21.704889322993498</v>
      </c>
      <c r="BY783" s="2">
        <v>21.883487817696</v>
      </c>
      <c r="BZ783" s="2">
        <v>22.114247679149202</v>
      </c>
      <c r="CA783" s="2">
        <v>20.8639149320773</v>
      </c>
      <c r="CB783" s="2">
        <v>21.877822977012698</v>
      </c>
      <c r="CC783" s="2">
        <v>21.810367975748399</v>
      </c>
      <c r="CD783" s="2">
        <v>20.806979907900999</v>
      </c>
      <c r="CE783" s="2">
        <v>21.9467823888805</v>
      </c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</row>
    <row r="784" spans="1:97">
      <c r="A784" s="2" t="s">
        <v>7441</v>
      </c>
      <c r="B784" s="2">
        <v>316.24784</v>
      </c>
      <c r="C784" s="2">
        <v>7.2409999999999997</v>
      </c>
      <c r="D784" s="2" t="s">
        <v>84</v>
      </c>
      <c r="E784" s="2" t="s">
        <v>7442</v>
      </c>
      <c r="F784" s="2" t="s">
        <v>7443</v>
      </c>
      <c r="G784" s="2">
        <v>197345</v>
      </c>
      <c r="H784" s="3" t="str">
        <f>HYPERLINK("https://cloud.oebiotech.com/#/lm/network/197345", "https://cloud.oebiotech.com/#/lm/network/197345")</f>
        <v>https://cloud.oebiotech.com/#/lm/network/197345</v>
      </c>
      <c r="I784" s="2" t="s">
        <v>7444</v>
      </c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 t="s">
        <v>7445</v>
      </c>
      <c r="U784" s="2" t="s">
        <v>7446</v>
      </c>
      <c r="V784" s="2" t="s">
        <v>95</v>
      </c>
      <c r="W784" s="2" t="s">
        <v>96</v>
      </c>
      <c r="X784" s="2" t="s">
        <v>97</v>
      </c>
      <c r="Y784" s="2" t="s">
        <v>98</v>
      </c>
      <c r="Z784" s="2" t="s">
        <v>99</v>
      </c>
      <c r="AA784" s="2" t="s">
        <v>100</v>
      </c>
      <c r="AB784" s="2" t="s">
        <v>5118</v>
      </c>
      <c r="AC784" s="2">
        <v>53.89</v>
      </c>
      <c r="AD784" s="2">
        <v>98.8</v>
      </c>
      <c r="AE784" s="2">
        <v>71.94</v>
      </c>
      <c r="AF784" s="2" t="s">
        <v>7447</v>
      </c>
      <c r="AG784" s="2" t="s">
        <v>103</v>
      </c>
      <c r="AH784" s="2" t="s">
        <v>7448</v>
      </c>
      <c r="AI784" s="2">
        <v>1.26</v>
      </c>
      <c r="AJ784" s="2">
        <v>24.604348110546901</v>
      </c>
      <c r="AK784" s="2">
        <v>24.507602888648002</v>
      </c>
      <c r="AL784" s="2">
        <v>24.525157350169199</v>
      </c>
      <c r="AM784" s="2">
        <v>24.5789174055089</v>
      </c>
      <c r="AN784" s="2">
        <v>24.601734167440199</v>
      </c>
      <c r="AO784" s="2">
        <v>24.5915897998932</v>
      </c>
      <c r="AP784" s="2">
        <v>24.650906283934301</v>
      </c>
      <c r="AQ784" s="2">
        <v>24.534678128952901</v>
      </c>
      <c r="AR784" s="2">
        <v>22.2967428300752</v>
      </c>
      <c r="AS784" s="2">
        <v>23.6070797650261</v>
      </c>
      <c r="AT784" s="2">
        <v>23.5738681588691</v>
      </c>
      <c r="AU784" s="2">
        <v>23.3096900697767</v>
      </c>
      <c r="AV784" s="2">
        <v>22.5864744400705</v>
      </c>
      <c r="AW784" s="2">
        <v>23.367696438795001</v>
      </c>
      <c r="AX784" s="2">
        <v>23.4338839699552</v>
      </c>
      <c r="AY784" s="2">
        <v>24.3078682945815</v>
      </c>
      <c r="AZ784" s="2">
        <v>21.4474451302376</v>
      </c>
      <c r="BA784" s="2">
        <v>24.718101604398999</v>
      </c>
      <c r="BB784" s="2">
        <v>26.668996086155602</v>
      </c>
      <c r="BC784" s="2">
        <v>25.066227682517098</v>
      </c>
      <c r="BD784" s="2">
        <v>21.9973646053745</v>
      </c>
      <c r="BE784" s="2">
        <v>24.211088710735101</v>
      </c>
      <c r="BF784" s="2">
        <v>23.921056681186599</v>
      </c>
      <c r="BG784" s="2">
        <v>25.487911938293699</v>
      </c>
      <c r="BH784" s="2">
        <v>23.056939843989799</v>
      </c>
      <c r="BI784" s="2">
        <v>25.063675639169201</v>
      </c>
      <c r="BJ784" s="2">
        <v>23.450108347331401</v>
      </c>
      <c r="BK784" s="2">
        <v>22.163424476862399</v>
      </c>
      <c r="BL784" s="2">
        <v>24.963548276137502</v>
      </c>
      <c r="BM784" s="2">
        <v>23.389165561142601</v>
      </c>
      <c r="BN784" s="2">
        <v>23.418940350039801</v>
      </c>
      <c r="BO784" s="2">
        <v>25.1879670924212</v>
      </c>
      <c r="BP784" s="2">
        <v>24.828141134930501</v>
      </c>
      <c r="BQ784" s="2">
        <v>25.7381024650591</v>
      </c>
      <c r="BR784" s="2">
        <v>24.839249754346898</v>
      </c>
      <c r="BS784" s="2">
        <v>22.5386100784105</v>
      </c>
      <c r="BT784" s="2">
        <v>24.267762957300398</v>
      </c>
      <c r="BU784" s="2">
        <v>24.406881841880601</v>
      </c>
      <c r="BV784" s="2">
        <v>26.135691868110001</v>
      </c>
      <c r="BW784" s="2">
        <v>24.199253088402401</v>
      </c>
      <c r="BX784" s="2">
        <v>24.339415321536102</v>
      </c>
      <c r="BY784" s="2">
        <v>23.002873020964</v>
      </c>
      <c r="BZ784" s="2">
        <v>25.078400269283801</v>
      </c>
      <c r="CA784" s="2">
        <v>23.865262018794599</v>
      </c>
      <c r="CB784" s="2">
        <v>24.1181010563851</v>
      </c>
      <c r="CC784" s="2">
        <v>25.3580196551816</v>
      </c>
      <c r="CD784" s="2">
        <v>23.148262794891998</v>
      </c>
      <c r="CE784" s="2">
        <v>24.7530775505872</v>
      </c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</row>
    <row r="785" spans="1:97">
      <c r="A785" s="2" t="s">
        <v>7449</v>
      </c>
      <c r="B785" s="2">
        <v>341.26906000000002</v>
      </c>
      <c r="C785" s="2">
        <v>11.848000000000001</v>
      </c>
      <c r="D785" s="2" t="s">
        <v>146</v>
      </c>
      <c r="E785" s="2" t="s">
        <v>7450</v>
      </c>
      <c r="F785" s="2" t="s">
        <v>7451</v>
      </c>
      <c r="G785" s="2">
        <v>2849</v>
      </c>
      <c r="H785" s="3" t="str">
        <f>HYPERLINK("https://cloud.oebiotech.com/#/lm/network/2849", "https://cloud.oebiotech.com/#/lm/network/2849")</f>
        <v>https://cloud.oebiotech.com/#/lm/network/2849</v>
      </c>
      <c r="I785" s="2" t="s">
        <v>7452</v>
      </c>
      <c r="J785" s="2">
        <v>35987</v>
      </c>
      <c r="K785" s="2" t="s">
        <v>7453</v>
      </c>
      <c r="L785" s="2">
        <v>75502</v>
      </c>
      <c r="M785" s="2"/>
      <c r="N785" s="2"/>
      <c r="O785" s="2"/>
      <c r="P785" s="2">
        <v>73728</v>
      </c>
      <c r="Q785" s="2"/>
      <c r="R785" s="2"/>
      <c r="S785" s="2"/>
      <c r="T785" s="2" t="s">
        <v>7454</v>
      </c>
      <c r="U785" s="2" t="s">
        <v>7455</v>
      </c>
      <c r="V785" s="2" t="s">
        <v>95</v>
      </c>
      <c r="W785" s="2" t="s">
        <v>96</v>
      </c>
      <c r="X785" s="2" t="s">
        <v>141</v>
      </c>
      <c r="Y785" s="2" t="s">
        <v>98</v>
      </c>
      <c r="Z785" s="2" t="s">
        <v>99</v>
      </c>
      <c r="AA785" s="2" t="s">
        <v>142</v>
      </c>
      <c r="AB785" s="2" t="s">
        <v>3086</v>
      </c>
      <c r="AC785" s="2">
        <v>53.87</v>
      </c>
      <c r="AD785" s="2">
        <v>86.99</v>
      </c>
      <c r="AE785" s="2">
        <v>0</v>
      </c>
      <c r="AF785" s="2" t="s">
        <v>5614</v>
      </c>
      <c r="AG785" s="2" t="s">
        <v>194</v>
      </c>
      <c r="AH785" s="2" t="s">
        <v>3564</v>
      </c>
      <c r="AI785" s="2">
        <v>1.76</v>
      </c>
      <c r="AJ785" s="2">
        <v>18.245358188528101</v>
      </c>
      <c r="AK785" s="2">
        <v>18.0974410027905</v>
      </c>
      <c r="AL785" s="2">
        <v>18.159745467889401</v>
      </c>
      <c r="AM785" s="2">
        <v>18.000753004911999</v>
      </c>
      <c r="AN785" s="2">
        <v>18.0006983281794</v>
      </c>
      <c r="AO785" s="2">
        <v>18.076235751739802</v>
      </c>
      <c r="AP785" s="2">
        <v>17.783251689437499</v>
      </c>
      <c r="AQ785" s="2">
        <v>17.9726541784527</v>
      </c>
      <c r="AR785" s="2">
        <v>18.4203196961572</v>
      </c>
      <c r="AS785" s="2">
        <v>18.168409755820999</v>
      </c>
      <c r="AT785" s="2">
        <v>17.5776026780098</v>
      </c>
      <c r="AU785" s="2">
        <v>16.012601625599402</v>
      </c>
      <c r="AV785" s="2">
        <v>18.5334535032584</v>
      </c>
      <c r="AW785" s="2">
        <v>17.868623941498701</v>
      </c>
      <c r="AX785" s="2">
        <v>17.949235457544301</v>
      </c>
      <c r="AY785" s="2">
        <v>18.1047243574017</v>
      </c>
      <c r="AZ785" s="2">
        <v>16.8532704412663</v>
      </c>
      <c r="BA785" s="2">
        <v>17.5574574939032</v>
      </c>
      <c r="BB785" s="2">
        <v>17.532389182508702</v>
      </c>
      <c r="BC785" s="2">
        <v>18.573869115541601</v>
      </c>
      <c r="BD785" s="2">
        <v>16.9047990039033</v>
      </c>
      <c r="BE785" s="2">
        <v>18.515531417027201</v>
      </c>
      <c r="BF785" s="2">
        <v>17.423568323218401</v>
      </c>
      <c r="BG785" s="2">
        <v>16.526296575154198</v>
      </c>
      <c r="BH785" s="2">
        <v>17.5597242181701</v>
      </c>
      <c r="BI785" s="2">
        <v>17.363853364310302</v>
      </c>
      <c r="BJ785" s="2">
        <v>18.563348307981201</v>
      </c>
      <c r="BK785" s="2">
        <v>16.477087063649002</v>
      </c>
      <c r="BL785" s="2">
        <v>17.741780856405001</v>
      </c>
      <c r="BM785" s="2">
        <v>17.554811407870702</v>
      </c>
      <c r="BN785" s="2">
        <v>17.8968211277355</v>
      </c>
      <c r="BO785" s="2">
        <v>16.821844471045601</v>
      </c>
      <c r="BP785" s="2">
        <v>17.274916988319099</v>
      </c>
      <c r="BQ785" s="2">
        <v>17.8913265005176</v>
      </c>
      <c r="BR785" s="2">
        <v>18.492902370800799</v>
      </c>
      <c r="BS785" s="2">
        <v>18.810123703941301</v>
      </c>
      <c r="BT785" s="2">
        <v>16.838838416918499</v>
      </c>
      <c r="BU785" s="2">
        <v>18.196177826811599</v>
      </c>
      <c r="BV785" s="2">
        <v>17.410387831375399</v>
      </c>
      <c r="BW785" s="2">
        <v>17.5247454672425</v>
      </c>
      <c r="BX785" s="2">
        <v>16.788162637216999</v>
      </c>
      <c r="BY785" s="2">
        <v>18.780869275240001</v>
      </c>
      <c r="BZ785" s="2">
        <v>17.524609967196401</v>
      </c>
      <c r="CA785" s="2">
        <v>17.110003840728702</v>
      </c>
      <c r="CB785" s="2">
        <v>17.585192012803098</v>
      </c>
      <c r="CC785" s="2">
        <v>17.096551071535401</v>
      </c>
      <c r="CD785" s="2">
        <v>18.240357005150901</v>
      </c>
      <c r="CE785" s="2">
        <v>17.167980902745398</v>
      </c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</row>
    <row r="786" spans="1:97">
      <c r="A786" s="2" t="s">
        <v>7456</v>
      </c>
      <c r="B786" s="2">
        <v>358.36730999999997</v>
      </c>
      <c r="C786" s="2">
        <v>10.255000000000001</v>
      </c>
      <c r="D786" s="2" t="s">
        <v>84</v>
      </c>
      <c r="E786" s="2" t="s">
        <v>7457</v>
      </c>
      <c r="F786" s="2" t="s">
        <v>7458</v>
      </c>
      <c r="G786" s="2">
        <v>317</v>
      </c>
      <c r="H786" s="3" t="str">
        <f>HYPERLINK("https://cloud.oebiotech.com/#/lm/network/317", "https://cloud.oebiotech.com/#/lm/network/317")</f>
        <v>https://cloud.oebiotech.com/#/lm/network/317</v>
      </c>
      <c r="I786" s="2"/>
      <c r="J786" s="2">
        <v>73673</v>
      </c>
      <c r="K786" s="2" t="s">
        <v>7459</v>
      </c>
      <c r="L786" s="2">
        <v>5312319</v>
      </c>
      <c r="M786" s="2"/>
      <c r="N786" s="2"/>
      <c r="O786" s="2"/>
      <c r="P786" s="2"/>
      <c r="Q786" s="2"/>
      <c r="R786" s="2"/>
      <c r="S786" s="2"/>
      <c r="T786" s="2" t="s">
        <v>7460</v>
      </c>
      <c r="U786" s="2" t="s">
        <v>7461</v>
      </c>
      <c r="V786" s="2" t="s">
        <v>95</v>
      </c>
      <c r="W786" s="2" t="s">
        <v>96</v>
      </c>
      <c r="X786" s="2" t="s">
        <v>141</v>
      </c>
      <c r="Y786" s="2" t="s">
        <v>98</v>
      </c>
      <c r="Z786" s="2" t="s">
        <v>99</v>
      </c>
      <c r="AA786" s="2" t="s">
        <v>142</v>
      </c>
      <c r="AB786" s="2" t="s">
        <v>5118</v>
      </c>
      <c r="AC786" s="2">
        <v>53.86</v>
      </c>
      <c r="AD786" s="2">
        <v>97.33</v>
      </c>
      <c r="AE786" s="2">
        <v>76.72</v>
      </c>
      <c r="AF786" s="2" t="s">
        <v>7462</v>
      </c>
      <c r="AG786" s="2" t="s">
        <v>132</v>
      </c>
      <c r="AH786" s="2" t="s">
        <v>7463</v>
      </c>
      <c r="AI786" s="2">
        <v>1.95</v>
      </c>
      <c r="AJ786" s="2">
        <v>22.569886605716501</v>
      </c>
      <c r="AK786" s="2">
        <v>22.450818156388198</v>
      </c>
      <c r="AL786" s="2">
        <v>22.475851840451998</v>
      </c>
      <c r="AM786" s="2">
        <v>22.484370823558699</v>
      </c>
      <c r="AN786" s="2">
        <v>22.335092697693401</v>
      </c>
      <c r="AO786" s="2">
        <v>22.414174799993599</v>
      </c>
      <c r="AP786" s="2">
        <v>22.4448122341248</v>
      </c>
      <c r="AQ786" s="2">
        <v>22.423835466139099</v>
      </c>
      <c r="AR786" s="2">
        <v>22.355033111159798</v>
      </c>
      <c r="AS786" s="2">
        <v>22.152470711745</v>
      </c>
      <c r="AT786" s="2">
        <v>22.287325761559199</v>
      </c>
      <c r="AU786" s="2">
        <v>21.370134181599099</v>
      </c>
      <c r="AV786" s="2">
        <v>20.751561898822999</v>
      </c>
      <c r="AW786" s="2">
        <v>21.930752364595602</v>
      </c>
      <c r="AX786" s="2">
        <v>20.668863522024001</v>
      </c>
      <c r="AY786" s="2">
        <v>20.637000597872898</v>
      </c>
      <c r="AZ786" s="2">
        <v>21.2129238608061</v>
      </c>
      <c r="BA786" s="2">
        <v>20.960862168544999</v>
      </c>
      <c r="BB786" s="2">
        <v>21.8928126023063</v>
      </c>
      <c r="BC786" s="2">
        <v>20.826674078678199</v>
      </c>
      <c r="BD786" s="2">
        <v>21.529059674088799</v>
      </c>
      <c r="BE786" s="2">
        <v>21.733189198852202</v>
      </c>
      <c r="BF786" s="2">
        <v>21.924671862219899</v>
      </c>
      <c r="BG786" s="2">
        <v>21.9004737154428</v>
      </c>
      <c r="BH786" s="2">
        <v>21.2190273239686</v>
      </c>
      <c r="BI786" s="2">
        <v>22.8851864496893</v>
      </c>
      <c r="BJ786" s="2">
        <v>21.812030791598801</v>
      </c>
      <c r="BK786" s="2">
        <v>21.602277670173599</v>
      </c>
      <c r="BL786" s="2">
        <v>20.752235071082801</v>
      </c>
      <c r="BM786" s="2">
        <v>20.2369082510642</v>
      </c>
      <c r="BN786" s="2">
        <v>20.660985227343001</v>
      </c>
      <c r="BO786" s="2">
        <v>21.5148492879411</v>
      </c>
      <c r="BP786" s="2">
        <v>20.5685996368031</v>
      </c>
      <c r="BQ786" s="2">
        <v>20.6191965105976</v>
      </c>
      <c r="BR786" s="2">
        <v>21.290436342196202</v>
      </c>
      <c r="BS786" s="2">
        <v>20.6353744308798</v>
      </c>
      <c r="BT786" s="2">
        <v>21.142720899960501</v>
      </c>
      <c r="BU786" s="2">
        <v>20.3445886547036</v>
      </c>
      <c r="BV786" s="2">
        <v>20.6219809981609</v>
      </c>
      <c r="BW786" s="2">
        <v>20.2939273585636</v>
      </c>
      <c r="BX786" s="2">
        <v>20.518509888226401</v>
      </c>
      <c r="BY786" s="2">
        <v>21.503710475792602</v>
      </c>
      <c r="BZ786" s="2">
        <v>21.802480661435499</v>
      </c>
      <c r="CA786" s="2">
        <v>20.567322942031399</v>
      </c>
      <c r="CB786" s="2">
        <v>21.057614553053401</v>
      </c>
      <c r="CC786" s="2">
        <v>20.434382273310899</v>
      </c>
      <c r="CD786" s="2">
        <v>20.184889770561199</v>
      </c>
      <c r="CE786" s="2">
        <v>20.766943789723101</v>
      </c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</row>
    <row r="787" spans="1:97">
      <c r="A787" s="2" t="s">
        <v>7464</v>
      </c>
      <c r="B787" s="2">
        <v>321.05851000000001</v>
      </c>
      <c r="C787" s="2">
        <v>4.7990000000000004</v>
      </c>
      <c r="D787" s="2" t="s">
        <v>146</v>
      </c>
      <c r="E787" s="2" t="s">
        <v>7465</v>
      </c>
      <c r="F787" s="2" t="s">
        <v>7466</v>
      </c>
      <c r="G787" s="2">
        <v>204209</v>
      </c>
      <c r="H787" s="3" t="str">
        <f>HYPERLINK("https://cloud.oebiotech.com/#/lm/network/204209", "https://cloud.oebiotech.com/#/lm/network/204209")</f>
        <v>https://cloud.oebiotech.com/#/lm/network/204209</v>
      </c>
      <c r="I787" s="2" t="s">
        <v>7467</v>
      </c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 t="s">
        <v>7468</v>
      </c>
      <c r="U787" s="2" t="s">
        <v>7469</v>
      </c>
      <c r="V787" s="2" t="s">
        <v>553</v>
      </c>
      <c r="W787" s="2" t="s">
        <v>7358</v>
      </c>
      <c r="X787" s="2" t="s">
        <v>375</v>
      </c>
      <c r="Y787" s="2" t="s">
        <v>556</v>
      </c>
      <c r="Z787" s="2" t="s">
        <v>7359</v>
      </c>
      <c r="AA787" s="2"/>
      <c r="AB787" s="2" t="s">
        <v>5118</v>
      </c>
      <c r="AC787" s="2">
        <v>53.85</v>
      </c>
      <c r="AD787" s="2">
        <v>85.91</v>
      </c>
      <c r="AE787" s="2">
        <v>56.39</v>
      </c>
      <c r="AF787" s="2" t="s">
        <v>7470</v>
      </c>
      <c r="AG787" s="2" t="s">
        <v>157</v>
      </c>
      <c r="AH787" s="2" t="s">
        <v>7471</v>
      </c>
      <c r="AI787" s="2">
        <v>-0.31</v>
      </c>
      <c r="AJ787" s="2">
        <v>16.495018665799201</v>
      </c>
      <c r="AK787" s="2">
        <v>15.842552176946599</v>
      </c>
      <c r="AL787" s="2">
        <v>16.885223650284701</v>
      </c>
      <c r="AM787" s="2">
        <v>16.7878228693016</v>
      </c>
      <c r="AN787" s="2">
        <v>16.344639200744499</v>
      </c>
      <c r="AO787" s="2">
        <v>16.437444218597602</v>
      </c>
      <c r="AP787" s="2">
        <v>16.325430371273299</v>
      </c>
      <c r="AQ787" s="2">
        <v>16.860000840196101</v>
      </c>
      <c r="AR787" s="2">
        <v>13.992528582322301</v>
      </c>
      <c r="AS787" s="2">
        <v>12.753711911478099</v>
      </c>
      <c r="AT787" s="2">
        <v>13.6849742977715</v>
      </c>
      <c r="AU787" s="2">
        <v>13.956602127891699</v>
      </c>
      <c r="AV787" s="2">
        <v>9.6233145402724691</v>
      </c>
      <c r="AW787" s="2">
        <v>11.792017505464401</v>
      </c>
      <c r="AX787" s="2">
        <v>12.162894799374801</v>
      </c>
      <c r="AY787" s="2">
        <v>11.9518784293792</v>
      </c>
      <c r="AZ787" s="2">
        <v>9.6233145402724691</v>
      </c>
      <c r="BA787" s="2">
        <v>12.4816430471543</v>
      </c>
      <c r="BB787" s="2">
        <v>9.6233145402724691</v>
      </c>
      <c r="BC787" s="2">
        <v>14.269071144843601</v>
      </c>
      <c r="BD787" s="2">
        <v>13.656116447544999</v>
      </c>
      <c r="BE787" s="2">
        <v>9.6233145402724691</v>
      </c>
      <c r="BF787" s="2">
        <v>9.6233145402724691</v>
      </c>
      <c r="BG787" s="2">
        <v>12.618456625738</v>
      </c>
      <c r="BH787" s="2">
        <v>9.6233145402724691</v>
      </c>
      <c r="BI787" s="2">
        <v>9.6233145402724691</v>
      </c>
      <c r="BJ787" s="2">
        <v>14.2999406298241</v>
      </c>
      <c r="BK787" s="2">
        <v>14.2164124237539</v>
      </c>
      <c r="BL787" s="2">
        <v>12.8285986598046</v>
      </c>
      <c r="BM787" s="2">
        <v>12.8266418304536</v>
      </c>
      <c r="BN787" s="2">
        <v>12.1722430969304</v>
      </c>
      <c r="BO787" s="2">
        <v>9.6233145402724691</v>
      </c>
      <c r="BP787" s="2">
        <v>12.9061314782235</v>
      </c>
      <c r="BQ787" s="2">
        <v>9.6233145402724691</v>
      </c>
      <c r="BR787" s="2">
        <v>14.038276867691801</v>
      </c>
      <c r="BS787" s="2">
        <v>12.3829454902144</v>
      </c>
      <c r="BT787" s="2">
        <v>15.0620984327809</v>
      </c>
      <c r="BU787" s="2">
        <v>13.835889542422599</v>
      </c>
      <c r="BV787" s="2">
        <v>13.834786061947201</v>
      </c>
      <c r="BW787" s="2">
        <v>12.942565819799</v>
      </c>
      <c r="BX787" s="2">
        <v>11.690857917626399</v>
      </c>
      <c r="BY787" s="2">
        <v>9.6233145402724691</v>
      </c>
      <c r="BZ787" s="2">
        <v>9.6233145402724691</v>
      </c>
      <c r="CA787" s="2">
        <v>17.5977908425258</v>
      </c>
      <c r="CB787" s="2">
        <v>12.1304096823993</v>
      </c>
      <c r="CC787" s="2">
        <v>11.5995735086686</v>
      </c>
      <c r="CD787" s="2">
        <v>12.0389841285199</v>
      </c>
      <c r="CE787" s="2">
        <v>14.008430372913001</v>
      </c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</row>
    <row r="788" spans="1:97">
      <c r="A788" s="2" t="s">
        <v>7472</v>
      </c>
      <c r="B788" s="2">
        <v>345.24277000000001</v>
      </c>
      <c r="C788" s="2">
        <v>11.648</v>
      </c>
      <c r="D788" s="2" t="s">
        <v>146</v>
      </c>
      <c r="E788" s="2" t="s">
        <v>7473</v>
      </c>
      <c r="F788" s="2" t="s">
        <v>7474</v>
      </c>
      <c r="G788" s="2">
        <v>255995</v>
      </c>
      <c r="H788" s="3" t="str">
        <f>HYPERLINK("https://cloud.oebiotech.com/#/lm/network/255995", "https://cloud.oebiotech.com/#/lm/network/255995")</f>
        <v>https://cloud.oebiotech.com/#/lm/network/255995</v>
      </c>
      <c r="I788" s="2" t="s">
        <v>7475</v>
      </c>
      <c r="J788" s="2"/>
      <c r="K788" s="2"/>
      <c r="L788" s="2">
        <v>86181346</v>
      </c>
      <c r="M788" s="2"/>
      <c r="N788" s="2"/>
      <c r="O788" s="2"/>
      <c r="P788" s="2"/>
      <c r="Q788" s="2"/>
      <c r="R788" s="2"/>
      <c r="S788" s="2"/>
      <c r="T788" s="2" t="s">
        <v>7476</v>
      </c>
      <c r="U788" s="2" t="s">
        <v>7477</v>
      </c>
      <c r="V788" s="2" t="s">
        <v>385</v>
      </c>
      <c r="W788" s="2" t="s">
        <v>386</v>
      </c>
      <c r="X788" s="2" t="s">
        <v>4857</v>
      </c>
      <c r="Y788" s="2" t="s">
        <v>388</v>
      </c>
      <c r="Z788" s="2" t="s">
        <v>389</v>
      </c>
      <c r="AA788" s="2" t="s">
        <v>4858</v>
      </c>
      <c r="AB788" s="2" t="s">
        <v>3086</v>
      </c>
      <c r="AC788" s="2">
        <v>53.83</v>
      </c>
      <c r="AD788" s="2">
        <v>85.82</v>
      </c>
      <c r="AE788" s="2">
        <v>0</v>
      </c>
      <c r="AF788" s="2" t="s">
        <v>5614</v>
      </c>
      <c r="AG788" s="2" t="s">
        <v>993</v>
      </c>
      <c r="AH788" s="2" t="s">
        <v>7478</v>
      </c>
      <c r="AI788" s="2">
        <v>0.57999999999999996</v>
      </c>
      <c r="AJ788" s="2">
        <v>17.5147871639142</v>
      </c>
      <c r="AK788" s="2">
        <v>17.473908091290301</v>
      </c>
      <c r="AL788" s="2">
        <v>17.1254751219378</v>
      </c>
      <c r="AM788" s="2">
        <v>17.378682135298199</v>
      </c>
      <c r="AN788" s="2">
        <v>17.006663458405701</v>
      </c>
      <c r="AO788" s="2">
        <v>17.028121469230999</v>
      </c>
      <c r="AP788" s="2">
        <v>16.994847510659199</v>
      </c>
      <c r="AQ788" s="2">
        <v>16.9708322019777</v>
      </c>
      <c r="AR788" s="2">
        <v>16.486869266313299</v>
      </c>
      <c r="AS788" s="2">
        <v>16.354102824955099</v>
      </c>
      <c r="AT788" s="2">
        <v>16.974868497665899</v>
      </c>
      <c r="AU788" s="2">
        <v>16.533117833079299</v>
      </c>
      <c r="AV788" s="2">
        <v>16.0118627505164</v>
      </c>
      <c r="AW788" s="2">
        <v>15.929706869117</v>
      </c>
      <c r="AX788" s="2">
        <v>16.788653342667502</v>
      </c>
      <c r="AY788" s="2">
        <v>15.546556891477801</v>
      </c>
      <c r="AZ788" s="2">
        <v>17.225842223952299</v>
      </c>
      <c r="BA788" s="2">
        <v>18.534370674395699</v>
      </c>
      <c r="BB788" s="2">
        <v>17.738649567664002</v>
      </c>
      <c r="BC788" s="2">
        <v>17.648793821747699</v>
      </c>
      <c r="BD788" s="2">
        <v>15.1049950799116</v>
      </c>
      <c r="BE788" s="2">
        <v>16.171159592816501</v>
      </c>
      <c r="BF788" s="2">
        <v>16.2169062960571</v>
      </c>
      <c r="BG788" s="2">
        <v>18.0647714419861</v>
      </c>
      <c r="BH788" s="2">
        <v>15.9354938184026</v>
      </c>
      <c r="BI788" s="2">
        <v>17.097565019583399</v>
      </c>
      <c r="BJ788" s="2">
        <v>17.318586233944</v>
      </c>
      <c r="BK788" s="2">
        <v>15.572055049315001</v>
      </c>
      <c r="BL788" s="2">
        <v>17.105406030676001</v>
      </c>
      <c r="BM788" s="2">
        <v>16.3562292830708</v>
      </c>
      <c r="BN788" s="2">
        <v>15.136281041077501</v>
      </c>
      <c r="BO788" s="2">
        <v>18.106733504106</v>
      </c>
      <c r="BP788" s="2">
        <v>16.286514625940701</v>
      </c>
      <c r="BQ788" s="2">
        <v>17.857338900092799</v>
      </c>
      <c r="BR788" s="2">
        <v>17.699490917133701</v>
      </c>
      <c r="BS788" s="2">
        <v>16.1206619226393</v>
      </c>
      <c r="BT788" s="2">
        <v>18.939934604749801</v>
      </c>
      <c r="BU788" s="2">
        <v>19.1962136142071</v>
      </c>
      <c r="BV788" s="2">
        <v>17.411488727092902</v>
      </c>
      <c r="BW788" s="2">
        <v>16.167481654378602</v>
      </c>
      <c r="BX788" s="2">
        <v>15.6366784260843</v>
      </c>
      <c r="BY788" s="2">
        <v>14.9065350439393</v>
      </c>
      <c r="BZ788" s="2">
        <v>16.536058213901299</v>
      </c>
      <c r="CA788" s="2">
        <v>16.597344358708298</v>
      </c>
      <c r="CB788" s="2">
        <v>17.4752692959534</v>
      </c>
      <c r="CC788" s="2">
        <v>17.7251658548719</v>
      </c>
      <c r="CD788" s="2">
        <v>17.530087679320101</v>
      </c>
      <c r="CE788" s="2">
        <v>17.527429431649502</v>
      </c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</row>
    <row r="789" spans="1:97">
      <c r="A789" s="2" t="s">
        <v>7479</v>
      </c>
      <c r="B789" s="2">
        <v>219.02278999999999</v>
      </c>
      <c r="C789" s="2">
        <v>5.5350000000000001</v>
      </c>
      <c r="D789" s="2" t="s">
        <v>146</v>
      </c>
      <c r="E789" s="2" t="s">
        <v>7480</v>
      </c>
      <c r="F789" s="2" t="s">
        <v>7481</v>
      </c>
      <c r="G789" s="2">
        <v>255092</v>
      </c>
      <c r="H789" s="3" t="str">
        <f>HYPERLINK("https://cloud.oebiotech.com/#/lm/network/255092", "https://cloud.oebiotech.com/#/lm/network/255092")</f>
        <v>https://cloud.oebiotech.com/#/lm/network/255092</v>
      </c>
      <c r="I789" s="2" t="s">
        <v>7482</v>
      </c>
      <c r="J789" s="2"/>
      <c r="K789" s="2"/>
      <c r="L789" s="2">
        <v>16102149</v>
      </c>
      <c r="M789" s="2"/>
      <c r="N789" s="2"/>
      <c r="O789" s="2"/>
      <c r="P789" s="2"/>
      <c r="Q789" s="2"/>
      <c r="R789" s="2"/>
      <c r="S789" s="2"/>
      <c r="T789" s="2" t="s">
        <v>7483</v>
      </c>
      <c r="U789" s="2" t="s">
        <v>7484</v>
      </c>
      <c r="V789" s="2" t="s">
        <v>553</v>
      </c>
      <c r="W789" s="2" t="s">
        <v>933</v>
      </c>
      <c r="X789" s="2" t="s">
        <v>7485</v>
      </c>
      <c r="Y789" s="2" t="s">
        <v>556</v>
      </c>
      <c r="Z789" s="2" t="s">
        <v>935</v>
      </c>
      <c r="AA789" s="2" t="s">
        <v>7486</v>
      </c>
      <c r="AB789" s="2" t="s">
        <v>5118</v>
      </c>
      <c r="AC789" s="2">
        <v>53.82</v>
      </c>
      <c r="AD789" s="2">
        <v>90.77</v>
      </c>
      <c r="AE789" s="2">
        <v>67.42</v>
      </c>
      <c r="AF789" s="2" t="s">
        <v>7487</v>
      </c>
      <c r="AG789" s="2" t="s">
        <v>194</v>
      </c>
      <c r="AH789" s="2" t="s">
        <v>7488</v>
      </c>
      <c r="AI789" s="2">
        <v>2.74</v>
      </c>
      <c r="AJ789" s="2">
        <v>18.921258617288998</v>
      </c>
      <c r="AK789" s="2">
        <v>18.879940481074101</v>
      </c>
      <c r="AL789" s="2">
        <v>18.610928946916399</v>
      </c>
      <c r="AM789" s="2">
        <v>18.698678591199901</v>
      </c>
      <c r="AN789" s="2">
        <v>18.671937537757302</v>
      </c>
      <c r="AO789" s="2">
        <v>18.151867812428801</v>
      </c>
      <c r="AP789" s="2">
        <v>18.579504144555099</v>
      </c>
      <c r="AQ789" s="2">
        <v>18.7133339850912</v>
      </c>
      <c r="AR789" s="2">
        <v>18.918667610660499</v>
      </c>
      <c r="AS789" s="2">
        <v>19.060519414901599</v>
      </c>
      <c r="AT789" s="2">
        <v>19.149912926443601</v>
      </c>
      <c r="AU789" s="2">
        <v>19.271676305000302</v>
      </c>
      <c r="AV789" s="2">
        <v>19.117776374697701</v>
      </c>
      <c r="AW789" s="2">
        <v>19.015983012637001</v>
      </c>
      <c r="AX789" s="2">
        <v>18.797240287832999</v>
      </c>
      <c r="AY789" s="2">
        <v>18.387033929244598</v>
      </c>
      <c r="AZ789" s="2">
        <v>18.933279686948602</v>
      </c>
      <c r="BA789" s="2">
        <v>18.8710439538124</v>
      </c>
      <c r="BB789" s="2">
        <v>18.927353180973601</v>
      </c>
      <c r="BC789" s="2">
        <v>18.265250133122699</v>
      </c>
      <c r="BD789" s="2">
        <v>19.072734744410401</v>
      </c>
      <c r="BE789" s="2">
        <v>18.444954810484901</v>
      </c>
      <c r="BF789" s="2">
        <v>18.764783362883701</v>
      </c>
      <c r="BG789" s="2">
        <v>18.968392302271599</v>
      </c>
      <c r="BH789" s="2">
        <v>19.036160865470698</v>
      </c>
      <c r="BI789" s="2">
        <v>18.604439609185501</v>
      </c>
      <c r="BJ789" s="2">
        <v>18.828954147892301</v>
      </c>
      <c r="BK789" s="2">
        <v>18.909387936088301</v>
      </c>
      <c r="BL789" s="2">
        <v>18.7346278299995</v>
      </c>
      <c r="BM789" s="2">
        <v>18.506095821608099</v>
      </c>
      <c r="BN789" s="2">
        <v>18.6353105053714</v>
      </c>
      <c r="BO789" s="2">
        <v>18.7310229033905</v>
      </c>
      <c r="BP789" s="2">
        <v>18.718463676151998</v>
      </c>
      <c r="BQ789" s="2">
        <v>18.569557191118701</v>
      </c>
      <c r="BR789" s="2">
        <v>18.305381393001898</v>
      </c>
      <c r="BS789" s="2">
        <v>18.543020299861499</v>
      </c>
      <c r="BT789" s="2">
        <v>18.620688994595699</v>
      </c>
      <c r="BU789" s="2">
        <v>18.763554057213099</v>
      </c>
      <c r="BV789" s="2">
        <v>18.8079787834493</v>
      </c>
      <c r="BW789" s="2">
        <v>18.730107480737601</v>
      </c>
      <c r="BX789" s="2">
        <v>18.805545292720399</v>
      </c>
      <c r="BY789" s="2">
        <v>18.427848304034399</v>
      </c>
      <c r="BZ789" s="2">
        <v>17.8771217396997</v>
      </c>
      <c r="CA789" s="2">
        <v>18.870426612724501</v>
      </c>
      <c r="CB789" s="2">
        <v>18.901964316148199</v>
      </c>
      <c r="CC789" s="2">
        <v>18.726664108803298</v>
      </c>
      <c r="CD789" s="2">
        <v>18.363644819721301</v>
      </c>
      <c r="CE789" s="2">
        <v>18.6630150178934</v>
      </c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</row>
    <row r="790" spans="1:97">
      <c r="A790" s="2" t="s">
        <v>7489</v>
      </c>
      <c r="B790" s="2">
        <v>312.15890999999999</v>
      </c>
      <c r="C790" s="2">
        <v>11.584</v>
      </c>
      <c r="D790" s="2" t="s">
        <v>84</v>
      </c>
      <c r="E790" s="2" t="s">
        <v>7490</v>
      </c>
      <c r="F790" s="2" t="s">
        <v>7491</v>
      </c>
      <c r="G790" s="2">
        <v>212175</v>
      </c>
      <c r="H790" s="3" t="str">
        <f>HYPERLINK("https://cloud.oebiotech.com/#/lm/network/212175", "https://cloud.oebiotech.com/#/lm/network/212175")</f>
        <v>https://cloud.oebiotech.com/#/lm/network/212175</v>
      </c>
      <c r="I790" s="2" t="s">
        <v>7492</v>
      </c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 t="s">
        <v>7493</v>
      </c>
      <c r="U790" s="2" t="s">
        <v>7494</v>
      </c>
      <c r="V790" s="2" t="s">
        <v>95</v>
      </c>
      <c r="W790" s="2" t="s">
        <v>180</v>
      </c>
      <c r="X790" s="2" t="s">
        <v>3643</v>
      </c>
      <c r="Y790" s="2" t="s">
        <v>98</v>
      </c>
      <c r="Z790" s="2" t="s">
        <v>182</v>
      </c>
      <c r="AA790" s="2" t="s">
        <v>3644</v>
      </c>
      <c r="AB790" s="2" t="s">
        <v>3086</v>
      </c>
      <c r="AC790" s="2">
        <v>53.82</v>
      </c>
      <c r="AD790" s="2">
        <v>88.08</v>
      </c>
      <c r="AE790" s="2">
        <v>0</v>
      </c>
      <c r="AF790" s="2" t="s">
        <v>5614</v>
      </c>
      <c r="AG790" s="2" t="s">
        <v>132</v>
      </c>
      <c r="AH790" s="2" t="s">
        <v>7495</v>
      </c>
      <c r="AI790" s="2">
        <v>1.6</v>
      </c>
      <c r="AJ790" s="2">
        <v>21.9372464045138</v>
      </c>
      <c r="AK790" s="2">
        <v>22.2018439907195</v>
      </c>
      <c r="AL790" s="2">
        <v>22.143106879756001</v>
      </c>
      <c r="AM790" s="2">
        <v>22.1767553065628</v>
      </c>
      <c r="AN790" s="2">
        <v>22.004409147435901</v>
      </c>
      <c r="AO790" s="2">
        <v>22.166399051061699</v>
      </c>
      <c r="AP790" s="2">
        <v>22.0655331828324</v>
      </c>
      <c r="AQ790" s="2">
        <v>21.818432169789201</v>
      </c>
      <c r="AR790" s="2">
        <v>22.665374654410201</v>
      </c>
      <c r="AS790" s="2">
        <v>21.4149570882694</v>
      </c>
      <c r="AT790" s="2">
        <v>21.960745134439499</v>
      </c>
      <c r="AU790" s="2">
        <v>22.0414810186723</v>
      </c>
      <c r="AV790" s="2">
        <v>21.663646308644498</v>
      </c>
      <c r="AW790" s="2">
        <v>21.7710732049526</v>
      </c>
      <c r="AX790" s="2">
        <v>22.2215410457258</v>
      </c>
      <c r="AY790" s="2">
        <v>22.014331041516702</v>
      </c>
      <c r="AZ790" s="2">
        <v>21.886014974814</v>
      </c>
      <c r="BA790" s="2">
        <v>21.234592647256601</v>
      </c>
      <c r="BB790" s="2">
        <v>22.030903444705</v>
      </c>
      <c r="BC790" s="2">
        <v>22.380256585691701</v>
      </c>
      <c r="BD790" s="2">
        <v>22.023169095239599</v>
      </c>
      <c r="BE790" s="2">
        <v>22.5030017167695</v>
      </c>
      <c r="BF790" s="2">
        <v>21.7076150674872</v>
      </c>
      <c r="BG790" s="2">
        <v>21.958503340002199</v>
      </c>
      <c r="BH790" s="2">
        <v>21.9656968855498</v>
      </c>
      <c r="BI790" s="2">
        <v>21.782433106243001</v>
      </c>
      <c r="BJ790" s="2">
        <v>21.5541814315106</v>
      </c>
      <c r="BK790" s="2">
        <v>21.020048372710999</v>
      </c>
      <c r="BL790" s="2">
        <v>22.138783248011801</v>
      </c>
      <c r="BM790" s="2">
        <v>21.794762694389899</v>
      </c>
      <c r="BN790" s="2">
        <v>21.997869554261001</v>
      </c>
      <c r="BO790" s="2">
        <v>22.099244856892799</v>
      </c>
      <c r="BP790" s="2">
        <v>22.100724906503199</v>
      </c>
      <c r="BQ790" s="2">
        <v>22.060078701494501</v>
      </c>
      <c r="BR790" s="2">
        <v>22.257535033988098</v>
      </c>
      <c r="BS790" s="2">
        <v>22.185977828535801</v>
      </c>
      <c r="BT790" s="2">
        <v>22.1016085553909</v>
      </c>
      <c r="BU790" s="2">
        <v>21.648019322927102</v>
      </c>
      <c r="BV790" s="2">
        <v>22.4256725905134</v>
      </c>
      <c r="BW790" s="2">
        <v>21.553876586326901</v>
      </c>
      <c r="BX790" s="2">
        <v>22.219237565250399</v>
      </c>
      <c r="BY790" s="2">
        <v>22.946225184471601</v>
      </c>
      <c r="BZ790" s="2">
        <v>21.5842818667561</v>
      </c>
      <c r="CA790" s="2">
        <v>22.148072496130901</v>
      </c>
      <c r="CB790" s="2">
        <v>21.260028189382201</v>
      </c>
      <c r="CC790" s="2">
        <v>21.8489729027451</v>
      </c>
      <c r="CD790" s="2">
        <v>22.2559385334628</v>
      </c>
      <c r="CE790" s="2">
        <v>21.220701507655999</v>
      </c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</row>
    <row r="791" spans="1:97">
      <c r="A791" s="2" t="s">
        <v>7496</v>
      </c>
      <c r="B791" s="2">
        <v>358.29449</v>
      </c>
      <c r="C791" s="2">
        <v>9.4309999999999992</v>
      </c>
      <c r="D791" s="2" t="s">
        <v>84</v>
      </c>
      <c r="E791" s="2" t="s">
        <v>7497</v>
      </c>
      <c r="F791" s="2" t="s">
        <v>7498</v>
      </c>
      <c r="G791" s="2">
        <v>197376</v>
      </c>
      <c r="H791" s="3" t="str">
        <f>HYPERLINK("https://cloud.oebiotech.com/#/lm/network/197376", "https://cloud.oebiotech.com/#/lm/network/197376")</f>
        <v>https://cloud.oebiotech.com/#/lm/network/197376</v>
      </c>
      <c r="I791" s="2" t="s">
        <v>7499</v>
      </c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 t="s">
        <v>7500</v>
      </c>
      <c r="U791" s="2" t="s">
        <v>7501</v>
      </c>
      <c r="V791" s="2" t="s">
        <v>95</v>
      </c>
      <c r="W791" s="2" t="s">
        <v>96</v>
      </c>
      <c r="X791" s="2" t="s">
        <v>97</v>
      </c>
      <c r="Y791" s="2" t="s">
        <v>98</v>
      </c>
      <c r="Z791" s="2" t="s">
        <v>99</v>
      </c>
      <c r="AA791" s="2" t="s">
        <v>100</v>
      </c>
      <c r="AB791" s="2" t="s">
        <v>3086</v>
      </c>
      <c r="AC791" s="2">
        <v>53.82</v>
      </c>
      <c r="AD791" s="2">
        <v>86.67</v>
      </c>
      <c r="AE791" s="2">
        <v>0</v>
      </c>
      <c r="AF791" s="2" t="s">
        <v>5614</v>
      </c>
      <c r="AG791" s="2" t="s">
        <v>103</v>
      </c>
      <c r="AH791" s="2" t="s">
        <v>7108</v>
      </c>
      <c r="AI791" s="2">
        <v>1.95</v>
      </c>
      <c r="AJ791" s="2">
        <v>18.257825266424501</v>
      </c>
      <c r="AK791" s="2">
        <v>18.226721172889601</v>
      </c>
      <c r="AL791" s="2">
        <v>18.082338993954298</v>
      </c>
      <c r="AM791" s="2">
        <v>17.764827995709499</v>
      </c>
      <c r="AN791" s="2">
        <v>17.424576959419699</v>
      </c>
      <c r="AO791" s="2">
        <v>17.4393243684788</v>
      </c>
      <c r="AP791" s="2">
        <v>17.676167557581302</v>
      </c>
      <c r="AQ791" s="2">
        <v>17.5732108488547</v>
      </c>
      <c r="AR791" s="2">
        <v>18.240062907737901</v>
      </c>
      <c r="AS791" s="2">
        <v>18.342058212859701</v>
      </c>
      <c r="AT791" s="2">
        <v>18.237492876647401</v>
      </c>
      <c r="AU791" s="2">
        <v>18.117992096660299</v>
      </c>
      <c r="AV791" s="2">
        <v>18.168723135646001</v>
      </c>
      <c r="AW791" s="2">
        <v>18.155252078262301</v>
      </c>
      <c r="AX791" s="2">
        <v>18.290619859665</v>
      </c>
      <c r="AY791" s="2">
        <v>18.107842519317</v>
      </c>
      <c r="AZ791" s="2">
        <v>18.211578402287302</v>
      </c>
      <c r="BA791" s="2">
        <v>18.106202630622299</v>
      </c>
      <c r="BB791" s="2">
        <v>18.013359915956698</v>
      </c>
      <c r="BC791" s="2">
        <v>18.201793978600499</v>
      </c>
      <c r="BD791" s="2">
        <v>18.146041917541901</v>
      </c>
      <c r="BE791" s="2">
        <v>18.323723829562901</v>
      </c>
      <c r="BF791" s="2">
        <v>17.5532599939935</v>
      </c>
      <c r="BG791" s="2">
        <v>18.2566319130799</v>
      </c>
      <c r="BH791" s="2">
        <v>18.168511073088801</v>
      </c>
      <c r="BI791" s="2">
        <v>17.9108101178822</v>
      </c>
      <c r="BJ791" s="2">
        <v>18.143530248421499</v>
      </c>
      <c r="BK791" s="2">
        <v>18.4042208246392</v>
      </c>
      <c r="BL791" s="2">
        <v>17.8862661877689</v>
      </c>
      <c r="BM791" s="2">
        <v>17.880034200802999</v>
      </c>
      <c r="BN791" s="2">
        <v>17.986224479687301</v>
      </c>
      <c r="BO791" s="2">
        <v>18.046922446582599</v>
      </c>
      <c r="BP791" s="2">
        <v>17.996411091088198</v>
      </c>
      <c r="BQ791" s="2">
        <v>17.9523183216048</v>
      </c>
      <c r="BR791" s="2">
        <v>18.0183578780128</v>
      </c>
      <c r="BS791" s="2">
        <v>17.823732570039901</v>
      </c>
      <c r="BT791" s="2">
        <v>18.189036383006801</v>
      </c>
      <c r="BU791" s="2">
        <v>18.080468946596799</v>
      </c>
      <c r="BV791" s="2">
        <v>17.534591584098798</v>
      </c>
      <c r="BW791" s="2">
        <v>18.137270308934401</v>
      </c>
      <c r="BX791" s="2">
        <v>18.159125273958502</v>
      </c>
      <c r="BY791" s="2">
        <v>18.095286265487001</v>
      </c>
      <c r="BZ791" s="2">
        <v>17.7342598323776</v>
      </c>
      <c r="CA791" s="2">
        <v>17.670771375240101</v>
      </c>
      <c r="CB791" s="2">
        <v>17.9828519556247</v>
      </c>
      <c r="CC791" s="2">
        <v>17.881336316792702</v>
      </c>
      <c r="CD791" s="2">
        <v>17.4148013271314</v>
      </c>
      <c r="CE791" s="2">
        <v>17.786958809924101</v>
      </c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</row>
    <row r="792" spans="1:97">
      <c r="A792" s="2" t="s">
        <v>7502</v>
      </c>
      <c r="B792" s="2">
        <v>457.27199999999999</v>
      </c>
      <c r="C792" s="2">
        <v>8.7970000000000006</v>
      </c>
      <c r="D792" s="2" t="s">
        <v>146</v>
      </c>
      <c r="E792" s="2" t="s">
        <v>7503</v>
      </c>
      <c r="F792" s="2" t="s">
        <v>7504</v>
      </c>
      <c r="G792" s="2">
        <v>46623</v>
      </c>
      <c r="H792" s="3" t="str">
        <f>HYPERLINK("https://cloud.oebiotech.com/#/lm/network/46623", "https://cloud.oebiotech.com/#/lm/network/46623")</f>
        <v>https://cloud.oebiotech.com/#/lm/network/46623</v>
      </c>
      <c r="I792" s="2"/>
      <c r="J792" s="2"/>
      <c r="K792" s="2" t="s">
        <v>7505</v>
      </c>
      <c r="L792" s="2">
        <v>118701775</v>
      </c>
      <c r="M792" s="2"/>
      <c r="N792" s="2"/>
      <c r="O792" s="2"/>
      <c r="P792" s="2"/>
      <c r="Q792" s="2"/>
      <c r="R792" s="2"/>
      <c r="S792" s="2"/>
      <c r="T792" s="2" t="s">
        <v>7506</v>
      </c>
      <c r="U792" s="2" t="s">
        <v>7507</v>
      </c>
      <c r="V792" s="2" t="s">
        <v>95</v>
      </c>
      <c r="W792" s="2" t="s">
        <v>96</v>
      </c>
      <c r="X792" s="2" t="s">
        <v>3216</v>
      </c>
      <c r="Y792" s="2" t="s">
        <v>98</v>
      </c>
      <c r="Z792" s="2" t="s">
        <v>99</v>
      </c>
      <c r="AA792" s="2" t="s">
        <v>3217</v>
      </c>
      <c r="AB792" s="2" t="s">
        <v>3086</v>
      </c>
      <c r="AC792" s="2">
        <v>53.82</v>
      </c>
      <c r="AD792" s="2">
        <v>82.28</v>
      </c>
      <c r="AE792" s="2">
        <v>0</v>
      </c>
      <c r="AF792" s="2" t="s">
        <v>5614</v>
      </c>
      <c r="AG792" s="2" t="s">
        <v>4062</v>
      </c>
      <c r="AH792" s="2" t="s">
        <v>7508</v>
      </c>
      <c r="AI792" s="2">
        <v>1.31</v>
      </c>
      <c r="AJ792" s="2">
        <v>19.721113911781501</v>
      </c>
      <c r="AK792" s="2">
        <v>20.625089399511499</v>
      </c>
      <c r="AL792" s="2">
        <v>20.356455237190499</v>
      </c>
      <c r="AM792" s="2">
        <v>20.457044070897801</v>
      </c>
      <c r="AN792" s="2">
        <v>20.4906881559039</v>
      </c>
      <c r="AO792" s="2">
        <v>20.576090415041399</v>
      </c>
      <c r="AP792" s="2">
        <v>20.469304918025099</v>
      </c>
      <c r="AQ792" s="2">
        <v>20.547985648045302</v>
      </c>
      <c r="AR792" s="2">
        <v>19.928620369206399</v>
      </c>
      <c r="AS792" s="2">
        <v>20.2842710349139</v>
      </c>
      <c r="AT792" s="2">
        <v>20.100246363767099</v>
      </c>
      <c r="AU792" s="2">
        <v>20.490290994574799</v>
      </c>
      <c r="AV792" s="2">
        <v>20.252841589670702</v>
      </c>
      <c r="AW792" s="2">
        <v>20.646320015448701</v>
      </c>
      <c r="AX792" s="2">
        <v>20.512208239313999</v>
      </c>
      <c r="AY792" s="2">
        <v>20.602939197528801</v>
      </c>
      <c r="AZ792" s="2">
        <v>20.646197752181099</v>
      </c>
      <c r="BA792" s="2">
        <v>20.3068426507105</v>
      </c>
      <c r="BB792" s="2">
        <v>20.417307757678099</v>
      </c>
      <c r="BC792" s="2">
        <v>20.597592749660901</v>
      </c>
      <c r="BD792" s="2">
        <v>20.4969436992745</v>
      </c>
      <c r="BE792" s="2">
        <v>20.699298555224001</v>
      </c>
      <c r="BF792" s="2">
        <v>20.333964673339999</v>
      </c>
      <c r="BG792" s="2">
        <v>20.549743509964301</v>
      </c>
      <c r="BH792" s="2">
        <v>20.401255169076101</v>
      </c>
      <c r="BI792" s="2">
        <v>20.335458888844599</v>
      </c>
      <c r="BJ792" s="2">
        <v>19.2938562279402</v>
      </c>
      <c r="BK792" s="2">
        <v>20.1222852394428</v>
      </c>
      <c r="BL792" s="2">
        <v>20.5109795881236</v>
      </c>
      <c r="BM792" s="2">
        <v>20.401407264009499</v>
      </c>
      <c r="BN792" s="2">
        <v>20.381178095474301</v>
      </c>
      <c r="BO792" s="2">
        <v>20.495404377743998</v>
      </c>
      <c r="BP792" s="2">
        <v>20.201471344861901</v>
      </c>
      <c r="BQ792" s="2">
        <v>20.1216615630848</v>
      </c>
      <c r="BR792" s="2">
        <v>20.0259527662758</v>
      </c>
      <c r="BS792" s="2">
        <v>19.205630664095601</v>
      </c>
      <c r="BT792" s="2">
        <v>19.280979142754902</v>
      </c>
      <c r="BU792" s="2">
        <v>20.263725610483501</v>
      </c>
      <c r="BV792" s="2">
        <v>20.499885681609399</v>
      </c>
      <c r="BW792" s="2">
        <v>20.229314578644999</v>
      </c>
      <c r="BX792" s="2">
        <v>20.622980908466602</v>
      </c>
      <c r="BY792" s="2">
        <v>20.557494935993301</v>
      </c>
      <c r="BZ792" s="2">
        <v>20.647569446291101</v>
      </c>
      <c r="CA792" s="2">
        <v>20.492084261627099</v>
      </c>
      <c r="CB792" s="2">
        <v>20.537177688397701</v>
      </c>
      <c r="CC792" s="2">
        <v>20.699737790460901</v>
      </c>
      <c r="CD792" s="2">
        <v>20.571191110545399</v>
      </c>
      <c r="CE792" s="2">
        <v>20.250941340138301</v>
      </c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</row>
    <row r="793" spans="1:97">
      <c r="A793" s="2" t="s">
        <v>7509</v>
      </c>
      <c r="B793" s="2">
        <v>509.27462000000003</v>
      </c>
      <c r="C793" s="2">
        <v>7.9850000000000003</v>
      </c>
      <c r="D793" s="2" t="s">
        <v>146</v>
      </c>
      <c r="E793" s="2" t="s">
        <v>7510</v>
      </c>
      <c r="F793" s="2" t="s">
        <v>7511</v>
      </c>
      <c r="G793" s="2">
        <v>18027</v>
      </c>
      <c r="H793" s="3" t="str">
        <f>HYPERLINK("https://cloud.oebiotech.com/#/lm/network/18027", "https://cloud.oebiotech.com/#/lm/network/18027")</f>
        <v>https://cloud.oebiotech.com/#/lm/network/18027</v>
      </c>
      <c r="I793" s="2"/>
      <c r="J793" s="2"/>
      <c r="K793" s="2" t="s">
        <v>7512</v>
      </c>
      <c r="L793" s="2">
        <v>101740647</v>
      </c>
      <c r="M793" s="2"/>
      <c r="N793" s="2"/>
      <c r="O793" s="2"/>
      <c r="P793" s="2"/>
      <c r="Q793" s="2"/>
      <c r="R793" s="2"/>
      <c r="S793" s="2"/>
      <c r="T793" s="2" t="s">
        <v>7513</v>
      </c>
      <c r="U793" s="2" t="s">
        <v>7514</v>
      </c>
      <c r="V793" s="2" t="s">
        <v>95</v>
      </c>
      <c r="W793" s="2" t="s">
        <v>96</v>
      </c>
      <c r="X793" s="2" t="s">
        <v>3216</v>
      </c>
      <c r="Y793" s="2" t="s">
        <v>98</v>
      </c>
      <c r="Z793" s="2" t="s">
        <v>99</v>
      </c>
      <c r="AA793" s="2" t="s">
        <v>3217</v>
      </c>
      <c r="AB793" s="2" t="s">
        <v>3086</v>
      </c>
      <c r="AC793" s="2">
        <v>53.79</v>
      </c>
      <c r="AD793" s="2">
        <v>81.38</v>
      </c>
      <c r="AE793" s="2">
        <v>0</v>
      </c>
      <c r="AF793" s="2" t="s">
        <v>5614</v>
      </c>
      <c r="AG793" s="2" t="s">
        <v>993</v>
      </c>
      <c r="AH793" s="2" t="s">
        <v>7515</v>
      </c>
      <c r="AI793" s="2">
        <v>0.98</v>
      </c>
      <c r="AJ793" s="2">
        <v>16.0996835398666</v>
      </c>
      <c r="AK793" s="2">
        <v>16.3146092643786</v>
      </c>
      <c r="AL793" s="2">
        <v>16.330682162054</v>
      </c>
      <c r="AM793" s="2">
        <v>16.904337674950799</v>
      </c>
      <c r="AN793" s="2">
        <v>16.379745222035002</v>
      </c>
      <c r="AO793" s="2">
        <v>16.8126508879078</v>
      </c>
      <c r="AP793" s="2">
        <v>16.393707855659901</v>
      </c>
      <c r="AQ793" s="2">
        <v>16.9716377382783</v>
      </c>
      <c r="AR793" s="2">
        <v>14.9111953454457</v>
      </c>
      <c r="AS793" s="2">
        <v>13.567164657049499</v>
      </c>
      <c r="AT793" s="2">
        <v>17.6551673902724</v>
      </c>
      <c r="AU793" s="2">
        <v>13.7442136648319</v>
      </c>
      <c r="AV793" s="2">
        <v>17.5046764052322</v>
      </c>
      <c r="AW793" s="2">
        <v>16.6462654782393</v>
      </c>
      <c r="AX793" s="2">
        <v>15.453014962606</v>
      </c>
      <c r="AY793" s="2">
        <v>16.937360485685002</v>
      </c>
      <c r="AZ793" s="2">
        <v>14.863097811388601</v>
      </c>
      <c r="BA793" s="2">
        <v>15.9446953630876</v>
      </c>
      <c r="BB793" s="2">
        <v>16.786657233492001</v>
      </c>
      <c r="BC793" s="2">
        <v>17.6936221902087</v>
      </c>
      <c r="BD793" s="2">
        <v>14.0638441681935</v>
      </c>
      <c r="BE793" s="2">
        <v>19.053638112235198</v>
      </c>
      <c r="BF793" s="2">
        <v>11.670651823666701</v>
      </c>
      <c r="BG793" s="2">
        <v>16.938554699671201</v>
      </c>
      <c r="BH793" s="2">
        <v>17.430429355974599</v>
      </c>
      <c r="BI793" s="2">
        <v>9.6233145402724691</v>
      </c>
      <c r="BJ793" s="2">
        <v>18.5692768125501</v>
      </c>
      <c r="BK793" s="2">
        <v>16.347357343950701</v>
      </c>
      <c r="BL793" s="2">
        <v>17.9784626198261</v>
      </c>
      <c r="BM793" s="2">
        <v>14.873752651687401</v>
      </c>
      <c r="BN793" s="2">
        <v>16.374715691684301</v>
      </c>
      <c r="BO793" s="2">
        <v>14.725989792611999</v>
      </c>
      <c r="BP793" s="2">
        <v>12.687935504962599</v>
      </c>
      <c r="BQ793" s="2">
        <v>15.534011614465101</v>
      </c>
      <c r="BR793" s="2">
        <v>14.571971827396901</v>
      </c>
      <c r="BS793" s="2">
        <v>15.6680179325637</v>
      </c>
      <c r="BT793" s="2">
        <v>14.4592100229248</v>
      </c>
      <c r="BU793" s="2">
        <v>15.802856097570499</v>
      </c>
      <c r="BV793" s="2">
        <v>15.359850773247601</v>
      </c>
      <c r="BW793" s="2">
        <v>14.207127217021799</v>
      </c>
      <c r="BX793" s="2">
        <v>13.034979460078899</v>
      </c>
      <c r="BY793" s="2">
        <v>17.476083313635801</v>
      </c>
      <c r="BZ793" s="2">
        <v>15.968010403029901</v>
      </c>
      <c r="CA793" s="2">
        <v>11.8994022424744</v>
      </c>
      <c r="CB793" s="2">
        <v>16.2255876084036</v>
      </c>
      <c r="CC793" s="2">
        <v>17.383835388459801</v>
      </c>
      <c r="CD793" s="2">
        <v>15.828489080052</v>
      </c>
      <c r="CE793" s="2">
        <v>16.7613383911787</v>
      </c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</row>
    <row r="794" spans="1:97">
      <c r="A794" s="2" t="s">
        <v>7516</v>
      </c>
      <c r="B794" s="2">
        <v>399.32513999999998</v>
      </c>
      <c r="C794" s="2">
        <v>12.323</v>
      </c>
      <c r="D794" s="2" t="s">
        <v>84</v>
      </c>
      <c r="E794" s="2" t="s">
        <v>7517</v>
      </c>
      <c r="F794" s="2" t="s">
        <v>7518</v>
      </c>
      <c r="G794" s="2">
        <v>45325</v>
      </c>
      <c r="H794" s="3" t="str">
        <f>HYPERLINK("https://cloud.oebiotech.com/#/lm/network/45325", "https://cloud.oebiotech.com/#/lm/network/45325")</f>
        <v>https://cloud.oebiotech.com/#/lm/network/45325</v>
      </c>
      <c r="I794" s="2"/>
      <c r="J794" s="2"/>
      <c r="K794" s="2" t="s">
        <v>7519</v>
      </c>
      <c r="L794" s="2">
        <v>5283682</v>
      </c>
      <c r="M794" s="2"/>
      <c r="N794" s="2"/>
      <c r="O794" s="2"/>
      <c r="P794" s="2"/>
      <c r="Q794" s="2"/>
      <c r="R794" s="2"/>
      <c r="S794" s="2"/>
      <c r="T794" s="2" t="s">
        <v>7520</v>
      </c>
      <c r="U794" s="2" t="s">
        <v>7521</v>
      </c>
      <c r="V794" s="2" t="s">
        <v>95</v>
      </c>
      <c r="W794" s="2" t="s">
        <v>152</v>
      </c>
      <c r="X794" s="2" t="s">
        <v>1484</v>
      </c>
      <c r="Y794" s="2" t="s">
        <v>98</v>
      </c>
      <c r="Z794" s="2" t="s">
        <v>154</v>
      </c>
      <c r="AA794" s="2" t="s">
        <v>1485</v>
      </c>
      <c r="AB794" s="2" t="s">
        <v>3086</v>
      </c>
      <c r="AC794" s="2">
        <v>53.78</v>
      </c>
      <c r="AD794" s="2">
        <v>82.49</v>
      </c>
      <c r="AE794" s="2">
        <v>0</v>
      </c>
      <c r="AF794" s="2" t="s">
        <v>5614</v>
      </c>
      <c r="AG794" s="2" t="s">
        <v>103</v>
      </c>
      <c r="AH794" s="2" t="s">
        <v>7522</v>
      </c>
      <c r="AI794" s="2">
        <v>1.5</v>
      </c>
      <c r="AJ794" s="2">
        <v>19.635271778439702</v>
      </c>
      <c r="AK794" s="2">
        <v>19.308346096753599</v>
      </c>
      <c r="AL794" s="2">
        <v>19.032764629252501</v>
      </c>
      <c r="AM794" s="2">
        <v>19.345098790485402</v>
      </c>
      <c r="AN794" s="2">
        <v>19.537285031717399</v>
      </c>
      <c r="AO794" s="2">
        <v>19.496762475053401</v>
      </c>
      <c r="AP794" s="2">
        <v>19.082277862513401</v>
      </c>
      <c r="AQ794" s="2">
        <v>19.734962816412001</v>
      </c>
      <c r="AR794" s="2">
        <v>19.116634643937601</v>
      </c>
      <c r="AS794" s="2">
        <v>18.689275781371499</v>
      </c>
      <c r="AT794" s="2">
        <v>19.6661972294641</v>
      </c>
      <c r="AU794" s="2">
        <v>18.7423611846291</v>
      </c>
      <c r="AV794" s="2">
        <v>18.856012927131701</v>
      </c>
      <c r="AW794" s="2">
        <v>19.033285171890899</v>
      </c>
      <c r="AX794" s="2">
        <v>19.528732102065099</v>
      </c>
      <c r="AY794" s="2">
        <v>18.517475168478999</v>
      </c>
      <c r="AZ794" s="2">
        <v>18.967224541716199</v>
      </c>
      <c r="BA794" s="2">
        <v>19.1043843726125</v>
      </c>
      <c r="BB794" s="2">
        <v>18.805663335382199</v>
      </c>
      <c r="BC794" s="2">
        <v>19.957924670539299</v>
      </c>
      <c r="BD794" s="2">
        <v>19.0632148911616</v>
      </c>
      <c r="BE794" s="2">
        <v>19.9399996081731</v>
      </c>
      <c r="BF794" s="2">
        <v>18.9279130290548</v>
      </c>
      <c r="BG794" s="2">
        <v>19.869177850619501</v>
      </c>
      <c r="BH794" s="2">
        <v>18.7881463518566</v>
      </c>
      <c r="BI794" s="2">
        <v>18.501308980994601</v>
      </c>
      <c r="BJ794" s="2">
        <v>19.347774229018899</v>
      </c>
      <c r="BK794" s="2">
        <v>18.096087750420502</v>
      </c>
      <c r="BL794" s="2">
        <v>20.138803052083301</v>
      </c>
      <c r="BM794" s="2">
        <v>20.0566816477467</v>
      </c>
      <c r="BN794" s="2">
        <v>19.004759718979301</v>
      </c>
      <c r="BO794" s="2">
        <v>18.954749133782201</v>
      </c>
      <c r="BP794" s="2">
        <v>19.876612927197002</v>
      </c>
      <c r="BQ794" s="2">
        <v>19.0316029444366</v>
      </c>
      <c r="BR794" s="2">
        <v>19.196071107851001</v>
      </c>
      <c r="BS794" s="2">
        <v>18.926682581869699</v>
      </c>
      <c r="BT794" s="2">
        <v>19.534594794525301</v>
      </c>
      <c r="BU794" s="2">
        <v>18.935990541932501</v>
      </c>
      <c r="BV794" s="2">
        <v>18.988603562847899</v>
      </c>
      <c r="BW794" s="2">
        <v>18.514334925542499</v>
      </c>
      <c r="BX794" s="2">
        <v>20.249611904715199</v>
      </c>
      <c r="BY794" s="2">
        <v>20.592936844174599</v>
      </c>
      <c r="BZ794" s="2">
        <v>19.230193643873701</v>
      </c>
      <c r="CA794" s="2">
        <v>20.175945384217201</v>
      </c>
      <c r="CB794" s="2">
        <v>18.999039714597501</v>
      </c>
      <c r="CC794" s="2">
        <v>18.757493795706701</v>
      </c>
      <c r="CD794" s="2">
        <v>19.063424180331001</v>
      </c>
      <c r="CE794" s="2">
        <v>19.252915337210901</v>
      </c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</row>
    <row r="795" spans="1:97">
      <c r="A795" s="2" t="s">
        <v>7523</v>
      </c>
      <c r="B795" s="2">
        <v>389.26902000000001</v>
      </c>
      <c r="C795" s="2">
        <v>10.307</v>
      </c>
      <c r="D795" s="2" t="s">
        <v>146</v>
      </c>
      <c r="E795" s="2" t="s">
        <v>7524</v>
      </c>
      <c r="F795" s="2" t="s">
        <v>7525</v>
      </c>
      <c r="G795" s="2">
        <v>46026</v>
      </c>
      <c r="H795" s="3" t="str">
        <f>HYPERLINK("https://cloud.oebiotech.com/#/lm/network/46026", "https://cloud.oebiotech.com/#/lm/network/46026")</f>
        <v>https://cloud.oebiotech.com/#/lm/network/46026</v>
      </c>
      <c r="I795" s="2"/>
      <c r="J795" s="2">
        <v>84478</v>
      </c>
      <c r="K795" s="2" t="s">
        <v>7526</v>
      </c>
      <c r="L795" s="2">
        <v>5283935</v>
      </c>
      <c r="M795" s="2"/>
      <c r="N795" s="2"/>
      <c r="O795" s="2"/>
      <c r="P795" s="2"/>
      <c r="Q795" s="2"/>
      <c r="R795" s="2"/>
      <c r="S795" s="2"/>
      <c r="T795" s="2" t="s">
        <v>7527</v>
      </c>
      <c r="U795" s="2" t="s">
        <v>7528</v>
      </c>
      <c r="V795" s="2" t="s">
        <v>95</v>
      </c>
      <c r="W795" s="2" t="s">
        <v>152</v>
      </c>
      <c r="X795" s="2" t="s">
        <v>278</v>
      </c>
      <c r="Y795" s="2" t="s">
        <v>98</v>
      </c>
      <c r="Z795" s="2" t="s">
        <v>154</v>
      </c>
      <c r="AA795" s="2" t="s">
        <v>279</v>
      </c>
      <c r="AB795" s="2" t="s">
        <v>3086</v>
      </c>
      <c r="AC795" s="2">
        <v>53.76</v>
      </c>
      <c r="AD795" s="2">
        <v>84.78</v>
      </c>
      <c r="AE795" s="2">
        <v>0</v>
      </c>
      <c r="AF795" s="2" t="s">
        <v>5614</v>
      </c>
      <c r="AG795" s="2" t="s">
        <v>194</v>
      </c>
      <c r="AH795" s="2" t="s">
        <v>1837</v>
      </c>
      <c r="AI795" s="2">
        <v>1.8</v>
      </c>
      <c r="AJ795" s="2">
        <v>17.821321636629602</v>
      </c>
      <c r="AK795" s="2">
        <v>17.838616614001101</v>
      </c>
      <c r="AL795" s="2">
        <v>17.523978664568499</v>
      </c>
      <c r="AM795" s="2">
        <v>17.673170475649801</v>
      </c>
      <c r="AN795" s="2">
        <v>17.632673922110101</v>
      </c>
      <c r="AO795" s="2">
        <v>17.490993343986801</v>
      </c>
      <c r="AP795" s="2">
        <v>17.789075789192701</v>
      </c>
      <c r="AQ795" s="2">
        <v>17.856881526966799</v>
      </c>
      <c r="AR795" s="2">
        <v>17.1010338869599</v>
      </c>
      <c r="AS795" s="2">
        <v>14.9026633985616</v>
      </c>
      <c r="AT795" s="2">
        <v>14.6295125848344</v>
      </c>
      <c r="AU795" s="2">
        <v>17.632443533947001</v>
      </c>
      <c r="AV795" s="2">
        <v>19.2252655330247</v>
      </c>
      <c r="AW795" s="2">
        <v>17.957006903464201</v>
      </c>
      <c r="AX795" s="2">
        <v>9.6233145402724691</v>
      </c>
      <c r="AY795" s="2">
        <v>19.977682572708801</v>
      </c>
      <c r="AZ795" s="2">
        <v>17.4548994348003</v>
      </c>
      <c r="BA795" s="2">
        <v>15.866645297705499</v>
      </c>
      <c r="BB795" s="2">
        <v>9.6233145402724691</v>
      </c>
      <c r="BC795" s="2">
        <v>15.2357835187023</v>
      </c>
      <c r="BD795" s="2">
        <v>15.191691951764099</v>
      </c>
      <c r="BE795" s="2">
        <v>20.827741997587498</v>
      </c>
      <c r="BF795" s="2">
        <v>16.1405502135385</v>
      </c>
      <c r="BG795" s="2">
        <v>9.6233145402724691</v>
      </c>
      <c r="BH795" s="2">
        <v>15.5197286909596</v>
      </c>
      <c r="BI795" s="2">
        <v>16.9249804000873</v>
      </c>
      <c r="BJ795" s="2">
        <v>19.100888255669702</v>
      </c>
      <c r="BK795" s="2">
        <v>16.076020768764501</v>
      </c>
      <c r="BL795" s="2">
        <v>17.625246298989801</v>
      </c>
      <c r="BM795" s="2">
        <v>17.143775704235701</v>
      </c>
      <c r="BN795" s="2">
        <v>15.9677089980811</v>
      </c>
      <c r="BO795" s="2">
        <v>17.2146073198337</v>
      </c>
      <c r="BP795" s="2">
        <v>18.955204870581699</v>
      </c>
      <c r="BQ795" s="2">
        <v>18.3062442315784</v>
      </c>
      <c r="BR795" s="2">
        <v>14.940471899462301</v>
      </c>
      <c r="BS795" s="2">
        <v>19.772951161064402</v>
      </c>
      <c r="BT795" s="2">
        <v>16.311772435393099</v>
      </c>
      <c r="BU795" s="2">
        <v>15.8075921481971</v>
      </c>
      <c r="BV795" s="2">
        <v>13.4885519125549</v>
      </c>
      <c r="BW795" s="2">
        <v>13.187064371619501</v>
      </c>
      <c r="BX795" s="2">
        <v>15.202649200433299</v>
      </c>
      <c r="BY795" s="2">
        <v>20.0621312348391</v>
      </c>
      <c r="BZ795" s="2">
        <v>14.955886886682899</v>
      </c>
      <c r="CA795" s="2">
        <v>13.4042142123758</v>
      </c>
      <c r="CB795" s="2">
        <v>17.368306262767899</v>
      </c>
      <c r="CC795" s="2">
        <v>16.259247104869299</v>
      </c>
      <c r="CD795" s="2">
        <v>18.127635193966299</v>
      </c>
      <c r="CE795" s="2">
        <v>14.861043275445301</v>
      </c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</row>
    <row r="796" spans="1:97">
      <c r="A796" s="2" t="s">
        <v>7529</v>
      </c>
      <c r="B796" s="2">
        <v>237.11283</v>
      </c>
      <c r="C796" s="2">
        <v>6.9820000000000002</v>
      </c>
      <c r="D796" s="2" t="s">
        <v>146</v>
      </c>
      <c r="E796" s="2" t="s">
        <v>7530</v>
      </c>
      <c r="F796" s="2" t="s">
        <v>7531</v>
      </c>
      <c r="G796" s="2">
        <v>60410</v>
      </c>
      <c r="H796" s="3" t="str">
        <f>HYPERLINK("https://cloud.oebiotech.com/#/lm/network/60410", "https://cloud.oebiotech.com/#/lm/network/60410")</f>
        <v>https://cloud.oebiotech.com/#/lm/network/60410</v>
      </c>
      <c r="I796" s="2" t="s">
        <v>7532</v>
      </c>
      <c r="J796" s="2">
        <v>91762</v>
      </c>
      <c r="K796" s="2"/>
      <c r="L796" s="2">
        <v>591228</v>
      </c>
      <c r="M796" s="2"/>
      <c r="N796" s="2"/>
      <c r="O796" s="2"/>
      <c r="P796" s="2"/>
      <c r="Q796" s="2"/>
      <c r="R796" s="2"/>
      <c r="S796" s="2" t="s">
        <v>7533</v>
      </c>
      <c r="T796" s="2" t="s">
        <v>7534</v>
      </c>
      <c r="U796" s="2" t="s">
        <v>7535</v>
      </c>
      <c r="V796" s="2" t="s">
        <v>338</v>
      </c>
      <c r="W796" s="2" t="s">
        <v>339</v>
      </c>
      <c r="X796" s="2" t="s">
        <v>340</v>
      </c>
      <c r="Y796" s="2" t="s">
        <v>341</v>
      </c>
      <c r="Z796" s="2" t="s">
        <v>341</v>
      </c>
      <c r="AA796" s="2" t="s">
        <v>342</v>
      </c>
      <c r="AB796" s="2" t="s">
        <v>3086</v>
      </c>
      <c r="AC796" s="2">
        <v>53.74</v>
      </c>
      <c r="AD796" s="2">
        <v>91.56</v>
      </c>
      <c r="AE796" s="2">
        <v>0</v>
      </c>
      <c r="AF796" s="2" t="s">
        <v>5614</v>
      </c>
      <c r="AG796" s="2" t="s">
        <v>157</v>
      </c>
      <c r="AH796" s="2" t="s">
        <v>7536</v>
      </c>
      <c r="AI796" s="2">
        <v>1.69</v>
      </c>
      <c r="AJ796" s="2">
        <v>16.5804926566387</v>
      </c>
      <c r="AK796" s="2">
        <v>17.017423060184999</v>
      </c>
      <c r="AL796" s="2">
        <v>17.4121018939639</v>
      </c>
      <c r="AM796" s="2">
        <v>16.5722231074134</v>
      </c>
      <c r="AN796" s="2">
        <v>17.080277081817002</v>
      </c>
      <c r="AO796" s="2">
        <v>16.913396093934601</v>
      </c>
      <c r="AP796" s="2">
        <v>16.645945316256999</v>
      </c>
      <c r="AQ796" s="2">
        <v>17.257181283981598</v>
      </c>
      <c r="AR796" s="2">
        <v>18.040678589584701</v>
      </c>
      <c r="AS796" s="2">
        <v>15.462211480428101</v>
      </c>
      <c r="AT796" s="2">
        <v>14.5337531332894</v>
      </c>
      <c r="AU796" s="2">
        <v>15.886867325210901</v>
      </c>
      <c r="AV796" s="2">
        <v>16.4648298518559</v>
      </c>
      <c r="AW796" s="2">
        <v>18.510696841299399</v>
      </c>
      <c r="AX796" s="2">
        <v>16.5553158913103</v>
      </c>
      <c r="AY796" s="2">
        <v>17.172666290699201</v>
      </c>
      <c r="AZ796" s="2">
        <v>15.909763964659399</v>
      </c>
      <c r="BA796" s="2">
        <v>15.1023378581143</v>
      </c>
      <c r="BB796" s="2">
        <v>15.6850222222757</v>
      </c>
      <c r="BC796" s="2">
        <v>16.5048343465937</v>
      </c>
      <c r="BD796" s="2">
        <v>16.389612855115999</v>
      </c>
      <c r="BE796" s="2">
        <v>17.7945940598633</v>
      </c>
      <c r="BF796" s="2">
        <v>16.556213396669801</v>
      </c>
      <c r="BG796" s="2">
        <v>16.819878577478502</v>
      </c>
      <c r="BH796" s="2">
        <v>16.362528790727801</v>
      </c>
      <c r="BI796" s="2">
        <v>16.375302851232998</v>
      </c>
      <c r="BJ796" s="2">
        <v>15.6647419824659</v>
      </c>
      <c r="BK796" s="2">
        <v>17.1572779453819</v>
      </c>
      <c r="BL796" s="2">
        <v>16.473332694465</v>
      </c>
      <c r="BM796" s="2">
        <v>15.6775718304908</v>
      </c>
      <c r="BN796" s="2">
        <v>18.804147095585002</v>
      </c>
      <c r="BO796" s="2">
        <v>16.9116246467288</v>
      </c>
      <c r="BP796" s="2">
        <v>15.881064238091</v>
      </c>
      <c r="BQ796" s="2">
        <v>14.8935338073011</v>
      </c>
      <c r="BR796" s="2">
        <v>17.158916528050799</v>
      </c>
      <c r="BS796" s="2">
        <v>18.316674506538401</v>
      </c>
      <c r="BT796" s="2">
        <v>16.487732970525801</v>
      </c>
      <c r="BU796" s="2">
        <v>17.039386255267502</v>
      </c>
      <c r="BV796" s="2">
        <v>17.639185661482902</v>
      </c>
      <c r="BW796" s="2">
        <v>15.0418233959925</v>
      </c>
      <c r="BX796" s="2">
        <v>15.576503242482399</v>
      </c>
      <c r="BY796" s="2">
        <v>18.557987594595598</v>
      </c>
      <c r="BZ796" s="2">
        <v>15.754350200681399</v>
      </c>
      <c r="CA796" s="2">
        <v>16.6566163328072</v>
      </c>
      <c r="CB796" s="2">
        <v>16.0976741620015</v>
      </c>
      <c r="CC796" s="2">
        <v>18.751002927363299</v>
      </c>
      <c r="CD796" s="2">
        <v>17.0600510790238</v>
      </c>
      <c r="CE796" s="2">
        <v>19.374847585745002</v>
      </c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</row>
    <row r="797" spans="1:97">
      <c r="A797" s="2" t="s">
        <v>7537</v>
      </c>
      <c r="B797" s="2">
        <v>433.33159000000001</v>
      </c>
      <c r="C797" s="2">
        <v>12.771000000000001</v>
      </c>
      <c r="D797" s="2" t="s">
        <v>146</v>
      </c>
      <c r="E797" s="2" t="s">
        <v>7538</v>
      </c>
      <c r="F797" s="2" t="s">
        <v>7539</v>
      </c>
      <c r="G797" s="2">
        <v>45725</v>
      </c>
      <c r="H797" s="3" t="str">
        <f>HYPERLINK("https://cloud.oebiotech.com/#/lm/network/45725", "https://cloud.oebiotech.com/#/lm/network/45725")</f>
        <v>https://cloud.oebiotech.com/#/lm/network/45725</v>
      </c>
      <c r="I797" s="2"/>
      <c r="J797" s="2"/>
      <c r="K797" s="2" t="s">
        <v>7540</v>
      </c>
      <c r="L797" s="2">
        <v>9547657</v>
      </c>
      <c r="M797" s="2"/>
      <c r="N797" s="2"/>
      <c r="O797" s="2"/>
      <c r="P797" s="2"/>
      <c r="Q797" s="2"/>
      <c r="R797" s="2"/>
      <c r="S797" s="2"/>
      <c r="T797" s="2" t="s">
        <v>7541</v>
      </c>
      <c r="U797" s="2" t="s">
        <v>7542</v>
      </c>
      <c r="V797" s="2" t="s">
        <v>95</v>
      </c>
      <c r="W797" s="2" t="s">
        <v>152</v>
      </c>
      <c r="X797" s="2" t="s">
        <v>1484</v>
      </c>
      <c r="Y797" s="2" t="s">
        <v>98</v>
      </c>
      <c r="Z797" s="2" t="s">
        <v>154</v>
      </c>
      <c r="AA797" s="2" t="s">
        <v>1485</v>
      </c>
      <c r="AB797" s="2" t="s">
        <v>3086</v>
      </c>
      <c r="AC797" s="2">
        <v>53.74</v>
      </c>
      <c r="AD797" s="2">
        <v>82.7</v>
      </c>
      <c r="AE797" s="2">
        <v>0</v>
      </c>
      <c r="AF797" s="2" t="s">
        <v>5614</v>
      </c>
      <c r="AG797" s="2" t="s">
        <v>157</v>
      </c>
      <c r="AH797" s="2" t="s">
        <v>7543</v>
      </c>
      <c r="AI797" s="2">
        <v>1.62</v>
      </c>
      <c r="AJ797" s="2">
        <v>18.811797217792101</v>
      </c>
      <c r="AK797" s="2">
        <v>18.9432698061797</v>
      </c>
      <c r="AL797" s="2">
        <v>18.413552979519501</v>
      </c>
      <c r="AM797" s="2">
        <v>18.383159576662301</v>
      </c>
      <c r="AN797" s="2">
        <v>18.746409774707001</v>
      </c>
      <c r="AO797" s="2">
        <v>18.517215399188199</v>
      </c>
      <c r="AP797" s="2">
        <v>18.685603522424799</v>
      </c>
      <c r="AQ797" s="2">
        <v>18.400928662942199</v>
      </c>
      <c r="AR797" s="2">
        <v>18.601737968521</v>
      </c>
      <c r="AS797" s="2">
        <v>18.553749086084402</v>
      </c>
      <c r="AT797" s="2">
        <v>17.7594205601625</v>
      </c>
      <c r="AU797" s="2">
        <v>17.452353624803202</v>
      </c>
      <c r="AV797" s="2">
        <v>17.888161388200299</v>
      </c>
      <c r="AW797" s="2">
        <v>18.3311451689218</v>
      </c>
      <c r="AX797" s="2">
        <v>17.7945665834526</v>
      </c>
      <c r="AY797" s="2">
        <v>18.949270344448902</v>
      </c>
      <c r="AZ797" s="2">
        <v>18.829915630631401</v>
      </c>
      <c r="BA797" s="2">
        <v>18.464682145188899</v>
      </c>
      <c r="BB797" s="2">
        <v>18.753377904510099</v>
      </c>
      <c r="BC797" s="2">
        <v>17.604205500103699</v>
      </c>
      <c r="BD797" s="2">
        <v>18.362092019889001</v>
      </c>
      <c r="BE797" s="2">
        <v>18.3543950200451</v>
      </c>
      <c r="BF797" s="2">
        <v>17.310218152017999</v>
      </c>
      <c r="BG797" s="2">
        <v>17.2704724582516</v>
      </c>
      <c r="BH797" s="2">
        <v>18.333902715972901</v>
      </c>
      <c r="BI797" s="2">
        <v>17.803348517105199</v>
      </c>
      <c r="BJ797" s="2">
        <v>17.985303515840901</v>
      </c>
      <c r="BK797" s="2">
        <v>17.9416660058939</v>
      </c>
      <c r="BL797" s="2">
        <v>19.097037604436</v>
      </c>
      <c r="BM797" s="2">
        <v>19.129488195935899</v>
      </c>
      <c r="BN797" s="2">
        <v>17.95230205276</v>
      </c>
      <c r="BO797" s="2">
        <v>17.970246631467798</v>
      </c>
      <c r="BP797" s="2">
        <v>17.8958717901121</v>
      </c>
      <c r="BQ797" s="2">
        <v>17.993850737584701</v>
      </c>
      <c r="BR797" s="2">
        <v>17.669852392072201</v>
      </c>
      <c r="BS797" s="2">
        <v>19.111259738222302</v>
      </c>
      <c r="BT797" s="2">
        <v>18.8099393820697</v>
      </c>
      <c r="BU797" s="2">
        <v>18.460972680404399</v>
      </c>
      <c r="BV797" s="2">
        <v>18.514101527569601</v>
      </c>
      <c r="BW797" s="2">
        <v>17.745930443704701</v>
      </c>
      <c r="BX797" s="2">
        <v>18.228198931146402</v>
      </c>
      <c r="BY797" s="2">
        <v>19.067392343164201</v>
      </c>
      <c r="BZ797" s="2">
        <v>16.7024020121349</v>
      </c>
      <c r="CA797" s="2">
        <v>17.704452561262499</v>
      </c>
      <c r="CB797" s="2">
        <v>18.513055223399199</v>
      </c>
      <c r="CC797" s="2">
        <v>17.637783827326501</v>
      </c>
      <c r="CD797" s="2">
        <v>19.454018494112098</v>
      </c>
      <c r="CE797" s="2">
        <v>18.653628973344599</v>
      </c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</row>
    <row r="798" spans="1:97">
      <c r="A798" s="2" t="s">
        <v>7544</v>
      </c>
      <c r="B798" s="2">
        <v>154.04722000000001</v>
      </c>
      <c r="C798" s="2">
        <v>1.1080000000000001</v>
      </c>
      <c r="D798" s="2" t="s">
        <v>84</v>
      </c>
      <c r="E798" s="2" t="s">
        <v>7545</v>
      </c>
      <c r="F798" s="2" t="s">
        <v>7546</v>
      </c>
      <c r="G798" s="2">
        <v>2163</v>
      </c>
      <c r="H798" s="3" t="str">
        <f>HYPERLINK("https://cloud.oebiotech.com/#/lm/network/2163", "https://cloud.oebiotech.com/#/lm/network/2163")</f>
        <v>https://cloud.oebiotech.com/#/lm/network/2163</v>
      </c>
      <c r="I798" s="2" t="s">
        <v>7547</v>
      </c>
      <c r="J798" s="2">
        <v>35853</v>
      </c>
      <c r="K798" s="2" t="s">
        <v>7548</v>
      </c>
      <c r="L798" s="2">
        <v>439402</v>
      </c>
      <c r="M798" s="2" t="s">
        <v>7549</v>
      </c>
      <c r="N798" s="2" t="s">
        <v>110</v>
      </c>
      <c r="O798" s="2" t="s">
        <v>111</v>
      </c>
      <c r="P798" s="2">
        <v>49268</v>
      </c>
      <c r="Q798" s="2"/>
      <c r="R798" s="2"/>
      <c r="S798" s="2"/>
      <c r="T798" s="2" t="s">
        <v>7550</v>
      </c>
      <c r="U798" s="2" t="s">
        <v>7551</v>
      </c>
      <c r="V798" s="2" t="s">
        <v>115</v>
      </c>
      <c r="W798" s="2" t="s">
        <v>403</v>
      </c>
      <c r="X798" s="2" t="s">
        <v>1905</v>
      </c>
      <c r="Y798" s="2" t="s">
        <v>118</v>
      </c>
      <c r="Z798" s="2" t="s">
        <v>405</v>
      </c>
      <c r="AA798" s="2" t="s">
        <v>1906</v>
      </c>
      <c r="AB798" s="2" t="s">
        <v>3086</v>
      </c>
      <c r="AC798" s="2">
        <v>53.71</v>
      </c>
      <c r="AD798" s="2">
        <v>90.15</v>
      </c>
      <c r="AE798" s="2">
        <v>0</v>
      </c>
      <c r="AF798" s="2" t="s">
        <v>7552</v>
      </c>
      <c r="AG798" s="2" t="s">
        <v>1578</v>
      </c>
      <c r="AH798" s="2" t="s">
        <v>1813</v>
      </c>
      <c r="AI798" s="2">
        <v>1.95</v>
      </c>
      <c r="AJ798" s="2">
        <v>23.085010070195899</v>
      </c>
      <c r="AK798" s="2">
        <v>22.9125065526074</v>
      </c>
      <c r="AL798" s="2">
        <v>23.050028604283401</v>
      </c>
      <c r="AM798" s="2">
        <v>23.082811149984199</v>
      </c>
      <c r="AN798" s="2">
        <v>23.0613111936138</v>
      </c>
      <c r="AO798" s="2">
        <v>22.9891211713141</v>
      </c>
      <c r="AP798" s="2">
        <v>22.857353617844002</v>
      </c>
      <c r="AQ798" s="2">
        <v>22.940864020791601</v>
      </c>
      <c r="AR798" s="2">
        <v>22.160138399238999</v>
      </c>
      <c r="AS798" s="2">
        <v>22.3568724832759</v>
      </c>
      <c r="AT798" s="2">
        <v>21.6584823619398</v>
      </c>
      <c r="AU798" s="2">
        <v>22.6912743529465</v>
      </c>
      <c r="AV798" s="2">
        <v>22.698095830566398</v>
      </c>
      <c r="AW798" s="2">
        <v>22.428396613515702</v>
      </c>
      <c r="AX798" s="2">
        <v>23.582584356042201</v>
      </c>
      <c r="AY798" s="2">
        <v>22.042854090901699</v>
      </c>
      <c r="AZ798" s="2">
        <v>20.613117747087799</v>
      </c>
      <c r="BA798" s="2">
        <v>22.993303781695101</v>
      </c>
      <c r="BB798" s="2">
        <v>23.1597727624806</v>
      </c>
      <c r="BC798" s="2">
        <v>22.560995922279002</v>
      </c>
      <c r="BD798" s="2">
        <v>22.5170384656215</v>
      </c>
      <c r="BE798" s="2">
        <v>22.556519402035299</v>
      </c>
      <c r="BF798" s="2">
        <v>22.288491621692501</v>
      </c>
      <c r="BG798" s="2">
        <v>23.648389148738101</v>
      </c>
      <c r="BH798" s="2">
        <v>22.7269000292351</v>
      </c>
      <c r="BI798" s="2">
        <v>22.946839979117101</v>
      </c>
      <c r="BJ798" s="2">
        <v>22.5966233499189</v>
      </c>
      <c r="BK798" s="2">
        <v>23.843264171565</v>
      </c>
      <c r="BL798" s="2">
        <v>22.331511846664299</v>
      </c>
      <c r="BM798" s="2">
        <v>22.723193534001499</v>
      </c>
      <c r="BN798" s="2">
        <v>22.218101849679599</v>
      </c>
      <c r="BO798" s="2">
        <v>23.278808642933502</v>
      </c>
      <c r="BP798" s="2">
        <v>24.152397669152901</v>
      </c>
      <c r="BQ798" s="2">
        <v>22.567727076812499</v>
      </c>
      <c r="BR798" s="2">
        <v>23.233024274993799</v>
      </c>
      <c r="BS798" s="2">
        <v>22.241577637795601</v>
      </c>
      <c r="BT798" s="2">
        <v>21.962117063162601</v>
      </c>
      <c r="BU798" s="2">
        <v>22.944004573141701</v>
      </c>
      <c r="BV798" s="2">
        <v>22.905999151100499</v>
      </c>
      <c r="BW798" s="2">
        <v>22.3944213539068</v>
      </c>
      <c r="BX798" s="2">
        <v>20.9136744499807</v>
      </c>
      <c r="BY798" s="2">
        <v>23.266158901409302</v>
      </c>
      <c r="BZ798" s="2">
        <v>22.776652840228799</v>
      </c>
      <c r="CA798" s="2">
        <v>23.272777253032299</v>
      </c>
      <c r="CB798" s="2">
        <v>22.620655398733899</v>
      </c>
      <c r="CC798" s="2">
        <v>22.3476445262699</v>
      </c>
      <c r="CD798" s="2">
        <v>23.139500626138901</v>
      </c>
      <c r="CE798" s="2">
        <v>23.394755000135099</v>
      </c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</row>
    <row r="799" spans="1:97">
      <c r="A799" s="2" t="s">
        <v>7553</v>
      </c>
      <c r="B799" s="2">
        <v>247.12852000000001</v>
      </c>
      <c r="C799" s="2">
        <v>3.645</v>
      </c>
      <c r="D799" s="2" t="s">
        <v>84</v>
      </c>
      <c r="E799" s="2" t="s">
        <v>7554</v>
      </c>
      <c r="F799" s="2" t="s">
        <v>7555</v>
      </c>
      <c r="G799" s="2">
        <v>51184</v>
      </c>
      <c r="H799" s="3" t="str">
        <f>HYPERLINK("https://cloud.oebiotech.com/#/lm/network/51184", "https://cloud.oebiotech.com/#/lm/network/51184")</f>
        <v>https://cloud.oebiotech.com/#/lm/network/51184</v>
      </c>
      <c r="I799" s="2" t="s">
        <v>7556</v>
      </c>
      <c r="J799" s="2">
        <v>62015</v>
      </c>
      <c r="K799" s="2"/>
      <c r="L799" s="2">
        <v>3549397</v>
      </c>
      <c r="M799" s="2"/>
      <c r="N799" s="2"/>
      <c r="O799" s="2"/>
      <c r="P799" s="2"/>
      <c r="Q799" s="2"/>
      <c r="R799" s="2"/>
      <c r="S799" s="2"/>
      <c r="T799" s="2" t="s">
        <v>7557</v>
      </c>
      <c r="U799" s="2" t="s">
        <v>7558</v>
      </c>
      <c r="V799" s="2" t="s">
        <v>115</v>
      </c>
      <c r="W799" s="2" t="s">
        <v>7559</v>
      </c>
      <c r="X799" s="2" t="s">
        <v>7560</v>
      </c>
      <c r="Y799" s="2" t="s">
        <v>118</v>
      </c>
      <c r="Z799" s="2" t="s">
        <v>7561</v>
      </c>
      <c r="AA799" s="2" t="s">
        <v>7562</v>
      </c>
      <c r="AB799" s="2" t="s">
        <v>3086</v>
      </c>
      <c r="AC799" s="2">
        <v>53.7</v>
      </c>
      <c r="AD799" s="2">
        <v>93.28</v>
      </c>
      <c r="AE799" s="2">
        <v>0</v>
      </c>
      <c r="AF799" s="2" t="s">
        <v>5614</v>
      </c>
      <c r="AG799" s="2" t="s">
        <v>103</v>
      </c>
      <c r="AH799" s="2" t="s">
        <v>2185</v>
      </c>
      <c r="AI799" s="2">
        <v>1.21</v>
      </c>
      <c r="AJ799" s="2">
        <v>18.222307194044902</v>
      </c>
      <c r="AK799" s="2">
        <v>18.713003422745199</v>
      </c>
      <c r="AL799" s="2">
        <v>18.630905487263401</v>
      </c>
      <c r="AM799" s="2">
        <v>18.094883706981602</v>
      </c>
      <c r="AN799" s="2">
        <v>18.180575045921302</v>
      </c>
      <c r="AO799" s="2">
        <v>18.214005954515301</v>
      </c>
      <c r="AP799" s="2">
        <v>18.788558910769801</v>
      </c>
      <c r="AQ799" s="2">
        <v>18.349523909773598</v>
      </c>
      <c r="AR799" s="2">
        <v>17.962198906282101</v>
      </c>
      <c r="AS799" s="2">
        <v>15.7509510954457</v>
      </c>
      <c r="AT799" s="2">
        <v>14.441682400404099</v>
      </c>
      <c r="AU799" s="2">
        <v>16.663070767676501</v>
      </c>
      <c r="AV799" s="2">
        <v>19.164629418983999</v>
      </c>
      <c r="AW799" s="2">
        <v>19.0710005524945</v>
      </c>
      <c r="AX799" s="2">
        <v>18.897327887066901</v>
      </c>
      <c r="AY799" s="2">
        <v>17.428046381201</v>
      </c>
      <c r="AZ799" s="2">
        <v>19.315844679081</v>
      </c>
      <c r="BA799" s="2">
        <v>16.879859375999001</v>
      </c>
      <c r="BB799" s="2">
        <v>18.5250237724238</v>
      </c>
      <c r="BC799" s="2">
        <v>9.6233145402724691</v>
      </c>
      <c r="BD799" s="2">
        <v>18.629394296504501</v>
      </c>
      <c r="BE799" s="2">
        <v>16.450263387933902</v>
      </c>
      <c r="BF799" s="2">
        <v>19.0727389568581</v>
      </c>
      <c r="BG799" s="2">
        <v>18.606133062264</v>
      </c>
      <c r="BH799" s="2">
        <v>17.782018023463198</v>
      </c>
      <c r="BI799" s="2">
        <v>18.314058626658699</v>
      </c>
      <c r="BJ799" s="2">
        <v>18.0176401041013</v>
      </c>
      <c r="BK799" s="2">
        <v>19.124399147888901</v>
      </c>
      <c r="BL799" s="2">
        <v>17.745095622751901</v>
      </c>
      <c r="BM799" s="2">
        <v>19.021506566620801</v>
      </c>
      <c r="BN799" s="2">
        <v>18.310945816205098</v>
      </c>
      <c r="BO799" s="2">
        <v>16.9981971562521</v>
      </c>
      <c r="BP799" s="2">
        <v>18.523554911630399</v>
      </c>
      <c r="BQ799" s="2">
        <v>18.362891224678599</v>
      </c>
      <c r="BR799" s="2">
        <v>17.922096895132299</v>
      </c>
      <c r="BS799" s="2">
        <v>18.635457077217499</v>
      </c>
      <c r="BT799" s="2">
        <v>18.810835658264001</v>
      </c>
      <c r="BU799" s="2">
        <v>18.058562510970798</v>
      </c>
      <c r="BV799" s="2">
        <v>16.753175216767801</v>
      </c>
      <c r="BW799" s="2">
        <v>13.6594764108667</v>
      </c>
      <c r="BX799" s="2">
        <v>19.689311174207301</v>
      </c>
      <c r="BY799" s="2">
        <v>17.225737935844801</v>
      </c>
      <c r="BZ799" s="2">
        <v>18.347220684449201</v>
      </c>
      <c r="CA799" s="2">
        <v>15.6416775413132</v>
      </c>
      <c r="CB799" s="2">
        <v>18.387584925137801</v>
      </c>
      <c r="CC799" s="2">
        <v>19.556222510381701</v>
      </c>
      <c r="CD799" s="2">
        <v>18.299622840911599</v>
      </c>
      <c r="CE799" s="2">
        <v>19.370375801698</v>
      </c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</row>
    <row r="800" spans="1:97">
      <c r="A800" s="2" t="s">
        <v>7563</v>
      </c>
      <c r="B800" s="2">
        <v>302.2321</v>
      </c>
      <c r="C800" s="2">
        <v>6.5270000000000001</v>
      </c>
      <c r="D800" s="2" t="s">
        <v>84</v>
      </c>
      <c r="E800" s="2" t="s">
        <v>7564</v>
      </c>
      <c r="F800" s="2" t="s">
        <v>7565</v>
      </c>
      <c r="G800" s="2">
        <v>197607</v>
      </c>
      <c r="H800" s="3" t="str">
        <f>HYPERLINK("https://cloud.oebiotech.com/#/lm/network/197607", "https://cloud.oebiotech.com/#/lm/network/197607")</f>
        <v>https://cloud.oebiotech.com/#/lm/network/197607</v>
      </c>
      <c r="I800" s="2" t="s">
        <v>7566</v>
      </c>
      <c r="J800" s="2"/>
      <c r="K800" s="2"/>
      <c r="L800" s="2">
        <v>134160342</v>
      </c>
      <c r="M800" s="2"/>
      <c r="N800" s="2"/>
      <c r="O800" s="2"/>
      <c r="P800" s="2">
        <v>140732</v>
      </c>
      <c r="Q800" s="2"/>
      <c r="R800" s="2"/>
      <c r="S800" s="2"/>
      <c r="T800" s="2" t="s">
        <v>7567</v>
      </c>
      <c r="U800" s="2" t="s">
        <v>7568</v>
      </c>
      <c r="V800" s="2" t="s">
        <v>95</v>
      </c>
      <c r="W800" s="2" t="s">
        <v>96</v>
      </c>
      <c r="X800" s="2" t="s">
        <v>97</v>
      </c>
      <c r="Y800" s="2" t="s">
        <v>98</v>
      </c>
      <c r="Z800" s="2" t="s">
        <v>99</v>
      </c>
      <c r="AA800" s="2" t="s">
        <v>100</v>
      </c>
      <c r="AB800" s="2" t="s">
        <v>3086</v>
      </c>
      <c r="AC800" s="2">
        <v>53.69</v>
      </c>
      <c r="AD800" s="2">
        <v>89.47</v>
      </c>
      <c r="AE800" s="2">
        <v>0</v>
      </c>
      <c r="AF800" s="2" t="s">
        <v>5614</v>
      </c>
      <c r="AG800" s="2" t="s">
        <v>103</v>
      </c>
      <c r="AH800" s="2" t="s">
        <v>7569</v>
      </c>
      <c r="AI800" s="2">
        <v>1.65</v>
      </c>
      <c r="AJ800" s="2">
        <v>17.515651719931199</v>
      </c>
      <c r="AK800" s="2">
        <v>17.506546698276999</v>
      </c>
      <c r="AL800" s="2">
        <v>17.680608619110501</v>
      </c>
      <c r="AM800" s="2">
        <v>17.198755705424102</v>
      </c>
      <c r="AN800" s="2">
        <v>16.7597781984928</v>
      </c>
      <c r="AO800" s="2">
        <v>17.507643525833</v>
      </c>
      <c r="AP800" s="2">
        <v>17.500695869613399</v>
      </c>
      <c r="AQ800" s="2">
        <v>17.1457156616558</v>
      </c>
      <c r="AR800" s="2">
        <v>15.205483620047699</v>
      </c>
      <c r="AS800" s="2">
        <v>15.7514784187372</v>
      </c>
      <c r="AT800" s="2">
        <v>16.1880973555891</v>
      </c>
      <c r="AU800" s="2">
        <v>17.0879473738031</v>
      </c>
      <c r="AV800" s="2">
        <v>15.681299364795001</v>
      </c>
      <c r="AW800" s="2">
        <v>17.123038642017299</v>
      </c>
      <c r="AX800" s="2">
        <v>16.6905460008281</v>
      </c>
      <c r="AY800" s="2">
        <v>17.227129955952599</v>
      </c>
      <c r="AZ800" s="2">
        <v>14.3996911512503</v>
      </c>
      <c r="BA800" s="2">
        <v>15.712497176839401</v>
      </c>
      <c r="BB800" s="2">
        <v>19.615928658889999</v>
      </c>
      <c r="BC800" s="2">
        <v>18.063273464639199</v>
      </c>
      <c r="BD800" s="2">
        <v>15.188383692125401</v>
      </c>
      <c r="BE800" s="2">
        <v>17.308095810849402</v>
      </c>
      <c r="BF800" s="2">
        <v>17.170082709321001</v>
      </c>
      <c r="BG800" s="2">
        <v>18.980862417964399</v>
      </c>
      <c r="BH800" s="2">
        <v>16.680583690884099</v>
      </c>
      <c r="BI800" s="2">
        <v>17.8240930825569</v>
      </c>
      <c r="BJ800" s="2">
        <v>16.555952424402498</v>
      </c>
      <c r="BK800" s="2">
        <v>14.983751164859401</v>
      </c>
      <c r="BL800" s="2">
        <v>17.804185610383399</v>
      </c>
      <c r="BM800" s="2">
        <v>16.379437090442</v>
      </c>
      <c r="BN800" s="2">
        <v>16.6325577741556</v>
      </c>
      <c r="BO800" s="2">
        <v>18.381491284216398</v>
      </c>
      <c r="BP800" s="2">
        <v>17.814195530834901</v>
      </c>
      <c r="BQ800" s="2">
        <v>17.8790818877197</v>
      </c>
      <c r="BR800" s="2">
        <v>17.7542279164193</v>
      </c>
      <c r="BS800" s="2">
        <v>17.089165443721299</v>
      </c>
      <c r="BT800" s="2">
        <v>17.3192156503865</v>
      </c>
      <c r="BU800" s="2">
        <v>17.135753367779401</v>
      </c>
      <c r="BV800" s="2">
        <v>19.335093564792398</v>
      </c>
      <c r="BW800" s="2">
        <v>16.5890199464008</v>
      </c>
      <c r="BX800" s="2">
        <v>16.846628835514899</v>
      </c>
      <c r="BY800" s="2">
        <v>16.776047940223702</v>
      </c>
      <c r="BZ800" s="2">
        <v>18.400813992651599</v>
      </c>
      <c r="CA800" s="2">
        <v>16.335385469398702</v>
      </c>
      <c r="CB800" s="2">
        <v>16.0666768058237</v>
      </c>
      <c r="CC800" s="2">
        <v>16.462570648178101</v>
      </c>
      <c r="CD800" s="2">
        <v>16.673085983911999</v>
      </c>
      <c r="CE800" s="2">
        <v>17.778777292644001</v>
      </c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</row>
    <row r="801" spans="1:97">
      <c r="A801" s="2" t="s">
        <v>7570</v>
      </c>
      <c r="B801" s="2">
        <v>173.05635000000001</v>
      </c>
      <c r="C801" s="2">
        <v>1.0640000000000001</v>
      </c>
      <c r="D801" s="2" t="s">
        <v>146</v>
      </c>
      <c r="E801" s="2" t="s">
        <v>7571</v>
      </c>
      <c r="F801" s="2" t="s">
        <v>7572</v>
      </c>
      <c r="G801" s="2">
        <v>213058</v>
      </c>
      <c r="H801" s="3" t="str">
        <f>HYPERLINK("https://cloud.oebiotech.com/#/lm/network/213058", "https://cloud.oebiotech.com/#/lm/network/213058")</f>
        <v>https://cloud.oebiotech.com/#/lm/network/213058</v>
      </c>
      <c r="I801" s="2" t="s">
        <v>7573</v>
      </c>
      <c r="J801" s="2"/>
      <c r="K801" s="2"/>
      <c r="L801" s="2"/>
      <c r="M801" s="2"/>
      <c r="N801" s="2"/>
      <c r="O801" s="2"/>
      <c r="P801" s="2">
        <v>27292</v>
      </c>
      <c r="Q801" s="2"/>
      <c r="R801" s="2"/>
      <c r="S801" s="2"/>
      <c r="T801" s="2" t="s">
        <v>7574</v>
      </c>
      <c r="U801" s="2" t="s">
        <v>7575</v>
      </c>
      <c r="V801" s="2" t="s">
        <v>115</v>
      </c>
      <c r="W801" s="2" t="s">
        <v>116</v>
      </c>
      <c r="X801" s="2" t="s">
        <v>117</v>
      </c>
      <c r="Y801" s="2" t="s">
        <v>118</v>
      </c>
      <c r="Z801" s="2" t="s">
        <v>119</v>
      </c>
      <c r="AA801" s="2" t="s">
        <v>120</v>
      </c>
      <c r="AB801" s="2" t="s">
        <v>3086</v>
      </c>
      <c r="AC801" s="2">
        <v>53.68</v>
      </c>
      <c r="AD801" s="2">
        <v>95.5</v>
      </c>
      <c r="AE801" s="2">
        <v>0</v>
      </c>
      <c r="AF801" s="2" t="s">
        <v>5614</v>
      </c>
      <c r="AG801" s="2" t="s">
        <v>3880</v>
      </c>
      <c r="AH801" s="2" t="s">
        <v>7576</v>
      </c>
      <c r="AI801" s="2">
        <v>2.31</v>
      </c>
      <c r="AJ801" s="2">
        <v>19.690211061857902</v>
      </c>
      <c r="AK801" s="2">
        <v>19.2868647952467</v>
      </c>
      <c r="AL801" s="2">
        <v>19.5303985639367</v>
      </c>
      <c r="AM801" s="2">
        <v>19.4597870173444</v>
      </c>
      <c r="AN801" s="2">
        <v>19.707505439404098</v>
      </c>
      <c r="AO801" s="2">
        <v>19.571553664558799</v>
      </c>
      <c r="AP801" s="2">
        <v>19.307067431789999</v>
      </c>
      <c r="AQ801" s="2">
        <v>19.054477877360199</v>
      </c>
      <c r="AR801" s="2">
        <v>19.0110629311209</v>
      </c>
      <c r="AS801" s="2">
        <v>18.0188295141905</v>
      </c>
      <c r="AT801" s="2">
        <v>18.1499576426889</v>
      </c>
      <c r="AU801" s="2">
        <v>19.1832074201055</v>
      </c>
      <c r="AV801" s="2">
        <v>19.235103388258501</v>
      </c>
      <c r="AW801" s="2">
        <v>19.262144316009401</v>
      </c>
      <c r="AX801" s="2">
        <v>17.732695498197302</v>
      </c>
      <c r="AY801" s="2">
        <v>18.249897860449</v>
      </c>
      <c r="AZ801" s="2">
        <v>18.4035982656854</v>
      </c>
      <c r="BA801" s="2">
        <v>18.593911175470001</v>
      </c>
      <c r="BB801" s="2">
        <v>19.374912753725301</v>
      </c>
      <c r="BC801" s="2">
        <v>19.131533835917299</v>
      </c>
      <c r="BD801" s="2">
        <v>19.3803812015773</v>
      </c>
      <c r="BE801" s="2">
        <v>18.6061434026049</v>
      </c>
      <c r="BF801" s="2">
        <v>19.601082593110899</v>
      </c>
      <c r="BG801" s="2">
        <v>18.0582577205098</v>
      </c>
      <c r="BH801" s="2">
        <v>19.6016144067369</v>
      </c>
      <c r="BI801" s="2">
        <v>18.836887117665899</v>
      </c>
      <c r="BJ801" s="2">
        <v>18.873131751520301</v>
      </c>
      <c r="BK801" s="2">
        <v>19.494872826837199</v>
      </c>
      <c r="BL801" s="2">
        <v>19.003287559032302</v>
      </c>
      <c r="BM801" s="2">
        <v>20.339220086490801</v>
      </c>
      <c r="BN801" s="2">
        <v>18.973296574471401</v>
      </c>
      <c r="BO801" s="2">
        <v>19.0152192113203</v>
      </c>
      <c r="BP801" s="2">
        <v>17.731268111477998</v>
      </c>
      <c r="BQ801" s="2">
        <v>18.956527970996699</v>
      </c>
      <c r="BR801" s="2">
        <v>18.892302048958602</v>
      </c>
      <c r="BS801" s="2">
        <v>19.666467991841099</v>
      </c>
      <c r="BT801" s="2">
        <v>19.635802898701598</v>
      </c>
      <c r="BU801" s="2">
        <v>17.783394816217001</v>
      </c>
      <c r="BV801" s="2">
        <v>18.095021031574099</v>
      </c>
      <c r="BW801" s="2">
        <v>19.055663207078499</v>
      </c>
      <c r="BX801" s="2">
        <v>19.456549980728902</v>
      </c>
      <c r="BY801" s="2">
        <v>19.751543405315498</v>
      </c>
      <c r="BZ801" s="2">
        <v>19.582784079344201</v>
      </c>
      <c r="CA801" s="2">
        <v>19.628474732087899</v>
      </c>
      <c r="CB801" s="2">
        <v>18.5331238421366</v>
      </c>
      <c r="CC801" s="2">
        <v>18.9360597790625</v>
      </c>
      <c r="CD801" s="2">
        <v>18.644519585367998</v>
      </c>
      <c r="CE801" s="2">
        <v>19.121908226194702</v>
      </c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</row>
    <row r="802" spans="1:97">
      <c r="A802" s="2" t="s">
        <v>7577</v>
      </c>
      <c r="B802" s="2">
        <v>297.24288999999999</v>
      </c>
      <c r="C802" s="2">
        <v>12.145</v>
      </c>
      <c r="D802" s="2" t="s">
        <v>146</v>
      </c>
      <c r="E802" s="2" t="s">
        <v>7578</v>
      </c>
      <c r="F802" s="2" t="s">
        <v>7579</v>
      </c>
      <c r="G802" s="2">
        <v>3213</v>
      </c>
      <c r="H802" s="3" t="str">
        <f>HYPERLINK("https://cloud.oebiotech.com/#/lm/network/3213", "https://cloud.oebiotech.com/#/lm/network/3213")</f>
        <v>https://cloud.oebiotech.com/#/lm/network/3213</v>
      </c>
      <c r="I802" s="2"/>
      <c r="J802" s="2">
        <v>74754</v>
      </c>
      <c r="K802" s="2" t="s">
        <v>7580</v>
      </c>
      <c r="L802" s="2">
        <v>5312907</v>
      </c>
      <c r="M802" s="2"/>
      <c r="N802" s="2"/>
      <c r="O802" s="2"/>
      <c r="P802" s="2"/>
      <c r="Q802" s="2"/>
      <c r="R802" s="2"/>
      <c r="S802" s="2"/>
      <c r="T802" s="2" t="s">
        <v>7581</v>
      </c>
      <c r="U802" s="2" t="s">
        <v>7582</v>
      </c>
      <c r="V802" s="2" t="s">
        <v>95</v>
      </c>
      <c r="W802" s="2" t="s">
        <v>96</v>
      </c>
      <c r="X802" s="2" t="s">
        <v>141</v>
      </c>
      <c r="Y802" s="2" t="s">
        <v>98</v>
      </c>
      <c r="Z802" s="2" t="s">
        <v>99</v>
      </c>
      <c r="AA802" s="2" t="s">
        <v>142</v>
      </c>
      <c r="AB802" s="2" t="s">
        <v>3086</v>
      </c>
      <c r="AC802" s="2">
        <v>53.68</v>
      </c>
      <c r="AD802" s="2">
        <v>98.24</v>
      </c>
      <c r="AE802" s="2">
        <v>0</v>
      </c>
      <c r="AF802" s="2" t="s">
        <v>5614</v>
      </c>
      <c r="AG802" s="2" t="s">
        <v>194</v>
      </c>
      <c r="AH802" s="2" t="s">
        <v>7095</v>
      </c>
      <c r="AI802" s="2">
        <v>2.02</v>
      </c>
      <c r="AJ802" s="2">
        <v>22.1852966326915</v>
      </c>
      <c r="AK802" s="2">
        <v>21.4525308014586</v>
      </c>
      <c r="AL802" s="2">
        <v>21.154328878389201</v>
      </c>
      <c r="AM802" s="2">
        <v>21.5359100882674</v>
      </c>
      <c r="AN802" s="2">
        <v>21.825958017037401</v>
      </c>
      <c r="AO802" s="2">
        <v>21.910218733784902</v>
      </c>
      <c r="AP802" s="2">
        <v>21.893459739916398</v>
      </c>
      <c r="AQ802" s="2">
        <v>21.239704471178701</v>
      </c>
      <c r="AR802" s="2">
        <v>20.320640407735802</v>
      </c>
      <c r="AS802" s="2">
        <v>21.2402093291035</v>
      </c>
      <c r="AT802" s="2">
        <v>22.2343165568256</v>
      </c>
      <c r="AU802" s="2">
        <v>20.375857210348801</v>
      </c>
      <c r="AV802" s="2">
        <v>19.973507760801599</v>
      </c>
      <c r="AW802" s="2">
        <v>21.055610936375501</v>
      </c>
      <c r="AX802" s="2">
        <v>21.786739292831701</v>
      </c>
      <c r="AY802" s="2">
        <v>20.949596570282399</v>
      </c>
      <c r="AZ802" s="2">
        <v>20.334681268616301</v>
      </c>
      <c r="BA802" s="2">
        <v>22.0778702291922</v>
      </c>
      <c r="BB802" s="2">
        <v>21.9056105283336</v>
      </c>
      <c r="BC802" s="2">
        <v>22.809264055356699</v>
      </c>
      <c r="BD802" s="2">
        <v>20.446167677249601</v>
      </c>
      <c r="BE802" s="2">
        <v>20.394145661356699</v>
      </c>
      <c r="BF802" s="2">
        <v>21.172276003158501</v>
      </c>
      <c r="BG802" s="2">
        <v>22.2009057362135</v>
      </c>
      <c r="BH802" s="2">
        <v>19.914686849521701</v>
      </c>
      <c r="BI802" s="2">
        <v>22.1759195341679</v>
      </c>
      <c r="BJ802" s="2">
        <v>21.6922592063836</v>
      </c>
      <c r="BK802" s="2">
        <v>20.489774898560501</v>
      </c>
      <c r="BL802" s="2">
        <v>21.938407060022499</v>
      </c>
      <c r="BM802" s="2">
        <v>20.0212642907711</v>
      </c>
      <c r="BN802" s="2">
        <v>20.7458823180678</v>
      </c>
      <c r="BO802" s="2">
        <v>21.748783275519699</v>
      </c>
      <c r="BP802" s="2">
        <v>21.498470038962498</v>
      </c>
      <c r="BQ802" s="2">
        <v>21.9407117180386</v>
      </c>
      <c r="BR802" s="2">
        <v>22.042556316340299</v>
      </c>
      <c r="BS802" s="2">
        <v>20.6583133179521</v>
      </c>
      <c r="BT802" s="2">
        <v>20.458285225997098</v>
      </c>
      <c r="BU802" s="2">
        <v>22.1772704966248</v>
      </c>
      <c r="BV802" s="2">
        <v>21.782993311408401</v>
      </c>
      <c r="BW802" s="2">
        <v>21.310296636085301</v>
      </c>
      <c r="BX802" s="2">
        <v>20.431767510982301</v>
      </c>
      <c r="BY802" s="2">
        <v>20.7011008013172</v>
      </c>
      <c r="BZ802" s="2">
        <v>21.535735795805699</v>
      </c>
      <c r="CA802" s="2">
        <v>20.4664058800291</v>
      </c>
      <c r="CB802" s="2">
        <v>21.747678692206399</v>
      </c>
      <c r="CC802" s="2">
        <v>21.834295237664499</v>
      </c>
      <c r="CD802" s="2">
        <v>21.007691561245501</v>
      </c>
      <c r="CE802" s="2">
        <v>21.903867694345401</v>
      </c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</row>
    <row r="803" spans="1:97">
      <c r="A803" s="2" t="s">
        <v>7583</v>
      </c>
      <c r="B803" s="2">
        <v>188.05584999999999</v>
      </c>
      <c r="C803" s="2">
        <v>1.1240000000000001</v>
      </c>
      <c r="D803" s="2" t="s">
        <v>146</v>
      </c>
      <c r="E803" s="2" t="s">
        <v>7584</v>
      </c>
      <c r="F803" s="2" t="s">
        <v>7585</v>
      </c>
      <c r="G803" s="2">
        <v>47415</v>
      </c>
      <c r="H803" s="3" t="str">
        <f>HYPERLINK("https://cloud.oebiotech.com/#/lm/network/47415", "https://cloud.oebiotech.com/#/lm/network/47415")</f>
        <v>https://cloud.oebiotech.com/#/lm/network/47415</v>
      </c>
      <c r="I803" s="2" t="s">
        <v>7586</v>
      </c>
      <c r="J803" s="2">
        <v>3325</v>
      </c>
      <c r="K803" s="2"/>
      <c r="L803" s="2">
        <v>70914</v>
      </c>
      <c r="M803" s="2" t="s">
        <v>7587</v>
      </c>
      <c r="N803" s="2" t="s">
        <v>7588</v>
      </c>
      <c r="O803" s="2" t="s">
        <v>7589</v>
      </c>
      <c r="P803" s="2">
        <v>17533</v>
      </c>
      <c r="Q803" s="2" t="s">
        <v>7590</v>
      </c>
      <c r="R803" s="2" t="s">
        <v>7591</v>
      </c>
      <c r="S803" s="2" t="s">
        <v>7592</v>
      </c>
      <c r="T803" s="2" t="s">
        <v>7593</v>
      </c>
      <c r="U803" s="2" t="s">
        <v>7594</v>
      </c>
      <c r="V803" s="2" t="s">
        <v>115</v>
      </c>
      <c r="W803" s="2" t="s">
        <v>116</v>
      </c>
      <c r="X803" s="2" t="s">
        <v>117</v>
      </c>
      <c r="Y803" s="2" t="s">
        <v>118</v>
      </c>
      <c r="Z803" s="2" t="s">
        <v>119</v>
      </c>
      <c r="AA803" s="2" t="s">
        <v>120</v>
      </c>
      <c r="AB803" s="2" t="s">
        <v>3086</v>
      </c>
      <c r="AC803" s="2">
        <v>53.67</v>
      </c>
      <c r="AD803" s="2">
        <v>95.32</v>
      </c>
      <c r="AE803" s="2">
        <v>0</v>
      </c>
      <c r="AF803" s="2" t="s">
        <v>5614</v>
      </c>
      <c r="AG803" s="2" t="s">
        <v>194</v>
      </c>
      <c r="AH803" s="2" t="s">
        <v>7595</v>
      </c>
      <c r="AI803" s="2">
        <v>3.19</v>
      </c>
      <c r="AJ803" s="2">
        <v>17.894489894633502</v>
      </c>
      <c r="AK803" s="2">
        <v>17.8108174307417</v>
      </c>
      <c r="AL803" s="2">
        <v>17.809624768838098</v>
      </c>
      <c r="AM803" s="2">
        <v>17.935888506752601</v>
      </c>
      <c r="AN803" s="2">
        <v>17.7393842887763</v>
      </c>
      <c r="AO803" s="2">
        <v>17.952465756755501</v>
      </c>
      <c r="AP803" s="2">
        <v>17.981389565105101</v>
      </c>
      <c r="AQ803" s="2">
        <v>17.806637283083798</v>
      </c>
      <c r="AR803" s="2">
        <v>17.381481440667599</v>
      </c>
      <c r="AS803" s="2">
        <v>14.6145505454108</v>
      </c>
      <c r="AT803" s="2">
        <v>16.905971124651</v>
      </c>
      <c r="AU803" s="2">
        <v>17.5108771058031</v>
      </c>
      <c r="AV803" s="2">
        <v>17.862703517497899</v>
      </c>
      <c r="AW803" s="2">
        <v>17.839227228255599</v>
      </c>
      <c r="AX803" s="2">
        <v>17.502921053147599</v>
      </c>
      <c r="AY803" s="2">
        <v>17.7491484757563</v>
      </c>
      <c r="AZ803" s="2">
        <v>16.896193194342398</v>
      </c>
      <c r="BA803" s="2">
        <v>16.378685521629301</v>
      </c>
      <c r="BB803" s="2">
        <v>17.172686114180902</v>
      </c>
      <c r="BC803" s="2">
        <v>16.671610308441501</v>
      </c>
      <c r="BD803" s="2">
        <v>16.423266620825402</v>
      </c>
      <c r="BE803" s="2">
        <v>17.680447230398201</v>
      </c>
      <c r="BF803" s="2">
        <v>18.743526762154499</v>
      </c>
      <c r="BG803" s="2">
        <v>17.388742403888202</v>
      </c>
      <c r="BH803" s="2">
        <v>17.624501764662199</v>
      </c>
      <c r="BI803" s="2">
        <v>17.474403561916699</v>
      </c>
      <c r="BJ803" s="2">
        <v>18.207396550921999</v>
      </c>
      <c r="BK803" s="2">
        <v>17.399814962712501</v>
      </c>
      <c r="BL803" s="2">
        <v>16.846831417788</v>
      </c>
      <c r="BM803" s="2">
        <v>18.775488627963298</v>
      </c>
      <c r="BN803" s="2">
        <v>18.612703128625501</v>
      </c>
      <c r="BO803" s="2">
        <v>16.943226559468599</v>
      </c>
      <c r="BP803" s="2">
        <v>16.664696851203001</v>
      </c>
      <c r="BQ803" s="2">
        <v>18.6859956693105</v>
      </c>
      <c r="BR803" s="2">
        <v>18.078075265707401</v>
      </c>
      <c r="BS803" s="2">
        <v>17.8645790059416</v>
      </c>
      <c r="BT803" s="2">
        <v>16.3083925399918</v>
      </c>
      <c r="BU803" s="2">
        <v>16.809507269682701</v>
      </c>
      <c r="BV803" s="2">
        <v>17.607069105079699</v>
      </c>
      <c r="BW803" s="2">
        <v>15.906854199034299</v>
      </c>
      <c r="BX803" s="2">
        <v>18.3857347321836</v>
      </c>
      <c r="BY803" s="2">
        <v>18.132578549552701</v>
      </c>
      <c r="BZ803" s="2">
        <v>18.565122351237601</v>
      </c>
      <c r="CA803" s="2">
        <v>18.382388919383999</v>
      </c>
      <c r="CB803" s="2">
        <v>16.751953001821501</v>
      </c>
      <c r="CC803" s="2">
        <v>16.357116388180799</v>
      </c>
      <c r="CD803" s="2">
        <v>17.3964095312236</v>
      </c>
      <c r="CE803" s="2">
        <v>16.494710295385499</v>
      </c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</row>
    <row r="804" spans="1:97">
      <c r="A804" s="2" t="s">
        <v>7596</v>
      </c>
      <c r="B804" s="2">
        <v>158.08188999999999</v>
      </c>
      <c r="C804" s="2">
        <v>0.53600000000000003</v>
      </c>
      <c r="D804" s="2" t="s">
        <v>146</v>
      </c>
      <c r="E804" s="2" t="s">
        <v>7597</v>
      </c>
      <c r="F804" s="2" t="s">
        <v>7598</v>
      </c>
      <c r="G804" s="2">
        <v>54213</v>
      </c>
      <c r="H804" s="3" t="str">
        <f>HYPERLINK("https://cloud.oebiotech.com/#/lm/network/54213", "https://cloud.oebiotech.com/#/lm/network/54213")</f>
        <v>https://cloud.oebiotech.com/#/lm/network/54213</v>
      </c>
      <c r="I804" s="2" t="s">
        <v>7599</v>
      </c>
      <c r="J804" s="2">
        <v>86108</v>
      </c>
      <c r="K804" s="2"/>
      <c r="L804" s="2">
        <v>375481</v>
      </c>
      <c r="M804" s="2"/>
      <c r="N804" s="2"/>
      <c r="O804" s="2"/>
      <c r="P804" s="2"/>
      <c r="Q804" s="2"/>
      <c r="R804" s="2"/>
      <c r="S804" s="2"/>
      <c r="T804" s="2" t="s">
        <v>7600</v>
      </c>
      <c r="U804" s="2" t="s">
        <v>7601</v>
      </c>
      <c r="V804" s="2" t="s">
        <v>115</v>
      </c>
      <c r="W804" s="2" t="s">
        <v>116</v>
      </c>
      <c r="X804" s="2" t="s">
        <v>117</v>
      </c>
      <c r="Y804" s="2" t="s">
        <v>118</v>
      </c>
      <c r="Z804" s="2" t="s">
        <v>119</v>
      </c>
      <c r="AA804" s="2" t="s">
        <v>120</v>
      </c>
      <c r="AB804" s="2" t="s">
        <v>3086</v>
      </c>
      <c r="AC804" s="2">
        <v>53.67</v>
      </c>
      <c r="AD804" s="2">
        <v>95.47</v>
      </c>
      <c r="AE804" s="2">
        <v>0</v>
      </c>
      <c r="AF804" s="2" t="s">
        <v>5614</v>
      </c>
      <c r="AG804" s="2" t="s">
        <v>194</v>
      </c>
      <c r="AH804" s="2" t="s">
        <v>2321</v>
      </c>
      <c r="AI804" s="2">
        <v>2.5299999999999998</v>
      </c>
      <c r="AJ804" s="2">
        <v>20.4535488362331</v>
      </c>
      <c r="AK804" s="2">
        <v>20.426616246338899</v>
      </c>
      <c r="AL804" s="2">
        <v>20.5249073371543</v>
      </c>
      <c r="AM804" s="2">
        <v>19.631414325300799</v>
      </c>
      <c r="AN804" s="2">
        <v>20.6687301633802</v>
      </c>
      <c r="AO804" s="2">
        <v>21.065343052419902</v>
      </c>
      <c r="AP804" s="2">
        <v>20.633308231282601</v>
      </c>
      <c r="AQ804" s="2">
        <v>20.594093104055101</v>
      </c>
      <c r="AR804" s="2">
        <v>20.364632370511</v>
      </c>
      <c r="AS804" s="2">
        <v>20.539186988470401</v>
      </c>
      <c r="AT804" s="2">
        <v>20.424296763426501</v>
      </c>
      <c r="AU804" s="2">
        <v>20.669458444436401</v>
      </c>
      <c r="AV804" s="2">
        <v>20.244940594805499</v>
      </c>
      <c r="AW804" s="2">
        <v>20.487701258170599</v>
      </c>
      <c r="AX804" s="2">
        <v>20.558832705671499</v>
      </c>
      <c r="AY804" s="2">
        <v>20.3534476141174</v>
      </c>
      <c r="AZ804" s="2">
        <v>20.453694482392901</v>
      </c>
      <c r="BA804" s="2">
        <v>20.5513344887509</v>
      </c>
      <c r="BB804" s="2">
        <v>20.332451644266499</v>
      </c>
      <c r="BC804" s="2">
        <v>20.3834112764537</v>
      </c>
      <c r="BD804" s="2">
        <v>20.5323424357288</v>
      </c>
      <c r="BE804" s="2">
        <v>20.410923461888999</v>
      </c>
      <c r="BF804" s="2">
        <v>20.524728004441599</v>
      </c>
      <c r="BG804" s="2">
        <v>20.476632312354099</v>
      </c>
      <c r="BH804" s="2">
        <v>20.5442744720972</v>
      </c>
      <c r="BI804" s="2">
        <v>20.502768436974801</v>
      </c>
      <c r="BJ804" s="2">
        <v>20.645546913603098</v>
      </c>
      <c r="BK804" s="2">
        <v>20.611317146706401</v>
      </c>
      <c r="BL804" s="2">
        <v>20.6011070015923</v>
      </c>
      <c r="BM804" s="2">
        <v>20.5138279873389</v>
      </c>
      <c r="BN804" s="2">
        <v>20.563847758571999</v>
      </c>
      <c r="BO804" s="2">
        <v>20.5800472933681</v>
      </c>
      <c r="BP804" s="2">
        <v>20.4128809766516</v>
      </c>
      <c r="BQ804" s="2">
        <v>20.599265927793301</v>
      </c>
      <c r="BR804" s="2">
        <v>20.601014798677902</v>
      </c>
      <c r="BS804" s="2">
        <v>20.4693323069421</v>
      </c>
      <c r="BT804" s="2">
        <v>20.541943596374701</v>
      </c>
      <c r="BU804" s="2">
        <v>20.505395902964999</v>
      </c>
      <c r="BV804" s="2">
        <v>20.562820835035499</v>
      </c>
      <c r="BW804" s="2">
        <v>20.536000379340901</v>
      </c>
      <c r="BX804" s="2">
        <v>19.631342665326301</v>
      </c>
      <c r="BY804" s="2">
        <v>20.618647197151699</v>
      </c>
      <c r="BZ804" s="2">
        <v>20.582449908499701</v>
      </c>
      <c r="CA804" s="2">
        <v>20.6248413352486</v>
      </c>
      <c r="CB804" s="2">
        <v>20.591120736515201</v>
      </c>
      <c r="CC804" s="2">
        <v>20.354675976519001</v>
      </c>
      <c r="CD804" s="2">
        <v>19.402435369740399</v>
      </c>
      <c r="CE804" s="2">
        <v>20.5592727510681</v>
      </c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</row>
    <row r="805" spans="1:97">
      <c r="A805" s="2" t="s">
        <v>7602</v>
      </c>
      <c r="B805" s="2">
        <v>279.19101999999998</v>
      </c>
      <c r="C805" s="2">
        <v>0.72</v>
      </c>
      <c r="D805" s="2" t="s">
        <v>84</v>
      </c>
      <c r="E805" s="2" t="s">
        <v>7603</v>
      </c>
      <c r="F805" s="2" t="s">
        <v>7604</v>
      </c>
      <c r="G805" s="2">
        <v>8355</v>
      </c>
      <c r="H805" s="3" t="str">
        <f>HYPERLINK("https://cloud.oebiotech.com/#/lm/network/8355", "https://cloud.oebiotech.com/#/lm/network/8355")</f>
        <v>https://cloud.oebiotech.com/#/lm/network/8355</v>
      </c>
      <c r="I805" s="2" t="s">
        <v>7605</v>
      </c>
      <c r="J805" s="2">
        <v>849191</v>
      </c>
      <c r="K805" s="2" t="s">
        <v>7606</v>
      </c>
      <c r="L805" s="2">
        <v>57357187</v>
      </c>
      <c r="M805" s="2"/>
      <c r="N805" s="2"/>
      <c r="O805" s="2"/>
      <c r="P805" s="2"/>
      <c r="Q805" s="2"/>
      <c r="R805" s="2"/>
      <c r="S805" s="2"/>
      <c r="T805" s="2" t="s">
        <v>7607</v>
      </c>
      <c r="U805" s="2" t="s">
        <v>7608</v>
      </c>
      <c r="V805" s="2" t="s">
        <v>95</v>
      </c>
      <c r="W805" s="2" t="s">
        <v>96</v>
      </c>
      <c r="X805" s="2" t="s">
        <v>97</v>
      </c>
      <c r="Y805" s="2" t="s">
        <v>98</v>
      </c>
      <c r="Z805" s="2" t="s">
        <v>99</v>
      </c>
      <c r="AA805" s="2" t="s">
        <v>100</v>
      </c>
      <c r="AB805" s="2" t="s">
        <v>5118</v>
      </c>
      <c r="AC805" s="2">
        <v>53.65</v>
      </c>
      <c r="AD805" s="2">
        <v>98.04</v>
      </c>
      <c r="AE805" s="2">
        <v>90.44</v>
      </c>
      <c r="AF805" s="2" t="s">
        <v>7609</v>
      </c>
      <c r="AG805" s="2" t="s">
        <v>132</v>
      </c>
      <c r="AH805" s="2" t="s">
        <v>7610</v>
      </c>
      <c r="AI805" s="2">
        <v>1.43</v>
      </c>
      <c r="AJ805" s="2">
        <v>23.390652562813699</v>
      </c>
      <c r="AK805" s="2">
        <v>23.839703388417298</v>
      </c>
      <c r="AL805" s="2">
        <v>23.420748626411498</v>
      </c>
      <c r="AM805" s="2">
        <v>23.638328321430102</v>
      </c>
      <c r="AN805" s="2">
        <v>23.447186643112001</v>
      </c>
      <c r="AO805" s="2">
        <v>23.466344567271701</v>
      </c>
      <c r="AP805" s="2">
        <v>23.578692213696801</v>
      </c>
      <c r="AQ805" s="2">
        <v>23.3866989094006</v>
      </c>
      <c r="AR805" s="2">
        <v>23.676613509922401</v>
      </c>
      <c r="AS805" s="2">
        <v>22.008185795207101</v>
      </c>
      <c r="AT805" s="2">
        <v>22.810318017634899</v>
      </c>
      <c r="AU805" s="2">
        <v>23.529561056889399</v>
      </c>
      <c r="AV805" s="2">
        <v>23.461652653169601</v>
      </c>
      <c r="AW805" s="2">
        <v>23.5051733450494</v>
      </c>
      <c r="AX805" s="2">
        <v>23.570794363165</v>
      </c>
      <c r="AY805" s="2">
        <v>22.928187119873002</v>
      </c>
      <c r="AZ805" s="2">
        <v>23.1185539710429</v>
      </c>
      <c r="BA805" s="2">
        <v>23.252320684349399</v>
      </c>
      <c r="BB805" s="2">
        <v>23.813836869349998</v>
      </c>
      <c r="BC805" s="2">
        <v>22.5150025956844</v>
      </c>
      <c r="BD805" s="2">
        <v>23.269940502714199</v>
      </c>
      <c r="BE805" s="2">
        <v>22.663402977722399</v>
      </c>
      <c r="BF805" s="2">
        <v>23.2179745591006</v>
      </c>
      <c r="BG805" s="2">
        <v>23.2065172759185</v>
      </c>
      <c r="BH805" s="2">
        <v>23.2194034504105</v>
      </c>
      <c r="BI805" s="2">
        <v>22.832967176190799</v>
      </c>
      <c r="BJ805" s="2">
        <v>22.579395859485501</v>
      </c>
      <c r="BK805" s="2">
        <v>23.151110969300198</v>
      </c>
      <c r="BL805" s="2">
        <v>23.644822008263901</v>
      </c>
      <c r="BM805" s="2">
        <v>23.1464438659054</v>
      </c>
      <c r="BN805" s="2">
        <v>23.627185986967099</v>
      </c>
      <c r="BO805" s="2">
        <v>23.7895634590305</v>
      </c>
      <c r="BP805" s="2">
        <v>22.806512263713199</v>
      </c>
      <c r="BQ805" s="2">
        <v>23.2500080121103</v>
      </c>
      <c r="BR805" s="2">
        <v>23.1260742638352</v>
      </c>
      <c r="BS805" s="2">
        <v>23.356800379240202</v>
      </c>
      <c r="BT805" s="2">
        <v>23.346590145670302</v>
      </c>
      <c r="BU805" s="2">
        <v>23.077966408046301</v>
      </c>
      <c r="BV805" s="2">
        <v>24.0050298944379</v>
      </c>
      <c r="BW805" s="2">
        <v>22.510324204270201</v>
      </c>
      <c r="BX805" s="2">
        <v>23.371447680766401</v>
      </c>
      <c r="BY805" s="2">
        <v>22.735251111307001</v>
      </c>
      <c r="BZ805" s="2">
        <v>23.285376874570598</v>
      </c>
      <c r="CA805" s="2">
        <v>23.420969824380801</v>
      </c>
      <c r="CB805" s="2">
        <v>22.9821427949826</v>
      </c>
      <c r="CC805" s="2">
        <v>22.762490492988501</v>
      </c>
      <c r="CD805" s="2">
        <v>22.868547523483102</v>
      </c>
      <c r="CE805" s="2">
        <v>22.6252257698475</v>
      </c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</row>
    <row r="806" spans="1:97">
      <c r="A806" s="2" t="s">
        <v>7611</v>
      </c>
      <c r="B806" s="2">
        <v>454.38808999999998</v>
      </c>
      <c r="C806" s="2">
        <v>10.545999999999999</v>
      </c>
      <c r="D806" s="2" t="s">
        <v>84</v>
      </c>
      <c r="E806" s="2" t="s">
        <v>7612</v>
      </c>
      <c r="F806" s="2" t="s">
        <v>7613</v>
      </c>
      <c r="G806" s="2">
        <v>43782</v>
      </c>
      <c r="H806" s="3" t="str">
        <f>HYPERLINK("https://cloud.oebiotech.com/#/lm/network/43782", "https://cloud.oebiotech.com/#/lm/network/43782")</f>
        <v>https://cloud.oebiotech.com/#/lm/network/43782</v>
      </c>
      <c r="I806" s="2"/>
      <c r="J806" s="2"/>
      <c r="K806" s="2" t="s">
        <v>7614</v>
      </c>
      <c r="L806" s="2">
        <v>141207061</v>
      </c>
      <c r="M806" s="2"/>
      <c r="N806" s="2"/>
      <c r="O806" s="2"/>
      <c r="P806" s="2"/>
      <c r="Q806" s="2"/>
      <c r="R806" s="2"/>
      <c r="S806" s="2"/>
      <c r="T806" s="2" t="s">
        <v>7615</v>
      </c>
      <c r="U806" s="2" t="s">
        <v>7616</v>
      </c>
      <c r="V806" s="2" t="s">
        <v>95</v>
      </c>
      <c r="W806" s="2" t="s">
        <v>152</v>
      </c>
      <c r="X806" s="2" t="s">
        <v>278</v>
      </c>
      <c r="Y806" s="2" t="s">
        <v>98</v>
      </c>
      <c r="Z806" s="2" t="s">
        <v>154</v>
      </c>
      <c r="AA806" s="2" t="s">
        <v>279</v>
      </c>
      <c r="AB806" s="2" t="s">
        <v>3086</v>
      </c>
      <c r="AC806" s="2">
        <v>53.65</v>
      </c>
      <c r="AD806" s="2">
        <v>96.61</v>
      </c>
      <c r="AE806" s="2">
        <v>0</v>
      </c>
      <c r="AF806" s="2" t="s">
        <v>5614</v>
      </c>
      <c r="AG806" s="2" t="s">
        <v>132</v>
      </c>
      <c r="AH806" s="2" t="s">
        <v>7617</v>
      </c>
      <c r="AI806" s="2">
        <v>2.2000000000000002</v>
      </c>
      <c r="AJ806" s="2">
        <v>20.469023684465299</v>
      </c>
      <c r="AK806" s="2">
        <v>20.547861781211001</v>
      </c>
      <c r="AL806" s="2">
        <v>20.5857578227548</v>
      </c>
      <c r="AM806" s="2">
        <v>20.5901445182209</v>
      </c>
      <c r="AN806" s="2">
        <v>20.516774807209099</v>
      </c>
      <c r="AO806" s="2">
        <v>20.4688786035242</v>
      </c>
      <c r="AP806" s="2">
        <v>20.7506576377192</v>
      </c>
      <c r="AQ806" s="2">
        <v>20.493390922190599</v>
      </c>
      <c r="AR806" s="2">
        <v>20.042332477451801</v>
      </c>
      <c r="AS806" s="2">
        <v>19.378711363306302</v>
      </c>
      <c r="AT806" s="2">
        <v>20.8509263110845</v>
      </c>
      <c r="AU806" s="2">
        <v>19.550703766881899</v>
      </c>
      <c r="AV806" s="2">
        <v>20.413069071051599</v>
      </c>
      <c r="AW806" s="2">
        <v>20.748631461216199</v>
      </c>
      <c r="AX806" s="2">
        <v>20.305090814590201</v>
      </c>
      <c r="AY806" s="2">
        <v>19.850658270483301</v>
      </c>
      <c r="AZ806" s="2">
        <v>20.000150387550001</v>
      </c>
      <c r="BA806" s="2">
        <v>19.552424070085902</v>
      </c>
      <c r="BB806" s="2">
        <v>20.230498390966801</v>
      </c>
      <c r="BC806" s="2">
        <v>22.090066174637499</v>
      </c>
      <c r="BD806" s="2">
        <v>20.1015678323839</v>
      </c>
      <c r="BE806" s="2">
        <v>20.7642490788337</v>
      </c>
      <c r="BF806" s="2">
        <v>20.668010347024801</v>
      </c>
      <c r="BG806" s="2">
        <v>20.031079370598199</v>
      </c>
      <c r="BH806" s="2">
        <v>20.386264223494599</v>
      </c>
      <c r="BI806" s="2">
        <v>20.550120269875801</v>
      </c>
      <c r="BJ806" s="2">
        <v>20.861939974099499</v>
      </c>
      <c r="BK806" s="2">
        <v>19.808161375834</v>
      </c>
      <c r="BL806" s="2">
        <v>20.681794058038399</v>
      </c>
      <c r="BM806" s="2">
        <v>19.657383282862</v>
      </c>
      <c r="BN806" s="2">
        <v>20.008656487298399</v>
      </c>
      <c r="BO806" s="2">
        <v>20.133795908419199</v>
      </c>
      <c r="BP806" s="2">
        <v>20.729243158608899</v>
      </c>
      <c r="BQ806" s="2">
        <v>20.796555232419198</v>
      </c>
      <c r="BR806" s="2">
        <v>20.155236029163099</v>
      </c>
      <c r="BS806" s="2">
        <v>19.787546262722302</v>
      </c>
      <c r="BT806" s="2">
        <v>20.096831848934301</v>
      </c>
      <c r="BU806" s="2">
        <v>20.97410711689</v>
      </c>
      <c r="BV806" s="2">
        <v>20.254830056004099</v>
      </c>
      <c r="BW806" s="2">
        <v>21.145106296009001</v>
      </c>
      <c r="BX806" s="2">
        <v>20.317431417136302</v>
      </c>
      <c r="BY806" s="2">
        <v>19.927436217127301</v>
      </c>
      <c r="BZ806" s="2">
        <v>20.234167328288201</v>
      </c>
      <c r="CA806" s="2">
        <v>20.4444027317031</v>
      </c>
      <c r="CB806" s="2">
        <v>19.6390754611528</v>
      </c>
      <c r="CC806" s="2">
        <v>20.1977459107935</v>
      </c>
      <c r="CD806" s="2">
        <v>20.7252193122713</v>
      </c>
      <c r="CE806" s="2">
        <v>19.135399749730102</v>
      </c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</row>
    <row r="807" spans="1:97">
      <c r="A807" s="2" t="s">
        <v>7618</v>
      </c>
      <c r="B807" s="2">
        <v>291.19493</v>
      </c>
      <c r="C807" s="2">
        <v>10.573</v>
      </c>
      <c r="D807" s="2" t="s">
        <v>84</v>
      </c>
      <c r="E807" s="2" t="s">
        <v>7619</v>
      </c>
      <c r="F807" s="2" t="s">
        <v>7620</v>
      </c>
      <c r="G807" s="2">
        <v>7871</v>
      </c>
      <c r="H807" s="3" t="str">
        <f>HYPERLINK("https://cloud.oebiotech.com/#/lm/network/7871", "https://cloud.oebiotech.com/#/lm/network/7871")</f>
        <v>https://cloud.oebiotech.com/#/lm/network/7871</v>
      </c>
      <c r="I807" s="2"/>
      <c r="J807" s="2"/>
      <c r="K807" s="2" t="s">
        <v>7621</v>
      </c>
      <c r="L807" s="2">
        <v>56951426</v>
      </c>
      <c r="M807" s="2"/>
      <c r="N807" s="2"/>
      <c r="O807" s="2"/>
      <c r="P807" s="2"/>
      <c r="Q807" s="2"/>
      <c r="R807" s="2"/>
      <c r="S807" s="2"/>
      <c r="T807" s="2" t="s">
        <v>7622</v>
      </c>
      <c r="U807" s="2" t="s">
        <v>7623</v>
      </c>
      <c r="V807" s="2" t="s">
        <v>95</v>
      </c>
      <c r="W807" s="2" t="s">
        <v>96</v>
      </c>
      <c r="X807" s="2" t="s">
        <v>3216</v>
      </c>
      <c r="Y807" s="2" t="s">
        <v>98</v>
      </c>
      <c r="Z807" s="2" t="s">
        <v>99</v>
      </c>
      <c r="AA807" s="2" t="s">
        <v>3217</v>
      </c>
      <c r="AB807" s="2" t="s">
        <v>3086</v>
      </c>
      <c r="AC807" s="2">
        <v>53.64</v>
      </c>
      <c r="AD807" s="2">
        <v>88.64</v>
      </c>
      <c r="AE807" s="2">
        <v>0</v>
      </c>
      <c r="AF807" s="2" t="s">
        <v>5614</v>
      </c>
      <c r="AG807" s="2" t="s">
        <v>103</v>
      </c>
      <c r="AH807" s="2" t="s">
        <v>7624</v>
      </c>
      <c r="AI807" s="2">
        <v>2.06</v>
      </c>
      <c r="AJ807" s="2">
        <v>19.0992934319321</v>
      </c>
      <c r="AK807" s="2">
        <v>19.400118293430999</v>
      </c>
      <c r="AL807" s="2">
        <v>19.334731999314801</v>
      </c>
      <c r="AM807" s="2">
        <v>19.238027207558002</v>
      </c>
      <c r="AN807" s="2">
        <v>19.5138279295229</v>
      </c>
      <c r="AO807" s="2">
        <v>19.312512256538199</v>
      </c>
      <c r="AP807" s="2">
        <v>19.337055930026199</v>
      </c>
      <c r="AQ807" s="2">
        <v>19.555852844227299</v>
      </c>
      <c r="AR807" s="2">
        <v>17.783843674067199</v>
      </c>
      <c r="AS807" s="2">
        <v>17.180688816842899</v>
      </c>
      <c r="AT807" s="2">
        <v>17.040026598711702</v>
      </c>
      <c r="AU807" s="2">
        <v>16.1190592517871</v>
      </c>
      <c r="AV807" s="2">
        <v>18.143141678283001</v>
      </c>
      <c r="AW807" s="2">
        <v>18.096741144586801</v>
      </c>
      <c r="AX807" s="2">
        <v>18.568546088777602</v>
      </c>
      <c r="AY807" s="2">
        <v>17.285491987132499</v>
      </c>
      <c r="AZ807" s="2">
        <v>16.142646570637599</v>
      </c>
      <c r="BA807" s="2">
        <v>16.436879703633299</v>
      </c>
      <c r="BB807" s="2">
        <v>18.0424422987486</v>
      </c>
      <c r="BC807" s="2">
        <v>17.264096088218398</v>
      </c>
      <c r="BD807" s="2">
        <v>18.000644419512899</v>
      </c>
      <c r="BE807" s="2">
        <v>18.680218611273698</v>
      </c>
      <c r="BF807" s="2">
        <v>16.908955711767199</v>
      </c>
      <c r="BG807" s="2">
        <v>16.441678024181801</v>
      </c>
      <c r="BH807" s="2">
        <v>17.849646385199499</v>
      </c>
      <c r="BI807" s="2">
        <v>9.6233145402724691</v>
      </c>
      <c r="BJ807" s="2">
        <v>16.603820460637301</v>
      </c>
      <c r="BK807" s="2">
        <v>17.448341708900401</v>
      </c>
      <c r="BL807" s="2">
        <v>17.785016886289402</v>
      </c>
      <c r="BM807" s="2">
        <v>15.390770177806701</v>
      </c>
      <c r="BN807" s="2">
        <v>17.770346113525399</v>
      </c>
      <c r="BO807" s="2">
        <v>9.6233145402724691</v>
      </c>
      <c r="BP807" s="2">
        <v>17.8146623811678</v>
      </c>
      <c r="BQ807" s="2">
        <v>16.713972973915698</v>
      </c>
      <c r="BR807" s="2">
        <v>17.625758063920699</v>
      </c>
      <c r="BS807" s="2">
        <v>9.6233145402724691</v>
      </c>
      <c r="BT807" s="2">
        <v>16.672071835064699</v>
      </c>
      <c r="BU807" s="2">
        <v>17.4848538047797</v>
      </c>
      <c r="BV807" s="2">
        <v>16.823769135262602</v>
      </c>
      <c r="BW807" s="2">
        <v>17.345857577408701</v>
      </c>
      <c r="BX807" s="2">
        <v>16.8785113834067</v>
      </c>
      <c r="BY807" s="2">
        <v>19.1484769049177</v>
      </c>
      <c r="BZ807" s="2">
        <v>16.475018681719501</v>
      </c>
      <c r="CA807" s="2">
        <v>18.1556100293184</v>
      </c>
      <c r="CB807" s="2">
        <v>17.8222114940964</v>
      </c>
      <c r="CC807" s="2">
        <v>15.836758260102499</v>
      </c>
      <c r="CD807" s="2">
        <v>17.112071190520599</v>
      </c>
      <c r="CE807" s="2">
        <v>16.293655745958301</v>
      </c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</row>
    <row r="808" spans="1:97">
      <c r="A808" s="2" t="s">
        <v>7625</v>
      </c>
      <c r="B808" s="2">
        <v>322.27339000000001</v>
      </c>
      <c r="C808" s="2">
        <v>12.672000000000001</v>
      </c>
      <c r="D808" s="2" t="s">
        <v>84</v>
      </c>
      <c r="E808" s="2" t="s">
        <v>7626</v>
      </c>
      <c r="F808" s="2" t="s">
        <v>7627</v>
      </c>
      <c r="G808" s="2">
        <v>1116</v>
      </c>
      <c r="H808" s="3" t="str">
        <f>HYPERLINK("https://cloud.oebiotech.com/#/lm/network/1116", "https://cloud.oebiotech.com/#/lm/network/1116")</f>
        <v>https://cloud.oebiotech.com/#/lm/network/1116</v>
      </c>
      <c r="I808" s="2"/>
      <c r="J808" s="2">
        <v>24087</v>
      </c>
      <c r="K808" s="2" t="s">
        <v>7628</v>
      </c>
      <c r="L808" s="2">
        <v>1899</v>
      </c>
      <c r="M808" s="2"/>
      <c r="N808" s="2"/>
      <c r="O808" s="2"/>
      <c r="P808" s="2"/>
      <c r="Q808" s="2"/>
      <c r="R808" s="2"/>
      <c r="S808" s="2" t="s">
        <v>7629</v>
      </c>
      <c r="T808" s="2" t="s">
        <v>7630</v>
      </c>
      <c r="U808" s="2" t="s">
        <v>7631</v>
      </c>
      <c r="V808" s="2" t="s">
        <v>95</v>
      </c>
      <c r="W808" s="2" t="s">
        <v>96</v>
      </c>
      <c r="X808" s="2" t="s">
        <v>141</v>
      </c>
      <c r="Y808" s="2" t="s">
        <v>98</v>
      </c>
      <c r="Z808" s="2" t="s">
        <v>99</v>
      </c>
      <c r="AA808" s="2" t="s">
        <v>142</v>
      </c>
      <c r="AB808" s="2" t="s">
        <v>3086</v>
      </c>
      <c r="AC808" s="2">
        <v>53.64</v>
      </c>
      <c r="AD808" s="2">
        <v>87.42</v>
      </c>
      <c r="AE808" s="2">
        <v>0</v>
      </c>
      <c r="AF808" s="2" t="s">
        <v>7632</v>
      </c>
      <c r="AG808" s="2" t="s">
        <v>132</v>
      </c>
      <c r="AH808" s="2" t="s">
        <v>220</v>
      </c>
      <c r="AI808" s="2">
        <v>1.86</v>
      </c>
      <c r="AJ808" s="2">
        <v>19.679898545458698</v>
      </c>
      <c r="AK808" s="2">
        <v>19.571404639184099</v>
      </c>
      <c r="AL808" s="2">
        <v>19.376995580442099</v>
      </c>
      <c r="AM808" s="2">
        <v>19.277765954593999</v>
      </c>
      <c r="AN808" s="2">
        <v>19.7412177277408</v>
      </c>
      <c r="AO808" s="2">
        <v>19.617132935893402</v>
      </c>
      <c r="AP808" s="2">
        <v>19.570527136453599</v>
      </c>
      <c r="AQ808" s="2">
        <v>19.1451798828633</v>
      </c>
      <c r="AR808" s="2">
        <v>18.963210781273801</v>
      </c>
      <c r="AS808" s="2">
        <v>9.6233145402724691</v>
      </c>
      <c r="AT808" s="2">
        <v>18.735874586096401</v>
      </c>
      <c r="AU808" s="2">
        <v>19.339487170179801</v>
      </c>
      <c r="AV808" s="2">
        <v>17.897131977780699</v>
      </c>
      <c r="AW808" s="2">
        <v>17.266485246377499</v>
      </c>
      <c r="AX808" s="2">
        <v>19.595801915652</v>
      </c>
      <c r="AY808" s="2">
        <v>18.340943645913001</v>
      </c>
      <c r="AZ808" s="2">
        <v>19.4002344577329</v>
      </c>
      <c r="BA808" s="2">
        <v>17.477248844969001</v>
      </c>
      <c r="BB808" s="2">
        <v>21.2984322818942</v>
      </c>
      <c r="BC808" s="2">
        <v>22.022185551130399</v>
      </c>
      <c r="BD808" s="2">
        <v>17.919406427799299</v>
      </c>
      <c r="BE808" s="2">
        <v>17.828896863001901</v>
      </c>
      <c r="BF808" s="2">
        <v>20.1258310293783</v>
      </c>
      <c r="BG808" s="2">
        <v>20.243368900504599</v>
      </c>
      <c r="BH808" s="2">
        <v>19.6871699156208</v>
      </c>
      <c r="BI808" s="2">
        <v>19.041164648275402</v>
      </c>
      <c r="BJ808" s="2">
        <v>18.540983786920599</v>
      </c>
      <c r="BK808" s="2">
        <v>19.3333496318686</v>
      </c>
      <c r="BL808" s="2">
        <v>17.806087503951499</v>
      </c>
      <c r="BM808" s="2">
        <v>19.574385995659501</v>
      </c>
      <c r="BN808" s="2">
        <v>18.678571428225201</v>
      </c>
      <c r="BO808" s="2">
        <v>17.209750532941499</v>
      </c>
      <c r="BP808" s="2">
        <v>18.671079923252702</v>
      </c>
      <c r="BQ808" s="2">
        <v>19.464411735812401</v>
      </c>
      <c r="BR808" s="2">
        <v>20.021181439688</v>
      </c>
      <c r="BS808" s="2">
        <v>19.617893080337002</v>
      </c>
      <c r="BT808" s="2">
        <v>17.143213191417701</v>
      </c>
      <c r="BU808" s="2">
        <v>21.314377910159401</v>
      </c>
      <c r="BV808" s="2">
        <v>17.864992791196599</v>
      </c>
      <c r="BW808" s="2">
        <v>17.2423425501301</v>
      </c>
      <c r="BX808" s="2">
        <v>19.317621788851</v>
      </c>
      <c r="BY808" s="2">
        <v>20.4779926395065</v>
      </c>
      <c r="BZ808" s="2">
        <v>19.2573859319529</v>
      </c>
      <c r="CA808" s="2">
        <v>15.4380107876911</v>
      </c>
      <c r="CB808" s="2">
        <v>16.472855652152798</v>
      </c>
      <c r="CC808" s="2">
        <v>20.129374427839998</v>
      </c>
      <c r="CD808" s="2">
        <v>20.391808007378099</v>
      </c>
      <c r="CE808" s="2">
        <v>19.7698080679836</v>
      </c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</row>
    <row r="809" spans="1:97">
      <c r="A809" s="2" t="s">
        <v>7633</v>
      </c>
      <c r="B809" s="2">
        <v>347.25846999999999</v>
      </c>
      <c r="C809" s="2">
        <v>12.218</v>
      </c>
      <c r="D809" s="2" t="s">
        <v>146</v>
      </c>
      <c r="E809" s="2" t="s">
        <v>7634</v>
      </c>
      <c r="F809" s="2" t="s">
        <v>7635</v>
      </c>
      <c r="G809" s="2">
        <v>60475</v>
      </c>
      <c r="H809" s="3" t="str">
        <f>HYPERLINK("https://cloud.oebiotech.com/#/lm/network/60475", "https://cloud.oebiotech.com/#/lm/network/60475")</f>
        <v>https://cloud.oebiotech.com/#/lm/network/60475</v>
      </c>
      <c r="I809" s="2" t="s">
        <v>7636</v>
      </c>
      <c r="J809" s="2">
        <v>91816</v>
      </c>
      <c r="K809" s="2"/>
      <c r="L809" s="2">
        <v>630219</v>
      </c>
      <c r="M809" s="2"/>
      <c r="N809" s="2"/>
      <c r="O809" s="2"/>
      <c r="P809" s="2"/>
      <c r="Q809" s="2"/>
      <c r="R809" s="2"/>
      <c r="S809" s="2" t="s">
        <v>7637</v>
      </c>
      <c r="T809" s="2" t="s">
        <v>7638</v>
      </c>
      <c r="U809" s="2" t="s">
        <v>7639</v>
      </c>
      <c r="V809" s="2" t="s">
        <v>95</v>
      </c>
      <c r="W809" s="2" t="s">
        <v>180</v>
      </c>
      <c r="X809" s="2" t="s">
        <v>3643</v>
      </c>
      <c r="Y809" s="2" t="s">
        <v>98</v>
      </c>
      <c r="Z809" s="2" t="s">
        <v>182</v>
      </c>
      <c r="AA809" s="2" t="s">
        <v>3644</v>
      </c>
      <c r="AB809" s="2" t="s">
        <v>3086</v>
      </c>
      <c r="AC809" s="2">
        <v>53.64</v>
      </c>
      <c r="AD809" s="2">
        <v>86.44</v>
      </c>
      <c r="AE809" s="2">
        <v>0</v>
      </c>
      <c r="AF809" s="2" t="s">
        <v>7640</v>
      </c>
      <c r="AG809" s="2" t="s">
        <v>194</v>
      </c>
      <c r="AH809" s="2" t="s">
        <v>7641</v>
      </c>
      <c r="AI809" s="2">
        <v>2.02</v>
      </c>
      <c r="AJ809" s="2">
        <v>17.395743726716599</v>
      </c>
      <c r="AK809" s="2">
        <v>16.4321675092487</v>
      </c>
      <c r="AL809" s="2">
        <v>16.381750107427099</v>
      </c>
      <c r="AM809" s="2">
        <v>16.514706041882999</v>
      </c>
      <c r="AN809" s="2">
        <v>16.724799731224699</v>
      </c>
      <c r="AO809" s="2">
        <v>16.617041096702501</v>
      </c>
      <c r="AP809" s="2">
        <v>16.8420371017707</v>
      </c>
      <c r="AQ809" s="2">
        <v>16.901095040580401</v>
      </c>
      <c r="AR809" s="2">
        <v>15.667743026564301</v>
      </c>
      <c r="AS809" s="2">
        <v>15.819121290002199</v>
      </c>
      <c r="AT809" s="2">
        <v>17.259032626111399</v>
      </c>
      <c r="AU809" s="2">
        <v>14.5498063226475</v>
      </c>
      <c r="AV809" s="2">
        <v>15.943327991138601</v>
      </c>
      <c r="AW809" s="2">
        <v>15.305371728780999</v>
      </c>
      <c r="AX809" s="2">
        <v>17.004986299666498</v>
      </c>
      <c r="AY809" s="2">
        <v>15.900106400897901</v>
      </c>
      <c r="AZ809" s="2">
        <v>14.9729932439796</v>
      </c>
      <c r="BA809" s="2">
        <v>16.679822588960199</v>
      </c>
      <c r="BB809" s="2">
        <v>16.613407910028201</v>
      </c>
      <c r="BC809" s="2">
        <v>17.628545431121001</v>
      </c>
      <c r="BD809" s="2">
        <v>14.2920836087527</v>
      </c>
      <c r="BE809" s="2">
        <v>15.3955204126575</v>
      </c>
      <c r="BF809" s="2">
        <v>16.404055342597601</v>
      </c>
      <c r="BG809" s="2">
        <v>17.3008325505469</v>
      </c>
      <c r="BH809" s="2">
        <v>15.535167522871699</v>
      </c>
      <c r="BI809" s="2">
        <v>17.288208310889399</v>
      </c>
      <c r="BJ809" s="2">
        <v>16.395542502962201</v>
      </c>
      <c r="BK809" s="2">
        <v>15.154615215795699</v>
      </c>
      <c r="BL809" s="2">
        <v>17.0211556655367</v>
      </c>
      <c r="BM809" s="2">
        <v>14.817189036728999</v>
      </c>
      <c r="BN809" s="2">
        <v>15.564232271052999</v>
      </c>
      <c r="BO809" s="2">
        <v>15.9374756641724</v>
      </c>
      <c r="BP809" s="2">
        <v>17.103710103770698</v>
      </c>
      <c r="BQ809" s="2">
        <v>16.6385397114406</v>
      </c>
      <c r="BR809" s="2">
        <v>17.317280906005301</v>
      </c>
      <c r="BS809" s="2">
        <v>15.933199162463101</v>
      </c>
      <c r="BT809" s="2">
        <v>15.788818997730701</v>
      </c>
      <c r="BU809" s="2">
        <v>17.971267644923099</v>
      </c>
      <c r="BV809" s="2">
        <v>16.859062271032901</v>
      </c>
      <c r="BW809" s="2">
        <v>15.4653776381589</v>
      </c>
      <c r="BX809" s="2">
        <v>15.6366801251739</v>
      </c>
      <c r="BY809" s="2">
        <v>16.223058593160101</v>
      </c>
      <c r="BZ809" s="2">
        <v>16.5735489691825</v>
      </c>
      <c r="CA809" s="2">
        <v>15.7286255206653</v>
      </c>
      <c r="CB809" s="2">
        <v>16.802835276746201</v>
      </c>
      <c r="CC809" s="2">
        <v>16.844304510541701</v>
      </c>
      <c r="CD809" s="2">
        <v>16.772831957248201</v>
      </c>
      <c r="CE809" s="2">
        <v>17.558273240270498</v>
      </c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</row>
    <row r="810" spans="1:97">
      <c r="A810" s="2" t="s">
        <v>7642</v>
      </c>
      <c r="B810" s="2">
        <v>440.31382000000002</v>
      </c>
      <c r="C810" s="2">
        <v>10.853999999999999</v>
      </c>
      <c r="D810" s="2" t="s">
        <v>84</v>
      </c>
      <c r="E810" s="2" t="s">
        <v>7643</v>
      </c>
      <c r="F810" s="2" t="s">
        <v>7644</v>
      </c>
      <c r="G810" s="2">
        <v>21237</v>
      </c>
      <c r="H810" s="3" t="str">
        <f>HYPERLINK("https://cloud.oebiotech.com/#/lm/network/21237", "https://cloud.oebiotech.com/#/lm/network/21237")</f>
        <v>https://cloud.oebiotech.com/#/lm/network/21237</v>
      </c>
      <c r="I810" s="2"/>
      <c r="J810" s="2">
        <v>46716</v>
      </c>
      <c r="K810" s="2" t="s">
        <v>7645</v>
      </c>
      <c r="L810" s="2">
        <v>42607466</v>
      </c>
      <c r="M810" s="2"/>
      <c r="N810" s="2"/>
      <c r="O810" s="2"/>
      <c r="P810" s="2">
        <v>78390</v>
      </c>
      <c r="Q810" s="2"/>
      <c r="R810" s="2"/>
      <c r="S810" s="2"/>
      <c r="T810" s="2" t="s">
        <v>7646</v>
      </c>
      <c r="U810" s="2" t="s">
        <v>7647</v>
      </c>
      <c r="V810" s="2" t="s">
        <v>95</v>
      </c>
      <c r="W810" s="2" t="s">
        <v>202</v>
      </c>
      <c r="X810" s="2" t="s">
        <v>327</v>
      </c>
      <c r="Y810" s="2" t="s">
        <v>98</v>
      </c>
      <c r="Z810" s="2" t="s">
        <v>204</v>
      </c>
      <c r="AA810" s="2" t="s">
        <v>328</v>
      </c>
      <c r="AB810" s="2" t="s">
        <v>3086</v>
      </c>
      <c r="AC810" s="2">
        <v>53.61</v>
      </c>
      <c r="AD810" s="2">
        <v>96.95</v>
      </c>
      <c r="AE810" s="2">
        <v>0</v>
      </c>
      <c r="AF810" s="2" t="s">
        <v>5614</v>
      </c>
      <c r="AG810" s="2" t="s">
        <v>103</v>
      </c>
      <c r="AH810" s="2" t="s">
        <v>7648</v>
      </c>
      <c r="AI810" s="2">
        <v>-0.68</v>
      </c>
      <c r="AJ810" s="2">
        <v>21.5906823655742</v>
      </c>
      <c r="AK810" s="2">
        <v>21.606771687806901</v>
      </c>
      <c r="AL810" s="2">
        <v>21.664836488831899</v>
      </c>
      <c r="AM810" s="2">
        <v>21.711311046268701</v>
      </c>
      <c r="AN810" s="2">
        <v>21.780506827774101</v>
      </c>
      <c r="AO810" s="2">
        <v>21.926085059753699</v>
      </c>
      <c r="AP810" s="2">
        <v>21.828922698025501</v>
      </c>
      <c r="AQ810" s="2">
        <v>21.5844922602152</v>
      </c>
      <c r="AR810" s="2">
        <v>21.8018647244912</v>
      </c>
      <c r="AS810" s="2">
        <v>20.813535116839802</v>
      </c>
      <c r="AT810" s="2">
        <v>20.649458345795999</v>
      </c>
      <c r="AU810" s="2">
        <v>20.7279372680084</v>
      </c>
      <c r="AV810" s="2">
        <v>21.6872597514677</v>
      </c>
      <c r="AW810" s="2">
        <v>21.207918015982901</v>
      </c>
      <c r="AX810" s="2">
        <v>21.279280702898699</v>
      </c>
      <c r="AY810" s="2">
        <v>21.012146769703101</v>
      </c>
      <c r="AZ810" s="2">
        <v>21.643600032310001</v>
      </c>
      <c r="BA810" s="2">
        <v>19.751274025366801</v>
      </c>
      <c r="BB810" s="2">
        <v>21.277858344088401</v>
      </c>
      <c r="BC810" s="2">
        <v>21.282271982599699</v>
      </c>
      <c r="BD810" s="2">
        <v>21.191715948673998</v>
      </c>
      <c r="BE810" s="2">
        <v>21.7546691660249</v>
      </c>
      <c r="BF810" s="2">
        <v>20.8117609435688</v>
      </c>
      <c r="BG810" s="2">
        <v>22.104888815228801</v>
      </c>
      <c r="BH810" s="2">
        <v>22.895732961296002</v>
      </c>
      <c r="BI810" s="2">
        <v>20.762480827390501</v>
      </c>
      <c r="BJ810" s="2">
        <v>20.060161539339902</v>
      </c>
      <c r="BK810" s="2">
        <v>21.735141939142899</v>
      </c>
      <c r="BL810" s="2">
        <v>22.105348350115399</v>
      </c>
      <c r="BM810" s="2">
        <v>21.2667853856858</v>
      </c>
      <c r="BN810" s="2">
        <v>21.5104556052422</v>
      </c>
      <c r="BO810" s="2">
        <v>21.127662163076799</v>
      </c>
      <c r="BP810" s="2">
        <v>21.2901341917119</v>
      </c>
      <c r="BQ810" s="2">
        <v>21.3165185966999</v>
      </c>
      <c r="BR810" s="2">
        <v>22.051113815014201</v>
      </c>
      <c r="BS810" s="2">
        <v>21.453974516320802</v>
      </c>
      <c r="BT810" s="2">
        <v>21.012327122296998</v>
      </c>
      <c r="BU810" s="2">
        <v>19.417708241463799</v>
      </c>
      <c r="BV810" s="2">
        <v>21.278975781500002</v>
      </c>
      <c r="BW810" s="2">
        <v>21.1558249289948</v>
      </c>
      <c r="BX810" s="2">
        <v>21.2314421777326</v>
      </c>
      <c r="BY810" s="2">
        <v>22.0043463856423</v>
      </c>
      <c r="BZ810" s="2">
        <v>19.954551995008899</v>
      </c>
      <c r="CA810" s="2">
        <v>21.910413661026801</v>
      </c>
      <c r="CB810" s="2">
        <v>21.234175516329898</v>
      </c>
      <c r="CC810" s="2">
        <v>19.236770911108099</v>
      </c>
      <c r="CD810" s="2">
        <v>20.485065205527398</v>
      </c>
      <c r="CE810" s="2">
        <v>21.7712565539825</v>
      </c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</row>
    <row r="811" spans="1:97">
      <c r="A811" s="2" t="s">
        <v>7649</v>
      </c>
      <c r="B811" s="2">
        <v>118.0616</v>
      </c>
      <c r="C811" s="2">
        <v>0.72099999999999997</v>
      </c>
      <c r="D811" s="2" t="s">
        <v>84</v>
      </c>
      <c r="E811" s="2" t="s">
        <v>7650</v>
      </c>
      <c r="F811" s="2" t="s">
        <v>7651</v>
      </c>
      <c r="G811" s="2">
        <v>46886</v>
      </c>
      <c r="H811" s="3" t="str">
        <f>HYPERLINK("https://cloud.oebiotech.com/#/lm/network/46886", "https://cloud.oebiotech.com/#/lm/network/46886")</f>
        <v>https://cloud.oebiotech.com/#/lm/network/46886</v>
      </c>
      <c r="I811" s="2" t="s">
        <v>7652</v>
      </c>
      <c r="J811" s="2">
        <v>9</v>
      </c>
      <c r="K811" s="2"/>
      <c r="L811" s="2">
        <v>763</v>
      </c>
      <c r="M811" s="2" t="s">
        <v>7653</v>
      </c>
      <c r="N811" s="2" t="s">
        <v>468</v>
      </c>
      <c r="O811" s="2" t="s">
        <v>469</v>
      </c>
      <c r="P811" s="2">
        <v>16344</v>
      </c>
      <c r="Q811" s="2" t="s">
        <v>7654</v>
      </c>
      <c r="R811" s="2" t="s">
        <v>7655</v>
      </c>
      <c r="S811" s="2" t="s">
        <v>7656</v>
      </c>
      <c r="T811" s="2" t="s">
        <v>7657</v>
      </c>
      <c r="U811" s="2" t="s">
        <v>7658</v>
      </c>
      <c r="V811" s="2" t="s">
        <v>115</v>
      </c>
      <c r="W811" s="2" t="s">
        <v>116</v>
      </c>
      <c r="X811" s="2" t="s">
        <v>117</v>
      </c>
      <c r="Y811" s="2" t="s">
        <v>118</v>
      </c>
      <c r="Z811" s="2" t="s">
        <v>119</v>
      </c>
      <c r="AA811" s="2" t="s">
        <v>120</v>
      </c>
      <c r="AB811" s="2" t="s">
        <v>3086</v>
      </c>
      <c r="AC811" s="2">
        <v>53.6</v>
      </c>
      <c r="AD811" s="2">
        <v>97.46</v>
      </c>
      <c r="AE811" s="2">
        <v>0</v>
      </c>
      <c r="AF811" s="2" t="s">
        <v>5614</v>
      </c>
      <c r="AG811" s="2" t="s">
        <v>103</v>
      </c>
      <c r="AH811" s="2" t="s">
        <v>7659</v>
      </c>
      <c r="AI811" s="2">
        <v>-4.24</v>
      </c>
      <c r="AJ811" s="2">
        <v>21.4694441628099</v>
      </c>
      <c r="AK811" s="2">
        <v>22.262339494516901</v>
      </c>
      <c r="AL811" s="2">
        <v>21.937566916047899</v>
      </c>
      <c r="AM811" s="2">
        <v>21.359594617884401</v>
      </c>
      <c r="AN811" s="2">
        <v>21.963759392938201</v>
      </c>
      <c r="AO811" s="2">
        <v>22.238139004163401</v>
      </c>
      <c r="AP811" s="2">
        <v>21.459458330109999</v>
      </c>
      <c r="AQ811" s="2">
        <v>21.381000810019302</v>
      </c>
      <c r="AR811" s="2">
        <v>21.791384826034299</v>
      </c>
      <c r="AS811" s="2">
        <v>20.780924959936399</v>
      </c>
      <c r="AT811" s="2">
        <v>21.6031723618852</v>
      </c>
      <c r="AU811" s="2">
        <v>21.543991476482699</v>
      </c>
      <c r="AV811" s="2">
        <v>21.9161927480936</v>
      </c>
      <c r="AW811" s="2">
        <v>20.7988160382336</v>
      </c>
      <c r="AX811" s="2">
        <v>21.705386183228701</v>
      </c>
      <c r="AY811" s="2">
        <v>21.2454628611267</v>
      </c>
      <c r="AZ811" s="2">
        <v>22.123979621347399</v>
      </c>
      <c r="BA811" s="2">
        <v>21.4290851710448</v>
      </c>
      <c r="BB811" s="2">
        <v>21.0416639704329</v>
      </c>
      <c r="BC811" s="2">
        <v>21.4318700376168</v>
      </c>
      <c r="BD811" s="2">
        <v>22.084833785725301</v>
      </c>
      <c r="BE811" s="2">
        <v>21.7531553031525</v>
      </c>
      <c r="BF811" s="2">
        <v>21.697982429818701</v>
      </c>
      <c r="BG811" s="2">
        <v>21.178913906208699</v>
      </c>
      <c r="BH811" s="2">
        <v>22.7445816288839</v>
      </c>
      <c r="BI811" s="2">
        <v>21.372492619913</v>
      </c>
      <c r="BJ811" s="2">
        <v>21.727630549652901</v>
      </c>
      <c r="BK811" s="2">
        <v>22.3078655687032</v>
      </c>
      <c r="BL811" s="2">
        <v>21.927865548047599</v>
      </c>
      <c r="BM811" s="2">
        <v>21.2284997841906</v>
      </c>
      <c r="BN811" s="2">
        <v>21.574294781115601</v>
      </c>
      <c r="BO811" s="2">
        <v>21.308383529231602</v>
      </c>
      <c r="BP811" s="2">
        <v>21.302584714839799</v>
      </c>
      <c r="BQ811" s="2">
        <v>22.135456422873599</v>
      </c>
      <c r="BR811" s="2">
        <v>21.710312593251999</v>
      </c>
      <c r="BS811" s="2">
        <v>21.693106105009601</v>
      </c>
      <c r="BT811" s="2">
        <v>21.6162619103625</v>
      </c>
      <c r="BU811" s="2">
        <v>21.958064186124101</v>
      </c>
      <c r="BV811" s="2">
        <v>21.504872035472001</v>
      </c>
      <c r="BW811" s="2">
        <v>22.195474965003701</v>
      </c>
      <c r="BX811" s="2">
        <v>21.809446443939699</v>
      </c>
      <c r="BY811" s="2">
        <v>21.646091343585901</v>
      </c>
      <c r="BZ811" s="2">
        <v>22.279742290760598</v>
      </c>
      <c r="CA811" s="2">
        <v>22.295643639927999</v>
      </c>
      <c r="CB811" s="2">
        <v>21.801610073231799</v>
      </c>
      <c r="CC811" s="2">
        <v>21.068063421308601</v>
      </c>
      <c r="CD811" s="2">
        <v>21.836028959625398</v>
      </c>
      <c r="CE811" s="2">
        <v>20.826922335616999</v>
      </c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</row>
    <row r="812" spans="1:97">
      <c r="A812" s="2" t="s">
        <v>7660</v>
      </c>
      <c r="B812" s="2">
        <v>157.08663000000001</v>
      </c>
      <c r="C812" s="2">
        <v>6.86</v>
      </c>
      <c r="D812" s="2" t="s">
        <v>146</v>
      </c>
      <c r="E812" s="2" t="s">
        <v>7661</v>
      </c>
      <c r="F812" s="2" t="s">
        <v>7662</v>
      </c>
      <c r="G812" s="2">
        <v>56058</v>
      </c>
      <c r="H812" s="3" t="str">
        <f>HYPERLINK("https://cloud.oebiotech.com/#/lm/network/56058", "https://cloud.oebiotech.com/#/lm/network/56058")</f>
        <v>https://cloud.oebiotech.com/#/lm/network/56058</v>
      </c>
      <c r="I812" s="2" t="s">
        <v>7663</v>
      </c>
      <c r="J812" s="2">
        <v>87748</v>
      </c>
      <c r="K812" s="2"/>
      <c r="L812" s="2">
        <v>11419</v>
      </c>
      <c r="M812" s="2"/>
      <c r="N812" s="2"/>
      <c r="O812" s="2"/>
      <c r="P812" s="2"/>
      <c r="Q812" s="2"/>
      <c r="R812" s="2"/>
      <c r="S812" s="2" t="s">
        <v>7664</v>
      </c>
      <c r="T812" s="2" t="s">
        <v>7665</v>
      </c>
      <c r="U812" s="2" t="s">
        <v>7666</v>
      </c>
      <c r="V812" s="2" t="s">
        <v>338</v>
      </c>
      <c r="W812" s="2" t="s">
        <v>339</v>
      </c>
      <c r="X812" s="2" t="s">
        <v>340</v>
      </c>
      <c r="Y812" s="2" t="s">
        <v>341</v>
      </c>
      <c r="Z812" s="2" t="s">
        <v>341</v>
      </c>
      <c r="AA812" s="2" t="s">
        <v>342</v>
      </c>
      <c r="AB812" s="2" t="s">
        <v>3086</v>
      </c>
      <c r="AC812" s="2">
        <v>53.59</v>
      </c>
      <c r="AD812" s="2">
        <v>95.1</v>
      </c>
      <c r="AE812" s="2">
        <v>0</v>
      </c>
      <c r="AF812" s="2" t="s">
        <v>7667</v>
      </c>
      <c r="AG812" s="2" t="s">
        <v>157</v>
      </c>
      <c r="AH812" s="2" t="s">
        <v>7668</v>
      </c>
      <c r="AI812" s="2">
        <v>2.5499999999999998</v>
      </c>
      <c r="AJ812" s="2">
        <v>22.6023462367788</v>
      </c>
      <c r="AK812" s="2">
        <v>22.762895534236701</v>
      </c>
      <c r="AL812" s="2">
        <v>22.224058655630099</v>
      </c>
      <c r="AM812" s="2">
        <v>22.543049034573801</v>
      </c>
      <c r="AN812" s="2">
        <v>22.592916903676201</v>
      </c>
      <c r="AO812" s="2">
        <v>22.6265765536209</v>
      </c>
      <c r="AP812" s="2">
        <v>22.585163048362801</v>
      </c>
      <c r="AQ812" s="2">
        <v>22.675849812702399</v>
      </c>
      <c r="AR812" s="2">
        <v>22.552735844328598</v>
      </c>
      <c r="AS812" s="2">
        <v>21.5082808112093</v>
      </c>
      <c r="AT812" s="2">
        <v>22.1525198575921</v>
      </c>
      <c r="AU812" s="2">
        <v>22.277175582117899</v>
      </c>
      <c r="AV812" s="2">
        <v>22.2387698419492</v>
      </c>
      <c r="AW812" s="2">
        <v>23.421918584705299</v>
      </c>
      <c r="AX812" s="2">
        <v>22.246871873640998</v>
      </c>
      <c r="AY812" s="2">
        <v>22.578153074743401</v>
      </c>
      <c r="AZ812" s="2">
        <v>22.367707635096501</v>
      </c>
      <c r="BA812" s="2">
        <v>22.241527363751199</v>
      </c>
      <c r="BB812" s="2">
        <v>22.595018327380501</v>
      </c>
      <c r="BC812" s="2">
        <v>22.8094385265128</v>
      </c>
      <c r="BD812" s="2">
        <v>21.710922745827499</v>
      </c>
      <c r="BE812" s="2">
        <v>22.664077548913401</v>
      </c>
      <c r="BF812" s="2">
        <v>21.904466655826599</v>
      </c>
      <c r="BG812" s="2">
        <v>21.4925422418418</v>
      </c>
      <c r="BH812" s="2">
        <v>22.3682080636788</v>
      </c>
      <c r="BI812" s="2">
        <v>22.764871420698601</v>
      </c>
      <c r="BJ812" s="2">
        <v>22.448849698144802</v>
      </c>
      <c r="BK812" s="2">
        <v>22.273286431304101</v>
      </c>
      <c r="BL812" s="2">
        <v>22.643218998927001</v>
      </c>
      <c r="BM812" s="2">
        <v>22.2220363743006</v>
      </c>
      <c r="BN812" s="2">
        <v>22.923717891289201</v>
      </c>
      <c r="BO812" s="2">
        <v>22.084101175687099</v>
      </c>
      <c r="BP812" s="2">
        <v>21.908616536447401</v>
      </c>
      <c r="BQ812" s="2">
        <v>22.772851446103001</v>
      </c>
      <c r="BR812" s="2">
        <v>23.318172401091701</v>
      </c>
      <c r="BS812" s="2">
        <v>23.063267219592401</v>
      </c>
      <c r="BT812" s="2">
        <v>22.332606177775698</v>
      </c>
      <c r="BU812" s="2">
        <v>22.207561132681501</v>
      </c>
      <c r="BV812" s="2">
        <v>22.0042849997586</v>
      </c>
      <c r="BW812" s="2">
        <v>21.3798635194258</v>
      </c>
      <c r="BX812" s="2">
        <v>21.867361535541701</v>
      </c>
      <c r="BY812" s="2">
        <v>23.628856556023599</v>
      </c>
      <c r="BZ812" s="2">
        <v>21.989238221917599</v>
      </c>
      <c r="CA812" s="2">
        <v>21.663730312810401</v>
      </c>
      <c r="CB812" s="2">
        <v>24.262419836836099</v>
      </c>
      <c r="CC812" s="2">
        <v>22.154760970963299</v>
      </c>
      <c r="CD812" s="2">
        <v>22.409429483045201</v>
      </c>
      <c r="CE812" s="2">
        <v>22.3597556290093</v>
      </c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</row>
    <row r="813" spans="1:97">
      <c r="A813" s="2" t="s">
        <v>7669</v>
      </c>
      <c r="B813" s="2">
        <v>192.12278000000001</v>
      </c>
      <c r="C813" s="2">
        <v>0.75700000000000001</v>
      </c>
      <c r="D813" s="2" t="s">
        <v>84</v>
      </c>
      <c r="E813" s="2" t="s">
        <v>7670</v>
      </c>
      <c r="F813" s="2" t="s">
        <v>7671</v>
      </c>
      <c r="G813" s="2">
        <v>204220</v>
      </c>
      <c r="H813" s="3" t="str">
        <f>HYPERLINK("https://cloud.oebiotech.com/#/lm/network/204220", "https://cloud.oebiotech.com/#/lm/network/204220")</f>
        <v>https://cloud.oebiotech.com/#/lm/network/204220</v>
      </c>
      <c r="I813" s="2" t="s">
        <v>7672</v>
      </c>
      <c r="J813" s="2">
        <v>353689</v>
      </c>
      <c r="K813" s="2"/>
      <c r="L813" s="2">
        <v>81462</v>
      </c>
      <c r="M813" s="2"/>
      <c r="N813" s="2"/>
      <c r="O813" s="2"/>
      <c r="P813" s="2">
        <v>41250</v>
      </c>
      <c r="Q813" s="2"/>
      <c r="R813" s="2"/>
      <c r="S813" s="2"/>
      <c r="T813" s="2" t="s">
        <v>7673</v>
      </c>
      <c r="U813" s="2" t="s">
        <v>7674</v>
      </c>
      <c r="V813" s="2" t="s">
        <v>166</v>
      </c>
      <c r="W813" s="2" t="s">
        <v>167</v>
      </c>
      <c r="X813" s="2" t="s">
        <v>482</v>
      </c>
      <c r="Y813" s="2" t="s">
        <v>169</v>
      </c>
      <c r="Z813" s="2" t="s">
        <v>169</v>
      </c>
      <c r="AA813" s="2" t="s">
        <v>483</v>
      </c>
      <c r="AB813" s="2" t="s">
        <v>3086</v>
      </c>
      <c r="AC813" s="2">
        <v>53.59</v>
      </c>
      <c r="AD813" s="2">
        <v>94.57</v>
      </c>
      <c r="AE813" s="2">
        <v>0</v>
      </c>
      <c r="AF813" s="2" t="s">
        <v>5614</v>
      </c>
      <c r="AG813" s="2" t="s">
        <v>1088</v>
      </c>
      <c r="AH813" s="2" t="s">
        <v>7675</v>
      </c>
      <c r="AI813" s="2">
        <v>4.16</v>
      </c>
      <c r="AJ813" s="2">
        <v>19.794817183204199</v>
      </c>
      <c r="AK813" s="2">
        <v>20.370039026492201</v>
      </c>
      <c r="AL813" s="2">
        <v>20.125769166151802</v>
      </c>
      <c r="AM813" s="2">
        <v>20.394896117120801</v>
      </c>
      <c r="AN813" s="2">
        <v>20.204229139428101</v>
      </c>
      <c r="AO813" s="2">
        <v>20.0724761001076</v>
      </c>
      <c r="AP813" s="2">
        <v>20.043262968276998</v>
      </c>
      <c r="AQ813" s="2">
        <v>20.094473252686601</v>
      </c>
      <c r="AR813" s="2">
        <v>9.6233145402724691</v>
      </c>
      <c r="AS813" s="2">
        <v>19.499706393250001</v>
      </c>
      <c r="AT813" s="2">
        <v>9.6233145402724691</v>
      </c>
      <c r="AU813" s="2">
        <v>18.793169324268199</v>
      </c>
      <c r="AV813" s="2">
        <v>17.4709908514359</v>
      </c>
      <c r="AW813" s="2">
        <v>19.596535837226501</v>
      </c>
      <c r="AX813" s="2">
        <v>17.5794701880865</v>
      </c>
      <c r="AY813" s="2">
        <v>9.6233145402724691</v>
      </c>
      <c r="AZ813" s="2">
        <v>20.260692027806101</v>
      </c>
      <c r="BA813" s="2">
        <v>20.6980570206753</v>
      </c>
      <c r="BB813" s="2">
        <v>23.375405767057099</v>
      </c>
      <c r="BC813" s="2">
        <v>22.568730856779801</v>
      </c>
      <c r="BD813" s="2">
        <v>20.7648973552309</v>
      </c>
      <c r="BE813" s="2">
        <v>18.703738079458301</v>
      </c>
      <c r="BF813" s="2">
        <v>16.8083479677247</v>
      </c>
      <c r="BG813" s="2">
        <v>19.453586623063799</v>
      </c>
      <c r="BH813" s="2">
        <v>20.340795524516501</v>
      </c>
      <c r="BI813" s="2">
        <v>20.2603072807612</v>
      </c>
      <c r="BJ813" s="2">
        <v>20.3584409048498</v>
      </c>
      <c r="BK813" s="2">
        <v>9.6233145402724691</v>
      </c>
      <c r="BL813" s="2">
        <v>16.4925899099083</v>
      </c>
      <c r="BM813" s="2">
        <v>19.147388738771902</v>
      </c>
      <c r="BN813" s="2">
        <v>16.427724011248898</v>
      </c>
      <c r="BO813" s="2">
        <v>18.575886716873502</v>
      </c>
      <c r="BP813" s="2">
        <v>16.710653365190399</v>
      </c>
      <c r="BQ813" s="2">
        <v>18.643529221686698</v>
      </c>
      <c r="BR813" s="2">
        <v>18.425305126310299</v>
      </c>
      <c r="BS813" s="2">
        <v>17.0863572742306</v>
      </c>
      <c r="BT813" s="2">
        <v>18.751051127740599</v>
      </c>
      <c r="BU813" s="2">
        <v>20.289812653814099</v>
      </c>
      <c r="BV813" s="2">
        <v>22.430426663228801</v>
      </c>
      <c r="BW813" s="2">
        <v>21.744963480006</v>
      </c>
      <c r="BX813" s="2">
        <v>20.741758016239999</v>
      </c>
      <c r="BY813" s="2">
        <v>18.917243890299599</v>
      </c>
      <c r="BZ813" s="2">
        <v>9.6233145402724691</v>
      </c>
      <c r="CA813" s="2">
        <v>19.974112572908101</v>
      </c>
      <c r="CB813" s="2">
        <v>20.399767835932799</v>
      </c>
      <c r="CC813" s="2">
        <v>19.183584161711298</v>
      </c>
      <c r="CD813" s="2">
        <v>20.457200629133599</v>
      </c>
      <c r="CE813" s="2">
        <v>9.6233145402724691</v>
      </c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</row>
    <row r="814" spans="1:97">
      <c r="A814" s="2" t="s">
        <v>7676</v>
      </c>
      <c r="B814" s="2">
        <v>536.37067999999999</v>
      </c>
      <c r="C814" s="2">
        <v>11.143000000000001</v>
      </c>
      <c r="D814" s="2" t="s">
        <v>84</v>
      </c>
      <c r="E814" s="2" t="s">
        <v>7677</v>
      </c>
      <c r="F814" s="2" t="s">
        <v>7678</v>
      </c>
      <c r="G814" s="2">
        <v>19894</v>
      </c>
      <c r="H814" s="3" t="str">
        <f>HYPERLINK("https://cloud.oebiotech.com/#/lm/network/19894", "https://cloud.oebiotech.com/#/lm/network/19894")</f>
        <v>https://cloud.oebiotech.com/#/lm/network/19894</v>
      </c>
      <c r="I814" s="2"/>
      <c r="J814" s="2"/>
      <c r="K814" s="2" t="s">
        <v>7679</v>
      </c>
      <c r="L814" s="2">
        <v>15515616</v>
      </c>
      <c r="M814" s="2"/>
      <c r="N814" s="2"/>
      <c r="O814" s="2"/>
      <c r="P814" s="2"/>
      <c r="Q814" s="2"/>
      <c r="R814" s="2"/>
      <c r="S814" s="2"/>
      <c r="T814" s="2" t="s">
        <v>7680</v>
      </c>
      <c r="U814" s="2" t="s">
        <v>7681</v>
      </c>
      <c r="V814" s="2" t="s">
        <v>95</v>
      </c>
      <c r="W814" s="2" t="s">
        <v>202</v>
      </c>
      <c r="X814" s="2" t="s">
        <v>203</v>
      </c>
      <c r="Y814" s="2" t="s">
        <v>98</v>
      </c>
      <c r="Z814" s="2" t="s">
        <v>204</v>
      </c>
      <c r="AA814" s="2" t="s">
        <v>205</v>
      </c>
      <c r="AB814" s="2" t="s">
        <v>3086</v>
      </c>
      <c r="AC814" s="2">
        <v>53.52</v>
      </c>
      <c r="AD814" s="2">
        <v>81.64</v>
      </c>
      <c r="AE814" s="2">
        <v>0</v>
      </c>
      <c r="AF814" s="2" t="s">
        <v>5614</v>
      </c>
      <c r="AG814" s="2" t="s">
        <v>103</v>
      </c>
      <c r="AH814" s="2" t="s">
        <v>1114</v>
      </c>
      <c r="AI814" s="2">
        <v>0.75</v>
      </c>
      <c r="AJ814" s="2">
        <v>18.393650883297699</v>
      </c>
      <c r="AK814" s="2">
        <v>18.8810425735685</v>
      </c>
      <c r="AL814" s="2">
        <v>18.857735968548401</v>
      </c>
      <c r="AM814" s="2">
        <v>18.1667071101039</v>
      </c>
      <c r="AN814" s="2">
        <v>18.640138718861699</v>
      </c>
      <c r="AO814" s="2">
        <v>18.525210974746201</v>
      </c>
      <c r="AP814" s="2">
        <v>18.474752737557701</v>
      </c>
      <c r="AQ814" s="2">
        <v>18.4935097334753</v>
      </c>
      <c r="AR814" s="2">
        <v>18.914474538634899</v>
      </c>
      <c r="AS814" s="2">
        <v>17.138815248681698</v>
      </c>
      <c r="AT814" s="2">
        <v>17.3454962959493</v>
      </c>
      <c r="AU814" s="2">
        <v>18.767295389030998</v>
      </c>
      <c r="AV814" s="2">
        <v>18.4557239406065</v>
      </c>
      <c r="AW814" s="2">
        <v>18.220603967340701</v>
      </c>
      <c r="AX814" s="2">
        <v>18.9891601892372</v>
      </c>
      <c r="AY814" s="2">
        <v>17.620322865335702</v>
      </c>
      <c r="AZ814" s="2">
        <v>18.645111133664798</v>
      </c>
      <c r="BA814" s="2">
        <v>15.1648374136165</v>
      </c>
      <c r="BB814" s="2">
        <v>18.465658865946899</v>
      </c>
      <c r="BC814" s="2">
        <v>19.064779939809899</v>
      </c>
      <c r="BD814" s="2">
        <v>17.917563336718899</v>
      </c>
      <c r="BE814" s="2">
        <v>18.7195087464004</v>
      </c>
      <c r="BF814" s="2">
        <v>18.436227521209599</v>
      </c>
      <c r="BG814" s="2">
        <v>18.7162668528117</v>
      </c>
      <c r="BH814" s="2">
        <v>18.506947126908202</v>
      </c>
      <c r="BI814" s="2">
        <v>18.282235263719201</v>
      </c>
      <c r="BJ814" s="2">
        <v>17.924686336485799</v>
      </c>
      <c r="BK814" s="2">
        <v>17.311606422205202</v>
      </c>
      <c r="BL814" s="2">
        <v>18.4079679268809</v>
      </c>
      <c r="BM814" s="2">
        <v>18.490546823854601</v>
      </c>
      <c r="BN814" s="2">
        <v>18.110676551371899</v>
      </c>
      <c r="BO814" s="2">
        <v>18.6473960618818</v>
      </c>
      <c r="BP814" s="2">
        <v>18.082528401802101</v>
      </c>
      <c r="BQ814" s="2">
        <v>18.576063263100099</v>
      </c>
      <c r="BR814" s="2">
        <v>18.1465352151851</v>
      </c>
      <c r="BS814" s="2">
        <v>18.2216026023628</v>
      </c>
      <c r="BT814" s="2">
        <v>18.871753726034601</v>
      </c>
      <c r="BU814" s="2">
        <v>18.165329676563498</v>
      </c>
      <c r="BV814" s="2">
        <v>18.4026231447436</v>
      </c>
      <c r="BW814" s="2">
        <v>18.1999413491043</v>
      </c>
      <c r="BX814" s="2">
        <v>18.605211027835001</v>
      </c>
      <c r="BY814" s="2">
        <v>19.388848937770401</v>
      </c>
      <c r="BZ814" s="2">
        <v>18.279178398766</v>
      </c>
      <c r="CA814" s="2">
        <v>19.14470289822</v>
      </c>
      <c r="CB814" s="2">
        <v>18.1410854183768</v>
      </c>
      <c r="CC814" s="2">
        <v>17.959608579737399</v>
      </c>
      <c r="CD814" s="2">
        <v>18.8393400556069</v>
      </c>
      <c r="CE814" s="2">
        <v>16.622517604995</v>
      </c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</row>
    <row r="815" spans="1:97">
      <c r="A815" s="2" t="s">
        <v>7682</v>
      </c>
      <c r="B815" s="2">
        <v>447.31</v>
      </c>
      <c r="C815" s="2">
        <v>9.3260000000000005</v>
      </c>
      <c r="D815" s="2" t="s">
        <v>84</v>
      </c>
      <c r="E815" s="2" t="s">
        <v>7683</v>
      </c>
      <c r="F815" s="2" t="s">
        <v>7684</v>
      </c>
      <c r="G815" s="2">
        <v>82113</v>
      </c>
      <c r="H815" s="3" t="str">
        <f>HYPERLINK("https://cloud.oebiotech.com/#/lm/network/82113", "https://cloud.oebiotech.com/#/lm/network/82113")</f>
        <v>https://cloud.oebiotech.com/#/lm/network/82113</v>
      </c>
      <c r="I815" s="2" t="s">
        <v>7685</v>
      </c>
      <c r="J815" s="2"/>
      <c r="K815" s="2"/>
      <c r="L815" s="2">
        <v>73946406</v>
      </c>
      <c r="M815" s="2"/>
      <c r="N815" s="2"/>
      <c r="O815" s="2"/>
      <c r="P815" s="2"/>
      <c r="Q815" s="2"/>
      <c r="R815" s="2"/>
      <c r="S815" s="2"/>
      <c r="T815" s="2" t="s">
        <v>7686</v>
      </c>
      <c r="U815" s="2" t="s">
        <v>7687</v>
      </c>
      <c r="V815" s="2" t="s">
        <v>95</v>
      </c>
      <c r="W815" s="2" t="s">
        <v>152</v>
      </c>
      <c r="X815" s="2" t="s">
        <v>1484</v>
      </c>
      <c r="Y815" s="2" t="s">
        <v>98</v>
      </c>
      <c r="Z815" s="2" t="s">
        <v>154</v>
      </c>
      <c r="AA815" s="2" t="s">
        <v>1485</v>
      </c>
      <c r="AB815" s="2" t="s">
        <v>3086</v>
      </c>
      <c r="AC815" s="2">
        <v>53.5</v>
      </c>
      <c r="AD815" s="2">
        <v>81.36</v>
      </c>
      <c r="AE815" s="2">
        <v>0</v>
      </c>
      <c r="AF815" s="2" t="s">
        <v>5614</v>
      </c>
      <c r="AG815" s="2" t="s">
        <v>103</v>
      </c>
      <c r="AH815" s="2" t="s">
        <v>4443</v>
      </c>
      <c r="AI815" s="2">
        <v>1.1200000000000001</v>
      </c>
      <c r="AJ815" s="2">
        <v>17.3201568359848</v>
      </c>
      <c r="AK815" s="2">
        <v>16.7456531865164</v>
      </c>
      <c r="AL815" s="2">
        <v>17.260096337304301</v>
      </c>
      <c r="AM815" s="2">
        <v>17.4093421216986</v>
      </c>
      <c r="AN815" s="2">
        <v>17.303919846264101</v>
      </c>
      <c r="AO815" s="2">
        <v>17.3709965615339</v>
      </c>
      <c r="AP815" s="2">
        <v>17.1617220898993</v>
      </c>
      <c r="AQ815" s="2">
        <v>16.680529025827401</v>
      </c>
      <c r="AR815" s="2">
        <v>15.265808408571999</v>
      </c>
      <c r="AS815" s="2">
        <v>15.873152814054199</v>
      </c>
      <c r="AT815" s="2">
        <v>16.9986452965944</v>
      </c>
      <c r="AU815" s="2">
        <v>15.473683873144299</v>
      </c>
      <c r="AV815" s="2">
        <v>17.1922345313424</v>
      </c>
      <c r="AW815" s="2">
        <v>17.602211626732899</v>
      </c>
      <c r="AX815" s="2">
        <v>17.969052398465401</v>
      </c>
      <c r="AY815" s="2">
        <v>9.6233145402724691</v>
      </c>
      <c r="AZ815" s="2">
        <v>15.709774184619199</v>
      </c>
      <c r="BA815" s="2">
        <v>17.145251046223098</v>
      </c>
      <c r="BB815" s="2">
        <v>17.273264086550899</v>
      </c>
      <c r="BC815" s="2">
        <v>17.816109039236999</v>
      </c>
      <c r="BD815" s="2">
        <v>15.380834745595999</v>
      </c>
      <c r="BE815" s="2">
        <v>17.182116818205301</v>
      </c>
      <c r="BF815" s="2">
        <v>16.1464366188718</v>
      </c>
      <c r="BG815" s="2">
        <v>18.093066648870899</v>
      </c>
      <c r="BH815" s="2">
        <v>16.546540463142399</v>
      </c>
      <c r="BI815" s="2">
        <v>15.754529236420799</v>
      </c>
      <c r="BJ815" s="2">
        <v>17.3588862171542</v>
      </c>
      <c r="BK815" s="2">
        <v>15.940429687209599</v>
      </c>
      <c r="BL815" s="2">
        <v>17.017083945262801</v>
      </c>
      <c r="BM815" s="2">
        <v>16.774938619023601</v>
      </c>
      <c r="BN815" s="2">
        <v>18.0498768863058</v>
      </c>
      <c r="BO815" s="2">
        <v>15.0822080988097</v>
      </c>
      <c r="BP815" s="2">
        <v>16.496323277275099</v>
      </c>
      <c r="BQ815" s="2">
        <v>17.830865241868899</v>
      </c>
      <c r="BR815" s="2">
        <v>16.964350796215101</v>
      </c>
      <c r="BS815" s="2">
        <v>9.6233145402724691</v>
      </c>
      <c r="BT815" s="2">
        <v>17.082598565795699</v>
      </c>
      <c r="BU815" s="2">
        <v>17.734023602867001</v>
      </c>
      <c r="BV815" s="2">
        <v>17.958854057242402</v>
      </c>
      <c r="BW815" s="2">
        <v>9.6233145402724691</v>
      </c>
      <c r="BX815" s="2">
        <v>15.6543305869644</v>
      </c>
      <c r="BY815" s="2">
        <v>16.978494851953901</v>
      </c>
      <c r="BZ815" s="2">
        <v>16.257384159336599</v>
      </c>
      <c r="CA815" s="2">
        <v>15.8168206710848</v>
      </c>
      <c r="CB815" s="2">
        <v>17.396862788345398</v>
      </c>
      <c r="CC815" s="2">
        <v>17.332223046472201</v>
      </c>
      <c r="CD815" s="2">
        <v>18.243072289305999</v>
      </c>
      <c r="CE815" s="2">
        <v>16.047079807311601</v>
      </c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</row>
    <row r="816" spans="1:97">
      <c r="A816" s="2" t="s">
        <v>7688</v>
      </c>
      <c r="B816" s="2">
        <v>333.20418000000001</v>
      </c>
      <c r="C816" s="2">
        <v>10.587</v>
      </c>
      <c r="D816" s="2" t="s">
        <v>146</v>
      </c>
      <c r="E816" s="2" t="s">
        <v>7689</v>
      </c>
      <c r="F816" s="2" t="s">
        <v>7690</v>
      </c>
      <c r="G816" s="2">
        <v>4059</v>
      </c>
      <c r="H816" s="3" t="str">
        <f>HYPERLINK("https://cloud.oebiotech.com/#/lm/network/4059", "https://cloud.oebiotech.com/#/lm/network/4059")</f>
        <v>https://cloud.oebiotech.com/#/lm/network/4059</v>
      </c>
      <c r="I816" s="2"/>
      <c r="J816" s="2">
        <v>3850</v>
      </c>
      <c r="K816" s="2" t="s">
        <v>7691</v>
      </c>
      <c r="L816" s="2">
        <v>5283184</v>
      </c>
      <c r="M816" s="2"/>
      <c r="N816" s="2"/>
      <c r="O816" s="2"/>
      <c r="P816" s="2"/>
      <c r="Q816" s="2"/>
      <c r="R816" s="2"/>
      <c r="S816" s="2"/>
      <c r="T816" s="2" t="s">
        <v>7692</v>
      </c>
      <c r="U816" s="2" t="s">
        <v>7693</v>
      </c>
      <c r="V816" s="2" t="s">
        <v>95</v>
      </c>
      <c r="W816" s="2" t="s">
        <v>96</v>
      </c>
      <c r="X816" s="2" t="s">
        <v>3216</v>
      </c>
      <c r="Y816" s="2" t="s">
        <v>98</v>
      </c>
      <c r="Z816" s="2" t="s">
        <v>99</v>
      </c>
      <c r="AA816" s="2" t="s">
        <v>3217</v>
      </c>
      <c r="AB816" s="2" t="s">
        <v>3086</v>
      </c>
      <c r="AC816" s="2">
        <v>53.49</v>
      </c>
      <c r="AD816" s="2">
        <v>87.3</v>
      </c>
      <c r="AE816" s="2">
        <v>34.11</v>
      </c>
      <c r="AF816" s="2" t="s">
        <v>7694</v>
      </c>
      <c r="AG816" s="2" t="s">
        <v>194</v>
      </c>
      <c r="AH816" s="2" t="s">
        <v>7695</v>
      </c>
      <c r="AI816" s="2">
        <v>8.6999999999999993</v>
      </c>
      <c r="AJ816" s="2">
        <v>20.435648857980201</v>
      </c>
      <c r="AK816" s="2">
        <v>20.2256003873159</v>
      </c>
      <c r="AL816" s="2">
        <v>20.102495184317</v>
      </c>
      <c r="AM816" s="2">
        <v>20.276170534056298</v>
      </c>
      <c r="AN816" s="2">
        <v>20.2314461623067</v>
      </c>
      <c r="AO816" s="2">
        <v>20.1823426166854</v>
      </c>
      <c r="AP816" s="2">
        <v>20.169764438677401</v>
      </c>
      <c r="AQ816" s="2">
        <v>20.116648234941099</v>
      </c>
      <c r="AR816" s="2">
        <v>20.710672541677202</v>
      </c>
      <c r="AS816" s="2">
        <v>18.2011503862878</v>
      </c>
      <c r="AT816" s="2">
        <v>19.578849955226101</v>
      </c>
      <c r="AU816" s="2">
        <v>20.740144500311398</v>
      </c>
      <c r="AV816" s="2">
        <v>20.533035167969899</v>
      </c>
      <c r="AW816" s="2">
        <v>20.8657210468999</v>
      </c>
      <c r="AX816" s="2">
        <v>19.568942809080401</v>
      </c>
      <c r="AY816" s="2">
        <v>20.7084476555676</v>
      </c>
      <c r="AZ816" s="2">
        <v>19.340200984846099</v>
      </c>
      <c r="BA816" s="2">
        <v>18.974168868844899</v>
      </c>
      <c r="BB816" s="2">
        <v>19.930384063375602</v>
      </c>
      <c r="BC816" s="2">
        <v>19.910651088591401</v>
      </c>
      <c r="BD816" s="2">
        <v>19.022933043235401</v>
      </c>
      <c r="BE816" s="2">
        <v>19.987481851793302</v>
      </c>
      <c r="BF816" s="2">
        <v>19.829163501876099</v>
      </c>
      <c r="BG816" s="2">
        <v>17.339805822455499</v>
      </c>
      <c r="BH816" s="2">
        <v>21.8254726151653</v>
      </c>
      <c r="BI816" s="2">
        <v>18.568321929939</v>
      </c>
      <c r="BJ816" s="2">
        <v>20.342508154245099</v>
      </c>
      <c r="BK816" s="2">
        <v>20.069702871930801</v>
      </c>
      <c r="BL816" s="2">
        <v>19.084758284707799</v>
      </c>
      <c r="BM816" s="2">
        <v>20.0915197230659</v>
      </c>
      <c r="BN816" s="2">
        <v>20.543788876709701</v>
      </c>
      <c r="BO816" s="2">
        <v>18.849835169621599</v>
      </c>
      <c r="BP816" s="2">
        <v>19.2726542949848</v>
      </c>
      <c r="BQ816" s="2">
        <v>21.009578604580799</v>
      </c>
      <c r="BR816" s="2">
        <v>21.0122387496146</v>
      </c>
      <c r="BS816" s="2">
        <v>20.718797203244101</v>
      </c>
      <c r="BT816" s="2">
        <v>19.509618859297401</v>
      </c>
      <c r="BU816" s="2">
        <v>19.6316455527739</v>
      </c>
      <c r="BV816" s="2">
        <v>19.128073085269701</v>
      </c>
      <c r="BW816" s="2">
        <v>20.341754225757398</v>
      </c>
      <c r="BX816" s="2">
        <v>19.396677460097202</v>
      </c>
      <c r="BY816" s="2">
        <v>21.195918467762699</v>
      </c>
      <c r="BZ816" s="2">
        <v>19.951280374465799</v>
      </c>
      <c r="CA816" s="2">
        <v>20.410651469242801</v>
      </c>
      <c r="CB816" s="2">
        <v>20.4973670845661</v>
      </c>
      <c r="CC816" s="2">
        <v>18.998296256069299</v>
      </c>
      <c r="CD816" s="2">
        <v>19.766229421371602</v>
      </c>
      <c r="CE816" s="2">
        <v>18.835493939820399</v>
      </c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</row>
    <row r="817" spans="1:97">
      <c r="A817" s="2" t="s">
        <v>7696</v>
      </c>
      <c r="B817" s="2">
        <v>445.33150000000001</v>
      </c>
      <c r="C817" s="2">
        <v>13.663</v>
      </c>
      <c r="D817" s="2" t="s">
        <v>146</v>
      </c>
      <c r="E817" s="2" t="s">
        <v>7697</v>
      </c>
      <c r="F817" s="2" t="s">
        <v>7698</v>
      </c>
      <c r="G817" s="2">
        <v>202198</v>
      </c>
      <c r="H817" s="3" t="str">
        <f>HYPERLINK("https://cloud.oebiotech.com/#/lm/network/202198", "https://cloud.oebiotech.com/#/lm/network/202198")</f>
        <v>https://cloud.oebiotech.com/#/lm/network/202198</v>
      </c>
      <c r="I817" s="2" t="s">
        <v>7699</v>
      </c>
      <c r="J817" s="2"/>
      <c r="K817" s="2"/>
      <c r="L817" s="2">
        <v>2738130</v>
      </c>
      <c r="M817" s="2"/>
      <c r="N817" s="2"/>
      <c r="O817" s="2"/>
      <c r="P817" s="2"/>
      <c r="Q817" s="2"/>
      <c r="R817" s="2"/>
      <c r="S817" s="2"/>
      <c r="T817" s="2" t="s">
        <v>7700</v>
      </c>
      <c r="U817" s="2" t="s">
        <v>7701</v>
      </c>
      <c r="V817" s="2" t="s">
        <v>95</v>
      </c>
      <c r="W817" s="2" t="s">
        <v>152</v>
      </c>
      <c r="X817" s="2" t="s">
        <v>1420</v>
      </c>
      <c r="Y817" s="2" t="s">
        <v>98</v>
      </c>
      <c r="Z817" s="2" t="s">
        <v>154</v>
      </c>
      <c r="AA817" s="2" t="s">
        <v>1421</v>
      </c>
      <c r="AB817" s="2" t="s">
        <v>3086</v>
      </c>
      <c r="AC817" s="2">
        <v>53.48</v>
      </c>
      <c r="AD817" s="2">
        <v>81.75</v>
      </c>
      <c r="AE817" s="2">
        <v>0</v>
      </c>
      <c r="AF817" s="2" t="s">
        <v>5614</v>
      </c>
      <c r="AG817" s="2" t="s">
        <v>157</v>
      </c>
      <c r="AH817" s="2" t="s">
        <v>7702</v>
      </c>
      <c r="AI817" s="2">
        <v>1.8</v>
      </c>
      <c r="AJ817" s="2">
        <v>19.035182331653299</v>
      </c>
      <c r="AK817" s="2">
        <v>18.745805146332799</v>
      </c>
      <c r="AL817" s="2">
        <v>18.679482573637401</v>
      </c>
      <c r="AM817" s="2">
        <v>18.200653723698899</v>
      </c>
      <c r="AN817" s="2">
        <v>18.404923672626602</v>
      </c>
      <c r="AO817" s="2">
        <v>17.7681235089151</v>
      </c>
      <c r="AP817" s="2">
        <v>18.9277386748618</v>
      </c>
      <c r="AQ817" s="2">
        <v>18.880602100638601</v>
      </c>
      <c r="AR817" s="2">
        <v>17.0739869218291</v>
      </c>
      <c r="AS817" s="2">
        <v>17.985891288707801</v>
      </c>
      <c r="AT817" s="2">
        <v>18.453360711206599</v>
      </c>
      <c r="AU817" s="2">
        <v>17.743682955915101</v>
      </c>
      <c r="AV817" s="2">
        <v>17.172957951593101</v>
      </c>
      <c r="AW817" s="2">
        <v>17.735497783443002</v>
      </c>
      <c r="AX817" s="2">
        <v>18.8473224546381</v>
      </c>
      <c r="AY817" s="2">
        <v>19.086267956596998</v>
      </c>
      <c r="AZ817" s="2">
        <v>18.501536605080499</v>
      </c>
      <c r="BA817" s="2">
        <v>19.369276877916899</v>
      </c>
      <c r="BB817" s="2">
        <v>18.631025712888199</v>
      </c>
      <c r="BC817" s="2">
        <v>18.661701285574601</v>
      </c>
      <c r="BD817" s="2">
        <v>16.922979329160398</v>
      </c>
      <c r="BE817" s="2">
        <v>18.943449333429101</v>
      </c>
      <c r="BF817" s="2">
        <v>18.071333252919999</v>
      </c>
      <c r="BG817" s="2">
        <v>18.915986893226901</v>
      </c>
      <c r="BH817" s="2">
        <v>17.252386308260402</v>
      </c>
      <c r="BI817" s="2">
        <v>17.881656793505101</v>
      </c>
      <c r="BJ817" s="2">
        <v>18.673469401379101</v>
      </c>
      <c r="BK817" s="2">
        <v>16.372363300420002</v>
      </c>
      <c r="BL817" s="2">
        <v>17.522507589400199</v>
      </c>
      <c r="BM817" s="2">
        <v>18.324346921358899</v>
      </c>
      <c r="BN817" s="2">
        <v>17.5533103245467</v>
      </c>
      <c r="BO817" s="2">
        <v>18.0580545791966</v>
      </c>
      <c r="BP817" s="2">
        <v>17.810349397102701</v>
      </c>
      <c r="BQ817" s="2">
        <v>17.966134039455</v>
      </c>
      <c r="BR817" s="2">
        <v>18.512416644001899</v>
      </c>
      <c r="BS817" s="2">
        <v>18.866611553805999</v>
      </c>
      <c r="BT817" s="2">
        <v>19.237224294627001</v>
      </c>
      <c r="BU817" s="2">
        <v>18.9615856585168</v>
      </c>
      <c r="BV817" s="2">
        <v>18.883818210899499</v>
      </c>
      <c r="BW817" s="2">
        <v>17.469683149148199</v>
      </c>
      <c r="BX817" s="2">
        <v>18.1535169514835</v>
      </c>
      <c r="BY817" s="2">
        <v>19.8001842094497</v>
      </c>
      <c r="BZ817" s="2">
        <v>18.290324177388701</v>
      </c>
      <c r="CA817" s="2">
        <v>18.026108958287601</v>
      </c>
      <c r="CB817" s="2">
        <v>18.2522574919292</v>
      </c>
      <c r="CC817" s="2">
        <v>17.868410710713899</v>
      </c>
      <c r="CD817" s="2">
        <v>18.5487209695453</v>
      </c>
      <c r="CE817" s="2">
        <v>16.926219192022899</v>
      </c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</row>
    <row r="818" spans="1:97">
      <c r="A818" s="2" t="s">
        <v>7703</v>
      </c>
      <c r="B818" s="2">
        <v>364.34152</v>
      </c>
      <c r="C818" s="2">
        <v>12.106</v>
      </c>
      <c r="D818" s="2" t="s">
        <v>84</v>
      </c>
      <c r="E818" s="2" t="s">
        <v>7704</v>
      </c>
      <c r="F818" s="2" t="s">
        <v>7705</v>
      </c>
      <c r="G818" s="2">
        <v>10465</v>
      </c>
      <c r="H818" s="3" t="str">
        <f>HYPERLINK("https://cloud.oebiotech.com/#/lm/network/10465", "https://cloud.oebiotech.com/#/lm/network/10465")</f>
        <v>https://cloud.oebiotech.com/#/lm/network/10465</v>
      </c>
      <c r="I818" s="2"/>
      <c r="J818" s="2"/>
      <c r="K818" s="2" t="s">
        <v>7706</v>
      </c>
      <c r="L818" s="2">
        <v>137323840</v>
      </c>
      <c r="M818" s="2"/>
      <c r="N818" s="2"/>
      <c r="O818" s="2"/>
      <c r="P818" s="2"/>
      <c r="Q818" s="2"/>
      <c r="R818" s="2"/>
      <c r="S818" s="2"/>
      <c r="T818" s="2" t="s">
        <v>7707</v>
      </c>
      <c r="U818" s="2" t="s">
        <v>7708</v>
      </c>
      <c r="V818" s="2" t="s">
        <v>95</v>
      </c>
      <c r="W818" s="2" t="s">
        <v>7709</v>
      </c>
      <c r="X818" s="2" t="s">
        <v>7710</v>
      </c>
      <c r="Y818" s="2" t="s">
        <v>98</v>
      </c>
      <c r="Z818" s="2" t="s">
        <v>7711</v>
      </c>
      <c r="AA818" s="2" t="s">
        <v>7712</v>
      </c>
      <c r="AB818" s="2" t="s">
        <v>3086</v>
      </c>
      <c r="AC818" s="2">
        <v>53.46</v>
      </c>
      <c r="AD818" s="2">
        <v>86.99</v>
      </c>
      <c r="AE818" s="2">
        <v>0</v>
      </c>
      <c r="AF818" s="2" t="s">
        <v>5614</v>
      </c>
      <c r="AG818" s="2" t="s">
        <v>132</v>
      </c>
      <c r="AH818" s="2" t="s">
        <v>7713</v>
      </c>
      <c r="AI818" s="2">
        <v>1.65</v>
      </c>
      <c r="AJ818" s="2">
        <v>19.208450211953501</v>
      </c>
      <c r="AK818" s="2">
        <v>19.386799118752599</v>
      </c>
      <c r="AL818" s="2">
        <v>19.068040039675601</v>
      </c>
      <c r="AM818" s="2">
        <v>19.195024541185301</v>
      </c>
      <c r="AN818" s="2">
        <v>19.5460797718669</v>
      </c>
      <c r="AO818" s="2">
        <v>19.344045473683799</v>
      </c>
      <c r="AP818" s="2">
        <v>19.3441349179231</v>
      </c>
      <c r="AQ818" s="2">
        <v>19.352732912461999</v>
      </c>
      <c r="AR818" s="2">
        <v>19.409824330118301</v>
      </c>
      <c r="AS818" s="2">
        <v>19.0715690198757</v>
      </c>
      <c r="AT818" s="2">
        <v>19.463384076937199</v>
      </c>
      <c r="AU818" s="2">
        <v>18.6912837790494</v>
      </c>
      <c r="AV818" s="2">
        <v>19.4193390048952</v>
      </c>
      <c r="AW818" s="2">
        <v>19.572563753680502</v>
      </c>
      <c r="AX818" s="2">
        <v>19.149920168436498</v>
      </c>
      <c r="AY818" s="2">
        <v>18.9069223244535</v>
      </c>
      <c r="AZ818" s="2">
        <v>19.120241447011299</v>
      </c>
      <c r="BA818" s="2">
        <v>18.952935349901701</v>
      </c>
      <c r="BB818" s="2">
        <v>19.634820070531902</v>
      </c>
      <c r="BC818" s="2">
        <v>19.448279795021602</v>
      </c>
      <c r="BD818" s="2">
        <v>18.962576981140302</v>
      </c>
      <c r="BE818" s="2">
        <v>19.1611224822047</v>
      </c>
      <c r="BF818" s="2">
        <v>18.8675462214558</v>
      </c>
      <c r="BG818" s="2">
        <v>19.441099293657999</v>
      </c>
      <c r="BH818" s="2">
        <v>18.6778839502289</v>
      </c>
      <c r="BI818" s="2">
        <v>19.0064543173768</v>
      </c>
      <c r="BJ818" s="2">
        <v>18.492274368769198</v>
      </c>
      <c r="BK818" s="2">
        <v>18.639917219209</v>
      </c>
      <c r="BL818" s="2">
        <v>19.347589535920399</v>
      </c>
      <c r="BM818" s="2">
        <v>18.745819192781902</v>
      </c>
      <c r="BN818" s="2">
        <v>19.331729184818698</v>
      </c>
      <c r="BO818" s="2">
        <v>19.2587661617425</v>
      </c>
      <c r="BP818" s="2">
        <v>18.916702479389599</v>
      </c>
      <c r="BQ818" s="2">
        <v>18.9239090289222</v>
      </c>
      <c r="BR818" s="2">
        <v>19.331921712814001</v>
      </c>
      <c r="BS818" s="2">
        <v>19.2560595904779</v>
      </c>
      <c r="BT818" s="2">
        <v>19.039899061324402</v>
      </c>
      <c r="BU818" s="2">
        <v>18.960986766403799</v>
      </c>
      <c r="BV818" s="2">
        <v>19.015012369061999</v>
      </c>
      <c r="BW818" s="2">
        <v>18.466835713149202</v>
      </c>
      <c r="BX818" s="2">
        <v>18.598257582427301</v>
      </c>
      <c r="BY818" s="2">
        <v>19.148941897432799</v>
      </c>
      <c r="BZ818" s="2">
        <v>19.089432170061301</v>
      </c>
      <c r="CA818" s="2">
        <v>17.6862112670484</v>
      </c>
      <c r="CB818" s="2">
        <v>18.743168820084101</v>
      </c>
      <c r="CC818" s="2">
        <v>18.948541135307</v>
      </c>
      <c r="CD818" s="2">
        <v>18.575844995349399</v>
      </c>
      <c r="CE818" s="2">
        <v>19.478202756511401</v>
      </c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</row>
    <row r="819" spans="1:97">
      <c r="A819" s="2" t="s">
        <v>7714</v>
      </c>
      <c r="B819" s="2">
        <v>133.07932</v>
      </c>
      <c r="C819" s="2">
        <v>4.6760000000000002</v>
      </c>
      <c r="D819" s="2" t="s">
        <v>84</v>
      </c>
      <c r="E819" s="2" t="s">
        <v>7715</v>
      </c>
      <c r="F819" s="2" t="s">
        <v>7716</v>
      </c>
      <c r="G819" s="2">
        <v>63516</v>
      </c>
      <c r="H819" s="3" t="str">
        <f>HYPERLINK("https://cloud.oebiotech.com/#/lm/network/63516", "https://cloud.oebiotech.com/#/lm/network/63516")</f>
        <v>https://cloud.oebiotech.com/#/lm/network/63516</v>
      </c>
      <c r="I819" s="2" t="s">
        <v>7717</v>
      </c>
      <c r="J819" s="2">
        <v>94847</v>
      </c>
      <c r="K819" s="2"/>
      <c r="L819" s="2">
        <v>108501</v>
      </c>
      <c r="M819" s="2"/>
      <c r="N819" s="2"/>
      <c r="O819" s="2"/>
      <c r="P819" s="2"/>
      <c r="Q819" s="2"/>
      <c r="R819" s="2"/>
      <c r="S819" s="2"/>
      <c r="T819" s="2" t="s">
        <v>7718</v>
      </c>
      <c r="U819" s="2" t="s">
        <v>7719</v>
      </c>
      <c r="V819" s="2" t="s">
        <v>553</v>
      </c>
      <c r="W819" s="2" t="s">
        <v>5114</v>
      </c>
      <c r="X819" s="2" t="s">
        <v>7720</v>
      </c>
      <c r="Y819" s="2" t="s">
        <v>556</v>
      </c>
      <c r="Z819" s="2" t="s">
        <v>5116</v>
      </c>
      <c r="AA819" s="2" t="s">
        <v>7721</v>
      </c>
      <c r="AB819" s="2" t="s">
        <v>5118</v>
      </c>
      <c r="AC819" s="2">
        <v>53.43</v>
      </c>
      <c r="AD819" s="2">
        <v>94.08</v>
      </c>
      <c r="AE819" s="2">
        <v>91.32</v>
      </c>
      <c r="AF819" s="2" t="s">
        <v>7722</v>
      </c>
      <c r="AG819" s="2" t="s">
        <v>132</v>
      </c>
      <c r="AH819" s="2" t="s">
        <v>7723</v>
      </c>
      <c r="AI819" s="2">
        <v>0.75</v>
      </c>
      <c r="AJ819" s="2">
        <v>26.378337504787499</v>
      </c>
      <c r="AK819" s="2">
        <v>26.369728307678798</v>
      </c>
      <c r="AL819" s="2">
        <v>26.455676617575001</v>
      </c>
      <c r="AM819" s="2">
        <v>26.354565128412201</v>
      </c>
      <c r="AN819" s="2">
        <v>26.382528316721999</v>
      </c>
      <c r="AO819" s="2">
        <v>26.3950257277885</v>
      </c>
      <c r="AP819" s="2">
        <v>26.393999453437001</v>
      </c>
      <c r="AQ819" s="2">
        <v>26.2760479490378</v>
      </c>
      <c r="AR819" s="2">
        <v>21.7614417031408</v>
      </c>
      <c r="AS819" s="2">
        <v>13.522398853509401</v>
      </c>
      <c r="AT819" s="2">
        <v>26.4705340852855</v>
      </c>
      <c r="AU819" s="2">
        <v>26.846772097593</v>
      </c>
      <c r="AV819" s="2">
        <v>26.520089029069698</v>
      </c>
      <c r="AW819" s="2">
        <v>26.2643818908521</v>
      </c>
      <c r="AX819" s="2">
        <v>26.819926688383202</v>
      </c>
      <c r="AY819" s="2">
        <v>26.520418862225299</v>
      </c>
      <c r="AZ819" s="2">
        <v>26.2373670067524</v>
      </c>
      <c r="BA819" s="2">
        <v>26.298942702968102</v>
      </c>
      <c r="BB819" s="2">
        <v>25.2602731177716</v>
      </c>
      <c r="BC819" s="2">
        <v>27.076904180123201</v>
      </c>
      <c r="BD819" s="2">
        <v>26.335917687842599</v>
      </c>
      <c r="BE819" s="2">
        <v>27.5636706269614</v>
      </c>
      <c r="BF819" s="2">
        <v>27.233170572482301</v>
      </c>
      <c r="BG819" s="2">
        <v>25.534442925154199</v>
      </c>
      <c r="BH819" s="2">
        <v>26.695589426555401</v>
      </c>
      <c r="BI819" s="2">
        <v>26.877482595333898</v>
      </c>
      <c r="BJ819" s="2">
        <v>23.053309077262099</v>
      </c>
      <c r="BK819" s="2">
        <v>26.5314311236401</v>
      </c>
      <c r="BL819" s="2">
        <v>26.686480442675698</v>
      </c>
      <c r="BM819" s="2">
        <v>27.340112505889401</v>
      </c>
      <c r="BN819" s="2">
        <v>26.991046089441301</v>
      </c>
      <c r="BO819" s="2">
        <v>26.446095283018799</v>
      </c>
      <c r="BP819" s="2">
        <v>26.294519207988198</v>
      </c>
      <c r="BQ819" s="2">
        <v>26.614791368608</v>
      </c>
      <c r="BR819" s="2">
        <v>25.5986931588399</v>
      </c>
      <c r="BS819" s="2">
        <v>26.740014601004098</v>
      </c>
      <c r="BT819" s="2">
        <v>24.706358102717001</v>
      </c>
      <c r="BU819" s="2">
        <v>27.124059629518499</v>
      </c>
      <c r="BV819" s="2">
        <v>25.4578126302433</v>
      </c>
      <c r="BW819" s="2">
        <v>25.183581429480199</v>
      </c>
      <c r="BX819" s="2">
        <v>26.601545430169502</v>
      </c>
      <c r="BY819" s="2">
        <v>27.201068950211699</v>
      </c>
      <c r="BZ819" s="2">
        <v>25.141544729439101</v>
      </c>
      <c r="CA819" s="2">
        <v>24.109150710163298</v>
      </c>
      <c r="CB819" s="2">
        <v>23.4544758851005</v>
      </c>
      <c r="CC819" s="2">
        <v>27.188492909881699</v>
      </c>
      <c r="CD819" s="2">
        <v>26.1099688531542</v>
      </c>
      <c r="CE819" s="2">
        <v>26.578037579254499</v>
      </c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</row>
    <row r="820" spans="1:97">
      <c r="A820" s="2" t="s">
        <v>7724</v>
      </c>
      <c r="B820" s="2">
        <v>203.13887</v>
      </c>
      <c r="C820" s="2">
        <v>0.78400000000000003</v>
      </c>
      <c r="D820" s="2" t="s">
        <v>84</v>
      </c>
      <c r="E820" s="2" t="s">
        <v>7725</v>
      </c>
      <c r="F820" s="2" t="s">
        <v>7726</v>
      </c>
      <c r="G820" s="2">
        <v>115463</v>
      </c>
      <c r="H820" s="3" t="str">
        <f>HYPERLINK("https://cloud.oebiotech.com/#/lm/network/115463", "https://cloud.oebiotech.com/#/lm/network/115463")</f>
        <v>https://cloud.oebiotech.com/#/lm/network/115463</v>
      </c>
      <c r="I820" s="2" t="s">
        <v>7727</v>
      </c>
      <c r="J820" s="2"/>
      <c r="K820" s="2"/>
      <c r="L820" s="2">
        <v>131802901</v>
      </c>
      <c r="M820" s="2"/>
      <c r="N820" s="2"/>
      <c r="O820" s="2"/>
      <c r="P820" s="2"/>
      <c r="Q820" s="2"/>
      <c r="R820" s="2"/>
      <c r="S820" s="2"/>
      <c r="T820" s="2" t="s">
        <v>7728</v>
      </c>
      <c r="U820" s="2" t="s">
        <v>7729</v>
      </c>
      <c r="V820" s="2" t="s">
        <v>115</v>
      </c>
      <c r="W820" s="2" t="s">
        <v>116</v>
      </c>
      <c r="X820" s="2" t="s">
        <v>117</v>
      </c>
      <c r="Y820" s="2" t="s">
        <v>118</v>
      </c>
      <c r="Z820" s="2" t="s">
        <v>119</v>
      </c>
      <c r="AA820" s="2" t="s">
        <v>120</v>
      </c>
      <c r="AB820" s="2" t="s">
        <v>3086</v>
      </c>
      <c r="AC820" s="2">
        <v>53.42</v>
      </c>
      <c r="AD820" s="2">
        <v>93.9</v>
      </c>
      <c r="AE820" s="2">
        <v>0</v>
      </c>
      <c r="AF820" s="2" t="s">
        <v>5614</v>
      </c>
      <c r="AG820" s="2" t="s">
        <v>103</v>
      </c>
      <c r="AH820" s="2" t="s">
        <v>7730</v>
      </c>
      <c r="AI820" s="2">
        <v>0.49</v>
      </c>
      <c r="AJ820" s="2">
        <v>22.416322961953799</v>
      </c>
      <c r="AK820" s="2">
        <v>22.518825987851798</v>
      </c>
      <c r="AL820" s="2">
        <v>22.519352589108198</v>
      </c>
      <c r="AM820" s="2">
        <v>22.401676997751998</v>
      </c>
      <c r="AN820" s="2">
        <v>22.588080977614901</v>
      </c>
      <c r="AO820" s="2">
        <v>22.388440663189701</v>
      </c>
      <c r="AP820" s="2">
        <v>22.459011742264298</v>
      </c>
      <c r="AQ820" s="2">
        <v>22.6417126949029</v>
      </c>
      <c r="AR820" s="2">
        <v>21.500925729413499</v>
      </c>
      <c r="AS820" s="2">
        <v>21.951834362361499</v>
      </c>
      <c r="AT820" s="2">
        <v>22.370457053789199</v>
      </c>
      <c r="AU820" s="2">
        <v>21.813044239989701</v>
      </c>
      <c r="AV820" s="2">
        <v>22.043220237428901</v>
      </c>
      <c r="AW820" s="2">
        <v>22.127755477472501</v>
      </c>
      <c r="AX820" s="2">
        <v>21.846861190700299</v>
      </c>
      <c r="AY820" s="2">
        <v>22.752138251545599</v>
      </c>
      <c r="AZ820" s="2">
        <v>22.446664855808201</v>
      </c>
      <c r="BA820" s="2">
        <v>21.552377231525998</v>
      </c>
      <c r="BB820" s="2">
        <v>22.444007295183301</v>
      </c>
      <c r="BC820" s="2">
        <v>22.182957896103801</v>
      </c>
      <c r="BD820" s="2">
        <v>21.6812827325302</v>
      </c>
      <c r="BE820" s="2">
        <v>22.818915831709699</v>
      </c>
      <c r="BF820" s="2">
        <v>22.6621533942185</v>
      </c>
      <c r="BG820" s="2">
        <v>21.9389415041293</v>
      </c>
      <c r="BH820" s="2">
        <v>21.901648816501702</v>
      </c>
      <c r="BI820" s="2">
        <v>22.764077355883401</v>
      </c>
      <c r="BJ820" s="2">
        <v>22.627298019970201</v>
      </c>
      <c r="BK820" s="2">
        <v>22.414930417186699</v>
      </c>
      <c r="BL820" s="2">
        <v>21.788378719535199</v>
      </c>
      <c r="BM820" s="2">
        <v>21.913125432505499</v>
      </c>
      <c r="BN820" s="2">
        <v>22.930767265165901</v>
      </c>
      <c r="BO820" s="2">
        <v>21.9997080608711</v>
      </c>
      <c r="BP820" s="2">
        <v>23.102758001976198</v>
      </c>
      <c r="BQ820" s="2">
        <v>22.5555260063642</v>
      </c>
      <c r="BR820" s="2">
        <v>22.6619643255863</v>
      </c>
      <c r="BS820" s="2">
        <v>22.5719452318361</v>
      </c>
      <c r="BT820" s="2">
        <v>23.125101873077899</v>
      </c>
      <c r="BU820" s="2">
        <v>22.716831743998601</v>
      </c>
      <c r="BV820" s="2">
        <v>22.6225946888487</v>
      </c>
      <c r="BW820" s="2">
        <v>22.3827948394324</v>
      </c>
      <c r="BX820" s="2">
        <v>22.517819496880399</v>
      </c>
      <c r="BY820" s="2">
        <v>23.009670654409302</v>
      </c>
      <c r="BZ820" s="2">
        <v>21.918432958373099</v>
      </c>
      <c r="CA820" s="2">
        <v>21.344389042839101</v>
      </c>
      <c r="CB820" s="2">
        <v>22.328435274255401</v>
      </c>
      <c r="CC820" s="2">
        <v>22.445733343228799</v>
      </c>
      <c r="CD820" s="2">
        <v>22.684632603407401</v>
      </c>
      <c r="CE820" s="2">
        <v>22.518675061843499</v>
      </c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</row>
    <row r="821" spans="1:97">
      <c r="A821" s="2" t="s">
        <v>7731</v>
      </c>
      <c r="B821" s="2">
        <v>299.25850000000003</v>
      </c>
      <c r="C821" s="2">
        <v>11.592000000000001</v>
      </c>
      <c r="D821" s="2" t="s">
        <v>146</v>
      </c>
      <c r="E821" s="2" t="s">
        <v>7732</v>
      </c>
      <c r="F821" s="2" t="s">
        <v>7733</v>
      </c>
      <c r="G821" s="2">
        <v>3085</v>
      </c>
      <c r="H821" s="3" t="str">
        <f>HYPERLINK("https://cloud.oebiotech.com/#/lm/network/3085", "https://cloud.oebiotech.com/#/lm/network/3085")</f>
        <v>https://cloud.oebiotech.com/#/lm/network/3085</v>
      </c>
      <c r="I821" s="2" t="s">
        <v>7734</v>
      </c>
      <c r="J821" s="2">
        <v>35443</v>
      </c>
      <c r="K821" s="2" t="s">
        <v>7735</v>
      </c>
      <c r="L821" s="2">
        <v>5282911</v>
      </c>
      <c r="M821" s="2"/>
      <c r="N821" s="2"/>
      <c r="O821" s="2"/>
      <c r="P821" s="2">
        <v>136406</v>
      </c>
      <c r="Q821" s="2"/>
      <c r="R821" s="2"/>
      <c r="S821" s="2"/>
      <c r="T821" s="2" t="s">
        <v>7736</v>
      </c>
      <c r="U821" s="2" t="s">
        <v>7737</v>
      </c>
      <c r="V821" s="2" t="s">
        <v>95</v>
      </c>
      <c r="W821" s="2" t="s">
        <v>96</v>
      </c>
      <c r="X821" s="2" t="s">
        <v>141</v>
      </c>
      <c r="Y821" s="2" t="s">
        <v>98</v>
      </c>
      <c r="Z821" s="2" t="s">
        <v>99</v>
      </c>
      <c r="AA821" s="2" t="s">
        <v>142</v>
      </c>
      <c r="AB821" s="2" t="s">
        <v>3086</v>
      </c>
      <c r="AC821" s="2">
        <v>53.41</v>
      </c>
      <c r="AD821" s="2">
        <v>88.79</v>
      </c>
      <c r="AE821" s="2">
        <v>0</v>
      </c>
      <c r="AF821" s="2" t="s">
        <v>5614</v>
      </c>
      <c r="AG821" s="2" t="s">
        <v>194</v>
      </c>
      <c r="AH821" s="2" t="s">
        <v>7440</v>
      </c>
      <c r="AI821" s="2">
        <v>2.34</v>
      </c>
      <c r="AJ821" s="2">
        <v>20.745973325527</v>
      </c>
      <c r="AK821" s="2">
        <v>20.531265822853999</v>
      </c>
      <c r="AL821" s="2">
        <v>21.054807687349602</v>
      </c>
      <c r="AM821" s="2">
        <v>20.762152300485599</v>
      </c>
      <c r="AN821" s="2">
        <v>20.7459343406132</v>
      </c>
      <c r="AO821" s="2">
        <v>20.6022538343416</v>
      </c>
      <c r="AP821" s="2">
        <v>21.164009602276298</v>
      </c>
      <c r="AQ821" s="2">
        <v>20.929868051110802</v>
      </c>
      <c r="AR821" s="2">
        <v>19.865780474417601</v>
      </c>
      <c r="AS821" s="2">
        <v>19.978850963446799</v>
      </c>
      <c r="AT821" s="2">
        <v>19.6982603682441</v>
      </c>
      <c r="AU821" s="2">
        <v>20.442098556985599</v>
      </c>
      <c r="AV821" s="2">
        <v>19.061349146160101</v>
      </c>
      <c r="AW821" s="2">
        <v>20.484136409837198</v>
      </c>
      <c r="AX821" s="2">
        <v>20.779770227865001</v>
      </c>
      <c r="AY821" s="2">
        <v>20.394763427096301</v>
      </c>
      <c r="AZ821" s="2">
        <v>17.935525816406599</v>
      </c>
      <c r="BA821" s="2">
        <v>20.1457784041195</v>
      </c>
      <c r="BB821" s="2">
        <v>19.2097085363107</v>
      </c>
      <c r="BC821" s="2">
        <v>20.894994336310202</v>
      </c>
      <c r="BD821" s="2">
        <v>18.5774458304106</v>
      </c>
      <c r="BE821" s="2">
        <v>19.874592374805498</v>
      </c>
      <c r="BF821" s="2">
        <v>19.989784415672801</v>
      </c>
      <c r="BG821" s="2">
        <v>20.3261269188617</v>
      </c>
      <c r="BH821" s="2">
        <v>19.838372939206</v>
      </c>
      <c r="BI821" s="2">
        <v>21.739334827532701</v>
      </c>
      <c r="BJ821" s="2">
        <v>19.822808384195</v>
      </c>
      <c r="BK821" s="2">
        <v>19.282874064946999</v>
      </c>
      <c r="BL821" s="2">
        <v>21.553384467028899</v>
      </c>
      <c r="BM821" s="2">
        <v>19.984042490090602</v>
      </c>
      <c r="BN821" s="2">
        <v>20.339932696227802</v>
      </c>
      <c r="BO821" s="2">
        <v>20.606148193122401</v>
      </c>
      <c r="BP821" s="2">
        <v>19.675268514478201</v>
      </c>
      <c r="BQ821" s="2">
        <v>19.968853647762199</v>
      </c>
      <c r="BR821" s="2">
        <v>19.500222558130901</v>
      </c>
      <c r="BS821" s="2">
        <v>19.950859198356799</v>
      </c>
      <c r="BT821" s="2">
        <v>19.894651973375002</v>
      </c>
      <c r="BU821" s="2">
        <v>20.4374029077232</v>
      </c>
      <c r="BV821" s="2">
        <v>20.619150549876299</v>
      </c>
      <c r="BW821" s="2">
        <v>17.7169429487688</v>
      </c>
      <c r="BX821" s="2">
        <v>19.574261048338201</v>
      </c>
      <c r="BY821" s="2">
        <v>20.4275912581647</v>
      </c>
      <c r="BZ821" s="2">
        <v>20.0890367704637</v>
      </c>
      <c r="CA821" s="2">
        <v>19.758938085808399</v>
      </c>
      <c r="CB821" s="2">
        <v>21.733761769718999</v>
      </c>
      <c r="CC821" s="2">
        <v>21.3436128178305</v>
      </c>
      <c r="CD821" s="2">
        <v>20.3651991759073</v>
      </c>
      <c r="CE821" s="2">
        <v>21.398440520887</v>
      </c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</row>
    <row r="822" spans="1:97">
      <c r="A822" s="2" t="s">
        <v>7738</v>
      </c>
      <c r="B822" s="2">
        <v>384.93477000000001</v>
      </c>
      <c r="C822" s="2">
        <v>5.3659999999999997</v>
      </c>
      <c r="D822" s="2" t="s">
        <v>146</v>
      </c>
      <c r="E822" s="2" t="s">
        <v>7739</v>
      </c>
      <c r="F822" s="2" t="s">
        <v>7740</v>
      </c>
      <c r="G822" s="2">
        <v>211646</v>
      </c>
      <c r="H822" s="3" t="str">
        <f>HYPERLINK("https://cloud.oebiotech.com/#/lm/network/211646", "https://cloud.oebiotech.com/#/lm/network/211646")</f>
        <v>https://cloud.oebiotech.com/#/lm/network/211646</v>
      </c>
      <c r="I822" s="2" t="s">
        <v>7741</v>
      </c>
      <c r="J822" s="2"/>
      <c r="K822" s="2"/>
      <c r="L822" s="2">
        <v>54009491</v>
      </c>
      <c r="M822" s="2"/>
      <c r="N822" s="2"/>
      <c r="O822" s="2"/>
      <c r="P822" s="2"/>
      <c r="Q822" s="2"/>
      <c r="R822" s="2"/>
      <c r="S822" s="2"/>
      <c r="T822" s="2" t="s">
        <v>7742</v>
      </c>
      <c r="U822" s="2" t="s">
        <v>7743</v>
      </c>
      <c r="V822" s="2" t="s">
        <v>385</v>
      </c>
      <c r="W822" s="2" t="s">
        <v>386</v>
      </c>
      <c r="X822" s="2" t="s">
        <v>7744</v>
      </c>
      <c r="Y822" s="2" t="s">
        <v>388</v>
      </c>
      <c r="Z822" s="2" t="s">
        <v>389</v>
      </c>
      <c r="AA822" s="2" t="s">
        <v>7745</v>
      </c>
      <c r="AB822" s="2" t="s">
        <v>5118</v>
      </c>
      <c r="AC822" s="2">
        <v>53.39</v>
      </c>
      <c r="AD822" s="2">
        <v>72.08</v>
      </c>
      <c r="AE822" s="2">
        <v>74.180000000000007</v>
      </c>
      <c r="AF822" s="2" t="s">
        <v>7746</v>
      </c>
      <c r="AG822" s="2" t="s">
        <v>4062</v>
      </c>
      <c r="AH822" s="2" t="s">
        <v>7747</v>
      </c>
      <c r="AI822" s="2">
        <v>1.56</v>
      </c>
      <c r="AJ822" s="2">
        <v>23.552666527381302</v>
      </c>
      <c r="AK822" s="2">
        <v>23.451248142307701</v>
      </c>
      <c r="AL822" s="2">
        <v>23.478298471739901</v>
      </c>
      <c r="AM822" s="2">
        <v>22.958283953260501</v>
      </c>
      <c r="AN822" s="2">
        <v>23.3747021129678</v>
      </c>
      <c r="AO822" s="2">
        <v>22.9716280440453</v>
      </c>
      <c r="AP822" s="2">
        <v>23.9015327709476</v>
      </c>
      <c r="AQ822" s="2">
        <v>23.517408050994099</v>
      </c>
      <c r="AR822" s="2">
        <v>23.2474110718946</v>
      </c>
      <c r="AS822" s="2">
        <v>23.341862385278102</v>
      </c>
      <c r="AT822" s="2">
        <v>23.424535559072201</v>
      </c>
      <c r="AU822" s="2">
        <v>23.541885742109699</v>
      </c>
      <c r="AV822" s="2">
        <v>23.406037576775599</v>
      </c>
      <c r="AW822" s="2">
        <v>23.4019702897949</v>
      </c>
      <c r="AX822" s="2">
        <v>23.4878223012776</v>
      </c>
      <c r="AY822" s="2">
        <v>23.370836728320999</v>
      </c>
      <c r="AZ822" s="2">
        <v>23.382282089472799</v>
      </c>
      <c r="BA822" s="2">
        <v>23.488827055196499</v>
      </c>
      <c r="BB822" s="2">
        <v>23.435702666127298</v>
      </c>
      <c r="BC822" s="2">
        <v>23.413187082548799</v>
      </c>
      <c r="BD822" s="2">
        <v>21.449147627513401</v>
      </c>
      <c r="BE822" s="2">
        <v>22.641453398022001</v>
      </c>
      <c r="BF822" s="2">
        <v>23.174500417206801</v>
      </c>
      <c r="BG822" s="2">
        <v>23.3552094995365</v>
      </c>
      <c r="BH822" s="2">
        <v>23.316606734090801</v>
      </c>
      <c r="BI822" s="2">
        <v>22.921471136260799</v>
      </c>
      <c r="BJ822" s="2">
        <v>23.484219913319802</v>
      </c>
      <c r="BK822" s="2">
        <v>23.543453097755702</v>
      </c>
      <c r="BL822" s="2">
        <v>23.495064693832099</v>
      </c>
      <c r="BM822" s="2">
        <v>23.392562355073899</v>
      </c>
      <c r="BN822" s="2">
        <v>23.5001028075778</v>
      </c>
      <c r="BO822" s="2">
        <v>23.546152683860001</v>
      </c>
      <c r="BP822" s="2">
        <v>22.3998314551574</v>
      </c>
      <c r="BQ822" s="2">
        <v>23.518914376609899</v>
      </c>
      <c r="BR822" s="2">
        <v>23.045889540583001</v>
      </c>
      <c r="BS822" s="2">
        <v>23.333329960549701</v>
      </c>
      <c r="BT822" s="2">
        <v>23.123230125570501</v>
      </c>
      <c r="BU822" s="2">
        <v>22.607861346410001</v>
      </c>
      <c r="BV822" s="2">
        <v>23.3124859008323</v>
      </c>
      <c r="BW822" s="2">
        <v>22.9634758385086</v>
      </c>
      <c r="BX822" s="2">
        <v>22.959839915700801</v>
      </c>
      <c r="BY822" s="2">
        <v>23.266430229410599</v>
      </c>
      <c r="BZ822" s="2">
        <v>23.330449563389401</v>
      </c>
      <c r="CA822" s="2">
        <v>22.940384208004001</v>
      </c>
      <c r="CB822" s="2">
        <v>21.693805069392202</v>
      </c>
      <c r="CC822" s="2">
        <v>23.381754062073199</v>
      </c>
      <c r="CD822" s="2">
        <v>23.458098921980898</v>
      </c>
      <c r="CE822" s="2">
        <v>22.990073752930101</v>
      </c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</row>
    <row r="823" spans="1:97">
      <c r="A823" s="2" t="s">
        <v>7748</v>
      </c>
      <c r="B823" s="2">
        <v>583.25570000000005</v>
      </c>
      <c r="C823" s="2">
        <v>9.93</v>
      </c>
      <c r="D823" s="2" t="s">
        <v>146</v>
      </c>
      <c r="E823" s="2" t="s">
        <v>7749</v>
      </c>
      <c r="F823" s="2" t="s">
        <v>7750</v>
      </c>
      <c r="G823" s="2">
        <v>36070</v>
      </c>
      <c r="H823" s="3" t="str">
        <f>HYPERLINK("https://cloud.oebiotech.com/#/lm/network/36070", "https://cloud.oebiotech.com/#/lm/network/36070")</f>
        <v>https://cloud.oebiotech.com/#/lm/network/36070</v>
      </c>
      <c r="I823" s="2"/>
      <c r="J823" s="2"/>
      <c r="K823" s="2" t="s">
        <v>7751</v>
      </c>
      <c r="L823" s="2">
        <v>42608241</v>
      </c>
      <c r="M823" s="2"/>
      <c r="N823" s="2"/>
      <c r="O823" s="2"/>
      <c r="P823" s="2"/>
      <c r="Q823" s="2"/>
      <c r="R823" s="2"/>
      <c r="S823" s="2"/>
      <c r="T823" s="2" t="s">
        <v>7752</v>
      </c>
      <c r="U823" s="2" t="s">
        <v>7753</v>
      </c>
      <c r="V823" s="2" t="s">
        <v>95</v>
      </c>
      <c r="W823" s="2" t="s">
        <v>180</v>
      </c>
      <c r="X823" s="2" t="s">
        <v>3643</v>
      </c>
      <c r="Y823" s="2" t="s">
        <v>98</v>
      </c>
      <c r="Z823" s="2" t="s">
        <v>182</v>
      </c>
      <c r="AA823" s="2" t="s">
        <v>3644</v>
      </c>
      <c r="AB823" s="2" t="s">
        <v>5118</v>
      </c>
      <c r="AC823" s="2">
        <v>53.39</v>
      </c>
      <c r="AD823" s="2">
        <v>93.19</v>
      </c>
      <c r="AE823" s="2">
        <v>52.58</v>
      </c>
      <c r="AF823" s="2" t="s">
        <v>7754</v>
      </c>
      <c r="AG823" s="2" t="s">
        <v>194</v>
      </c>
      <c r="AH823" s="2" t="s">
        <v>7755</v>
      </c>
      <c r="AI823" s="2">
        <v>-1.37</v>
      </c>
      <c r="AJ823" s="2">
        <v>19.722698617988598</v>
      </c>
      <c r="AK823" s="2">
        <v>19.542981620882902</v>
      </c>
      <c r="AL823" s="2">
        <v>19.446579493284101</v>
      </c>
      <c r="AM823" s="2">
        <v>19.586835152751298</v>
      </c>
      <c r="AN823" s="2">
        <v>19.511516733613401</v>
      </c>
      <c r="AO823" s="2">
        <v>19.462098003656799</v>
      </c>
      <c r="AP823" s="2">
        <v>19.2696982933561</v>
      </c>
      <c r="AQ823" s="2">
        <v>19.116892432415298</v>
      </c>
      <c r="AR823" s="2">
        <v>17.896738483196199</v>
      </c>
      <c r="AS823" s="2">
        <v>18.956794039014699</v>
      </c>
      <c r="AT823" s="2">
        <v>20.1145935254013</v>
      </c>
      <c r="AU823" s="2">
        <v>17.926322926906799</v>
      </c>
      <c r="AV823" s="2">
        <v>19.717359540438899</v>
      </c>
      <c r="AW823" s="2">
        <v>19.760606810220999</v>
      </c>
      <c r="AX823" s="2">
        <v>19.7378994410861</v>
      </c>
      <c r="AY823" s="2">
        <v>19.9154016362824</v>
      </c>
      <c r="AZ823" s="2">
        <v>18.277520022852901</v>
      </c>
      <c r="BA823" s="2">
        <v>19.278571079756301</v>
      </c>
      <c r="BB823" s="2">
        <v>19.719421610916299</v>
      </c>
      <c r="BC823" s="2">
        <v>20.167403003334901</v>
      </c>
      <c r="BD823" s="2">
        <v>18.831028347933199</v>
      </c>
      <c r="BE823" s="2">
        <v>21.061049111497901</v>
      </c>
      <c r="BF823" s="2">
        <v>18.756807065419299</v>
      </c>
      <c r="BG823" s="2">
        <v>19.3808308571117</v>
      </c>
      <c r="BH823" s="2">
        <v>19.114047255895301</v>
      </c>
      <c r="BI823" s="2">
        <v>19.807202232694198</v>
      </c>
      <c r="BJ823" s="2">
        <v>20.1893786898484</v>
      </c>
      <c r="BK823" s="2">
        <v>18.92858036762</v>
      </c>
      <c r="BL823" s="2">
        <v>18.571058180878101</v>
      </c>
      <c r="BM823" s="2">
        <v>18.416730204774002</v>
      </c>
      <c r="BN823" s="2">
        <v>19.7087009229238</v>
      </c>
      <c r="BO823" s="2">
        <v>19.622524557746502</v>
      </c>
      <c r="BP823" s="2">
        <v>20.192591009023399</v>
      </c>
      <c r="BQ823" s="2">
        <v>19.221851787424001</v>
      </c>
      <c r="BR823" s="2">
        <v>20.002467792925</v>
      </c>
      <c r="BS823" s="2">
        <v>18.690922011108</v>
      </c>
      <c r="BT823" s="2">
        <v>17.472455801547898</v>
      </c>
      <c r="BU823" s="2">
        <v>19.465369406956398</v>
      </c>
      <c r="BV823" s="2">
        <v>20.0333543706877</v>
      </c>
      <c r="BW823" s="2">
        <v>19.791955810685501</v>
      </c>
      <c r="BX823" s="2">
        <v>18.381570199167399</v>
      </c>
      <c r="BY823" s="2">
        <v>20.030121380895</v>
      </c>
      <c r="BZ823" s="2">
        <v>18.274840888477598</v>
      </c>
      <c r="CA823" s="2">
        <v>19.092593536202401</v>
      </c>
      <c r="CB823" s="2">
        <v>19.901057672321901</v>
      </c>
      <c r="CC823" s="2">
        <v>18.9188122662881</v>
      </c>
      <c r="CD823" s="2">
        <v>19.912706637696999</v>
      </c>
      <c r="CE823" s="2">
        <v>18.669042895012499</v>
      </c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</row>
    <row r="824" spans="1:97">
      <c r="A824" s="2" t="s">
        <v>7756</v>
      </c>
      <c r="B824" s="2">
        <v>377.26947999999999</v>
      </c>
      <c r="C824" s="2">
        <v>8.8089999999999993</v>
      </c>
      <c r="D824" s="2" t="s">
        <v>84</v>
      </c>
      <c r="E824" s="2" t="s">
        <v>7757</v>
      </c>
      <c r="F824" s="2" t="s">
        <v>7758</v>
      </c>
      <c r="G824" s="2">
        <v>213634</v>
      </c>
      <c r="H824" s="3" t="str">
        <f>HYPERLINK("https://cloud.oebiotech.com/#/lm/network/213634", "https://cloud.oebiotech.com/#/lm/network/213634")</f>
        <v>https://cloud.oebiotech.com/#/lm/network/213634</v>
      </c>
      <c r="I824" s="2" t="s">
        <v>7759</v>
      </c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 t="s">
        <v>7760</v>
      </c>
      <c r="U824" s="2" t="s">
        <v>7761</v>
      </c>
      <c r="V824" s="2" t="s">
        <v>95</v>
      </c>
      <c r="W824" s="2" t="s">
        <v>7762</v>
      </c>
      <c r="X824" s="2" t="s">
        <v>375</v>
      </c>
      <c r="Y824" s="2" t="s">
        <v>98</v>
      </c>
      <c r="Z824" s="2" t="s">
        <v>7763</v>
      </c>
      <c r="AA824" s="2"/>
      <c r="AB824" s="2" t="s">
        <v>3086</v>
      </c>
      <c r="AC824" s="2">
        <v>53.39</v>
      </c>
      <c r="AD824" s="2">
        <v>97.1</v>
      </c>
      <c r="AE824" s="2">
        <v>0</v>
      </c>
      <c r="AF824" s="2" t="s">
        <v>5614</v>
      </c>
      <c r="AG824" s="2" t="s">
        <v>1088</v>
      </c>
      <c r="AH824" s="2" t="s">
        <v>7764</v>
      </c>
      <c r="AI824" s="2">
        <v>-0.8</v>
      </c>
      <c r="AJ824" s="2">
        <v>21.6005792337229</v>
      </c>
      <c r="AK824" s="2">
        <v>21.659169696727599</v>
      </c>
      <c r="AL824" s="2">
        <v>21.460440832494001</v>
      </c>
      <c r="AM824" s="2">
        <v>21.318662791360602</v>
      </c>
      <c r="AN824" s="2">
        <v>21.659381069239299</v>
      </c>
      <c r="AO824" s="2">
        <v>21.831401876268199</v>
      </c>
      <c r="AP824" s="2">
        <v>21.9688173402571</v>
      </c>
      <c r="AQ824" s="2">
        <v>21.740654132161499</v>
      </c>
      <c r="AR824" s="2">
        <v>21.669141597757498</v>
      </c>
      <c r="AS824" s="2">
        <v>21.5777629792513</v>
      </c>
      <c r="AT824" s="2">
        <v>21.080554141525301</v>
      </c>
      <c r="AU824" s="2">
        <v>21.487818365724198</v>
      </c>
      <c r="AV824" s="2">
        <v>21.721371261709599</v>
      </c>
      <c r="AW824" s="2">
        <v>21.2654370482866</v>
      </c>
      <c r="AX824" s="2">
        <v>20.817186202184601</v>
      </c>
      <c r="AY824" s="2">
        <v>21.639268416626098</v>
      </c>
      <c r="AZ824" s="2">
        <v>21.3237783383045</v>
      </c>
      <c r="BA824" s="2">
        <v>21.633905621530801</v>
      </c>
      <c r="BB824" s="2">
        <v>21.592190785125698</v>
      </c>
      <c r="BC824" s="2">
        <v>21.613629317772698</v>
      </c>
      <c r="BD824" s="2">
        <v>21.794446189516599</v>
      </c>
      <c r="BE824" s="2">
        <v>21.8028162143872</v>
      </c>
      <c r="BF824" s="2">
        <v>21.181007654166802</v>
      </c>
      <c r="BG824" s="2">
        <v>21.303898185516498</v>
      </c>
      <c r="BH824" s="2">
        <v>21.6458433209168</v>
      </c>
      <c r="BI824" s="2">
        <v>21.272197209340799</v>
      </c>
      <c r="BJ824" s="2">
        <v>21.503740009061801</v>
      </c>
      <c r="BK824" s="2">
        <v>21.491122381597599</v>
      </c>
      <c r="BL824" s="2">
        <v>21.752919200356601</v>
      </c>
      <c r="BM824" s="2">
        <v>21.634249018364201</v>
      </c>
      <c r="BN824" s="2">
        <v>21.595189822568098</v>
      </c>
      <c r="BO824" s="2">
        <v>21.674008748316101</v>
      </c>
      <c r="BP824" s="2">
        <v>21.727354564544399</v>
      </c>
      <c r="BQ824" s="2">
        <v>21.078214851137702</v>
      </c>
      <c r="BR824" s="2">
        <v>21.550605711840099</v>
      </c>
      <c r="BS824" s="2">
        <v>21.463392409284101</v>
      </c>
      <c r="BT824" s="2">
        <v>21.574223174836199</v>
      </c>
      <c r="BU824" s="2">
        <v>21.357271022372199</v>
      </c>
      <c r="BV824" s="2">
        <v>21.6672426375161</v>
      </c>
      <c r="BW824" s="2">
        <v>21.6606789121726</v>
      </c>
      <c r="BX824" s="2">
        <v>21.470912237082398</v>
      </c>
      <c r="BY824" s="2">
        <v>21.366813531497002</v>
      </c>
      <c r="BZ824" s="2">
        <v>21.8167478037034</v>
      </c>
      <c r="CA824" s="2">
        <v>21.764130267711401</v>
      </c>
      <c r="CB824" s="2">
        <v>21.611898606909399</v>
      </c>
      <c r="CC824" s="2">
        <v>21.777412828417301</v>
      </c>
      <c r="CD824" s="2">
        <v>21.668797142826499</v>
      </c>
      <c r="CE824" s="2">
        <v>21.757688195948798</v>
      </c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</row>
    <row r="825" spans="1:97">
      <c r="A825" s="2" t="s">
        <v>7765</v>
      </c>
      <c r="B825" s="2">
        <v>476.37288000000001</v>
      </c>
      <c r="C825" s="2">
        <v>10.207000000000001</v>
      </c>
      <c r="D825" s="2" t="s">
        <v>84</v>
      </c>
      <c r="E825" s="2" t="s">
        <v>7766</v>
      </c>
      <c r="F825" s="2" t="s">
        <v>7767</v>
      </c>
      <c r="G825" s="2">
        <v>45575</v>
      </c>
      <c r="H825" s="3" t="str">
        <f>HYPERLINK("https://cloud.oebiotech.com/#/lm/network/45575", "https://cloud.oebiotech.com/#/lm/network/45575")</f>
        <v>https://cloud.oebiotech.com/#/lm/network/45575</v>
      </c>
      <c r="I825" s="2"/>
      <c r="J825" s="2"/>
      <c r="K825" s="2" t="s">
        <v>7768</v>
      </c>
      <c r="L825" s="2">
        <v>11973053</v>
      </c>
      <c r="M825" s="2"/>
      <c r="N825" s="2"/>
      <c r="O825" s="2"/>
      <c r="P825" s="2"/>
      <c r="Q825" s="2"/>
      <c r="R825" s="2"/>
      <c r="S825" s="2"/>
      <c r="T825" s="2" t="s">
        <v>7769</v>
      </c>
      <c r="U825" s="2" t="s">
        <v>7770</v>
      </c>
      <c r="V825" s="2" t="s">
        <v>95</v>
      </c>
      <c r="W825" s="2" t="s">
        <v>152</v>
      </c>
      <c r="X825" s="2" t="s">
        <v>1484</v>
      </c>
      <c r="Y825" s="2" t="s">
        <v>98</v>
      </c>
      <c r="Z825" s="2" t="s">
        <v>154</v>
      </c>
      <c r="AA825" s="2" t="s">
        <v>1485</v>
      </c>
      <c r="AB825" s="2" t="s">
        <v>3086</v>
      </c>
      <c r="AC825" s="2">
        <v>53.38</v>
      </c>
      <c r="AD825" s="2">
        <v>79.819999999999993</v>
      </c>
      <c r="AE825" s="2">
        <v>0</v>
      </c>
      <c r="AF825" s="2" t="s">
        <v>5614</v>
      </c>
      <c r="AG825" s="2" t="s">
        <v>132</v>
      </c>
      <c r="AH825" s="2" t="s">
        <v>7771</v>
      </c>
      <c r="AI825" s="2">
        <v>1.05</v>
      </c>
      <c r="AJ825" s="2">
        <v>18.243677559221801</v>
      </c>
      <c r="AK825" s="2">
        <v>17.839900800892298</v>
      </c>
      <c r="AL825" s="2">
        <v>17.769988503817402</v>
      </c>
      <c r="AM825" s="2">
        <v>17.926688864393601</v>
      </c>
      <c r="AN825" s="2">
        <v>17.7627531506445</v>
      </c>
      <c r="AO825" s="2">
        <v>18.472037112735599</v>
      </c>
      <c r="AP825" s="2">
        <v>18.454350546687301</v>
      </c>
      <c r="AQ825" s="2">
        <v>17.6865871092674</v>
      </c>
      <c r="AR825" s="2">
        <v>18.758104740141501</v>
      </c>
      <c r="AS825" s="2">
        <v>15.9348689093702</v>
      </c>
      <c r="AT825" s="2">
        <v>18.652812174559202</v>
      </c>
      <c r="AU825" s="2">
        <v>17.381523433708399</v>
      </c>
      <c r="AV825" s="2">
        <v>18.4705867899312</v>
      </c>
      <c r="AW825" s="2">
        <v>17.960961067385899</v>
      </c>
      <c r="AX825" s="2">
        <v>18.287995841275801</v>
      </c>
      <c r="AY825" s="2">
        <v>16.7474835161842</v>
      </c>
      <c r="AZ825" s="2">
        <v>17.011656955004899</v>
      </c>
      <c r="BA825" s="2">
        <v>15.552768447467701</v>
      </c>
      <c r="BB825" s="2">
        <v>17.386418264864901</v>
      </c>
      <c r="BC825" s="2">
        <v>19.717392292887801</v>
      </c>
      <c r="BD825" s="2">
        <v>16.745629160302499</v>
      </c>
      <c r="BE825" s="2">
        <v>14.7526477294979</v>
      </c>
      <c r="BF825" s="2">
        <v>16.348878888073699</v>
      </c>
      <c r="BG825" s="2">
        <v>18.703550972029099</v>
      </c>
      <c r="BH825" s="2">
        <v>17.620783339797299</v>
      </c>
      <c r="BI825" s="2">
        <v>19.283135820028999</v>
      </c>
      <c r="BJ825" s="2">
        <v>17.935658174710699</v>
      </c>
      <c r="BK825" s="2">
        <v>17.056968400656501</v>
      </c>
      <c r="BL825" s="2">
        <v>18.438512322824501</v>
      </c>
      <c r="BM825" s="2">
        <v>15.3516270179366</v>
      </c>
      <c r="BN825" s="2">
        <v>15.339861134747901</v>
      </c>
      <c r="BO825" s="2">
        <v>17.784092340021001</v>
      </c>
      <c r="BP825" s="2">
        <v>18.665341642925299</v>
      </c>
      <c r="BQ825" s="2">
        <v>18.0838256239918</v>
      </c>
      <c r="BR825" s="2">
        <v>18.285065763928198</v>
      </c>
      <c r="BS825" s="2">
        <v>17.602571289880299</v>
      </c>
      <c r="BT825" s="2">
        <v>15.5254094706328</v>
      </c>
      <c r="BU825" s="2">
        <v>18.415674313657</v>
      </c>
      <c r="BV825" s="2">
        <v>16.841447639988299</v>
      </c>
      <c r="BW825" s="2">
        <v>17.562902584038699</v>
      </c>
      <c r="BX825" s="2">
        <v>16.605547374293799</v>
      </c>
      <c r="BY825" s="2">
        <v>17.330097218615101</v>
      </c>
      <c r="BZ825" s="2">
        <v>17.649916990015701</v>
      </c>
      <c r="CA825" s="2">
        <v>17.0382984121185</v>
      </c>
      <c r="CB825" s="2">
        <v>15.625234524761799</v>
      </c>
      <c r="CC825" s="2">
        <v>17.886525082059698</v>
      </c>
      <c r="CD825" s="2">
        <v>17.1461200508197</v>
      </c>
      <c r="CE825" s="2">
        <v>16.492459414280301</v>
      </c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</row>
    <row r="826" spans="1:97">
      <c r="A826" s="2" t="s">
        <v>7772</v>
      </c>
      <c r="B826" s="2">
        <v>122.05765</v>
      </c>
      <c r="C826" s="2">
        <v>2.2130000000000001</v>
      </c>
      <c r="D826" s="2" t="s">
        <v>84</v>
      </c>
      <c r="E826" s="2" t="s">
        <v>7773</v>
      </c>
      <c r="F826" s="2" t="s">
        <v>7774</v>
      </c>
      <c r="G826" s="2">
        <v>51514</v>
      </c>
      <c r="H826" s="3" t="str">
        <f>HYPERLINK("https://cloud.oebiotech.com/#/lm/network/51514", "https://cloud.oebiotech.com/#/lm/network/51514")</f>
        <v>https://cloud.oebiotech.com/#/lm/network/51514</v>
      </c>
      <c r="I826" s="2" t="s">
        <v>7775</v>
      </c>
      <c r="J826" s="2">
        <v>62467</v>
      </c>
      <c r="K826" s="2"/>
      <c r="L826" s="2">
        <v>12665</v>
      </c>
      <c r="M826" s="2"/>
      <c r="N826" s="2"/>
      <c r="O826" s="2"/>
      <c r="P826" s="2">
        <v>77761</v>
      </c>
      <c r="Q826" s="2"/>
      <c r="R826" s="2"/>
      <c r="S826" s="2" t="s">
        <v>7776</v>
      </c>
      <c r="T826" s="2" t="s">
        <v>7777</v>
      </c>
      <c r="U826" s="2" t="s">
        <v>7778</v>
      </c>
      <c r="V826" s="2" t="s">
        <v>553</v>
      </c>
      <c r="W826" s="2" t="s">
        <v>3192</v>
      </c>
      <c r="X826" s="2" t="s">
        <v>7779</v>
      </c>
      <c r="Y826" s="2" t="s">
        <v>556</v>
      </c>
      <c r="Z826" s="2" t="s">
        <v>3194</v>
      </c>
      <c r="AA826" s="2" t="s">
        <v>7780</v>
      </c>
      <c r="AB826" s="2" t="s">
        <v>3086</v>
      </c>
      <c r="AC826" s="2">
        <v>53.37</v>
      </c>
      <c r="AD826" s="2">
        <v>90.7</v>
      </c>
      <c r="AE826" s="2">
        <v>0</v>
      </c>
      <c r="AF826" s="2" t="s">
        <v>5614</v>
      </c>
      <c r="AG826" s="2" t="s">
        <v>1578</v>
      </c>
      <c r="AH826" s="2" t="s">
        <v>5120</v>
      </c>
      <c r="AI826" s="2">
        <v>0</v>
      </c>
      <c r="AJ826" s="2">
        <v>25.454502010123399</v>
      </c>
      <c r="AK826" s="2">
        <v>24.3901330230971</v>
      </c>
      <c r="AL826" s="2">
        <v>25.168809371246699</v>
      </c>
      <c r="AM826" s="2">
        <v>25.0053392459611</v>
      </c>
      <c r="AN826" s="2">
        <v>25.410229482779201</v>
      </c>
      <c r="AO826" s="2">
        <v>24.712885596805702</v>
      </c>
      <c r="AP826" s="2">
        <v>24.730845691314499</v>
      </c>
      <c r="AQ826" s="2">
        <v>24.484388791582798</v>
      </c>
      <c r="AR826" s="2">
        <v>23.091155279292</v>
      </c>
      <c r="AS826" s="2">
        <v>23.891102799573101</v>
      </c>
      <c r="AT826" s="2">
        <v>21.5919595632813</v>
      </c>
      <c r="AU826" s="2">
        <v>23.87496550421</v>
      </c>
      <c r="AV826" s="2">
        <v>23.500237449345502</v>
      </c>
      <c r="AW826" s="2">
        <v>24.060011961407898</v>
      </c>
      <c r="AX826" s="2">
        <v>25.958549505619299</v>
      </c>
      <c r="AY826" s="2">
        <v>21.2404405419712</v>
      </c>
      <c r="AZ826" s="2">
        <v>22.456187701157699</v>
      </c>
      <c r="BA826" s="2">
        <v>23.934677592531699</v>
      </c>
      <c r="BB826" s="2">
        <v>25.946512588946099</v>
      </c>
      <c r="BC826" s="2">
        <v>24.864860955266298</v>
      </c>
      <c r="BD826" s="2">
        <v>23.118760340945201</v>
      </c>
      <c r="BE826" s="2">
        <v>22.2715333876417</v>
      </c>
      <c r="BF826" s="2">
        <v>23.472423671020199</v>
      </c>
      <c r="BG826" s="2">
        <v>25.955390828417698</v>
      </c>
      <c r="BH826" s="2">
        <v>25.476633306682601</v>
      </c>
      <c r="BI826" s="2">
        <v>24.4632196123817</v>
      </c>
      <c r="BJ826" s="2">
        <v>25.072789257537401</v>
      </c>
      <c r="BK826" s="2">
        <v>25.902210650679201</v>
      </c>
      <c r="BL826" s="2">
        <v>22.800134488073802</v>
      </c>
      <c r="BM826" s="2">
        <v>25.4637611560008</v>
      </c>
      <c r="BN826" s="2">
        <v>21.631566688618602</v>
      </c>
      <c r="BO826" s="2">
        <v>25.3887681721245</v>
      </c>
      <c r="BP826" s="2">
        <v>26.456771689165802</v>
      </c>
      <c r="BQ826" s="2">
        <v>24.147737811559601</v>
      </c>
      <c r="BR826" s="2">
        <v>24.485351859213399</v>
      </c>
      <c r="BS826" s="2">
        <v>21.492083513278299</v>
      </c>
      <c r="BT826" s="2">
        <v>22.542650812349802</v>
      </c>
      <c r="BU826" s="2">
        <v>22.003558616760099</v>
      </c>
      <c r="BV826" s="2">
        <v>22.682766967887201</v>
      </c>
      <c r="BW826" s="2">
        <v>24.7644485326785</v>
      </c>
      <c r="BX826" s="2">
        <v>23.1077689422916</v>
      </c>
      <c r="BY826" s="2">
        <v>23.196940835208601</v>
      </c>
      <c r="BZ826" s="2">
        <v>24.988004103315301</v>
      </c>
      <c r="CA826" s="2">
        <v>24.565257929824298</v>
      </c>
      <c r="CB826" s="2">
        <v>26.3333084789064</v>
      </c>
      <c r="CC826" s="2">
        <v>24.0228262397953</v>
      </c>
      <c r="CD826" s="2">
        <v>23.985059923308899</v>
      </c>
      <c r="CE826" s="2">
        <v>24.806934083999099</v>
      </c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</row>
    <row r="827" spans="1:97">
      <c r="A827" s="2" t="s">
        <v>7781</v>
      </c>
      <c r="B827" s="2">
        <v>248.02270999999999</v>
      </c>
      <c r="C827" s="2">
        <v>0.82799999999999996</v>
      </c>
      <c r="D827" s="2" t="s">
        <v>146</v>
      </c>
      <c r="E827" s="2" t="s">
        <v>7782</v>
      </c>
      <c r="F827" s="2" t="s">
        <v>7783</v>
      </c>
      <c r="G827" s="2">
        <v>47787</v>
      </c>
      <c r="H827" s="3" t="str">
        <f>HYPERLINK("https://cloud.oebiotech.com/#/lm/network/47787", "https://cloud.oebiotech.com/#/lm/network/47787")</f>
        <v>https://cloud.oebiotech.com/#/lm/network/47787</v>
      </c>
      <c r="I827" s="2" t="s">
        <v>7784</v>
      </c>
      <c r="J827" s="2">
        <v>58089</v>
      </c>
      <c r="K827" s="2"/>
      <c r="L827" s="2">
        <v>123747</v>
      </c>
      <c r="M827" s="2"/>
      <c r="N827" s="2"/>
      <c r="O827" s="2"/>
      <c r="P827" s="2">
        <v>90022</v>
      </c>
      <c r="Q827" s="2"/>
      <c r="R827" s="2"/>
      <c r="S827" s="2" t="s">
        <v>7785</v>
      </c>
      <c r="T827" s="2" t="s">
        <v>7786</v>
      </c>
      <c r="U827" s="2" t="s">
        <v>7787</v>
      </c>
      <c r="V827" s="2" t="s">
        <v>115</v>
      </c>
      <c r="W827" s="2" t="s">
        <v>613</v>
      </c>
      <c r="X827" s="2" t="s">
        <v>614</v>
      </c>
      <c r="Y827" s="2" t="s">
        <v>118</v>
      </c>
      <c r="Z827" s="2" t="s">
        <v>615</v>
      </c>
      <c r="AA827" s="2" t="s">
        <v>616</v>
      </c>
      <c r="AB827" s="2" t="s">
        <v>3086</v>
      </c>
      <c r="AC827" s="2">
        <v>53.35</v>
      </c>
      <c r="AD827" s="2">
        <v>91.4</v>
      </c>
      <c r="AE827" s="2">
        <v>0</v>
      </c>
      <c r="AF827" s="2" t="s">
        <v>5614</v>
      </c>
      <c r="AG827" s="2" t="s">
        <v>194</v>
      </c>
      <c r="AH827" s="2" t="s">
        <v>7788</v>
      </c>
      <c r="AI827" s="2">
        <v>2.82</v>
      </c>
      <c r="AJ827" s="2">
        <v>18.7015102742679</v>
      </c>
      <c r="AK827" s="2">
        <v>19.2726275298524</v>
      </c>
      <c r="AL827" s="2">
        <v>18.395486648981301</v>
      </c>
      <c r="AM827" s="2">
        <v>18.426408912156599</v>
      </c>
      <c r="AN827" s="2">
        <v>19.017403159233801</v>
      </c>
      <c r="AO827" s="2">
        <v>18.765389674738302</v>
      </c>
      <c r="AP827" s="2">
        <v>18.391761394336299</v>
      </c>
      <c r="AQ827" s="2">
        <v>18.804324816100799</v>
      </c>
      <c r="AR827" s="2">
        <v>16.667542217858198</v>
      </c>
      <c r="AS827" s="2">
        <v>16.566665935597801</v>
      </c>
      <c r="AT827" s="2">
        <v>17.754969293264899</v>
      </c>
      <c r="AU827" s="2">
        <v>17.950094102869599</v>
      </c>
      <c r="AV827" s="2">
        <v>17.465142920849601</v>
      </c>
      <c r="AW827" s="2">
        <v>18.985500374714501</v>
      </c>
      <c r="AX827" s="2">
        <v>17.913364419487401</v>
      </c>
      <c r="AY827" s="2">
        <v>16.97083523453</v>
      </c>
      <c r="AZ827" s="2">
        <v>18.1994633934817</v>
      </c>
      <c r="BA827" s="2">
        <v>17.491850513377301</v>
      </c>
      <c r="BB827" s="2">
        <v>18.119799120511299</v>
      </c>
      <c r="BC827" s="2">
        <v>17.560745325707899</v>
      </c>
      <c r="BD827" s="2">
        <v>17.063514001818</v>
      </c>
      <c r="BE827" s="2">
        <v>18.787539965810399</v>
      </c>
      <c r="BF827" s="2">
        <v>20.0076373384546</v>
      </c>
      <c r="BG827" s="2">
        <v>18.131862887443699</v>
      </c>
      <c r="BH827" s="2">
        <v>18.046552842399901</v>
      </c>
      <c r="BI827" s="2">
        <v>19.4541731615464</v>
      </c>
      <c r="BJ827" s="2">
        <v>9.6233145402724691</v>
      </c>
      <c r="BK827" s="2">
        <v>18.197121212401999</v>
      </c>
      <c r="BL827" s="2">
        <v>17.8020720808384</v>
      </c>
      <c r="BM827" s="2">
        <v>17.504002322575101</v>
      </c>
      <c r="BN827" s="2">
        <v>18.2364888345755</v>
      </c>
      <c r="BO827" s="2">
        <v>18.791475035020898</v>
      </c>
      <c r="BP827" s="2">
        <v>18.174272817866601</v>
      </c>
      <c r="BQ827" s="2">
        <v>16.739066995303101</v>
      </c>
      <c r="BR827" s="2">
        <v>18.757584846770499</v>
      </c>
      <c r="BS827" s="2">
        <v>17.342868546590701</v>
      </c>
      <c r="BT827" s="2">
        <v>18.6630085530036</v>
      </c>
      <c r="BU827" s="2">
        <v>18.515474168570702</v>
      </c>
      <c r="BV827" s="2">
        <v>18.7809669982963</v>
      </c>
      <c r="BW827" s="2">
        <v>15.4086153454127</v>
      </c>
      <c r="BX827" s="2">
        <v>17.9265431143744</v>
      </c>
      <c r="BY827" s="2">
        <v>18.834306881986901</v>
      </c>
      <c r="BZ827" s="2">
        <v>17.834216657251901</v>
      </c>
      <c r="CA827" s="2">
        <v>20.409748633833601</v>
      </c>
      <c r="CB827" s="2">
        <v>16.415227300605199</v>
      </c>
      <c r="CC827" s="2">
        <v>16.426489503001399</v>
      </c>
      <c r="CD827" s="2">
        <v>18.653827635277501</v>
      </c>
      <c r="CE827" s="2">
        <v>18.6840508583165</v>
      </c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</row>
    <row r="828" spans="1:97">
      <c r="A828" s="2" t="s">
        <v>7789</v>
      </c>
      <c r="B828" s="2">
        <v>279.23223000000002</v>
      </c>
      <c r="C828" s="2">
        <v>10.35</v>
      </c>
      <c r="D828" s="2" t="s">
        <v>146</v>
      </c>
      <c r="E828" s="2" t="s">
        <v>7790</v>
      </c>
      <c r="F828" s="2" t="s">
        <v>7791</v>
      </c>
      <c r="G828" s="2">
        <v>6508</v>
      </c>
      <c r="H828" s="3" t="str">
        <f>HYPERLINK("https://cloud.oebiotech.com/#/lm/network/6508", "https://cloud.oebiotech.com/#/lm/network/6508")</f>
        <v>https://cloud.oebiotech.com/#/lm/network/6508</v>
      </c>
      <c r="I828" s="2" t="s">
        <v>7792</v>
      </c>
      <c r="J828" s="2">
        <v>75322</v>
      </c>
      <c r="K828" s="2" t="s">
        <v>7793</v>
      </c>
      <c r="L828" s="2">
        <v>5283337</v>
      </c>
      <c r="M828" s="2"/>
      <c r="N828" s="2"/>
      <c r="O828" s="2"/>
      <c r="P828" s="2"/>
      <c r="Q828" s="2"/>
      <c r="R828" s="2"/>
      <c r="S828" s="2" t="s">
        <v>7794</v>
      </c>
      <c r="T828" s="2" t="s">
        <v>7795</v>
      </c>
      <c r="U828" s="2" t="s">
        <v>7796</v>
      </c>
      <c r="V828" s="2" t="s">
        <v>338</v>
      </c>
      <c r="W828" s="2" t="s">
        <v>339</v>
      </c>
      <c r="X828" s="2" t="s">
        <v>340</v>
      </c>
      <c r="Y828" s="2" t="s">
        <v>341</v>
      </c>
      <c r="Z828" s="2" t="s">
        <v>341</v>
      </c>
      <c r="AA828" s="2" t="s">
        <v>342</v>
      </c>
      <c r="AB828" s="2" t="s">
        <v>3086</v>
      </c>
      <c r="AC828" s="2">
        <v>53.31</v>
      </c>
      <c r="AD828" s="2">
        <v>88.49</v>
      </c>
      <c r="AE828" s="2">
        <v>0</v>
      </c>
      <c r="AF828" s="2" t="s">
        <v>5614</v>
      </c>
      <c r="AG828" s="2" t="s">
        <v>3880</v>
      </c>
      <c r="AH828" s="2" t="s">
        <v>6735</v>
      </c>
      <c r="AI828" s="2">
        <v>2.5099999999999998</v>
      </c>
      <c r="AJ828" s="2">
        <v>18.8793234355804</v>
      </c>
      <c r="AK828" s="2">
        <v>19.232978937906498</v>
      </c>
      <c r="AL828" s="2">
        <v>18.067456524543498</v>
      </c>
      <c r="AM828" s="2">
        <v>19.081517947810099</v>
      </c>
      <c r="AN828" s="2">
        <v>19.289503072471799</v>
      </c>
      <c r="AO828" s="2">
        <v>19.349809778593499</v>
      </c>
      <c r="AP828" s="2">
        <v>18.940835011471101</v>
      </c>
      <c r="AQ828" s="2">
        <v>18.6033400853938</v>
      </c>
      <c r="AR828" s="2">
        <v>19.4320776898657</v>
      </c>
      <c r="AS828" s="2">
        <v>17.5025290617506</v>
      </c>
      <c r="AT828" s="2">
        <v>18.4515811575125</v>
      </c>
      <c r="AU828" s="2">
        <v>18.8428186669009</v>
      </c>
      <c r="AV828" s="2">
        <v>19.405674225490898</v>
      </c>
      <c r="AW828" s="2">
        <v>19.211272222676701</v>
      </c>
      <c r="AX828" s="2">
        <v>18.7810021013902</v>
      </c>
      <c r="AY828" s="2">
        <v>19.119774251602799</v>
      </c>
      <c r="AZ828" s="2">
        <v>18.408656348755201</v>
      </c>
      <c r="BA828" s="2">
        <v>18.5076289322399</v>
      </c>
      <c r="BB828" s="2">
        <v>18.947593707814701</v>
      </c>
      <c r="BC828" s="2">
        <v>18.836264754300199</v>
      </c>
      <c r="BD828" s="2">
        <v>18.955776885754801</v>
      </c>
      <c r="BE828" s="2">
        <v>19.5844429370188</v>
      </c>
      <c r="BF828" s="2">
        <v>18.662996909177402</v>
      </c>
      <c r="BG828" s="2">
        <v>19.333998488976398</v>
      </c>
      <c r="BH828" s="2">
        <v>19.267182254147201</v>
      </c>
      <c r="BI828" s="2">
        <v>19.1558570447894</v>
      </c>
      <c r="BJ828" s="2">
        <v>18.439797816972401</v>
      </c>
      <c r="BK828" s="2">
        <v>18.781214623415998</v>
      </c>
      <c r="BL828" s="2">
        <v>18.873179494825401</v>
      </c>
      <c r="BM828" s="2">
        <v>19.0198378994446</v>
      </c>
      <c r="BN828" s="2">
        <v>19.7254672311646</v>
      </c>
      <c r="BO828" s="2">
        <v>18.4439775197974</v>
      </c>
      <c r="BP828" s="2">
        <v>19.081316104975201</v>
      </c>
      <c r="BQ828" s="2">
        <v>18.931909495584499</v>
      </c>
      <c r="BR828" s="2">
        <v>19.2914754938401</v>
      </c>
      <c r="BS828" s="2">
        <v>19.881136759580201</v>
      </c>
      <c r="BT828" s="2">
        <v>18.7186950764962</v>
      </c>
      <c r="BU828" s="2">
        <v>18.710639375694299</v>
      </c>
      <c r="BV828" s="2">
        <v>18.334986956793401</v>
      </c>
      <c r="BW828" s="2">
        <v>18.2721405455335</v>
      </c>
      <c r="BX828" s="2">
        <v>18.598691572847098</v>
      </c>
      <c r="BY828" s="2">
        <v>19.514565743160102</v>
      </c>
      <c r="BZ828" s="2">
        <v>18.663011924481999</v>
      </c>
      <c r="CA828" s="2">
        <v>19.436968370842902</v>
      </c>
      <c r="CB828" s="2">
        <v>18.8571134825428</v>
      </c>
      <c r="CC828" s="2">
        <v>18.9772245175972</v>
      </c>
      <c r="CD828" s="2">
        <v>19.154594524419601</v>
      </c>
      <c r="CE828" s="2">
        <v>18.1955631538343</v>
      </c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</row>
    <row r="829" spans="1:97">
      <c r="A829" s="2" t="s">
        <v>7797</v>
      </c>
      <c r="B829" s="2">
        <v>515.33831999999995</v>
      </c>
      <c r="C829" s="2">
        <v>10.032999999999999</v>
      </c>
      <c r="D829" s="2" t="s">
        <v>146</v>
      </c>
      <c r="E829" s="2" t="s">
        <v>7798</v>
      </c>
      <c r="F829" s="2" t="s">
        <v>7799</v>
      </c>
      <c r="G829" s="2">
        <v>44090</v>
      </c>
      <c r="H829" s="3" t="str">
        <f>HYPERLINK("https://cloud.oebiotech.com/#/lm/network/44090", "https://cloud.oebiotech.com/#/lm/network/44090")</f>
        <v>https://cloud.oebiotech.com/#/lm/network/44090</v>
      </c>
      <c r="I829" s="2"/>
      <c r="J829" s="2">
        <v>84061</v>
      </c>
      <c r="K829" s="2" t="s">
        <v>7800</v>
      </c>
      <c r="L829" s="2">
        <v>42604057</v>
      </c>
      <c r="M829" s="2"/>
      <c r="N829" s="2"/>
      <c r="O829" s="2"/>
      <c r="P829" s="2"/>
      <c r="Q829" s="2"/>
      <c r="R829" s="2"/>
      <c r="S829" s="2"/>
      <c r="T829" s="2" t="s">
        <v>7801</v>
      </c>
      <c r="U829" s="2" t="s">
        <v>7802</v>
      </c>
      <c r="V829" s="2" t="s">
        <v>95</v>
      </c>
      <c r="W829" s="2" t="s">
        <v>152</v>
      </c>
      <c r="X829" s="2" t="s">
        <v>7803</v>
      </c>
      <c r="Y829" s="2" t="s">
        <v>98</v>
      </c>
      <c r="Z829" s="2" t="s">
        <v>154</v>
      </c>
      <c r="AA829" s="2" t="s">
        <v>7804</v>
      </c>
      <c r="AB829" s="2" t="s">
        <v>5118</v>
      </c>
      <c r="AC829" s="2">
        <v>53.3</v>
      </c>
      <c r="AD829" s="2">
        <v>94.87</v>
      </c>
      <c r="AE829" s="2">
        <v>89.56</v>
      </c>
      <c r="AF829" s="2" t="s">
        <v>7805</v>
      </c>
      <c r="AG829" s="2" t="s">
        <v>157</v>
      </c>
      <c r="AH829" s="2" t="s">
        <v>1793</v>
      </c>
      <c r="AI829" s="2">
        <v>-0.97</v>
      </c>
      <c r="AJ829" s="2">
        <v>25.1258206738406</v>
      </c>
      <c r="AK829" s="2">
        <v>25.1906014360817</v>
      </c>
      <c r="AL829" s="2">
        <v>25.1092455392792</v>
      </c>
      <c r="AM829" s="2">
        <v>25.006402092445999</v>
      </c>
      <c r="AN829" s="2">
        <v>25.069544195153298</v>
      </c>
      <c r="AO829" s="2">
        <v>25.0214866206789</v>
      </c>
      <c r="AP829" s="2">
        <v>24.961923294893602</v>
      </c>
      <c r="AQ829" s="2">
        <v>25.009083499616398</v>
      </c>
      <c r="AR829" s="2">
        <v>25.128201079090701</v>
      </c>
      <c r="AS829" s="2">
        <v>25.3766804637003</v>
      </c>
      <c r="AT829" s="2">
        <v>25.027855934174202</v>
      </c>
      <c r="AU829" s="2">
        <v>25.0849326244956</v>
      </c>
      <c r="AV829" s="2">
        <v>25.0434858484995</v>
      </c>
      <c r="AW829" s="2">
        <v>25.122818178405598</v>
      </c>
      <c r="AX829" s="2">
        <v>25.0396819324299</v>
      </c>
      <c r="AY829" s="2">
        <v>25.096981911901398</v>
      </c>
      <c r="AZ829" s="2">
        <v>25.078032503563001</v>
      </c>
      <c r="BA829" s="2">
        <v>25.172629449762201</v>
      </c>
      <c r="BB829" s="2">
        <v>25.044736651872601</v>
      </c>
      <c r="BC829" s="2">
        <v>25.1590930309881</v>
      </c>
      <c r="BD829" s="2">
        <v>25.018362403391201</v>
      </c>
      <c r="BE829" s="2">
        <v>25.018958844583601</v>
      </c>
      <c r="BF829" s="2">
        <v>24.961486132152402</v>
      </c>
      <c r="BG829" s="2">
        <v>25.027895526913401</v>
      </c>
      <c r="BH829" s="2">
        <v>25.075669338044801</v>
      </c>
      <c r="BI829" s="2">
        <v>24.8908123577589</v>
      </c>
      <c r="BJ829" s="2">
        <v>24.924416585819099</v>
      </c>
      <c r="BK829" s="2">
        <v>25.015014840823</v>
      </c>
      <c r="BL829" s="2">
        <v>25.094524068941698</v>
      </c>
      <c r="BM829" s="2">
        <v>25.092807255264699</v>
      </c>
      <c r="BN829" s="2">
        <v>24.922456261176201</v>
      </c>
      <c r="BO829" s="2">
        <v>25.058611885708</v>
      </c>
      <c r="BP829" s="2">
        <v>24.998275409805501</v>
      </c>
      <c r="BQ829" s="2">
        <v>25.0586169797194</v>
      </c>
      <c r="BR829" s="2">
        <v>24.988724934592799</v>
      </c>
      <c r="BS829" s="2">
        <v>25.061837359499901</v>
      </c>
      <c r="BT829" s="2">
        <v>24.905047482751499</v>
      </c>
      <c r="BU829" s="2">
        <v>24.9932286209655</v>
      </c>
      <c r="BV829" s="2">
        <v>24.939963698070201</v>
      </c>
      <c r="BW829" s="2">
        <v>25.061001001342401</v>
      </c>
      <c r="BX829" s="2">
        <v>25.024209268957701</v>
      </c>
      <c r="BY829" s="2">
        <v>24.959719021962101</v>
      </c>
      <c r="BZ829" s="2">
        <v>24.971004057174301</v>
      </c>
      <c r="CA829" s="2">
        <v>24.925808402884499</v>
      </c>
      <c r="CB829" s="2">
        <v>24.947423249585899</v>
      </c>
      <c r="CC829" s="2">
        <v>24.981921525690399</v>
      </c>
      <c r="CD829" s="2">
        <v>24.891404997975801</v>
      </c>
      <c r="CE829" s="2">
        <v>24.988821393664601</v>
      </c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</row>
    <row r="830" spans="1:97">
      <c r="A830" s="2" t="s">
        <v>7806</v>
      </c>
      <c r="B830" s="2">
        <v>215.13876999999999</v>
      </c>
      <c r="C830" s="2">
        <v>0.79</v>
      </c>
      <c r="D830" s="2" t="s">
        <v>84</v>
      </c>
      <c r="E830" s="2" t="s">
        <v>7807</v>
      </c>
      <c r="F830" s="2" t="s">
        <v>7808</v>
      </c>
      <c r="G830" s="2">
        <v>52174</v>
      </c>
      <c r="H830" s="3" t="str">
        <f>HYPERLINK("https://cloud.oebiotech.com/#/lm/network/52174", "https://cloud.oebiotech.com/#/lm/network/52174")</f>
        <v>https://cloud.oebiotech.com/#/lm/network/52174</v>
      </c>
      <c r="I830" s="2" t="s">
        <v>7809</v>
      </c>
      <c r="J830" s="2"/>
      <c r="K830" s="2"/>
      <c r="L830" s="2">
        <v>167029</v>
      </c>
      <c r="M830" s="2"/>
      <c r="N830" s="2"/>
      <c r="O830" s="2"/>
      <c r="P830" s="2"/>
      <c r="Q830" s="2"/>
      <c r="R830" s="2"/>
      <c r="S830" s="2" t="s">
        <v>7810</v>
      </c>
      <c r="T830" s="2" t="s">
        <v>7811</v>
      </c>
      <c r="U830" s="2" t="s">
        <v>7812</v>
      </c>
      <c r="V830" s="2" t="s">
        <v>115</v>
      </c>
      <c r="W830" s="2" t="s">
        <v>116</v>
      </c>
      <c r="X830" s="2" t="s">
        <v>117</v>
      </c>
      <c r="Y830" s="2" t="s">
        <v>118</v>
      </c>
      <c r="Z830" s="2" t="s">
        <v>119</v>
      </c>
      <c r="AA830" s="2" t="s">
        <v>120</v>
      </c>
      <c r="AB830" s="2" t="s">
        <v>3086</v>
      </c>
      <c r="AC830" s="2">
        <v>53.27</v>
      </c>
      <c r="AD830" s="2">
        <v>93.92</v>
      </c>
      <c r="AE830" s="2">
        <v>0</v>
      </c>
      <c r="AF830" s="2" t="s">
        <v>5614</v>
      </c>
      <c r="AG830" s="2" t="s">
        <v>1088</v>
      </c>
      <c r="AH830" s="2" t="s">
        <v>7813</v>
      </c>
      <c r="AI830" s="2">
        <v>3.72</v>
      </c>
      <c r="AJ830" s="2">
        <v>20.297125743242201</v>
      </c>
      <c r="AK830" s="2">
        <v>20.603626453640299</v>
      </c>
      <c r="AL830" s="2">
        <v>20.805009689397799</v>
      </c>
      <c r="AM830" s="2">
        <v>20.465169910499501</v>
      </c>
      <c r="AN830" s="2">
        <v>20.697372845347001</v>
      </c>
      <c r="AO830" s="2">
        <v>20.5039641258637</v>
      </c>
      <c r="AP830" s="2">
        <v>20.445028975044998</v>
      </c>
      <c r="AQ830" s="2">
        <v>20.556289579541701</v>
      </c>
      <c r="AR830" s="2">
        <v>20.493748235403999</v>
      </c>
      <c r="AS830" s="2">
        <v>20.7410091752906</v>
      </c>
      <c r="AT830" s="2">
        <v>20.115784387007601</v>
      </c>
      <c r="AU830" s="2">
        <v>20.0115510571353</v>
      </c>
      <c r="AV830" s="2">
        <v>20.1597846830145</v>
      </c>
      <c r="AW830" s="2">
        <v>20.613794247650102</v>
      </c>
      <c r="AX830" s="2">
        <v>21.082947938177199</v>
      </c>
      <c r="AY830" s="2">
        <v>20.846986410739898</v>
      </c>
      <c r="AZ830" s="2">
        <v>20.413668077467399</v>
      </c>
      <c r="BA830" s="2">
        <v>19.461915515249899</v>
      </c>
      <c r="BB830" s="2">
        <v>19.838554956703199</v>
      </c>
      <c r="BC830" s="2">
        <v>18.887886638189201</v>
      </c>
      <c r="BD830" s="2">
        <v>19.6967268080206</v>
      </c>
      <c r="BE830" s="2">
        <v>20.826395232214502</v>
      </c>
      <c r="BF830" s="2">
        <v>20.195952754185502</v>
      </c>
      <c r="BG830" s="2">
        <v>20.3505550752601</v>
      </c>
      <c r="BH830" s="2">
        <v>20.251877502229402</v>
      </c>
      <c r="BI830" s="2">
        <v>20.311754422733301</v>
      </c>
      <c r="BJ830" s="2">
        <v>20.685830896439601</v>
      </c>
      <c r="BK830" s="2">
        <v>20.148079458685299</v>
      </c>
      <c r="BL830" s="2">
        <v>20.319105822303602</v>
      </c>
      <c r="BM830" s="2">
        <v>20.0965242029751</v>
      </c>
      <c r="BN830" s="2">
        <v>21.138843796566601</v>
      </c>
      <c r="BO830" s="2">
        <v>20.339709520955701</v>
      </c>
      <c r="BP830" s="2">
        <v>20.460759628866398</v>
      </c>
      <c r="BQ830" s="2">
        <v>20.867935816855901</v>
      </c>
      <c r="BR830" s="2">
        <v>20.818309284174202</v>
      </c>
      <c r="BS830" s="2">
        <v>20.3555107321923</v>
      </c>
      <c r="BT830" s="2">
        <v>20.560386902540099</v>
      </c>
      <c r="BU830" s="2">
        <v>20.807189447568401</v>
      </c>
      <c r="BV830" s="2">
        <v>19.9023757769695</v>
      </c>
      <c r="BW830" s="2">
        <v>18.303676995455199</v>
      </c>
      <c r="BX830" s="2">
        <v>20.799844036829199</v>
      </c>
      <c r="BY830" s="2">
        <v>20.8870669394814</v>
      </c>
      <c r="BZ830" s="2">
        <v>20.416871906818901</v>
      </c>
      <c r="CA830" s="2">
        <v>20.2583924607029</v>
      </c>
      <c r="CB830" s="2">
        <v>19.977478047885899</v>
      </c>
      <c r="CC830" s="2">
        <v>20.960300991414801</v>
      </c>
      <c r="CD830" s="2">
        <v>20.971587833418301</v>
      </c>
      <c r="CE830" s="2">
        <v>20.4760783283443</v>
      </c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</row>
    <row r="831" spans="1:97">
      <c r="A831" s="2" t="s">
        <v>7814</v>
      </c>
      <c r="B831" s="2">
        <v>266.13828999999998</v>
      </c>
      <c r="C831" s="2">
        <v>4.173</v>
      </c>
      <c r="D831" s="2" t="s">
        <v>84</v>
      </c>
      <c r="E831" s="2" t="s">
        <v>7815</v>
      </c>
      <c r="F831" s="2" t="s">
        <v>7816</v>
      </c>
      <c r="G831" s="2">
        <v>199163</v>
      </c>
      <c r="H831" s="3" t="str">
        <f>HYPERLINK("https://cloud.oebiotech.com/#/lm/network/199163", "https://cloud.oebiotech.com/#/lm/network/199163")</f>
        <v>https://cloud.oebiotech.com/#/lm/network/199163</v>
      </c>
      <c r="I831" s="2" t="s">
        <v>7817</v>
      </c>
      <c r="J831" s="2"/>
      <c r="K831" s="2"/>
      <c r="L831" s="2">
        <v>2199</v>
      </c>
      <c r="M831" s="2"/>
      <c r="N831" s="2"/>
      <c r="O831" s="2"/>
      <c r="P831" s="2"/>
      <c r="Q831" s="2"/>
      <c r="R831" s="2"/>
      <c r="S831" s="2"/>
      <c r="T831" s="2" t="s">
        <v>7818</v>
      </c>
      <c r="U831" s="2" t="s">
        <v>7819</v>
      </c>
      <c r="V831" s="2" t="s">
        <v>385</v>
      </c>
      <c r="W831" s="2" t="s">
        <v>3055</v>
      </c>
      <c r="X831" s="2" t="s">
        <v>4768</v>
      </c>
      <c r="Y831" s="2" t="s">
        <v>388</v>
      </c>
      <c r="Z831" s="2" t="s">
        <v>3056</v>
      </c>
      <c r="AA831" s="2" t="s">
        <v>4769</v>
      </c>
      <c r="AB831" s="2" t="s">
        <v>3086</v>
      </c>
      <c r="AC831" s="2">
        <v>53.25</v>
      </c>
      <c r="AD831" s="2">
        <v>90.97</v>
      </c>
      <c r="AE831" s="2">
        <v>0</v>
      </c>
      <c r="AF831" s="2" t="s">
        <v>5614</v>
      </c>
      <c r="AG831" s="2" t="s">
        <v>103</v>
      </c>
      <c r="AH831" s="2" t="s">
        <v>7820</v>
      </c>
      <c r="AI831" s="2">
        <v>1.5</v>
      </c>
      <c r="AJ831" s="2">
        <v>16.943469250905501</v>
      </c>
      <c r="AK831" s="2">
        <v>16.8451152396817</v>
      </c>
      <c r="AL831" s="2">
        <v>16.0830126197854</v>
      </c>
      <c r="AM831" s="2">
        <v>17.269151066071998</v>
      </c>
      <c r="AN831" s="2">
        <v>16.930588011452699</v>
      </c>
      <c r="AO831" s="2">
        <v>16.853589294143902</v>
      </c>
      <c r="AP831" s="2">
        <v>17.085873244339801</v>
      </c>
      <c r="AQ831" s="2">
        <v>16.7709381915436</v>
      </c>
      <c r="AR831" s="2">
        <v>17.084250643003202</v>
      </c>
      <c r="AS831" s="2">
        <v>16.100775045152702</v>
      </c>
      <c r="AT831" s="2">
        <v>9.6233145402724691</v>
      </c>
      <c r="AU831" s="2">
        <v>14.9071023819714</v>
      </c>
      <c r="AV831" s="2">
        <v>18.227914186625899</v>
      </c>
      <c r="AW831" s="2">
        <v>14.984946644127699</v>
      </c>
      <c r="AX831" s="2">
        <v>9.6233145402724691</v>
      </c>
      <c r="AY831" s="2">
        <v>17.305054154081699</v>
      </c>
      <c r="AZ831" s="2">
        <v>15.850038828768101</v>
      </c>
      <c r="BA831" s="2">
        <v>16.021843396919099</v>
      </c>
      <c r="BB831" s="2">
        <v>16.114942420543699</v>
      </c>
      <c r="BC831" s="2">
        <v>9.6233145402724691</v>
      </c>
      <c r="BD831" s="2">
        <v>14.6427946294843</v>
      </c>
      <c r="BE831" s="2">
        <v>17.5664438628908</v>
      </c>
      <c r="BF831" s="2">
        <v>17.680575656074701</v>
      </c>
      <c r="BG831" s="2">
        <v>16.242360601544998</v>
      </c>
      <c r="BH831" s="2">
        <v>16.459472763805401</v>
      </c>
      <c r="BI831" s="2">
        <v>9.6233145402724691</v>
      </c>
      <c r="BJ831" s="2">
        <v>13.852528534082699</v>
      </c>
      <c r="BK831" s="2">
        <v>15.798305731755301</v>
      </c>
      <c r="BL831" s="2">
        <v>16.7491911719952</v>
      </c>
      <c r="BM831" s="2">
        <v>16.522327431255601</v>
      </c>
      <c r="BN831" s="2">
        <v>16.455389033170899</v>
      </c>
      <c r="BO831" s="2">
        <v>16.999280960881901</v>
      </c>
      <c r="BP831" s="2">
        <v>16.724024558407098</v>
      </c>
      <c r="BQ831" s="2">
        <v>17.837327525201601</v>
      </c>
      <c r="BR831" s="2">
        <v>14.1685028954969</v>
      </c>
      <c r="BS831" s="2">
        <v>18.1699137988311</v>
      </c>
      <c r="BT831" s="2">
        <v>16.634306387263798</v>
      </c>
      <c r="BU831" s="2">
        <v>17.5187853751472</v>
      </c>
      <c r="BV831" s="2">
        <v>16.0144232943363</v>
      </c>
      <c r="BW831" s="2">
        <v>9.6233145402724691</v>
      </c>
      <c r="BX831" s="2">
        <v>17.4896824122197</v>
      </c>
      <c r="BY831" s="2">
        <v>18.554182316995401</v>
      </c>
      <c r="BZ831" s="2">
        <v>17.026762783996599</v>
      </c>
      <c r="CA831" s="2">
        <v>15.43543912476</v>
      </c>
      <c r="CB831" s="2">
        <v>9.6233145402724691</v>
      </c>
      <c r="CC831" s="2">
        <v>14.4926687648541</v>
      </c>
      <c r="CD831" s="2">
        <v>16.2471919266853</v>
      </c>
      <c r="CE831" s="2">
        <v>16.051663960571499</v>
      </c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</row>
    <row r="832" spans="1:97">
      <c r="A832" s="2" t="s">
        <v>7821</v>
      </c>
      <c r="B832" s="2">
        <v>343.33138000000002</v>
      </c>
      <c r="C832" s="2">
        <v>11.21</v>
      </c>
      <c r="D832" s="2" t="s">
        <v>84</v>
      </c>
      <c r="E832" s="2" t="s">
        <v>7822</v>
      </c>
      <c r="F832" s="2" t="s">
        <v>7823</v>
      </c>
      <c r="G832" s="2">
        <v>200466</v>
      </c>
      <c r="H832" s="3" t="str">
        <f>HYPERLINK("https://cloud.oebiotech.com/#/lm/network/200466", "https://cloud.oebiotech.com/#/lm/network/200466")</f>
        <v>https://cloud.oebiotech.com/#/lm/network/200466</v>
      </c>
      <c r="I832" s="2" t="s">
        <v>7824</v>
      </c>
      <c r="J832" s="2"/>
      <c r="K832" s="2"/>
      <c r="L832" s="2">
        <v>91527</v>
      </c>
      <c r="M832" s="2"/>
      <c r="N832" s="2"/>
      <c r="O832" s="2"/>
      <c r="P832" s="2"/>
      <c r="Q832" s="2"/>
      <c r="R832" s="2"/>
      <c r="S832" s="2"/>
      <c r="T832" s="2" t="s">
        <v>7825</v>
      </c>
      <c r="U832" s="2" t="s">
        <v>7826</v>
      </c>
      <c r="V832" s="2" t="s">
        <v>95</v>
      </c>
      <c r="W832" s="2" t="s">
        <v>96</v>
      </c>
      <c r="X832" s="2" t="s">
        <v>97</v>
      </c>
      <c r="Y832" s="2" t="s">
        <v>98</v>
      </c>
      <c r="Z832" s="2" t="s">
        <v>99</v>
      </c>
      <c r="AA832" s="2" t="s">
        <v>100</v>
      </c>
      <c r="AB832" s="2" t="s">
        <v>3086</v>
      </c>
      <c r="AC832" s="2">
        <v>53.25</v>
      </c>
      <c r="AD832" s="2">
        <v>86.24</v>
      </c>
      <c r="AE832" s="2">
        <v>0</v>
      </c>
      <c r="AF832" s="2" t="s">
        <v>5614</v>
      </c>
      <c r="AG832" s="2" t="s">
        <v>132</v>
      </c>
      <c r="AH832" s="2" t="s">
        <v>4330</v>
      </c>
      <c r="AI832" s="2">
        <v>1.46</v>
      </c>
      <c r="AJ832" s="2">
        <v>18.356523497950999</v>
      </c>
      <c r="AK832" s="2">
        <v>17.388267666085301</v>
      </c>
      <c r="AL832" s="2">
        <v>18.448235384798402</v>
      </c>
      <c r="AM832" s="2">
        <v>17.666188975407</v>
      </c>
      <c r="AN832" s="2">
        <v>18.344524952251099</v>
      </c>
      <c r="AO832" s="2">
        <v>18.142686602264501</v>
      </c>
      <c r="AP832" s="2">
        <v>18.087992783915599</v>
      </c>
      <c r="AQ832" s="2">
        <v>18.437410527870199</v>
      </c>
      <c r="AR832" s="2">
        <v>19.019880890838301</v>
      </c>
      <c r="AS832" s="2">
        <v>19.111254184688399</v>
      </c>
      <c r="AT832" s="2">
        <v>18.800178694374601</v>
      </c>
      <c r="AU832" s="2">
        <v>18.064540692470199</v>
      </c>
      <c r="AV832" s="2">
        <v>9.6233145402724691</v>
      </c>
      <c r="AW832" s="2">
        <v>19.155143153387499</v>
      </c>
      <c r="AX832" s="2">
        <v>9.6233145402724691</v>
      </c>
      <c r="AY832" s="2">
        <v>17.952793222760199</v>
      </c>
      <c r="AZ832" s="2">
        <v>18.627528861648798</v>
      </c>
      <c r="BA832" s="2">
        <v>15.010433257633</v>
      </c>
      <c r="BB832" s="2">
        <v>18.2203523936432</v>
      </c>
      <c r="BC832" s="2">
        <v>18.8068468489225</v>
      </c>
      <c r="BD832" s="2">
        <v>18.355597618934599</v>
      </c>
      <c r="BE832" s="2">
        <v>18.412996190223499</v>
      </c>
      <c r="BF832" s="2">
        <v>18.589830916321201</v>
      </c>
      <c r="BG832" s="2">
        <v>18.621261341783999</v>
      </c>
      <c r="BH832" s="2">
        <v>16.261940089523499</v>
      </c>
      <c r="BI832" s="2">
        <v>18.5008882775983</v>
      </c>
      <c r="BJ832" s="2">
        <v>9.6233145402724691</v>
      </c>
      <c r="BK832" s="2">
        <v>9.6233145402724691</v>
      </c>
      <c r="BL832" s="2">
        <v>16.623193777487401</v>
      </c>
      <c r="BM832" s="2">
        <v>15.1870396204163</v>
      </c>
      <c r="BN832" s="2">
        <v>15.7439931239419</v>
      </c>
      <c r="BO832" s="2">
        <v>19.064473407697101</v>
      </c>
      <c r="BP832" s="2">
        <v>14.726105311298401</v>
      </c>
      <c r="BQ832" s="2">
        <v>16.8823854875411</v>
      </c>
      <c r="BR832" s="2">
        <v>19.107429426871601</v>
      </c>
      <c r="BS832" s="2">
        <v>16.015778076249202</v>
      </c>
      <c r="BT832" s="2">
        <v>9.6233145402724691</v>
      </c>
      <c r="BU832" s="2">
        <v>18.958906747367202</v>
      </c>
      <c r="BV832" s="2">
        <v>14.9446091253622</v>
      </c>
      <c r="BW832" s="2">
        <v>9.6233145402724691</v>
      </c>
      <c r="BX832" s="2">
        <v>9.6233145402724691</v>
      </c>
      <c r="BY832" s="2">
        <v>9.6233145402724691</v>
      </c>
      <c r="BZ832" s="2">
        <v>18.318152374132701</v>
      </c>
      <c r="CA832" s="2">
        <v>9.6233145402724691</v>
      </c>
      <c r="CB832" s="2">
        <v>18.698216884005301</v>
      </c>
      <c r="CC832" s="2">
        <v>14.801701286864599</v>
      </c>
      <c r="CD832" s="2">
        <v>18.898206669361599</v>
      </c>
      <c r="CE832" s="2">
        <v>15.705965216291901</v>
      </c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</row>
    <row r="833" spans="1:97">
      <c r="A833" s="2" t="s">
        <v>7827</v>
      </c>
      <c r="B833" s="2">
        <v>176.05517</v>
      </c>
      <c r="C833" s="2">
        <v>0.88100000000000001</v>
      </c>
      <c r="D833" s="2" t="s">
        <v>84</v>
      </c>
      <c r="E833" s="2" t="s">
        <v>7828</v>
      </c>
      <c r="F833" s="2" t="s">
        <v>7829</v>
      </c>
      <c r="G833" s="2">
        <v>47236</v>
      </c>
      <c r="H833" s="3" t="str">
        <f>HYPERLINK("https://cloud.oebiotech.com/#/lm/network/47236", "https://cloud.oebiotech.com/#/lm/network/47236")</f>
        <v>https://cloud.oebiotech.com/#/lm/network/47236</v>
      </c>
      <c r="I833" s="2" t="s">
        <v>7830</v>
      </c>
      <c r="J833" s="2">
        <v>3769</v>
      </c>
      <c r="K833" s="2"/>
      <c r="L833" s="2">
        <v>65065</v>
      </c>
      <c r="M833" s="2" t="s">
        <v>7831</v>
      </c>
      <c r="N833" s="2" t="s">
        <v>6662</v>
      </c>
      <c r="O833" s="2" t="s">
        <v>6663</v>
      </c>
      <c r="P833" s="2">
        <v>21547</v>
      </c>
      <c r="Q833" s="2" t="s">
        <v>7832</v>
      </c>
      <c r="R833" s="2" t="s">
        <v>7833</v>
      </c>
      <c r="S833" s="2" t="s">
        <v>7834</v>
      </c>
      <c r="T833" s="2" t="s">
        <v>7835</v>
      </c>
      <c r="U833" s="2" t="s">
        <v>7836</v>
      </c>
      <c r="V833" s="2" t="s">
        <v>115</v>
      </c>
      <c r="W833" s="2" t="s">
        <v>116</v>
      </c>
      <c r="X833" s="2" t="s">
        <v>117</v>
      </c>
      <c r="Y833" s="2" t="s">
        <v>118</v>
      </c>
      <c r="Z833" s="2" t="s">
        <v>119</v>
      </c>
      <c r="AA833" s="2" t="s">
        <v>120</v>
      </c>
      <c r="AB833" s="2" t="s">
        <v>3086</v>
      </c>
      <c r="AC833" s="2">
        <v>53.24</v>
      </c>
      <c r="AD833" s="2">
        <v>95.78</v>
      </c>
      <c r="AE833" s="2">
        <v>0</v>
      </c>
      <c r="AF833" s="2" t="s">
        <v>5614</v>
      </c>
      <c r="AG833" s="2" t="s">
        <v>103</v>
      </c>
      <c r="AH833" s="2" t="s">
        <v>7837</v>
      </c>
      <c r="AI833" s="2">
        <v>0.56999999999999995</v>
      </c>
      <c r="AJ833" s="2">
        <v>20.245586767371801</v>
      </c>
      <c r="AK833" s="2">
        <v>20.294216177057201</v>
      </c>
      <c r="AL833" s="2">
        <v>18.825160723080199</v>
      </c>
      <c r="AM833" s="2">
        <v>20.001502043491001</v>
      </c>
      <c r="AN833" s="2">
        <v>20.497186917547602</v>
      </c>
      <c r="AO833" s="2">
        <v>20.1009290908735</v>
      </c>
      <c r="AP833" s="2">
        <v>20.188110132781201</v>
      </c>
      <c r="AQ833" s="2">
        <v>20.5158929403371</v>
      </c>
      <c r="AR833" s="2">
        <v>20.475646877115501</v>
      </c>
      <c r="AS833" s="2">
        <v>19.9434387879298</v>
      </c>
      <c r="AT833" s="2">
        <v>18.937950218634299</v>
      </c>
      <c r="AU833" s="2">
        <v>19.896229668665999</v>
      </c>
      <c r="AV833" s="2">
        <v>20.0255691937517</v>
      </c>
      <c r="AW833" s="2">
        <v>20.062998512127098</v>
      </c>
      <c r="AX833" s="2">
        <v>20.161438703598002</v>
      </c>
      <c r="AY833" s="2">
        <v>19.959839533732001</v>
      </c>
      <c r="AZ833" s="2">
        <v>19.669959263366302</v>
      </c>
      <c r="BA833" s="2">
        <v>20.501145471865101</v>
      </c>
      <c r="BB833" s="2">
        <v>20.135925636567301</v>
      </c>
      <c r="BC833" s="2">
        <v>20.564812907762899</v>
      </c>
      <c r="BD833" s="2">
        <v>20.533532152184801</v>
      </c>
      <c r="BE833" s="2">
        <v>20.028170677442098</v>
      </c>
      <c r="BF833" s="2">
        <v>20.350632193872599</v>
      </c>
      <c r="BG833" s="2">
        <v>19.525766644726701</v>
      </c>
      <c r="BH833" s="2">
        <v>19.8234329397194</v>
      </c>
      <c r="BI833" s="2">
        <v>19.898108718630599</v>
      </c>
      <c r="BJ833" s="2">
        <v>20.1671366727813</v>
      </c>
      <c r="BK833" s="2">
        <v>19.926481859649101</v>
      </c>
      <c r="BL833" s="2">
        <v>19.918294026959799</v>
      </c>
      <c r="BM833" s="2">
        <v>19.963351533060901</v>
      </c>
      <c r="BN833" s="2">
        <v>20.419124417443101</v>
      </c>
      <c r="BO833" s="2">
        <v>19.678732872187499</v>
      </c>
      <c r="BP833" s="2">
        <v>18.9344685283145</v>
      </c>
      <c r="BQ833" s="2">
        <v>19.089088225622302</v>
      </c>
      <c r="BR833" s="2">
        <v>20.1278676797264</v>
      </c>
      <c r="BS833" s="2">
        <v>19.7090214298847</v>
      </c>
      <c r="BT833" s="2">
        <v>20.049146955078601</v>
      </c>
      <c r="BU833" s="2">
        <v>20.112327046388899</v>
      </c>
      <c r="BV833" s="2">
        <v>19.428315145036599</v>
      </c>
      <c r="BW833" s="2">
        <v>20.2641188876188</v>
      </c>
      <c r="BX833" s="2">
        <v>20.296104135388301</v>
      </c>
      <c r="BY833" s="2">
        <v>19.643416534033499</v>
      </c>
      <c r="BZ833" s="2">
        <v>20.1452985694491</v>
      </c>
      <c r="CA833" s="2">
        <v>20.216475197254901</v>
      </c>
      <c r="CB833" s="2">
        <v>19.528514108616701</v>
      </c>
      <c r="CC833" s="2">
        <v>19.8268128301358</v>
      </c>
      <c r="CD833" s="2">
        <v>19.255688610249798</v>
      </c>
      <c r="CE833" s="2">
        <v>20.055140123468099</v>
      </c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</row>
    <row r="834" spans="1:97">
      <c r="A834" s="2" t="s">
        <v>7838</v>
      </c>
      <c r="B834" s="2">
        <v>259.16980999999998</v>
      </c>
      <c r="C834" s="2">
        <v>11.121</v>
      </c>
      <c r="D834" s="2" t="s">
        <v>146</v>
      </c>
      <c r="E834" s="2" t="s">
        <v>7839</v>
      </c>
      <c r="F834" s="2" t="s">
        <v>7840</v>
      </c>
      <c r="G834" s="2">
        <v>6002</v>
      </c>
      <c r="H834" s="3" t="str">
        <f>HYPERLINK("https://cloud.oebiotech.com/#/lm/network/6002", "https://cloud.oebiotech.com/#/lm/network/6002")</f>
        <v>https://cloud.oebiotech.com/#/lm/network/6002</v>
      </c>
      <c r="I834" s="2"/>
      <c r="J834" s="2">
        <v>36479</v>
      </c>
      <c r="K834" s="2" t="s">
        <v>7841</v>
      </c>
      <c r="L834" s="2">
        <v>5283275</v>
      </c>
      <c r="M834" s="2"/>
      <c r="N834" s="2"/>
      <c r="O834" s="2"/>
      <c r="P834" s="2"/>
      <c r="Q834" s="2"/>
      <c r="R834" s="2"/>
      <c r="S834" s="2"/>
      <c r="T834" s="2" t="s">
        <v>7842</v>
      </c>
      <c r="U834" s="2" t="s">
        <v>7843</v>
      </c>
      <c r="V834" s="2" t="s">
        <v>95</v>
      </c>
      <c r="W834" s="2" t="s">
        <v>96</v>
      </c>
      <c r="X834" s="2" t="s">
        <v>353</v>
      </c>
      <c r="Y834" s="2" t="s">
        <v>98</v>
      </c>
      <c r="Z834" s="2" t="s">
        <v>99</v>
      </c>
      <c r="AA834" s="2" t="s">
        <v>354</v>
      </c>
      <c r="AB834" s="2" t="s">
        <v>3086</v>
      </c>
      <c r="AC834" s="2">
        <v>53.23</v>
      </c>
      <c r="AD834" s="2">
        <v>89.55</v>
      </c>
      <c r="AE834" s="2">
        <v>0</v>
      </c>
      <c r="AF834" s="2" t="s">
        <v>5614</v>
      </c>
      <c r="AG834" s="2" t="s">
        <v>194</v>
      </c>
      <c r="AH834" s="2" t="s">
        <v>7844</v>
      </c>
      <c r="AI834" s="2">
        <v>1.93</v>
      </c>
      <c r="AJ834" s="2">
        <v>18.527900104930101</v>
      </c>
      <c r="AK834" s="2">
        <v>18.348450240640901</v>
      </c>
      <c r="AL834" s="2">
        <v>17.974539843210099</v>
      </c>
      <c r="AM834" s="2">
        <v>18.051686367962599</v>
      </c>
      <c r="AN834" s="2">
        <v>18.373472047868098</v>
      </c>
      <c r="AO834" s="2">
        <v>18.575147845876099</v>
      </c>
      <c r="AP834" s="2">
        <v>18.213085323646698</v>
      </c>
      <c r="AQ834" s="2">
        <v>18.438877519797199</v>
      </c>
      <c r="AR834" s="2">
        <v>19.011208306383701</v>
      </c>
      <c r="AS834" s="2">
        <v>18.499979179832199</v>
      </c>
      <c r="AT834" s="2">
        <v>18.165755540646</v>
      </c>
      <c r="AU834" s="2">
        <v>18.4997078334059</v>
      </c>
      <c r="AV834" s="2">
        <v>18.4465290537782</v>
      </c>
      <c r="AW834" s="2">
        <v>18.392775320576501</v>
      </c>
      <c r="AX834" s="2">
        <v>18.253779681674999</v>
      </c>
      <c r="AY834" s="2">
        <v>18.181940869518399</v>
      </c>
      <c r="AZ834" s="2">
        <v>18.518239401762902</v>
      </c>
      <c r="BA834" s="2">
        <v>17.450156480269701</v>
      </c>
      <c r="BB834" s="2">
        <v>18.103830919789701</v>
      </c>
      <c r="BC834" s="2">
        <v>18.568294724186799</v>
      </c>
      <c r="BD834" s="2">
        <v>17.6602315343657</v>
      </c>
      <c r="BE834" s="2">
        <v>18.493226493593198</v>
      </c>
      <c r="BF834" s="2">
        <v>18.505427325670901</v>
      </c>
      <c r="BG834" s="2">
        <v>18.503463885544502</v>
      </c>
      <c r="BH834" s="2">
        <v>18.5528985525434</v>
      </c>
      <c r="BI834" s="2">
        <v>18.064327538690399</v>
      </c>
      <c r="BJ834" s="2">
        <v>18.311499283894801</v>
      </c>
      <c r="BK834" s="2">
        <v>18.0060212840168</v>
      </c>
      <c r="BL834" s="2">
        <v>18.367338215255</v>
      </c>
      <c r="BM834" s="2">
        <v>18.5398722030695</v>
      </c>
      <c r="BN834" s="2">
        <v>18.3745784581292</v>
      </c>
      <c r="BO834" s="2">
        <v>18.6104096225692</v>
      </c>
      <c r="BP834" s="2">
        <v>17.730949027776798</v>
      </c>
      <c r="BQ834" s="2">
        <v>18.132987892062999</v>
      </c>
      <c r="BR834" s="2">
        <v>18.29375950352</v>
      </c>
      <c r="BS834" s="2">
        <v>18.492985275586399</v>
      </c>
      <c r="BT834" s="2">
        <v>17.8835256587356</v>
      </c>
      <c r="BU834" s="2">
        <v>18.451821310398799</v>
      </c>
      <c r="BV834" s="2">
        <v>18.125915989266101</v>
      </c>
      <c r="BW834" s="2">
        <v>17.852431242451999</v>
      </c>
      <c r="BX834" s="2">
        <v>18.213051471659501</v>
      </c>
      <c r="BY834" s="2">
        <v>18.534498915571099</v>
      </c>
      <c r="BZ834" s="2">
        <v>17.965782030449301</v>
      </c>
      <c r="CA834" s="2">
        <v>18.312348145623201</v>
      </c>
      <c r="CB834" s="2">
        <v>18.211991070362298</v>
      </c>
      <c r="CC834" s="2">
        <v>18.192831894039699</v>
      </c>
      <c r="CD834" s="2">
        <v>18.085899741608301</v>
      </c>
      <c r="CE834" s="2">
        <v>18.266961725434399</v>
      </c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</row>
    <row r="835" spans="1:97">
      <c r="A835" s="2" t="s">
        <v>7845</v>
      </c>
      <c r="B835" s="2">
        <v>351.25342000000001</v>
      </c>
      <c r="C835" s="2">
        <v>13.195</v>
      </c>
      <c r="D835" s="2" t="s">
        <v>146</v>
      </c>
      <c r="E835" s="2" t="s">
        <v>7846</v>
      </c>
      <c r="F835" s="2" t="s">
        <v>7847</v>
      </c>
      <c r="G835" s="2">
        <v>1274</v>
      </c>
      <c r="H835" s="3" t="str">
        <f>HYPERLINK("https://cloud.oebiotech.com/#/lm/network/1274", "https://cloud.oebiotech.com/#/lm/network/1274")</f>
        <v>https://cloud.oebiotech.com/#/lm/network/1274</v>
      </c>
      <c r="I835" s="2"/>
      <c r="J835" s="2">
        <v>74399</v>
      </c>
      <c r="K835" s="2" t="s">
        <v>7848</v>
      </c>
      <c r="L835" s="2">
        <v>52921834</v>
      </c>
      <c r="M835" s="2"/>
      <c r="N835" s="2"/>
      <c r="O835" s="2"/>
      <c r="P835" s="2"/>
      <c r="Q835" s="2"/>
      <c r="R835" s="2"/>
      <c r="S835" s="2"/>
      <c r="T835" s="2" t="s">
        <v>7849</v>
      </c>
      <c r="U835" s="2" t="s">
        <v>7850</v>
      </c>
      <c r="V835" s="2" t="s">
        <v>95</v>
      </c>
      <c r="W835" s="2" t="s">
        <v>96</v>
      </c>
      <c r="X835" s="2" t="s">
        <v>141</v>
      </c>
      <c r="Y835" s="2" t="s">
        <v>98</v>
      </c>
      <c r="Z835" s="2" t="s">
        <v>99</v>
      </c>
      <c r="AA835" s="2" t="s">
        <v>142</v>
      </c>
      <c r="AB835" s="2" t="s">
        <v>3086</v>
      </c>
      <c r="AC835" s="2">
        <v>53.2</v>
      </c>
      <c r="AD835" s="2">
        <v>86.54</v>
      </c>
      <c r="AE835" s="2">
        <v>0</v>
      </c>
      <c r="AF835" s="2" t="s">
        <v>7851</v>
      </c>
      <c r="AG835" s="2" t="s">
        <v>157</v>
      </c>
      <c r="AH835" s="2" t="s">
        <v>891</v>
      </c>
      <c r="AI835" s="2">
        <v>1.99</v>
      </c>
      <c r="AJ835" s="2">
        <v>17.026670509864001</v>
      </c>
      <c r="AK835" s="2">
        <v>16.7408119051325</v>
      </c>
      <c r="AL835" s="2">
        <v>16.062077978890301</v>
      </c>
      <c r="AM835" s="2">
        <v>17.1055146838452</v>
      </c>
      <c r="AN835" s="2">
        <v>16.1719670213561</v>
      </c>
      <c r="AO835" s="2">
        <v>16.486432977677101</v>
      </c>
      <c r="AP835" s="2">
        <v>16.993510955807299</v>
      </c>
      <c r="AQ835" s="2">
        <v>16.692076297188901</v>
      </c>
      <c r="AR835" s="2">
        <v>13.5692634598305</v>
      </c>
      <c r="AS835" s="2">
        <v>14.699466719732699</v>
      </c>
      <c r="AT835" s="2">
        <v>17.816485711588602</v>
      </c>
      <c r="AU835" s="2">
        <v>14.987222258594601</v>
      </c>
      <c r="AV835" s="2">
        <v>15.395300830026001</v>
      </c>
      <c r="AW835" s="2">
        <v>15.2942046649235</v>
      </c>
      <c r="AX835" s="2">
        <v>16.3183276109432</v>
      </c>
      <c r="AY835" s="2">
        <v>15.7193642196158</v>
      </c>
      <c r="AZ835" s="2">
        <v>14.783549246748199</v>
      </c>
      <c r="BA835" s="2">
        <v>16.451232526677899</v>
      </c>
      <c r="BB835" s="2">
        <v>16.893452870317301</v>
      </c>
      <c r="BC835" s="2">
        <v>17.1903126635207</v>
      </c>
      <c r="BD835" s="2">
        <v>13.387492328779199</v>
      </c>
      <c r="BE835" s="2">
        <v>13.894654844742901</v>
      </c>
      <c r="BF835" s="2">
        <v>15.800135236741699</v>
      </c>
      <c r="BG835" s="2">
        <v>18.041040233700599</v>
      </c>
      <c r="BH835" s="2">
        <v>14.253882931604499</v>
      </c>
      <c r="BI835" s="2">
        <v>17.118249845530801</v>
      </c>
      <c r="BJ835" s="2">
        <v>16.109301990848898</v>
      </c>
      <c r="BK835" s="2">
        <v>14.755086819089501</v>
      </c>
      <c r="BL835" s="2">
        <v>17.372218657169</v>
      </c>
      <c r="BM835" s="2">
        <v>15.423031846807101</v>
      </c>
      <c r="BN835" s="2">
        <v>15.525955069324199</v>
      </c>
      <c r="BO835" s="2">
        <v>17.3425529572907</v>
      </c>
      <c r="BP835" s="2">
        <v>16.529631100928398</v>
      </c>
      <c r="BQ835" s="2">
        <v>17.123639181586</v>
      </c>
      <c r="BR835" s="2">
        <v>16.910391056600002</v>
      </c>
      <c r="BS835" s="2">
        <v>15.506090900203599</v>
      </c>
      <c r="BT835" s="2">
        <v>15.6180826146367</v>
      </c>
      <c r="BU835" s="2">
        <v>16.1131461418626</v>
      </c>
      <c r="BV835" s="2">
        <v>17.667508261932699</v>
      </c>
      <c r="BW835" s="2">
        <v>15.312588743662401</v>
      </c>
      <c r="BX835" s="2">
        <v>15.661673454058899</v>
      </c>
      <c r="BY835" s="2">
        <v>14.748734282854199</v>
      </c>
      <c r="BZ835" s="2">
        <v>16.285925397166999</v>
      </c>
      <c r="CA835" s="2">
        <v>15.640461866534899</v>
      </c>
      <c r="CB835" s="2">
        <v>17.719412084853801</v>
      </c>
      <c r="CC835" s="2">
        <v>17.544102626251998</v>
      </c>
      <c r="CD835" s="2">
        <v>15.725376643473</v>
      </c>
      <c r="CE835" s="2">
        <v>18.195373168686402</v>
      </c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</row>
    <row r="836" spans="1:97">
      <c r="A836" s="2" t="s">
        <v>7852</v>
      </c>
      <c r="B836" s="2">
        <v>435.27452</v>
      </c>
      <c r="C836" s="2">
        <v>9.5619999999999994</v>
      </c>
      <c r="D836" s="2" t="s">
        <v>146</v>
      </c>
      <c r="E836" s="2" t="s">
        <v>7853</v>
      </c>
      <c r="F836" s="2" t="s">
        <v>7854</v>
      </c>
      <c r="G836" s="2">
        <v>47047</v>
      </c>
      <c r="H836" s="3" t="str">
        <f>HYPERLINK("https://cloud.oebiotech.com/#/lm/network/47047", "https://cloud.oebiotech.com/#/lm/network/47047")</f>
        <v>https://cloud.oebiotech.com/#/lm/network/47047</v>
      </c>
      <c r="I836" s="2" t="s">
        <v>7855</v>
      </c>
      <c r="J836" s="2">
        <v>2985</v>
      </c>
      <c r="K836" s="2"/>
      <c r="L836" s="2">
        <v>53477693</v>
      </c>
      <c r="M836" s="2"/>
      <c r="N836" s="2"/>
      <c r="O836" s="2"/>
      <c r="P836" s="2"/>
      <c r="Q836" s="2"/>
      <c r="R836" s="2"/>
      <c r="S836" s="2" t="s">
        <v>7856</v>
      </c>
      <c r="T836" s="2" t="s">
        <v>7857</v>
      </c>
      <c r="U836" s="2" t="s">
        <v>7858</v>
      </c>
      <c r="V836" s="2" t="s">
        <v>95</v>
      </c>
      <c r="W836" s="2" t="s">
        <v>152</v>
      </c>
      <c r="X836" s="2" t="s">
        <v>278</v>
      </c>
      <c r="Y836" s="2" t="s">
        <v>98</v>
      </c>
      <c r="Z836" s="2" t="s">
        <v>154</v>
      </c>
      <c r="AA836" s="2" t="s">
        <v>279</v>
      </c>
      <c r="AB836" s="2" t="s">
        <v>3086</v>
      </c>
      <c r="AC836" s="2">
        <v>53.2</v>
      </c>
      <c r="AD836" s="2">
        <v>82.98</v>
      </c>
      <c r="AE836" s="2">
        <v>0</v>
      </c>
      <c r="AF836" s="2" t="s">
        <v>5614</v>
      </c>
      <c r="AG836" s="2" t="s">
        <v>157</v>
      </c>
      <c r="AH836" s="2" t="s">
        <v>1837</v>
      </c>
      <c r="AI836" s="2">
        <v>1.61</v>
      </c>
      <c r="AJ836" s="2">
        <v>17.142609279903699</v>
      </c>
      <c r="AK836" s="2">
        <v>17.1745307515232</v>
      </c>
      <c r="AL836" s="2">
        <v>17.2792279673195</v>
      </c>
      <c r="AM836" s="2">
        <v>17.1262587033189</v>
      </c>
      <c r="AN836" s="2">
        <v>17.2856455014111</v>
      </c>
      <c r="AO836" s="2">
        <v>16.840257050296898</v>
      </c>
      <c r="AP836" s="2">
        <v>17.300914573486001</v>
      </c>
      <c r="AQ836" s="2">
        <v>16.943039934041199</v>
      </c>
      <c r="AR836" s="2">
        <v>12.184946608300001</v>
      </c>
      <c r="AS836" s="2">
        <v>9.6233145402724691</v>
      </c>
      <c r="AT836" s="2">
        <v>9.6233145402724691</v>
      </c>
      <c r="AU836" s="2">
        <v>13.575917361118099</v>
      </c>
      <c r="AV836" s="2">
        <v>16.0855820015856</v>
      </c>
      <c r="AW836" s="2">
        <v>18.6773301252571</v>
      </c>
      <c r="AX836" s="2">
        <v>9.6233145402724691</v>
      </c>
      <c r="AY836" s="2">
        <v>9.6233145402724691</v>
      </c>
      <c r="AZ836" s="2">
        <v>14.6271240215275</v>
      </c>
      <c r="BA836" s="2">
        <v>16.765771957705802</v>
      </c>
      <c r="BB836" s="2">
        <v>15.9341584776961</v>
      </c>
      <c r="BC836" s="2">
        <v>16.843374319934899</v>
      </c>
      <c r="BD836" s="2">
        <v>9.6233145402724691</v>
      </c>
      <c r="BE836" s="2">
        <v>15.7753528173753</v>
      </c>
      <c r="BF836" s="2">
        <v>11.8614901837233</v>
      </c>
      <c r="BG836" s="2">
        <v>17.968616342531</v>
      </c>
      <c r="BH836" s="2">
        <v>9.6233145402724691</v>
      </c>
      <c r="BI836" s="2">
        <v>15.522682361914701</v>
      </c>
      <c r="BJ836" s="2">
        <v>17.703197337940399</v>
      </c>
      <c r="BK836" s="2">
        <v>19.6924549398165</v>
      </c>
      <c r="BL836" s="2">
        <v>17.5385361175972</v>
      </c>
      <c r="BM836" s="2">
        <v>14.284518326339001</v>
      </c>
      <c r="BN836" s="2">
        <v>13.3578969676174</v>
      </c>
      <c r="BO836" s="2">
        <v>13.111849666703501</v>
      </c>
      <c r="BP836" s="2">
        <v>15.6940139328009</v>
      </c>
      <c r="BQ836" s="2">
        <v>18.8244951796515</v>
      </c>
      <c r="BR836" s="2">
        <v>14.2407264988516</v>
      </c>
      <c r="BS836" s="2">
        <v>14.8514689455883</v>
      </c>
      <c r="BT836" s="2">
        <v>9.6233145402724691</v>
      </c>
      <c r="BU836" s="2">
        <v>9.6233145402724691</v>
      </c>
      <c r="BV836" s="2">
        <v>15.732585076731</v>
      </c>
      <c r="BW836" s="2">
        <v>13.9690770822404</v>
      </c>
      <c r="BX836" s="2">
        <v>9.6233145402724691</v>
      </c>
      <c r="BY836" s="2">
        <v>15.8627158048743</v>
      </c>
      <c r="BZ836" s="2">
        <v>14.5095702864171</v>
      </c>
      <c r="CA836" s="2">
        <v>17.923652347738301</v>
      </c>
      <c r="CB836" s="2">
        <v>18.479193189410399</v>
      </c>
      <c r="CC836" s="2">
        <v>17.247392317140999</v>
      </c>
      <c r="CD836" s="2">
        <v>14.817746154738201</v>
      </c>
      <c r="CE836" s="2">
        <v>17.985142439617398</v>
      </c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</row>
    <row r="837" spans="1:97">
      <c r="A837" s="2" t="s">
        <v>7859</v>
      </c>
      <c r="B837" s="2">
        <v>183.10222999999999</v>
      </c>
      <c r="C837" s="2">
        <v>6.9809999999999999</v>
      </c>
      <c r="D837" s="2" t="s">
        <v>146</v>
      </c>
      <c r="E837" s="2" t="s">
        <v>7860</v>
      </c>
      <c r="F837" s="2" t="s">
        <v>7861</v>
      </c>
      <c r="G837" s="2">
        <v>55803</v>
      </c>
      <c r="H837" s="3" t="str">
        <f>HYPERLINK("https://cloud.oebiotech.com/#/lm/network/55803", "https://cloud.oebiotech.com/#/lm/network/55803")</f>
        <v>https://cloud.oebiotech.com/#/lm/network/55803</v>
      </c>
      <c r="I837" s="2" t="s">
        <v>7862</v>
      </c>
      <c r="J837" s="2">
        <v>70300</v>
      </c>
      <c r="K837" s="2"/>
      <c r="L837" s="2">
        <v>6544</v>
      </c>
      <c r="M837" s="2" t="s">
        <v>7863</v>
      </c>
      <c r="N837" s="2"/>
      <c r="O837" s="2"/>
      <c r="P837" s="2">
        <v>34800</v>
      </c>
      <c r="Q837" s="2"/>
      <c r="R837" s="2"/>
      <c r="S837" s="2" t="s">
        <v>7864</v>
      </c>
      <c r="T837" s="2" t="s">
        <v>7865</v>
      </c>
      <c r="U837" s="2" t="s">
        <v>7866</v>
      </c>
      <c r="V837" s="2" t="s">
        <v>338</v>
      </c>
      <c r="W837" s="2" t="s">
        <v>339</v>
      </c>
      <c r="X837" s="2" t="s">
        <v>340</v>
      </c>
      <c r="Y837" s="2" t="s">
        <v>341</v>
      </c>
      <c r="Z837" s="2" t="s">
        <v>341</v>
      </c>
      <c r="AA837" s="2" t="s">
        <v>342</v>
      </c>
      <c r="AB837" s="2" t="s">
        <v>3086</v>
      </c>
      <c r="AC837" s="2">
        <v>53.2</v>
      </c>
      <c r="AD837" s="2">
        <v>93.44</v>
      </c>
      <c r="AE837" s="2">
        <v>0</v>
      </c>
      <c r="AF837" s="2" t="s">
        <v>5614</v>
      </c>
      <c r="AG837" s="2" t="s">
        <v>157</v>
      </c>
      <c r="AH837" s="2" t="s">
        <v>7073</v>
      </c>
      <c r="AI837" s="2">
        <v>2.73</v>
      </c>
      <c r="AJ837" s="2">
        <v>20.229120124502501</v>
      </c>
      <c r="AK837" s="2">
        <v>20.043219439614099</v>
      </c>
      <c r="AL837" s="2">
        <v>19.7278052472873</v>
      </c>
      <c r="AM837" s="2">
        <v>19.787118568211099</v>
      </c>
      <c r="AN837" s="2">
        <v>20.032196968594999</v>
      </c>
      <c r="AO837" s="2">
        <v>20.0017379312835</v>
      </c>
      <c r="AP837" s="2">
        <v>19.950367469039399</v>
      </c>
      <c r="AQ837" s="2">
        <v>20.118454901228901</v>
      </c>
      <c r="AR837" s="2">
        <v>19.371780514770499</v>
      </c>
      <c r="AS837" s="2">
        <v>18.1526275882451</v>
      </c>
      <c r="AT837" s="2">
        <v>18.704862341836701</v>
      </c>
      <c r="AU837" s="2">
        <v>19.267525625518001</v>
      </c>
      <c r="AV837" s="2">
        <v>20.458355514078502</v>
      </c>
      <c r="AW837" s="2">
        <v>22.202653851151599</v>
      </c>
      <c r="AX837" s="2">
        <v>18.6856274402103</v>
      </c>
      <c r="AY837" s="2">
        <v>20.689795622347599</v>
      </c>
      <c r="AZ837" s="2">
        <v>20.383439723225901</v>
      </c>
      <c r="BA837" s="2">
        <v>18.762624310361101</v>
      </c>
      <c r="BB837" s="2">
        <v>18.810470969913901</v>
      </c>
      <c r="BC837" s="2">
        <v>19.521689608648099</v>
      </c>
      <c r="BD837" s="2">
        <v>19.374673542463899</v>
      </c>
      <c r="BE837" s="2">
        <v>19.3763910275717</v>
      </c>
      <c r="BF837" s="2">
        <v>19.611872003562301</v>
      </c>
      <c r="BG837" s="2">
        <v>18.171316921439502</v>
      </c>
      <c r="BH837" s="2">
        <v>19.995447405514501</v>
      </c>
      <c r="BI837" s="2">
        <v>19.3144462327182</v>
      </c>
      <c r="BJ837" s="2">
        <v>19.263950003107698</v>
      </c>
      <c r="BK837" s="2">
        <v>19.990264417852501</v>
      </c>
      <c r="BL837" s="2">
        <v>18.7788237079093</v>
      </c>
      <c r="BM837" s="2">
        <v>19.329301513608399</v>
      </c>
      <c r="BN837" s="2">
        <v>19.926079911432701</v>
      </c>
      <c r="BO837" s="2">
        <v>18.918648162994</v>
      </c>
      <c r="BP837" s="2">
        <v>18.0785612930794</v>
      </c>
      <c r="BQ837" s="2">
        <v>19.050114564354601</v>
      </c>
      <c r="BR837" s="2">
        <v>19.9033091348333</v>
      </c>
      <c r="BS837" s="2">
        <v>21.725269638484399</v>
      </c>
      <c r="BT837" s="2">
        <v>20.418704821989898</v>
      </c>
      <c r="BU837" s="2">
        <v>18.854960307591799</v>
      </c>
      <c r="BV837" s="2">
        <v>19.291308117791299</v>
      </c>
      <c r="BW837" s="2">
        <v>18.8202754613623</v>
      </c>
      <c r="BX837" s="2">
        <v>18.948094413176602</v>
      </c>
      <c r="BY837" s="2">
        <v>20.497657990622798</v>
      </c>
      <c r="BZ837" s="2">
        <v>19.190052036768702</v>
      </c>
      <c r="CA837" s="2">
        <v>19.234091083692199</v>
      </c>
      <c r="CB837" s="2">
        <v>19.425799400514201</v>
      </c>
      <c r="CC837" s="2">
        <v>19.284459246859999</v>
      </c>
      <c r="CD837" s="2">
        <v>18.741434035306199</v>
      </c>
      <c r="CE837" s="2">
        <v>19.119207772722099</v>
      </c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</row>
    <row r="838" spans="1:97">
      <c r="A838" s="2" t="s">
        <v>7867</v>
      </c>
      <c r="B838" s="2">
        <v>85.029240000000001</v>
      </c>
      <c r="C838" s="2">
        <v>0.79700000000000004</v>
      </c>
      <c r="D838" s="2" t="s">
        <v>146</v>
      </c>
      <c r="E838" s="2" t="s">
        <v>7868</v>
      </c>
      <c r="F838" s="2" t="s">
        <v>7869</v>
      </c>
      <c r="G838" s="2">
        <v>208621</v>
      </c>
      <c r="H838" s="3" t="str">
        <f>HYPERLINK("https://cloud.oebiotech.com/#/lm/network/208621", "https://cloud.oebiotech.com/#/lm/network/208621")</f>
        <v>https://cloud.oebiotech.com/#/lm/network/208621</v>
      </c>
      <c r="I838" s="2" t="s">
        <v>7870</v>
      </c>
      <c r="J838" s="2"/>
      <c r="K838" s="2"/>
      <c r="L838" s="2"/>
      <c r="M838" s="2"/>
      <c r="N838" s="2"/>
      <c r="O838" s="2"/>
      <c r="P838" s="2">
        <v>25219</v>
      </c>
      <c r="Q838" s="2"/>
      <c r="R838" s="2"/>
      <c r="S838" s="2"/>
      <c r="T838" s="2" t="s">
        <v>7871</v>
      </c>
      <c r="U838" s="2" t="s">
        <v>7872</v>
      </c>
      <c r="V838" s="2" t="s">
        <v>115</v>
      </c>
      <c r="W838" s="2" t="s">
        <v>116</v>
      </c>
      <c r="X838" s="2" t="s">
        <v>2388</v>
      </c>
      <c r="Y838" s="2" t="s">
        <v>118</v>
      </c>
      <c r="Z838" s="2" t="s">
        <v>119</v>
      </c>
      <c r="AA838" s="2" t="s">
        <v>2389</v>
      </c>
      <c r="AB838" s="2" t="s">
        <v>3086</v>
      </c>
      <c r="AC838" s="2">
        <v>53.19</v>
      </c>
      <c r="AD838" s="2">
        <v>97.47</v>
      </c>
      <c r="AE838" s="2">
        <v>0</v>
      </c>
      <c r="AF838" s="2" t="s">
        <v>5614</v>
      </c>
      <c r="AG838" s="2" t="s">
        <v>194</v>
      </c>
      <c r="AH838" s="2" t="s">
        <v>7873</v>
      </c>
      <c r="AI838" s="2">
        <v>3.06</v>
      </c>
      <c r="AJ838" s="2">
        <v>23.158445862498102</v>
      </c>
      <c r="AK838" s="2">
        <v>23.2231442441159</v>
      </c>
      <c r="AL838" s="2">
        <v>23.238369349189501</v>
      </c>
      <c r="AM838" s="2">
        <v>23.351211115426999</v>
      </c>
      <c r="AN838" s="2">
        <v>23.120126423581699</v>
      </c>
      <c r="AO838" s="2">
        <v>23.111245085316899</v>
      </c>
      <c r="AP838" s="2">
        <v>23.1764106987548</v>
      </c>
      <c r="AQ838" s="2">
        <v>23.365649421697299</v>
      </c>
      <c r="AR838" s="2">
        <v>22.8391700998922</v>
      </c>
      <c r="AS838" s="2">
        <v>22.446829986230799</v>
      </c>
      <c r="AT838" s="2">
        <v>22.799625041062601</v>
      </c>
      <c r="AU838" s="2">
        <v>22.681443991349401</v>
      </c>
      <c r="AV838" s="2">
        <v>22.930741336125799</v>
      </c>
      <c r="AW838" s="2">
        <v>23.376849167844899</v>
      </c>
      <c r="AX838" s="2">
        <v>22.865939244719701</v>
      </c>
      <c r="AY838" s="2">
        <v>23.0408882462173</v>
      </c>
      <c r="AZ838" s="2">
        <v>23.121423632383699</v>
      </c>
      <c r="BA838" s="2">
        <v>22.819988370889401</v>
      </c>
      <c r="BB838" s="2">
        <v>23.162373848250301</v>
      </c>
      <c r="BC838" s="2">
        <v>22.7283400197941</v>
      </c>
      <c r="BD838" s="2">
        <v>23.211394168756598</v>
      </c>
      <c r="BE838" s="2">
        <v>23.167160400029299</v>
      </c>
      <c r="BF838" s="2">
        <v>23.006329520247299</v>
      </c>
      <c r="BG838" s="2">
        <v>22.299345948038301</v>
      </c>
      <c r="BH838" s="2">
        <v>22.728444106785599</v>
      </c>
      <c r="BI838" s="2">
        <v>23.245867304346199</v>
      </c>
      <c r="BJ838" s="2">
        <v>23.418833428173802</v>
      </c>
      <c r="BK838" s="2">
        <v>23.282321128207599</v>
      </c>
      <c r="BL838" s="2">
        <v>22.807854057115101</v>
      </c>
      <c r="BM838" s="2">
        <v>23.471259572817701</v>
      </c>
      <c r="BN838" s="2">
        <v>23.249252638203501</v>
      </c>
      <c r="BO838" s="2">
        <v>22.4446593322774</v>
      </c>
      <c r="BP838" s="2">
        <v>22.5494185166242</v>
      </c>
      <c r="BQ838" s="2">
        <v>23.481534586826498</v>
      </c>
      <c r="BR838" s="2">
        <v>22.573311993678299</v>
      </c>
      <c r="BS838" s="2">
        <v>22.708161954481099</v>
      </c>
      <c r="BT838" s="2">
        <v>22.520489175577602</v>
      </c>
      <c r="BU838" s="2">
        <v>22.907738564789401</v>
      </c>
      <c r="BV838" s="2">
        <v>22.9931025984313</v>
      </c>
      <c r="BW838" s="2">
        <v>22.804075980760299</v>
      </c>
      <c r="BX838" s="2">
        <v>23.011600797960099</v>
      </c>
      <c r="BY838" s="2">
        <v>23.201213897678802</v>
      </c>
      <c r="BZ838" s="2">
        <v>22.940037506958401</v>
      </c>
      <c r="CA838" s="2">
        <v>22.606468746539498</v>
      </c>
      <c r="CB838" s="2">
        <v>22.671195106294</v>
      </c>
      <c r="CC838" s="2">
        <v>22.8413014866981</v>
      </c>
      <c r="CD838" s="2">
        <v>22.852528650283201</v>
      </c>
      <c r="CE838" s="2">
        <v>22.956376364646701</v>
      </c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</row>
    <row r="839" spans="1:97">
      <c r="A839" s="2" t="s">
        <v>7874</v>
      </c>
      <c r="B839" s="2">
        <v>145.04935</v>
      </c>
      <c r="C839" s="2">
        <v>0.79900000000000004</v>
      </c>
      <c r="D839" s="2" t="s">
        <v>84</v>
      </c>
      <c r="E839" s="2" t="s">
        <v>7875</v>
      </c>
      <c r="F839" s="2" t="s">
        <v>7876</v>
      </c>
      <c r="G839" s="2">
        <v>200919</v>
      </c>
      <c r="H839" s="3" t="str">
        <f>HYPERLINK("https://cloud.oebiotech.com/#/lm/network/200919", "https://cloud.oebiotech.com/#/lm/network/200919")</f>
        <v>https://cloud.oebiotech.com/#/lm/network/200919</v>
      </c>
      <c r="I839" s="2" t="s">
        <v>7877</v>
      </c>
      <c r="J839" s="2"/>
      <c r="K839" s="2"/>
      <c r="L839" s="2">
        <v>4243512</v>
      </c>
      <c r="M839" s="2"/>
      <c r="N839" s="2"/>
      <c r="O839" s="2"/>
      <c r="P839" s="2"/>
      <c r="Q839" s="2"/>
      <c r="R839" s="2"/>
      <c r="S839" s="2"/>
      <c r="T839" s="2" t="s">
        <v>7878</v>
      </c>
      <c r="U839" s="2" t="s">
        <v>7879</v>
      </c>
      <c r="V839" s="2" t="s">
        <v>338</v>
      </c>
      <c r="W839" s="2" t="s">
        <v>339</v>
      </c>
      <c r="X839" s="2" t="s">
        <v>663</v>
      </c>
      <c r="Y839" s="2" t="s">
        <v>341</v>
      </c>
      <c r="Z839" s="2" t="s">
        <v>341</v>
      </c>
      <c r="AA839" s="2" t="s">
        <v>664</v>
      </c>
      <c r="AB839" s="2" t="s">
        <v>3086</v>
      </c>
      <c r="AC839" s="2">
        <v>53.19</v>
      </c>
      <c r="AD839" s="2">
        <v>96.22</v>
      </c>
      <c r="AE839" s="2">
        <v>0</v>
      </c>
      <c r="AF839" s="2" t="s">
        <v>5614</v>
      </c>
      <c r="AG839" s="2" t="s">
        <v>1088</v>
      </c>
      <c r="AH839" s="2" t="s">
        <v>7880</v>
      </c>
      <c r="AI839" s="2">
        <v>4.83</v>
      </c>
      <c r="AJ839" s="2">
        <v>21.860627018350101</v>
      </c>
      <c r="AK839" s="2">
        <v>21.119892324454401</v>
      </c>
      <c r="AL839" s="2">
        <v>21.876947022334701</v>
      </c>
      <c r="AM839" s="2">
        <v>21.482011487285899</v>
      </c>
      <c r="AN839" s="2">
        <v>21.664427783164601</v>
      </c>
      <c r="AO839" s="2">
        <v>21.213584566013001</v>
      </c>
      <c r="AP839" s="2">
        <v>21.9555532476158</v>
      </c>
      <c r="AQ839" s="2">
        <v>21.8521979421227</v>
      </c>
      <c r="AR839" s="2">
        <v>21.753818936810799</v>
      </c>
      <c r="AS839" s="2">
        <v>21.617440354600799</v>
      </c>
      <c r="AT839" s="2">
        <v>22.127781780085702</v>
      </c>
      <c r="AU839" s="2">
        <v>21.132715432458301</v>
      </c>
      <c r="AV839" s="2">
        <v>21.9083430488311</v>
      </c>
      <c r="AW839" s="2">
        <v>21.913551943124201</v>
      </c>
      <c r="AX839" s="2">
        <v>21.735389997668001</v>
      </c>
      <c r="AY839" s="2">
        <v>21.746883793689101</v>
      </c>
      <c r="AZ839" s="2">
        <v>21.747290510363499</v>
      </c>
      <c r="BA839" s="2">
        <v>21.8085013096808</v>
      </c>
      <c r="BB839" s="2">
        <v>21.518590090744699</v>
      </c>
      <c r="BC839" s="2">
        <v>21.8618652887906</v>
      </c>
      <c r="BD839" s="2">
        <v>21.8559842736686</v>
      </c>
      <c r="BE839" s="2">
        <v>21.726447953450599</v>
      </c>
      <c r="BF839" s="2">
        <v>21.9314942758302</v>
      </c>
      <c r="BG839" s="2">
        <v>21.360536995062098</v>
      </c>
      <c r="BH839" s="2">
        <v>21.591417087476099</v>
      </c>
      <c r="BI839" s="2">
        <v>21.699680271505098</v>
      </c>
      <c r="BJ839" s="2">
        <v>22.2216467290704</v>
      </c>
      <c r="BK839" s="2">
        <v>21.682853341501801</v>
      </c>
      <c r="BL839" s="2">
        <v>22.090873050873601</v>
      </c>
      <c r="BM839" s="2">
        <v>21.525056821422702</v>
      </c>
      <c r="BN839" s="2">
        <v>21.9641814642399</v>
      </c>
      <c r="BO839" s="2">
        <v>21.7097867987078</v>
      </c>
      <c r="BP839" s="2">
        <v>21.8380396644101</v>
      </c>
      <c r="BQ839" s="2">
        <v>21.4404174032748</v>
      </c>
      <c r="BR839" s="2">
        <v>21.082649789852699</v>
      </c>
      <c r="BS839" s="2">
        <v>22.0308214652099</v>
      </c>
      <c r="BT839" s="2">
        <v>21.648204923118101</v>
      </c>
      <c r="BU839" s="2">
        <v>21.760691026525599</v>
      </c>
      <c r="BV839" s="2">
        <v>21.8104916965226</v>
      </c>
      <c r="BW839" s="2">
        <v>21.500295574314599</v>
      </c>
      <c r="BX839" s="2">
        <v>21.254937087595501</v>
      </c>
      <c r="BY839" s="2">
        <v>21.793336406646599</v>
      </c>
      <c r="BZ839" s="2">
        <v>21.601649632171899</v>
      </c>
      <c r="CA839" s="2">
        <v>22.0387974312804</v>
      </c>
      <c r="CB839" s="2">
        <v>22.052147105838198</v>
      </c>
      <c r="CC839" s="2">
        <v>21.948514115728599</v>
      </c>
      <c r="CD839" s="2">
        <v>21.427438379563601</v>
      </c>
      <c r="CE839" s="2">
        <v>21.778659988807</v>
      </c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</row>
    <row r="840" spans="1:97">
      <c r="A840" s="2" t="s">
        <v>7881</v>
      </c>
      <c r="B840" s="2">
        <v>442.35212999999999</v>
      </c>
      <c r="C840" s="2">
        <v>9.69</v>
      </c>
      <c r="D840" s="2" t="s">
        <v>84</v>
      </c>
      <c r="E840" s="2" t="s">
        <v>7882</v>
      </c>
      <c r="F840" s="2" t="s">
        <v>7883</v>
      </c>
      <c r="G840" s="2">
        <v>207642</v>
      </c>
      <c r="H840" s="3" t="str">
        <f>HYPERLINK("https://cloud.oebiotech.com/#/lm/network/207642", "https://cloud.oebiotech.com/#/lm/network/207642")</f>
        <v>https://cloud.oebiotech.com/#/lm/network/207642</v>
      </c>
      <c r="I840" s="2" t="s">
        <v>7884</v>
      </c>
      <c r="J840" s="2"/>
      <c r="K840" s="2"/>
      <c r="L840" s="2">
        <v>129691895</v>
      </c>
      <c r="M840" s="2"/>
      <c r="N840" s="2"/>
      <c r="O840" s="2"/>
      <c r="P840" s="2"/>
      <c r="Q840" s="2"/>
      <c r="R840" s="2"/>
      <c r="S840" s="2"/>
      <c r="T840" s="2" t="s">
        <v>7885</v>
      </c>
      <c r="U840" s="2" t="s">
        <v>7886</v>
      </c>
      <c r="V840" s="2" t="s">
        <v>95</v>
      </c>
      <c r="W840" s="2" t="s">
        <v>96</v>
      </c>
      <c r="X840" s="2" t="s">
        <v>141</v>
      </c>
      <c r="Y840" s="2" t="s">
        <v>98</v>
      </c>
      <c r="Z840" s="2" t="s">
        <v>99</v>
      </c>
      <c r="AA840" s="2" t="s">
        <v>142</v>
      </c>
      <c r="AB840" s="2" t="s">
        <v>3086</v>
      </c>
      <c r="AC840" s="2">
        <v>53.18</v>
      </c>
      <c r="AD840" s="2">
        <v>83.77</v>
      </c>
      <c r="AE840" s="2">
        <v>0</v>
      </c>
      <c r="AF840" s="2" t="s">
        <v>5614</v>
      </c>
      <c r="AG840" s="2" t="s">
        <v>103</v>
      </c>
      <c r="AH840" s="2" t="s">
        <v>3332</v>
      </c>
      <c r="AI840" s="2">
        <v>1.36</v>
      </c>
      <c r="AJ840" s="2">
        <v>18.441121771192201</v>
      </c>
      <c r="AK840" s="2">
        <v>18.640468468557302</v>
      </c>
      <c r="AL840" s="2">
        <v>18.606632459465299</v>
      </c>
      <c r="AM840" s="2">
        <v>18.279052814450498</v>
      </c>
      <c r="AN840" s="2">
        <v>18.450514875705402</v>
      </c>
      <c r="AO840" s="2">
        <v>18.320216829858101</v>
      </c>
      <c r="AP840" s="2">
        <v>18.346351237300102</v>
      </c>
      <c r="AQ840" s="2">
        <v>18.618424434194299</v>
      </c>
      <c r="AR840" s="2">
        <v>16.247155944331499</v>
      </c>
      <c r="AS840" s="2">
        <v>17.0093134020923</v>
      </c>
      <c r="AT840" s="2">
        <v>19.172172861906301</v>
      </c>
      <c r="AU840" s="2">
        <v>15.063316708459601</v>
      </c>
      <c r="AV840" s="2">
        <v>14.871445180169101</v>
      </c>
      <c r="AW840" s="2">
        <v>17.647031904354499</v>
      </c>
      <c r="AX840" s="2">
        <v>17.9918412310905</v>
      </c>
      <c r="AY840" s="2">
        <v>17.868054833887498</v>
      </c>
      <c r="AZ840" s="2">
        <v>14.2451419134493</v>
      </c>
      <c r="BA840" s="2">
        <v>18.297767063930401</v>
      </c>
      <c r="BB840" s="2">
        <v>18.4128875596463</v>
      </c>
      <c r="BC840" s="2">
        <v>19.7969249675462</v>
      </c>
      <c r="BD840" s="2">
        <v>17.532834694441501</v>
      </c>
      <c r="BE840" s="2">
        <v>17.815980688141401</v>
      </c>
      <c r="BF840" s="2">
        <v>18.5178114225752</v>
      </c>
      <c r="BG840" s="2">
        <v>18.305220922920601</v>
      </c>
      <c r="BH840" s="2">
        <v>17.457063555160602</v>
      </c>
      <c r="BI840" s="2">
        <v>19.3973316981251</v>
      </c>
      <c r="BJ840" s="2">
        <v>18.403069043664399</v>
      </c>
      <c r="BK840" s="2">
        <v>16.9785047951686</v>
      </c>
      <c r="BL840" s="2">
        <v>18.652466888078902</v>
      </c>
      <c r="BM840" s="2">
        <v>17.311355947355398</v>
      </c>
      <c r="BN840" s="2">
        <v>18.1137394194898</v>
      </c>
      <c r="BO840" s="2">
        <v>18.5024441784002</v>
      </c>
      <c r="BP840" s="2">
        <v>18.329358697440099</v>
      </c>
      <c r="BQ840" s="2">
        <v>18.7891814292691</v>
      </c>
      <c r="BR840" s="2">
        <v>18.021285060416201</v>
      </c>
      <c r="BS840" s="2">
        <v>15.857151945765199</v>
      </c>
      <c r="BT840" s="2">
        <v>17.238063768281901</v>
      </c>
      <c r="BU840" s="2">
        <v>18.509694257094999</v>
      </c>
      <c r="BV840" s="2">
        <v>18.360353344635001</v>
      </c>
      <c r="BW840" s="2">
        <v>18.763603363663101</v>
      </c>
      <c r="BX840" s="2">
        <v>17.552181403138899</v>
      </c>
      <c r="BY840" s="2">
        <v>16.720817384811198</v>
      </c>
      <c r="BZ840" s="2">
        <v>18.360099358078902</v>
      </c>
      <c r="CA840" s="2">
        <v>18.564603089800599</v>
      </c>
      <c r="CB840" s="2">
        <v>17.955044571433799</v>
      </c>
      <c r="CC840" s="2">
        <v>18.6490191921934</v>
      </c>
      <c r="CD840" s="2">
        <v>17.898983572555501</v>
      </c>
      <c r="CE840" s="2">
        <v>18.321676147198499</v>
      </c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</row>
    <row r="841" spans="1:97">
      <c r="A841" s="2" t="s">
        <v>7887</v>
      </c>
      <c r="B841" s="2">
        <v>264.23185999999998</v>
      </c>
      <c r="C841" s="2">
        <v>6.62</v>
      </c>
      <c r="D841" s="2" t="s">
        <v>84</v>
      </c>
      <c r="E841" s="2" t="s">
        <v>7888</v>
      </c>
      <c r="F841" s="2" t="s">
        <v>7889</v>
      </c>
      <c r="G841" s="2">
        <v>63551</v>
      </c>
      <c r="H841" s="3" t="str">
        <f>HYPERLINK("https://cloud.oebiotech.com/#/lm/network/63551", "https://cloud.oebiotech.com/#/lm/network/63551")</f>
        <v>https://cloud.oebiotech.com/#/lm/network/63551</v>
      </c>
      <c r="I841" s="2" t="s">
        <v>7890</v>
      </c>
      <c r="J841" s="2">
        <v>94885</v>
      </c>
      <c r="K841" s="2"/>
      <c r="L841" s="2">
        <v>131752800</v>
      </c>
      <c r="M841" s="2"/>
      <c r="N841" s="2"/>
      <c r="O841" s="2"/>
      <c r="P841" s="2">
        <v>138767</v>
      </c>
      <c r="Q841" s="2"/>
      <c r="R841" s="2"/>
      <c r="S841" s="2" t="s">
        <v>7891</v>
      </c>
      <c r="T841" s="2" t="s">
        <v>7892</v>
      </c>
      <c r="U841" s="2" t="s">
        <v>7893</v>
      </c>
      <c r="V841" s="2" t="s">
        <v>95</v>
      </c>
      <c r="W841" s="2" t="s">
        <v>96</v>
      </c>
      <c r="X841" s="2" t="s">
        <v>353</v>
      </c>
      <c r="Y841" s="2" t="s">
        <v>98</v>
      </c>
      <c r="Z841" s="2" t="s">
        <v>99</v>
      </c>
      <c r="AA841" s="2" t="s">
        <v>354</v>
      </c>
      <c r="AB841" s="2" t="s">
        <v>5118</v>
      </c>
      <c r="AC841" s="2">
        <v>53.16</v>
      </c>
      <c r="AD841" s="2">
        <v>98.36</v>
      </c>
      <c r="AE841" s="2">
        <v>85.15</v>
      </c>
      <c r="AF841" s="2" t="s">
        <v>7894</v>
      </c>
      <c r="AG841" s="2" t="s">
        <v>132</v>
      </c>
      <c r="AH841" s="2" t="s">
        <v>7895</v>
      </c>
      <c r="AI841" s="2">
        <v>1.1399999999999999</v>
      </c>
      <c r="AJ841" s="2">
        <v>20.5234824266944</v>
      </c>
      <c r="AK841" s="2">
        <v>20.656350445509698</v>
      </c>
      <c r="AL841" s="2">
        <v>20.450792049505399</v>
      </c>
      <c r="AM841" s="2">
        <v>20.226714082940202</v>
      </c>
      <c r="AN841" s="2">
        <v>20.41376676538</v>
      </c>
      <c r="AO841" s="2">
        <v>20.412581093008502</v>
      </c>
      <c r="AP841" s="2">
        <v>20.3049693146184</v>
      </c>
      <c r="AQ841" s="2">
        <v>20.3531377883758</v>
      </c>
      <c r="AR841" s="2">
        <v>15.28844544303</v>
      </c>
      <c r="AS841" s="2">
        <v>15.319290018627299</v>
      </c>
      <c r="AT841" s="2">
        <v>19.4838041480388</v>
      </c>
      <c r="AU841" s="2">
        <v>20.574213180723198</v>
      </c>
      <c r="AV841" s="2">
        <v>20.667654821075299</v>
      </c>
      <c r="AW841" s="2">
        <v>20.486342967891801</v>
      </c>
      <c r="AX841" s="2">
        <v>19.679186953568699</v>
      </c>
      <c r="AY841" s="2">
        <v>21.423086377710501</v>
      </c>
      <c r="AZ841" s="2">
        <v>20.952432824053101</v>
      </c>
      <c r="BA841" s="2">
        <v>20.145859760055799</v>
      </c>
      <c r="BB841" s="2">
        <v>19.189873965398402</v>
      </c>
      <c r="BC841" s="2">
        <v>20.159177492680399</v>
      </c>
      <c r="BD841" s="2">
        <v>20.5949947151672</v>
      </c>
      <c r="BE841" s="2">
        <v>22.098587648757199</v>
      </c>
      <c r="BF841" s="2">
        <v>20.982451470987801</v>
      </c>
      <c r="BG841" s="2">
        <v>17.238690406160401</v>
      </c>
      <c r="BH841" s="2">
        <v>20.725312473056299</v>
      </c>
      <c r="BI841" s="2">
        <v>19.797838147670699</v>
      </c>
      <c r="BJ841" s="2">
        <v>15.492322647201499</v>
      </c>
      <c r="BK841" s="2">
        <v>20.183240258963501</v>
      </c>
      <c r="BL841" s="2">
        <v>20.3887438646052</v>
      </c>
      <c r="BM841" s="2">
        <v>21.349116511457201</v>
      </c>
      <c r="BN841" s="2">
        <v>20.478597591357701</v>
      </c>
      <c r="BO841" s="2">
        <v>19.721908501183201</v>
      </c>
      <c r="BP841" s="2">
        <v>21.307328792654001</v>
      </c>
      <c r="BQ841" s="2">
        <v>20.657800468362002</v>
      </c>
      <c r="BR841" s="2">
        <v>9.6233145402724691</v>
      </c>
      <c r="BS841" s="2">
        <v>21.129390484212799</v>
      </c>
      <c r="BT841" s="2">
        <v>18.5074469063747</v>
      </c>
      <c r="BU841" s="2">
        <v>21.299051870044298</v>
      </c>
      <c r="BV841" s="2">
        <v>18.719648112126102</v>
      </c>
      <c r="BW841" s="2">
        <v>16.1397365934844</v>
      </c>
      <c r="BX841" s="2">
        <v>21.2702600982911</v>
      </c>
      <c r="BY841" s="2">
        <v>21.7633888958844</v>
      </c>
      <c r="BZ841" s="2">
        <v>19.043703335052999</v>
      </c>
      <c r="CA841" s="2">
        <v>16.422293783718601</v>
      </c>
      <c r="CB841" s="2">
        <v>14.4404416150401</v>
      </c>
      <c r="CC841" s="2">
        <v>20.376672809342001</v>
      </c>
      <c r="CD841" s="2">
        <v>21.784402345340801</v>
      </c>
      <c r="CE841" s="2">
        <v>21.118865444698901</v>
      </c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</row>
    <row r="842" spans="1:97">
      <c r="A842" s="2" t="s">
        <v>7896</v>
      </c>
      <c r="B842" s="2">
        <v>272.25799000000001</v>
      </c>
      <c r="C842" s="2">
        <v>11.302</v>
      </c>
      <c r="D842" s="2" t="s">
        <v>84</v>
      </c>
      <c r="E842" s="2" t="s">
        <v>7897</v>
      </c>
      <c r="F842" s="2" t="s">
        <v>7898</v>
      </c>
      <c r="G842" s="2">
        <v>7795</v>
      </c>
      <c r="H842" s="3" t="str">
        <f>HYPERLINK("https://cloud.oebiotech.com/#/lm/network/7795", "https://cloud.oebiotech.com/#/lm/network/7795")</f>
        <v>https://cloud.oebiotech.com/#/lm/network/7795</v>
      </c>
      <c r="I842" s="2"/>
      <c r="J842" s="2">
        <v>97407</v>
      </c>
      <c r="K842" s="2" t="s">
        <v>7899</v>
      </c>
      <c r="L842" s="2">
        <v>7984</v>
      </c>
      <c r="M842" s="2"/>
      <c r="N842" s="2"/>
      <c r="O842" s="2"/>
      <c r="P842" s="2"/>
      <c r="Q842" s="2"/>
      <c r="R842" s="2"/>
      <c r="S842" s="2"/>
      <c r="T842" s="2" t="s">
        <v>7900</v>
      </c>
      <c r="U842" s="2" t="s">
        <v>7901</v>
      </c>
      <c r="V842" s="2" t="s">
        <v>845</v>
      </c>
      <c r="W842" s="2" t="s">
        <v>1982</v>
      </c>
      <c r="X842" s="2" t="s">
        <v>375</v>
      </c>
      <c r="Y842" s="2" t="s">
        <v>847</v>
      </c>
      <c r="Z842" s="2" t="s">
        <v>1983</v>
      </c>
      <c r="AA842" s="2"/>
      <c r="AB842" s="2" t="s">
        <v>3086</v>
      </c>
      <c r="AC842" s="2">
        <v>53.16</v>
      </c>
      <c r="AD842" s="2">
        <v>90</v>
      </c>
      <c r="AE842" s="2">
        <v>0</v>
      </c>
      <c r="AF842" s="2" t="s">
        <v>5614</v>
      </c>
      <c r="AG842" s="2" t="s">
        <v>132</v>
      </c>
      <c r="AH842" s="2" t="s">
        <v>7902</v>
      </c>
      <c r="AI842" s="2">
        <v>1.47</v>
      </c>
      <c r="AJ842" s="2">
        <v>19.843281654381901</v>
      </c>
      <c r="AK842" s="2">
        <v>20.167716062958501</v>
      </c>
      <c r="AL842" s="2">
        <v>19.789161508887801</v>
      </c>
      <c r="AM842" s="2">
        <v>20.685138329902401</v>
      </c>
      <c r="AN842" s="2">
        <v>20.476335196801699</v>
      </c>
      <c r="AO842" s="2">
        <v>20.5932296440374</v>
      </c>
      <c r="AP842" s="2">
        <v>19.553631674859201</v>
      </c>
      <c r="AQ842" s="2">
        <v>20.588259696282499</v>
      </c>
      <c r="AR842" s="2">
        <v>14.517989801099301</v>
      </c>
      <c r="AS842" s="2">
        <v>14.8568709522582</v>
      </c>
      <c r="AT842" s="2">
        <v>14.862671255070399</v>
      </c>
      <c r="AU842" s="2">
        <v>9.6233145402724691</v>
      </c>
      <c r="AV842" s="2">
        <v>9.6233145402724691</v>
      </c>
      <c r="AW842" s="2">
        <v>15.728587791214</v>
      </c>
      <c r="AX842" s="2">
        <v>9.6233145402724691</v>
      </c>
      <c r="AY842" s="2">
        <v>14.370124765903901</v>
      </c>
      <c r="AZ842" s="2">
        <v>14.9858548308548</v>
      </c>
      <c r="BA842" s="2">
        <v>9.6233145402724691</v>
      </c>
      <c r="BB842" s="2">
        <v>9.6233145402724691</v>
      </c>
      <c r="BC842" s="2">
        <v>14.9699566509787</v>
      </c>
      <c r="BD842" s="2">
        <v>9.6233145402724691</v>
      </c>
      <c r="BE842" s="2">
        <v>14.668999074955501</v>
      </c>
      <c r="BF842" s="2">
        <v>9.6233145402724691</v>
      </c>
      <c r="BG842" s="2">
        <v>15.176339136773001</v>
      </c>
      <c r="BH842" s="2">
        <v>14.9736238307457</v>
      </c>
      <c r="BI842" s="2">
        <v>15.0862025848185</v>
      </c>
      <c r="BJ842" s="2">
        <v>9.6233145402724691</v>
      </c>
      <c r="BK842" s="2">
        <v>9.6233145402724691</v>
      </c>
      <c r="BL842" s="2">
        <v>9.6233145402724691</v>
      </c>
      <c r="BM842" s="2">
        <v>15.256212006250299</v>
      </c>
      <c r="BN842" s="2">
        <v>9.6233145402724691</v>
      </c>
      <c r="BO842" s="2">
        <v>9.6233145402724691</v>
      </c>
      <c r="BP842" s="2">
        <v>9.6233145402724691</v>
      </c>
      <c r="BQ842" s="2">
        <v>9.6233145402724691</v>
      </c>
      <c r="BR842" s="2">
        <v>9.6233145402724691</v>
      </c>
      <c r="BS842" s="2">
        <v>14.957385490954101</v>
      </c>
      <c r="BT842" s="2">
        <v>14.691539617238099</v>
      </c>
      <c r="BU842" s="2">
        <v>18.3785810496564</v>
      </c>
      <c r="BV842" s="2">
        <v>15.164827595117901</v>
      </c>
      <c r="BW842" s="2">
        <v>9.6233145402724691</v>
      </c>
      <c r="BX842" s="2">
        <v>9.6233145402724691</v>
      </c>
      <c r="BY842" s="2">
        <v>9.6233145402724691</v>
      </c>
      <c r="BZ842" s="2">
        <v>9.6233145402724691</v>
      </c>
      <c r="CA842" s="2">
        <v>9.6233145402724691</v>
      </c>
      <c r="CB842" s="2">
        <v>9.6233145402724691</v>
      </c>
      <c r="CC842" s="2">
        <v>9.6233145402724691</v>
      </c>
      <c r="CD842" s="2">
        <v>15.2003093638187</v>
      </c>
      <c r="CE842" s="2">
        <v>9.6233145402724691</v>
      </c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</row>
    <row r="843" spans="1:97">
      <c r="A843" s="2" t="s">
        <v>7903</v>
      </c>
      <c r="B843" s="2">
        <v>161.08078</v>
      </c>
      <c r="C843" s="2">
        <v>3.5670000000000002</v>
      </c>
      <c r="D843" s="2" t="s">
        <v>84</v>
      </c>
      <c r="E843" s="2" t="s">
        <v>7904</v>
      </c>
      <c r="F843" s="2" t="s">
        <v>7905</v>
      </c>
      <c r="G843" s="2">
        <v>54167</v>
      </c>
      <c r="H843" s="3" t="str">
        <f>HYPERLINK("https://cloud.oebiotech.com/#/lm/network/54167", "https://cloud.oebiotech.com/#/lm/network/54167")</f>
        <v>https://cloud.oebiotech.com/#/lm/network/54167</v>
      </c>
      <c r="I843" s="2" t="s">
        <v>7906</v>
      </c>
      <c r="J843" s="2">
        <v>86058</v>
      </c>
      <c r="K843" s="2"/>
      <c r="L843" s="2">
        <v>522067</v>
      </c>
      <c r="M843" s="2"/>
      <c r="N843" s="2"/>
      <c r="O843" s="2"/>
      <c r="P843" s="2"/>
      <c r="Q843" s="2"/>
      <c r="R843" s="2"/>
      <c r="S843" s="2" t="s">
        <v>7907</v>
      </c>
      <c r="T843" s="2" t="s">
        <v>7908</v>
      </c>
      <c r="U843" s="2" t="s">
        <v>7909</v>
      </c>
      <c r="V843" s="2" t="s">
        <v>95</v>
      </c>
      <c r="W843" s="2" t="s">
        <v>96</v>
      </c>
      <c r="X843" s="2" t="s">
        <v>141</v>
      </c>
      <c r="Y843" s="2" t="s">
        <v>98</v>
      </c>
      <c r="Z843" s="2" t="s">
        <v>99</v>
      </c>
      <c r="AA843" s="2" t="s">
        <v>142</v>
      </c>
      <c r="AB843" s="2" t="s">
        <v>3086</v>
      </c>
      <c r="AC843" s="2">
        <v>53.15</v>
      </c>
      <c r="AD843" s="2">
        <v>95.61</v>
      </c>
      <c r="AE843" s="2">
        <v>0</v>
      </c>
      <c r="AF843" s="2" t="s">
        <v>5614</v>
      </c>
      <c r="AG843" s="2" t="s">
        <v>103</v>
      </c>
      <c r="AH843" s="2" t="s">
        <v>2221</v>
      </c>
      <c r="AI843" s="2">
        <v>0</v>
      </c>
      <c r="AJ843" s="2">
        <v>17.687678719273801</v>
      </c>
      <c r="AK843" s="2">
        <v>18.3374095741849</v>
      </c>
      <c r="AL843" s="2">
        <v>17.965920827031798</v>
      </c>
      <c r="AM843" s="2">
        <v>18.331820161105899</v>
      </c>
      <c r="AN843" s="2">
        <v>18.529497431589601</v>
      </c>
      <c r="AO843" s="2">
        <v>18.183674970147301</v>
      </c>
      <c r="AP843" s="2">
        <v>18.201398294500098</v>
      </c>
      <c r="AQ843" s="2">
        <v>18.777409922661899</v>
      </c>
      <c r="AR843" s="2">
        <v>17.883356149394899</v>
      </c>
      <c r="AS843" s="2">
        <v>18.3493143633514</v>
      </c>
      <c r="AT843" s="2">
        <v>18.025826586888201</v>
      </c>
      <c r="AU843" s="2">
        <v>17.745900777630801</v>
      </c>
      <c r="AV843" s="2">
        <v>17.7158132877579</v>
      </c>
      <c r="AW843" s="2">
        <v>17.862142302615499</v>
      </c>
      <c r="AX843" s="2">
        <v>18.252040492648199</v>
      </c>
      <c r="AY843" s="2">
        <v>18.331938830514201</v>
      </c>
      <c r="AZ843" s="2">
        <v>17.767958886063902</v>
      </c>
      <c r="BA843" s="2">
        <v>18.289338101879199</v>
      </c>
      <c r="BB843" s="2">
        <v>17.990602430743099</v>
      </c>
      <c r="BC843" s="2">
        <v>17.926015581214202</v>
      </c>
      <c r="BD843" s="2">
        <v>18.143366172771501</v>
      </c>
      <c r="BE843" s="2">
        <v>18.003852381557401</v>
      </c>
      <c r="BF843" s="2">
        <v>17.969536887930602</v>
      </c>
      <c r="BG843" s="2">
        <v>17.3291211430126</v>
      </c>
      <c r="BH843" s="2">
        <v>18.025511664621298</v>
      </c>
      <c r="BI843" s="2">
        <v>18.139813370640699</v>
      </c>
      <c r="BJ843" s="2">
        <v>17.991934929777699</v>
      </c>
      <c r="BK843" s="2">
        <v>17.647455334640998</v>
      </c>
      <c r="BL843" s="2">
        <v>18.574541383907999</v>
      </c>
      <c r="BM843" s="2">
        <v>17.836455451912101</v>
      </c>
      <c r="BN843" s="2">
        <v>18.647961882116899</v>
      </c>
      <c r="BO843" s="2">
        <v>18.233523485770501</v>
      </c>
      <c r="BP843" s="2">
        <v>18.5797161150272</v>
      </c>
      <c r="BQ843" s="2">
        <v>18.046914295745601</v>
      </c>
      <c r="BR843" s="2">
        <v>18.278881314562799</v>
      </c>
      <c r="BS843" s="2">
        <v>18.5162957953907</v>
      </c>
      <c r="BT843" s="2">
        <v>18.364986317463199</v>
      </c>
      <c r="BU843" s="2">
        <v>18.697444294550898</v>
      </c>
      <c r="BV843" s="2">
        <v>18.359188385967901</v>
      </c>
      <c r="BW843" s="2">
        <v>18.566804453602501</v>
      </c>
      <c r="BX843" s="2">
        <v>18.301955046856101</v>
      </c>
      <c r="BY843" s="2">
        <v>18.248238916879401</v>
      </c>
      <c r="BZ843" s="2">
        <v>18.042036425999399</v>
      </c>
      <c r="CA843" s="2">
        <v>18.302805392038302</v>
      </c>
      <c r="CB843" s="2">
        <v>18.439880543930599</v>
      </c>
      <c r="CC843" s="2">
        <v>18.619172648109998</v>
      </c>
      <c r="CD843" s="2">
        <v>18.306839236072499</v>
      </c>
      <c r="CE843" s="2">
        <v>17.8926051292366</v>
      </c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</row>
    <row r="844" spans="1:97">
      <c r="A844" s="2" t="s">
        <v>7910</v>
      </c>
      <c r="B844" s="2">
        <v>320.09884</v>
      </c>
      <c r="C844" s="2">
        <v>1.3160000000000001</v>
      </c>
      <c r="D844" s="2" t="s">
        <v>84</v>
      </c>
      <c r="E844" s="2" t="s">
        <v>7911</v>
      </c>
      <c r="F844" s="2" t="s">
        <v>7912</v>
      </c>
      <c r="G844" s="2">
        <v>10232</v>
      </c>
      <c r="H844" s="3" t="str">
        <f>HYPERLINK("https://cloud.oebiotech.com/#/lm/network/10232", "https://cloud.oebiotech.com/#/lm/network/10232")</f>
        <v>https://cloud.oebiotech.com/#/lm/network/10232</v>
      </c>
      <c r="I844" s="2"/>
      <c r="J844" s="2"/>
      <c r="K844" s="2" t="s">
        <v>7913</v>
      </c>
      <c r="L844" s="2">
        <v>57339291</v>
      </c>
      <c r="M844" s="2"/>
      <c r="N844" s="2"/>
      <c r="O844" s="2"/>
      <c r="P844" s="2">
        <v>64882</v>
      </c>
      <c r="Q844" s="2"/>
      <c r="R844" s="2"/>
      <c r="S844" s="2"/>
      <c r="T844" s="2" t="s">
        <v>7914</v>
      </c>
      <c r="U844" s="2" t="s">
        <v>7915</v>
      </c>
      <c r="V844" s="2" t="s">
        <v>338</v>
      </c>
      <c r="W844" s="2" t="s">
        <v>339</v>
      </c>
      <c r="X844" s="2" t="s">
        <v>663</v>
      </c>
      <c r="Y844" s="2" t="s">
        <v>341</v>
      </c>
      <c r="Z844" s="2" t="s">
        <v>341</v>
      </c>
      <c r="AA844" s="2" t="s">
        <v>664</v>
      </c>
      <c r="AB844" s="2" t="s">
        <v>3086</v>
      </c>
      <c r="AC844" s="2">
        <v>53.13</v>
      </c>
      <c r="AD844" s="2">
        <v>91.36</v>
      </c>
      <c r="AE844" s="2">
        <v>0</v>
      </c>
      <c r="AF844" s="2" t="s">
        <v>5614</v>
      </c>
      <c r="AG844" s="2" t="s">
        <v>1088</v>
      </c>
      <c r="AH844" s="2" t="s">
        <v>7916</v>
      </c>
      <c r="AI844" s="2">
        <v>-1.87</v>
      </c>
      <c r="AJ844" s="2">
        <v>18.9103810133278</v>
      </c>
      <c r="AK844" s="2">
        <v>18.9724051001524</v>
      </c>
      <c r="AL844" s="2">
        <v>19.1607584132759</v>
      </c>
      <c r="AM844" s="2">
        <v>19.181084080419399</v>
      </c>
      <c r="AN844" s="2">
        <v>19.097562910718299</v>
      </c>
      <c r="AO844" s="2">
        <v>19.311101170533501</v>
      </c>
      <c r="AP844" s="2">
        <v>19.3336773721886</v>
      </c>
      <c r="AQ844" s="2">
        <v>18.423180637222899</v>
      </c>
      <c r="AR844" s="2">
        <v>18.890515508220599</v>
      </c>
      <c r="AS844" s="2">
        <v>18.2857007625527</v>
      </c>
      <c r="AT844" s="2">
        <v>18.3167248801815</v>
      </c>
      <c r="AU844" s="2">
        <v>18.685492756350701</v>
      </c>
      <c r="AV844" s="2">
        <v>19.3565802361755</v>
      </c>
      <c r="AW844" s="2">
        <v>19.215158536942901</v>
      </c>
      <c r="AX844" s="2">
        <v>18.776620271458601</v>
      </c>
      <c r="AY844" s="2">
        <v>19.381712851911701</v>
      </c>
      <c r="AZ844" s="2">
        <v>17.154541546222099</v>
      </c>
      <c r="BA844" s="2">
        <v>18.4872686760032</v>
      </c>
      <c r="BB844" s="2">
        <v>19.007963588754102</v>
      </c>
      <c r="BC844" s="2">
        <v>18.278658120996099</v>
      </c>
      <c r="BD844" s="2">
        <v>17.4904775285877</v>
      </c>
      <c r="BE844" s="2">
        <v>18.834850271757599</v>
      </c>
      <c r="BF844" s="2">
        <v>18.476493512440999</v>
      </c>
      <c r="BG844" s="2">
        <v>19.627596009304401</v>
      </c>
      <c r="BH844" s="2">
        <v>19.079132103578502</v>
      </c>
      <c r="BI844" s="2">
        <v>18.578634393462401</v>
      </c>
      <c r="BJ844" s="2">
        <v>19.8014375598244</v>
      </c>
      <c r="BK844" s="2">
        <v>18.867478805164598</v>
      </c>
      <c r="BL844" s="2">
        <v>18.277956061017601</v>
      </c>
      <c r="BM844" s="2">
        <v>19.7509310979651</v>
      </c>
      <c r="BN844" s="2">
        <v>19.1268901611014</v>
      </c>
      <c r="BO844" s="2">
        <v>18.917388921854698</v>
      </c>
      <c r="BP844" s="2">
        <v>19.1655595282608</v>
      </c>
      <c r="BQ844" s="2">
        <v>18.411710617520001</v>
      </c>
      <c r="BR844" s="2">
        <v>19.095446757783598</v>
      </c>
      <c r="BS844" s="2">
        <v>18.483167152272301</v>
      </c>
      <c r="BT844" s="2">
        <v>18.414815445709401</v>
      </c>
      <c r="BU844" s="2">
        <v>18.352425271716601</v>
      </c>
      <c r="BV844" s="2">
        <v>18.770162382522201</v>
      </c>
      <c r="BW844" s="2">
        <v>18.209520999893101</v>
      </c>
      <c r="BX844" s="2">
        <v>19.3979172034235</v>
      </c>
      <c r="BY844" s="2">
        <v>19.418919801176699</v>
      </c>
      <c r="BZ844" s="2">
        <v>18.027439046706</v>
      </c>
      <c r="CA844" s="2">
        <v>19.072191235496099</v>
      </c>
      <c r="CB844" s="2">
        <v>18.791056534725399</v>
      </c>
      <c r="CC844" s="2">
        <v>18.355248018514299</v>
      </c>
      <c r="CD844" s="2">
        <v>19.342300831168799</v>
      </c>
      <c r="CE844" s="2">
        <v>19.122008513093999</v>
      </c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</row>
    <row r="845" spans="1:97">
      <c r="A845" s="2" t="s">
        <v>7917</v>
      </c>
      <c r="B845" s="2">
        <v>420.14042000000001</v>
      </c>
      <c r="C845" s="2">
        <v>4.819</v>
      </c>
      <c r="D845" s="2" t="s">
        <v>84</v>
      </c>
      <c r="E845" s="2" t="s">
        <v>7918</v>
      </c>
      <c r="F845" s="2" t="s">
        <v>7919</v>
      </c>
      <c r="G845" s="2">
        <v>55147</v>
      </c>
      <c r="H845" s="3" t="str">
        <f>HYPERLINK("https://cloud.oebiotech.com/#/lm/network/55147", "https://cloud.oebiotech.com/#/lm/network/55147")</f>
        <v>https://cloud.oebiotech.com/#/lm/network/55147</v>
      </c>
      <c r="I845" s="2" t="s">
        <v>7920</v>
      </c>
      <c r="J845" s="2">
        <v>68275</v>
      </c>
      <c r="K845" s="2"/>
      <c r="L845" s="2">
        <v>5281741</v>
      </c>
      <c r="M845" s="2" t="s">
        <v>7921</v>
      </c>
      <c r="N845" s="2"/>
      <c r="O845" s="2"/>
      <c r="P845" s="2">
        <v>8031</v>
      </c>
      <c r="Q845" s="2"/>
      <c r="R845" s="2"/>
      <c r="S845" s="2" t="s">
        <v>7922</v>
      </c>
      <c r="T845" s="2" t="s">
        <v>7923</v>
      </c>
      <c r="U845" s="2" t="s">
        <v>7924</v>
      </c>
      <c r="V845" s="2" t="s">
        <v>553</v>
      </c>
      <c r="W845" s="2" t="s">
        <v>7925</v>
      </c>
      <c r="X845" s="2" t="s">
        <v>375</v>
      </c>
      <c r="Y845" s="2" t="s">
        <v>556</v>
      </c>
      <c r="Z845" s="2" t="s">
        <v>7926</v>
      </c>
      <c r="AA845" s="2"/>
      <c r="AB845" s="2" t="s">
        <v>3086</v>
      </c>
      <c r="AC845" s="2">
        <v>53.13</v>
      </c>
      <c r="AD845" s="2">
        <v>75.260000000000005</v>
      </c>
      <c r="AE845" s="2">
        <v>31.797857142857101</v>
      </c>
      <c r="AF845" s="2" t="s">
        <v>7927</v>
      </c>
      <c r="AG845" s="2" t="s">
        <v>3544</v>
      </c>
      <c r="AH845" s="2" t="s">
        <v>7928</v>
      </c>
      <c r="AI845" s="2">
        <v>3.57</v>
      </c>
      <c r="AJ845" s="2">
        <v>17.899722448267202</v>
      </c>
      <c r="AK845" s="2">
        <v>17.5705040672999</v>
      </c>
      <c r="AL845" s="2">
        <v>18.0081549721092</v>
      </c>
      <c r="AM845" s="2">
        <v>18.0073394599574</v>
      </c>
      <c r="AN845" s="2">
        <v>17.943919838941898</v>
      </c>
      <c r="AO845" s="2">
        <v>17.570416901480499</v>
      </c>
      <c r="AP845" s="2">
        <v>18.0871817626556</v>
      </c>
      <c r="AQ845" s="2">
        <v>17.614002426378999</v>
      </c>
      <c r="AR845" s="2">
        <v>14.359175771836</v>
      </c>
      <c r="AS845" s="2">
        <v>9.6233145402724691</v>
      </c>
      <c r="AT845" s="2">
        <v>17.870775223804198</v>
      </c>
      <c r="AU845" s="2">
        <v>13.2327671684117</v>
      </c>
      <c r="AV845" s="2">
        <v>15.021058476168101</v>
      </c>
      <c r="AW845" s="2">
        <v>15.326775653072801</v>
      </c>
      <c r="AX845" s="2">
        <v>18.905963870139399</v>
      </c>
      <c r="AY845" s="2">
        <v>9.6233145402724691</v>
      </c>
      <c r="AZ845" s="2">
        <v>9.6233145402724691</v>
      </c>
      <c r="BA845" s="2">
        <v>13.7868730070956</v>
      </c>
      <c r="BB845" s="2">
        <v>16.911954962572</v>
      </c>
      <c r="BC845" s="2">
        <v>20.414798808891</v>
      </c>
      <c r="BD845" s="2">
        <v>9.6233145402724691</v>
      </c>
      <c r="BE845" s="2">
        <v>18.291368356518401</v>
      </c>
      <c r="BF845" s="2">
        <v>16.311045099398601</v>
      </c>
      <c r="BG845" s="2">
        <v>14.8211282115067</v>
      </c>
      <c r="BH845" s="2">
        <v>16.468533203468098</v>
      </c>
      <c r="BI845" s="2">
        <v>16.656478633727701</v>
      </c>
      <c r="BJ845" s="2">
        <v>19.057777176125999</v>
      </c>
      <c r="BK845" s="2">
        <v>15.745852864320501</v>
      </c>
      <c r="BL845" s="2">
        <v>13.740232962951501</v>
      </c>
      <c r="BM845" s="2">
        <v>16.401897640131502</v>
      </c>
      <c r="BN845" s="2">
        <v>17.1417610043884</v>
      </c>
      <c r="BO845" s="2">
        <v>15.3417331962481</v>
      </c>
      <c r="BP845" s="2">
        <v>16.488496054702601</v>
      </c>
      <c r="BQ845" s="2">
        <v>18.2183820271112</v>
      </c>
      <c r="BR845" s="2">
        <v>19.476904543686</v>
      </c>
      <c r="BS845" s="2">
        <v>15.791247864209801</v>
      </c>
      <c r="BT845" s="2">
        <v>9.6233145402724691</v>
      </c>
      <c r="BU845" s="2">
        <v>18.863922726210198</v>
      </c>
      <c r="BV845" s="2">
        <v>14.1121397287011</v>
      </c>
      <c r="BW845" s="2">
        <v>9.6233145402724691</v>
      </c>
      <c r="BX845" s="2">
        <v>9.6233145402724691</v>
      </c>
      <c r="BY845" s="2">
        <v>18.654832908957601</v>
      </c>
      <c r="BZ845" s="2">
        <v>9.6233145402724691</v>
      </c>
      <c r="CA845" s="2">
        <v>9.6233145402724691</v>
      </c>
      <c r="CB845" s="2">
        <v>15.4925529842854</v>
      </c>
      <c r="CC845" s="2">
        <v>18.285174657461901</v>
      </c>
      <c r="CD845" s="2">
        <v>20.254587310177801</v>
      </c>
      <c r="CE845" s="2">
        <v>17.998086890406501</v>
      </c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</row>
    <row r="846" spans="1:97">
      <c r="A846" s="2" t="s">
        <v>7929</v>
      </c>
      <c r="B846" s="2">
        <v>258.00821999999999</v>
      </c>
      <c r="C846" s="2">
        <v>3.673</v>
      </c>
      <c r="D846" s="2" t="s">
        <v>84</v>
      </c>
      <c r="E846" s="2" t="s">
        <v>7930</v>
      </c>
      <c r="F846" s="2" t="s">
        <v>7931</v>
      </c>
      <c r="G846" s="2">
        <v>257649</v>
      </c>
      <c r="H846" s="3" t="str">
        <f>HYPERLINK("https://cloud.oebiotech.com/#/lm/network/257649", "https://cloud.oebiotech.com/#/lm/network/257649")</f>
        <v>https://cloud.oebiotech.com/#/lm/network/257649</v>
      </c>
      <c r="I846" s="2" t="s">
        <v>7932</v>
      </c>
      <c r="J846" s="2"/>
      <c r="K846" s="2"/>
      <c r="L846" s="2">
        <v>129830950</v>
      </c>
      <c r="M846" s="2"/>
      <c r="N846" s="2"/>
      <c r="O846" s="2"/>
      <c r="P846" s="2">
        <v>149604</v>
      </c>
      <c r="Q846" s="2"/>
      <c r="R846" s="2"/>
      <c r="S846" s="2"/>
      <c r="T846" s="2" t="s">
        <v>7933</v>
      </c>
      <c r="U846" s="2" t="s">
        <v>7934</v>
      </c>
      <c r="V846" s="2" t="s">
        <v>385</v>
      </c>
      <c r="W846" s="2" t="s">
        <v>386</v>
      </c>
      <c r="X846" s="2" t="s">
        <v>1059</v>
      </c>
      <c r="Y846" s="2" t="s">
        <v>388</v>
      </c>
      <c r="Z846" s="2" t="s">
        <v>389</v>
      </c>
      <c r="AA846" s="2" t="s">
        <v>1060</v>
      </c>
      <c r="AB846" s="2" t="s">
        <v>3086</v>
      </c>
      <c r="AC846" s="2">
        <v>53.13</v>
      </c>
      <c r="AD846" s="2">
        <v>90.46</v>
      </c>
      <c r="AE846" s="2">
        <v>0</v>
      </c>
      <c r="AF846" s="2" t="s">
        <v>7935</v>
      </c>
      <c r="AG846" s="2" t="s">
        <v>1088</v>
      </c>
      <c r="AH846" s="2" t="s">
        <v>7936</v>
      </c>
      <c r="AI846" s="2">
        <v>-3.49</v>
      </c>
      <c r="AJ846" s="2">
        <v>18.795784466130002</v>
      </c>
      <c r="AK846" s="2">
        <v>18.899832323778998</v>
      </c>
      <c r="AL846" s="2">
        <v>18.6261698126306</v>
      </c>
      <c r="AM846" s="2">
        <v>19.151422765063401</v>
      </c>
      <c r="AN846" s="2">
        <v>19.725856362340799</v>
      </c>
      <c r="AO846" s="2">
        <v>19.244693009006301</v>
      </c>
      <c r="AP846" s="2">
        <v>18.996407808378699</v>
      </c>
      <c r="AQ846" s="2">
        <v>19.0827235272134</v>
      </c>
      <c r="AR846" s="2">
        <v>18.1582226930087</v>
      </c>
      <c r="AS846" s="2">
        <v>17.798536033926801</v>
      </c>
      <c r="AT846" s="2">
        <v>18.754382923340401</v>
      </c>
      <c r="AU846" s="2">
        <v>18.419700796861498</v>
      </c>
      <c r="AV846" s="2">
        <v>17.462045446965099</v>
      </c>
      <c r="AW846" s="2">
        <v>19.012008727439</v>
      </c>
      <c r="AX846" s="2">
        <v>18.759123609429601</v>
      </c>
      <c r="AY846" s="2">
        <v>18.821627513091698</v>
      </c>
      <c r="AZ846" s="2">
        <v>18.833985621637002</v>
      </c>
      <c r="BA846" s="2">
        <v>18.944736621555499</v>
      </c>
      <c r="BB846" s="2">
        <v>19.482743979665699</v>
      </c>
      <c r="BC846" s="2">
        <v>18.9033399568367</v>
      </c>
      <c r="BD846" s="2">
        <v>18.244265848878701</v>
      </c>
      <c r="BE846" s="2">
        <v>19.5539652492212</v>
      </c>
      <c r="BF846" s="2">
        <v>19.278600683894702</v>
      </c>
      <c r="BG846" s="2">
        <v>19.589687040099701</v>
      </c>
      <c r="BH846" s="2">
        <v>18.7068102378513</v>
      </c>
      <c r="BI846" s="2">
        <v>18.727514180832301</v>
      </c>
      <c r="BJ846" s="2">
        <v>19.317739578636299</v>
      </c>
      <c r="BK846" s="2">
        <v>19.2981676425328</v>
      </c>
      <c r="BL846" s="2">
        <v>18.860064543951001</v>
      </c>
      <c r="BM846" s="2">
        <v>19.186531957889098</v>
      </c>
      <c r="BN846" s="2">
        <v>18.299649534654201</v>
      </c>
      <c r="BO846" s="2">
        <v>19.250063654563402</v>
      </c>
      <c r="BP846" s="2">
        <v>18.357917150896</v>
      </c>
      <c r="BQ846" s="2">
        <v>19.540049805195999</v>
      </c>
      <c r="BR846" s="2">
        <v>19.128250692034499</v>
      </c>
      <c r="BS846" s="2">
        <v>18.7512154351069</v>
      </c>
      <c r="BT846" s="2">
        <v>18.521882073596899</v>
      </c>
      <c r="BU846" s="2">
        <v>18.2463065280071</v>
      </c>
      <c r="BV846" s="2">
        <v>18.360100601538701</v>
      </c>
      <c r="BW846" s="2">
        <v>17.862099793954101</v>
      </c>
      <c r="BX846" s="2">
        <v>19.056169043560701</v>
      </c>
      <c r="BY846" s="2">
        <v>18.9103320843166</v>
      </c>
      <c r="BZ846" s="2">
        <v>19.1760983071662</v>
      </c>
      <c r="CA846" s="2">
        <v>18.7008399747229</v>
      </c>
      <c r="CB846" s="2">
        <v>18.680576171127999</v>
      </c>
      <c r="CC846" s="2">
        <v>18.2909826412515</v>
      </c>
      <c r="CD846" s="2">
        <v>19.439590573027601</v>
      </c>
      <c r="CE846" s="2">
        <v>19.121289180851001</v>
      </c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</row>
    <row r="847" spans="1:97">
      <c r="A847" s="2" t="s">
        <v>7937</v>
      </c>
      <c r="B847" s="2">
        <v>368.97138000000001</v>
      </c>
      <c r="C847" s="2">
        <v>3.9180000000000001</v>
      </c>
      <c r="D847" s="2" t="s">
        <v>146</v>
      </c>
      <c r="E847" s="2" t="s">
        <v>7938</v>
      </c>
      <c r="F847" s="2" t="s">
        <v>7939</v>
      </c>
      <c r="G847" s="2">
        <v>56996</v>
      </c>
      <c r="H847" s="3" t="str">
        <f>HYPERLINK("https://cloud.oebiotech.com/#/lm/network/56996", "https://cloud.oebiotech.com/#/lm/network/56996")</f>
        <v>https://cloud.oebiotech.com/#/lm/network/56996</v>
      </c>
      <c r="I847" s="2" t="s">
        <v>7940</v>
      </c>
      <c r="J847" s="2">
        <v>88651</v>
      </c>
      <c r="K847" s="2"/>
      <c r="L847" s="2">
        <v>8556</v>
      </c>
      <c r="M847" s="2"/>
      <c r="N847" s="2"/>
      <c r="O847" s="2"/>
      <c r="P847" s="2"/>
      <c r="Q847" s="2"/>
      <c r="R847" s="2"/>
      <c r="S847" s="2" t="s">
        <v>7941</v>
      </c>
      <c r="T847" s="2" t="s">
        <v>7942</v>
      </c>
      <c r="U847" s="2" t="s">
        <v>7943</v>
      </c>
      <c r="V847" s="2" t="s">
        <v>385</v>
      </c>
      <c r="W847" s="2" t="s">
        <v>4381</v>
      </c>
      <c r="X847" s="2" t="s">
        <v>375</v>
      </c>
      <c r="Y847" s="2" t="s">
        <v>388</v>
      </c>
      <c r="Z847" s="2" t="s">
        <v>4382</v>
      </c>
      <c r="AA847" s="2"/>
      <c r="AB847" s="2" t="s">
        <v>5118</v>
      </c>
      <c r="AC847" s="2">
        <v>53.12</v>
      </c>
      <c r="AD847" s="2">
        <v>74.040000000000006</v>
      </c>
      <c r="AE847" s="2">
        <v>75.680000000000007</v>
      </c>
      <c r="AF847" s="2" t="s">
        <v>7944</v>
      </c>
      <c r="AG847" s="2" t="s">
        <v>4062</v>
      </c>
      <c r="AH847" s="2" t="s">
        <v>7945</v>
      </c>
      <c r="AI847" s="2">
        <v>-3.25</v>
      </c>
      <c r="AJ847" s="2">
        <v>17.660033438904598</v>
      </c>
      <c r="AK847" s="2">
        <v>18.0471884688864</v>
      </c>
      <c r="AL847" s="2">
        <v>17.6637625947481</v>
      </c>
      <c r="AM847" s="2">
        <v>17.776473193854802</v>
      </c>
      <c r="AN847" s="2">
        <v>18.177457837654799</v>
      </c>
      <c r="AO847" s="2">
        <v>17.837437174891999</v>
      </c>
      <c r="AP847" s="2">
        <v>16.857399592762398</v>
      </c>
      <c r="AQ847" s="2">
        <v>17.791569467007601</v>
      </c>
      <c r="AR847" s="2">
        <v>15.0636070036917</v>
      </c>
      <c r="AS847" s="2">
        <v>15.9433712634281</v>
      </c>
      <c r="AT847" s="2">
        <v>9.6233145402724691</v>
      </c>
      <c r="AU847" s="2">
        <v>17.2438454407196</v>
      </c>
      <c r="AV847" s="2">
        <v>11.590942534076101</v>
      </c>
      <c r="AW847" s="2">
        <v>19.515115014539901</v>
      </c>
      <c r="AX847" s="2">
        <v>18.155246642097801</v>
      </c>
      <c r="AY847" s="2">
        <v>9.6233145402724691</v>
      </c>
      <c r="AZ847" s="2">
        <v>9.6233145402724691</v>
      </c>
      <c r="BA847" s="2">
        <v>9.6233145402724691</v>
      </c>
      <c r="BB847" s="2">
        <v>20.1881565548216</v>
      </c>
      <c r="BC847" s="2">
        <v>15.7705216912595</v>
      </c>
      <c r="BD847" s="2">
        <v>13.425023093896799</v>
      </c>
      <c r="BE847" s="2">
        <v>14.775651429489301</v>
      </c>
      <c r="BF847" s="2">
        <v>9.6233145402724691</v>
      </c>
      <c r="BG847" s="2">
        <v>19.9021964536689</v>
      </c>
      <c r="BH847" s="2">
        <v>21.001705987539701</v>
      </c>
      <c r="BI847" s="2">
        <v>22.285891753295498</v>
      </c>
      <c r="BJ847" s="2">
        <v>15.348413152632499</v>
      </c>
      <c r="BK847" s="2">
        <v>9.6233145402724691</v>
      </c>
      <c r="BL847" s="2">
        <v>15.397599769143101</v>
      </c>
      <c r="BM847" s="2">
        <v>17.586975136870102</v>
      </c>
      <c r="BN847" s="2">
        <v>16.612839851541199</v>
      </c>
      <c r="BO847" s="2">
        <v>17.009846436675801</v>
      </c>
      <c r="BP847" s="2">
        <v>18.9140804895118</v>
      </c>
      <c r="BQ847" s="2">
        <v>18.3890289703467</v>
      </c>
      <c r="BR847" s="2">
        <v>18.984575054546099</v>
      </c>
      <c r="BS847" s="2">
        <v>16.706688780019601</v>
      </c>
      <c r="BT847" s="2">
        <v>9.6233145402724691</v>
      </c>
      <c r="BU847" s="2">
        <v>9.6233145402724691</v>
      </c>
      <c r="BV847" s="2">
        <v>15.569326068180599</v>
      </c>
      <c r="BW847" s="2">
        <v>9.6233145402724691</v>
      </c>
      <c r="BX847" s="2">
        <v>9.6233145402724691</v>
      </c>
      <c r="BY847" s="2">
        <v>18.213426125697399</v>
      </c>
      <c r="BZ847" s="2">
        <v>15.4157803831009</v>
      </c>
      <c r="CA847" s="2">
        <v>9.6233145402724691</v>
      </c>
      <c r="CB847" s="2">
        <v>16.379972259876201</v>
      </c>
      <c r="CC847" s="2">
        <v>20.073898508193398</v>
      </c>
      <c r="CD847" s="2">
        <v>12.952140605818901</v>
      </c>
      <c r="CE847" s="2">
        <v>9.6233145402724691</v>
      </c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</row>
    <row r="848" spans="1:97">
      <c r="A848" s="2" t="s">
        <v>7946</v>
      </c>
      <c r="B848" s="2">
        <v>288.25294000000002</v>
      </c>
      <c r="C848" s="2">
        <v>9.8469999999999995</v>
      </c>
      <c r="D848" s="2" t="s">
        <v>84</v>
      </c>
      <c r="E848" s="2" t="s">
        <v>7947</v>
      </c>
      <c r="F848" s="2" t="s">
        <v>7948</v>
      </c>
      <c r="G848" s="2">
        <v>1767</v>
      </c>
      <c r="H848" s="3" t="str">
        <f>HYPERLINK("https://cloud.oebiotech.com/#/lm/network/1767", "https://cloud.oebiotech.com/#/lm/network/1767")</f>
        <v>https://cloud.oebiotech.com/#/lm/network/1767</v>
      </c>
      <c r="I848" s="2"/>
      <c r="J848" s="2">
        <v>74570</v>
      </c>
      <c r="K848" s="2" t="s">
        <v>7949</v>
      </c>
      <c r="L848" s="2">
        <v>5312762</v>
      </c>
      <c r="M848" s="2"/>
      <c r="N848" s="2"/>
      <c r="O848" s="2"/>
      <c r="P848" s="2">
        <v>137801</v>
      </c>
      <c r="Q848" s="2"/>
      <c r="R848" s="2"/>
      <c r="S848" s="2"/>
      <c r="T848" s="2" t="s">
        <v>7950</v>
      </c>
      <c r="U848" s="2" t="s">
        <v>7951</v>
      </c>
      <c r="V848" s="2" t="s">
        <v>95</v>
      </c>
      <c r="W848" s="2" t="s">
        <v>96</v>
      </c>
      <c r="X848" s="2" t="s">
        <v>141</v>
      </c>
      <c r="Y848" s="2" t="s">
        <v>98</v>
      </c>
      <c r="Z848" s="2" t="s">
        <v>99</v>
      </c>
      <c r="AA848" s="2" t="s">
        <v>142</v>
      </c>
      <c r="AB848" s="2" t="s">
        <v>3086</v>
      </c>
      <c r="AC848" s="2">
        <v>53.12</v>
      </c>
      <c r="AD848" s="2">
        <v>89.95</v>
      </c>
      <c r="AE848" s="2">
        <v>0</v>
      </c>
      <c r="AF848" s="2" t="s">
        <v>5614</v>
      </c>
      <c r="AG848" s="2" t="s">
        <v>132</v>
      </c>
      <c r="AH848" s="2" t="s">
        <v>6027</v>
      </c>
      <c r="AI848" s="2">
        <v>1.39</v>
      </c>
      <c r="AJ848" s="2">
        <v>16.760031826771701</v>
      </c>
      <c r="AK848" s="2">
        <v>17.678123361404101</v>
      </c>
      <c r="AL848" s="2">
        <v>17.444910216929699</v>
      </c>
      <c r="AM848" s="2">
        <v>17.526641362049901</v>
      </c>
      <c r="AN848" s="2">
        <v>17.687781562030899</v>
      </c>
      <c r="AO848" s="2">
        <v>17.705065483659201</v>
      </c>
      <c r="AP848" s="2">
        <v>17.495316585241302</v>
      </c>
      <c r="AQ848" s="2">
        <v>17.6447533685044</v>
      </c>
      <c r="AR848" s="2">
        <v>17.201377425707701</v>
      </c>
      <c r="AS848" s="2">
        <v>9.6233145402724691</v>
      </c>
      <c r="AT848" s="2">
        <v>16.667623985991199</v>
      </c>
      <c r="AU848" s="2">
        <v>14.714776769577201</v>
      </c>
      <c r="AV848" s="2">
        <v>9.6233145402724691</v>
      </c>
      <c r="AW848" s="2">
        <v>17.240588252580899</v>
      </c>
      <c r="AX848" s="2">
        <v>16.7499689129539</v>
      </c>
      <c r="AY848" s="2">
        <v>16.937583822423701</v>
      </c>
      <c r="AZ848" s="2">
        <v>15.9235517283233</v>
      </c>
      <c r="BA848" s="2">
        <v>9.6233145402724691</v>
      </c>
      <c r="BB848" s="2">
        <v>16.763097835898201</v>
      </c>
      <c r="BC848" s="2">
        <v>16.0717725974595</v>
      </c>
      <c r="BD848" s="2">
        <v>14.838397854861499</v>
      </c>
      <c r="BE848" s="2">
        <v>16.823353679883201</v>
      </c>
      <c r="BF848" s="2">
        <v>17.955359362006998</v>
      </c>
      <c r="BG848" s="2">
        <v>17.3386053886905</v>
      </c>
      <c r="BH848" s="2">
        <v>17.188491101970701</v>
      </c>
      <c r="BI848" s="2">
        <v>16.630237969321701</v>
      </c>
      <c r="BJ848" s="2">
        <v>16.071117695264199</v>
      </c>
      <c r="BK848" s="2">
        <v>16.2473464180365</v>
      </c>
      <c r="BL848" s="2">
        <v>17.610235535538099</v>
      </c>
      <c r="BM848" s="2">
        <v>16.695451791847699</v>
      </c>
      <c r="BN848" s="2">
        <v>15.558928867625401</v>
      </c>
      <c r="BO848" s="2">
        <v>14.4405408911955</v>
      </c>
      <c r="BP848" s="2">
        <v>16.650591102543402</v>
      </c>
      <c r="BQ848" s="2">
        <v>17.268078565355399</v>
      </c>
      <c r="BR848" s="2">
        <v>17.645766917510901</v>
      </c>
      <c r="BS848" s="2">
        <v>17.8346554119241</v>
      </c>
      <c r="BT848" s="2">
        <v>16.8190596516874</v>
      </c>
      <c r="BU848" s="2">
        <v>18.233914903257499</v>
      </c>
      <c r="BV848" s="2">
        <v>16.4927335353354</v>
      </c>
      <c r="BW848" s="2">
        <v>9.6233145402724691</v>
      </c>
      <c r="BX848" s="2">
        <v>15.3605888982064</v>
      </c>
      <c r="BY848" s="2">
        <v>14.544395788806</v>
      </c>
      <c r="BZ848" s="2">
        <v>14.6719959834923</v>
      </c>
      <c r="CA848" s="2">
        <v>9.6233145402724691</v>
      </c>
      <c r="CB848" s="2">
        <v>17.924325806476102</v>
      </c>
      <c r="CC848" s="2">
        <v>17.9776199718521</v>
      </c>
      <c r="CD848" s="2">
        <v>17.7242781542421</v>
      </c>
      <c r="CE848" s="2">
        <v>18.689916369948399</v>
      </c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</row>
    <row r="849" spans="1:97">
      <c r="A849" s="2" t="s">
        <v>7952</v>
      </c>
      <c r="B849" s="2">
        <v>397.30977999999999</v>
      </c>
      <c r="C849" s="2">
        <v>10.561</v>
      </c>
      <c r="D849" s="2" t="s">
        <v>84</v>
      </c>
      <c r="E849" s="2" t="s">
        <v>7953</v>
      </c>
      <c r="F849" s="2" t="s">
        <v>7954</v>
      </c>
      <c r="G849" s="2">
        <v>64662</v>
      </c>
      <c r="H849" s="3" t="str">
        <f>HYPERLINK("https://cloud.oebiotech.com/#/lm/network/64662", "https://cloud.oebiotech.com/#/lm/network/64662")</f>
        <v>https://cloud.oebiotech.com/#/lm/network/64662</v>
      </c>
      <c r="I849" s="2" t="s">
        <v>7955</v>
      </c>
      <c r="J849" s="2"/>
      <c r="K849" s="2"/>
      <c r="L849" s="2">
        <v>131753169</v>
      </c>
      <c r="M849" s="2"/>
      <c r="N849" s="2"/>
      <c r="O849" s="2"/>
      <c r="P849" s="2"/>
      <c r="Q849" s="2"/>
      <c r="R849" s="2"/>
      <c r="S849" s="2" t="s">
        <v>7956</v>
      </c>
      <c r="T849" s="2" t="s">
        <v>7957</v>
      </c>
      <c r="U849" s="2" t="s">
        <v>7958</v>
      </c>
      <c r="V849" s="2" t="s">
        <v>95</v>
      </c>
      <c r="W849" s="2" t="s">
        <v>152</v>
      </c>
      <c r="X849" s="2" t="s">
        <v>153</v>
      </c>
      <c r="Y849" s="2" t="s">
        <v>98</v>
      </c>
      <c r="Z849" s="2" t="s">
        <v>154</v>
      </c>
      <c r="AA849" s="2" t="s">
        <v>155</v>
      </c>
      <c r="AB849" s="2" t="s">
        <v>3086</v>
      </c>
      <c r="AC849" s="2">
        <v>53.07</v>
      </c>
      <c r="AD849" s="2">
        <v>82.62</v>
      </c>
      <c r="AE849" s="2">
        <v>0</v>
      </c>
      <c r="AF849" s="2" t="s">
        <v>5614</v>
      </c>
      <c r="AG849" s="2" t="s">
        <v>1088</v>
      </c>
      <c r="AH849" s="2" t="s">
        <v>7959</v>
      </c>
      <c r="AI849" s="2">
        <v>2.27</v>
      </c>
      <c r="AJ849" s="2">
        <v>19.443637041501599</v>
      </c>
      <c r="AK849" s="2">
        <v>19.572909443688498</v>
      </c>
      <c r="AL849" s="2">
        <v>19.0349444904517</v>
      </c>
      <c r="AM849" s="2">
        <v>19.1137881447106</v>
      </c>
      <c r="AN849" s="2">
        <v>19.490091721477999</v>
      </c>
      <c r="AO849" s="2">
        <v>19.425780103947801</v>
      </c>
      <c r="AP849" s="2">
        <v>19.1806047641596</v>
      </c>
      <c r="AQ849" s="2">
        <v>19.635158284472499</v>
      </c>
      <c r="AR849" s="2">
        <v>17.370624495241799</v>
      </c>
      <c r="AS849" s="2">
        <v>18.1361844956974</v>
      </c>
      <c r="AT849" s="2">
        <v>19.5776536230732</v>
      </c>
      <c r="AU849" s="2">
        <v>18.7801382403382</v>
      </c>
      <c r="AV849" s="2">
        <v>18.6618907343505</v>
      </c>
      <c r="AW849" s="2">
        <v>19.141478509212099</v>
      </c>
      <c r="AX849" s="2">
        <v>19.303569734851202</v>
      </c>
      <c r="AY849" s="2">
        <v>18.439846869478401</v>
      </c>
      <c r="AZ849" s="2">
        <v>18.705334719813202</v>
      </c>
      <c r="BA849" s="2">
        <v>19.106063937456401</v>
      </c>
      <c r="BB849" s="2">
        <v>19.014249334150801</v>
      </c>
      <c r="BC849" s="2">
        <v>19.484488833587001</v>
      </c>
      <c r="BD849" s="2">
        <v>17.8770403561407</v>
      </c>
      <c r="BE849" s="2">
        <v>19.787308220334999</v>
      </c>
      <c r="BF849" s="2">
        <v>18.653361178967199</v>
      </c>
      <c r="BG849" s="2">
        <v>19.2924291037912</v>
      </c>
      <c r="BH849" s="2">
        <v>18.714817577999501</v>
      </c>
      <c r="BI849" s="2">
        <v>18.432266336740302</v>
      </c>
      <c r="BJ849" s="2">
        <v>19.935381431300002</v>
      </c>
      <c r="BK849" s="2">
        <v>18.689078664594899</v>
      </c>
      <c r="BL849" s="2">
        <v>19.0141181622012</v>
      </c>
      <c r="BM849" s="2">
        <v>19.723454404706501</v>
      </c>
      <c r="BN849" s="2">
        <v>19.833581081294199</v>
      </c>
      <c r="BO849" s="2">
        <v>19.200145320951499</v>
      </c>
      <c r="BP849" s="2">
        <v>20.166029361419898</v>
      </c>
      <c r="BQ849" s="2">
        <v>19.5009842191924</v>
      </c>
      <c r="BR849" s="2">
        <v>20.266209641476799</v>
      </c>
      <c r="BS849" s="2">
        <v>18.139792740615601</v>
      </c>
      <c r="BT849" s="2">
        <v>19.556249420759599</v>
      </c>
      <c r="BU849" s="2">
        <v>20.109724850382801</v>
      </c>
      <c r="BV849" s="2">
        <v>19.5458965586716</v>
      </c>
      <c r="BW849" s="2">
        <v>18.773427394912002</v>
      </c>
      <c r="BX849" s="2">
        <v>19.172643732612801</v>
      </c>
      <c r="BY849" s="2">
        <v>19.914910527515499</v>
      </c>
      <c r="BZ849" s="2">
        <v>18.913443691957699</v>
      </c>
      <c r="CA849" s="2">
        <v>19.4979062620252</v>
      </c>
      <c r="CB849" s="2">
        <v>19.048318676419601</v>
      </c>
      <c r="CC849" s="2">
        <v>18.716655877773</v>
      </c>
      <c r="CD849" s="2">
        <v>19.4783470905057</v>
      </c>
      <c r="CE849" s="2">
        <v>19.271759592133101</v>
      </c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</row>
    <row r="850" spans="1:97">
      <c r="A850" s="2" t="s">
        <v>7960</v>
      </c>
      <c r="B850" s="2">
        <v>180.06616</v>
      </c>
      <c r="C850" s="2">
        <v>0.91</v>
      </c>
      <c r="D850" s="2" t="s">
        <v>146</v>
      </c>
      <c r="E850" s="2" t="s">
        <v>7961</v>
      </c>
      <c r="F850" s="2" t="s">
        <v>7962</v>
      </c>
      <c r="G850" s="2">
        <v>205505</v>
      </c>
      <c r="H850" s="3" t="str">
        <f>HYPERLINK("https://cloud.oebiotech.com/#/lm/network/205505", "https://cloud.oebiotech.com/#/lm/network/205505")</f>
        <v>https://cloud.oebiotech.com/#/lm/network/205505</v>
      </c>
      <c r="I850" s="2" t="s">
        <v>7963</v>
      </c>
      <c r="J850" s="2">
        <v>65607</v>
      </c>
      <c r="K850" s="2"/>
      <c r="L850" s="2">
        <v>1153</v>
      </c>
      <c r="M850" s="2" t="s">
        <v>7964</v>
      </c>
      <c r="N850" s="2"/>
      <c r="O850" s="2"/>
      <c r="P850" s="2">
        <v>18186</v>
      </c>
      <c r="Q850" s="2"/>
      <c r="R850" s="2"/>
      <c r="S850" s="2" t="s">
        <v>7965</v>
      </c>
      <c r="T850" s="2" t="s">
        <v>7966</v>
      </c>
      <c r="U850" s="2" t="s">
        <v>7967</v>
      </c>
      <c r="V850" s="2" t="s">
        <v>115</v>
      </c>
      <c r="W850" s="2" t="s">
        <v>116</v>
      </c>
      <c r="X850" s="2" t="s">
        <v>117</v>
      </c>
      <c r="Y850" s="2" t="s">
        <v>118</v>
      </c>
      <c r="Z850" s="2" t="s">
        <v>119</v>
      </c>
      <c r="AA850" s="2" t="s">
        <v>120</v>
      </c>
      <c r="AB850" s="2" t="s">
        <v>3086</v>
      </c>
      <c r="AC850" s="2">
        <v>53.06</v>
      </c>
      <c r="AD850" s="2">
        <v>94.01</v>
      </c>
      <c r="AE850" s="2">
        <v>0</v>
      </c>
      <c r="AF850" s="2" t="s">
        <v>5614</v>
      </c>
      <c r="AG850" s="2" t="s">
        <v>194</v>
      </c>
      <c r="AH850" s="2" t="s">
        <v>1253</v>
      </c>
      <c r="AI850" s="2">
        <v>2.2200000000000002</v>
      </c>
      <c r="AJ850" s="2">
        <v>18.533481336001</v>
      </c>
      <c r="AK850" s="2">
        <v>19.299713539497301</v>
      </c>
      <c r="AL850" s="2">
        <v>18.8520887798059</v>
      </c>
      <c r="AM850" s="2">
        <v>19.2974516394126</v>
      </c>
      <c r="AN850" s="2">
        <v>18.579953237575602</v>
      </c>
      <c r="AO850" s="2">
        <v>18.9397506228756</v>
      </c>
      <c r="AP850" s="2">
        <v>18.714198285805299</v>
      </c>
      <c r="AQ850" s="2">
        <v>19.203065864423898</v>
      </c>
      <c r="AR850" s="2">
        <v>18.971186349758302</v>
      </c>
      <c r="AS850" s="2">
        <v>18.673447213568998</v>
      </c>
      <c r="AT850" s="2">
        <v>18.355083663708299</v>
      </c>
      <c r="AU850" s="2">
        <v>19.5869272312571</v>
      </c>
      <c r="AV850" s="2">
        <v>18.9951149436904</v>
      </c>
      <c r="AW850" s="2">
        <v>17.903191828652201</v>
      </c>
      <c r="AX850" s="2">
        <v>19.065090589039301</v>
      </c>
      <c r="AY850" s="2">
        <v>19.233648462597198</v>
      </c>
      <c r="AZ850" s="2">
        <v>19.070287562986799</v>
      </c>
      <c r="BA850" s="2">
        <v>19.211445581124899</v>
      </c>
      <c r="BB850" s="2">
        <v>19.366387064047998</v>
      </c>
      <c r="BC850" s="2">
        <v>19.198838947016501</v>
      </c>
      <c r="BD850" s="2">
        <v>15.413916782864201</v>
      </c>
      <c r="BE850" s="2">
        <v>19.596941291677801</v>
      </c>
      <c r="BF850" s="2">
        <v>18.562894834987102</v>
      </c>
      <c r="BG850" s="2">
        <v>19.215030691541699</v>
      </c>
      <c r="BH850" s="2">
        <v>19.970766101985099</v>
      </c>
      <c r="BI850" s="2">
        <v>16.7737806769461</v>
      </c>
      <c r="BJ850" s="2">
        <v>19.2519908129659</v>
      </c>
      <c r="BK850" s="2">
        <v>18.415981773940501</v>
      </c>
      <c r="BL850" s="2">
        <v>18.705835522015398</v>
      </c>
      <c r="BM850" s="2">
        <v>20.072018213867501</v>
      </c>
      <c r="BN850" s="2">
        <v>19.757697407500402</v>
      </c>
      <c r="BO850" s="2">
        <v>18.641686818681102</v>
      </c>
      <c r="BP850" s="2">
        <v>18.697018075351401</v>
      </c>
      <c r="BQ850" s="2">
        <v>19.5399581679543</v>
      </c>
      <c r="BR850" s="2">
        <v>18.707333279878</v>
      </c>
      <c r="BS850" s="2">
        <v>19.149869944963601</v>
      </c>
      <c r="BT850" s="2">
        <v>18.566171762362501</v>
      </c>
      <c r="BU850" s="2">
        <v>17.879909140125399</v>
      </c>
      <c r="BV850" s="2">
        <v>18.9530793107912</v>
      </c>
      <c r="BW850" s="2">
        <v>18.369586910078901</v>
      </c>
      <c r="BX850" s="2">
        <v>19.2161503347162</v>
      </c>
      <c r="BY850" s="2">
        <v>18.990853787303799</v>
      </c>
      <c r="BZ850" s="2">
        <v>19.346010148560001</v>
      </c>
      <c r="CA850" s="2">
        <v>19.484863498590599</v>
      </c>
      <c r="CB850" s="2">
        <v>18.509430260573499</v>
      </c>
      <c r="CC850" s="2">
        <v>18.701807006271402</v>
      </c>
      <c r="CD850" s="2">
        <v>19.022871779579599</v>
      </c>
      <c r="CE850" s="2">
        <v>19.066144887529902</v>
      </c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</row>
    <row r="851" spans="1:97">
      <c r="A851" s="2" t="s">
        <v>7968</v>
      </c>
      <c r="B851" s="2">
        <v>591.31726000000003</v>
      </c>
      <c r="C851" s="2">
        <v>5.5369999999999999</v>
      </c>
      <c r="D851" s="2" t="s">
        <v>84</v>
      </c>
      <c r="E851" s="2" t="s">
        <v>7969</v>
      </c>
      <c r="F851" s="2" t="s">
        <v>7970</v>
      </c>
      <c r="G851" s="2">
        <v>207161</v>
      </c>
      <c r="H851" s="3" t="str">
        <f>HYPERLINK("https://cloud.oebiotech.com/#/lm/network/207161", "https://cloud.oebiotech.com/#/lm/network/207161")</f>
        <v>https://cloud.oebiotech.com/#/lm/network/207161</v>
      </c>
      <c r="I851" s="2" t="s">
        <v>7971</v>
      </c>
      <c r="J851" s="2"/>
      <c r="K851" s="2"/>
      <c r="L851" s="2"/>
      <c r="M851" s="2"/>
      <c r="N851" s="2"/>
      <c r="O851" s="2"/>
      <c r="P851" s="2">
        <v>145372</v>
      </c>
      <c r="Q851" s="2"/>
      <c r="R851" s="2"/>
      <c r="S851" s="2"/>
      <c r="T851" s="2" t="s">
        <v>7972</v>
      </c>
      <c r="U851" s="2" t="s">
        <v>7973</v>
      </c>
      <c r="V851" s="2" t="s">
        <v>553</v>
      </c>
      <c r="W851" s="2" t="s">
        <v>3192</v>
      </c>
      <c r="X851" s="2" t="s">
        <v>3193</v>
      </c>
      <c r="Y851" s="2" t="s">
        <v>556</v>
      </c>
      <c r="Z851" s="2" t="s">
        <v>3194</v>
      </c>
      <c r="AA851" s="2" t="s">
        <v>3195</v>
      </c>
      <c r="AB851" s="2" t="s">
        <v>5118</v>
      </c>
      <c r="AC851" s="2">
        <v>53.06</v>
      </c>
      <c r="AD851" s="2">
        <v>88.34</v>
      </c>
      <c r="AE851" s="2">
        <v>51.36</v>
      </c>
      <c r="AF851" s="2" t="s">
        <v>7974</v>
      </c>
      <c r="AG851" s="2" t="s">
        <v>3544</v>
      </c>
      <c r="AH851" s="2" t="s">
        <v>7975</v>
      </c>
      <c r="AI851" s="2">
        <v>-0.85</v>
      </c>
      <c r="AJ851" s="2">
        <v>19.833278485753102</v>
      </c>
      <c r="AK851" s="2">
        <v>19.9797539946589</v>
      </c>
      <c r="AL851" s="2">
        <v>19.987443046946598</v>
      </c>
      <c r="AM851" s="2">
        <v>19.855324797912999</v>
      </c>
      <c r="AN851" s="2">
        <v>20.0454548601795</v>
      </c>
      <c r="AO851" s="2">
        <v>19.978546731877699</v>
      </c>
      <c r="AP851" s="2">
        <v>20.1874160876995</v>
      </c>
      <c r="AQ851" s="2">
        <v>20.3775871823327</v>
      </c>
      <c r="AR851" s="2">
        <v>9.6233145402724691</v>
      </c>
      <c r="AS851" s="2">
        <v>17.030507220638398</v>
      </c>
      <c r="AT851" s="2">
        <v>18.1682406983136</v>
      </c>
      <c r="AU851" s="2">
        <v>17.879245257849</v>
      </c>
      <c r="AV851" s="2">
        <v>18.703984151128999</v>
      </c>
      <c r="AW851" s="2">
        <v>21.875937509982698</v>
      </c>
      <c r="AX851" s="2">
        <v>19.1039685731891</v>
      </c>
      <c r="AY851" s="2">
        <v>19.031585203388602</v>
      </c>
      <c r="AZ851" s="2">
        <v>19.332458036485001</v>
      </c>
      <c r="BA851" s="2">
        <v>17.171889640379</v>
      </c>
      <c r="BB851" s="2">
        <v>19.811423474338199</v>
      </c>
      <c r="BC851" s="2">
        <v>19.514598103219399</v>
      </c>
      <c r="BD851" s="2">
        <v>20.423109527579999</v>
      </c>
      <c r="BE851" s="2">
        <v>20.599979934995201</v>
      </c>
      <c r="BF851" s="2">
        <v>18.1479049221761</v>
      </c>
      <c r="BG851" s="2">
        <v>18.745618361504999</v>
      </c>
      <c r="BH851" s="2">
        <v>19.671498981042902</v>
      </c>
      <c r="BI851" s="2">
        <v>18.287147093034498</v>
      </c>
      <c r="BJ851" s="2">
        <v>19.061159811929599</v>
      </c>
      <c r="BK851" s="2">
        <v>17.777758411028898</v>
      </c>
      <c r="BL851" s="2">
        <v>14.63488760625</v>
      </c>
      <c r="BM851" s="2">
        <v>19.971489863887399</v>
      </c>
      <c r="BN851" s="2">
        <v>20.631570050013099</v>
      </c>
      <c r="BO851" s="2">
        <v>17.8388626630056</v>
      </c>
      <c r="BP851" s="2">
        <v>20.3827084831414</v>
      </c>
      <c r="BQ851" s="2">
        <v>18.5368800775253</v>
      </c>
      <c r="BR851" s="2">
        <v>19.730267953858501</v>
      </c>
      <c r="BS851" s="2">
        <v>19.278582626576799</v>
      </c>
      <c r="BT851" s="2">
        <v>18.983528210331102</v>
      </c>
      <c r="BU851" s="2">
        <v>19.151325939294299</v>
      </c>
      <c r="BV851" s="2">
        <v>18.524067533541398</v>
      </c>
      <c r="BW851" s="2">
        <v>19.657781169074699</v>
      </c>
      <c r="BX851" s="2">
        <v>14.558090017894701</v>
      </c>
      <c r="BY851" s="2">
        <v>21.197463040393799</v>
      </c>
      <c r="BZ851" s="2">
        <v>21.6122784545949</v>
      </c>
      <c r="CA851" s="2">
        <v>23.2880234158654</v>
      </c>
      <c r="CB851" s="2">
        <v>19.2564547783503</v>
      </c>
      <c r="CC851" s="2">
        <v>18.304878589451601</v>
      </c>
      <c r="CD851" s="2">
        <v>20.664387594639301</v>
      </c>
      <c r="CE851" s="2">
        <v>18.341767677100002</v>
      </c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</row>
    <row r="852" spans="1:97">
      <c r="A852" s="2" t="s">
        <v>7976</v>
      </c>
      <c r="B852" s="2">
        <v>291.11991</v>
      </c>
      <c r="C852" s="2">
        <v>6.069</v>
      </c>
      <c r="D852" s="2" t="s">
        <v>84</v>
      </c>
      <c r="E852" s="2" t="s">
        <v>7977</v>
      </c>
      <c r="F852" s="2" t="s">
        <v>7978</v>
      </c>
      <c r="G852" s="2">
        <v>35127</v>
      </c>
      <c r="H852" s="3" t="str">
        <f>HYPERLINK("https://cloud.oebiotech.com/#/lm/network/35127", "https://cloud.oebiotech.com/#/lm/network/35127")</f>
        <v>https://cloud.oebiotech.com/#/lm/network/35127</v>
      </c>
      <c r="I852" s="2"/>
      <c r="J852" s="2">
        <v>41036</v>
      </c>
      <c r="K852" s="2" t="s">
        <v>7979</v>
      </c>
      <c r="L852" s="2">
        <v>441970</v>
      </c>
      <c r="M852" s="2" t="s">
        <v>7980</v>
      </c>
      <c r="N852" s="2"/>
      <c r="O852" s="2"/>
      <c r="P852" s="2">
        <v>2110</v>
      </c>
      <c r="Q852" s="2"/>
      <c r="R852" s="2"/>
      <c r="S852" s="2"/>
      <c r="T852" s="2" t="s">
        <v>7981</v>
      </c>
      <c r="U852" s="2" t="s">
        <v>7982</v>
      </c>
      <c r="V852" s="2" t="s">
        <v>553</v>
      </c>
      <c r="W852" s="2" t="s">
        <v>2193</v>
      </c>
      <c r="X852" s="2" t="s">
        <v>4866</v>
      </c>
      <c r="Y852" s="2" t="s">
        <v>556</v>
      </c>
      <c r="Z852" s="2" t="s">
        <v>2194</v>
      </c>
      <c r="AA852" s="2" t="s">
        <v>4867</v>
      </c>
      <c r="AB852" s="2" t="s">
        <v>3086</v>
      </c>
      <c r="AC852" s="2">
        <v>53.02</v>
      </c>
      <c r="AD852" s="2">
        <v>90</v>
      </c>
      <c r="AE852" s="2">
        <v>37.630000000000003</v>
      </c>
      <c r="AF852" s="2" t="s">
        <v>7983</v>
      </c>
      <c r="AG852" s="2" t="s">
        <v>103</v>
      </c>
      <c r="AH852" s="2" t="s">
        <v>7984</v>
      </c>
      <c r="AI852" s="2">
        <v>9.6199999999999992</v>
      </c>
      <c r="AJ852" s="2">
        <v>17.592783014244102</v>
      </c>
      <c r="AK852" s="2">
        <v>17.581379127341702</v>
      </c>
      <c r="AL852" s="2">
        <v>17.327786466631199</v>
      </c>
      <c r="AM852" s="2">
        <v>17.9533489713736</v>
      </c>
      <c r="AN852" s="2">
        <v>17.211866341480899</v>
      </c>
      <c r="AO852" s="2">
        <v>17.842354640650601</v>
      </c>
      <c r="AP852" s="2">
        <v>17.609889245746899</v>
      </c>
      <c r="AQ852" s="2">
        <v>17.5760704249127</v>
      </c>
      <c r="AR852" s="2">
        <v>17.2975570273953</v>
      </c>
      <c r="AS852" s="2">
        <v>17.4581724414695</v>
      </c>
      <c r="AT852" s="2">
        <v>17.6162225206023</v>
      </c>
      <c r="AU852" s="2">
        <v>17.036935334747401</v>
      </c>
      <c r="AV852" s="2">
        <v>13.6511144937006</v>
      </c>
      <c r="AW852" s="2">
        <v>16.9668475422196</v>
      </c>
      <c r="AX852" s="2">
        <v>16.8710589988058</v>
      </c>
      <c r="AY852" s="2">
        <v>17.9106906828885</v>
      </c>
      <c r="AZ852" s="2">
        <v>17.6359789391453</v>
      </c>
      <c r="BA852" s="2">
        <v>17.5314016416561</v>
      </c>
      <c r="BB852" s="2">
        <v>18.231685310353502</v>
      </c>
      <c r="BC852" s="2">
        <v>17.642384566785999</v>
      </c>
      <c r="BD852" s="2">
        <v>15.8482128700247</v>
      </c>
      <c r="BE852" s="2">
        <v>16.416193529887899</v>
      </c>
      <c r="BF852" s="2">
        <v>16.0896710231317</v>
      </c>
      <c r="BG852" s="2">
        <v>17.670375897604501</v>
      </c>
      <c r="BH852" s="2">
        <v>18.6279477264642</v>
      </c>
      <c r="BI852" s="2">
        <v>15.996607433183501</v>
      </c>
      <c r="BJ852" s="2">
        <v>16.955277335733602</v>
      </c>
      <c r="BK852" s="2">
        <v>16.404379385123399</v>
      </c>
      <c r="BL852" s="2">
        <v>9.6233145402724691</v>
      </c>
      <c r="BM852" s="2">
        <v>18.8892109278137</v>
      </c>
      <c r="BN852" s="2">
        <v>17.0973747978402</v>
      </c>
      <c r="BO852" s="2">
        <v>18.506500443120402</v>
      </c>
      <c r="BP852" s="2">
        <v>15.2815262041361</v>
      </c>
      <c r="BQ852" s="2">
        <v>15.2777559674131</v>
      </c>
      <c r="BR852" s="2">
        <v>16.3855078832492</v>
      </c>
      <c r="BS852" s="2">
        <v>18.136342980950801</v>
      </c>
      <c r="BT852" s="2">
        <v>18.176360614415199</v>
      </c>
      <c r="BU852" s="2">
        <v>17.1076904231148</v>
      </c>
      <c r="BV852" s="2">
        <v>17.404422297002299</v>
      </c>
      <c r="BW852" s="2">
        <v>15.837227539596199</v>
      </c>
      <c r="BX852" s="2">
        <v>17.445765865364201</v>
      </c>
      <c r="BY852" s="2">
        <v>18.813528603549099</v>
      </c>
      <c r="BZ852" s="2">
        <v>16.385435924454899</v>
      </c>
      <c r="CA852" s="2">
        <v>16.087907813543602</v>
      </c>
      <c r="CB852" s="2">
        <v>16.8573586452355</v>
      </c>
      <c r="CC852" s="2">
        <v>9.6233145402724691</v>
      </c>
      <c r="CD852" s="2">
        <v>17.6765608311952</v>
      </c>
      <c r="CE852" s="2">
        <v>17.666063147211101</v>
      </c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</row>
    <row r="853" spans="1:97">
      <c r="A853" s="2" t="s">
        <v>7985</v>
      </c>
      <c r="B853" s="2">
        <v>232.05864</v>
      </c>
      <c r="C853" s="2">
        <v>2.1930000000000001</v>
      </c>
      <c r="D853" s="2" t="s">
        <v>146</v>
      </c>
      <c r="E853" s="2" t="s">
        <v>7986</v>
      </c>
      <c r="F853" s="2" t="s">
        <v>7987</v>
      </c>
      <c r="G853" s="2">
        <v>202019</v>
      </c>
      <c r="H853" s="3" t="str">
        <f>HYPERLINK("https://cloud.oebiotech.com/#/lm/network/202019", "https://cloud.oebiotech.com/#/lm/network/202019")</f>
        <v>https://cloud.oebiotech.com/#/lm/network/202019</v>
      </c>
      <c r="I853" s="2" t="s">
        <v>7988</v>
      </c>
      <c r="J853" s="2">
        <v>693</v>
      </c>
      <c r="K853" s="2"/>
      <c r="L853" s="2">
        <v>121858</v>
      </c>
      <c r="M853" s="2"/>
      <c r="N853" s="2"/>
      <c r="O853" s="2"/>
      <c r="P853" s="2"/>
      <c r="Q853" s="2"/>
      <c r="R853" s="2"/>
      <c r="S853" s="2"/>
      <c r="T853" s="2" t="s">
        <v>7989</v>
      </c>
      <c r="U853" s="2" t="s">
        <v>7990</v>
      </c>
      <c r="V853" s="2" t="s">
        <v>553</v>
      </c>
      <c r="W853" s="2" t="s">
        <v>554</v>
      </c>
      <c r="X853" s="2" t="s">
        <v>555</v>
      </c>
      <c r="Y853" s="2" t="s">
        <v>556</v>
      </c>
      <c r="Z853" s="2" t="s">
        <v>557</v>
      </c>
      <c r="AA853" s="2" t="s">
        <v>558</v>
      </c>
      <c r="AB853" s="2" t="s">
        <v>3086</v>
      </c>
      <c r="AC853" s="2">
        <v>53</v>
      </c>
      <c r="AD853" s="2">
        <v>98.61</v>
      </c>
      <c r="AE853" s="2">
        <v>0</v>
      </c>
      <c r="AF853" s="2" t="s">
        <v>7991</v>
      </c>
      <c r="AG853" s="2" t="s">
        <v>157</v>
      </c>
      <c r="AH853" s="2" t="s">
        <v>7992</v>
      </c>
      <c r="AI853" s="2">
        <v>-4.74</v>
      </c>
      <c r="AJ853" s="2">
        <v>23.2290635011069</v>
      </c>
      <c r="AK853" s="2">
        <v>23.661272680501199</v>
      </c>
      <c r="AL853" s="2">
        <v>23.250303785065402</v>
      </c>
      <c r="AM853" s="2">
        <v>22.548606250178899</v>
      </c>
      <c r="AN853" s="2">
        <v>22.4439600426543</v>
      </c>
      <c r="AO853" s="2">
        <v>23.692697303909501</v>
      </c>
      <c r="AP853" s="2">
        <v>23.575660355044398</v>
      </c>
      <c r="AQ853" s="2">
        <v>23.472171969317099</v>
      </c>
      <c r="AR853" s="2">
        <v>22.494481142386999</v>
      </c>
      <c r="AS853" s="2">
        <v>21.9745407464404</v>
      </c>
      <c r="AT853" s="2">
        <v>22.424836082792201</v>
      </c>
      <c r="AU853" s="2">
        <v>22.042082211983899</v>
      </c>
      <c r="AV853" s="2">
        <v>23.300251203302899</v>
      </c>
      <c r="AW853" s="2">
        <v>23.4539816891062</v>
      </c>
      <c r="AX853" s="2">
        <v>21.965731087823901</v>
      </c>
      <c r="AY853" s="2">
        <v>19.384958158494701</v>
      </c>
      <c r="AZ853" s="2">
        <v>22.113334419599202</v>
      </c>
      <c r="BA853" s="2">
        <v>23.1124252397139</v>
      </c>
      <c r="BB853" s="2">
        <v>23.6062557857618</v>
      </c>
      <c r="BC853" s="2">
        <v>23.136589526422501</v>
      </c>
      <c r="BD853" s="2">
        <v>22.729944604828201</v>
      </c>
      <c r="BE853" s="2">
        <v>23.084988583050698</v>
      </c>
      <c r="BF853" s="2">
        <v>23.197254467810801</v>
      </c>
      <c r="BG853" s="2">
        <v>22.340353370192901</v>
      </c>
      <c r="BH853" s="2">
        <v>23.677402416967901</v>
      </c>
      <c r="BI853" s="2">
        <v>23.035471318653499</v>
      </c>
      <c r="BJ853" s="2">
        <v>23.503249025462601</v>
      </c>
      <c r="BK853" s="2">
        <v>22.7605205484798</v>
      </c>
      <c r="BL853" s="2">
        <v>22.867132583438501</v>
      </c>
      <c r="BM853" s="2">
        <v>20.0987354782743</v>
      </c>
      <c r="BN853" s="2">
        <v>23.7299773050804</v>
      </c>
      <c r="BO853" s="2">
        <v>21.9775833917124</v>
      </c>
      <c r="BP853" s="2">
        <v>22.477824277866699</v>
      </c>
      <c r="BQ853" s="2">
        <v>22.5700841280193</v>
      </c>
      <c r="BR853" s="2">
        <v>23.204924704901199</v>
      </c>
      <c r="BS853" s="2">
        <v>22.860740074852199</v>
      </c>
      <c r="BT853" s="2">
        <v>19.2475404592874</v>
      </c>
      <c r="BU853" s="2">
        <v>23.0658962826414</v>
      </c>
      <c r="BV853" s="2">
        <v>23.206567376448401</v>
      </c>
      <c r="BW853" s="2">
        <v>21.7486677202523</v>
      </c>
      <c r="BX853" s="2">
        <v>22.7611113219556</v>
      </c>
      <c r="BY853" s="2">
        <v>23.835118725981399</v>
      </c>
      <c r="BZ853" s="2">
        <v>22.2517131818074</v>
      </c>
      <c r="CA853" s="2">
        <v>24.045819645914001</v>
      </c>
      <c r="CB853" s="2">
        <v>22.352466203572199</v>
      </c>
      <c r="CC853" s="2">
        <v>22.142238647725701</v>
      </c>
      <c r="CD853" s="2">
        <v>23.884212274334001</v>
      </c>
      <c r="CE853" s="2">
        <v>22.237916793564299</v>
      </c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</row>
    <row r="854" spans="1:97">
      <c r="A854" s="2" t="s">
        <v>7993</v>
      </c>
      <c r="B854" s="2">
        <v>282.98887999999999</v>
      </c>
      <c r="C854" s="2">
        <v>4.8140000000000001</v>
      </c>
      <c r="D854" s="2" t="s">
        <v>146</v>
      </c>
      <c r="E854" s="2" t="s">
        <v>7994</v>
      </c>
      <c r="F854" s="2" t="s">
        <v>7995</v>
      </c>
      <c r="G854" s="2">
        <v>48000</v>
      </c>
      <c r="H854" s="3" t="str">
        <f>HYPERLINK("https://cloud.oebiotech.com/#/lm/network/48000", "https://cloud.oebiotech.com/#/lm/network/48000")</f>
        <v>https://cloud.oebiotech.com/#/lm/network/48000</v>
      </c>
      <c r="I854" s="2" t="s">
        <v>7996</v>
      </c>
      <c r="J854" s="2">
        <v>3430</v>
      </c>
      <c r="K854" s="2"/>
      <c r="L854" s="2">
        <v>5281855</v>
      </c>
      <c r="M854" s="2" t="s">
        <v>7997</v>
      </c>
      <c r="N854" s="2"/>
      <c r="O854" s="2"/>
      <c r="P854" s="2">
        <v>4775</v>
      </c>
      <c r="Q854" s="2"/>
      <c r="R854" s="2"/>
      <c r="S854" s="2" t="s">
        <v>7998</v>
      </c>
      <c r="T854" s="2" t="s">
        <v>7999</v>
      </c>
      <c r="U854" s="2" t="s">
        <v>8000</v>
      </c>
      <c r="V854" s="2" t="s">
        <v>845</v>
      </c>
      <c r="W854" s="2" t="s">
        <v>8001</v>
      </c>
      <c r="X854" s="2" t="s">
        <v>8002</v>
      </c>
      <c r="Y854" s="2" t="s">
        <v>847</v>
      </c>
      <c r="Z854" s="2" t="s">
        <v>8003</v>
      </c>
      <c r="AA854" s="2" t="s">
        <v>8004</v>
      </c>
      <c r="AB854" s="2" t="s">
        <v>3086</v>
      </c>
      <c r="AC854" s="2">
        <v>53</v>
      </c>
      <c r="AD854" s="2">
        <v>91.44</v>
      </c>
      <c r="AE854" s="2">
        <v>0</v>
      </c>
      <c r="AF854" s="2" t="s">
        <v>5614</v>
      </c>
      <c r="AG854" s="2" t="s">
        <v>993</v>
      </c>
      <c r="AH854" s="2" t="s">
        <v>8005</v>
      </c>
      <c r="AI854" s="2">
        <v>-3.53</v>
      </c>
      <c r="AJ854" s="2">
        <v>16.7589300204368</v>
      </c>
      <c r="AK854" s="2">
        <v>16.773050710122199</v>
      </c>
      <c r="AL854" s="2">
        <v>16.872985386961101</v>
      </c>
      <c r="AM854" s="2">
        <v>16.8116434928511</v>
      </c>
      <c r="AN854" s="2">
        <v>16.867202350344499</v>
      </c>
      <c r="AO854" s="2">
        <v>16.917574408116799</v>
      </c>
      <c r="AP854" s="2">
        <v>16.808866162415999</v>
      </c>
      <c r="AQ854" s="2">
        <v>16.570919589075501</v>
      </c>
      <c r="AR854" s="2">
        <v>13.917810266977099</v>
      </c>
      <c r="AS854" s="2">
        <v>12.6861590722971</v>
      </c>
      <c r="AT854" s="2">
        <v>9.6233145402724691</v>
      </c>
      <c r="AU854" s="2">
        <v>14.079701438486101</v>
      </c>
      <c r="AV854" s="2">
        <v>18.2855771444233</v>
      </c>
      <c r="AW854" s="2">
        <v>16.067300110257801</v>
      </c>
      <c r="AX854" s="2">
        <v>15.931920082425099</v>
      </c>
      <c r="AY854" s="2">
        <v>14.6594507663741</v>
      </c>
      <c r="AZ854" s="2">
        <v>16.065882259235099</v>
      </c>
      <c r="BA854" s="2">
        <v>13.881402700272201</v>
      </c>
      <c r="BB854" s="2">
        <v>14.159579678603301</v>
      </c>
      <c r="BC854" s="2">
        <v>9.6233145402724691</v>
      </c>
      <c r="BD854" s="2">
        <v>16.188803626859599</v>
      </c>
      <c r="BE854" s="2">
        <v>19.311118891930199</v>
      </c>
      <c r="BF854" s="2">
        <v>16.406414297964499</v>
      </c>
      <c r="BG854" s="2">
        <v>15.0395539713394</v>
      </c>
      <c r="BH854" s="2">
        <v>17.677075919432699</v>
      </c>
      <c r="BI854" s="2">
        <v>18.1259346500138</v>
      </c>
      <c r="BJ854" s="2">
        <v>17.8321427425137</v>
      </c>
      <c r="BK854" s="2">
        <v>9.6233145402724691</v>
      </c>
      <c r="BL854" s="2">
        <v>16.310029053681198</v>
      </c>
      <c r="BM854" s="2">
        <v>9.6233145402724691</v>
      </c>
      <c r="BN854" s="2">
        <v>14.6771789700841</v>
      </c>
      <c r="BO854" s="2">
        <v>12.1192361982203</v>
      </c>
      <c r="BP854" s="2">
        <v>17.9351743173975</v>
      </c>
      <c r="BQ854" s="2">
        <v>16.7825817210671</v>
      </c>
      <c r="BR854" s="2">
        <v>16.770665183248799</v>
      </c>
      <c r="BS854" s="2">
        <v>15.392170489043901</v>
      </c>
      <c r="BT854" s="2">
        <v>16.738409239715001</v>
      </c>
      <c r="BU854" s="2">
        <v>14.891876716084401</v>
      </c>
      <c r="BV854" s="2">
        <v>13.7439812942168</v>
      </c>
      <c r="BW854" s="2">
        <v>9.6233145402724691</v>
      </c>
      <c r="BX854" s="2">
        <v>15.909559600089199</v>
      </c>
      <c r="BY854" s="2">
        <v>19.197866648460899</v>
      </c>
      <c r="BZ854" s="2">
        <v>12.0723570654967</v>
      </c>
      <c r="CA854" s="2">
        <v>13.1103609593908</v>
      </c>
      <c r="CB854" s="2">
        <v>17.2444013738425</v>
      </c>
      <c r="CC854" s="2">
        <v>12.0961583907637</v>
      </c>
      <c r="CD854" s="2">
        <v>17.7031795576215</v>
      </c>
      <c r="CE854" s="2">
        <v>9.6233145402724691</v>
      </c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</row>
    <row r="855" spans="1:97">
      <c r="A855" s="2" t="s">
        <v>8006</v>
      </c>
      <c r="B855" s="2">
        <v>300.01778000000002</v>
      </c>
      <c r="C855" s="2">
        <v>4.0609999999999999</v>
      </c>
      <c r="D855" s="2" t="s">
        <v>146</v>
      </c>
      <c r="E855" s="2" t="s">
        <v>8007</v>
      </c>
      <c r="F855" s="2" t="s">
        <v>8008</v>
      </c>
      <c r="G855" s="2">
        <v>257656</v>
      </c>
      <c r="H855" s="3" t="str">
        <f>HYPERLINK("https://cloud.oebiotech.com/#/lm/network/257656", "https://cloud.oebiotech.com/#/lm/network/257656")</f>
        <v>https://cloud.oebiotech.com/#/lm/network/257656</v>
      </c>
      <c r="I855" s="2" t="s">
        <v>8009</v>
      </c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 t="s">
        <v>8010</v>
      </c>
      <c r="U855" s="2" t="s">
        <v>8011</v>
      </c>
      <c r="V855" s="2" t="s">
        <v>115</v>
      </c>
      <c r="W855" s="2" t="s">
        <v>116</v>
      </c>
      <c r="X855" s="2" t="s">
        <v>117</v>
      </c>
      <c r="Y855" s="2" t="s">
        <v>118</v>
      </c>
      <c r="Z855" s="2" t="s">
        <v>119</v>
      </c>
      <c r="AA855" s="2" t="s">
        <v>120</v>
      </c>
      <c r="AB855" s="2" t="s">
        <v>3086</v>
      </c>
      <c r="AC855" s="2">
        <v>52.98</v>
      </c>
      <c r="AD855" s="2">
        <v>89.52</v>
      </c>
      <c r="AE855" s="2">
        <v>0</v>
      </c>
      <c r="AF855" s="2" t="s">
        <v>5614</v>
      </c>
      <c r="AG855" s="2" t="s">
        <v>194</v>
      </c>
      <c r="AH855" s="2" t="s">
        <v>8012</v>
      </c>
      <c r="AI855" s="2">
        <v>1.67</v>
      </c>
      <c r="AJ855" s="2">
        <v>16.652556377127802</v>
      </c>
      <c r="AK855" s="2">
        <v>16.657077096216199</v>
      </c>
      <c r="AL855" s="2">
        <v>16.631848472393902</v>
      </c>
      <c r="AM855" s="2">
        <v>16.691693773028501</v>
      </c>
      <c r="AN855" s="2">
        <v>16.4741943962884</v>
      </c>
      <c r="AO855" s="2">
        <v>16.4535150070875</v>
      </c>
      <c r="AP855" s="2">
        <v>16.703865597327901</v>
      </c>
      <c r="AQ855" s="2">
        <v>16.792426575858499</v>
      </c>
      <c r="AR855" s="2">
        <v>14.3395695907481</v>
      </c>
      <c r="AS855" s="2">
        <v>15.4030819457078</v>
      </c>
      <c r="AT855" s="2">
        <v>9.6233145402724691</v>
      </c>
      <c r="AU855" s="2">
        <v>15.5437420542594</v>
      </c>
      <c r="AV855" s="2">
        <v>16.947022063627099</v>
      </c>
      <c r="AW855" s="2">
        <v>9.6233145402724691</v>
      </c>
      <c r="AX855" s="2">
        <v>13.1918395890758</v>
      </c>
      <c r="AY855" s="2">
        <v>16.6708404465036</v>
      </c>
      <c r="AZ855" s="2">
        <v>14.015192881153</v>
      </c>
      <c r="BA855" s="2">
        <v>9.6233145402724691</v>
      </c>
      <c r="BB855" s="2">
        <v>15.970408368174001</v>
      </c>
      <c r="BC855" s="2">
        <v>9.6233145402724691</v>
      </c>
      <c r="BD855" s="2">
        <v>15.378260305607601</v>
      </c>
      <c r="BE855" s="2">
        <v>9.6233145402724691</v>
      </c>
      <c r="BF855" s="2">
        <v>16.205080926134801</v>
      </c>
      <c r="BG855" s="2">
        <v>16.638310470321201</v>
      </c>
      <c r="BH855" s="2">
        <v>9.6233145402724691</v>
      </c>
      <c r="BI855" s="2">
        <v>17.8254024933665</v>
      </c>
      <c r="BJ855" s="2">
        <v>17.449439583402</v>
      </c>
      <c r="BK855" s="2">
        <v>12.419146457958901</v>
      </c>
      <c r="BL855" s="2">
        <v>16.506693899123398</v>
      </c>
      <c r="BM855" s="2">
        <v>14.065987410923199</v>
      </c>
      <c r="BN855" s="2">
        <v>9.6233145402724691</v>
      </c>
      <c r="BO855" s="2">
        <v>17.452703432497799</v>
      </c>
      <c r="BP855" s="2">
        <v>18.333917212226801</v>
      </c>
      <c r="BQ855" s="2">
        <v>17.612775936360499</v>
      </c>
      <c r="BR855" s="2">
        <v>14.3783016303843</v>
      </c>
      <c r="BS855" s="2">
        <v>16.931746183003899</v>
      </c>
      <c r="BT855" s="2">
        <v>16.083159131511302</v>
      </c>
      <c r="BU855" s="2">
        <v>16.5450161851658</v>
      </c>
      <c r="BV855" s="2">
        <v>9.6233145402724691</v>
      </c>
      <c r="BW855" s="2">
        <v>9.6233145402724691</v>
      </c>
      <c r="BX855" s="2">
        <v>13.5007796501679</v>
      </c>
      <c r="BY855" s="2">
        <v>16.810599623837899</v>
      </c>
      <c r="BZ855" s="2">
        <v>13.4947606014416</v>
      </c>
      <c r="CA855" s="2">
        <v>12.4573013542167</v>
      </c>
      <c r="CB855" s="2">
        <v>16.216140503970401</v>
      </c>
      <c r="CC855" s="2">
        <v>9.6233145402724691</v>
      </c>
      <c r="CD855" s="2">
        <v>17.960538056277201</v>
      </c>
      <c r="CE855" s="2">
        <v>9.6233145402724691</v>
      </c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</row>
    <row r="856" spans="1:97">
      <c r="A856" s="2" t="s">
        <v>8013</v>
      </c>
      <c r="B856" s="2">
        <v>229.11797000000001</v>
      </c>
      <c r="C856" s="2">
        <v>3.7970000000000002</v>
      </c>
      <c r="D856" s="2" t="s">
        <v>84</v>
      </c>
      <c r="E856" s="2" t="s">
        <v>8014</v>
      </c>
      <c r="F856" s="2" t="s">
        <v>8015</v>
      </c>
      <c r="G856" s="2">
        <v>208948</v>
      </c>
      <c r="H856" s="3" t="str">
        <f>HYPERLINK("https://cloud.oebiotech.com/#/lm/network/208948", "https://cloud.oebiotech.com/#/lm/network/208948")</f>
        <v>https://cloud.oebiotech.com/#/lm/network/208948</v>
      </c>
      <c r="I856" s="2" t="s">
        <v>8016</v>
      </c>
      <c r="J856" s="2"/>
      <c r="K856" s="2"/>
      <c r="L856" s="2">
        <v>115379</v>
      </c>
      <c r="M856" s="2"/>
      <c r="N856" s="2"/>
      <c r="O856" s="2"/>
      <c r="P856" s="2"/>
      <c r="Q856" s="2"/>
      <c r="R856" s="2"/>
      <c r="S856" s="2"/>
      <c r="T856" s="2" t="s">
        <v>8017</v>
      </c>
      <c r="U856" s="2" t="s">
        <v>8018</v>
      </c>
      <c r="V856" s="2" t="s">
        <v>553</v>
      </c>
      <c r="W856" s="2" t="s">
        <v>8019</v>
      </c>
      <c r="X856" s="2" t="s">
        <v>8020</v>
      </c>
      <c r="Y856" s="2" t="s">
        <v>556</v>
      </c>
      <c r="Z856" s="2" t="s">
        <v>8021</v>
      </c>
      <c r="AA856" s="2" t="s">
        <v>8022</v>
      </c>
      <c r="AB856" s="2" t="s">
        <v>3086</v>
      </c>
      <c r="AC856" s="2">
        <v>52.97</v>
      </c>
      <c r="AD856" s="2">
        <v>93.11</v>
      </c>
      <c r="AE856" s="2">
        <v>0</v>
      </c>
      <c r="AF856" s="2" t="s">
        <v>5614</v>
      </c>
      <c r="AG856" s="2" t="s">
        <v>103</v>
      </c>
      <c r="AH856" s="2" t="s">
        <v>8023</v>
      </c>
      <c r="AI856" s="2">
        <v>1.31</v>
      </c>
      <c r="AJ856" s="2">
        <v>18.173641614965501</v>
      </c>
      <c r="AK856" s="2">
        <v>18.256083807574502</v>
      </c>
      <c r="AL856" s="2">
        <v>17.443664436489001</v>
      </c>
      <c r="AM856" s="2">
        <v>18.305887449407301</v>
      </c>
      <c r="AN856" s="2">
        <v>18.623190061549099</v>
      </c>
      <c r="AO856" s="2">
        <v>18.365538748614899</v>
      </c>
      <c r="AP856" s="2">
        <v>18.380756508967</v>
      </c>
      <c r="AQ856" s="2">
        <v>18.147269727083501</v>
      </c>
      <c r="AR856" s="2">
        <v>18.4676200368183</v>
      </c>
      <c r="AS856" s="2">
        <v>9.6233145402724691</v>
      </c>
      <c r="AT856" s="2">
        <v>9.6233145402724691</v>
      </c>
      <c r="AU856" s="2">
        <v>17.0906428889461</v>
      </c>
      <c r="AV856" s="2">
        <v>18.793284827137999</v>
      </c>
      <c r="AW856" s="2">
        <v>19.371079712168399</v>
      </c>
      <c r="AX856" s="2">
        <v>17.500744411585998</v>
      </c>
      <c r="AY856" s="2">
        <v>9.6233145402724691</v>
      </c>
      <c r="AZ856" s="2">
        <v>18.8477097204517</v>
      </c>
      <c r="BA856" s="2">
        <v>9.6233145402724691</v>
      </c>
      <c r="BB856" s="2">
        <v>17.8547377134384</v>
      </c>
      <c r="BC856" s="2">
        <v>9.6233145402724691</v>
      </c>
      <c r="BD856" s="2">
        <v>15.986544483961399</v>
      </c>
      <c r="BE856" s="2">
        <v>14.731632995191999</v>
      </c>
      <c r="BF856" s="2">
        <v>19.480380748939002</v>
      </c>
      <c r="BG856" s="2">
        <v>17.170423111728301</v>
      </c>
      <c r="BH856" s="2">
        <v>18.895737150499102</v>
      </c>
      <c r="BI856" s="2">
        <v>17.0461540410823</v>
      </c>
      <c r="BJ856" s="2">
        <v>15.997835302842899</v>
      </c>
      <c r="BK856" s="2">
        <v>18.465168196253199</v>
      </c>
      <c r="BL856" s="2">
        <v>19.144796759638499</v>
      </c>
      <c r="BM856" s="2">
        <v>19.6182290827965</v>
      </c>
      <c r="BN856" s="2">
        <v>20.037858295324401</v>
      </c>
      <c r="BO856" s="2">
        <v>16.9990093701064</v>
      </c>
      <c r="BP856" s="2">
        <v>15.785647862452</v>
      </c>
      <c r="BQ856" s="2">
        <v>17.6626878442042</v>
      </c>
      <c r="BR856" s="2">
        <v>17.540159981715501</v>
      </c>
      <c r="BS856" s="2">
        <v>19.623569002243599</v>
      </c>
      <c r="BT856" s="2">
        <v>18.435337177054901</v>
      </c>
      <c r="BU856" s="2">
        <v>15.0038635237149</v>
      </c>
      <c r="BV856" s="2">
        <v>9.6233145402724691</v>
      </c>
      <c r="BW856" s="2">
        <v>9.6233145402724691</v>
      </c>
      <c r="BX856" s="2">
        <v>20.198258481439701</v>
      </c>
      <c r="BY856" s="2">
        <v>18.730798413259699</v>
      </c>
      <c r="BZ856" s="2">
        <v>19.106304373074799</v>
      </c>
      <c r="CA856" s="2">
        <v>17.7793811197342</v>
      </c>
      <c r="CB856" s="2">
        <v>17.3273035191005</v>
      </c>
      <c r="CC856" s="2">
        <v>17.9127176294949</v>
      </c>
      <c r="CD856" s="2">
        <v>18.465113060220201</v>
      </c>
      <c r="CE856" s="2">
        <v>18.141079629123801</v>
      </c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</row>
    <row r="857" spans="1:97">
      <c r="A857" s="2" t="s">
        <v>8024</v>
      </c>
      <c r="B857" s="2">
        <v>496.37432999999999</v>
      </c>
      <c r="C857" s="2">
        <v>11.381</v>
      </c>
      <c r="D857" s="2" t="s">
        <v>84</v>
      </c>
      <c r="E857" s="2" t="s">
        <v>8025</v>
      </c>
      <c r="F857" s="2" t="s">
        <v>8026</v>
      </c>
      <c r="G857" s="2">
        <v>19913</v>
      </c>
      <c r="H857" s="3" t="str">
        <f>HYPERLINK("https://cloud.oebiotech.com/#/lm/network/19913", "https://cloud.oebiotech.com/#/lm/network/19913")</f>
        <v>https://cloud.oebiotech.com/#/lm/network/19913</v>
      </c>
      <c r="I857" s="2"/>
      <c r="J857" s="2"/>
      <c r="K857" s="2" t="s">
        <v>8027</v>
      </c>
      <c r="L857" s="2">
        <v>10074520</v>
      </c>
      <c r="M857" s="2"/>
      <c r="N857" s="2"/>
      <c r="O857" s="2"/>
      <c r="P857" s="2"/>
      <c r="Q857" s="2"/>
      <c r="R857" s="2"/>
      <c r="S857" s="2"/>
      <c r="T857" s="2" t="s">
        <v>8028</v>
      </c>
      <c r="U857" s="2" t="s">
        <v>8029</v>
      </c>
      <c r="V857" s="2" t="s">
        <v>95</v>
      </c>
      <c r="W857" s="2" t="s">
        <v>202</v>
      </c>
      <c r="X857" s="2" t="s">
        <v>203</v>
      </c>
      <c r="Y857" s="2" t="s">
        <v>98</v>
      </c>
      <c r="Z857" s="2" t="s">
        <v>204</v>
      </c>
      <c r="AA857" s="2" t="s">
        <v>205</v>
      </c>
      <c r="AB857" s="2" t="s">
        <v>3086</v>
      </c>
      <c r="AC857" s="2">
        <v>52.96</v>
      </c>
      <c r="AD857" s="2">
        <v>92.08</v>
      </c>
      <c r="AE857" s="2">
        <v>0</v>
      </c>
      <c r="AF857" s="2" t="s">
        <v>5614</v>
      </c>
      <c r="AG857" s="2" t="s">
        <v>103</v>
      </c>
      <c r="AH857" s="2" t="s">
        <v>8030</v>
      </c>
      <c r="AI857" s="2">
        <v>3.83</v>
      </c>
      <c r="AJ857" s="2">
        <v>19.8051353744825</v>
      </c>
      <c r="AK857" s="2">
        <v>20.138720284941801</v>
      </c>
      <c r="AL857" s="2">
        <v>19.6505995514975</v>
      </c>
      <c r="AM857" s="2">
        <v>20.1747735493623</v>
      </c>
      <c r="AN857" s="2">
        <v>20.092926235540499</v>
      </c>
      <c r="AO857" s="2">
        <v>20.350940109293798</v>
      </c>
      <c r="AP857" s="2">
        <v>20.232804787631899</v>
      </c>
      <c r="AQ857" s="2">
        <v>20.2193752047021</v>
      </c>
      <c r="AR857" s="2">
        <v>19.860145708344099</v>
      </c>
      <c r="AS857" s="2">
        <v>19.1656550354944</v>
      </c>
      <c r="AT857" s="2">
        <v>19.276112770589901</v>
      </c>
      <c r="AU857" s="2">
        <v>19.6037785613909</v>
      </c>
      <c r="AV857" s="2">
        <v>20.0654932102243</v>
      </c>
      <c r="AW857" s="2">
        <v>18.887530417196999</v>
      </c>
      <c r="AX857" s="2">
        <v>19.686994850596999</v>
      </c>
      <c r="AY857" s="2">
        <v>19.500253471181999</v>
      </c>
      <c r="AZ857" s="2">
        <v>20.198497007274302</v>
      </c>
      <c r="BA857" s="2">
        <v>17.696236080227099</v>
      </c>
      <c r="BB857" s="2">
        <v>19.434704716493499</v>
      </c>
      <c r="BC857" s="2">
        <v>20.335798523743598</v>
      </c>
      <c r="BD857" s="2">
        <v>19.484145331401098</v>
      </c>
      <c r="BE857" s="2">
        <v>21.206247121883202</v>
      </c>
      <c r="BF857" s="2">
        <v>19.3113014606562</v>
      </c>
      <c r="BG857" s="2">
        <v>20.222453630137601</v>
      </c>
      <c r="BH857" s="2">
        <v>20.937009735271499</v>
      </c>
      <c r="BI857" s="2">
        <v>19.188084288438201</v>
      </c>
      <c r="BJ857" s="2">
        <v>19.294459010057601</v>
      </c>
      <c r="BK857" s="2">
        <v>19.6585966245256</v>
      </c>
      <c r="BL857" s="2">
        <v>20.697298303960601</v>
      </c>
      <c r="BM857" s="2">
        <v>19.789961181244099</v>
      </c>
      <c r="BN857" s="2">
        <v>20.1159048055795</v>
      </c>
      <c r="BO857" s="2">
        <v>20.155823700170099</v>
      </c>
      <c r="BP857" s="2">
        <v>20.231952289515199</v>
      </c>
      <c r="BQ857" s="2">
        <v>19.746439020259601</v>
      </c>
      <c r="BR857" s="2">
        <v>19.9572418882798</v>
      </c>
      <c r="BS857" s="2">
        <v>20.358814409499502</v>
      </c>
      <c r="BT857" s="2">
        <v>20.173971580863501</v>
      </c>
      <c r="BU857" s="2">
        <v>19.5362537999426</v>
      </c>
      <c r="BV857" s="2">
        <v>20.110864415866899</v>
      </c>
      <c r="BW857" s="2">
        <v>18.946738083839701</v>
      </c>
      <c r="BX857" s="2">
        <v>19.638591165480101</v>
      </c>
      <c r="BY857" s="2">
        <v>21.062210798806099</v>
      </c>
      <c r="BZ857" s="2">
        <v>19.098266637582899</v>
      </c>
      <c r="CA857" s="2">
        <v>20.4099777093314</v>
      </c>
      <c r="CB857" s="2">
        <v>19.8753489004669</v>
      </c>
      <c r="CC857" s="2">
        <v>18.574169340726499</v>
      </c>
      <c r="CD857" s="2">
        <v>19.7825412494402</v>
      </c>
      <c r="CE857" s="2">
        <v>19.723956037905399</v>
      </c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</row>
    <row r="858" spans="1:97">
      <c r="A858" s="2" t="s">
        <v>8031</v>
      </c>
      <c r="B858" s="2">
        <v>156.07656</v>
      </c>
      <c r="C858" s="2">
        <v>15.425000000000001</v>
      </c>
      <c r="D858" s="2" t="s">
        <v>84</v>
      </c>
      <c r="E858" s="2" t="s">
        <v>8032</v>
      </c>
      <c r="F858" s="2" t="s">
        <v>8033</v>
      </c>
      <c r="G858" s="2">
        <v>83268</v>
      </c>
      <c r="H858" s="3" t="str">
        <f>HYPERLINK("https://cloud.oebiotech.com/#/lm/network/83268", "https://cloud.oebiotech.com/#/lm/network/83268")</f>
        <v>https://cloud.oebiotech.com/#/lm/network/83268</v>
      </c>
      <c r="I858" s="2" t="s">
        <v>8034</v>
      </c>
      <c r="J858" s="2">
        <v>350943</v>
      </c>
      <c r="K858" s="2"/>
      <c r="L858" s="2">
        <v>72930</v>
      </c>
      <c r="M858" s="2"/>
      <c r="N858" s="2"/>
      <c r="O858" s="2"/>
      <c r="P858" s="2">
        <v>68572</v>
      </c>
      <c r="Q858" s="2"/>
      <c r="R858" s="2"/>
      <c r="S858" s="2"/>
      <c r="T858" s="2" t="s">
        <v>8035</v>
      </c>
      <c r="U858" s="2" t="s">
        <v>8036</v>
      </c>
      <c r="V858" s="2" t="s">
        <v>553</v>
      </c>
      <c r="W858" s="2" t="s">
        <v>2447</v>
      </c>
      <c r="X858" s="2" t="s">
        <v>2448</v>
      </c>
      <c r="Y858" s="2" t="s">
        <v>556</v>
      </c>
      <c r="Z858" s="2" t="s">
        <v>2449</v>
      </c>
      <c r="AA858" s="2" t="s">
        <v>2450</v>
      </c>
      <c r="AB858" s="2" t="s">
        <v>5118</v>
      </c>
      <c r="AC858" s="2">
        <v>52.96</v>
      </c>
      <c r="AD858" s="2">
        <v>95.68</v>
      </c>
      <c r="AE858" s="2">
        <v>88.18</v>
      </c>
      <c r="AF858" s="2" t="s">
        <v>8037</v>
      </c>
      <c r="AG858" s="2" t="s">
        <v>132</v>
      </c>
      <c r="AH858" s="2" t="s">
        <v>560</v>
      </c>
      <c r="AI858" s="2">
        <v>1.28</v>
      </c>
      <c r="AJ858" s="2">
        <v>24.268916429739999</v>
      </c>
      <c r="AK858" s="2">
        <v>24.177239933151501</v>
      </c>
      <c r="AL858" s="2">
        <v>23.453083291808301</v>
      </c>
      <c r="AM858" s="2">
        <v>23.550309067443798</v>
      </c>
      <c r="AN858" s="2">
        <v>23.983449829913699</v>
      </c>
      <c r="AO858" s="2">
        <v>23.9112851583095</v>
      </c>
      <c r="AP858" s="2">
        <v>23.901425988676401</v>
      </c>
      <c r="AQ858" s="2">
        <v>23.405027835091801</v>
      </c>
      <c r="AR858" s="2">
        <v>24.0722076924107</v>
      </c>
      <c r="AS858" s="2">
        <v>23.424270879637898</v>
      </c>
      <c r="AT858" s="2">
        <v>23.937854372908401</v>
      </c>
      <c r="AU858" s="2">
        <v>24.1392225344519</v>
      </c>
      <c r="AV858" s="2">
        <v>23.201968837004401</v>
      </c>
      <c r="AW858" s="2">
        <v>24.2074898697945</v>
      </c>
      <c r="AX858" s="2">
        <v>23.3333776621133</v>
      </c>
      <c r="AY858" s="2">
        <v>23.4604168353058</v>
      </c>
      <c r="AZ858" s="2">
        <v>24.2720930094792</v>
      </c>
      <c r="BA858" s="2">
        <v>24.0505687120387</v>
      </c>
      <c r="BB858" s="2">
        <v>24.1156359473514</v>
      </c>
      <c r="BC858" s="2">
        <v>24.149734394088899</v>
      </c>
      <c r="BD858" s="2">
        <v>24.224315527836101</v>
      </c>
      <c r="BE858" s="2">
        <v>23.4815553875125</v>
      </c>
      <c r="BF858" s="2">
        <v>24.1753926113593</v>
      </c>
      <c r="BG858" s="2">
        <v>24.057183975081902</v>
      </c>
      <c r="BH858" s="2">
        <v>23.987086153196302</v>
      </c>
      <c r="BI858" s="2">
        <v>23.697652043276801</v>
      </c>
      <c r="BJ858" s="2">
        <v>24.094053049363801</v>
      </c>
      <c r="BK858" s="2">
        <v>22.9235523340047</v>
      </c>
      <c r="BL858" s="2">
        <v>24.0841894197338</v>
      </c>
      <c r="BM858" s="2">
        <v>23.894276823122699</v>
      </c>
      <c r="BN858" s="2">
        <v>22.5868183087657</v>
      </c>
      <c r="BO858" s="2">
        <v>23.874667177052</v>
      </c>
      <c r="BP858" s="2">
        <v>23.960987192243099</v>
      </c>
      <c r="BQ858" s="2">
        <v>23.884861407417901</v>
      </c>
      <c r="BR858" s="2">
        <v>23.976257545415699</v>
      </c>
      <c r="BS858" s="2">
        <v>23.144594250545499</v>
      </c>
      <c r="BT858" s="2">
        <v>23.994603180128099</v>
      </c>
      <c r="BU858" s="2">
        <v>24.038450156895301</v>
      </c>
      <c r="BV858" s="2">
        <v>24.261557721758901</v>
      </c>
      <c r="BW858" s="2">
        <v>23.1830123240047</v>
      </c>
      <c r="BX858" s="2">
        <v>23.638595015400401</v>
      </c>
      <c r="BY858" s="2">
        <v>23.685803297752202</v>
      </c>
      <c r="BZ858" s="2">
        <v>23.932941747211402</v>
      </c>
      <c r="CA858" s="2">
        <v>22.558945041088901</v>
      </c>
      <c r="CB858" s="2">
        <v>24.202163467523398</v>
      </c>
      <c r="CC858" s="2">
        <v>23.904505331487002</v>
      </c>
      <c r="CD858" s="2">
        <v>23.862048986853502</v>
      </c>
      <c r="CE858" s="2">
        <v>23.283659360128599</v>
      </c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</row>
    <row r="859" spans="1:97">
      <c r="A859" s="2" t="s">
        <v>8038</v>
      </c>
      <c r="B859" s="2">
        <v>401.29012999999998</v>
      </c>
      <c r="C859" s="2">
        <v>13.071</v>
      </c>
      <c r="D859" s="2" t="s">
        <v>146</v>
      </c>
      <c r="E859" s="2" t="s">
        <v>8039</v>
      </c>
      <c r="F859" s="2" t="s">
        <v>8040</v>
      </c>
      <c r="G859" s="2">
        <v>51382</v>
      </c>
      <c r="H859" s="3" t="str">
        <f>HYPERLINK("https://cloud.oebiotech.com/#/lm/network/51382", "https://cloud.oebiotech.com/#/lm/network/51382")</f>
        <v>https://cloud.oebiotech.com/#/lm/network/51382</v>
      </c>
      <c r="I859" s="2" t="s">
        <v>8041</v>
      </c>
      <c r="J859" s="2">
        <v>62349</v>
      </c>
      <c r="K859" s="2"/>
      <c r="L859" s="2">
        <v>12178130</v>
      </c>
      <c r="M859" s="2"/>
      <c r="N859" s="2"/>
      <c r="O859" s="2"/>
      <c r="P859" s="2">
        <v>75757</v>
      </c>
      <c r="Q859" s="2"/>
      <c r="R859" s="2"/>
      <c r="S859" s="2" t="s">
        <v>8042</v>
      </c>
      <c r="T859" s="2" t="s">
        <v>8043</v>
      </c>
      <c r="U859" s="2" t="s">
        <v>8044</v>
      </c>
      <c r="V859" s="2" t="s">
        <v>95</v>
      </c>
      <c r="W859" s="2" t="s">
        <v>7709</v>
      </c>
      <c r="X859" s="2" t="s">
        <v>7710</v>
      </c>
      <c r="Y859" s="2" t="s">
        <v>98</v>
      </c>
      <c r="Z859" s="2" t="s">
        <v>7711</v>
      </c>
      <c r="AA859" s="2" t="s">
        <v>7712</v>
      </c>
      <c r="AB859" s="2" t="s">
        <v>3086</v>
      </c>
      <c r="AC859" s="2">
        <v>52.95</v>
      </c>
      <c r="AD859" s="2">
        <v>85.33</v>
      </c>
      <c r="AE859" s="2">
        <v>0</v>
      </c>
      <c r="AF859" s="2" t="s">
        <v>8045</v>
      </c>
      <c r="AG859" s="2" t="s">
        <v>157</v>
      </c>
      <c r="AH859" s="2" t="s">
        <v>8046</v>
      </c>
      <c r="AI859" s="2">
        <v>1.99</v>
      </c>
      <c r="AJ859" s="2">
        <v>17.123516123169999</v>
      </c>
      <c r="AK859" s="2">
        <v>17.254903586667499</v>
      </c>
      <c r="AL859" s="2">
        <v>17.123460046272399</v>
      </c>
      <c r="AM859" s="2">
        <v>17.128331506700999</v>
      </c>
      <c r="AN859" s="2">
        <v>16.6927548338093</v>
      </c>
      <c r="AO859" s="2">
        <v>17.360335982021901</v>
      </c>
      <c r="AP859" s="2">
        <v>17.0879560727723</v>
      </c>
      <c r="AQ859" s="2">
        <v>17.523839188183299</v>
      </c>
      <c r="AR859" s="2">
        <v>16.144624986862301</v>
      </c>
      <c r="AS859" s="2">
        <v>14.7230289337221</v>
      </c>
      <c r="AT859" s="2">
        <v>15.2360885826835</v>
      </c>
      <c r="AU859" s="2">
        <v>16.3662267486669</v>
      </c>
      <c r="AV859" s="2">
        <v>15.1869587893105</v>
      </c>
      <c r="AW859" s="2">
        <v>17.103289652765302</v>
      </c>
      <c r="AX859" s="2">
        <v>16.294997777433299</v>
      </c>
      <c r="AY859" s="2">
        <v>16.309814357075101</v>
      </c>
      <c r="AZ859" s="2">
        <v>16.905883010705001</v>
      </c>
      <c r="BA859" s="2">
        <v>15.8530012438765</v>
      </c>
      <c r="BB859" s="2">
        <v>16.5021056442265</v>
      </c>
      <c r="BC859" s="2">
        <v>16.331924445538402</v>
      </c>
      <c r="BD859" s="2">
        <v>15.885884370865799</v>
      </c>
      <c r="BE859" s="2">
        <v>16.244502463365698</v>
      </c>
      <c r="BF859" s="2">
        <v>16.1488552796412</v>
      </c>
      <c r="BG859" s="2">
        <v>17.713993708373799</v>
      </c>
      <c r="BH859" s="2">
        <v>14.8537174490029</v>
      </c>
      <c r="BI859" s="2">
        <v>16.242317240549401</v>
      </c>
      <c r="BJ859" s="2">
        <v>16.920027481875898</v>
      </c>
      <c r="BK859" s="2">
        <v>16.963501894936901</v>
      </c>
      <c r="BL859" s="2">
        <v>15.170879203288001</v>
      </c>
      <c r="BM859" s="2">
        <v>16.571901188657101</v>
      </c>
      <c r="BN859" s="2">
        <v>17.886660941293901</v>
      </c>
      <c r="BO859" s="2">
        <v>17.977190411997601</v>
      </c>
      <c r="BP859" s="2">
        <v>17.497394140816098</v>
      </c>
      <c r="BQ859" s="2">
        <v>18.9606182286701</v>
      </c>
      <c r="BR859" s="2">
        <v>17.343406868005601</v>
      </c>
      <c r="BS859" s="2">
        <v>17.419406473583098</v>
      </c>
      <c r="BT859" s="2">
        <v>15.6870289662719</v>
      </c>
      <c r="BU859" s="2">
        <v>16.928609165404499</v>
      </c>
      <c r="BV859" s="2">
        <v>17.066372936596199</v>
      </c>
      <c r="BW859" s="2">
        <v>16.521375614497199</v>
      </c>
      <c r="BX859" s="2">
        <v>16.459710966462598</v>
      </c>
      <c r="BY859" s="2">
        <v>17.296266406988099</v>
      </c>
      <c r="BZ859" s="2">
        <v>17.385468618122498</v>
      </c>
      <c r="CA859" s="2">
        <v>17.144248364273601</v>
      </c>
      <c r="CB859" s="2">
        <v>17.746835293999499</v>
      </c>
      <c r="CC859" s="2">
        <v>16.710410951076501</v>
      </c>
      <c r="CD859" s="2">
        <v>18.453639830387399</v>
      </c>
      <c r="CE859" s="2">
        <v>15.996133386078199</v>
      </c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</row>
    <row r="860" spans="1:97">
      <c r="A860" s="2" t="s">
        <v>8047</v>
      </c>
      <c r="B860" s="2">
        <v>299.22206999999997</v>
      </c>
      <c r="C860" s="2">
        <v>10.507999999999999</v>
      </c>
      <c r="D860" s="2" t="s">
        <v>146</v>
      </c>
      <c r="E860" s="2" t="s">
        <v>8048</v>
      </c>
      <c r="F860" s="2" t="s">
        <v>8049</v>
      </c>
      <c r="G860" s="2">
        <v>2838</v>
      </c>
      <c r="H860" s="3" t="str">
        <f>HYPERLINK("https://cloud.oebiotech.com/#/lm/network/2838", "https://cloud.oebiotech.com/#/lm/network/2838")</f>
        <v>https://cloud.oebiotech.com/#/lm/network/2838</v>
      </c>
      <c r="I860" s="2"/>
      <c r="J860" s="2">
        <v>74911</v>
      </c>
      <c r="K860" s="2" t="s">
        <v>8050</v>
      </c>
      <c r="L860" s="2">
        <v>9543663</v>
      </c>
      <c r="M860" s="2"/>
      <c r="N860" s="2"/>
      <c r="O860" s="2"/>
      <c r="P860" s="2"/>
      <c r="Q860" s="2"/>
      <c r="R860" s="2"/>
      <c r="S860" s="2"/>
      <c r="T860" s="2" t="s">
        <v>8051</v>
      </c>
      <c r="U860" s="2" t="s">
        <v>8052</v>
      </c>
      <c r="V860" s="2" t="s">
        <v>95</v>
      </c>
      <c r="W860" s="2" t="s">
        <v>96</v>
      </c>
      <c r="X860" s="2" t="s">
        <v>141</v>
      </c>
      <c r="Y860" s="2" t="s">
        <v>98</v>
      </c>
      <c r="Z860" s="2" t="s">
        <v>99</v>
      </c>
      <c r="AA860" s="2" t="s">
        <v>142</v>
      </c>
      <c r="AB860" s="2" t="s">
        <v>3086</v>
      </c>
      <c r="AC860" s="2">
        <v>52.93</v>
      </c>
      <c r="AD860" s="2">
        <v>89.56</v>
      </c>
      <c r="AE860" s="2">
        <v>0</v>
      </c>
      <c r="AF860" s="2" t="s">
        <v>5614</v>
      </c>
      <c r="AG860" s="2" t="s">
        <v>194</v>
      </c>
      <c r="AH860" s="2" t="s">
        <v>8053</v>
      </c>
      <c r="AI860" s="2">
        <v>2.34</v>
      </c>
      <c r="AJ860" s="2">
        <v>19.3617777816286</v>
      </c>
      <c r="AK860" s="2">
        <v>18.962178680750299</v>
      </c>
      <c r="AL860" s="2">
        <v>18.966014956538402</v>
      </c>
      <c r="AM860" s="2">
        <v>18.800659074741901</v>
      </c>
      <c r="AN860" s="2">
        <v>19.0337852860489</v>
      </c>
      <c r="AO860" s="2">
        <v>19.2769954675273</v>
      </c>
      <c r="AP860" s="2">
        <v>18.9206164914279</v>
      </c>
      <c r="AQ860" s="2">
        <v>18.674042404995099</v>
      </c>
      <c r="AR860" s="2">
        <v>20.001426131753</v>
      </c>
      <c r="AS860" s="2">
        <v>18.429560065485202</v>
      </c>
      <c r="AT860" s="2">
        <v>18.6832744132724</v>
      </c>
      <c r="AU860" s="2">
        <v>18.1601139790342</v>
      </c>
      <c r="AV860" s="2">
        <v>19.1270146959431</v>
      </c>
      <c r="AW860" s="2">
        <v>19.009250545701502</v>
      </c>
      <c r="AX860" s="2">
        <v>18.447394640266701</v>
      </c>
      <c r="AY860" s="2">
        <v>19.700966073176701</v>
      </c>
      <c r="AZ860" s="2">
        <v>18.361180848791001</v>
      </c>
      <c r="BA860" s="2">
        <v>18.7157882902948</v>
      </c>
      <c r="BB860" s="2">
        <v>18.0031911078325</v>
      </c>
      <c r="BC860" s="2">
        <v>18.995429559291999</v>
      </c>
      <c r="BD860" s="2">
        <v>19.150738899254002</v>
      </c>
      <c r="BE860" s="2">
        <v>19.545922776490901</v>
      </c>
      <c r="BF860" s="2">
        <v>18.244281692529601</v>
      </c>
      <c r="BG860" s="2">
        <v>18.181994427717999</v>
      </c>
      <c r="BH860" s="2">
        <v>19.1986573772983</v>
      </c>
      <c r="BI860" s="2">
        <v>18.977482603755899</v>
      </c>
      <c r="BJ860" s="2">
        <v>19.5132686823307</v>
      </c>
      <c r="BK860" s="2">
        <v>19.676955822061402</v>
      </c>
      <c r="BL860" s="2">
        <v>18.6721297572822</v>
      </c>
      <c r="BM860" s="2">
        <v>18.476479589193801</v>
      </c>
      <c r="BN860" s="2">
        <v>19.363749908406199</v>
      </c>
      <c r="BO860" s="2">
        <v>18.368190206400399</v>
      </c>
      <c r="BP860" s="2">
        <v>18.173436618289699</v>
      </c>
      <c r="BQ860" s="2">
        <v>19.0422040480757</v>
      </c>
      <c r="BR860" s="2">
        <v>18.498227061279799</v>
      </c>
      <c r="BS860" s="2">
        <v>19.862728198070499</v>
      </c>
      <c r="BT860" s="2">
        <v>18.599887206119</v>
      </c>
      <c r="BU860" s="2">
        <v>19.424064464285799</v>
      </c>
      <c r="BV860" s="2">
        <v>18.723543963312899</v>
      </c>
      <c r="BW860" s="2">
        <v>18.979670134366</v>
      </c>
      <c r="BX860" s="2">
        <v>18.783624601567201</v>
      </c>
      <c r="BY860" s="2">
        <v>19.362485406401301</v>
      </c>
      <c r="BZ860" s="2">
        <v>18.449094788399201</v>
      </c>
      <c r="CA860" s="2">
        <v>18.579350192340499</v>
      </c>
      <c r="CB860" s="2">
        <v>18.960925529046001</v>
      </c>
      <c r="CC860" s="2">
        <v>18.7768931188515</v>
      </c>
      <c r="CD860" s="2">
        <v>19.640356000567198</v>
      </c>
      <c r="CE860" s="2">
        <v>19.046153401462099</v>
      </c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</row>
    <row r="861" spans="1:97">
      <c r="A861" s="2" t="s">
        <v>8054</v>
      </c>
      <c r="B861" s="2">
        <v>195.11292</v>
      </c>
      <c r="C861" s="2">
        <v>4.8689999999999998</v>
      </c>
      <c r="D861" s="2" t="s">
        <v>84</v>
      </c>
      <c r="E861" s="2" t="s">
        <v>8055</v>
      </c>
      <c r="F861" s="2" t="s">
        <v>8056</v>
      </c>
      <c r="G861" s="2">
        <v>57706</v>
      </c>
      <c r="H861" s="3" t="str">
        <f>HYPERLINK("https://cloud.oebiotech.com/#/lm/network/57706", "https://cloud.oebiotech.com/#/lm/network/57706")</f>
        <v>https://cloud.oebiotech.com/#/lm/network/57706</v>
      </c>
      <c r="I861" s="2" t="s">
        <v>8057</v>
      </c>
      <c r="J861" s="2"/>
      <c r="K861" s="2"/>
      <c r="L861" s="2">
        <v>12300211</v>
      </c>
      <c r="M861" s="2"/>
      <c r="N861" s="2"/>
      <c r="O861" s="2"/>
      <c r="P861" s="2"/>
      <c r="Q861" s="2"/>
      <c r="R861" s="2"/>
      <c r="S861" s="2" t="s">
        <v>8058</v>
      </c>
      <c r="T861" s="2" t="s">
        <v>8059</v>
      </c>
      <c r="U861" s="2" t="s">
        <v>8060</v>
      </c>
      <c r="V861" s="2" t="s">
        <v>553</v>
      </c>
      <c r="W861" s="2" t="s">
        <v>2447</v>
      </c>
      <c r="X861" s="2" t="s">
        <v>2448</v>
      </c>
      <c r="Y861" s="2" t="s">
        <v>556</v>
      </c>
      <c r="Z861" s="2" t="s">
        <v>2449</v>
      </c>
      <c r="AA861" s="2" t="s">
        <v>2450</v>
      </c>
      <c r="AB861" s="2" t="s">
        <v>3086</v>
      </c>
      <c r="AC861" s="2">
        <v>52.93</v>
      </c>
      <c r="AD861" s="2">
        <v>93.71</v>
      </c>
      <c r="AE861" s="2">
        <v>0</v>
      </c>
      <c r="AF861" s="2" t="s">
        <v>5614</v>
      </c>
      <c r="AG861" s="2" t="s">
        <v>132</v>
      </c>
      <c r="AH861" s="2" t="s">
        <v>7399</v>
      </c>
      <c r="AI861" s="2">
        <v>-0.51</v>
      </c>
      <c r="AJ861" s="2">
        <v>20.7417713698818</v>
      </c>
      <c r="AK861" s="2">
        <v>21.038570556981099</v>
      </c>
      <c r="AL861" s="2">
        <v>21.0000521166812</v>
      </c>
      <c r="AM861" s="2">
        <v>20.772742974729201</v>
      </c>
      <c r="AN861" s="2">
        <v>20.823994165099698</v>
      </c>
      <c r="AO861" s="2">
        <v>20.7985878057173</v>
      </c>
      <c r="AP861" s="2">
        <v>20.4491421249989</v>
      </c>
      <c r="AQ861" s="2">
        <v>20.0603710079954</v>
      </c>
      <c r="AR861" s="2">
        <v>20.857118936119001</v>
      </c>
      <c r="AS861" s="2">
        <v>20.724003709394001</v>
      </c>
      <c r="AT861" s="2">
        <v>20.983954656280901</v>
      </c>
      <c r="AU861" s="2">
        <v>21.090785708068701</v>
      </c>
      <c r="AV861" s="2">
        <v>20.288574312642499</v>
      </c>
      <c r="AW861" s="2">
        <v>21.104116018799498</v>
      </c>
      <c r="AX861" s="2">
        <v>20.125975866715599</v>
      </c>
      <c r="AY861" s="2">
        <v>20.9613283163091</v>
      </c>
      <c r="AZ861" s="2">
        <v>20.979677808971498</v>
      </c>
      <c r="BA861" s="2">
        <v>20.963011188831899</v>
      </c>
      <c r="BB861" s="2">
        <v>20.954398276225199</v>
      </c>
      <c r="BC861" s="2">
        <v>20.989509568957299</v>
      </c>
      <c r="BD861" s="2">
        <v>21.156965197543499</v>
      </c>
      <c r="BE861" s="2">
        <v>20.983121530855399</v>
      </c>
      <c r="BF861" s="2">
        <v>20.835697667585102</v>
      </c>
      <c r="BG861" s="2">
        <v>21.0883741116183</v>
      </c>
      <c r="BH861" s="2">
        <v>21.030531582242599</v>
      </c>
      <c r="BI861" s="2">
        <v>20.9656438263907</v>
      </c>
      <c r="BJ861" s="2">
        <v>21.043579719916501</v>
      </c>
      <c r="BK861" s="2">
        <v>21.0024670993024</v>
      </c>
      <c r="BL861" s="2">
        <v>20.922946449360001</v>
      </c>
      <c r="BM861" s="2">
        <v>20.5237636743135</v>
      </c>
      <c r="BN861" s="2">
        <v>21.144757365219</v>
      </c>
      <c r="BO861" s="2">
        <v>21.090357550746901</v>
      </c>
      <c r="BP861" s="2">
        <v>21.089074728198501</v>
      </c>
      <c r="BQ861" s="2">
        <v>21.0359037998636</v>
      </c>
      <c r="BR861" s="2">
        <v>21.020505987236302</v>
      </c>
      <c r="BS861" s="2">
        <v>21.076483884644201</v>
      </c>
      <c r="BT861" s="2">
        <v>20.937044308245799</v>
      </c>
      <c r="BU861" s="2">
        <v>21.021405910229401</v>
      </c>
      <c r="BV861" s="2">
        <v>21.0413262147541</v>
      </c>
      <c r="BW861" s="2">
        <v>20.107596951073301</v>
      </c>
      <c r="BX861" s="2">
        <v>20.9754091611935</v>
      </c>
      <c r="BY861" s="2">
        <v>20.978669832748199</v>
      </c>
      <c r="BZ861" s="2">
        <v>21.002386499460201</v>
      </c>
      <c r="CA861" s="2">
        <v>20.530878497218101</v>
      </c>
      <c r="CB861" s="2">
        <v>20.992171812820899</v>
      </c>
      <c r="CC861" s="2">
        <v>20.0653636310116</v>
      </c>
      <c r="CD861" s="2">
        <v>20.818354515100101</v>
      </c>
      <c r="CE861" s="2">
        <v>20.336803745524801</v>
      </c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</row>
    <row r="862" spans="1:97">
      <c r="A862" s="2" t="s">
        <v>8061</v>
      </c>
      <c r="B862" s="2">
        <v>349.27310999999997</v>
      </c>
      <c r="C862" s="2">
        <v>11.436</v>
      </c>
      <c r="D862" s="2" t="s">
        <v>84</v>
      </c>
      <c r="E862" s="2" t="s">
        <v>8062</v>
      </c>
      <c r="F862" s="2" t="s">
        <v>8063</v>
      </c>
      <c r="G862" s="2">
        <v>267531</v>
      </c>
      <c r="H862" s="3" t="str">
        <f>HYPERLINK("https://cloud.oebiotech.com/#/lm/network/267531", "https://cloud.oebiotech.com/#/lm/network/267531")</f>
        <v>https://cloud.oebiotech.com/#/lm/network/267531</v>
      </c>
      <c r="I862" s="2"/>
      <c r="J862" s="2">
        <v>45632</v>
      </c>
      <c r="K862" s="2"/>
      <c r="L862" s="2">
        <v>5311387</v>
      </c>
      <c r="M862" s="2"/>
      <c r="N862" s="2"/>
      <c r="O862" s="2"/>
      <c r="P862" s="2"/>
      <c r="Q862" s="2"/>
      <c r="R862" s="2"/>
      <c r="S862" s="2" t="s">
        <v>8064</v>
      </c>
      <c r="T862" s="2" t="s">
        <v>8065</v>
      </c>
      <c r="U862" s="2" t="s">
        <v>8066</v>
      </c>
      <c r="V862" s="2" t="s">
        <v>95</v>
      </c>
      <c r="W862" s="2" t="s">
        <v>96</v>
      </c>
      <c r="X862" s="2" t="s">
        <v>141</v>
      </c>
      <c r="Y862" s="2" t="s">
        <v>98</v>
      </c>
      <c r="Z862" s="2" t="s">
        <v>99</v>
      </c>
      <c r="AA862" s="2" t="s">
        <v>142</v>
      </c>
      <c r="AB862" s="2" t="s">
        <v>3086</v>
      </c>
      <c r="AC862" s="2">
        <v>52.93</v>
      </c>
      <c r="AD862" s="2">
        <v>85.98</v>
      </c>
      <c r="AE862" s="2">
        <v>0</v>
      </c>
      <c r="AF862" s="2" t="s">
        <v>5614</v>
      </c>
      <c r="AG862" s="2" t="s">
        <v>103</v>
      </c>
      <c r="AH862" s="2" t="s">
        <v>7641</v>
      </c>
      <c r="AI862" s="2">
        <v>1.72</v>
      </c>
      <c r="AJ862" s="2">
        <v>18.986587173609699</v>
      </c>
      <c r="AK862" s="2">
        <v>18.537034911871601</v>
      </c>
      <c r="AL862" s="2">
        <v>18.290745340947598</v>
      </c>
      <c r="AM862" s="2">
        <v>18.226303006191898</v>
      </c>
      <c r="AN862" s="2">
        <v>17.978571211850699</v>
      </c>
      <c r="AO862" s="2">
        <v>18.153820226221502</v>
      </c>
      <c r="AP862" s="2">
        <v>18.065254396753399</v>
      </c>
      <c r="AQ862" s="2">
        <v>18.525067716478599</v>
      </c>
      <c r="AR862" s="2">
        <v>17.075346690230901</v>
      </c>
      <c r="AS862" s="2">
        <v>17.1440034371278</v>
      </c>
      <c r="AT862" s="2">
        <v>17.685673084783499</v>
      </c>
      <c r="AU862" s="2">
        <v>17.590717223996499</v>
      </c>
      <c r="AV862" s="2">
        <v>18.3268250609616</v>
      </c>
      <c r="AW862" s="2">
        <v>18.476100682889701</v>
      </c>
      <c r="AX862" s="2">
        <v>16.708506139505499</v>
      </c>
      <c r="AY862" s="2">
        <v>19.638617130425398</v>
      </c>
      <c r="AZ862" s="2">
        <v>19.408674424681699</v>
      </c>
      <c r="BA862" s="2">
        <v>17.3643427867915</v>
      </c>
      <c r="BB862" s="2">
        <v>17.634541866596098</v>
      </c>
      <c r="BC862" s="2">
        <v>18.453246154229099</v>
      </c>
      <c r="BD862" s="2">
        <v>17.477389736500001</v>
      </c>
      <c r="BE862" s="2">
        <v>19.730226866875402</v>
      </c>
      <c r="BF862" s="2">
        <v>17.219110462014001</v>
      </c>
      <c r="BG862" s="2">
        <v>18.2668392355741</v>
      </c>
      <c r="BH862" s="2">
        <v>17.4298869278668</v>
      </c>
      <c r="BI862" s="2">
        <v>18.346961562566701</v>
      </c>
      <c r="BJ862" s="2">
        <v>18.790677649105</v>
      </c>
      <c r="BK862" s="2">
        <v>16.990063400788401</v>
      </c>
      <c r="BL862" s="2">
        <v>18.207848251606901</v>
      </c>
      <c r="BM862" s="2">
        <v>18.683427192950798</v>
      </c>
      <c r="BN862" s="2">
        <v>17.9321252267886</v>
      </c>
      <c r="BO862" s="2">
        <v>18.4167511893863</v>
      </c>
      <c r="BP862" s="2">
        <v>18.2262306966891</v>
      </c>
      <c r="BQ862" s="2">
        <v>18.194205698429101</v>
      </c>
      <c r="BR862" s="2">
        <v>17.809124184870001</v>
      </c>
      <c r="BS862" s="2">
        <v>18.8164393360669</v>
      </c>
      <c r="BT862" s="2">
        <v>18.692934461126001</v>
      </c>
      <c r="BU862" s="2">
        <v>18.3367517911961</v>
      </c>
      <c r="BV862" s="2">
        <v>17.6979954739557</v>
      </c>
      <c r="BW862" s="2">
        <v>17.702593292834699</v>
      </c>
      <c r="BX862" s="2">
        <v>18.041129239888502</v>
      </c>
      <c r="BY862" s="2">
        <v>19.877879575931001</v>
      </c>
      <c r="BZ862" s="2">
        <v>17.220760907079299</v>
      </c>
      <c r="CA862" s="2">
        <v>17.568925223903001</v>
      </c>
      <c r="CB862" s="2">
        <v>16.866817687137299</v>
      </c>
      <c r="CC862" s="2">
        <v>17.8903905215656</v>
      </c>
      <c r="CD862" s="2">
        <v>18.657931527501301</v>
      </c>
      <c r="CE862" s="2">
        <v>17.852430023217</v>
      </c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</row>
    <row r="863" spans="1:97">
      <c r="A863" s="2" t="s">
        <v>8067</v>
      </c>
      <c r="B863" s="2">
        <v>398.32592</v>
      </c>
      <c r="C863" s="2">
        <v>9.9169999999999998</v>
      </c>
      <c r="D863" s="2" t="s">
        <v>84</v>
      </c>
      <c r="E863" s="2" t="s">
        <v>8068</v>
      </c>
      <c r="F863" s="2" t="s">
        <v>8069</v>
      </c>
      <c r="G863" s="2">
        <v>198015</v>
      </c>
      <c r="H863" s="3" t="str">
        <f>HYPERLINK("https://cloud.oebiotech.com/#/lm/network/198015", "https://cloud.oebiotech.com/#/lm/network/198015")</f>
        <v>https://cloud.oebiotech.com/#/lm/network/198015</v>
      </c>
      <c r="I863" s="2" t="s">
        <v>8070</v>
      </c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 t="s">
        <v>8071</v>
      </c>
      <c r="U863" s="2" t="s">
        <v>8072</v>
      </c>
      <c r="V863" s="2" t="s">
        <v>95</v>
      </c>
      <c r="W863" s="2" t="s">
        <v>96</v>
      </c>
      <c r="X863" s="2" t="s">
        <v>97</v>
      </c>
      <c r="Y863" s="2" t="s">
        <v>98</v>
      </c>
      <c r="Z863" s="2" t="s">
        <v>99</v>
      </c>
      <c r="AA863" s="2" t="s">
        <v>100</v>
      </c>
      <c r="AB863" s="2" t="s">
        <v>3086</v>
      </c>
      <c r="AC863" s="2">
        <v>52.93</v>
      </c>
      <c r="AD863" s="2">
        <v>84.49</v>
      </c>
      <c r="AE863" s="2">
        <v>0</v>
      </c>
      <c r="AF863" s="2" t="s">
        <v>5614</v>
      </c>
      <c r="AG863" s="2" t="s">
        <v>103</v>
      </c>
      <c r="AH863" s="2" t="s">
        <v>8073</v>
      </c>
      <c r="AI863" s="2">
        <v>1.51</v>
      </c>
      <c r="AJ863" s="2">
        <v>18.0470159381847</v>
      </c>
      <c r="AK863" s="2">
        <v>17.5488529825281</v>
      </c>
      <c r="AL863" s="2">
        <v>17.933626749651399</v>
      </c>
      <c r="AM863" s="2">
        <v>17.874018665689</v>
      </c>
      <c r="AN863" s="2">
        <v>17.867445201416199</v>
      </c>
      <c r="AO863" s="2">
        <v>17.720477544250802</v>
      </c>
      <c r="AP863" s="2">
        <v>17.909856469951102</v>
      </c>
      <c r="AQ863" s="2">
        <v>17.894438854562299</v>
      </c>
      <c r="AR863" s="2">
        <v>16.2745788978369</v>
      </c>
      <c r="AS863" s="2">
        <v>15.952570180872</v>
      </c>
      <c r="AT863" s="2">
        <v>18.485850490898699</v>
      </c>
      <c r="AU863" s="2">
        <v>17.137518833251601</v>
      </c>
      <c r="AV863" s="2">
        <v>16.106280344097499</v>
      </c>
      <c r="AW863" s="2">
        <v>17.268252313785101</v>
      </c>
      <c r="AX863" s="2">
        <v>17.325369495750099</v>
      </c>
      <c r="AY863" s="2">
        <v>17.1881937734952</v>
      </c>
      <c r="AZ863" s="2">
        <v>14.438661271334199</v>
      </c>
      <c r="BA863" s="2">
        <v>17.345417895194501</v>
      </c>
      <c r="BB863" s="2">
        <v>17.721967693209901</v>
      </c>
      <c r="BC863" s="2">
        <v>18.902423313046199</v>
      </c>
      <c r="BD863" s="2">
        <v>16.137298180613701</v>
      </c>
      <c r="BE863" s="2">
        <v>17.6245589513256</v>
      </c>
      <c r="BF863" s="2">
        <v>18.1218835453442</v>
      </c>
      <c r="BG863" s="2">
        <v>17.9305380594007</v>
      </c>
      <c r="BH863" s="2">
        <v>16.8897436242416</v>
      </c>
      <c r="BI863" s="2">
        <v>19.299024807384299</v>
      </c>
      <c r="BJ863" s="2">
        <v>18.233468764044002</v>
      </c>
      <c r="BK863" s="2">
        <v>15.7562380918644</v>
      </c>
      <c r="BL863" s="2">
        <v>18.457629486222299</v>
      </c>
      <c r="BM863" s="2">
        <v>16.709427962856299</v>
      </c>
      <c r="BN863" s="2">
        <v>17.9585292102756</v>
      </c>
      <c r="BO863" s="2">
        <v>18.591507883316801</v>
      </c>
      <c r="BP863" s="2">
        <v>17.983215915873799</v>
      </c>
      <c r="BQ863" s="2">
        <v>18.1966599453485</v>
      </c>
      <c r="BR863" s="2">
        <v>17.382327318258699</v>
      </c>
      <c r="BS863" s="2">
        <v>17.0781043047601</v>
      </c>
      <c r="BT863" s="2">
        <v>17.2169040231541</v>
      </c>
      <c r="BU863" s="2">
        <v>18.138494353838801</v>
      </c>
      <c r="BV863" s="2">
        <v>17.378657160861199</v>
      </c>
      <c r="BW863" s="2">
        <v>17.739629793856299</v>
      </c>
      <c r="BX863" s="2">
        <v>17.075322453466999</v>
      </c>
      <c r="BY863" s="2">
        <v>17.049181169921798</v>
      </c>
      <c r="BZ863" s="2">
        <v>17.8518201546533</v>
      </c>
      <c r="CA863" s="2">
        <v>18.101529733868901</v>
      </c>
      <c r="CB863" s="2">
        <v>17.308642818862602</v>
      </c>
      <c r="CC863" s="2">
        <v>18.229810249473701</v>
      </c>
      <c r="CD863" s="2">
        <v>16.927865790320102</v>
      </c>
      <c r="CE863" s="2">
        <v>17.9928814820301</v>
      </c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</row>
    <row r="864" spans="1:97">
      <c r="A864" s="2" t="s">
        <v>8074</v>
      </c>
      <c r="B864" s="2">
        <v>248.16404</v>
      </c>
      <c r="C864" s="2">
        <v>10.664</v>
      </c>
      <c r="D864" s="2" t="s">
        <v>84</v>
      </c>
      <c r="E864" s="2" t="s">
        <v>8075</v>
      </c>
      <c r="F864" s="2" t="s">
        <v>8076</v>
      </c>
      <c r="G864" s="2">
        <v>205626</v>
      </c>
      <c r="H864" s="3" t="str">
        <f>HYPERLINK("https://cloud.oebiotech.com/#/lm/network/205626", "https://cloud.oebiotech.com/#/lm/network/205626")</f>
        <v>https://cloud.oebiotech.com/#/lm/network/205626</v>
      </c>
      <c r="I864" s="2" t="s">
        <v>8077</v>
      </c>
      <c r="J864" s="2"/>
      <c r="K864" s="2"/>
      <c r="L864" s="2">
        <v>4426320</v>
      </c>
      <c r="M864" s="2"/>
      <c r="N864" s="2"/>
      <c r="O864" s="2"/>
      <c r="P864" s="2"/>
      <c r="Q864" s="2"/>
      <c r="R864" s="2"/>
      <c r="S864" s="2"/>
      <c r="T864" s="2" t="s">
        <v>8078</v>
      </c>
      <c r="U864" s="2" t="s">
        <v>8079</v>
      </c>
      <c r="V864" s="2" t="s">
        <v>95</v>
      </c>
      <c r="W864" s="2" t="s">
        <v>180</v>
      </c>
      <c r="X864" s="2" t="s">
        <v>2949</v>
      </c>
      <c r="Y864" s="2" t="s">
        <v>98</v>
      </c>
      <c r="Z864" s="2" t="s">
        <v>182</v>
      </c>
      <c r="AA864" s="2" t="s">
        <v>2950</v>
      </c>
      <c r="AB864" s="2" t="s">
        <v>3086</v>
      </c>
      <c r="AC864" s="2">
        <v>52.89</v>
      </c>
      <c r="AD864" s="2">
        <v>90.39</v>
      </c>
      <c r="AE864" s="2">
        <v>0</v>
      </c>
      <c r="AF864" s="2" t="s">
        <v>5614</v>
      </c>
      <c r="AG864" s="2" t="s">
        <v>132</v>
      </c>
      <c r="AH864" s="2" t="s">
        <v>8080</v>
      </c>
      <c r="AI864" s="2">
        <v>2.0099999999999998</v>
      </c>
      <c r="AJ864" s="2">
        <v>19.640947246465799</v>
      </c>
      <c r="AK864" s="2">
        <v>19.653120107521001</v>
      </c>
      <c r="AL864" s="2">
        <v>19.618002454222999</v>
      </c>
      <c r="AM864" s="2">
        <v>19.743998973047901</v>
      </c>
      <c r="AN864" s="2">
        <v>19.890601775353201</v>
      </c>
      <c r="AO864" s="2">
        <v>20.0094046333123</v>
      </c>
      <c r="AP864" s="2">
        <v>19.774874356170301</v>
      </c>
      <c r="AQ864" s="2">
        <v>19.697402465675601</v>
      </c>
      <c r="AR864" s="2">
        <v>20.064832635722901</v>
      </c>
      <c r="AS864" s="2">
        <v>18.718089758572301</v>
      </c>
      <c r="AT864" s="2">
        <v>19.438420603012801</v>
      </c>
      <c r="AU864" s="2">
        <v>19.4206571900149</v>
      </c>
      <c r="AV864" s="2">
        <v>19.122520585731198</v>
      </c>
      <c r="AW864" s="2">
        <v>19.472363556836399</v>
      </c>
      <c r="AX864" s="2">
        <v>19.332403882024501</v>
      </c>
      <c r="AY864" s="2">
        <v>19.330655686276199</v>
      </c>
      <c r="AZ864" s="2">
        <v>19.943005540233301</v>
      </c>
      <c r="BA864" s="2">
        <v>17.114455484078299</v>
      </c>
      <c r="BB864" s="2">
        <v>19.358477703772699</v>
      </c>
      <c r="BC864" s="2">
        <v>20.318600101623701</v>
      </c>
      <c r="BD864" s="2">
        <v>18.6382579278207</v>
      </c>
      <c r="BE864" s="2">
        <v>20.268018625975699</v>
      </c>
      <c r="BF864" s="2">
        <v>19.390938093030599</v>
      </c>
      <c r="BG864" s="2">
        <v>20.088371711041301</v>
      </c>
      <c r="BH864" s="2">
        <v>18.982397600385301</v>
      </c>
      <c r="BI864" s="2">
        <v>19.806218658047701</v>
      </c>
      <c r="BJ864" s="2">
        <v>19.693279660010202</v>
      </c>
      <c r="BK864" s="2">
        <v>19.313676274336501</v>
      </c>
      <c r="BL864" s="2">
        <v>19.641992709120501</v>
      </c>
      <c r="BM864" s="2">
        <v>19.0766634297837</v>
      </c>
      <c r="BN864" s="2">
        <v>19.4574632652463</v>
      </c>
      <c r="BO864" s="2">
        <v>19.758182623390301</v>
      </c>
      <c r="BP864" s="2">
        <v>19.574994148475302</v>
      </c>
      <c r="BQ864" s="2">
        <v>19.3713432816233</v>
      </c>
      <c r="BR864" s="2">
        <v>19.9513330857671</v>
      </c>
      <c r="BS864" s="2">
        <v>20.115864646010898</v>
      </c>
      <c r="BT864" s="2">
        <v>19.761625975912001</v>
      </c>
      <c r="BU864" s="2">
        <v>19.289967374563101</v>
      </c>
      <c r="BV864" s="2">
        <v>19.059587581395899</v>
      </c>
      <c r="BW864" s="2">
        <v>18.503651150278699</v>
      </c>
      <c r="BX864" s="2">
        <v>19.2907275924651</v>
      </c>
      <c r="BY864" s="2">
        <v>20.992650855526701</v>
      </c>
      <c r="BZ864" s="2">
        <v>19.555229750554499</v>
      </c>
      <c r="CA864" s="2">
        <v>20.092715028671101</v>
      </c>
      <c r="CB864" s="2">
        <v>19.2855368691731</v>
      </c>
      <c r="CC864" s="2">
        <v>17.4916665639653</v>
      </c>
      <c r="CD864" s="2">
        <v>20.222866818895199</v>
      </c>
      <c r="CE864" s="2">
        <v>18.352999208487301</v>
      </c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</row>
    <row r="865" spans="1:97">
      <c r="A865" s="2" t="s">
        <v>8081</v>
      </c>
      <c r="B865" s="2">
        <v>150.00147999999999</v>
      </c>
      <c r="C865" s="2">
        <v>5.49</v>
      </c>
      <c r="D865" s="2" t="s">
        <v>146</v>
      </c>
      <c r="E865" s="2" t="s">
        <v>8082</v>
      </c>
      <c r="F865" s="2" t="s">
        <v>8083</v>
      </c>
      <c r="G865" s="2">
        <v>212410</v>
      </c>
      <c r="H865" s="3" t="str">
        <f>HYPERLINK("https://cloud.oebiotech.com/#/lm/network/212410", "https://cloud.oebiotech.com/#/lm/network/212410")</f>
        <v>https://cloud.oebiotech.com/#/lm/network/212410</v>
      </c>
      <c r="I865" s="2" t="s">
        <v>8084</v>
      </c>
      <c r="J865" s="2"/>
      <c r="K865" s="2"/>
      <c r="L865" s="2">
        <v>12395107</v>
      </c>
      <c r="M865" s="2"/>
      <c r="N865" s="2"/>
      <c r="O865" s="2"/>
      <c r="P865" s="2"/>
      <c r="Q865" s="2"/>
      <c r="R865" s="2"/>
      <c r="S865" s="2"/>
      <c r="T865" s="2" t="s">
        <v>8085</v>
      </c>
      <c r="U865" s="2" t="s">
        <v>8086</v>
      </c>
      <c r="V865" s="2" t="s">
        <v>553</v>
      </c>
      <c r="W865" s="2" t="s">
        <v>8087</v>
      </c>
      <c r="X865" s="2" t="s">
        <v>375</v>
      </c>
      <c r="Y865" s="2" t="s">
        <v>556</v>
      </c>
      <c r="Z865" s="2" t="s">
        <v>8088</v>
      </c>
      <c r="AA865" s="2"/>
      <c r="AB865" s="2" t="s">
        <v>5118</v>
      </c>
      <c r="AC865" s="2">
        <v>52.89</v>
      </c>
      <c r="AD865" s="2">
        <v>98.2</v>
      </c>
      <c r="AE865" s="2">
        <v>52.02</v>
      </c>
      <c r="AF865" s="2" t="s">
        <v>8089</v>
      </c>
      <c r="AG865" s="2" t="s">
        <v>194</v>
      </c>
      <c r="AH865" s="2" t="s">
        <v>8090</v>
      </c>
      <c r="AI865" s="2">
        <v>2.67</v>
      </c>
      <c r="AJ865" s="2">
        <v>23.125068910738499</v>
      </c>
      <c r="AK865" s="2">
        <v>23.090650407199501</v>
      </c>
      <c r="AL865" s="2">
        <v>23.013181647135902</v>
      </c>
      <c r="AM865" s="2">
        <v>23.1990399944921</v>
      </c>
      <c r="AN865" s="2">
        <v>23.161333492813</v>
      </c>
      <c r="AO865" s="2">
        <v>23.173981419648101</v>
      </c>
      <c r="AP865" s="2">
        <v>23.061380249493698</v>
      </c>
      <c r="AQ865" s="2">
        <v>23.1214334630221</v>
      </c>
      <c r="AR865" s="2">
        <v>22.8868674814609</v>
      </c>
      <c r="AS865" s="2">
        <v>23.097552146135701</v>
      </c>
      <c r="AT865" s="2">
        <v>23.1638490337664</v>
      </c>
      <c r="AU865" s="2">
        <v>22.8765768096881</v>
      </c>
      <c r="AV865" s="2">
        <v>23.038654709337202</v>
      </c>
      <c r="AW865" s="2">
        <v>23.263010703563399</v>
      </c>
      <c r="AX865" s="2">
        <v>23.003067933048001</v>
      </c>
      <c r="AY865" s="2">
        <v>23.066579999454198</v>
      </c>
      <c r="AZ865" s="2">
        <v>23.039151484614599</v>
      </c>
      <c r="BA865" s="2">
        <v>23.055315925850099</v>
      </c>
      <c r="BB865" s="2">
        <v>23.1754311278229</v>
      </c>
      <c r="BC865" s="2">
        <v>22.981575723324401</v>
      </c>
      <c r="BD865" s="2">
        <v>22.987131569361999</v>
      </c>
      <c r="BE865" s="2">
        <v>23.0534994809945</v>
      </c>
      <c r="BF865" s="2">
        <v>22.990224297369199</v>
      </c>
      <c r="BG865" s="2">
        <v>23.172487903730001</v>
      </c>
      <c r="BH865" s="2">
        <v>23.036807066095101</v>
      </c>
      <c r="BI865" s="2">
        <v>22.963328324709799</v>
      </c>
      <c r="BJ865" s="2">
        <v>23.094760169701601</v>
      </c>
      <c r="BK865" s="2">
        <v>22.967169598081998</v>
      </c>
      <c r="BL865" s="2">
        <v>23.067526952705901</v>
      </c>
      <c r="BM865" s="2">
        <v>22.832347726391301</v>
      </c>
      <c r="BN865" s="2">
        <v>23.0266176997842</v>
      </c>
      <c r="BO865" s="2">
        <v>23.133092709363801</v>
      </c>
      <c r="BP865" s="2">
        <v>22.920967258414301</v>
      </c>
      <c r="BQ865" s="2">
        <v>22.937030232308899</v>
      </c>
      <c r="BR865" s="2">
        <v>22.925880151804702</v>
      </c>
      <c r="BS865" s="2">
        <v>23.035666965154601</v>
      </c>
      <c r="BT865" s="2">
        <v>22.967743360215501</v>
      </c>
      <c r="BU865" s="2">
        <v>22.9530761962681</v>
      </c>
      <c r="BV865" s="2">
        <v>22.866243317102001</v>
      </c>
      <c r="BW865" s="2">
        <v>22.876297183599</v>
      </c>
      <c r="BX865" s="2">
        <v>22.930032327422499</v>
      </c>
      <c r="BY865" s="2">
        <v>23.055499959930799</v>
      </c>
      <c r="BZ865" s="2">
        <v>22.969104139375499</v>
      </c>
      <c r="CA865" s="2">
        <v>22.895625102689799</v>
      </c>
      <c r="CB865" s="2">
        <v>23.0698353276589</v>
      </c>
      <c r="CC865" s="2">
        <v>23.097371749870099</v>
      </c>
      <c r="CD865" s="2">
        <v>22.8882930516782</v>
      </c>
      <c r="CE865" s="2">
        <v>23.0300154755096</v>
      </c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</row>
    <row r="866" spans="1:97">
      <c r="A866" s="2" t="s">
        <v>8091</v>
      </c>
      <c r="B866" s="2">
        <v>321.06173999999999</v>
      </c>
      <c r="C866" s="2">
        <v>4.2839999999999998</v>
      </c>
      <c r="D866" s="2" t="s">
        <v>146</v>
      </c>
      <c r="E866" s="2" t="s">
        <v>8092</v>
      </c>
      <c r="F866" s="2" t="s">
        <v>8093</v>
      </c>
      <c r="G866" s="2">
        <v>197201</v>
      </c>
      <c r="H866" s="3" t="str">
        <f>HYPERLINK("https://cloud.oebiotech.com/#/lm/network/197201", "https://cloud.oebiotech.com/#/lm/network/197201")</f>
        <v>https://cloud.oebiotech.com/#/lm/network/197201</v>
      </c>
      <c r="I866" s="2" t="s">
        <v>8094</v>
      </c>
      <c r="J866" s="2"/>
      <c r="K866" s="2"/>
      <c r="L866" s="2">
        <v>71314996</v>
      </c>
      <c r="M866" s="2"/>
      <c r="N866" s="2"/>
      <c r="O866" s="2"/>
      <c r="P866" s="2"/>
      <c r="Q866" s="2"/>
      <c r="R866" s="2"/>
      <c r="S866" s="2"/>
      <c r="T866" s="2" t="s">
        <v>8095</v>
      </c>
      <c r="U866" s="2" t="s">
        <v>8096</v>
      </c>
      <c r="V866" s="2" t="s">
        <v>338</v>
      </c>
      <c r="W866" s="2" t="s">
        <v>339</v>
      </c>
      <c r="X866" s="2" t="s">
        <v>663</v>
      </c>
      <c r="Y866" s="2" t="s">
        <v>341</v>
      </c>
      <c r="Z866" s="2" t="s">
        <v>341</v>
      </c>
      <c r="AA866" s="2" t="s">
        <v>664</v>
      </c>
      <c r="AB866" s="2" t="s">
        <v>3086</v>
      </c>
      <c r="AC866" s="2">
        <v>52.89</v>
      </c>
      <c r="AD866" s="2">
        <v>89.73</v>
      </c>
      <c r="AE866" s="2">
        <v>0</v>
      </c>
      <c r="AF866" s="2" t="s">
        <v>5614</v>
      </c>
      <c r="AG866" s="2" t="s">
        <v>993</v>
      </c>
      <c r="AH866" s="2" t="s">
        <v>8097</v>
      </c>
      <c r="AI866" s="2">
        <v>-2.1800000000000002</v>
      </c>
      <c r="AJ866" s="2">
        <v>17.905093034417199</v>
      </c>
      <c r="AK866" s="2">
        <v>17.667052967445098</v>
      </c>
      <c r="AL866" s="2">
        <v>17.5213412588528</v>
      </c>
      <c r="AM866" s="2">
        <v>17.3988884551149</v>
      </c>
      <c r="AN866" s="2">
        <v>17.7926240779625</v>
      </c>
      <c r="AO866" s="2">
        <v>17.3559354381966</v>
      </c>
      <c r="AP866" s="2">
        <v>17.531297153607799</v>
      </c>
      <c r="AQ866" s="2">
        <v>17.506585901653899</v>
      </c>
      <c r="AR866" s="2">
        <v>15.9427651041866</v>
      </c>
      <c r="AS866" s="2">
        <v>12.351179426604199</v>
      </c>
      <c r="AT866" s="2">
        <v>9.6233145402724691</v>
      </c>
      <c r="AU866" s="2">
        <v>12.1299526841961</v>
      </c>
      <c r="AV866" s="2">
        <v>18.150831947449301</v>
      </c>
      <c r="AW866" s="2">
        <v>16.893613554822</v>
      </c>
      <c r="AX866" s="2">
        <v>18.1813566940755</v>
      </c>
      <c r="AY866" s="2">
        <v>16.061851912455101</v>
      </c>
      <c r="AZ866" s="2">
        <v>16.8093934666161</v>
      </c>
      <c r="BA866" s="2">
        <v>16.730831906618899</v>
      </c>
      <c r="BB866" s="2">
        <v>18.207280481326801</v>
      </c>
      <c r="BC866" s="2">
        <v>13.130805415985799</v>
      </c>
      <c r="BD866" s="2">
        <v>17.4911834089461</v>
      </c>
      <c r="BE866" s="2">
        <v>19.3192694420332</v>
      </c>
      <c r="BF866" s="2">
        <v>15.6304141745781</v>
      </c>
      <c r="BG866" s="2">
        <v>18.056647821986299</v>
      </c>
      <c r="BH866" s="2">
        <v>18.218665868667799</v>
      </c>
      <c r="BI866" s="2">
        <v>18.648853072209601</v>
      </c>
      <c r="BJ866" s="2">
        <v>18.359681880938801</v>
      </c>
      <c r="BK866" s="2">
        <v>17.782159032518699</v>
      </c>
      <c r="BL866" s="2">
        <v>17.8306667176515</v>
      </c>
      <c r="BM866" s="2">
        <v>15.470381797139099</v>
      </c>
      <c r="BN866" s="2">
        <v>14.9952389373739</v>
      </c>
      <c r="BO866" s="2">
        <v>12.4053116825974</v>
      </c>
      <c r="BP866" s="2">
        <v>17.850928851262399</v>
      </c>
      <c r="BQ866" s="2">
        <v>17.032652212567001</v>
      </c>
      <c r="BR866" s="2">
        <v>15.9569289966783</v>
      </c>
      <c r="BS866" s="2">
        <v>17.382544578224401</v>
      </c>
      <c r="BT866" s="2">
        <v>18.429252215983599</v>
      </c>
      <c r="BU866" s="2">
        <v>15.504693937886801</v>
      </c>
      <c r="BV866" s="2">
        <v>16.627572926537098</v>
      </c>
      <c r="BW866" s="2">
        <v>9.6233145402724691</v>
      </c>
      <c r="BX866" s="2">
        <v>16.923394924450101</v>
      </c>
      <c r="BY866" s="2">
        <v>19.1914833353025</v>
      </c>
      <c r="BZ866" s="2">
        <v>16.6723566918781</v>
      </c>
      <c r="CA866" s="2">
        <v>14.812236480474001</v>
      </c>
      <c r="CB866" s="2">
        <v>16.6821970252516</v>
      </c>
      <c r="CC866" s="2">
        <v>16.3250100757738</v>
      </c>
      <c r="CD866" s="2">
        <v>18.0729525981682</v>
      </c>
      <c r="CE866" s="2">
        <v>16.872387635139098</v>
      </c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</row>
    <row r="867" spans="1:97">
      <c r="A867" s="2" t="s">
        <v>8098</v>
      </c>
      <c r="B867" s="2">
        <v>273.14812999999998</v>
      </c>
      <c r="C867" s="2">
        <v>7.5060000000000002</v>
      </c>
      <c r="D867" s="2" t="s">
        <v>84</v>
      </c>
      <c r="E867" s="2" t="s">
        <v>8099</v>
      </c>
      <c r="F867" s="2" t="s">
        <v>8100</v>
      </c>
      <c r="G867" s="2">
        <v>61097</v>
      </c>
      <c r="H867" s="3" t="str">
        <f>HYPERLINK("https://cloud.oebiotech.com/#/lm/network/61097", "https://cloud.oebiotech.com/#/lm/network/61097")</f>
        <v>https://cloud.oebiotech.com/#/lm/network/61097</v>
      </c>
      <c r="I867" s="2" t="s">
        <v>8101</v>
      </c>
      <c r="J867" s="2">
        <v>92416</v>
      </c>
      <c r="K867" s="2"/>
      <c r="L867" s="2">
        <v>325292</v>
      </c>
      <c r="M867" s="2"/>
      <c r="N867" s="2"/>
      <c r="O867" s="2"/>
      <c r="P867" s="2">
        <v>174307</v>
      </c>
      <c r="Q867" s="2"/>
      <c r="R867" s="2"/>
      <c r="S867" s="2" t="s">
        <v>8102</v>
      </c>
      <c r="T867" s="2" t="s">
        <v>8103</v>
      </c>
      <c r="U867" s="2" t="s">
        <v>8104</v>
      </c>
      <c r="V867" s="2" t="s">
        <v>95</v>
      </c>
      <c r="W867" s="2" t="s">
        <v>180</v>
      </c>
      <c r="X867" s="2" t="s">
        <v>2949</v>
      </c>
      <c r="Y867" s="2" t="s">
        <v>98</v>
      </c>
      <c r="Z867" s="2" t="s">
        <v>182</v>
      </c>
      <c r="AA867" s="2" t="s">
        <v>2950</v>
      </c>
      <c r="AB867" s="2" t="s">
        <v>101</v>
      </c>
      <c r="AC867" s="2">
        <v>52.89</v>
      </c>
      <c r="AD867" s="2">
        <v>75.62</v>
      </c>
      <c r="AE867" s="2">
        <v>50.89</v>
      </c>
      <c r="AF867" s="2" t="s">
        <v>8105</v>
      </c>
      <c r="AG867" s="2" t="s">
        <v>1578</v>
      </c>
      <c r="AH867" s="2" t="s">
        <v>8106</v>
      </c>
      <c r="AI867" s="2">
        <v>-7.32</v>
      </c>
      <c r="AJ867" s="2">
        <v>19.701388927846502</v>
      </c>
      <c r="AK867" s="2">
        <v>19.946722508585101</v>
      </c>
      <c r="AL867" s="2">
        <v>19.613423846117801</v>
      </c>
      <c r="AM867" s="2">
        <v>19.8980857581588</v>
      </c>
      <c r="AN867" s="2">
        <v>19.8783632733888</v>
      </c>
      <c r="AO867" s="2">
        <v>19.518907423478801</v>
      </c>
      <c r="AP867" s="2">
        <v>19.5979515297904</v>
      </c>
      <c r="AQ867" s="2">
        <v>19.708635981202001</v>
      </c>
      <c r="AR867" s="2">
        <v>18.962315593024702</v>
      </c>
      <c r="AS867" s="2">
        <v>9.6233145402724691</v>
      </c>
      <c r="AT867" s="2">
        <v>17.395529700667701</v>
      </c>
      <c r="AU867" s="2">
        <v>18.379764763582301</v>
      </c>
      <c r="AV867" s="2">
        <v>16.572470494771501</v>
      </c>
      <c r="AW867" s="2">
        <v>20.473460155255299</v>
      </c>
      <c r="AX867" s="2">
        <v>16.134466430179401</v>
      </c>
      <c r="AY867" s="2">
        <v>19.199835962332301</v>
      </c>
      <c r="AZ867" s="2">
        <v>15.6626820036258</v>
      </c>
      <c r="BA867" s="2">
        <v>14.388899186078101</v>
      </c>
      <c r="BB867" s="2">
        <v>20.620562042961101</v>
      </c>
      <c r="BC867" s="2">
        <v>16.716881340304901</v>
      </c>
      <c r="BD867" s="2">
        <v>16.822097630437899</v>
      </c>
      <c r="BE867" s="2">
        <v>18.141958830327599</v>
      </c>
      <c r="BF867" s="2">
        <v>15.495795079864401</v>
      </c>
      <c r="BG867" s="2">
        <v>14.456316550284299</v>
      </c>
      <c r="BH867" s="2">
        <v>17.208564544361899</v>
      </c>
      <c r="BI867" s="2">
        <v>9.6233145402724691</v>
      </c>
      <c r="BJ867" s="2">
        <v>16.786218185789501</v>
      </c>
      <c r="BK867" s="2">
        <v>19.0015529514611</v>
      </c>
      <c r="BL867" s="2">
        <v>15.3672130356011</v>
      </c>
      <c r="BM867" s="2">
        <v>19.351034779536601</v>
      </c>
      <c r="BN867" s="2">
        <v>18.5209210261892</v>
      </c>
      <c r="BO867" s="2">
        <v>14.85875324433</v>
      </c>
      <c r="BP867" s="2">
        <v>9.6233145402724691</v>
      </c>
      <c r="BQ867" s="2">
        <v>18.5635922691792</v>
      </c>
      <c r="BR867" s="2">
        <v>18.119018204410299</v>
      </c>
      <c r="BS867" s="2">
        <v>18.2012875811517</v>
      </c>
      <c r="BT867" s="2">
        <v>15.065109790327799</v>
      </c>
      <c r="BU867" s="2">
        <v>9.6233145402724691</v>
      </c>
      <c r="BV867" s="2">
        <v>20.536551663333899</v>
      </c>
      <c r="BW867" s="2">
        <v>15.5314777182073</v>
      </c>
      <c r="BX867" s="2">
        <v>16.447232099799201</v>
      </c>
      <c r="BY867" s="2">
        <v>15.7993542300828</v>
      </c>
      <c r="BZ867" s="2">
        <v>17.302944539581201</v>
      </c>
      <c r="CA867" s="2">
        <v>16.550666984106801</v>
      </c>
      <c r="CB867" s="2">
        <v>18.3317133327999</v>
      </c>
      <c r="CC867" s="2">
        <v>15.557901314145001</v>
      </c>
      <c r="CD867" s="2">
        <v>17.741456913518899</v>
      </c>
      <c r="CE867" s="2">
        <v>15.085194831520299</v>
      </c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</row>
    <row r="868" spans="1:97">
      <c r="A868" s="2" t="s">
        <v>8107</v>
      </c>
      <c r="B868" s="2">
        <v>811.60235</v>
      </c>
      <c r="C868" s="2">
        <v>12.871</v>
      </c>
      <c r="D868" s="2" t="s">
        <v>84</v>
      </c>
      <c r="E868" s="2" t="s">
        <v>8108</v>
      </c>
      <c r="F868" s="2" t="s">
        <v>8109</v>
      </c>
      <c r="G868" s="2">
        <v>251343</v>
      </c>
      <c r="H868" s="3" t="str">
        <f>HYPERLINK("https://cloud.oebiotech.com/#/lm/network/251343", "https://cloud.oebiotech.com/#/lm/network/251343")</f>
        <v>https://cloud.oebiotech.com/#/lm/network/251343</v>
      </c>
      <c r="I868" s="2" t="s">
        <v>8110</v>
      </c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 t="s">
        <v>8111</v>
      </c>
      <c r="U868" s="2" t="s">
        <v>8112</v>
      </c>
      <c r="V868" s="2" t="s">
        <v>95</v>
      </c>
      <c r="W868" s="2" t="s">
        <v>96</v>
      </c>
      <c r="X868" s="2" t="s">
        <v>353</v>
      </c>
      <c r="Y868" s="2" t="s">
        <v>98</v>
      </c>
      <c r="Z868" s="2" t="s">
        <v>99</v>
      </c>
      <c r="AA868" s="2" t="s">
        <v>354</v>
      </c>
      <c r="AB868" s="2" t="s">
        <v>3086</v>
      </c>
      <c r="AC868" s="2">
        <v>52.89</v>
      </c>
      <c r="AD868" s="2">
        <v>91.44</v>
      </c>
      <c r="AE868" s="2">
        <v>0</v>
      </c>
      <c r="AF868" s="2" t="s">
        <v>5614</v>
      </c>
      <c r="AG868" s="2" t="s">
        <v>1578</v>
      </c>
      <c r="AH868" s="2" t="s">
        <v>8113</v>
      </c>
      <c r="AI868" s="2">
        <v>4.1900000000000004</v>
      </c>
      <c r="AJ868" s="2">
        <v>26.2589789910196</v>
      </c>
      <c r="AK868" s="2">
        <v>25.877964702227899</v>
      </c>
      <c r="AL868" s="2">
        <v>26.400383294887501</v>
      </c>
      <c r="AM868" s="2">
        <v>26.1135534399865</v>
      </c>
      <c r="AN868" s="2">
        <v>25.4484889945155</v>
      </c>
      <c r="AO868" s="2">
        <v>25.958160205693702</v>
      </c>
      <c r="AP868" s="2">
        <v>25.1453190128186</v>
      </c>
      <c r="AQ868" s="2">
        <v>26.164413459613002</v>
      </c>
      <c r="AR868" s="2">
        <v>24.5515411425711</v>
      </c>
      <c r="AS868" s="2">
        <v>22.2677391311679</v>
      </c>
      <c r="AT868" s="2">
        <v>23.799214722788602</v>
      </c>
      <c r="AU868" s="2">
        <v>26.514786989979498</v>
      </c>
      <c r="AV868" s="2">
        <v>26.746838979521801</v>
      </c>
      <c r="AW868" s="2">
        <v>25.0163493251357</v>
      </c>
      <c r="AX868" s="2">
        <v>26.530043100930101</v>
      </c>
      <c r="AY868" s="2">
        <v>26.3459834823832</v>
      </c>
      <c r="AZ868" s="2">
        <v>24.149565937825098</v>
      </c>
      <c r="BA868" s="2">
        <v>26.237663196859199</v>
      </c>
      <c r="BB868" s="2">
        <v>26.356109203340299</v>
      </c>
      <c r="BC868" s="2">
        <v>26.544362316640299</v>
      </c>
      <c r="BD868" s="2">
        <v>26.3033654493161</v>
      </c>
      <c r="BE868" s="2">
        <v>25.500303234160999</v>
      </c>
      <c r="BF868" s="2">
        <v>26.137069964612198</v>
      </c>
      <c r="BG868" s="2">
        <v>26.498048767974701</v>
      </c>
      <c r="BH868" s="2">
        <v>26.586849517933601</v>
      </c>
      <c r="BI868" s="2">
        <v>27.129329641670999</v>
      </c>
      <c r="BJ868" s="2">
        <v>26.7545996552603</v>
      </c>
      <c r="BK868" s="2">
        <v>26.612287584318</v>
      </c>
      <c r="BL868" s="2">
        <v>26.9759799058337</v>
      </c>
      <c r="BM868" s="2">
        <v>24.6026356247684</v>
      </c>
      <c r="BN868" s="2">
        <v>26.331205465619998</v>
      </c>
      <c r="BO868" s="2">
        <v>24.045114993064999</v>
      </c>
      <c r="BP868" s="2">
        <v>26.1103826106357</v>
      </c>
      <c r="BQ868" s="2">
        <v>24.774893325950501</v>
      </c>
      <c r="BR868" s="2">
        <v>26.515774617034001</v>
      </c>
      <c r="BS868" s="2">
        <v>25.118527370144701</v>
      </c>
      <c r="BT868" s="2">
        <v>25.398381658452799</v>
      </c>
      <c r="BU868" s="2">
        <v>25.798182584968799</v>
      </c>
      <c r="BV868" s="2">
        <v>25.302818018034198</v>
      </c>
      <c r="BW868" s="2">
        <v>26.563565689463701</v>
      </c>
      <c r="BX868" s="2">
        <v>24.557687285838799</v>
      </c>
      <c r="BY868" s="2">
        <v>24.3554259204966</v>
      </c>
      <c r="BZ868" s="2">
        <v>26.392639269769202</v>
      </c>
      <c r="CA868" s="2">
        <v>25.486093639885901</v>
      </c>
      <c r="CB868" s="2">
        <v>24.538882278520099</v>
      </c>
      <c r="CC868" s="2">
        <v>26.3847161182923</v>
      </c>
      <c r="CD868" s="2">
        <v>25.737137852883901</v>
      </c>
      <c r="CE868" s="2">
        <v>26.705718708321299</v>
      </c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</row>
    <row r="869" spans="1:97">
      <c r="A869" s="2" t="s">
        <v>8114</v>
      </c>
      <c r="B869" s="2">
        <v>355.12630000000001</v>
      </c>
      <c r="C869" s="2">
        <v>5.5140000000000002</v>
      </c>
      <c r="D869" s="2" t="s">
        <v>84</v>
      </c>
      <c r="E869" s="2" t="s">
        <v>8115</v>
      </c>
      <c r="F869" s="2" t="s">
        <v>8116</v>
      </c>
      <c r="G869" s="2">
        <v>56231</v>
      </c>
      <c r="H869" s="3" t="str">
        <f>HYPERLINK("https://cloud.oebiotech.com/#/lm/network/56231", "https://cloud.oebiotech.com/#/lm/network/56231")</f>
        <v>https://cloud.oebiotech.com/#/lm/network/56231</v>
      </c>
      <c r="I869" s="2" t="s">
        <v>8117</v>
      </c>
      <c r="J869" s="2"/>
      <c r="K869" s="2"/>
      <c r="L869" s="2">
        <v>12358373</v>
      </c>
      <c r="M869" s="2"/>
      <c r="N869" s="2"/>
      <c r="O869" s="2"/>
      <c r="P869" s="2"/>
      <c r="Q869" s="2"/>
      <c r="R869" s="2"/>
      <c r="S869" s="2" t="s">
        <v>8118</v>
      </c>
      <c r="T869" s="2" t="s">
        <v>8119</v>
      </c>
      <c r="U869" s="2" t="s">
        <v>8120</v>
      </c>
      <c r="V869" s="2" t="s">
        <v>553</v>
      </c>
      <c r="W869" s="2" t="s">
        <v>6104</v>
      </c>
      <c r="X869" s="2" t="s">
        <v>6105</v>
      </c>
      <c r="Y869" s="2" t="s">
        <v>556</v>
      </c>
      <c r="Z869" s="2" t="s">
        <v>6106</v>
      </c>
      <c r="AA869" s="2" t="s">
        <v>6107</v>
      </c>
      <c r="AB869" s="2" t="s">
        <v>3086</v>
      </c>
      <c r="AC869" s="2">
        <v>52.88</v>
      </c>
      <c r="AD869" s="2">
        <v>84.28</v>
      </c>
      <c r="AE869" s="2">
        <v>0</v>
      </c>
      <c r="AF869" s="2" t="s">
        <v>5614</v>
      </c>
      <c r="AG869" s="2" t="s">
        <v>103</v>
      </c>
      <c r="AH869" s="2" t="s">
        <v>8121</v>
      </c>
      <c r="AI869" s="2">
        <v>-1.69</v>
      </c>
      <c r="AJ869" s="2">
        <v>17.5390962432766</v>
      </c>
      <c r="AK869" s="2">
        <v>18.0954111372988</v>
      </c>
      <c r="AL869" s="2">
        <v>17.885592892764901</v>
      </c>
      <c r="AM869" s="2">
        <v>18.6345475740643</v>
      </c>
      <c r="AN869" s="2">
        <v>18.4392446538026</v>
      </c>
      <c r="AO869" s="2">
        <v>18.646794412745301</v>
      </c>
      <c r="AP869" s="2">
        <v>18.941172952684401</v>
      </c>
      <c r="AQ869" s="2">
        <v>18.474927254094201</v>
      </c>
      <c r="AR869" s="2">
        <v>9.6233145402724691</v>
      </c>
      <c r="AS869" s="2">
        <v>17.138524501695201</v>
      </c>
      <c r="AT869" s="2">
        <v>17.5495960778639</v>
      </c>
      <c r="AU869" s="2">
        <v>9.6233145402724691</v>
      </c>
      <c r="AV869" s="2">
        <v>17.464810791208201</v>
      </c>
      <c r="AW869" s="2">
        <v>17.291115287484502</v>
      </c>
      <c r="AX869" s="2">
        <v>18.1867228448702</v>
      </c>
      <c r="AY869" s="2">
        <v>18.099929123538502</v>
      </c>
      <c r="AZ869" s="2">
        <v>9.6233145402724691</v>
      </c>
      <c r="BA869" s="2">
        <v>16.665305518329902</v>
      </c>
      <c r="BB869" s="2">
        <v>17.537300617735699</v>
      </c>
      <c r="BC869" s="2">
        <v>18.4180284084206</v>
      </c>
      <c r="BD869" s="2">
        <v>14.972044602287699</v>
      </c>
      <c r="BE869" s="2">
        <v>20.4135828833513</v>
      </c>
      <c r="BF869" s="2">
        <v>15.6290241425737</v>
      </c>
      <c r="BG869" s="2">
        <v>19.571039213740601</v>
      </c>
      <c r="BH869" s="2">
        <v>18.135016826703598</v>
      </c>
      <c r="BI869" s="2">
        <v>18.451244763589798</v>
      </c>
      <c r="BJ869" s="2">
        <v>18.8064800808584</v>
      </c>
      <c r="BK869" s="2">
        <v>17.568276277429899</v>
      </c>
      <c r="BL869" s="2">
        <v>16.621160444235802</v>
      </c>
      <c r="BM869" s="2">
        <v>15.2351159662655</v>
      </c>
      <c r="BN869" s="2">
        <v>16.244788969076101</v>
      </c>
      <c r="BO869" s="2">
        <v>18.507908004289</v>
      </c>
      <c r="BP869" s="2">
        <v>19.168824944955698</v>
      </c>
      <c r="BQ869" s="2">
        <v>17.147876658586501</v>
      </c>
      <c r="BR869" s="2">
        <v>18.928003336648</v>
      </c>
      <c r="BS869" s="2">
        <v>17.816507836312201</v>
      </c>
      <c r="BT869" s="2">
        <v>16.736070103955999</v>
      </c>
      <c r="BU869" s="2">
        <v>18.6048468474619</v>
      </c>
      <c r="BV869" s="2">
        <v>17.5265553258726</v>
      </c>
      <c r="BW869" s="2">
        <v>17.121511561886301</v>
      </c>
      <c r="BX869" s="2">
        <v>9.6233145402724691</v>
      </c>
      <c r="BY869" s="2">
        <v>20.095852995746601</v>
      </c>
      <c r="BZ869" s="2">
        <v>14.779082188281</v>
      </c>
      <c r="CA869" s="2">
        <v>17.547136360446199</v>
      </c>
      <c r="CB869" s="2">
        <v>19.504254490571402</v>
      </c>
      <c r="CC869" s="2">
        <v>17.2019802016261</v>
      </c>
      <c r="CD869" s="2">
        <v>19.940195217532199</v>
      </c>
      <c r="CE869" s="2">
        <v>18.341915666157998</v>
      </c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</row>
    <row r="870" spans="1:97">
      <c r="A870" s="2" t="s">
        <v>8122</v>
      </c>
      <c r="B870" s="2">
        <v>286.20035000000001</v>
      </c>
      <c r="C870" s="2">
        <v>5.4859999999999998</v>
      </c>
      <c r="D870" s="2" t="s">
        <v>84</v>
      </c>
      <c r="E870" s="2" t="s">
        <v>8123</v>
      </c>
      <c r="F870" s="2" t="s">
        <v>8124</v>
      </c>
      <c r="G870" s="2">
        <v>198226</v>
      </c>
      <c r="H870" s="3" t="str">
        <f>HYPERLINK("https://cloud.oebiotech.com/#/lm/network/198226", "https://cloud.oebiotech.com/#/lm/network/198226")</f>
        <v>https://cloud.oebiotech.com/#/lm/network/198226</v>
      </c>
      <c r="I870" s="2" t="s">
        <v>8125</v>
      </c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 t="s">
        <v>8126</v>
      </c>
      <c r="U870" s="2" t="s">
        <v>8127</v>
      </c>
      <c r="V870" s="2" t="s">
        <v>95</v>
      </c>
      <c r="W870" s="2" t="s">
        <v>96</v>
      </c>
      <c r="X870" s="2" t="s">
        <v>97</v>
      </c>
      <c r="Y870" s="2" t="s">
        <v>98</v>
      </c>
      <c r="Z870" s="2" t="s">
        <v>99</v>
      </c>
      <c r="AA870" s="2" t="s">
        <v>100</v>
      </c>
      <c r="AB870" s="2" t="s">
        <v>3086</v>
      </c>
      <c r="AC870" s="2">
        <v>52.86</v>
      </c>
      <c r="AD870" s="2">
        <v>90.25</v>
      </c>
      <c r="AE870" s="2">
        <v>0</v>
      </c>
      <c r="AF870" s="2" t="s">
        <v>5614</v>
      </c>
      <c r="AG870" s="2" t="s">
        <v>103</v>
      </c>
      <c r="AH870" s="2" t="s">
        <v>1106</v>
      </c>
      <c r="AI870" s="2">
        <v>3.14</v>
      </c>
      <c r="AJ870" s="2">
        <v>19.963739055237799</v>
      </c>
      <c r="AK870" s="2">
        <v>19.9818310851979</v>
      </c>
      <c r="AL870" s="2">
        <v>19.9036058226088</v>
      </c>
      <c r="AM870" s="2">
        <v>19.842164306831101</v>
      </c>
      <c r="AN870" s="2">
        <v>20.144056903321101</v>
      </c>
      <c r="AO870" s="2">
        <v>19.988929999951601</v>
      </c>
      <c r="AP870" s="2">
        <v>19.922779339308399</v>
      </c>
      <c r="AQ870" s="2">
        <v>19.5588139133678</v>
      </c>
      <c r="AR870" s="2">
        <v>15.729605609194801</v>
      </c>
      <c r="AS870" s="2">
        <v>19.5918397894328</v>
      </c>
      <c r="AT870" s="2">
        <v>19.464876046962601</v>
      </c>
      <c r="AU870" s="2">
        <v>19.185128483699501</v>
      </c>
      <c r="AV870" s="2">
        <v>18.005787082246702</v>
      </c>
      <c r="AW870" s="2">
        <v>19.108899369719801</v>
      </c>
      <c r="AX870" s="2">
        <v>19.347850274790201</v>
      </c>
      <c r="AY870" s="2">
        <v>19.827410223531199</v>
      </c>
      <c r="AZ870" s="2">
        <v>15.874692040239299</v>
      </c>
      <c r="BA870" s="2">
        <v>20.184104476191798</v>
      </c>
      <c r="BB870" s="2">
        <v>20.2562436163944</v>
      </c>
      <c r="BC870" s="2">
        <v>21.019280666376801</v>
      </c>
      <c r="BD870" s="2">
        <v>16.628722768636401</v>
      </c>
      <c r="BE870" s="2">
        <v>20.1142800984091</v>
      </c>
      <c r="BF870" s="2">
        <v>19.987949745520801</v>
      </c>
      <c r="BG870" s="2">
        <v>20.688681866216399</v>
      </c>
      <c r="BH870" s="2">
        <v>19.071371856079001</v>
      </c>
      <c r="BI870" s="2">
        <v>21.0985252679944</v>
      </c>
      <c r="BJ870" s="2">
        <v>19.3060960096497</v>
      </c>
      <c r="BK870" s="2">
        <v>17.2007243097176</v>
      </c>
      <c r="BL870" s="2">
        <v>20.440975478528301</v>
      </c>
      <c r="BM870" s="2">
        <v>19.382656931770399</v>
      </c>
      <c r="BN870" s="2">
        <v>18.664097269931698</v>
      </c>
      <c r="BO870" s="2">
        <v>20.641536874289699</v>
      </c>
      <c r="BP870" s="2">
        <v>19.923439959431299</v>
      </c>
      <c r="BQ870" s="2">
        <v>20.737792313125301</v>
      </c>
      <c r="BR870" s="2">
        <v>20.4522202528658</v>
      </c>
      <c r="BS870" s="2">
        <v>18.4850977229455</v>
      </c>
      <c r="BT870" s="2">
        <v>20.780870260190699</v>
      </c>
      <c r="BU870" s="2">
        <v>20.133865177797102</v>
      </c>
      <c r="BV870" s="2">
        <v>20.245941210564101</v>
      </c>
      <c r="BW870" s="2">
        <v>19.583492479032</v>
      </c>
      <c r="BX870" s="2">
        <v>18.605456042534701</v>
      </c>
      <c r="BY870" s="2">
        <v>19.242050183457899</v>
      </c>
      <c r="BZ870" s="2">
        <v>20.920568337182999</v>
      </c>
      <c r="CA870" s="2">
        <v>19.1053961062028</v>
      </c>
      <c r="CB870" s="2">
        <v>19.085856365689001</v>
      </c>
      <c r="CC870" s="2">
        <v>21.124468876213999</v>
      </c>
      <c r="CD870" s="2">
        <v>18.554275079049599</v>
      </c>
      <c r="CE870" s="2">
        <v>20.4596593532215</v>
      </c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</row>
    <row r="871" spans="1:97">
      <c r="A871" s="2" t="s">
        <v>8128</v>
      </c>
      <c r="B871" s="2">
        <v>255.12429</v>
      </c>
      <c r="C871" s="2">
        <v>8.0069999999999997</v>
      </c>
      <c r="D871" s="2" t="s">
        <v>146</v>
      </c>
      <c r="E871" s="2" t="s">
        <v>8129</v>
      </c>
      <c r="F871" s="2" t="s">
        <v>8130</v>
      </c>
      <c r="G871" s="2">
        <v>7851</v>
      </c>
      <c r="H871" s="3" t="str">
        <f>HYPERLINK("https://cloud.oebiotech.com/#/lm/network/7851", "https://cloud.oebiotech.com/#/lm/network/7851")</f>
        <v>https://cloud.oebiotech.com/#/lm/network/7851</v>
      </c>
      <c r="I871" s="2"/>
      <c r="J871" s="2"/>
      <c r="K871" s="2" t="s">
        <v>8131</v>
      </c>
      <c r="L871" s="2">
        <v>53387505</v>
      </c>
      <c r="M871" s="2"/>
      <c r="N871" s="2"/>
      <c r="O871" s="2"/>
      <c r="P871" s="2">
        <v>69906</v>
      </c>
      <c r="Q871" s="2"/>
      <c r="R871" s="2"/>
      <c r="S871" s="2"/>
      <c r="T871" s="2" t="s">
        <v>8132</v>
      </c>
      <c r="U871" s="2" t="s">
        <v>8133</v>
      </c>
      <c r="V871" s="2" t="s">
        <v>553</v>
      </c>
      <c r="W871" s="2" t="s">
        <v>3480</v>
      </c>
      <c r="X871" s="2" t="s">
        <v>8134</v>
      </c>
      <c r="Y871" s="2" t="s">
        <v>556</v>
      </c>
      <c r="Z871" s="2" t="s">
        <v>3482</v>
      </c>
      <c r="AA871" s="2" t="s">
        <v>8135</v>
      </c>
      <c r="AB871" s="2" t="s">
        <v>3086</v>
      </c>
      <c r="AC871" s="2">
        <v>52.86</v>
      </c>
      <c r="AD871" s="2">
        <v>91.64</v>
      </c>
      <c r="AE871" s="2">
        <v>0</v>
      </c>
      <c r="AF871" s="2" t="s">
        <v>5614</v>
      </c>
      <c r="AG871" s="2" t="s">
        <v>157</v>
      </c>
      <c r="AH871" s="2" t="s">
        <v>1994</v>
      </c>
      <c r="AI871" s="2">
        <v>-1.96</v>
      </c>
      <c r="AJ871" s="2">
        <v>16.383568122254701</v>
      </c>
      <c r="AK871" s="2">
        <v>16.7260757670769</v>
      </c>
      <c r="AL871" s="2">
        <v>16.795935262218599</v>
      </c>
      <c r="AM871" s="2">
        <v>16.3478336259308</v>
      </c>
      <c r="AN871" s="2">
        <v>17.0817092576176</v>
      </c>
      <c r="AO871" s="2">
        <v>17.146073599081799</v>
      </c>
      <c r="AP871" s="2">
        <v>16.7033151692685</v>
      </c>
      <c r="AQ871" s="2">
        <v>16.8910818797041</v>
      </c>
      <c r="AR871" s="2">
        <v>16.5999543818176</v>
      </c>
      <c r="AS871" s="2">
        <v>14.0049139030251</v>
      </c>
      <c r="AT871" s="2">
        <v>16.968490292525701</v>
      </c>
      <c r="AU871" s="2">
        <v>14.8095129219189</v>
      </c>
      <c r="AV871" s="2">
        <v>17.903421459105001</v>
      </c>
      <c r="AW871" s="2">
        <v>16.947904679131799</v>
      </c>
      <c r="AX871" s="2">
        <v>15.9752232797826</v>
      </c>
      <c r="AY871" s="2">
        <v>17.427292380927</v>
      </c>
      <c r="AZ871" s="2">
        <v>17.420710453991301</v>
      </c>
      <c r="BA871" s="2">
        <v>16.953967803464501</v>
      </c>
      <c r="BB871" s="2">
        <v>16.379828969659901</v>
      </c>
      <c r="BC871" s="2">
        <v>16.611479747569401</v>
      </c>
      <c r="BD871" s="2">
        <v>17.123608771574599</v>
      </c>
      <c r="BE871" s="2">
        <v>17.840824629501</v>
      </c>
      <c r="BF871" s="2">
        <v>16.7264389060825</v>
      </c>
      <c r="BG871" s="2">
        <v>17.094781001285099</v>
      </c>
      <c r="BH871" s="2">
        <v>16.049285099347099</v>
      </c>
      <c r="BI871" s="2">
        <v>15.860478383095099</v>
      </c>
      <c r="BJ871" s="2">
        <v>17.034129420462001</v>
      </c>
      <c r="BK871" s="2">
        <v>16.322918550998899</v>
      </c>
      <c r="BL871" s="2">
        <v>17.210917193530399</v>
      </c>
      <c r="BM871" s="2">
        <v>16.035002880123301</v>
      </c>
      <c r="BN871" s="2">
        <v>16.1438578954488</v>
      </c>
      <c r="BO871" s="2">
        <v>14.1925771638347</v>
      </c>
      <c r="BP871" s="2">
        <v>18.3005155389795</v>
      </c>
      <c r="BQ871" s="2">
        <v>17.6212740071479</v>
      </c>
      <c r="BR871" s="2">
        <v>17.159790742543102</v>
      </c>
      <c r="BS871" s="2">
        <v>16.571648963845099</v>
      </c>
      <c r="BT871" s="2">
        <v>16.738345770093598</v>
      </c>
      <c r="BU871" s="2">
        <v>16.982305453037</v>
      </c>
      <c r="BV871" s="2">
        <v>16.227336349037301</v>
      </c>
      <c r="BW871" s="2">
        <v>17.461980882114201</v>
      </c>
      <c r="BX871" s="2">
        <v>17.3489460390782</v>
      </c>
      <c r="BY871" s="2">
        <v>17.266178946816499</v>
      </c>
      <c r="BZ871" s="2">
        <v>15.668127381561799</v>
      </c>
      <c r="CA871" s="2">
        <v>18.009594486205</v>
      </c>
      <c r="CB871" s="2">
        <v>16.496418625645099</v>
      </c>
      <c r="CC871" s="2">
        <v>17.028103550386898</v>
      </c>
      <c r="CD871" s="2">
        <v>18.058924930670901</v>
      </c>
      <c r="CE871" s="2">
        <v>17.419555514907401</v>
      </c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</row>
    <row r="872" spans="1:97">
      <c r="A872" s="2" t="s">
        <v>8136</v>
      </c>
      <c r="B872" s="2">
        <v>203.08133000000001</v>
      </c>
      <c r="C872" s="2">
        <v>1.5409999999999999</v>
      </c>
      <c r="D872" s="2" t="s">
        <v>84</v>
      </c>
      <c r="E872" s="2" t="s">
        <v>8137</v>
      </c>
      <c r="F872" s="2" t="s">
        <v>8138</v>
      </c>
      <c r="G872" s="2">
        <v>257733</v>
      </c>
      <c r="H872" s="3" t="str">
        <f>HYPERLINK("https://cloud.oebiotech.com/#/lm/network/257733", "https://cloud.oebiotech.com/#/lm/network/257733")</f>
        <v>https://cloud.oebiotech.com/#/lm/network/257733</v>
      </c>
      <c r="I872" s="2" t="s">
        <v>8139</v>
      </c>
      <c r="J872" s="2">
        <v>364</v>
      </c>
      <c r="K872" s="2"/>
      <c r="L872" s="2">
        <v>144</v>
      </c>
      <c r="M872" s="2" t="s">
        <v>8140</v>
      </c>
      <c r="N872" s="2" t="s">
        <v>8141</v>
      </c>
      <c r="O872" s="2" t="s">
        <v>8142</v>
      </c>
      <c r="P872" s="2"/>
      <c r="Q872" s="2"/>
      <c r="R872" s="2"/>
      <c r="S872" s="2" t="s">
        <v>8143</v>
      </c>
      <c r="T872" s="2" t="s">
        <v>8144</v>
      </c>
      <c r="U872" s="2" t="s">
        <v>8145</v>
      </c>
      <c r="V872" s="2" t="s">
        <v>553</v>
      </c>
      <c r="W872" s="2" t="s">
        <v>933</v>
      </c>
      <c r="X872" s="2" t="s">
        <v>7122</v>
      </c>
      <c r="Y872" s="2" t="s">
        <v>556</v>
      </c>
      <c r="Z872" s="2" t="s">
        <v>935</v>
      </c>
      <c r="AA872" s="2" t="s">
        <v>7123</v>
      </c>
      <c r="AB872" s="2" t="s">
        <v>3086</v>
      </c>
      <c r="AC872" s="2">
        <v>52.85</v>
      </c>
      <c r="AD872" s="2">
        <v>92.87</v>
      </c>
      <c r="AE872" s="2">
        <v>0</v>
      </c>
      <c r="AF872" s="2" t="s">
        <v>5614</v>
      </c>
      <c r="AG872" s="2" t="s">
        <v>1088</v>
      </c>
      <c r="AH872" s="2" t="s">
        <v>4896</v>
      </c>
      <c r="AI872" s="2">
        <v>3.94</v>
      </c>
      <c r="AJ872" s="2">
        <v>17.939074453632099</v>
      </c>
      <c r="AK872" s="2">
        <v>18.882978933069101</v>
      </c>
      <c r="AL872" s="2">
        <v>18.874264125048899</v>
      </c>
      <c r="AM872" s="2">
        <v>18.9306091467136</v>
      </c>
      <c r="AN872" s="2">
        <v>18.2541719182707</v>
      </c>
      <c r="AO872" s="2">
        <v>19.140225584612999</v>
      </c>
      <c r="AP872" s="2">
        <v>18.577030007710398</v>
      </c>
      <c r="AQ872" s="2">
        <v>18.947426824480001</v>
      </c>
      <c r="AR872" s="2">
        <v>17.624624988035499</v>
      </c>
      <c r="AS872" s="2">
        <v>17.215398669817201</v>
      </c>
      <c r="AT872" s="2">
        <v>17.830193751130199</v>
      </c>
      <c r="AU872" s="2">
        <v>18.428277682254802</v>
      </c>
      <c r="AV872" s="2">
        <v>18.490374108318999</v>
      </c>
      <c r="AW872" s="2">
        <v>17.923659542860101</v>
      </c>
      <c r="AX872" s="2">
        <v>18.663166969218299</v>
      </c>
      <c r="AY872" s="2">
        <v>18.2551414143072</v>
      </c>
      <c r="AZ872" s="2">
        <v>18.419184199759499</v>
      </c>
      <c r="BA872" s="2">
        <v>19.113187254885201</v>
      </c>
      <c r="BB872" s="2">
        <v>18.524894112450799</v>
      </c>
      <c r="BC872" s="2">
        <v>18.448641439374502</v>
      </c>
      <c r="BD872" s="2">
        <v>18.160900438653599</v>
      </c>
      <c r="BE872" s="2">
        <v>17.5403146158427</v>
      </c>
      <c r="BF872" s="2">
        <v>17.8021769313874</v>
      </c>
      <c r="BG872" s="2">
        <v>18.687061542911799</v>
      </c>
      <c r="BH872" s="2">
        <v>17.866648376268898</v>
      </c>
      <c r="BI872" s="2">
        <v>18.859158145675298</v>
      </c>
      <c r="BJ872" s="2">
        <v>17.8015370413376</v>
      </c>
      <c r="BK872" s="2">
        <v>18.188358963546602</v>
      </c>
      <c r="BL872" s="2">
        <v>18.230855622151701</v>
      </c>
      <c r="BM872" s="2">
        <v>18.5746137042327</v>
      </c>
      <c r="BN872" s="2">
        <v>18.0989894449832</v>
      </c>
      <c r="BO872" s="2">
        <v>18.759337785559399</v>
      </c>
      <c r="BP872" s="2">
        <v>18.795725151430101</v>
      </c>
      <c r="BQ872" s="2">
        <v>18.774683930908601</v>
      </c>
      <c r="BR872" s="2">
        <v>17.9629351937438</v>
      </c>
      <c r="BS872" s="2">
        <v>17.661668444329099</v>
      </c>
      <c r="BT872" s="2">
        <v>19.059678856558001</v>
      </c>
      <c r="BU872" s="2">
        <v>19.201878982919698</v>
      </c>
      <c r="BV872" s="2">
        <v>19.011367044681698</v>
      </c>
      <c r="BW872" s="2">
        <v>17.419697628875198</v>
      </c>
      <c r="BX872" s="2">
        <v>17.3338931099413</v>
      </c>
      <c r="BY872" s="2">
        <v>19.045819827514901</v>
      </c>
      <c r="BZ872" s="2">
        <v>18.748988419099</v>
      </c>
      <c r="CA872" s="2">
        <v>18.330156844328201</v>
      </c>
      <c r="CB872" s="2">
        <v>18.307105442366399</v>
      </c>
      <c r="CC872" s="2">
        <v>18.1210350361068</v>
      </c>
      <c r="CD872" s="2">
        <v>19.480210678347198</v>
      </c>
      <c r="CE872" s="2">
        <v>19.0124306102216</v>
      </c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</row>
    <row r="873" spans="1:97">
      <c r="A873" s="2" t="s">
        <v>8146</v>
      </c>
      <c r="B873" s="2">
        <v>462.17644999999999</v>
      </c>
      <c r="C873" s="2">
        <v>5.694</v>
      </c>
      <c r="D873" s="2" t="s">
        <v>146</v>
      </c>
      <c r="E873" s="2" t="s">
        <v>8147</v>
      </c>
      <c r="F873" s="2" t="s">
        <v>8148</v>
      </c>
      <c r="G873" s="2">
        <v>82766</v>
      </c>
      <c r="H873" s="3" t="str">
        <f>HYPERLINK("https://cloud.oebiotech.com/#/lm/network/82766", "https://cloud.oebiotech.com/#/lm/network/82766")</f>
        <v>https://cloud.oebiotech.com/#/lm/network/82766</v>
      </c>
      <c r="I873" s="2" t="s">
        <v>8149</v>
      </c>
      <c r="J873" s="2"/>
      <c r="K873" s="2"/>
      <c r="L873" s="2">
        <v>131769991</v>
      </c>
      <c r="M873" s="2"/>
      <c r="N873" s="2"/>
      <c r="O873" s="2"/>
      <c r="P873" s="2"/>
      <c r="Q873" s="2"/>
      <c r="R873" s="2"/>
      <c r="S873" s="2"/>
      <c r="T873" s="2" t="s">
        <v>8150</v>
      </c>
      <c r="U873" s="2" t="s">
        <v>8151</v>
      </c>
      <c r="V873" s="2" t="s">
        <v>338</v>
      </c>
      <c r="W873" s="2" t="s">
        <v>339</v>
      </c>
      <c r="X873" s="2" t="s">
        <v>663</v>
      </c>
      <c r="Y873" s="2" t="s">
        <v>341</v>
      </c>
      <c r="Z873" s="2" t="s">
        <v>341</v>
      </c>
      <c r="AA873" s="2" t="s">
        <v>664</v>
      </c>
      <c r="AB873" s="2" t="s">
        <v>5118</v>
      </c>
      <c r="AC873" s="2">
        <v>52.85</v>
      </c>
      <c r="AD873" s="2">
        <v>83.83</v>
      </c>
      <c r="AE873" s="2">
        <v>46.17</v>
      </c>
      <c r="AF873" s="2" t="s">
        <v>8152</v>
      </c>
      <c r="AG873" s="2" t="s">
        <v>194</v>
      </c>
      <c r="AH873" s="2" t="s">
        <v>8153</v>
      </c>
      <c r="AI873" s="2">
        <v>1.08</v>
      </c>
      <c r="AJ873" s="2">
        <v>18.3700635331118</v>
      </c>
      <c r="AK873" s="2">
        <v>18.611444662276298</v>
      </c>
      <c r="AL873" s="2">
        <v>18.599163035068202</v>
      </c>
      <c r="AM873" s="2">
        <v>18.439158764833198</v>
      </c>
      <c r="AN873" s="2">
        <v>18.4395701817797</v>
      </c>
      <c r="AO873" s="2">
        <v>18.298976764320798</v>
      </c>
      <c r="AP873" s="2">
        <v>18.343029309151301</v>
      </c>
      <c r="AQ873" s="2">
        <v>18.515987706489799</v>
      </c>
      <c r="AR873" s="2">
        <v>11.875311639377699</v>
      </c>
      <c r="AS873" s="2">
        <v>18.328885477357002</v>
      </c>
      <c r="AT873" s="2">
        <v>15.1080931519482</v>
      </c>
      <c r="AU873" s="2">
        <v>9.6233145402724691</v>
      </c>
      <c r="AV873" s="2">
        <v>9.6233145402724691</v>
      </c>
      <c r="AW873" s="2">
        <v>13.9003668335609</v>
      </c>
      <c r="AX873" s="2">
        <v>15.1819958345642</v>
      </c>
      <c r="AY873" s="2">
        <v>18.6454972374673</v>
      </c>
      <c r="AZ873" s="2">
        <v>19.7093466284011</v>
      </c>
      <c r="BA873" s="2">
        <v>17.2142726316936</v>
      </c>
      <c r="BB873" s="2">
        <v>16.609700633565701</v>
      </c>
      <c r="BC873" s="2">
        <v>17.844705090232299</v>
      </c>
      <c r="BD873" s="2">
        <v>9.6233145402724691</v>
      </c>
      <c r="BE873" s="2">
        <v>17.435094142112099</v>
      </c>
      <c r="BF873" s="2">
        <v>16.2256815531237</v>
      </c>
      <c r="BG873" s="2">
        <v>12.3880361263887</v>
      </c>
      <c r="BH873" s="2">
        <v>9.6233145402724691</v>
      </c>
      <c r="BI873" s="2">
        <v>20.041220527039499</v>
      </c>
      <c r="BJ873" s="2">
        <v>16.656333658425702</v>
      </c>
      <c r="BK873" s="2">
        <v>19.462044967533799</v>
      </c>
      <c r="BL873" s="2">
        <v>17.474076014119799</v>
      </c>
      <c r="BM873" s="2">
        <v>9.6233145402724691</v>
      </c>
      <c r="BN873" s="2">
        <v>17.626830732743901</v>
      </c>
      <c r="BO873" s="2">
        <v>15.232116211117299</v>
      </c>
      <c r="BP873" s="2">
        <v>9.6233145402724691</v>
      </c>
      <c r="BQ873" s="2">
        <v>15.630243516062199</v>
      </c>
      <c r="BR873" s="2">
        <v>9.6233145402724691</v>
      </c>
      <c r="BS873" s="2">
        <v>16.570198593218201</v>
      </c>
      <c r="BT873" s="2">
        <v>9.6233145402724691</v>
      </c>
      <c r="BU873" s="2">
        <v>16.740289892463501</v>
      </c>
      <c r="BV873" s="2">
        <v>14.7004332155947</v>
      </c>
      <c r="BW873" s="2">
        <v>9.6233145402724691</v>
      </c>
      <c r="BX873" s="2">
        <v>17.6453419357385</v>
      </c>
      <c r="BY873" s="2">
        <v>19.482724740702601</v>
      </c>
      <c r="BZ873" s="2">
        <v>14.601668663522601</v>
      </c>
      <c r="CA873" s="2">
        <v>18.032421003173098</v>
      </c>
      <c r="CB873" s="2">
        <v>19.318495743233498</v>
      </c>
      <c r="CC873" s="2">
        <v>21.365833868647002</v>
      </c>
      <c r="CD873" s="2">
        <v>16.268932482425601</v>
      </c>
      <c r="CE873" s="2">
        <v>20.8113859206162</v>
      </c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</row>
    <row r="874" spans="1:97">
      <c r="A874" s="2" t="s">
        <v>8154</v>
      </c>
      <c r="B874" s="2">
        <v>445.33154999999999</v>
      </c>
      <c r="C874" s="2">
        <v>13.472</v>
      </c>
      <c r="D874" s="2" t="s">
        <v>146</v>
      </c>
      <c r="E874" s="2" t="s">
        <v>8155</v>
      </c>
      <c r="F874" s="2" t="s">
        <v>8156</v>
      </c>
      <c r="G874" s="2">
        <v>45839</v>
      </c>
      <c r="H874" s="3" t="str">
        <f>HYPERLINK("https://cloud.oebiotech.com/#/lm/network/45839", "https://cloud.oebiotech.com/#/lm/network/45839")</f>
        <v>https://cloud.oebiotech.com/#/lm/network/45839</v>
      </c>
      <c r="I874" s="2"/>
      <c r="J874" s="2">
        <v>42604</v>
      </c>
      <c r="K874" s="2" t="s">
        <v>8157</v>
      </c>
      <c r="L874" s="2">
        <v>24779649</v>
      </c>
      <c r="M874" s="2"/>
      <c r="N874" s="2"/>
      <c r="O874" s="2"/>
      <c r="P874" s="2"/>
      <c r="Q874" s="2"/>
      <c r="R874" s="2"/>
      <c r="S874" s="2"/>
      <c r="T874" s="2" t="s">
        <v>8158</v>
      </c>
      <c r="U874" s="2" t="s">
        <v>8159</v>
      </c>
      <c r="V874" s="2" t="s">
        <v>95</v>
      </c>
      <c r="W874" s="2" t="s">
        <v>152</v>
      </c>
      <c r="X874" s="2" t="s">
        <v>1484</v>
      </c>
      <c r="Y874" s="2" t="s">
        <v>98</v>
      </c>
      <c r="Z874" s="2" t="s">
        <v>154</v>
      </c>
      <c r="AA874" s="2" t="s">
        <v>1485</v>
      </c>
      <c r="AB874" s="2" t="s">
        <v>3086</v>
      </c>
      <c r="AC874" s="2">
        <v>52.84</v>
      </c>
      <c r="AD874" s="2">
        <v>81.75</v>
      </c>
      <c r="AE874" s="2">
        <v>0</v>
      </c>
      <c r="AF874" s="2" t="s">
        <v>5614</v>
      </c>
      <c r="AG874" s="2" t="s">
        <v>157</v>
      </c>
      <c r="AH874" s="2" t="s">
        <v>7702</v>
      </c>
      <c r="AI874" s="2">
        <v>1.8</v>
      </c>
      <c r="AJ874" s="2">
        <v>18.8967517255582</v>
      </c>
      <c r="AK874" s="2">
        <v>18.177734518883099</v>
      </c>
      <c r="AL874" s="2">
        <v>18.2271083746516</v>
      </c>
      <c r="AM874" s="2">
        <v>17.8776072488503</v>
      </c>
      <c r="AN874" s="2">
        <v>18.6882953584951</v>
      </c>
      <c r="AO874" s="2">
        <v>18.513160154046801</v>
      </c>
      <c r="AP874" s="2">
        <v>18.721027741269499</v>
      </c>
      <c r="AQ874" s="2">
        <v>18.314587094217199</v>
      </c>
      <c r="AR874" s="2">
        <v>17.087900357038102</v>
      </c>
      <c r="AS874" s="2">
        <v>17.3999528614893</v>
      </c>
      <c r="AT874" s="2">
        <v>18.491303057930999</v>
      </c>
      <c r="AU874" s="2">
        <v>17.850255097350001</v>
      </c>
      <c r="AV874" s="2">
        <v>17.224355500467802</v>
      </c>
      <c r="AW874" s="2">
        <v>17.424557933526199</v>
      </c>
      <c r="AX874" s="2">
        <v>18.0263603650194</v>
      </c>
      <c r="AY874" s="2">
        <v>18.826121663287498</v>
      </c>
      <c r="AZ874" s="2">
        <v>18.762829048144901</v>
      </c>
      <c r="BA874" s="2">
        <v>18.5649631735897</v>
      </c>
      <c r="BB874" s="2">
        <v>17.658616374849402</v>
      </c>
      <c r="BC874" s="2">
        <v>19.708158855314501</v>
      </c>
      <c r="BD874" s="2">
        <v>17.391885049299798</v>
      </c>
      <c r="BE874" s="2">
        <v>18.748758748690101</v>
      </c>
      <c r="BF874" s="2">
        <v>16.896905659097499</v>
      </c>
      <c r="BG874" s="2">
        <v>18.353852946262101</v>
      </c>
      <c r="BH874" s="2">
        <v>17.771940628028901</v>
      </c>
      <c r="BI874" s="2">
        <v>18.1060296519844</v>
      </c>
      <c r="BJ874" s="2">
        <v>18.364289730574999</v>
      </c>
      <c r="BK874" s="2">
        <v>16.753586961708599</v>
      </c>
      <c r="BL874" s="2">
        <v>17.8021658217564</v>
      </c>
      <c r="BM874" s="2">
        <v>17.464347117219798</v>
      </c>
      <c r="BN874" s="2">
        <v>17.4870256351062</v>
      </c>
      <c r="BO874" s="2">
        <v>18.043202802238401</v>
      </c>
      <c r="BP874" s="2">
        <v>17.508963074405699</v>
      </c>
      <c r="BQ874" s="2">
        <v>17.132993061434199</v>
      </c>
      <c r="BR874" s="2">
        <v>17.963630864857901</v>
      </c>
      <c r="BS874" s="2">
        <v>19.056643086051899</v>
      </c>
      <c r="BT874" s="2">
        <v>18.812160285995599</v>
      </c>
      <c r="BU874" s="2">
        <v>18.3481226401443</v>
      </c>
      <c r="BV874" s="2">
        <v>18.766675580142401</v>
      </c>
      <c r="BW874" s="2">
        <v>17.236616590922601</v>
      </c>
      <c r="BX874" s="2">
        <v>18.164839377308201</v>
      </c>
      <c r="BY874" s="2">
        <v>19.2171891024764</v>
      </c>
      <c r="BZ874" s="2">
        <v>17.5359024395995</v>
      </c>
      <c r="CA874" s="2">
        <v>17.635024759064699</v>
      </c>
      <c r="CB874" s="2">
        <v>18.205166190532299</v>
      </c>
      <c r="CC874" s="2">
        <v>17.6859007386245</v>
      </c>
      <c r="CD874" s="2">
        <v>18.780255367968699</v>
      </c>
      <c r="CE874" s="2">
        <v>18.373852724281502</v>
      </c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</row>
    <row r="875" spans="1:97">
      <c r="A875" s="2" t="s">
        <v>8160</v>
      </c>
      <c r="B875" s="2">
        <v>204.12360000000001</v>
      </c>
      <c r="C875" s="2">
        <v>3.677</v>
      </c>
      <c r="D875" s="2" t="s">
        <v>146</v>
      </c>
      <c r="E875" s="2" t="s">
        <v>8161</v>
      </c>
      <c r="F875" s="2" t="s">
        <v>8162</v>
      </c>
      <c r="G875" s="2">
        <v>2500</v>
      </c>
      <c r="H875" s="3" t="str">
        <f>HYPERLINK("https://cloud.oebiotech.com/#/lm/network/2500", "https://cloud.oebiotech.com/#/lm/network/2500")</f>
        <v>https://cloud.oebiotech.com/#/lm/network/2500</v>
      </c>
      <c r="I875" s="2" t="s">
        <v>8163</v>
      </c>
      <c r="J875" s="2">
        <v>44732</v>
      </c>
      <c r="K875" s="2" t="s">
        <v>8164</v>
      </c>
      <c r="L875" s="2">
        <v>66085</v>
      </c>
      <c r="M875" s="2"/>
      <c r="N875" s="2"/>
      <c r="O875" s="2"/>
      <c r="P875" s="2">
        <v>143265</v>
      </c>
      <c r="Q875" s="2"/>
      <c r="R875" s="2"/>
      <c r="S875" s="2" t="s">
        <v>8165</v>
      </c>
      <c r="T875" s="2" t="s">
        <v>8166</v>
      </c>
      <c r="U875" s="2" t="s">
        <v>8167</v>
      </c>
      <c r="V875" s="2" t="s">
        <v>95</v>
      </c>
      <c r="W875" s="2" t="s">
        <v>96</v>
      </c>
      <c r="X875" s="2" t="s">
        <v>141</v>
      </c>
      <c r="Y875" s="2" t="s">
        <v>98</v>
      </c>
      <c r="Z875" s="2" t="s">
        <v>99</v>
      </c>
      <c r="AA875" s="2" t="s">
        <v>142</v>
      </c>
      <c r="AB875" s="2" t="s">
        <v>3086</v>
      </c>
      <c r="AC875" s="2">
        <v>52.82</v>
      </c>
      <c r="AD875" s="2">
        <v>98.49</v>
      </c>
      <c r="AE875" s="2">
        <v>0</v>
      </c>
      <c r="AF875" s="2" t="s">
        <v>8168</v>
      </c>
      <c r="AG875" s="2" t="s">
        <v>157</v>
      </c>
      <c r="AH875" s="2" t="s">
        <v>5622</v>
      </c>
      <c r="AI875" s="2">
        <v>2.4500000000000002</v>
      </c>
      <c r="AJ875" s="2">
        <v>23.139455878132999</v>
      </c>
      <c r="AK875" s="2">
        <v>23.233651639535601</v>
      </c>
      <c r="AL875" s="2">
        <v>23.000265503022199</v>
      </c>
      <c r="AM875" s="2">
        <v>22.962815299418001</v>
      </c>
      <c r="AN875" s="2">
        <v>23.145423632337899</v>
      </c>
      <c r="AO875" s="2">
        <v>23.109645012585698</v>
      </c>
      <c r="AP875" s="2">
        <v>23.102433451270599</v>
      </c>
      <c r="AQ875" s="2">
        <v>23.008719819165201</v>
      </c>
      <c r="AR875" s="2">
        <v>22.975313588724799</v>
      </c>
      <c r="AS875" s="2">
        <v>23.011522877015501</v>
      </c>
      <c r="AT875" s="2">
        <v>23.169994956173699</v>
      </c>
      <c r="AU875" s="2">
        <v>23.079526022655301</v>
      </c>
      <c r="AV875" s="2">
        <v>23.1912739551125</v>
      </c>
      <c r="AW875" s="2">
        <v>22.8455490370958</v>
      </c>
      <c r="AX875" s="2">
        <v>23.177028810838301</v>
      </c>
      <c r="AY875" s="2">
        <v>23.2387484588481</v>
      </c>
      <c r="AZ875" s="2">
        <v>23.075583362505199</v>
      </c>
      <c r="BA875" s="2">
        <v>23.046560580642598</v>
      </c>
      <c r="BB875" s="2">
        <v>23.1048898659202</v>
      </c>
      <c r="BC875" s="2">
        <v>23.036634105893</v>
      </c>
      <c r="BD875" s="2">
        <v>22.924374875778</v>
      </c>
      <c r="BE875" s="2">
        <v>23.290114437019898</v>
      </c>
      <c r="BF875" s="2">
        <v>23.180843327047199</v>
      </c>
      <c r="BG875" s="2">
        <v>23.199229191817899</v>
      </c>
      <c r="BH875" s="2">
        <v>23.139068767122499</v>
      </c>
      <c r="BI875" s="2">
        <v>22.778048660774299</v>
      </c>
      <c r="BJ875" s="2">
        <v>23.163328884810898</v>
      </c>
      <c r="BK875" s="2">
        <v>23.209071877384101</v>
      </c>
      <c r="BL875" s="2">
        <v>23.035626570845199</v>
      </c>
      <c r="BM875" s="2">
        <v>23.232456356665399</v>
      </c>
      <c r="BN875" s="2">
        <v>23.157585349180501</v>
      </c>
      <c r="BO875" s="2">
        <v>23.125642903220498</v>
      </c>
      <c r="BP875" s="2">
        <v>23.1716758654618</v>
      </c>
      <c r="BQ875" s="2">
        <v>23.0812034988748</v>
      </c>
      <c r="BR875" s="2">
        <v>23.214287130051598</v>
      </c>
      <c r="BS875" s="2">
        <v>23.145838510581601</v>
      </c>
      <c r="BT875" s="2">
        <v>23.083285950204299</v>
      </c>
      <c r="BU875" s="2">
        <v>22.939988187605</v>
      </c>
      <c r="BV875" s="2">
        <v>23.0877436385252</v>
      </c>
      <c r="BW875" s="2">
        <v>23.196366661356802</v>
      </c>
      <c r="BX875" s="2">
        <v>23.2549991553627</v>
      </c>
      <c r="BY875" s="2">
        <v>23.0314203294195</v>
      </c>
      <c r="BZ875" s="2">
        <v>23.201664983711801</v>
      </c>
      <c r="CA875" s="2">
        <v>23.235892464803101</v>
      </c>
      <c r="CB875" s="2">
        <v>23.0243957341082</v>
      </c>
      <c r="CC875" s="2">
        <v>22.8735969748593</v>
      </c>
      <c r="CD875" s="2">
        <v>23.1423320774629</v>
      </c>
      <c r="CE875" s="2">
        <v>23.113135570843401</v>
      </c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</row>
    <row r="876" spans="1:97">
      <c r="A876" s="2" t="s">
        <v>8169</v>
      </c>
      <c r="B876" s="2">
        <v>212.16428999999999</v>
      </c>
      <c r="C876" s="2">
        <v>6.58</v>
      </c>
      <c r="D876" s="2" t="s">
        <v>84</v>
      </c>
      <c r="E876" s="2" t="s">
        <v>8170</v>
      </c>
      <c r="F876" s="2" t="s">
        <v>8171</v>
      </c>
      <c r="G876" s="2">
        <v>7755</v>
      </c>
      <c r="H876" s="3" t="str">
        <f>HYPERLINK("https://cloud.oebiotech.com/#/lm/network/7755", "https://cloud.oebiotech.com/#/lm/network/7755")</f>
        <v>https://cloud.oebiotech.com/#/lm/network/7755</v>
      </c>
      <c r="I876" s="2"/>
      <c r="J876" s="2"/>
      <c r="K876" s="2" t="s">
        <v>8172</v>
      </c>
      <c r="L876" s="2">
        <v>13988387</v>
      </c>
      <c r="M876" s="2"/>
      <c r="N876" s="2"/>
      <c r="O876" s="2"/>
      <c r="P876" s="2"/>
      <c r="Q876" s="2"/>
      <c r="R876" s="2"/>
      <c r="S876" s="2"/>
      <c r="T876" s="2" t="s">
        <v>8173</v>
      </c>
      <c r="U876" s="2" t="s">
        <v>8174</v>
      </c>
      <c r="V876" s="2" t="s">
        <v>553</v>
      </c>
      <c r="W876" s="2" t="s">
        <v>3480</v>
      </c>
      <c r="X876" s="2" t="s">
        <v>375</v>
      </c>
      <c r="Y876" s="2" t="s">
        <v>556</v>
      </c>
      <c r="Z876" s="2" t="s">
        <v>3482</v>
      </c>
      <c r="AA876" s="2"/>
      <c r="AB876" s="2" t="s">
        <v>5118</v>
      </c>
      <c r="AC876" s="2">
        <v>52.8</v>
      </c>
      <c r="AD876" s="2">
        <v>98.36</v>
      </c>
      <c r="AE876" s="2">
        <v>82.08</v>
      </c>
      <c r="AF876" s="2" t="s">
        <v>8175</v>
      </c>
      <c r="AG876" s="2" t="s">
        <v>132</v>
      </c>
      <c r="AH876" s="2" t="s">
        <v>1985</v>
      </c>
      <c r="AI876" s="2">
        <v>0.94</v>
      </c>
      <c r="AJ876" s="2">
        <v>24.315109766876802</v>
      </c>
      <c r="AK876" s="2">
        <v>24.6125867721315</v>
      </c>
      <c r="AL876" s="2">
        <v>25.262680686244501</v>
      </c>
      <c r="AM876" s="2">
        <v>25.0265532994807</v>
      </c>
      <c r="AN876" s="2">
        <v>25.002355485675398</v>
      </c>
      <c r="AO876" s="2">
        <v>24.772854572428201</v>
      </c>
      <c r="AP876" s="2">
        <v>25.186577465843101</v>
      </c>
      <c r="AQ876" s="2">
        <v>24.850318498842402</v>
      </c>
      <c r="AR876" s="2">
        <v>25.0599983393233</v>
      </c>
      <c r="AS876" s="2">
        <v>24.944198818401201</v>
      </c>
      <c r="AT876" s="2">
        <v>24.775955454703599</v>
      </c>
      <c r="AU876" s="2">
        <v>24.452325559697801</v>
      </c>
      <c r="AV876" s="2">
        <v>24.2749778996995</v>
      </c>
      <c r="AW876" s="2">
        <v>25.283131331549502</v>
      </c>
      <c r="AX876" s="2">
        <v>24.421495948922701</v>
      </c>
      <c r="AY876" s="2">
        <v>24.3064836746324</v>
      </c>
      <c r="AZ876" s="2">
        <v>24.125038969267798</v>
      </c>
      <c r="BA876" s="2">
        <v>24.403892384126198</v>
      </c>
      <c r="BB876" s="2">
        <v>24.719529106396099</v>
      </c>
      <c r="BC876" s="2">
        <v>24.464579315582</v>
      </c>
      <c r="BD876" s="2">
        <v>25.313337261649998</v>
      </c>
      <c r="BE876" s="2">
        <v>25.312607666786601</v>
      </c>
      <c r="BF876" s="2">
        <v>24.359769105879501</v>
      </c>
      <c r="BG876" s="2">
        <v>24.748355226886101</v>
      </c>
      <c r="BH876" s="2">
        <v>24.333692530533298</v>
      </c>
      <c r="BI876" s="2">
        <v>24.485842467171199</v>
      </c>
      <c r="BJ876" s="2">
        <v>24.502496420735699</v>
      </c>
      <c r="BK876" s="2">
        <v>24.104635657064001</v>
      </c>
      <c r="BL876" s="2">
        <v>24.911150751060202</v>
      </c>
      <c r="BM876" s="2">
        <v>24.7066650581739</v>
      </c>
      <c r="BN876" s="2">
        <v>24.856197007498501</v>
      </c>
      <c r="BO876" s="2">
        <v>24.8635514337739</v>
      </c>
      <c r="BP876" s="2">
        <v>24.7136697760156</v>
      </c>
      <c r="BQ876" s="2">
        <v>25.559692428469202</v>
      </c>
      <c r="BR876" s="2">
        <v>24.266439619718099</v>
      </c>
      <c r="BS876" s="2">
        <v>25.5409677297</v>
      </c>
      <c r="BT876" s="2">
        <v>24.705878466189802</v>
      </c>
      <c r="BU876" s="2">
        <v>24.768792190019699</v>
      </c>
      <c r="BV876" s="2">
        <v>25.3314902890701</v>
      </c>
      <c r="BW876" s="2">
        <v>24.815415860202499</v>
      </c>
      <c r="BX876" s="2">
        <v>24.5174186230883</v>
      </c>
      <c r="BY876" s="2">
        <v>24.472647757896802</v>
      </c>
      <c r="BZ876" s="2">
        <v>25.560959900228902</v>
      </c>
      <c r="CA876" s="2">
        <v>25.526547953986899</v>
      </c>
      <c r="CB876" s="2">
        <v>25.6191905584487</v>
      </c>
      <c r="CC876" s="2">
        <v>24.743549296477902</v>
      </c>
      <c r="CD876" s="2">
        <v>24.8170153027372</v>
      </c>
      <c r="CE876" s="2">
        <v>24.891036957853199</v>
      </c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</row>
    <row r="877" spans="1:97">
      <c r="A877" s="2" t="s">
        <v>8176</v>
      </c>
      <c r="B877" s="2">
        <v>299.01990000000001</v>
      </c>
      <c r="C877" s="2">
        <v>4.8079999999999998</v>
      </c>
      <c r="D877" s="2" t="s">
        <v>146</v>
      </c>
      <c r="E877" s="2" t="s">
        <v>8177</v>
      </c>
      <c r="F877" s="2" t="s">
        <v>8178</v>
      </c>
      <c r="G877" s="2">
        <v>34944</v>
      </c>
      <c r="H877" s="3" t="str">
        <f>HYPERLINK("https://cloud.oebiotech.com/#/lm/network/34944", "https://cloud.oebiotech.com/#/lm/network/34944")</f>
        <v>https://cloud.oebiotech.com/#/lm/network/34944</v>
      </c>
      <c r="I877" s="2"/>
      <c r="J877" s="2">
        <v>53225</v>
      </c>
      <c r="K877" s="2" t="s">
        <v>8179</v>
      </c>
      <c r="L877" s="2">
        <v>44260115</v>
      </c>
      <c r="M877" s="2"/>
      <c r="N877" s="2"/>
      <c r="O877" s="2"/>
      <c r="P877" s="2"/>
      <c r="Q877" s="2"/>
      <c r="R877" s="2"/>
      <c r="S877" s="2"/>
      <c r="T877" s="2" t="s">
        <v>8180</v>
      </c>
      <c r="U877" s="2" t="s">
        <v>8181</v>
      </c>
      <c r="V877" s="2" t="s">
        <v>845</v>
      </c>
      <c r="W877" s="2" t="s">
        <v>8182</v>
      </c>
      <c r="X877" s="2" t="s">
        <v>375</v>
      </c>
      <c r="Y877" s="2" t="s">
        <v>847</v>
      </c>
      <c r="Z877" s="2" t="s">
        <v>8183</v>
      </c>
      <c r="AA877" s="2"/>
      <c r="AB877" s="2" t="s">
        <v>3086</v>
      </c>
      <c r="AC877" s="2">
        <v>52.78</v>
      </c>
      <c r="AD877" s="2">
        <v>90.44</v>
      </c>
      <c r="AE877" s="2">
        <v>0</v>
      </c>
      <c r="AF877" s="2" t="s">
        <v>5614</v>
      </c>
      <c r="AG877" s="2" t="s">
        <v>993</v>
      </c>
      <c r="AH877" s="2" t="s">
        <v>8184</v>
      </c>
      <c r="AI877" s="2">
        <v>-2.34</v>
      </c>
      <c r="AJ877" s="2">
        <v>17.5721268650829</v>
      </c>
      <c r="AK877" s="2">
        <v>17.6183444899488</v>
      </c>
      <c r="AL877" s="2">
        <v>17.791851581518401</v>
      </c>
      <c r="AM877" s="2">
        <v>17.573454220635298</v>
      </c>
      <c r="AN877" s="2">
        <v>17.642233936774399</v>
      </c>
      <c r="AO877" s="2">
        <v>17.681408291307601</v>
      </c>
      <c r="AP877" s="2">
        <v>17.233111547290399</v>
      </c>
      <c r="AQ877" s="2">
        <v>17.5617121697552</v>
      </c>
      <c r="AR877" s="2">
        <v>15.128204215257</v>
      </c>
      <c r="AS877" s="2">
        <v>14.458114994282599</v>
      </c>
      <c r="AT877" s="2">
        <v>9.6233145402724691</v>
      </c>
      <c r="AU877" s="2">
        <v>15.117037928826701</v>
      </c>
      <c r="AV877" s="2">
        <v>18.4869972449447</v>
      </c>
      <c r="AW877" s="2">
        <v>17.464144467307499</v>
      </c>
      <c r="AX877" s="2">
        <v>16.427954914001401</v>
      </c>
      <c r="AY877" s="2">
        <v>14.959789622278301</v>
      </c>
      <c r="AZ877" s="2">
        <v>16.397761356472799</v>
      </c>
      <c r="BA877" s="2">
        <v>14.5637676827302</v>
      </c>
      <c r="BB877" s="2">
        <v>14.977492358300401</v>
      </c>
      <c r="BC877" s="2">
        <v>11.7845939522614</v>
      </c>
      <c r="BD877" s="2">
        <v>17.075869561937001</v>
      </c>
      <c r="BE877" s="2">
        <v>18.944637204656999</v>
      </c>
      <c r="BF877" s="2">
        <v>16.881670712673799</v>
      </c>
      <c r="BG877" s="2">
        <v>15.936421702559301</v>
      </c>
      <c r="BH877" s="2">
        <v>17.830328024761101</v>
      </c>
      <c r="BI877" s="2">
        <v>18.430931451172501</v>
      </c>
      <c r="BJ877" s="2">
        <v>18.908818653002101</v>
      </c>
      <c r="BK877" s="2">
        <v>13.070540271624299</v>
      </c>
      <c r="BL877" s="2">
        <v>17.149599179322799</v>
      </c>
      <c r="BM877" s="2">
        <v>12.345371978962</v>
      </c>
      <c r="BN877" s="2">
        <v>15.0759633370985</v>
      </c>
      <c r="BO877" s="2">
        <v>12.244244894105501</v>
      </c>
      <c r="BP877" s="2">
        <v>18.5465487526928</v>
      </c>
      <c r="BQ877" s="2">
        <v>16.993407352601398</v>
      </c>
      <c r="BR877" s="2">
        <v>16.718774865725699</v>
      </c>
      <c r="BS877" s="2">
        <v>16.727094028307299</v>
      </c>
      <c r="BT877" s="2">
        <v>16.904426000934802</v>
      </c>
      <c r="BU877" s="2">
        <v>15.2557563008614</v>
      </c>
      <c r="BV877" s="2">
        <v>15.1733644404249</v>
      </c>
      <c r="BW877" s="2">
        <v>9.6233145402724691</v>
      </c>
      <c r="BX877" s="2">
        <v>16.7724014402724</v>
      </c>
      <c r="BY877" s="2">
        <v>19.648043503226202</v>
      </c>
      <c r="BZ877" s="2">
        <v>13.797472058376099</v>
      </c>
      <c r="CA877" s="2">
        <v>13.771881452940301</v>
      </c>
      <c r="CB877" s="2">
        <v>17.467518069397901</v>
      </c>
      <c r="CC877" s="2">
        <v>14.7061781541349</v>
      </c>
      <c r="CD877" s="2">
        <v>18.129671262607999</v>
      </c>
      <c r="CE877" s="2">
        <v>9.6233145402724691</v>
      </c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</row>
    <row r="878" spans="1:97">
      <c r="A878" s="2" t="s">
        <v>8185</v>
      </c>
      <c r="B878" s="2">
        <v>501.33631000000003</v>
      </c>
      <c r="C878" s="2">
        <v>8.798</v>
      </c>
      <c r="D878" s="2" t="s">
        <v>146</v>
      </c>
      <c r="E878" s="2" t="s">
        <v>8186</v>
      </c>
      <c r="F878" s="2" t="s">
        <v>8187</v>
      </c>
      <c r="G878" s="2">
        <v>257055</v>
      </c>
      <c r="H878" s="3" t="str">
        <f>HYPERLINK("https://cloud.oebiotech.com/#/lm/network/257055", "https://cloud.oebiotech.com/#/lm/network/257055")</f>
        <v>https://cloud.oebiotech.com/#/lm/network/257055</v>
      </c>
      <c r="I878" s="2" t="s">
        <v>8188</v>
      </c>
      <c r="J878" s="2"/>
      <c r="K878" s="2"/>
      <c r="L878" s="2">
        <v>73197911</v>
      </c>
      <c r="M878" s="2"/>
      <c r="N878" s="2"/>
      <c r="O878" s="2"/>
      <c r="P878" s="2"/>
      <c r="Q878" s="2"/>
      <c r="R878" s="2"/>
      <c r="S878" s="2"/>
      <c r="T878" s="2" t="s">
        <v>8189</v>
      </c>
      <c r="U878" s="2" t="s">
        <v>8190</v>
      </c>
      <c r="V878" s="2" t="s">
        <v>95</v>
      </c>
      <c r="W878" s="2" t="s">
        <v>152</v>
      </c>
      <c r="X878" s="2" t="s">
        <v>278</v>
      </c>
      <c r="Y878" s="2" t="s">
        <v>98</v>
      </c>
      <c r="Z878" s="2" t="s">
        <v>154</v>
      </c>
      <c r="AA878" s="2" t="s">
        <v>279</v>
      </c>
      <c r="AB878" s="2" t="s">
        <v>3086</v>
      </c>
      <c r="AC878" s="2">
        <v>52.78</v>
      </c>
      <c r="AD878" s="2">
        <v>74.94</v>
      </c>
      <c r="AE878" s="2">
        <v>31.4957142857143</v>
      </c>
      <c r="AF878" s="2" t="s">
        <v>8191</v>
      </c>
      <c r="AG878" s="2" t="s">
        <v>4062</v>
      </c>
      <c r="AH878" s="2" t="s">
        <v>8192</v>
      </c>
      <c r="AI878" s="2">
        <v>-2.19</v>
      </c>
      <c r="AJ878" s="2">
        <v>19.3148958969844</v>
      </c>
      <c r="AK878" s="2">
        <v>19.480076552637801</v>
      </c>
      <c r="AL878" s="2">
        <v>19.0011776416614</v>
      </c>
      <c r="AM878" s="2">
        <v>19.315864464532101</v>
      </c>
      <c r="AN878" s="2">
        <v>19.011399805829999</v>
      </c>
      <c r="AO878" s="2">
        <v>19.383508723040201</v>
      </c>
      <c r="AP878" s="2">
        <v>19.329754957879899</v>
      </c>
      <c r="AQ878" s="2">
        <v>19.159422296644198</v>
      </c>
      <c r="AR878" s="2">
        <v>19.352551094473199</v>
      </c>
      <c r="AS878" s="2">
        <v>19.377681253181098</v>
      </c>
      <c r="AT878" s="2">
        <v>19.3479857720632</v>
      </c>
      <c r="AU878" s="2">
        <v>19.222367435480599</v>
      </c>
      <c r="AV878" s="2">
        <v>19.220309358149301</v>
      </c>
      <c r="AW878" s="2">
        <v>19.457409617571599</v>
      </c>
      <c r="AX878" s="2">
        <v>18.978917378155899</v>
      </c>
      <c r="AY878" s="2">
        <v>19.1827873318474</v>
      </c>
      <c r="AZ878" s="2">
        <v>19.117907125279</v>
      </c>
      <c r="BA878" s="2">
        <v>19.1428905568748</v>
      </c>
      <c r="BB878" s="2">
        <v>19.345593792822701</v>
      </c>
      <c r="BC878" s="2">
        <v>19.342201092783899</v>
      </c>
      <c r="BD878" s="2">
        <v>19.371842291423199</v>
      </c>
      <c r="BE878" s="2">
        <v>19.393285138370299</v>
      </c>
      <c r="BF878" s="2">
        <v>19.421172068115499</v>
      </c>
      <c r="BG878" s="2">
        <v>19.234583362359299</v>
      </c>
      <c r="BH878" s="2">
        <v>19.189550307467201</v>
      </c>
      <c r="BI878" s="2">
        <v>19.205117758490299</v>
      </c>
      <c r="BJ878" s="2">
        <v>19.302283636557998</v>
      </c>
      <c r="BK878" s="2">
        <v>19.295836092922599</v>
      </c>
      <c r="BL878" s="2">
        <v>19.259608413833</v>
      </c>
      <c r="BM878" s="2">
        <v>19.0670670067997</v>
      </c>
      <c r="BN878" s="2">
        <v>19.072028213564401</v>
      </c>
      <c r="BO878" s="2">
        <v>19.273075660781402</v>
      </c>
      <c r="BP878" s="2">
        <v>19.012554761382098</v>
      </c>
      <c r="BQ878" s="2">
        <v>19.2189282340874</v>
      </c>
      <c r="BR878" s="2">
        <v>18.824747284017299</v>
      </c>
      <c r="BS878" s="2">
        <v>19.046850552480699</v>
      </c>
      <c r="BT878" s="2">
        <v>18.834898681781901</v>
      </c>
      <c r="BU878" s="2">
        <v>19.2569481216672</v>
      </c>
      <c r="BV878" s="2">
        <v>19.108480709311699</v>
      </c>
      <c r="BW878" s="2">
        <v>19.288471465706198</v>
      </c>
      <c r="BX878" s="2">
        <v>19.269050227585399</v>
      </c>
      <c r="BY878" s="2">
        <v>19.1785781274051</v>
      </c>
      <c r="BZ878" s="2">
        <v>19.075826771078301</v>
      </c>
      <c r="CA878" s="2">
        <v>19.416485849682601</v>
      </c>
      <c r="CB878" s="2">
        <v>19.436072707600999</v>
      </c>
      <c r="CC878" s="2">
        <v>19.332401871408202</v>
      </c>
      <c r="CD878" s="2">
        <v>19.490997416510499</v>
      </c>
      <c r="CE878" s="2">
        <v>19.029388231499599</v>
      </c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</row>
    <row r="879" spans="1:97">
      <c r="A879" s="2" t="s">
        <v>8193</v>
      </c>
      <c r="B879" s="2">
        <v>347.22111000000001</v>
      </c>
      <c r="C879" s="2">
        <v>7.32</v>
      </c>
      <c r="D879" s="2" t="s">
        <v>84</v>
      </c>
      <c r="E879" s="2" t="s">
        <v>8194</v>
      </c>
      <c r="F879" s="2" t="s">
        <v>8195</v>
      </c>
      <c r="G879" s="2">
        <v>44991</v>
      </c>
      <c r="H879" s="3" t="str">
        <f>HYPERLINK("https://cloud.oebiotech.com/#/lm/network/44991", "https://cloud.oebiotech.com/#/lm/network/44991")</f>
        <v>https://cloud.oebiotech.com/#/lm/network/44991</v>
      </c>
      <c r="I879" s="2"/>
      <c r="J879" s="2">
        <v>1915</v>
      </c>
      <c r="K879" s="2" t="s">
        <v>8196</v>
      </c>
      <c r="L879" s="2">
        <v>5866</v>
      </c>
      <c r="M879" s="2" t="s">
        <v>8197</v>
      </c>
      <c r="N879" s="2" t="s">
        <v>1564</v>
      </c>
      <c r="O879" s="2" t="s">
        <v>1565</v>
      </c>
      <c r="P879" s="2">
        <v>9901</v>
      </c>
      <c r="Q879" s="2"/>
      <c r="R879" s="2"/>
      <c r="S879" s="2" t="s">
        <v>8198</v>
      </c>
      <c r="T879" s="2" t="s">
        <v>8199</v>
      </c>
      <c r="U879" s="2" t="s">
        <v>8200</v>
      </c>
      <c r="V879" s="2" t="s">
        <v>95</v>
      </c>
      <c r="W879" s="2" t="s">
        <v>152</v>
      </c>
      <c r="X879" s="2" t="s">
        <v>153</v>
      </c>
      <c r="Y879" s="2" t="s">
        <v>98</v>
      </c>
      <c r="Z879" s="2" t="s">
        <v>154</v>
      </c>
      <c r="AA879" s="2" t="s">
        <v>155</v>
      </c>
      <c r="AB879" s="2" t="s">
        <v>3086</v>
      </c>
      <c r="AC879" s="2">
        <v>52.75</v>
      </c>
      <c r="AD879" s="2">
        <v>86.96</v>
      </c>
      <c r="AE879" s="2">
        <v>0</v>
      </c>
      <c r="AF879" s="2" t="s">
        <v>5614</v>
      </c>
      <c r="AG879" s="2" t="s">
        <v>1088</v>
      </c>
      <c r="AH879" s="2" t="s">
        <v>4037</v>
      </c>
      <c r="AI879" s="2">
        <v>3.46</v>
      </c>
      <c r="AJ879" s="2">
        <v>17.112991041596899</v>
      </c>
      <c r="AK879" s="2">
        <v>17.1777754375081</v>
      </c>
      <c r="AL879" s="2">
        <v>17.118937018381502</v>
      </c>
      <c r="AM879" s="2">
        <v>16.394701326484</v>
      </c>
      <c r="AN879" s="2">
        <v>17.154675829684301</v>
      </c>
      <c r="AO879" s="2">
        <v>16.883566765180898</v>
      </c>
      <c r="AP879" s="2">
        <v>16.3332752204273</v>
      </c>
      <c r="AQ879" s="2">
        <v>16.432338321964</v>
      </c>
      <c r="AR879" s="2">
        <v>9.6233145402724691</v>
      </c>
      <c r="AS879" s="2">
        <v>9.6233145402724691</v>
      </c>
      <c r="AT879" s="2">
        <v>17.082371014151601</v>
      </c>
      <c r="AU879" s="2">
        <v>9.6233145402724691</v>
      </c>
      <c r="AV879" s="2">
        <v>14.414913116064</v>
      </c>
      <c r="AW879" s="2">
        <v>18.056165946980101</v>
      </c>
      <c r="AX879" s="2">
        <v>18.367495677029101</v>
      </c>
      <c r="AY879" s="2">
        <v>14.980242241021999</v>
      </c>
      <c r="AZ879" s="2">
        <v>17.348350818423899</v>
      </c>
      <c r="BA879" s="2">
        <v>13.791323676587201</v>
      </c>
      <c r="BB879" s="2">
        <v>20.223627388457601</v>
      </c>
      <c r="BC879" s="2">
        <v>17.654954337786499</v>
      </c>
      <c r="BD879" s="2">
        <v>16.2388362964648</v>
      </c>
      <c r="BE879" s="2">
        <v>17.585041601399599</v>
      </c>
      <c r="BF879" s="2">
        <v>9.6233145402724691</v>
      </c>
      <c r="BG879" s="2">
        <v>16.728039805845501</v>
      </c>
      <c r="BH879" s="2">
        <v>16.245893582900901</v>
      </c>
      <c r="BI879" s="2">
        <v>9.6233145402724691</v>
      </c>
      <c r="BJ879" s="2">
        <v>17.6666059196315</v>
      </c>
      <c r="BK879" s="2">
        <v>17.8662164077375</v>
      </c>
      <c r="BL879" s="2">
        <v>18.519579090263601</v>
      </c>
      <c r="BM879" s="2">
        <v>17.680713683760899</v>
      </c>
      <c r="BN879" s="2">
        <v>15.4235817818115</v>
      </c>
      <c r="BO879" s="2">
        <v>16.249261997015498</v>
      </c>
      <c r="BP879" s="2">
        <v>16.455025824575699</v>
      </c>
      <c r="BQ879" s="2">
        <v>17.0172767872252</v>
      </c>
      <c r="BR879" s="2">
        <v>9.6233145402724691</v>
      </c>
      <c r="BS879" s="2">
        <v>13.3332601935243</v>
      </c>
      <c r="BT879" s="2">
        <v>16.267013041843999</v>
      </c>
      <c r="BU879" s="2">
        <v>15.7314964397825</v>
      </c>
      <c r="BV879" s="2">
        <v>15.5572988520655</v>
      </c>
      <c r="BW879" s="2">
        <v>16.528770001485</v>
      </c>
      <c r="BX879" s="2">
        <v>15.223552269843101</v>
      </c>
      <c r="BY879" s="2">
        <v>17.987131696034201</v>
      </c>
      <c r="BZ879" s="2">
        <v>13.610179364645701</v>
      </c>
      <c r="CA879" s="2">
        <v>9.6233145402724691</v>
      </c>
      <c r="CB879" s="2">
        <v>15.5198871425237</v>
      </c>
      <c r="CC879" s="2">
        <v>14.3261029055768</v>
      </c>
      <c r="CD879" s="2">
        <v>17.196959471234202</v>
      </c>
      <c r="CE879" s="2">
        <v>17.524264924018599</v>
      </c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</row>
    <row r="880" spans="1:97">
      <c r="A880" s="2" t="s">
        <v>8201</v>
      </c>
      <c r="B880" s="2">
        <v>429.31801000000002</v>
      </c>
      <c r="C880" s="2">
        <v>12.081</v>
      </c>
      <c r="D880" s="2" t="s">
        <v>84</v>
      </c>
      <c r="E880" s="2" t="s">
        <v>8202</v>
      </c>
      <c r="F880" s="2" t="s">
        <v>8203</v>
      </c>
      <c r="G880" s="2">
        <v>7562</v>
      </c>
      <c r="H880" s="3" t="str">
        <f>HYPERLINK("https://cloud.oebiotech.com/#/lm/network/7562", "https://cloud.oebiotech.com/#/lm/network/7562")</f>
        <v>https://cloud.oebiotech.com/#/lm/network/7562</v>
      </c>
      <c r="I880" s="2" t="s">
        <v>8204</v>
      </c>
      <c r="J880" s="2">
        <v>88342</v>
      </c>
      <c r="K880" s="2" t="s">
        <v>8205</v>
      </c>
      <c r="L880" s="2">
        <v>6435858</v>
      </c>
      <c r="M880" s="2"/>
      <c r="N880" s="2"/>
      <c r="O880" s="2"/>
      <c r="P880" s="2"/>
      <c r="Q880" s="2"/>
      <c r="R880" s="2"/>
      <c r="S880" s="2" t="s">
        <v>8206</v>
      </c>
      <c r="T880" s="2" t="s">
        <v>8207</v>
      </c>
      <c r="U880" s="2" t="s">
        <v>8208</v>
      </c>
      <c r="V880" s="2" t="s">
        <v>95</v>
      </c>
      <c r="W880" s="2" t="s">
        <v>96</v>
      </c>
      <c r="X880" s="2" t="s">
        <v>97</v>
      </c>
      <c r="Y880" s="2" t="s">
        <v>98</v>
      </c>
      <c r="Z880" s="2" t="s">
        <v>99</v>
      </c>
      <c r="AA880" s="2" t="s">
        <v>100</v>
      </c>
      <c r="AB880" s="2" t="s">
        <v>3086</v>
      </c>
      <c r="AC880" s="2">
        <v>52.74</v>
      </c>
      <c r="AD880" s="2">
        <v>93.19</v>
      </c>
      <c r="AE880" s="2">
        <v>35.33</v>
      </c>
      <c r="AF880" s="2" t="s">
        <v>8209</v>
      </c>
      <c r="AG880" s="2" t="s">
        <v>103</v>
      </c>
      <c r="AH880" s="2" t="s">
        <v>8210</v>
      </c>
      <c r="AI880" s="2">
        <v>7.22</v>
      </c>
      <c r="AJ880" s="2">
        <v>21.7409852733003</v>
      </c>
      <c r="AK880" s="2">
        <v>21.875271028344699</v>
      </c>
      <c r="AL880" s="2">
        <v>21.613487579723301</v>
      </c>
      <c r="AM880" s="2">
        <v>21.9315385501348</v>
      </c>
      <c r="AN880" s="2">
        <v>21.635830414738201</v>
      </c>
      <c r="AO880" s="2">
        <v>21.343885556066201</v>
      </c>
      <c r="AP880" s="2">
        <v>21.644734769505298</v>
      </c>
      <c r="AQ880" s="2">
        <v>20.901447685320001</v>
      </c>
      <c r="AR880" s="2">
        <v>21.919374805014499</v>
      </c>
      <c r="AS880" s="2">
        <v>22.156131759682999</v>
      </c>
      <c r="AT880" s="2">
        <v>22.050854568915501</v>
      </c>
      <c r="AU880" s="2">
        <v>21.437564395425799</v>
      </c>
      <c r="AV880" s="2">
        <v>21.476457240518801</v>
      </c>
      <c r="AW880" s="2">
        <v>22.1357476165748</v>
      </c>
      <c r="AX880" s="2">
        <v>21.509079778786301</v>
      </c>
      <c r="AY880" s="2">
        <v>21.873611475120398</v>
      </c>
      <c r="AZ880" s="2">
        <v>21.2535853756875</v>
      </c>
      <c r="BA880" s="2">
        <v>21.829750215762001</v>
      </c>
      <c r="BB880" s="2">
        <v>22.125864198122201</v>
      </c>
      <c r="BC880" s="2">
        <v>22.0516321840907</v>
      </c>
      <c r="BD880" s="2">
        <v>22.1135547395251</v>
      </c>
      <c r="BE880" s="2">
        <v>21.003358294050201</v>
      </c>
      <c r="BF880" s="2">
        <v>22.118591518080599</v>
      </c>
      <c r="BG880" s="2">
        <v>21.948459493998399</v>
      </c>
      <c r="BH880" s="2">
        <v>21.213669127633199</v>
      </c>
      <c r="BI880" s="2">
        <v>21.712467113320901</v>
      </c>
      <c r="BJ880" s="2">
        <v>21.230005953828801</v>
      </c>
      <c r="BK880" s="2">
        <v>21.1852816645895</v>
      </c>
      <c r="BL880" s="2">
        <v>22.4967164609332</v>
      </c>
      <c r="BM880" s="2">
        <v>21.040354771635901</v>
      </c>
      <c r="BN880" s="2">
        <v>21.523720116391601</v>
      </c>
      <c r="BO880" s="2">
        <v>22.0178914382948</v>
      </c>
      <c r="BP880" s="2">
        <v>21.687452187368699</v>
      </c>
      <c r="BQ880" s="2">
        <v>21.3394348937445</v>
      </c>
      <c r="BR880" s="2">
        <v>21.200710757852899</v>
      </c>
      <c r="BS880" s="2">
        <v>20.8373077350087</v>
      </c>
      <c r="BT880" s="2">
        <v>21.336117931748099</v>
      </c>
      <c r="BU880" s="2">
        <v>21.614680439695999</v>
      </c>
      <c r="BV880" s="2">
        <v>21.9126478001903</v>
      </c>
      <c r="BW880" s="2">
        <v>20.9960170712218</v>
      </c>
      <c r="BX880" s="2">
        <v>20.5810461116453</v>
      </c>
      <c r="BY880" s="2">
        <v>21.627645321656502</v>
      </c>
      <c r="BZ880" s="2">
        <v>21.080025428824001</v>
      </c>
      <c r="CA880" s="2">
        <v>20.860320778369498</v>
      </c>
      <c r="CB880" s="2">
        <v>21.5667114393746</v>
      </c>
      <c r="CC880" s="2">
        <v>21.330241490440301</v>
      </c>
      <c r="CD880" s="2">
        <v>21.2670404944589</v>
      </c>
      <c r="CE880" s="2">
        <v>22.232047642305101</v>
      </c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</row>
    <row r="881" spans="1:97">
      <c r="A881" s="2" t="s">
        <v>8211</v>
      </c>
      <c r="B881" s="2">
        <v>610.35794999999996</v>
      </c>
      <c r="C881" s="2">
        <v>8.516</v>
      </c>
      <c r="D881" s="2" t="s">
        <v>84</v>
      </c>
      <c r="E881" s="2" t="s">
        <v>8212</v>
      </c>
      <c r="F881" s="2" t="s">
        <v>8213</v>
      </c>
      <c r="G881" s="2">
        <v>43781</v>
      </c>
      <c r="H881" s="3" t="str">
        <f>HYPERLINK("https://cloud.oebiotech.com/#/lm/network/43781", "https://cloud.oebiotech.com/#/lm/network/43781")</f>
        <v>https://cloud.oebiotech.com/#/lm/network/43781</v>
      </c>
      <c r="I881" s="2"/>
      <c r="J881" s="2"/>
      <c r="K881" s="2" t="s">
        <v>8214</v>
      </c>
      <c r="L881" s="2"/>
      <c r="M881" s="2"/>
      <c r="N881" s="2"/>
      <c r="O881" s="2"/>
      <c r="P881" s="2"/>
      <c r="Q881" s="2"/>
      <c r="R881" s="2"/>
      <c r="S881" s="2"/>
      <c r="T881" s="2" t="s">
        <v>8215</v>
      </c>
      <c r="U881" s="2" t="s">
        <v>8216</v>
      </c>
      <c r="V881" s="2" t="s">
        <v>95</v>
      </c>
      <c r="W881" s="2" t="s">
        <v>180</v>
      </c>
      <c r="X881" s="2" t="s">
        <v>1790</v>
      </c>
      <c r="Y881" s="2" t="s">
        <v>98</v>
      </c>
      <c r="Z881" s="2" t="s">
        <v>182</v>
      </c>
      <c r="AA881" s="2" t="s">
        <v>1791</v>
      </c>
      <c r="AB881" s="2" t="s">
        <v>3086</v>
      </c>
      <c r="AC881" s="2">
        <v>52.74</v>
      </c>
      <c r="AD881" s="2">
        <v>76.819999999999993</v>
      </c>
      <c r="AE881" s="2">
        <v>0</v>
      </c>
      <c r="AF881" s="2" t="s">
        <v>8217</v>
      </c>
      <c r="AG881" s="2" t="s">
        <v>132</v>
      </c>
      <c r="AH881" s="2" t="s">
        <v>8218</v>
      </c>
      <c r="AI881" s="2">
        <v>1.1499999999999999</v>
      </c>
      <c r="AJ881" s="2">
        <v>17.222530504021002</v>
      </c>
      <c r="AK881" s="2">
        <v>17.798245286375401</v>
      </c>
      <c r="AL881" s="2">
        <v>17.662003014318</v>
      </c>
      <c r="AM881" s="2">
        <v>17.281526656915499</v>
      </c>
      <c r="AN881" s="2">
        <v>17.083916702617699</v>
      </c>
      <c r="AO881" s="2">
        <v>17.8470168994475</v>
      </c>
      <c r="AP881" s="2">
        <v>17.6723902576237</v>
      </c>
      <c r="AQ881" s="2">
        <v>17.993290029849899</v>
      </c>
      <c r="AR881" s="2">
        <v>17.343232742485998</v>
      </c>
      <c r="AS881" s="2">
        <v>9.6233145402724691</v>
      </c>
      <c r="AT881" s="2">
        <v>16.001922282818398</v>
      </c>
      <c r="AU881" s="2">
        <v>17.877773002353798</v>
      </c>
      <c r="AV881" s="2">
        <v>20.663733222296401</v>
      </c>
      <c r="AW881" s="2">
        <v>17.101549892481501</v>
      </c>
      <c r="AX881" s="2">
        <v>9.6233145402724691</v>
      </c>
      <c r="AY881" s="2">
        <v>19.080114086019201</v>
      </c>
      <c r="AZ881" s="2">
        <v>18.737655110066601</v>
      </c>
      <c r="BA881" s="2">
        <v>9.6233145402724691</v>
      </c>
      <c r="BB881" s="2">
        <v>9.6233145402724691</v>
      </c>
      <c r="BC881" s="2">
        <v>9.6233145402724691</v>
      </c>
      <c r="BD881" s="2">
        <v>15.9676207481209</v>
      </c>
      <c r="BE881" s="2">
        <v>19.752282192978299</v>
      </c>
      <c r="BF881" s="2">
        <v>9.6233145402724691</v>
      </c>
      <c r="BG881" s="2">
        <v>9.6233145402724691</v>
      </c>
      <c r="BH881" s="2">
        <v>17.321311577354901</v>
      </c>
      <c r="BI881" s="2">
        <v>16.338605997991898</v>
      </c>
      <c r="BJ881" s="2">
        <v>18.417812884389399</v>
      </c>
      <c r="BK881" s="2">
        <v>9.6233145402724691</v>
      </c>
      <c r="BL881" s="2">
        <v>14.250975632685099</v>
      </c>
      <c r="BM881" s="2">
        <v>17.2084744318432</v>
      </c>
      <c r="BN881" s="2">
        <v>15.4996475402436</v>
      </c>
      <c r="BO881" s="2">
        <v>15.746291507060199</v>
      </c>
      <c r="BP881" s="2">
        <v>18.5431790465646</v>
      </c>
      <c r="BQ881" s="2">
        <v>20.130152248999298</v>
      </c>
      <c r="BR881" s="2">
        <v>13.6686412651946</v>
      </c>
      <c r="BS881" s="2">
        <v>20.496443680856</v>
      </c>
      <c r="BT881" s="2">
        <v>17.617115228733301</v>
      </c>
      <c r="BU881" s="2">
        <v>15.787791629585399</v>
      </c>
      <c r="BV881" s="2">
        <v>9.6233145402724691</v>
      </c>
      <c r="BW881" s="2">
        <v>9.6233145402724691</v>
      </c>
      <c r="BX881" s="2">
        <v>15.7870378460812</v>
      </c>
      <c r="BY881" s="2">
        <v>20.430450183108601</v>
      </c>
      <c r="BZ881" s="2">
        <v>9.6233145402724691</v>
      </c>
      <c r="CA881" s="2">
        <v>9.6233145402724691</v>
      </c>
      <c r="CB881" s="2">
        <v>14.162098605696499</v>
      </c>
      <c r="CC881" s="2">
        <v>9.6233145402724691</v>
      </c>
      <c r="CD881" s="2">
        <v>15.895127210557501</v>
      </c>
      <c r="CE881" s="2">
        <v>9.6233145402724691</v>
      </c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</row>
    <row r="882" spans="1:97">
      <c r="A882" s="2" t="s">
        <v>8219</v>
      </c>
      <c r="B882" s="2">
        <v>158.08099000000001</v>
      </c>
      <c r="C882" s="2">
        <v>0.83</v>
      </c>
      <c r="D882" s="2" t="s">
        <v>84</v>
      </c>
      <c r="E882" s="2" t="s">
        <v>8220</v>
      </c>
      <c r="F882" s="2" t="s">
        <v>8221</v>
      </c>
      <c r="G882" s="2">
        <v>58314</v>
      </c>
      <c r="H882" s="3" t="str">
        <f>HYPERLINK("https://cloud.oebiotech.com/#/lm/network/58314", "https://cloud.oebiotech.com/#/lm/network/58314")</f>
        <v>https://cloud.oebiotech.com/#/lm/network/58314</v>
      </c>
      <c r="I882" s="2" t="s">
        <v>8222</v>
      </c>
      <c r="J882" s="2">
        <v>89805</v>
      </c>
      <c r="K882" s="2"/>
      <c r="L882" s="2">
        <v>101122</v>
      </c>
      <c r="M882" s="2"/>
      <c r="N882" s="2"/>
      <c r="O882" s="2"/>
      <c r="P882" s="2">
        <v>64305</v>
      </c>
      <c r="Q882" s="2"/>
      <c r="R882" s="2"/>
      <c r="S882" s="2" t="s">
        <v>8223</v>
      </c>
      <c r="T882" s="2" t="s">
        <v>8224</v>
      </c>
      <c r="U882" s="2" t="s">
        <v>8225</v>
      </c>
      <c r="V882" s="2" t="s">
        <v>115</v>
      </c>
      <c r="W882" s="2" t="s">
        <v>116</v>
      </c>
      <c r="X882" s="2" t="s">
        <v>117</v>
      </c>
      <c r="Y882" s="2" t="s">
        <v>118</v>
      </c>
      <c r="Z882" s="2" t="s">
        <v>119</v>
      </c>
      <c r="AA882" s="2" t="s">
        <v>120</v>
      </c>
      <c r="AB882" s="2" t="s">
        <v>3086</v>
      </c>
      <c r="AC882" s="2">
        <v>52.73</v>
      </c>
      <c r="AD882" s="2">
        <v>95.42</v>
      </c>
      <c r="AE882" s="2">
        <v>0</v>
      </c>
      <c r="AF882" s="2" t="s">
        <v>5614</v>
      </c>
      <c r="AG882" s="2" t="s">
        <v>1088</v>
      </c>
      <c r="AH882" s="2" t="s">
        <v>8226</v>
      </c>
      <c r="AI882" s="2">
        <v>5.0599999999999996</v>
      </c>
      <c r="AJ882" s="2">
        <v>20.678916213210901</v>
      </c>
      <c r="AK882" s="2">
        <v>20.422760670157299</v>
      </c>
      <c r="AL882" s="2">
        <v>20.817495774923099</v>
      </c>
      <c r="AM882" s="2">
        <v>20.627743179977799</v>
      </c>
      <c r="AN882" s="2">
        <v>20.739344935846098</v>
      </c>
      <c r="AO882" s="2">
        <v>20.0835754916768</v>
      </c>
      <c r="AP882" s="2">
        <v>19.8278827236471</v>
      </c>
      <c r="AQ882" s="2">
        <v>20.590962483613399</v>
      </c>
      <c r="AR882" s="2">
        <v>20.671255547682001</v>
      </c>
      <c r="AS882" s="2">
        <v>20.5784050611875</v>
      </c>
      <c r="AT882" s="2">
        <v>20.693804448464</v>
      </c>
      <c r="AU882" s="2">
        <v>20.592255445402401</v>
      </c>
      <c r="AV882" s="2">
        <v>20.9146840323445</v>
      </c>
      <c r="AW882" s="2">
        <v>20.6652693407752</v>
      </c>
      <c r="AX882" s="2">
        <v>20.4215915527679</v>
      </c>
      <c r="AY882" s="2">
        <v>20.702014689132099</v>
      </c>
      <c r="AZ882" s="2">
        <v>20.9000006456825</v>
      </c>
      <c r="BA882" s="2">
        <v>20.827510271580501</v>
      </c>
      <c r="BB882" s="2">
        <v>20.326242578714801</v>
      </c>
      <c r="BC882" s="2">
        <v>21.248533043348701</v>
      </c>
      <c r="BD882" s="2">
        <v>20.776120988395299</v>
      </c>
      <c r="BE882" s="2">
        <v>20.8022932144221</v>
      </c>
      <c r="BF882" s="2">
        <v>20.748291648143599</v>
      </c>
      <c r="BG882" s="2">
        <v>20.836673303950199</v>
      </c>
      <c r="BH882" s="2">
        <v>20.5281783651822</v>
      </c>
      <c r="BI882" s="2">
        <v>20.4511174684657</v>
      </c>
      <c r="BJ882" s="2">
        <v>20.464494449370498</v>
      </c>
      <c r="BK882" s="2">
        <v>20.392897254018202</v>
      </c>
      <c r="BL882" s="2">
        <v>20.389720857982301</v>
      </c>
      <c r="BM882" s="2">
        <v>20.202639934818599</v>
      </c>
      <c r="BN882" s="2">
        <v>20.2991371811984</v>
      </c>
      <c r="BO882" s="2">
        <v>20.277206111827201</v>
      </c>
      <c r="BP882" s="2">
        <v>20.466770675397399</v>
      </c>
      <c r="BQ882" s="2">
        <v>20.4950037877372</v>
      </c>
      <c r="BR882" s="2">
        <v>20.4488774453981</v>
      </c>
      <c r="BS882" s="2">
        <v>21.502713991097998</v>
      </c>
      <c r="BT882" s="2">
        <v>20.631034463771101</v>
      </c>
      <c r="BU882" s="2">
        <v>20.204983326587499</v>
      </c>
      <c r="BV882" s="2">
        <v>21.455695459442801</v>
      </c>
      <c r="BW882" s="2">
        <v>20.590422616172098</v>
      </c>
      <c r="BX882" s="2">
        <v>20.420799884122399</v>
      </c>
      <c r="BY882" s="2">
        <v>20.301744636941699</v>
      </c>
      <c r="BZ882" s="2">
        <v>20.420266829016899</v>
      </c>
      <c r="CA882" s="2">
        <v>20.269263108179999</v>
      </c>
      <c r="CB882" s="2">
        <v>20.630594455149701</v>
      </c>
      <c r="CC882" s="2">
        <v>20.663562030319301</v>
      </c>
      <c r="CD882" s="2">
        <v>20.6395298132547</v>
      </c>
      <c r="CE882" s="2">
        <v>20.558978122927002</v>
      </c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</row>
    <row r="883" spans="1:97">
      <c r="A883" s="2" t="s">
        <v>8227</v>
      </c>
      <c r="B883" s="2">
        <v>315.05759</v>
      </c>
      <c r="C883" s="2">
        <v>0.79900000000000004</v>
      </c>
      <c r="D883" s="2" t="s">
        <v>84</v>
      </c>
      <c r="E883" s="2" t="s">
        <v>8228</v>
      </c>
      <c r="F883" s="2" t="s">
        <v>8229</v>
      </c>
      <c r="G883" s="2">
        <v>47505</v>
      </c>
      <c r="H883" s="3" t="str">
        <f>HYPERLINK("https://cloud.oebiotech.com/#/lm/network/47505", "https://cloud.oebiotech.com/#/lm/network/47505")</f>
        <v>https://cloud.oebiotech.com/#/lm/network/47505</v>
      </c>
      <c r="I883" s="2" t="s">
        <v>8230</v>
      </c>
      <c r="J883" s="2"/>
      <c r="K883" s="2"/>
      <c r="L883" s="2">
        <v>130805</v>
      </c>
      <c r="M883" s="2" t="s">
        <v>8231</v>
      </c>
      <c r="N883" s="2" t="s">
        <v>811</v>
      </c>
      <c r="O883" s="2" t="s">
        <v>812</v>
      </c>
      <c r="P883" s="2"/>
      <c r="Q883" s="2"/>
      <c r="R883" s="2"/>
      <c r="S883" s="2" t="s">
        <v>8232</v>
      </c>
      <c r="T883" s="2" t="s">
        <v>8233</v>
      </c>
      <c r="U883" s="2" t="s">
        <v>8234</v>
      </c>
      <c r="V883" s="2" t="s">
        <v>818</v>
      </c>
      <c r="W883" s="2" t="s">
        <v>8235</v>
      </c>
      <c r="X883" s="2" t="s">
        <v>375</v>
      </c>
      <c r="Y883" s="2" t="s">
        <v>820</v>
      </c>
      <c r="Z883" s="2" t="s">
        <v>8236</v>
      </c>
      <c r="AA883" s="2"/>
      <c r="AB883" s="2" t="s">
        <v>3086</v>
      </c>
      <c r="AC883" s="2">
        <v>52.72</v>
      </c>
      <c r="AD883" s="2">
        <v>93.89</v>
      </c>
      <c r="AE883" s="2">
        <v>0</v>
      </c>
      <c r="AF883" s="2" t="s">
        <v>5614</v>
      </c>
      <c r="AG883" s="2" t="s">
        <v>103</v>
      </c>
      <c r="AH883" s="2" t="s">
        <v>8237</v>
      </c>
      <c r="AI883" s="2">
        <v>3.81</v>
      </c>
      <c r="AJ883" s="2">
        <v>24.103105086475601</v>
      </c>
      <c r="AK883" s="2">
        <v>23.654142480398299</v>
      </c>
      <c r="AL883" s="2">
        <v>23.315870361428299</v>
      </c>
      <c r="AM883" s="2">
        <v>23.275525545968499</v>
      </c>
      <c r="AN883" s="2">
        <v>23.192237889610301</v>
      </c>
      <c r="AO883" s="2">
        <v>24.108729427989399</v>
      </c>
      <c r="AP883" s="2">
        <v>23.609185164685499</v>
      </c>
      <c r="AQ883" s="2">
        <v>23.538523972771198</v>
      </c>
      <c r="AR883" s="2">
        <v>23.7386856620511</v>
      </c>
      <c r="AS883" s="2">
        <v>23.6126409462731</v>
      </c>
      <c r="AT883" s="2">
        <v>23.726666840056101</v>
      </c>
      <c r="AU883" s="2">
        <v>24.480643087323902</v>
      </c>
      <c r="AV883" s="2">
        <v>23.666979207468799</v>
      </c>
      <c r="AW883" s="2">
        <v>23.004578913287599</v>
      </c>
      <c r="AX883" s="2">
        <v>23.0654143250873</v>
      </c>
      <c r="AY883" s="2">
        <v>23.4263850665081</v>
      </c>
      <c r="AZ883" s="2">
        <v>23.1836005739179</v>
      </c>
      <c r="BA883" s="2">
        <v>23.752601621939402</v>
      </c>
      <c r="BB883" s="2">
        <v>23.291776429298501</v>
      </c>
      <c r="BC883" s="2">
        <v>23.615793212663799</v>
      </c>
      <c r="BD883" s="2">
        <v>23.847662354823601</v>
      </c>
      <c r="BE883" s="2">
        <v>23.9652012842716</v>
      </c>
      <c r="BF883" s="2">
        <v>23.8670213770896</v>
      </c>
      <c r="BG883" s="2">
        <v>23.924704914721602</v>
      </c>
      <c r="BH883" s="2">
        <v>23.324884910369999</v>
      </c>
      <c r="BI883" s="2">
        <v>23.970430127897998</v>
      </c>
      <c r="BJ883" s="2">
        <v>23.1917526208913</v>
      </c>
      <c r="BK883" s="2">
        <v>23.630709982621799</v>
      </c>
      <c r="BL883" s="2">
        <v>22.655985090246801</v>
      </c>
      <c r="BM883" s="2">
        <v>23.969104495179</v>
      </c>
      <c r="BN883" s="2">
        <v>22.968104788398701</v>
      </c>
      <c r="BO883" s="2">
        <v>23.106605449075399</v>
      </c>
      <c r="BP883" s="2">
        <v>22.5961813192108</v>
      </c>
      <c r="BQ883" s="2">
        <v>23.316074633657799</v>
      </c>
      <c r="BR883" s="2">
        <v>22.829207222525401</v>
      </c>
      <c r="BS883" s="2">
        <v>22.9101659702422</v>
      </c>
      <c r="BT883" s="2">
        <v>24.047604964066</v>
      </c>
      <c r="BU883" s="2">
        <v>24.0697423470844</v>
      </c>
      <c r="BV883" s="2">
        <v>23.614616598145499</v>
      </c>
      <c r="BW883" s="2">
        <v>23.9141648516228</v>
      </c>
      <c r="BX883" s="2">
        <v>23.331864760293499</v>
      </c>
      <c r="BY883" s="2">
        <v>22.193952359359798</v>
      </c>
      <c r="BZ883" s="2">
        <v>22.941394743596</v>
      </c>
      <c r="CA883" s="2">
        <v>23.980163851876799</v>
      </c>
      <c r="CB883" s="2">
        <v>23.610439684162198</v>
      </c>
      <c r="CC883" s="2">
        <v>23.485163607052801</v>
      </c>
      <c r="CD883" s="2">
        <v>23.194571956881099</v>
      </c>
      <c r="CE883" s="2">
        <v>21.9209919994206</v>
      </c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</row>
    <row r="884" spans="1:97">
      <c r="A884" s="2" t="s">
        <v>8238</v>
      </c>
      <c r="B884" s="2">
        <v>352.28501</v>
      </c>
      <c r="C884" s="2">
        <v>12.625</v>
      </c>
      <c r="D884" s="2" t="s">
        <v>146</v>
      </c>
      <c r="E884" s="2" t="s">
        <v>8239</v>
      </c>
      <c r="F884" s="2" t="s">
        <v>8240</v>
      </c>
      <c r="G884" s="2">
        <v>198449</v>
      </c>
      <c r="H884" s="3" t="str">
        <f>HYPERLINK("https://cloud.oebiotech.com/#/lm/network/198449", "https://cloud.oebiotech.com/#/lm/network/198449")</f>
        <v>https://cloud.oebiotech.com/#/lm/network/198449</v>
      </c>
      <c r="I884" s="2" t="s">
        <v>8241</v>
      </c>
      <c r="J884" s="2"/>
      <c r="K884" s="2"/>
      <c r="L884" s="2">
        <v>101057</v>
      </c>
      <c r="M884" s="2"/>
      <c r="N884" s="2"/>
      <c r="O884" s="2"/>
      <c r="P884" s="2"/>
      <c r="Q884" s="2"/>
      <c r="R884" s="2"/>
      <c r="S884" s="2"/>
      <c r="T884" s="2" t="s">
        <v>8242</v>
      </c>
      <c r="U884" s="2" t="s">
        <v>8243</v>
      </c>
      <c r="V884" s="2" t="s">
        <v>115</v>
      </c>
      <c r="W884" s="2" t="s">
        <v>116</v>
      </c>
      <c r="X884" s="2" t="s">
        <v>117</v>
      </c>
      <c r="Y884" s="2" t="s">
        <v>118</v>
      </c>
      <c r="Z884" s="2" t="s">
        <v>119</v>
      </c>
      <c r="AA884" s="2" t="s">
        <v>120</v>
      </c>
      <c r="AB884" s="2" t="s">
        <v>3086</v>
      </c>
      <c r="AC884" s="2">
        <v>52.72</v>
      </c>
      <c r="AD884" s="2">
        <v>86.31</v>
      </c>
      <c r="AE884" s="2">
        <v>0</v>
      </c>
      <c r="AF884" s="2" t="s">
        <v>5614</v>
      </c>
      <c r="AG884" s="2" t="s">
        <v>194</v>
      </c>
      <c r="AH884" s="2" t="s">
        <v>8244</v>
      </c>
      <c r="AI884" s="2">
        <v>1.99</v>
      </c>
      <c r="AJ884" s="2">
        <v>16.677833173442099</v>
      </c>
      <c r="AK884" s="2">
        <v>16.580723028045099</v>
      </c>
      <c r="AL884" s="2">
        <v>16.494588428723599</v>
      </c>
      <c r="AM884" s="2">
        <v>16.235608900362301</v>
      </c>
      <c r="AN884" s="2">
        <v>16.803828284689899</v>
      </c>
      <c r="AO884" s="2">
        <v>16.394026021690198</v>
      </c>
      <c r="AP884" s="2">
        <v>16.507959671207601</v>
      </c>
      <c r="AQ884" s="2">
        <v>16.5252707443451</v>
      </c>
      <c r="AR884" s="2">
        <v>14.387165143843101</v>
      </c>
      <c r="AS884" s="2">
        <v>15.543530621733</v>
      </c>
      <c r="AT884" s="2">
        <v>16.837128964132301</v>
      </c>
      <c r="AU884" s="2">
        <v>13.717457946170899</v>
      </c>
      <c r="AV884" s="2">
        <v>15.177251338348301</v>
      </c>
      <c r="AW884" s="2">
        <v>16.24717708871</v>
      </c>
      <c r="AX884" s="2">
        <v>16.449698226327399</v>
      </c>
      <c r="AY884" s="2">
        <v>16.464638117381998</v>
      </c>
      <c r="AZ884" s="2">
        <v>10.7645316052956</v>
      </c>
      <c r="BA884" s="2">
        <v>17.090341545119198</v>
      </c>
      <c r="BB884" s="2">
        <v>16.7069264258628</v>
      </c>
      <c r="BC884" s="2">
        <v>17.3307036924109</v>
      </c>
      <c r="BD884" s="2">
        <v>13.573237703136099</v>
      </c>
      <c r="BE884" s="2">
        <v>15.2328222445839</v>
      </c>
      <c r="BF884" s="2">
        <v>17.753684232838399</v>
      </c>
      <c r="BG884" s="2">
        <v>17.220226023422601</v>
      </c>
      <c r="BH884" s="2">
        <v>15.736634733154601</v>
      </c>
      <c r="BI884" s="2">
        <v>17.176269003469599</v>
      </c>
      <c r="BJ884" s="2">
        <v>16.685472771698699</v>
      </c>
      <c r="BK884" s="2">
        <v>14.0386112523862</v>
      </c>
      <c r="BL884" s="2">
        <v>17.151250367072802</v>
      </c>
      <c r="BM884" s="2">
        <v>15.5547498149462</v>
      </c>
      <c r="BN884" s="2">
        <v>15.2508135741485</v>
      </c>
      <c r="BO884" s="2">
        <v>15.743064589910601</v>
      </c>
      <c r="BP884" s="2">
        <v>16.2291124594183</v>
      </c>
      <c r="BQ884" s="2">
        <v>16.625398927102299</v>
      </c>
      <c r="BR884" s="2">
        <v>16.263434817597901</v>
      </c>
      <c r="BS884" s="2">
        <v>15.040237485751099</v>
      </c>
      <c r="BT884" s="2">
        <v>15.0646244717044</v>
      </c>
      <c r="BU884" s="2">
        <v>17.574249737678301</v>
      </c>
      <c r="BV884" s="2">
        <v>17.0719803609839</v>
      </c>
      <c r="BW884" s="2">
        <v>15.6641272427585</v>
      </c>
      <c r="BX884" s="2">
        <v>15.171073956606801</v>
      </c>
      <c r="BY884" s="2">
        <v>15.4558675517445</v>
      </c>
      <c r="BZ884" s="2">
        <v>16.494719981781099</v>
      </c>
      <c r="CA884" s="2">
        <v>17.215550631397601</v>
      </c>
      <c r="CB884" s="2">
        <v>16.351596653756001</v>
      </c>
      <c r="CC884" s="2">
        <v>16.912777556706899</v>
      </c>
      <c r="CD884" s="2">
        <v>16.2916421535685</v>
      </c>
      <c r="CE884" s="2">
        <v>16.972626807464898</v>
      </c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</row>
    <row r="885" spans="1:97">
      <c r="A885" s="2" t="s">
        <v>8245</v>
      </c>
      <c r="B885" s="2">
        <v>301.21568000000002</v>
      </c>
      <c r="C885" s="2">
        <v>11.275</v>
      </c>
      <c r="D885" s="2" t="s">
        <v>84</v>
      </c>
      <c r="E885" s="2" t="s">
        <v>8246</v>
      </c>
      <c r="F885" s="2" t="s">
        <v>8247</v>
      </c>
      <c r="G885" s="2">
        <v>3868</v>
      </c>
      <c r="H885" s="3" t="str">
        <f>HYPERLINK("https://cloud.oebiotech.com/#/lm/network/3868", "https://cloud.oebiotech.com/#/lm/network/3868")</f>
        <v>https://cloud.oebiotech.com/#/lm/network/3868</v>
      </c>
      <c r="I885" s="2"/>
      <c r="J885" s="2">
        <v>45966</v>
      </c>
      <c r="K885" s="2" t="s">
        <v>8248</v>
      </c>
      <c r="L885" s="2">
        <v>52921883</v>
      </c>
      <c r="M885" s="2"/>
      <c r="N885" s="2"/>
      <c r="O885" s="2"/>
      <c r="P885" s="2">
        <v>63983</v>
      </c>
      <c r="Q885" s="2" t="s">
        <v>8249</v>
      </c>
      <c r="R885" s="2" t="s">
        <v>8250</v>
      </c>
      <c r="S885" s="2"/>
      <c r="T885" s="2" t="s">
        <v>8251</v>
      </c>
      <c r="U885" s="2" t="s">
        <v>8252</v>
      </c>
      <c r="V885" s="2" t="s">
        <v>95</v>
      </c>
      <c r="W885" s="2" t="s">
        <v>96</v>
      </c>
      <c r="X885" s="2" t="s">
        <v>141</v>
      </c>
      <c r="Y885" s="2" t="s">
        <v>98</v>
      </c>
      <c r="Z885" s="2" t="s">
        <v>99</v>
      </c>
      <c r="AA885" s="2" t="s">
        <v>142</v>
      </c>
      <c r="AB885" s="2" t="s">
        <v>3086</v>
      </c>
      <c r="AC885" s="2">
        <v>52.71</v>
      </c>
      <c r="AD885" s="2">
        <v>88.04</v>
      </c>
      <c r="AE885" s="2">
        <v>0</v>
      </c>
      <c r="AF885" s="2" t="s">
        <v>5614</v>
      </c>
      <c r="AG885" s="2" t="s">
        <v>1088</v>
      </c>
      <c r="AH885" s="2" t="s">
        <v>8253</v>
      </c>
      <c r="AI885" s="2">
        <v>3.65</v>
      </c>
      <c r="AJ885" s="2">
        <v>19.711509039091101</v>
      </c>
      <c r="AK885" s="2">
        <v>19.418478342872699</v>
      </c>
      <c r="AL885" s="2">
        <v>19.251390801495599</v>
      </c>
      <c r="AM885" s="2">
        <v>19.036608636518402</v>
      </c>
      <c r="AN885" s="2">
        <v>19.287301017569</v>
      </c>
      <c r="AO885" s="2">
        <v>19.645109127752399</v>
      </c>
      <c r="AP885" s="2">
        <v>19.640663179329199</v>
      </c>
      <c r="AQ885" s="2">
        <v>19.3476821773531</v>
      </c>
      <c r="AR885" s="2">
        <v>18.8850816362852</v>
      </c>
      <c r="AS885" s="2">
        <v>17.575054273612199</v>
      </c>
      <c r="AT885" s="2">
        <v>17.416187508430198</v>
      </c>
      <c r="AU885" s="2">
        <v>18.298905994063599</v>
      </c>
      <c r="AV885" s="2">
        <v>18.010774594766499</v>
      </c>
      <c r="AW885" s="2">
        <v>18.080233614600999</v>
      </c>
      <c r="AX885" s="2">
        <v>19.300077953061201</v>
      </c>
      <c r="AY885" s="2">
        <v>17.569293503275901</v>
      </c>
      <c r="AZ885" s="2">
        <v>18.998378489698499</v>
      </c>
      <c r="BA885" s="2">
        <v>18.435806809205801</v>
      </c>
      <c r="BB885" s="2">
        <v>20.8152210854551</v>
      </c>
      <c r="BC885" s="2">
        <v>21.071358506155001</v>
      </c>
      <c r="BD885" s="2">
        <v>18.596130742081598</v>
      </c>
      <c r="BE885" s="2">
        <v>18.579391702127001</v>
      </c>
      <c r="BF885" s="2">
        <v>19.8308996466553</v>
      </c>
      <c r="BG885" s="2">
        <v>20.474206707396998</v>
      </c>
      <c r="BH885" s="2">
        <v>18.5991060317556</v>
      </c>
      <c r="BI885" s="2">
        <v>19.002842808486701</v>
      </c>
      <c r="BJ885" s="2">
        <v>18.191525263416899</v>
      </c>
      <c r="BK885" s="2">
        <v>19.146201511819299</v>
      </c>
      <c r="BL885" s="2">
        <v>18.243909576333799</v>
      </c>
      <c r="BM885" s="2">
        <v>19.231331284965002</v>
      </c>
      <c r="BN885" s="2">
        <v>17.839293424652599</v>
      </c>
      <c r="BO885" s="2">
        <v>18.596294235332302</v>
      </c>
      <c r="BP885" s="2">
        <v>18.8557492284197</v>
      </c>
      <c r="BQ885" s="2">
        <v>18.214918411509899</v>
      </c>
      <c r="BR885" s="2">
        <v>19.2304097085098</v>
      </c>
      <c r="BS885" s="2">
        <v>18.815438711812099</v>
      </c>
      <c r="BT885" s="2">
        <v>17.593771443407199</v>
      </c>
      <c r="BU885" s="2">
        <v>19.7226087901075</v>
      </c>
      <c r="BV885" s="2">
        <v>18.5094376449373</v>
      </c>
      <c r="BW885" s="2">
        <v>17.3836979651464</v>
      </c>
      <c r="BX885" s="2">
        <v>19.120058952173199</v>
      </c>
      <c r="BY885" s="2">
        <v>20.670783025630001</v>
      </c>
      <c r="BZ885" s="2">
        <v>19.409639789513498</v>
      </c>
      <c r="CA885" s="2">
        <v>18.6873147131918</v>
      </c>
      <c r="CB885" s="2">
        <v>18.743825001298202</v>
      </c>
      <c r="CC885" s="2">
        <v>19.586594925864901</v>
      </c>
      <c r="CD885" s="2">
        <v>19.195478809860798</v>
      </c>
      <c r="CE885" s="2">
        <v>19.6996990691893</v>
      </c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</row>
    <row r="886" spans="1:97">
      <c r="A886" s="2" t="s">
        <v>8254</v>
      </c>
      <c r="B886" s="2">
        <v>356.13672000000003</v>
      </c>
      <c r="C886" s="2">
        <v>3.95</v>
      </c>
      <c r="D886" s="2" t="s">
        <v>84</v>
      </c>
      <c r="E886" s="2" t="s">
        <v>8255</v>
      </c>
      <c r="F886" s="2" t="s">
        <v>8256</v>
      </c>
      <c r="G886" s="2">
        <v>64293</v>
      </c>
      <c r="H886" s="3" t="str">
        <f>HYPERLINK("https://cloud.oebiotech.com/#/lm/network/64293", "https://cloud.oebiotech.com/#/lm/network/64293")</f>
        <v>https://cloud.oebiotech.com/#/lm/network/64293</v>
      </c>
      <c r="I886" s="2" t="s">
        <v>8257</v>
      </c>
      <c r="J886" s="2">
        <v>95613</v>
      </c>
      <c r="K886" s="2"/>
      <c r="L886" s="2">
        <v>78012803</v>
      </c>
      <c r="M886" s="2"/>
      <c r="N886" s="2"/>
      <c r="O886" s="2"/>
      <c r="P886" s="2">
        <v>143871</v>
      </c>
      <c r="Q886" s="2"/>
      <c r="R886" s="2"/>
      <c r="S886" s="2" t="s">
        <v>8258</v>
      </c>
      <c r="T886" s="2" t="s">
        <v>8259</v>
      </c>
      <c r="U886" s="2" t="s">
        <v>8260</v>
      </c>
      <c r="V886" s="2" t="s">
        <v>338</v>
      </c>
      <c r="W886" s="2" t="s">
        <v>339</v>
      </c>
      <c r="X886" s="2" t="s">
        <v>663</v>
      </c>
      <c r="Y886" s="2" t="s">
        <v>341</v>
      </c>
      <c r="Z886" s="2" t="s">
        <v>341</v>
      </c>
      <c r="AA886" s="2" t="s">
        <v>664</v>
      </c>
      <c r="AB886" s="2" t="s">
        <v>3086</v>
      </c>
      <c r="AC886" s="2">
        <v>52.7</v>
      </c>
      <c r="AD886" s="2">
        <v>89.26</v>
      </c>
      <c r="AE886" s="2">
        <v>31.4</v>
      </c>
      <c r="AF886" s="2" t="s">
        <v>8261</v>
      </c>
      <c r="AG886" s="2" t="s">
        <v>132</v>
      </c>
      <c r="AH886" s="2" t="s">
        <v>8262</v>
      </c>
      <c r="AI886" s="2">
        <v>-7.58</v>
      </c>
      <c r="AJ886" s="2">
        <v>18.599696773245999</v>
      </c>
      <c r="AK886" s="2">
        <v>18.914187904411801</v>
      </c>
      <c r="AL886" s="2">
        <v>18.804985363765802</v>
      </c>
      <c r="AM886" s="2">
        <v>19.1003085867331</v>
      </c>
      <c r="AN886" s="2">
        <v>19.317820071990699</v>
      </c>
      <c r="AO886" s="2">
        <v>19.299534104142101</v>
      </c>
      <c r="AP886" s="2">
        <v>18.842065193149601</v>
      </c>
      <c r="AQ886" s="2">
        <v>19.236684178095999</v>
      </c>
      <c r="AR886" s="2">
        <v>16.497743799142199</v>
      </c>
      <c r="AS886" s="2">
        <v>17.316972215760401</v>
      </c>
      <c r="AT886" s="2">
        <v>18.0512835127915</v>
      </c>
      <c r="AU886" s="2">
        <v>18.251695195035001</v>
      </c>
      <c r="AV886" s="2">
        <v>19.140397008173501</v>
      </c>
      <c r="AW886" s="2">
        <v>17.722262883024399</v>
      </c>
      <c r="AX886" s="2">
        <v>18.279080481128801</v>
      </c>
      <c r="AY886" s="2">
        <v>17.1588436693579</v>
      </c>
      <c r="AZ886" s="2">
        <v>19.011070577066899</v>
      </c>
      <c r="BA886" s="2">
        <v>17.729258471056902</v>
      </c>
      <c r="BB886" s="2">
        <v>17.2379793062414</v>
      </c>
      <c r="BC886" s="2">
        <v>15.630171264541501</v>
      </c>
      <c r="BD886" s="2">
        <v>17.4258336707436</v>
      </c>
      <c r="BE886" s="2">
        <v>16.240240156132501</v>
      </c>
      <c r="BF886" s="2">
        <v>17.085609697069401</v>
      </c>
      <c r="BG886" s="2">
        <v>18.380880899413299</v>
      </c>
      <c r="BH886" s="2">
        <v>17.077586206134001</v>
      </c>
      <c r="BI886" s="2">
        <v>19.151077353725199</v>
      </c>
      <c r="BJ886" s="2">
        <v>17.831814166625001</v>
      </c>
      <c r="BK886" s="2">
        <v>18.952467349336899</v>
      </c>
      <c r="BL886" s="2">
        <v>19.017742470948701</v>
      </c>
      <c r="BM886" s="2">
        <v>19.3439806090507</v>
      </c>
      <c r="BN886" s="2">
        <v>18.700625841105602</v>
      </c>
      <c r="BO886" s="2">
        <v>20.161975833186599</v>
      </c>
      <c r="BP886" s="2">
        <v>19.456956127848901</v>
      </c>
      <c r="BQ886" s="2">
        <v>18.404267941336698</v>
      </c>
      <c r="BR886" s="2">
        <v>18.910458224675398</v>
      </c>
      <c r="BS886" s="2">
        <v>20.221470205291102</v>
      </c>
      <c r="BT886" s="2">
        <v>20.672520783655301</v>
      </c>
      <c r="BU886" s="2">
        <v>19.544944685675201</v>
      </c>
      <c r="BV886" s="2">
        <v>19.4409204337829</v>
      </c>
      <c r="BW886" s="2">
        <v>17.7871386922269</v>
      </c>
      <c r="BX886" s="2">
        <v>19.261265707338001</v>
      </c>
      <c r="BY886" s="2">
        <v>18.921216420334499</v>
      </c>
      <c r="BZ886" s="2">
        <v>16.450411128214999</v>
      </c>
      <c r="CA886" s="2">
        <v>18.865603037778801</v>
      </c>
      <c r="CB886" s="2">
        <v>18.108871122577501</v>
      </c>
      <c r="CC886" s="2">
        <v>17.864034424890299</v>
      </c>
      <c r="CD886" s="2">
        <v>19.339348262382899</v>
      </c>
      <c r="CE886" s="2">
        <v>18.687674482405001</v>
      </c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</row>
    <row r="887" spans="1:97">
      <c r="A887" s="2" t="s">
        <v>8263</v>
      </c>
      <c r="B887" s="2">
        <v>528.38028999999995</v>
      </c>
      <c r="C887" s="2">
        <v>11.574999999999999</v>
      </c>
      <c r="D887" s="2" t="s">
        <v>84</v>
      </c>
      <c r="E887" s="2" t="s">
        <v>8264</v>
      </c>
      <c r="F887" s="2" t="s">
        <v>8265</v>
      </c>
      <c r="G887" s="2">
        <v>203366</v>
      </c>
      <c r="H887" s="3" t="str">
        <f>HYPERLINK("https://cloud.oebiotech.com/#/lm/network/203366", "https://cloud.oebiotech.com/#/lm/network/203366")</f>
        <v>https://cloud.oebiotech.com/#/lm/network/203366</v>
      </c>
      <c r="I887" s="2" t="s">
        <v>8266</v>
      </c>
      <c r="J887" s="2"/>
      <c r="K887" s="2"/>
      <c r="L887" s="2">
        <v>102783</v>
      </c>
      <c r="M887" s="2"/>
      <c r="N887" s="2"/>
      <c r="O887" s="2"/>
      <c r="P887" s="2"/>
      <c r="Q887" s="2"/>
      <c r="R887" s="2"/>
      <c r="S887" s="2"/>
      <c r="T887" s="2" t="s">
        <v>8267</v>
      </c>
      <c r="U887" s="2" t="s">
        <v>8268</v>
      </c>
      <c r="V887" s="2" t="s">
        <v>95</v>
      </c>
      <c r="W887" s="2" t="s">
        <v>180</v>
      </c>
      <c r="X887" s="2" t="s">
        <v>8269</v>
      </c>
      <c r="Y887" s="2" t="s">
        <v>98</v>
      </c>
      <c r="Z887" s="2" t="s">
        <v>182</v>
      </c>
      <c r="AA887" s="2" t="s">
        <v>8270</v>
      </c>
      <c r="AB887" s="2" t="s">
        <v>3086</v>
      </c>
      <c r="AC887" s="2">
        <v>52.69</v>
      </c>
      <c r="AD887" s="2">
        <v>79.5</v>
      </c>
      <c r="AE887" s="2">
        <v>0</v>
      </c>
      <c r="AF887" s="2" t="s">
        <v>5614</v>
      </c>
      <c r="AG887" s="2" t="s">
        <v>132</v>
      </c>
      <c r="AH887" s="2" t="s">
        <v>8271</v>
      </c>
      <c r="AI887" s="2">
        <v>1.7</v>
      </c>
      <c r="AJ887" s="2">
        <v>20.321772294958901</v>
      </c>
      <c r="AK887" s="2">
        <v>20.337063576243601</v>
      </c>
      <c r="AL887" s="2">
        <v>19.900818970047801</v>
      </c>
      <c r="AM887" s="2">
        <v>20.268850801923101</v>
      </c>
      <c r="AN887" s="2">
        <v>20.0424900323335</v>
      </c>
      <c r="AO887" s="2">
        <v>20.3256863409894</v>
      </c>
      <c r="AP887" s="2">
        <v>20.344420610247301</v>
      </c>
      <c r="AQ887" s="2">
        <v>20.080535515526599</v>
      </c>
      <c r="AR887" s="2">
        <v>21.0562395485194</v>
      </c>
      <c r="AS887" s="2">
        <v>18.815447624457398</v>
      </c>
      <c r="AT887" s="2">
        <v>20.046910446723199</v>
      </c>
      <c r="AU887" s="2">
        <v>20.091109343774399</v>
      </c>
      <c r="AV887" s="2">
        <v>19.708899821381099</v>
      </c>
      <c r="AW887" s="2">
        <v>19.911770653785801</v>
      </c>
      <c r="AX887" s="2">
        <v>20.369874921484499</v>
      </c>
      <c r="AY887" s="2">
        <v>20.080040000398299</v>
      </c>
      <c r="AZ887" s="2">
        <v>20.442797316948699</v>
      </c>
      <c r="BA887" s="2">
        <v>18.8490564197316</v>
      </c>
      <c r="BB887" s="2">
        <v>20.127857996715701</v>
      </c>
      <c r="BC887" s="2">
        <v>20.733539219686001</v>
      </c>
      <c r="BD887" s="2">
        <v>20.3577242816854</v>
      </c>
      <c r="BE887" s="2">
        <v>20.318145388496301</v>
      </c>
      <c r="BF887" s="2">
        <v>19.863080534919199</v>
      </c>
      <c r="BG887" s="2">
        <v>20.3780890555648</v>
      </c>
      <c r="BH887" s="2">
        <v>20.139377305020702</v>
      </c>
      <c r="BI887" s="2">
        <v>20.027576302133902</v>
      </c>
      <c r="BJ887" s="2">
        <v>19.885213698437301</v>
      </c>
      <c r="BK887" s="2">
        <v>19.562100485435199</v>
      </c>
      <c r="BL887" s="2">
        <v>20.555508743687</v>
      </c>
      <c r="BM887" s="2">
        <v>19.5388633701434</v>
      </c>
      <c r="BN887" s="2">
        <v>19.304455293287699</v>
      </c>
      <c r="BO887" s="2">
        <v>20.077705331581502</v>
      </c>
      <c r="BP887" s="2">
        <v>19.861414002194</v>
      </c>
      <c r="BQ887" s="2">
        <v>20.4279281804309</v>
      </c>
      <c r="BR887" s="2">
        <v>20.540577486095501</v>
      </c>
      <c r="BS887" s="2">
        <v>19.743706965262</v>
      </c>
      <c r="BT887" s="2">
        <v>20.008158501818201</v>
      </c>
      <c r="BU887" s="2">
        <v>19.891402038544101</v>
      </c>
      <c r="BV887" s="2">
        <v>20.514834223001898</v>
      </c>
      <c r="BW887" s="2">
        <v>19.3768235126559</v>
      </c>
      <c r="BX887" s="2">
        <v>20.267124735623899</v>
      </c>
      <c r="BY887" s="2">
        <v>20.628440974391498</v>
      </c>
      <c r="BZ887" s="2">
        <v>19.785089641441999</v>
      </c>
      <c r="CA887" s="2">
        <v>20.2608412794625</v>
      </c>
      <c r="CB887" s="2">
        <v>19.7496718104072</v>
      </c>
      <c r="CC887" s="2">
        <v>19.869448941763</v>
      </c>
      <c r="CD887" s="2">
        <v>20.852865163702202</v>
      </c>
      <c r="CE887" s="2">
        <v>19.070413542845401</v>
      </c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</row>
    <row r="888" spans="1:97">
      <c r="A888" s="2" t="s">
        <v>8272</v>
      </c>
      <c r="B888" s="2">
        <v>182.07862</v>
      </c>
      <c r="C888" s="2">
        <v>0.71</v>
      </c>
      <c r="D888" s="2" t="s">
        <v>84</v>
      </c>
      <c r="E888" s="2" t="s">
        <v>8273</v>
      </c>
      <c r="F888" s="2"/>
      <c r="G888" s="2">
        <v>61992</v>
      </c>
      <c r="H888" s="3" t="str">
        <f>HYPERLINK("https://cloud.oebiotech.com/#/lm/network/61992", "https://cloud.oebiotech.com/#/lm/network/61992")</f>
        <v>https://cloud.oebiotech.com/#/lm/network/61992</v>
      </c>
      <c r="I888" s="2" t="s">
        <v>8274</v>
      </c>
      <c r="J888" s="2">
        <v>93286</v>
      </c>
      <c r="K888" s="2"/>
      <c r="L888" s="2">
        <v>101409750</v>
      </c>
      <c r="M888" s="2"/>
      <c r="N888" s="2"/>
      <c r="O888" s="2"/>
      <c r="P888" s="2">
        <v>173686</v>
      </c>
      <c r="Q888" s="2"/>
      <c r="R888" s="2"/>
      <c r="S888" s="2" t="s">
        <v>8275</v>
      </c>
      <c r="T888" s="2" t="s">
        <v>8276</v>
      </c>
      <c r="U888" s="2" t="s">
        <v>8277</v>
      </c>
      <c r="V888" s="2" t="s">
        <v>115</v>
      </c>
      <c r="W888" s="2" t="s">
        <v>116</v>
      </c>
      <c r="X888" s="2" t="s">
        <v>117</v>
      </c>
      <c r="Y888" s="2" t="s">
        <v>118</v>
      </c>
      <c r="Z888" s="2" t="s">
        <v>119</v>
      </c>
      <c r="AA888" s="2" t="s">
        <v>120</v>
      </c>
      <c r="AB888" s="2" t="s">
        <v>3086</v>
      </c>
      <c r="AC888" s="2">
        <v>52.65</v>
      </c>
      <c r="AD888" s="2">
        <v>74.59</v>
      </c>
      <c r="AE888" s="2">
        <v>0</v>
      </c>
      <c r="AF888" s="2" t="s">
        <v>5614</v>
      </c>
      <c r="AG888" s="2" t="s">
        <v>1578</v>
      </c>
      <c r="AH888" s="2" t="s">
        <v>2321</v>
      </c>
      <c r="AI888" s="2">
        <v>1.1000000000000001</v>
      </c>
      <c r="AJ888" s="2">
        <v>18.688380944992399</v>
      </c>
      <c r="AK888" s="2">
        <v>19.238015611525501</v>
      </c>
      <c r="AL888" s="2">
        <v>18.622782608024799</v>
      </c>
      <c r="AM888" s="2">
        <v>18.975545733287198</v>
      </c>
      <c r="AN888" s="2">
        <v>19.498676566792501</v>
      </c>
      <c r="AO888" s="2">
        <v>18.9242321362767</v>
      </c>
      <c r="AP888" s="2">
        <v>18.863412594186102</v>
      </c>
      <c r="AQ888" s="2">
        <v>17.9589716659763</v>
      </c>
      <c r="AR888" s="2">
        <v>18.129237831382898</v>
      </c>
      <c r="AS888" s="2">
        <v>18.0231263506601</v>
      </c>
      <c r="AT888" s="2">
        <v>18.331806343399599</v>
      </c>
      <c r="AU888" s="2">
        <v>18.121327153239601</v>
      </c>
      <c r="AV888" s="2">
        <v>18.982837224883902</v>
      </c>
      <c r="AW888" s="2">
        <v>17.7275786273024</v>
      </c>
      <c r="AX888" s="2">
        <v>19.6014111069839</v>
      </c>
      <c r="AY888" s="2">
        <v>17.786792941117898</v>
      </c>
      <c r="AZ888" s="2">
        <v>18.5541205097946</v>
      </c>
      <c r="BA888" s="2">
        <v>17.713152347989599</v>
      </c>
      <c r="BB888" s="2">
        <v>18.488833718527101</v>
      </c>
      <c r="BC888" s="2">
        <v>17.9722271206745</v>
      </c>
      <c r="BD888" s="2">
        <v>18.432202138389101</v>
      </c>
      <c r="BE888" s="2">
        <v>18.205941836433102</v>
      </c>
      <c r="BF888" s="2">
        <v>19.050317205663202</v>
      </c>
      <c r="BG888" s="2">
        <v>20.234871072859001</v>
      </c>
      <c r="BH888" s="2">
        <v>16.7051868756879</v>
      </c>
      <c r="BI888" s="2">
        <v>18.287663372169899</v>
      </c>
      <c r="BJ888" s="2">
        <v>18.488206767430398</v>
      </c>
      <c r="BK888" s="2">
        <v>18.6324296171816</v>
      </c>
      <c r="BL888" s="2">
        <v>18.308388451269099</v>
      </c>
      <c r="BM888" s="2">
        <v>18.883216159401499</v>
      </c>
      <c r="BN888" s="2">
        <v>18.303702677958299</v>
      </c>
      <c r="BO888" s="2">
        <v>18.982452139483101</v>
      </c>
      <c r="BP888" s="2">
        <v>19.493223189777201</v>
      </c>
      <c r="BQ888" s="2">
        <v>18.567321363538799</v>
      </c>
      <c r="BR888" s="2">
        <v>18.301227924290998</v>
      </c>
      <c r="BS888" s="2">
        <v>19.101646219061799</v>
      </c>
      <c r="BT888" s="2">
        <v>18.144641664727299</v>
      </c>
      <c r="BU888" s="2">
        <v>18.648992518817899</v>
      </c>
      <c r="BV888" s="2">
        <v>18.517845939253</v>
      </c>
      <c r="BW888" s="2">
        <v>17.758605221675602</v>
      </c>
      <c r="BX888" s="2">
        <v>18.715587323101101</v>
      </c>
      <c r="BY888" s="2">
        <v>19.525482958040701</v>
      </c>
      <c r="BZ888" s="2">
        <v>18.5120640023632</v>
      </c>
      <c r="CA888" s="2">
        <v>19.150060040893798</v>
      </c>
      <c r="CB888" s="2">
        <v>17.015049540768999</v>
      </c>
      <c r="CC888" s="2">
        <v>20.5692292521952</v>
      </c>
      <c r="CD888" s="2">
        <v>19.670455655340501</v>
      </c>
      <c r="CE888" s="2">
        <v>18.949217272695801</v>
      </c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</row>
    <row r="889" spans="1:97">
      <c r="A889" s="2" t="s">
        <v>8278</v>
      </c>
      <c r="B889" s="2">
        <v>272.99094000000002</v>
      </c>
      <c r="C889" s="2">
        <v>0.70499999999999996</v>
      </c>
      <c r="D889" s="2" t="s">
        <v>146</v>
      </c>
      <c r="E889" s="2" t="s">
        <v>8279</v>
      </c>
      <c r="F889" s="2" t="s">
        <v>8280</v>
      </c>
      <c r="G889" s="2">
        <v>211674</v>
      </c>
      <c r="H889" s="3" t="str">
        <f>HYPERLINK("https://cloud.oebiotech.com/#/lm/network/211674", "https://cloud.oebiotech.com/#/lm/network/211674")</f>
        <v>https://cloud.oebiotech.com/#/lm/network/211674</v>
      </c>
      <c r="I889" s="2" t="s">
        <v>8281</v>
      </c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 t="s">
        <v>8282</v>
      </c>
      <c r="U889" s="2" t="s">
        <v>8283</v>
      </c>
      <c r="V889" s="2" t="s">
        <v>338</v>
      </c>
      <c r="W889" s="2" t="s">
        <v>339</v>
      </c>
      <c r="X889" s="2" t="s">
        <v>663</v>
      </c>
      <c r="Y889" s="2" t="s">
        <v>341</v>
      </c>
      <c r="Z889" s="2" t="s">
        <v>341</v>
      </c>
      <c r="AA889" s="2" t="s">
        <v>664</v>
      </c>
      <c r="AB889" s="2" t="s">
        <v>3086</v>
      </c>
      <c r="AC889" s="2">
        <v>52.64</v>
      </c>
      <c r="AD889" s="2">
        <v>92.14</v>
      </c>
      <c r="AE889" s="2">
        <v>0</v>
      </c>
      <c r="AF889" s="2" t="s">
        <v>5614</v>
      </c>
      <c r="AG889" s="2" t="s">
        <v>194</v>
      </c>
      <c r="AH889" s="2" t="s">
        <v>8284</v>
      </c>
      <c r="AI889" s="2">
        <v>4.76</v>
      </c>
      <c r="AJ889" s="2">
        <v>21.591344166338999</v>
      </c>
      <c r="AK889" s="2">
        <v>21.626767928942801</v>
      </c>
      <c r="AL889" s="2">
        <v>21.466353186268101</v>
      </c>
      <c r="AM889" s="2">
        <v>20.8984057026552</v>
      </c>
      <c r="AN889" s="2">
        <v>21.070452223032699</v>
      </c>
      <c r="AO889" s="2">
        <v>20.906041435719199</v>
      </c>
      <c r="AP889" s="2">
        <v>21.544859088146801</v>
      </c>
      <c r="AQ889" s="2">
        <v>21.583080228023299</v>
      </c>
      <c r="AR889" s="2">
        <v>20.7190498556206</v>
      </c>
      <c r="AS889" s="2">
        <v>20.499487492297899</v>
      </c>
      <c r="AT889" s="2">
        <v>20.6850615961995</v>
      </c>
      <c r="AU889" s="2">
        <v>20.2947122447917</v>
      </c>
      <c r="AV889" s="2">
        <v>21.147326650182698</v>
      </c>
      <c r="AW889" s="2">
        <v>20.7119069507931</v>
      </c>
      <c r="AX889" s="2">
        <v>20.651621466112999</v>
      </c>
      <c r="AY889" s="2">
        <v>21.2318991893546</v>
      </c>
      <c r="AZ889" s="2">
        <v>21.212853768260398</v>
      </c>
      <c r="BA889" s="2">
        <v>21.073441112477099</v>
      </c>
      <c r="BB889" s="2">
        <v>20.5598868028402</v>
      </c>
      <c r="BC889" s="2">
        <v>20.028007340739101</v>
      </c>
      <c r="BD889" s="2">
        <v>21.6257365478364</v>
      </c>
      <c r="BE889" s="2">
        <v>20.750295808872899</v>
      </c>
      <c r="BF889" s="2">
        <v>21.147477189899</v>
      </c>
      <c r="BG889" s="2">
        <v>21.1318660203689</v>
      </c>
      <c r="BH889" s="2">
        <v>20.8853749009767</v>
      </c>
      <c r="BI889" s="2">
        <v>21.067609357431401</v>
      </c>
      <c r="BJ889" s="2">
        <v>21.293987330917801</v>
      </c>
      <c r="BK889" s="2">
        <v>21.618736868843701</v>
      </c>
      <c r="BL889" s="2">
        <v>21.282938682656201</v>
      </c>
      <c r="BM889" s="2">
        <v>20.305988338902999</v>
      </c>
      <c r="BN889" s="2">
        <v>21.063889336397299</v>
      </c>
      <c r="BO889" s="2">
        <v>21.024032029238398</v>
      </c>
      <c r="BP889" s="2">
        <v>21.096602651849299</v>
      </c>
      <c r="BQ889" s="2">
        <v>20.836367649996902</v>
      </c>
      <c r="BR889" s="2">
        <v>20.422029800422699</v>
      </c>
      <c r="BS889" s="2">
        <v>21.241495234577101</v>
      </c>
      <c r="BT889" s="2">
        <v>20.415177496682801</v>
      </c>
      <c r="BU889" s="2">
        <v>20.755988643195501</v>
      </c>
      <c r="BV889" s="2">
        <v>20.7465865675793</v>
      </c>
      <c r="BW889" s="2">
        <v>20.839334934273001</v>
      </c>
      <c r="BX889" s="2">
        <v>20.533262804111001</v>
      </c>
      <c r="BY889" s="2">
        <v>21.0591279098599</v>
      </c>
      <c r="BZ889" s="2">
        <v>20.616151340753099</v>
      </c>
      <c r="CA889" s="2">
        <v>22.124686754722301</v>
      </c>
      <c r="CB889" s="2">
        <v>21.3343820412139</v>
      </c>
      <c r="CC889" s="2">
        <v>21.525467793444399</v>
      </c>
      <c r="CD889" s="2">
        <v>21.268858572789298</v>
      </c>
      <c r="CE889" s="2">
        <v>22.0639441609176</v>
      </c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</row>
    <row r="890" spans="1:97">
      <c r="A890" s="2" t="s">
        <v>8285</v>
      </c>
      <c r="B890" s="2">
        <v>237.14918</v>
      </c>
      <c r="C890" s="2">
        <v>9.3249999999999993</v>
      </c>
      <c r="D890" s="2" t="s">
        <v>146</v>
      </c>
      <c r="E890" s="2" t="s">
        <v>8286</v>
      </c>
      <c r="F890" s="2" t="s">
        <v>8287</v>
      </c>
      <c r="G890" s="2">
        <v>59934</v>
      </c>
      <c r="H890" s="3" t="str">
        <f>HYPERLINK("https://cloud.oebiotech.com/#/lm/network/59934", "https://cloud.oebiotech.com/#/lm/network/59934")</f>
        <v>https://cloud.oebiotech.com/#/lm/network/59934</v>
      </c>
      <c r="I890" s="2" t="s">
        <v>8288</v>
      </c>
      <c r="J890" s="2">
        <v>91299</v>
      </c>
      <c r="K890" s="2"/>
      <c r="L890" s="2">
        <v>10199004</v>
      </c>
      <c r="M890" s="2"/>
      <c r="N890" s="2"/>
      <c r="O890" s="2"/>
      <c r="P890" s="2">
        <v>169181</v>
      </c>
      <c r="Q890" s="2"/>
      <c r="R890" s="2"/>
      <c r="S890" s="2" t="s">
        <v>8289</v>
      </c>
      <c r="T890" s="2" t="s">
        <v>8290</v>
      </c>
      <c r="U890" s="2" t="s">
        <v>8291</v>
      </c>
      <c r="V890" s="2" t="s">
        <v>95</v>
      </c>
      <c r="W890" s="2" t="s">
        <v>180</v>
      </c>
      <c r="X890" s="2" t="s">
        <v>5048</v>
      </c>
      <c r="Y890" s="2" t="s">
        <v>98</v>
      </c>
      <c r="Z890" s="2" t="s">
        <v>182</v>
      </c>
      <c r="AA890" s="2" t="s">
        <v>5049</v>
      </c>
      <c r="AB890" s="2" t="s">
        <v>3086</v>
      </c>
      <c r="AC890" s="2">
        <v>52.62</v>
      </c>
      <c r="AD890" s="2">
        <v>91.48</v>
      </c>
      <c r="AE890" s="2">
        <v>0</v>
      </c>
      <c r="AF890" s="2" t="s">
        <v>5614</v>
      </c>
      <c r="AG890" s="2" t="s">
        <v>993</v>
      </c>
      <c r="AH890" s="2" t="s">
        <v>2857</v>
      </c>
      <c r="AI890" s="2">
        <v>-0.42</v>
      </c>
      <c r="AJ890" s="2">
        <v>17.162658229401</v>
      </c>
      <c r="AK890" s="2">
        <v>17.3466183891661</v>
      </c>
      <c r="AL890" s="2">
        <v>17.690197384354999</v>
      </c>
      <c r="AM890" s="2">
        <v>17.851279032618699</v>
      </c>
      <c r="AN890" s="2">
        <v>17.186098372904901</v>
      </c>
      <c r="AO890" s="2">
        <v>17.541461705945899</v>
      </c>
      <c r="AP890" s="2">
        <v>17.479376249063801</v>
      </c>
      <c r="AQ890" s="2">
        <v>17.335719288929699</v>
      </c>
      <c r="AR890" s="2">
        <v>15.5692714714771</v>
      </c>
      <c r="AS890" s="2">
        <v>16.601669679004502</v>
      </c>
      <c r="AT890" s="2">
        <v>16.928963250205701</v>
      </c>
      <c r="AU890" s="2">
        <v>16.127452725212901</v>
      </c>
      <c r="AV890" s="2">
        <v>16.2526172063105</v>
      </c>
      <c r="AW890" s="2">
        <v>17.943594243962099</v>
      </c>
      <c r="AX890" s="2">
        <v>17.143791345833399</v>
      </c>
      <c r="AY890" s="2">
        <v>16.975945788941399</v>
      </c>
      <c r="AZ890" s="2">
        <v>15.767489022692301</v>
      </c>
      <c r="BA890" s="2">
        <v>18.276683895563998</v>
      </c>
      <c r="BB890" s="2">
        <v>17.983467003828199</v>
      </c>
      <c r="BC890" s="2">
        <v>18.2035782812208</v>
      </c>
      <c r="BD890" s="2">
        <v>15.2904843780174</v>
      </c>
      <c r="BE890" s="2">
        <v>16.430657212973198</v>
      </c>
      <c r="BF890" s="2">
        <v>16.9830139560036</v>
      </c>
      <c r="BG890" s="2">
        <v>17.998524983425401</v>
      </c>
      <c r="BH890" s="2">
        <v>17.2180077590283</v>
      </c>
      <c r="BI890" s="2">
        <v>17.484654801814401</v>
      </c>
      <c r="BJ890" s="2">
        <v>17.3908771286955</v>
      </c>
      <c r="BK890" s="2">
        <v>16.008381567384301</v>
      </c>
      <c r="BL890" s="2">
        <v>17.708696343256001</v>
      </c>
      <c r="BM890" s="2">
        <v>16.536915127225299</v>
      </c>
      <c r="BN890" s="2">
        <v>17.281963522874602</v>
      </c>
      <c r="BO890" s="2">
        <v>17.843808213681601</v>
      </c>
      <c r="BP890" s="2">
        <v>16.972146721168802</v>
      </c>
      <c r="BQ890" s="2">
        <v>18.366188364258701</v>
      </c>
      <c r="BR890" s="2">
        <v>17.2390222758828</v>
      </c>
      <c r="BS890" s="2">
        <v>17.198732592563299</v>
      </c>
      <c r="BT890" s="2">
        <v>16.962171449206402</v>
      </c>
      <c r="BU890" s="2">
        <v>17.553299973548</v>
      </c>
      <c r="BV890" s="2">
        <v>17.873710183408399</v>
      </c>
      <c r="BW890" s="2">
        <v>16.5916320580479</v>
      </c>
      <c r="BX890" s="2">
        <v>16.460758399227899</v>
      </c>
      <c r="BY890" s="2">
        <v>17.478209117229699</v>
      </c>
      <c r="BZ890" s="2">
        <v>16.848472325845702</v>
      </c>
      <c r="CA890" s="2">
        <v>17.1105138958014</v>
      </c>
      <c r="CB890" s="2">
        <v>18.099327877861899</v>
      </c>
      <c r="CC890" s="2">
        <v>17.635306749648599</v>
      </c>
      <c r="CD890" s="2">
        <v>16.2151285501178</v>
      </c>
      <c r="CE890" s="2">
        <v>18.137502473091899</v>
      </c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</row>
    <row r="891" spans="1:97">
      <c r="A891" s="2" t="s">
        <v>8292</v>
      </c>
      <c r="B891" s="2">
        <v>297.20645999999999</v>
      </c>
      <c r="C891" s="2">
        <v>10.239000000000001</v>
      </c>
      <c r="D891" s="2" t="s">
        <v>146</v>
      </c>
      <c r="E891" s="2" t="s">
        <v>8293</v>
      </c>
      <c r="F891" s="2" t="s">
        <v>8294</v>
      </c>
      <c r="G891" s="2">
        <v>2866</v>
      </c>
      <c r="H891" s="3" t="str">
        <f>HYPERLINK("https://cloud.oebiotech.com/#/lm/network/2866", "https://cloud.oebiotech.com/#/lm/network/2866")</f>
        <v>https://cloud.oebiotech.com/#/lm/network/2866</v>
      </c>
      <c r="I891" s="2"/>
      <c r="J891" s="2">
        <v>74925</v>
      </c>
      <c r="K891" s="2" t="s">
        <v>8295</v>
      </c>
      <c r="L891" s="2">
        <v>9543673</v>
      </c>
      <c r="M891" s="2"/>
      <c r="N891" s="2"/>
      <c r="O891" s="2"/>
      <c r="P891" s="2"/>
      <c r="Q891" s="2"/>
      <c r="R891" s="2"/>
      <c r="S891" s="2"/>
      <c r="T891" s="2" t="s">
        <v>8296</v>
      </c>
      <c r="U891" s="2" t="s">
        <v>8297</v>
      </c>
      <c r="V891" s="2" t="s">
        <v>95</v>
      </c>
      <c r="W891" s="2" t="s">
        <v>96</v>
      </c>
      <c r="X891" s="2" t="s">
        <v>141</v>
      </c>
      <c r="Y891" s="2" t="s">
        <v>98</v>
      </c>
      <c r="Z891" s="2" t="s">
        <v>99</v>
      </c>
      <c r="AA891" s="2" t="s">
        <v>142</v>
      </c>
      <c r="AB891" s="2" t="s">
        <v>3086</v>
      </c>
      <c r="AC891" s="2">
        <v>52.61</v>
      </c>
      <c r="AD891" s="2">
        <v>88.96</v>
      </c>
      <c r="AE891" s="2">
        <v>0</v>
      </c>
      <c r="AF891" s="2" t="s">
        <v>5614</v>
      </c>
      <c r="AG891" s="2" t="s">
        <v>194</v>
      </c>
      <c r="AH891" s="2" t="s">
        <v>8298</v>
      </c>
      <c r="AI891" s="2">
        <v>2.02</v>
      </c>
      <c r="AJ891" s="2">
        <v>19.826980955407699</v>
      </c>
      <c r="AK891" s="2">
        <v>19.817479473826399</v>
      </c>
      <c r="AL891" s="2">
        <v>19.830012053254201</v>
      </c>
      <c r="AM891" s="2">
        <v>19.326509716544699</v>
      </c>
      <c r="AN891" s="2">
        <v>19.084713369474098</v>
      </c>
      <c r="AO891" s="2">
        <v>18.984510443476999</v>
      </c>
      <c r="AP891" s="2">
        <v>19.053507317958001</v>
      </c>
      <c r="AQ891" s="2">
        <v>18.9272483914683</v>
      </c>
      <c r="AR891" s="2">
        <v>20.199461512302801</v>
      </c>
      <c r="AS891" s="2">
        <v>19.201431080869401</v>
      </c>
      <c r="AT891" s="2">
        <v>19.460073457684899</v>
      </c>
      <c r="AU891" s="2">
        <v>18.892520345511699</v>
      </c>
      <c r="AV891" s="2">
        <v>19.2200870742655</v>
      </c>
      <c r="AW891" s="2">
        <v>20.1412637634017</v>
      </c>
      <c r="AX891" s="2">
        <v>18.315667371643102</v>
      </c>
      <c r="AY891" s="2">
        <v>20.7674685338011</v>
      </c>
      <c r="AZ891" s="2">
        <v>18.856678831555602</v>
      </c>
      <c r="BA891" s="2">
        <v>18.589652499625899</v>
      </c>
      <c r="BB891" s="2">
        <v>17.907170348942401</v>
      </c>
      <c r="BC891" s="2">
        <v>20.049473166511799</v>
      </c>
      <c r="BD891" s="2">
        <v>19.6174517352351</v>
      </c>
      <c r="BE891" s="2">
        <v>20.771231124493799</v>
      </c>
      <c r="BF891" s="2">
        <v>18.3220279019103</v>
      </c>
      <c r="BG891" s="2">
        <v>18.502902994053301</v>
      </c>
      <c r="BH891" s="2">
        <v>19.975049007329901</v>
      </c>
      <c r="BI891" s="2">
        <v>18.841703002684199</v>
      </c>
      <c r="BJ891" s="2">
        <v>20.301104870187501</v>
      </c>
      <c r="BK891" s="2">
        <v>20.0308583193553</v>
      </c>
      <c r="BL891" s="2">
        <v>19.0115767304735</v>
      </c>
      <c r="BM891" s="2">
        <v>19.422344687540502</v>
      </c>
      <c r="BN891" s="2">
        <v>20.540544908979602</v>
      </c>
      <c r="BO891" s="2">
        <v>18.935845728650701</v>
      </c>
      <c r="BP891" s="2">
        <v>19.112823277410399</v>
      </c>
      <c r="BQ891" s="2">
        <v>19.4017307666088</v>
      </c>
      <c r="BR891" s="2">
        <v>19.282535526702599</v>
      </c>
      <c r="BS891" s="2">
        <v>20.601406064930998</v>
      </c>
      <c r="BT891" s="2">
        <v>18.4205940559855</v>
      </c>
      <c r="BU891" s="2">
        <v>19.903856476815498</v>
      </c>
      <c r="BV891" s="2">
        <v>19.574475028576501</v>
      </c>
      <c r="BW891" s="2">
        <v>19.220573692017201</v>
      </c>
      <c r="BX891" s="2">
        <v>18.832576936531002</v>
      </c>
      <c r="BY891" s="2">
        <v>21.506325408746001</v>
      </c>
      <c r="BZ891" s="2">
        <v>18.536812593074899</v>
      </c>
      <c r="CA891" s="2">
        <v>18.763573151100701</v>
      </c>
      <c r="CB891" s="2">
        <v>18.787253562771099</v>
      </c>
      <c r="CC891" s="2">
        <v>19.520327897932201</v>
      </c>
      <c r="CD891" s="2">
        <v>20.2312762690506</v>
      </c>
      <c r="CE891" s="2">
        <v>19.238141459660199</v>
      </c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</row>
    <row r="892" spans="1:97">
      <c r="A892" s="2" t="s">
        <v>8299</v>
      </c>
      <c r="B892" s="2">
        <v>294.11209000000002</v>
      </c>
      <c r="C892" s="2">
        <v>4.6970000000000001</v>
      </c>
      <c r="D892" s="2" t="s">
        <v>146</v>
      </c>
      <c r="E892" s="2" t="s">
        <v>8300</v>
      </c>
      <c r="F892" s="2" t="s">
        <v>6753</v>
      </c>
      <c r="G892" s="2">
        <v>64090</v>
      </c>
      <c r="H892" s="3" t="str">
        <f>HYPERLINK("https://cloud.oebiotech.com/#/lm/network/64090", "https://cloud.oebiotech.com/#/lm/network/64090")</f>
        <v>https://cloud.oebiotech.com/#/lm/network/64090</v>
      </c>
      <c r="I892" s="2" t="s">
        <v>8301</v>
      </c>
      <c r="J892" s="2"/>
      <c r="K892" s="2"/>
      <c r="L892" s="2">
        <v>628557</v>
      </c>
      <c r="M892" s="2" t="s">
        <v>8302</v>
      </c>
      <c r="N892" s="2"/>
      <c r="O892" s="2"/>
      <c r="P892" s="2"/>
      <c r="Q892" s="2"/>
      <c r="R892" s="2"/>
      <c r="S892" s="2" t="s">
        <v>8303</v>
      </c>
      <c r="T892" s="2" t="s">
        <v>8304</v>
      </c>
      <c r="U892" s="2" t="s">
        <v>8305</v>
      </c>
      <c r="V892" s="2" t="s">
        <v>374</v>
      </c>
      <c r="W892" s="2" t="s">
        <v>6758</v>
      </c>
      <c r="X892" s="2" t="s">
        <v>375</v>
      </c>
      <c r="Y892" s="2" t="s">
        <v>376</v>
      </c>
      <c r="Z892" s="2" t="s">
        <v>6759</v>
      </c>
      <c r="AA892" s="2"/>
      <c r="AB892" s="2" t="s">
        <v>3086</v>
      </c>
      <c r="AC892" s="2">
        <v>52.6</v>
      </c>
      <c r="AD892" s="2">
        <v>89.03</v>
      </c>
      <c r="AE892" s="2">
        <v>0</v>
      </c>
      <c r="AF892" s="2" t="s">
        <v>5614</v>
      </c>
      <c r="AG892" s="2" t="s">
        <v>993</v>
      </c>
      <c r="AH892" s="2" t="s">
        <v>6760</v>
      </c>
      <c r="AI892" s="2">
        <v>3.06</v>
      </c>
      <c r="AJ892" s="2">
        <v>18.731876542161</v>
      </c>
      <c r="AK892" s="2">
        <v>18.8783103572299</v>
      </c>
      <c r="AL892" s="2">
        <v>18.8234736642396</v>
      </c>
      <c r="AM892" s="2">
        <v>18.740586199334299</v>
      </c>
      <c r="AN892" s="2">
        <v>18.6303091153178</v>
      </c>
      <c r="AO892" s="2">
        <v>18.867422124780202</v>
      </c>
      <c r="AP892" s="2">
        <v>18.830617144218898</v>
      </c>
      <c r="AQ892" s="2">
        <v>18.708164396754398</v>
      </c>
      <c r="AR892" s="2">
        <v>17.542920540735601</v>
      </c>
      <c r="AS892" s="2">
        <v>15.953470781056501</v>
      </c>
      <c r="AT892" s="2">
        <v>18.059950562024799</v>
      </c>
      <c r="AU892" s="2">
        <v>16.419357503028799</v>
      </c>
      <c r="AV892" s="2">
        <v>18.968044698202601</v>
      </c>
      <c r="AW892" s="2">
        <v>19.6361217072042</v>
      </c>
      <c r="AX892" s="2">
        <v>18.7354905445371</v>
      </c>
      <c r="AY892" s="2">
        <v>19.799346719567001</v>
      </c>
      <c r="AZ892" s="2">
        <v>19.084261985858198</v>
      </c>
      <c r="BA892" s="2">
        <v>19.345884165397202</v>
      </c>
      <c r="BB892" s="2">
        <v>17.689294928423301</v>
      </c>
      <c r="BC892" s="2">
        <v>18.9423562551715</v>
      </c>
      <c r="BD892" s="2">
        <v>17.896546691789801</v>
      </c>
      <c r="BE892" s="2">
        <v>18.104490543283401</v>
      </c>
      <c r="BF892" s="2">
        <v>17.400116270742298</v>
      </c>
      <c r="BG892" s="2">
        <v>19.1532391493155</v>
      </c>
      <c r="BH892" s="2">
        <v>18.917457775413499</v>
      </c>
      <c r="BI892" s="2">
        <v>17.114457110862102</v>
      </c>
      <c r="BJ892" s="2">
        <v>17.701633522407601</v>
      </c>
      <c r="BK892" s="2">
        <v>18.3581995154141</v>
      </c>
      <c r="BL892" s="2">
        <v>18.561570253367101</v>
      </c>
      <c r="BM892" s="2">
        <v>16.2134593043797</v>
      </c>
      <c r="BN892" s="2">
        <v>18.3974537484793</v>
      </c>
      <c r="BO892" s="2">
        <v>17.832621807334601</v>
      </c>
      <c r="BP892" s="2">
        <v>19.124067783424401</v>
      </c>
      <c r="BQ892" s="2">
        <v>18.6145019112322</v>
      </c>
      <c r="BR892" s="2">
        <v>19.140515115294001</v>
      </c>
      <c r="BS892" s="2">
        <v>19.5733308939725</v>
      </c>
      <c r="BT892" s="2">
        <v>19.0290722250116</v>
      </c>
      <c r="BU892" s="2">
        <v>19.674404636714801</v>
      </c>
      <c r="BV892" s="2">
        <v>17.0556920124105</v>
      </c>
      <c r="BW892" s="2">
        <v>19.0275714158056</v>
      </c>
      <c r="BX892" s="2">
        <v>18.253548646462701</v>
      </c>
      <c r="BY892" s="2">
        <v>19.512100412676499</v>
      </c>
      <c r="BZ892" s="2">
        <v>18.652086357594602</v>
      </c>
      <c r="CA892" s="2">
        <v>18.4144417109238</v>
      </c>
      <c r="CB892" s="2">
        <v>19.116949501033702</v>
      </c>
      <c r="CC892" s="2">
        <v>17.589962182399301</v>
      </c>
      <c r="CD892" s="2">
        <v>18.378490328998499</v>
      </c>
      <c r="CE892" s="2">
        <v>18.746475055607501</v>
      </c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</row>
    <row r="893" spans="1:97">
      <c r="A893" s="2" t="s">
        <v>8306</v>
      </c>
      <c r="B893" s="2">
        <v>263.10232000000002</v>
      </c>
      <c r="C893" s="2">
        <v>4.0389999999999997</v>
      </c>
      <c r="D893" s="2" t="s">
        <v>84</v>
      </c>
      <c r="E893" s="2" t="s">
        <v>8307</v>
      </c>
      <c r="F893" s="2" t="s">
        <v>8308</v>
      </c>
      <c r="G893" s="2">
        <v>47171</v>
      </c>
      <c r="H893" s="3" t="str">
        <f>HYPERLINK("https://cloud.oebiotech.com/#/lm/network/47171", "https://cloud.oebiotech.com/#/lm/network/47171")</f>
        <v>https://cloud.oebiotech.com/#/lm/network/47171</v>
      </c>
      <c r="I893" s="2" t="s">
        <v>8309</v>
      </c>
      <c r="J893" s="2">
        <v>64957</v>
      </c>
      <c r="K893" s="2"/>
      <c r="L893" s="2">
        <v>93078</v>
      </c>
      <c r="M893" s="2"/>
      <c r="N893" s="2"/>
      <c r="O893" s="2"/>
      <c r="P893" s="2">
        <v>73830</v>
      </c>
      <c r="Q893" s="2"/>
      <c r="R893" s="2"/>
      <c r="S893" s="2" t="s">
        <v>8310</v>
      </c>
      <c r="T893" s="2" t="s">
        <v>8311</v>
      </c>
      <c r="U893" s="2" t="s">
        <v>8312</v>
      </c>
      <c r="V893" s="2" t="s">
        <v>115</v>
      </c>
      <c r="W893" s="2" t="s">
        <v>116</v>
      </c>
      <c r="X893" s="2" t="s">
        <v>117</v>
      </c>
      <c r="Y893" s="2" t="s">
        <v>118</v>
      </c>
      <c r="Z893" s="2" t="s">
        <v>119</v>
      </c>
      <c r="AA893" s="2" t="s">
        <v>120</v>
      </c>
      <c r="AB893" s="2" t="s">
        <v>3086</v>
      </c>
      <c r="AC893" s="2">
        <v>52.59</v>
      </c>
      <c r="AD893" s="2">
        <v>91.56</v>
      </c>
      <c r="AE893" s="2">
        <v>0</v>
      </c>
      <c r="AF893" s="2" t="s">
        <v>5614</v>
      </c>
      <c r="AG893" s="2" t="s">
        <v>1088</v>
      </c>
      <c r="AH893" s="2" t="s">
        <v>8313</v>
      </c>
      <c r="AI893" s="2">
        <v>3.42</v>
      </c>
      <c r="AJ893" s="2">
        <v>17.012851360562699</v>
      </c>
      <c r="AK893" s="2">
        <v>17.580270346477199</v>
      </c>
      <c r="AL893" s="2">
        <v>17.129080526282799</v>
      </c>
      <c r="AM893" s="2">
        <v>16.8054414739468</v>
      </c>
      <c r="AN893" s="2">
        <v>17.327525979237802</v>
      </c>
      <c r="AO893" s="2">
        <v>17.180358793312401</v>
      </c>
      <c r="AP893" s="2">
        <v>16.874056560734498</v>
      </c>
      <c r="AQ893" s="2">
        <v>17.2636092178439</v>
      </c>
      <c r="AR893" s="2">
        <v>16.731754425844201</v>
      </c>
      <c r="AS893" s="2">
        <v>13.6190851131133</v>
      </c>
      <c r="AT893" s="2">
        <v>9.6233145402724691</v>
      </c>
      <c r="AU893" s="2">
        <v>16.253684640899401</v>
      </c>
      <c r="AV893" s="2">
        <v>17.153633964706799</v>
      </c>
      <c r="AW893" s="2">
        <v>18.031335971100798</v>
      </c>
      <c r="AX893" s="2">
        <v>16.031614412736999</v>
      </c>
      <c r="AY893" s="2">
        <v>9.6233145402724691</v>
      </c>
      <c r="AZ893" s="2">
        <v>17.502349577111499</v>
      </c>
      <c r="BA893" s="2">
        <v>14.9698321229636</v>
      </c>
      <c r="BB893" s="2">
        <v>14.2397379889955</v>
      </c>
      <c r="BC893" s="2">
        <v>14.9042902754222</v>
      </c>
      <c r="BD893" s="2">
        <v>15.4407588854476</v>
      </c>
      <c r="BE893" s="2">
        <v>15.6709510642608</v>
      </c>
      <c r="BF893" s="2">
        <v>17.199821755252099</v>
      </c>
      <c r="BG893" s="2">
        <v>15.075824656304899</v>
      </c>
      <c r="BH893" s="2">
        <v>17.712997245171199</v>
      </c>
      <c r="BI893" s="2">
        <v>16.073506254398801</v>
      </c>
      <c r="BJ893" s="2">
        <v>14.0248366614425</v>
      </c>
      <c r="BK893" s="2">
        <v>17.234259382595202</v>
      </c>
      <c r="BL893" s="2">
        <v>16.8648078536471</v>
      </c>
      <c r="BM893" s="2">
        <v>17.461597428824899</v>
      </c>
      <c r="BN893" s="2">
        <v>18.255195227920598</v>
      </c>
      <c r="BO893" s="2">
        <v>16.510654620537501</v>
      </c>
      <c r="BP893" s="2">
        <v>14.171177579684899</v>
      </c>
      <c r="BQ893" s="2">
        <v>16.786175039590098</v>
      </c>
      <c r="BR893" s="2">
        <v>16.772695509772699</v>
      </c>
      <c r="BS893" s="2">
        <v>18.737588174595</v>
      </c>
      <c r="BT893" s="2">
        <v>15.293684660542</v>
      </c>
      <c r="BU893" s="2">
        <v>15.0877719333957</v>
      </c>
      <c r="BV893" s="2">
        <v>14.1432492705668</v>
      </c>
      <c r="BW893" s="2">
        <v>14.3173652674905</v>
      </c>
      <c r="BX893" s="2">
        <v>18.437278398980801</v>
      </c>
      <c r="BY893" s="2">
        <v>18.278934431359499</v>
      </c>
      <c r="BZ893" s="2">
        <v>17.1520983329176</v>
      </c>
      <c r="CA893" s="2">
        <v>16.175558321858599</v>
      </c>
      <c r="CB893" s="2">
        <v>14.0996609411925</v>
      </c>
      <c r="CC893" s="2">
        <v>17.137826189656501</v>
      </c>
      <c r="CD893" s="2">
        <v>17.334270753464601</v>
      </c>
      <c r="CE893" s="2">
        <v>16.766498757241099</v>
      </c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</row>
    <row r="894" spans="1:97">
      <c r="A894" s="2" t="s">
        <v>8314</v>
      </c>
      <c r="B894" s="2">
        <v>100.02172</v>
      </c>
      <c r="C894" s="2">
        <v>0.91500000000000004</v>
      </c>
      <c r="D894" s="2" t="s">
        <v>84</v>
      </c>
      <c r="E894" s="2" t="s">
        <v>8315</v>
      </c>
      <c r="F894" s="2" t="s">
        <v>8316</v>
      </c>
      <c r="G894" s="2">
        <v>47895</v>
      </c>
      <c r="H894" s="3" t="str">
        <f>HYPERLINK("https://cloud.oebiotech.com/#/lm/network/47895", "https://cloud.oebiotech.com/#/lm/network/47895")</f>
        <v>https://cloud.oebiotech.com/#/lm/network/47895</v>
      </c>
      <c r="I894" s="2" t="s">
        <v>8317</v>
      </c>
      <c r="J894" s="2">
        <v>6594</v>
      </c>
      <c r="K894" s="2"/>
      <c r="L894" s="2">
        <v>107712</v>
      </c>
      <c r="M894" s="2"/>
      <c r="N894" s="2"/>
      <c r="O894" s="2"/>
      <c r="P894" s="2"/>
      <c r="Q894" s="2"/>
      <c r="R894" s="2"/>
      <c r="S894" s="2" t="s">
        <v>8318</v>
      </c>
      <c r="T894" s="2" t="s">
        <v>8319</v>
      </c>
      <c r="U894" s="2" t="s">
        <v>8320</v>
      </c>
      <c r="V894" s="2" t="s">
        <v>115</v>
      </c>
      <c r="W894" s="2" t="s">
        <v>116</v>
      </c>
      <c r="X894" s="2" t="s">
        <v>117</v>
      </c>
      <c r="Y894" s="2" t="s">
        <v>118</v>
      </c>
      <c r="Z894" s="2" t="s">
        <v>119</v>
      </c>
      <c r="AA894" s="2" t="s">
        <v>120</v>
      </c>
      <c r="AB894" s="2" t="s">
        <v>3086</v>
      </c>
      <c r="AC894" s="2">
        <v>52.58</v>
      </c>
      <c r="AD894" s="2">
        <v>94.92</v>
      </c>
      <c r="AE894" s="2">
        <v>0</v>
      </c>
      <c r="AF894" s="2" t="s">
        <v>5614</v>
      </c>
      <c r="AG894" s="2" t="s">
        <v>1088</v>
      </c>
      <c r="AH894" s="2" t="s">
        <v>8321</v>
      </c>
      <c r="AI894" s="2">
        <v>4.0999999999999996</v>
      </c>
      <c r="AJ894" s="2">
        <v>22.668471295241499</v>
      </c>
      <c r="AK894" s="2">
        <v>22.201327917956899</v>
      </c>
      <c r="AL894" s="2">
        <v>22.060679827734798</v>
      </c>
      <c r="AM894" s="2">
        <v>22.409965679112499</v>
      </c>
      <c r="AN894" s="2">
        <v>22.413535253846799</v>
      </c>
      <c r="AO894" s="2">
        <v>21.789696584499399</v>
      </c>
      <c r="AP894" s="2">
        <v>22.120387900271101</v>
      </c>
      <c r="AQ894" s="2">
        <v>22.250320071494802</v>
      </c>
      <c r="AR894" s="2">
        <v>22.3286778223253</v>
      </c>
      <c r="AS894" s="2">
        <v>22.205729266727602</v>
      </c>
      <c r="AT894" s="2">
        <v>23.1909550255216</v>
      </c>
      <c r="AU894" s="2">
        <v>22.796969385143299</v>
      </c>
      <c r="AV894" s="2">
        <v>22.798666802567102</v>
      </c>
      <c r="AW894" s="2">
        <v>22.838170296926101</v>
      </c>
      <c r="AX894" s="2">
        <v>22.404022170605099</v>
      </c>
      <c r="AY894" s="2">
        <v>23.298042433100999</v>
      </c>
      <c r="AZ894" s="2">
        <v>22.590592250982201</v>
      </c>
      <c r="BA894" s="2">
        <v>22.8135971795095</v>
      </c>
      <c r="BB894" s="2">
        <v>21.389003712082499</v>
      </c>
      <c r="BC894" s="2">
        <v>22.577356913795999</v>
      </c>
      <c r="BD894" s="2">
        <v>21.909404985472701</v>
      </c>
      <c r="BE894" s="2">
        <v>22.425317556949299</v>
      </c>
      <c r="BF894" s="2">
        <v>23.432026269117099</v>
      </c>
      <c r="BG894" s="2">
        <v>21.154373074738501</v>
      </c>
      <c r="BH894" s="2">
        <v>21.955030824392001</v>
      </c>
      <c r="BI894" s="2">
        <v>22.4001463892223</v>
      </c>
      <c r="BJ894" s="2">
        <v>21.9899282723783</v>
      </c>
      <c r="BK894" s="2">
        <v>23.1871912632093</v>
      </c>
      <c r="BL894" s="2">
        <v>22.9208908163972</v>
      </c>
      <c r="BM894" s="2">
        <v>22.433181589203699</v>
      </c>
      <c r="BN894" s="2">
        <v>22.6879315656324</v>
      </c>
      <c r="BO894" s="2">
        <v>22.6319825784106</v>
      </c>
      <c r="BP894" s="2">
        <v>22.213796180247101</v>
      </c>
      <c r="BQ894" s="2">
        <v>22.6875481949379</v>
      </c>
      <c r="BR894" s="2">
        <v>22.834344966521499</v>
      </c>
      <c r="BS894" s="2">
        <v>22.420909030499999</v>
      </c>
      <c r="BT894" s="2">
        <v>22.745794800116599</v>
      </c>
      <c r="BU894" s="2">
        <v>20.742384804772101</v>
      </c>
      <c r="BV894" s="2">
        <v>22.758760005000202</v>
      </c>
      <c r="BW894" s="2">
        <v>23.269271924248201</v>
      </c>
      <c r="BX894" s="2">
        <v>23.5235044008401</v>
      </c>
      <c r="BY894" s="2">
        <v>21.535908626862501</v>
      </c>
      <c r="BZ894" s="2">
        <v>21.893421058647299</v>
      </c>
      <c r="CA894" s="2">
        <v>22.0755862903886</v>
      </c>
      <c r="CB894" s="2">
        <v>22.156850669456698</v>
      </c>
      <c r="CC894" s="2">
        <v>22.5083009094073</v>
      </c>
      <c r="CD894" s="2">
        <v>22.389884863209598</v>
      </c>
      <c r="CE894" s="2">
        <v>22.7240593463514</v>
      </c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</row>
    <row r="895" spans="1:97">
      <c r="A895" s="2" t="s">
        <v>8322</v>
      </c>
      <c r="B895" s="2">
        <v>189.11285000000001</v>
      </c>
      <c r="C895" s="2">
        <v>5.218</v>
      </c>
      <c r="D895" s="2" t="s">
        <v>146</v>
      </c>
      <c r="E895" s="2" t="s">
        <v>8323</v>
      </c>
      <c r="F895" s="2" t="s">
        <v>8324</v>
      </c>
      <c r="G895" s="2">
        <v>9907</v>
      </c>
      <c r="H895" s="3" t="str">
        <f>HYPERLINK("https://cloud.oebiotech.com/#/lm/network/9907", "https://cloud.oebiotech.com/#/lm/network/9907")</f>
        <v>https://cloud.oebiotech.com/#/lm/network/9907</v>
      </c>
      <c r="I895" s="2"/>
      <c r="J895" s="2">
        <v>98124</v>
      </c>
      <c r="K895" s="2" t="s">
        <v>8325</v>
      </c>
      <c r="L895" s="2">
        <v>155663</v>
      </c>
      <c r="M895" s="2"/>
      <c r="N895" s="2"/>
      <c r="O895" s="2"/>
      <c r="P895" s="2"/>
      <c r="Q895" s="2"/>
      <c r="R895" s="2"/>
      <c r="S895" s="2"/>
      <c r="T895" s="2" t="s">
        <v>8326</v>
      </c>
      <c r="U895" s="2" t="s">
        <v>8327</v>
      </c>
      <c r="V895" s="2" t="s">
        <v>338</v>
      </c>
      <c r="W895" s="2" t="s">
        <v>339</v>
      </c>
      <c r="X895" s="2" t="s">
        <v>340</v>
      </c>
      <c r="Y895" s="2" t="s">
        <v>341</v>
      </c>
      <c r="Z895" s="2" t="s">
        <v>341</v>
      </c>
      <c r="AA895" s="2" t="s">
        <v>342</v>
      </c>
      <c r="AB895" s="2" t="s">
        <v>3086</v>
      </c>
      <c r="AC895" s="2">
        <v>52.58</v>
      </c>
      <c r="AD895" s="2">
        <v>94.46</v>
      </c>
      <c r="AE895" s="2">
        <v>0</v>
      </c>
      <c r="AF895" s="2" t="s">
        <v>5614</v>
      </c>
      <c r="AG895" s="2" t="s">
        <v>157</v>
      </c>
      <c r="AH895" s="2" t="s">
        <v>8328</v>
      </c>
      <c r="AI895" s="2">
        <v>1.59</v>
      </c>
      <c r="AJ895" s="2">
        <v>18.417489661578202</v>
      </c>
      <c r="AK895" s="2">
        <v>18.476242517376701</v>
      </c>
      <c r="AL895" s="2">
        <v>18.381224005908201</v>
      </c>
      <c r="AM895" s="2">
        <v>18.517603805402299</v>
      </c>
      <c r="AN895" s="2">
        <v>18.321796182291202</v>
      </c>
      <c r="AO895" s="2">
        <v>18.5922618245725</v>
      </c>
      <c r="AP895" s="2">
        <v>18.271835672344999</v>
      </c>
      <c r="AQ895" s="2">
        <v>18.3950396555678</v>
      </c>
      <c r="AR895" s="2">
        <v>17.355553186912701</v>
      </c>
      <c r="AS895" s="2">
        <v>17.1635291974594</v>
      </c>
      <c r="AT895" s="2">
        <v>16.5717009527195</v>
      </c>
      <c r="AU895" s="2">
        <v>17.1680544770532</v>
      </c>
      <c r="AV895" s="2">
        <v>16.099038516763098</v>
      </c>
      <c r="AW895" s="2">
        <v>17.332241231589599</v>
      </c>
      <c r="AX895" s="2">
        <v>16.947604408464301</v>
      </c>
      <c r="AY895" s="2">
        <v>16.9115848586334</v>
      </c>
      <c r="AZ895" s="2">
        <v>16.5152683325555</v>
      </c>
      <c r="BA895" s="2">
        <v>16.701601577717302</v>
      </c>
      <c r="BB895" s="2">
        <v>16.617229684552498</v>
      </c>
      <c r="BC895" s="2">
        <v>17.3856979585393</v>
      </c>
      <c r="BD895" s="2">
        <v>16.889555059540399</v>
      </c>
      <c r="BE895" s="2">
        <v>17.6250389871709</v>
      </c>
      <c r="BF895" s="2">
        <v>16.9712276154869</v>
      </c>
      <c r="BG895" s="2">
        <v>16.634452600273601</v>
      </c>
      <c r="BH895" s="2">
        <v>16.485077866568101</v>
      </c>
      <c r="BI895" s="2">
        <v>17.052874098590799</v>
      </c>
      <c r="BJ895" s="2">
        <v>16.657208317050799</v>
      </c>
      <c r="BK895" s="2">
        <v>17.243341737607501</v>
      </c>
      <c r="BL895" s="2">
        <v>16.5402533848297</v>
      </c>
      <c r="BM895" s="2">
        <v>17.4877700197212</v>
      </c>
      <c r="BN895" s="2">
        <v>16.6782982165298</v>
      </c>
      <c r="BO895" s="2">
        <v>16.944077173976499</v>
      </c>
      <c r="BP895" s="2">
        <v>16.326651379925401</v>
      </c>
      <c r="BQ895" s="2">
        <v>16.670188182397801</v>
      </c>
      <c r="BR895" s="2">
        <v>17.502903809630201</v>
      </c>
      <c r="BS895" s="2">
        <v>17.813761091028901</v>
      </c>
      <c r="BT895" s="2">
        <v>16.783366614074101</v>
      </c>
      <c r="BU895" s="2">
        <v>16.9326031300068</v>
      </c>
      <c r="BV895" s="2">
        <v>16.5901215138637</v>
      </c>
      <c r="BW895" s="2">
        <v>17.205030032441101</v>
      </c>
      <c r="BX895" s="2">
        <v>16.821254797321401</v>
      </c>
      <c r="BY895" s="2">
        <v>18.412960890316601</v>
      </c>
      <c r="BZ895" s="2">
        <v>17.300413517482198</v>
      </c>
      <c r="CA895" s="2">
        <v>16.717735454343899</v>
      </c>
      <c r="CB895" s="2">
        <v>16.0735878410952</v>
      </c>
      <c r="CC895" s="2">
        <v>16.4930495235187</v>
      </c>
      <c r="CD895" s="2">
        <v>17.124910070023301</v>
      </c>
      <c r="CE895" s="2">
        <v>16.425244429033</v>
      </c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</row>
    <row r="896" spans="1:97">
      <c r="A896" s="2" t="s">
        <v>8329</v>
      </c>
      <c r="B896" s="2">
        <v>302.10187999999999</v>
      </c>
      <c r="C896" s="2">
        <v>5.7690000000000001</v>
      </c>
      <c r="D896" s="2" t="s">
        <v>84</v>
      </c>
      <c r="E896" s="2" t="s">
        <v>8330</v>
      </c>
      <c r="F896" s="2" t="s">
        <v>8331</v>
      </c>
      <c r="G896" s="2">
        <v>30136</v>
      </c>
      <c r="H896" s="3" t="str">
        <f>HYPERLINK("https://cloud.oebiotech.com/#/lm/network/30136", "https://cloud.oebiotech.com/#/lm/network/30136")</f>
        <v>https://cloud.oebiotech.com/#/lm/network/30136</v>
      </c>
      <c r="I896" s="2" t="s">
        <v>8332</v>
      </c>
      <c r="J896" s="2">
        <v>48479</v>
      </c>
      <c r="K896" s="2" t="s">
        <v>8333</v>
      </c>
      <c r="L896" s="2">
        <v>5281618</v>
      </c>
      <c r="M896" s="2" t="s">
        <v>8334</v>
      </c>
      <c r="N896" s="2"/>
      <c r="O896" s="2"/>
      <c r="P896" s="2">
        <v>5326</v>
      </c>
      <c r="Q896" s="2"/>
      <c r="R896" s="2"/>
      <c r="S896" s="2"/>
      <c r="T896" s="2" t="s">
        <v>8335</v>
      </c>
      <c r="U896" s="2" t="s">
        <v>8336</v>
      </c>
      <c r="V896" s="2" t="s">
        <v>845</v>
      </c>
      <c r="W896" s="2" t="s">
        <v>1853</v>
      </c>
      <c r="X896" s="2" t="s">
        <v>1854</v>
      </c>
      <c r="Y896" s="2" t="s">
        <v>847</v>
      </c>
      <c r="Z896" s="2" t="s">
        <v>1855</v>
      </c>
      <c r="AA896" s="2" t="s">
        <v>1856</v>
      </c>
      <c r="AB896" s="2" t="s">
        <v>3086</v>
      </c>
      <c r="AC896" s="2">
        <v>52.58</v>
      </c>
      <c r="AD896" s="2">
        <v>89.3</v>
      </c>
      <c r="AE896" s="2">
        <v>0</v>
      </c>
      <c r="AF896" s="2" t="s">
        <v>5614</v>
      </c>
      <c r="AG896" s="2" t="s">
        <v>132</v>
      </c>
      <c r="AH896" s="2" t="s">
        <v>8337</v>
      </c>
      <c r="AI896" s="2">
        <v>1.32</v>
      </c>
      <c r="AJ896" s="2">
        <v>18.1694923413488</v>
      </c>
      <c r="AK896" s="2">
        <v>18.427466063412901</v>
      </c>
      <c r="AL896" s="2">
        <v>18.1422874327782</v>
      </c>
      <c r="AM896" s="2">
        <v>17.963358067178099</v>
      </c>
      <c r="AN896" s="2">
        <v>18.246301563530299</v>
      </c>
      <c r="AO896" s="2">
        <v>18.062100172402602</v>
      </c>
      <c r="AP896" s="2">
        <v>17.882725729255299</v>
      </c>
      <c r="AQ896" s="2">
        <v>18.010583449365502</v>
      </c>
      <c r="AR896" s="2">
        <v>15.332320176821399</v>
      </c>
      <c r="AS896" s="2">
        <v>17.116324262142001</v>
      </c>
      <c r="AT896" s="2">
        <v>17.978889288052901</v>
      </c>
      <c r="AU896" s="2">
        <v>16.560289242188801</v>
      </c>
      <c r="AV896" s="2">
        <v>16.808938541522998</v>
      </c>
      <c r="AW896" s="2">
        <v>17.2841086287149</v>
      </c>
      <c r="AX896" s="2">
        <v>18.739116453365401</v>
      </c>
      <c r="AY896" s="2">
        <v>17.749175455735202</v>
      </c>
      <c r="AZ896" s="2">
        <v>15.3209401304882</v>
      </c>
      <c r="BA896" s="2">
        <v>17.322511342126699</v>
      </c>
      <c r="BB896" s="2">
        <v>17.9771812983976</v>
      </c>
      <c r="BC896" s="2">
        <v>19.3423883651841</v>
      </c>
      <c r="BD896" s="2">
        <v>16.429872057236398</v>
      </c>
      <c r="BE896" s="2">
        <v>19.295657048945401</v>
      </c>
      <c r="BF896" s="2">
        <v>15.757595230849301</v>
      </c>
      <c r="BG896" s="2">
        <v>17.9541460328794</v>
      </c>
      <c r="BH896" s="2">
        <v>17.5870489981628</v>
      </c>
      <c r="BI896" s="2">
        <v>17.979528132844901</v>
      </c>
      <c r="BJ896" s="2">
        <v>18.556691049769199</v>
      </c>
      <c r="BK896" s="2">
        <v>17.0565439453548</v>
      </c>
      <c r="BL896" s="2">
        <v>17.180345485895</v>
      </c>
      <c r="BM896" s="2">
        <v>17.218733781813899</v>
      </c>
      <c r="BN896" s="2">
        <v>18.019723466613002</v>
      </c>
      <c r="BO896" s="2">
        <v>18.327143144064902</v>
      </c>
      <c r="BP896" s="2">
        <v>18.352806283980399</v>
      </c>
      <c r="BQ896" s="2">
        <v>17.742034048650901</v>
      </c>
      <c r="BR896" s="2">
        <v>18.355499118221299</v>
      </c>
      <c r="BS896" s="2">
        <v>17.628069836855001</v>
      </c>
      <c r="BT896" s="2">
        <v>17.249071868682201</v>
      </c>
      <c r="BU896" s="2">
        <v>17.7827486505292</v>
      </c>
      <c r="BV896" s="2">
        <v>18.419813646691601</v>
      </c>
      <c r="BW896" s="2">
        <v>17.652442799311601</v>
      </c>
      <c r="BX896" s="2">
        <v>16.229286926838601</v>
      </c>
      <c r="BY896" s="2">
        <v>19.995640483938899</v>
      </c>
      <c r="BZ896" s="2">
        <v>15.774572945134199</v>
      </c>
      <c r="CA896" s="2">
        <v>17.489775457046701</v>
      </c>
      <c r="CB896" s="2">
        <v>17.7956105729988</v>
      </c>
      <c r="CC896" s="2">
        <v>17.657056434826998</v>
      </c>
      <c r="CD896" s="2">
        <v>19.404028453612199</v>
      </c>
      <c r="CE896" s="2">
        <v>17.855995656827599</v>
      </c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</row>
    <row r="897" spans="1:97">
      <c r="A897" s="2" t="s">
        <v>8338</v>
      </c>
      <c r="B897" s="2">
        <v>187.01638</v>
      </c>
      <c r="C897" s="2">
        <v>4.8109999999999999</v>
      </c>
      <c r="D897" s="2" t="s">
        <v>146</v>
      </c>
      <c r="E897" s="2" t="s">
        <v>8339</v>
      </c>
      <c r="F897" s="2" t="s">
        <v>8340</v>
      </c>
      <c r="G897" s="2">
        <v>47149</v>
      </c>
      <c r="H897" s="3" t="str">
        <f>HYPERLINK("https://cloud.oebiotech.com/#/lm/network/47149", "https://cloud.oebiotech.com/#/lm/network/47149")</f>
        <v>https://cloud.oebiotech.com/#/lm/network/47149</v>
      </c>
      <c r="I897" s="2" t="s">
        <v>8341</v>
      </c>
      <c r="J897" s="2">
        <v>44707</v>
      </c>
      <c r="K897" s="2"/>
      <c r="L897" s="2">
        <v>11970</v>
      </c>
      <c r="M897" s="2" t="s">
        <v>8342</v>
      </c>
      <c r="N897" s="2" t="s">
        <v>526</v>
      </c>
      <c r="O897" s="2" t="s">
        <v>527</v>
      </c>
      <c r="P897" s="2">
        <v>28478</v>
      </c>
      <c r="Q897" s="2"/>
      <c r="R897" s="2"/>
      <c r="S897" s="2" t="s">
        <v>8343</v>
      </c>
      <c r="T897" s="2" t="s">
        <v>8344</v>
      </c>
      <c r="U897" s="2" t="s">
        <v>8345</v>
      </c>
      <c r="V897" s="2" t="s">
        <v>385</v>
      </c>
      <c r="W897" s="2" t="s">
        <v>386</v>
      </c>
      <c r="X897" s="2" t="s">
        <v>8346</v>
      </c>
      <c r="Y897" s="2" t="s">
        <v>388</v>
      </c>
      <c r="Z897" s="2" t="s">
        <v>389</v>
      </c>
      <c r="AA897" s="2" t="s">
        <v>8347</v>
      </c>
      <c r="AB897" s="2" t="s">
        <v>3086</v>
      </c>
      <c r="AC897" s="2">
        <v>52.53</v>
      </c>
      <c r="AD897" s="2">
        <v>76.66</v>
      </c>
      <c r="AE897" s="2">
        <v>0</v>
      </c>
      <c r="AF897" s="2" t="s">
        <v>5614</v>
      </c>
      <c r="AG897" s="2" t="s">
        <v>4062</v>
      </c>
      <c r="AH897" s="2" t="s">
        <v>8348</v>
      </c>
      <c r="AI897" s="2">
        <v>1.6</v>
      </c>
      <c r="AJ897" s="2">
        <v>21.432208832648602</v>
      </c>
      <c r="AK897" s="2">
        <v>21.0404478737305</v>
      </c>
      <c r="AL897" s="2">
        <v>21.171832261463301</v>
      </c>
      <c r="AM897" s="2">
        <v>21.490595972903201</v>
      </c>
      <c r="AN897" s="2">
        <v>20.457870497667901</v>
      </c>
      <c r="AO897" s="2">
        <v>20.723417789734</v>
      </c>
      <c r="AP897" s="2">
        <v>20.640573929122201</v>
      </c>
      <c r="AQ897" s="2">
        <v>20.904551394550001</v>
      </c>
      <c r="AR897" s="2">
        <v>20.251793821962298</v>
      </c>
      <c r="AS897" s="2">
        <v>18.281785623481898</v>
      </c>
      <c r="AT897" s="2">
        <v>15.586986055097</v>
      </c>
      <c r="AU897" s="2">
        <v>19.699141015076599</v>
      </c>
      <c r="AV897" s="2">
        <v>22.730543143861102</v>
      </c>
      <c r="AW897" s="2">
        <v>20.8302840807732</v>
      </c>
      <c r="AX897" s="2">
        <v>20.540442121654099</v>
      </c>
      <c r="AY897" s="2">
        <v>19.166172622302099</v>
      </c>
      <c r="AZ897" s="2">
        <v>21.125179529195801</v>
      </c>
      <c r="BA897" s="2">
        <v>19.636540527668298</v>
      </c>
      <c r="BB897" s="2">
        <v>18.751725763988102</v>
      </c>
      <c r="BC897" s="2">
        <v>16.1063241072121</v>
      </c>
      <c r="BD897" s="2">
        <v>21.1139095500703</v>
      </c>
      <c r="BE897" s="2">
        <v>24.577782623882001</v>
      </c>
      <c r="BF897" s="2">
        <v>21.348734987940301</v>
      </c>
      <c r="BG897" s="2">
        <v>20.252382554360299</v>
      </c>
      <c r="BH897" s="2">
        <v>22.477398823412798</v>
      </c>
      <c r="BI897" s="2">
        <v>22.238726877204499</v>
      </c>
      <c r="BJ897" s="2">
        <v>22.8421530250689</v>
      </c>
      <c r="BK897" s="2">
        <v>18.180627780805899</v>
      </c>
      <c r="BL897" s="2">
        <v>20.317598947337999</v>
      </c>
      <c r="BM897" s="2">
        <v>15.8755883445029</v>
      </c>
      <c r="BN897" s="2">
        <v>18.871141863817002</v>
      </c>
      <c r="BO897" s="2">
        <v>15.4624517876121</v>
      </c>
      <c r="BP897" s="2">
        <v>21.581566601074801</v>
      </c>
      <c r="BQ897" s="2">
        <v>20.527815470270301</v>
      </c>
      <c r="BR897" s="2">
        <v>20.360378723683599</v>
      </c>
      <c r="BS897" s="2">
        <v>20.196963132094901</v>
      </c>
      <c r="BT897" s="2">
        <v>20.459584406187499</v>
      </c>
      <c r="BU897" s="2">
        <v>20.092636451979299</v>
      </c>
      <c r="BV897" s="2">
        <v>19.321487333717201</v>
      </c>
      <c r="BW897" s="2">
        <v>15.93097913686</v>
      </c>
      <c r="BX897" s="2">
        <v>21.171689329431299</v>
      </c>
      <c r="BY897" s="2">
        <v>23.539116725119001</v>
      </c>
      <c r="BZ897" s="2">
        <v>18.163300692953001</v>
      </c>
      <c r="CA897" s="2">
        <v>17.015961513373501</v>
      </c>
      <c r="CB897" s="2">
        <v>20.756818521745501</v>
      </c>
      <c r="CC897" s="2">
        <v>17.737887280792201</v>
      </c>
      <c r="CD897" s="2">
        <v>22.3134866378557</v>
      </c>
      <c r="CE897" s="2">
        <v>9.6233145402724691</v>
      </c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</row>
    <row r="898" spans="1:97">
      <c r="A898" s="2" t="s">
        <v>8349</v>
      </c>
      <c r="B898" s="2">
        <v>192.07416000000001</v>
      </c>
      <c r="C898" s="2">
        <v>0.67100000000000004</v>
      </c>
      <c r="D898" s="2" t="s">
        <v>84</v>
      </c>
      <c r="E898" s="2" t="s">
        <v>8350</v>
      </c>
      <c r="F898" s="2" t="s">
        <v>8351</v>
      </c>
      <c r="G898" s="2">
        <v>47053</v>
      </c>
      <c r="H898" s="3" t="str">
        <f>HYPERLINK("https://cloud.oebiotech.com/#/lm/network/47053", "https://cloud.oebiotech.com/#/lm/network/47053")</f>
        <v>https://cloud.oebiotech.com/#/lm/network/47053</v>
      </c>
      <c r="I898" s="2" t="s">
        <v>8352</v>
      </c>
      <c r="J898" s="2">
        <v>3293</v>
      </c>
      <c r="K898" s="2"/>
      <c r="L898" s="2">
        <v>64969</v>
      </c>
      <c r="M898" s="2" t="s">
        <v>8353</v>
      </c>
      <c r="N898" s="2" t="s">
        <v>546</v>
      </c>
      <c r="O898" s="2" t="s">
        <v>547</v>
      </c>
      <c r="P898" s="2">
        <v>27596</v>
      </c>
      <c r="Q898" s="2"/>
      <c r="R898" s="2"/>
      <c r="S898" s="2" t="s">
        <v>8354</v>
      </c>
      <c r="T898" s="2" t="s">
        <v>8355</v>
      </c>
      <c r="U898" s="2" t="s">
        <v>8356</v>
      </c>
      <c r="V898" s="2" t="s">
        <v>115</v>
      </c>
      <c r="W898" s="2" t="s">
        <v>116</v>
      </c>
      <c r="X898" s="2" t="s">
        <v>117</v>
      </c>
      <c r="Y898" s="2" t="s">
        <v>118</v>
      </c>
      <c r="Z898" s="2" t="s">
        <v>119</v>
      </c>
      <c r="AA898" s="2" t="s">
        <v>120</v>
      </c>
      <c r="AB898" s="2" t="s">
        <v>3086</v>
      </c>
      <c r="AC898" s="2">
        <v>52.5</v>
      </c>
      <c r="AD898" s="2">
        <v>73.930000000000007</v>
      </c>
      <c r="AE898" s="2">
        <v>0</v>
      </c>
      <c r="AF898" s="2" t="s">
        <v>5614</v>
      </c>
      <c r="AG898" s="2" t="s">
        <v>1578</v>
      </c>
      <c r="AH898" s="2" t="s">
        <v>8357</v>
      </c>
      <c r="AI898" s="2">
        <v>0.52</v>
      </c>
      <c r="AJ898" s="2">
        <v>19.843060610277099</v>
      </c>
      <c r="AK898" s="2">
        <v>18.865188037763598</v>
      </c>
      <c r="AL898" s="2">
        <v>19.8040032075574</v>
      </c>
      <c r="AM898" s="2">
        <v>20.150132278219498</v>
      </c>
      <c r="AN898" s="2">
        <v>19.735571095976699</v>
      </c>
      <c r="AO898" s="2">
        <v>20.126128921799701</v>
      </c>
      <c r="AP898" s="2">
        <v>19.8159936769413</v>
      </c>
      <c r="AQ898" s="2">
        <v>19.1084642462401</v>
      </c>
      <c r="AR898" s="2">
        <v>19.969900443308202</v>
      </c>
      <c r="AS898" s="2">
        <v>18.157319053543201</v>
      </c>
      <c r="AT898" s="2">
        <v>18.1628197815925</v>
      </c>
      <c r="AU898" s="2">
        <v>18.596180072324302</v>
      </c>
      <c r="AV898" s="2">
        <v>19.638825115927901</v>
      </c>
      <c r="AW898" s="2">
        <v>20.258625585235201</v>
      </c>
      <c r="AX898" s="2">
        <v>19.664685238353499</v>
      </c>
      <c r="AY898" s="2">
        <v>19.6494394257941</v>
      </c>
      <c r="AZ898" s="2">
        <v>18.9880680860025</v>
      </c>
      <c r="BA898" s="2">
        <v>18.337441762912398</v>
      </c>
      <c r="BB898" s="2">
        <v>19.9040984119796</v>
      </c>
      <c r="BC898" s="2">
        <v>19.044634249692798</v>
      </c>
      <c r="BD898" s="2">
        <v>18.936007139586401</v>
      </c>
      <c r="BE898" s="2">
        <v>19.3366076950246</v>
      </c>
      <c r="BF898" s="2">
        <v>18.633340881851598</v>
      </c>
      <c r="BG898" s="2">
        <v>20.1611604910008</v>
      </c>
      <c r="BH898" s="2">
        <v>19.9626102478889</v>
      </c>
      <c r="BI898" s="2">
        <v>20.146350646138199</v>
      </c>
      <c r="BJ898" s="2">
        <v>19.499145946707301</v>
      </c>
      <c r="BK898" s="2">
        <v>19.698220462515899</v>
      </c>
      <c r="BL898" s="2">
        <v>19.7096697682016</v>
      </c>
      <c r="BM898" s="2">
        <v>19.750212443625301</v>
      </c>
      <c r="BN898" s="2">
        <v>19.842020876063799</v>
      </c>
      <c r="BO898" s="2">
        <v>18.961666733494098</v>
      </c>
      <c r="BP898" s="2">
        <v>19.467161027133699</v>
      </c>
      <c r="BQ898" s="2">
        <v>19.784539495287401</v>
      </c>
      <c r="BR898" s="2">
        <v>19.5859384449695</v>
      </c>
      <c r="BS898" s="2">
        <v>20.002701737606401</v>
      </c>
      <c r="BT898" s="2">
        <v>18.309417998971899</v>
      </c>
      <c r="BU898" s="2">
        <v>19.404144927341001</v>
      </c>
      <c r="BV898" s="2">
        <v>18.3267581010176</v>
      </c>
      <c r="BW898" s="2">
        <v>18.820614060512501</v>
      </c>
      <c r="BX898" s="2">
        <v>20.025549553542799</v>
      </c>
      <c r="BY898" s="2">
        <v>20.004874919768099</v>
      </c>
      <c r="BZ898" s="2">
        <v>19.551380211094799</v>
      </c>
      <c r="CA898" s="2">
        <v>18.797937513660401</v>
      </c>
      <c r="CB898" s="2">
        <v>18.381816294841901</v>
      </c>
      <c r="CC898" s="2">
        <v>18.949756478638601</v>
      </c>
      <c r="CD898" s="2">
        <v>20.171439194838801</v>
      </c>
      <c r="CE898" s="2">
        <v>19.460583160025799</v>
      </c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</row>
    <row r="899" spans="1:97">
      <c r="A899" s="2" t="s">
        <v>8358</v>
      </c>
      <c r="B899" s="2">
        <v>342.2638</v>
      </c>
      <c r="C899" s="2">
        <v>11.651999999999999</v>
      </c>
      <c r="D899" s="2" t="s">
        <v>146</v>
      </c>
      <c r="E899" s="2" t="s">
        <v>8359</v>
      </c>
      <c r="F899" s="2" t="s">
        <v>8360</v>
      </c>
      <c r="G899" s="2">
        <v>198450</v>
      </c>
      <c r="H899" s="3" t="str">
        <f>HYPERLINK("https://cloud.oebiotech.com/#/lm/network/198450", "https://cloud.oebiotech.com/#/lm/network/198450")</f>
        <v>https://cloud.oebiotech.com/#/lm/network/198450</v>
      </c>
      <c r="I899" s="2" t="s">
        <v>8361</v>
      </c>
      <c r="J899" s="2"/>
      <c r="K899" s="2"/>
      <c r="L899" s="2">
        <v>85997</v>
      </c>
      <c r="M899" s="2"/>
      <c r="N899" s="2"/>
      <c r="O899" s="2"/>
      <c r="P899" s="2"/>
      <c r="Q899" s="2"/>
      <c r="R899" s="2"/>
      <c r="S899" s="2"/>
      <c r="T899" s="2" t="s">
        <v>8362</v>
      </c>
      <c r="U899" s="2" t="s">
        <v>8363</v>
      </c>
      <c r="V899" s="2" t="s">
        <v>115</v>
      </c>
      <c r="W899" s="2" t="s">
        <v>116</v>
      </c>
      <c r="X899" s="2" t="s">
        <v>117</v>
      </c>
      <c r="Y899" s="2" t="s">
        <v>118</v>
      </c>
      <c r="Z899" s="2" t="s">
        <v>119</v>
      </c>
      <c r="AA899" s="2" t="s">
        <v>120</v>
      </c>
      <c r="AB899" s="2" t="s">
        <v>3086</v>
      </c>
      <c r="AC899" s="2">
        <v>52.5</v>
      </c>
      <c r="AD899" s="2">
        <v>87.7</v>
      </c>
      <c r="AE899" s="2">
        <v>0</v>
      </c>
      <c r="AF899" s="2" t="s">
        <v>5614</v>
      </c>
      <c r="AG899" s="2" t="s">
        <v>194</v>
      </c>
      <c r="AH899" s="2" t="s">
        <v>701</v>
      </c>
      <c r="AI899" s="2">
        <v>3.51</v>
      </c>
      <c r="AJ899" s="2">
        <v>18.540669121842601</v>
      </c>
      <c r="AK899" s="2">
        <v>18.0378504683814</v>
      </c>
      <c r="AL899" s="2">
        <v>17.7570436970332</v>
      </c>
      <c r="AM899" s="2">
        <v>18.1812132707181</v>
      </c>
      <c r="AN899" s="2">
        <v>17.718685044009199</v>
      </c>
      <c r="AO899" s="2">
        <v>17.913401061266399</v>
      </c>
      <c r="AP899" s="2">
        <v>18.392248109157102</v>
      </c>
      <c r="AQ899" s="2">
        <v>18.076318906789702</v>
      </c>
      <c r="AR899" s="2">
        <v>17.251171891538998</v>
      </c>
      <c r="AS899" s="2">
        <v>16.522118968406598</v>
      </c>
      <c r="AT899" s="2">
        <v>17.715969093280599</v>
      </c>
      <c r="AU899" s="2">
        <v>17.610414344869501</v>
      </c>
      <c r="AV899" s="2">
        <v>18.026483458357301</v>
      </c>
      <c r="AW899" s="2">
        <v>17.617030977707799</v>
      </c>
      <c r="AX899" s="2">
        <v>17.243201323891899</v>
      </c>
      <c r="AY899" s="2">
        <v>18.124287944148001</v>
      </c>
      <c r="AZ899" s="2">
        <v>17.426450190956601</v>
      </c>
      <c r="BA899" s="2">
        <v>18.013780967768302</v>
      </c>
      <c r="BB899" s="2">
        <v>18.317808592138</v>
      </c>
      <c r="BC899" s="2">
        <v>18.782799864378301</v>
      </c>
      <c r="BD899" s="2">
        <v>17.749607459582901</v>
      </c>
      <c r="BE899" s="2">
        <v>18.531396501203901</v>
      </c>
      <c r="BF899" s="2">
        <v>18.0661278816203</v>
      </c>
      <c r="BG899" s="2">
        <v>17.930855759617501</v>
      </c>
      <c r="BH899" s="2">
        <v>17.424829766763299</v>
      </c>
      <c r="BI899" s="2">
        <v>18.321619076388199</v>
      </c>
      <c r="BJ899" s="2">
        <v>17.9508782166297</v>
      </c>
      <c r="BK899" s="2">
        <v>16.588832318161899</v>
      </c>
      <c r="BL899" s="2">
        <v>17.631289903972299</v>
      </c>
      <c r="BM899" s="2">
        <v>17.395785139349901</v>
      </c>
      <c r="BN899" s="2">
        <v>17.8899550321653</v>
      </c>
      <c r="BO899" s="2">
        <v>17.682705511122499</v>
      </c>
      <c r="BP899" s="2">
        <v>18.223934479805401</v>
      </c>
      <c r="BQ899" s="2">
        <v>17.8145353407367</v>
      </c>
      <c r="BR899" s="2">
        <v>18.172438642920302</v>
      </c>
      <c r="BS899" s="2">
        <v>18.241224457563099</v>
      </c>
      <c r="BT899" s="2">
        <v>17.7711262095102</v>
      </c>
      <c r="BU899" s="2">
        <v>18.3541088528569</v>
      </c>
      <c r="BV899" s="2">
        <v>17.7712784119405</v>
      </c>
      <c r="BW899" s="2">
        <v>17.474657055361799</v>
      </c>
      <c r="BX899" s="2">
        <v>16.644468500768799</v>
      </c>
      <c r="BY899" s="2">
        <v>18.8055903824418</v>
      </c>
      <c r="BZ899" s="2">
        <v>17.831256207661301</v>
      </c>
      <c r="CA899" s="2">
        <v>17.964767389912101</v>
      </c>
      <c r="CB899" s="2">
        <v>17.297484933622499</v>
      </c>
      <c r="CC899" s="2">
        <v>17.7157430524977</v>
      </c>
      <c r="CD899" s="2">
        <v>18.4884737737199</v>
      </c>
      <c r="CE899" s="2">
        <v>17.248692185313399</v>
      </c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</row>
    <row r="900" spans="1:97">
      <c r="A900" s="2" t="s">
        <v>8364</v>
      </c>
      <c r="B900" s="2">
        <v>643.11108000000002</v>
      </c>
      <c r="C900" s="2">
        <v>0.78700000000000003</v>
      </c>
      <c r="D900" s="2" t="s">
        <v>146</v>
      </c>
      <c r="E900" s="2" t="s">
        <v>8365</v>
      </c>
      <c r="F900" s="2" t="s">
        <v>8366</v>
      </c>
      <c r="G900" s="2">
        <v>47461</v>
      </c>
      <c r="H900" s="3" t="str">
        <f>HYPERLINK("https://cloud.oebiotech.com/#/lm/network/47461", "https://cloud.oebiotech.com/#/lm/network/47461")</f>
        <v>https://cloud.oebiotech.com/#/lm/network/47461</v>
      </c>
      <c r="I900" s="2" t="s">
        <v>8367</v>
      </c>
      <c r="J900" s="2">
        <v>3451</v>
      </c>
      <c r="K900" s="2"/>
      <c r="L900" s="2">
        <v>9700</v>
      </c>
      <c r="M900" s="2" t="s">
        <v>8368</v>
      </c>
      <c r="N900" s="2" t="s">
        <v>8369</v>
      </c>
      <c r="O900" s="2" t="s">
        <v>8370</v>
      </c>
      <c r="P900" s="2">
        <v>17013</v>
      </c>
      <c r="Q900" s="2"/>
      <c r="R900" s="2"/>
      <c r="S900" s="2" t="s">
        <v>8371</v>
      </c>
      <c r="T900" s="2" t="s">
        <v>8372</v>
      </c>
      <c r="U900" s="2" t="s">
        <v>8373</v>
      </c>
      <c r="V900" s="2" t="s">
        <v>818</v>
      </c>
      <c r="W900" s="2" t="s">
        <v>8374</v>
      </c>
      <c r="X900" s="2" t="s">
        <v>8375</v>
      </c>
      <c r="Y900" s="2" t="s">
        <v>820</v>
      </c>
      <c r="Z900" s="2" t="s">
        <v>8376</v>
      </c>
      <c r="AA900" s="2" t="s">
        <v>8377</v>
      </c>
      <c r="AB900" s="2" t="s">
        <v>3086</v>
      </c>
      <c r="AC900" s="2">
        <v>52.49</v>
      </c>
      <c r="AD900" s="2">
        <v>97.18</v>
      </c>
      <c r="AE900" s="2">
        <v>37.36</v>
      </c>
      <c r="AF900" s="2" t="s">
        <v>8378</v>
      </c>
      <c r="AG900" s="2" t="s">
        <v>3880</v>
      </c>
      <c r="AH900" s="2" t="s">
        <v>8379</v>
      </c>
      <c r="AI900" s="2">
        <v>-7.93</v>
      </c>
      <c r="AJ900" s="2">
        <v>22.775948258291098</v>
      </c>
      <c r="AK900" s="2">
        <v>22.852456943304901</v>
      </c>
      <c r="AL900" s="2">
        <v>22.845282681554501</v>
      </c>
      <c r="AM900" s="2">
        <v>23.013738753298799</v>
      </c>
      <c r="AN900" s="2">
        <v>22.4817574232213</v>
      </c>
      <c r="AO900" s="2">
        <v>23.017497674413399</v>
      </c>
      <c r="AP900" s="2">
        <v>22.917093042524499</v>
      </c>
      <c r="AQ900" s="2">
        <v>22.559342540296001</v>
      </c>
      <c r="AR900" s="2">
        <v>21.630382608718602</v>
      </c>
      <c r="AS900" s="2">
        <v>22.789700812651201</v>
      </c>
      <c r="AT900" s="2">
        <v>22.700319640678199</v>
      </c>
      <c r="AU900" s="2">
        <v>23.490354836170599</v>
      </c>
      <c r="AV900" s="2">
        <v>22.451919522437599</v>
      </c>
      <c r="AW900" s="2">
        <v>22.958962847069401</v>
      </c>
      <c r="AX900" s="2">
        <v>22.237120385419999</v>
      </c>
      <c r="AY900" s="2">
        <v>22.868362340181999</v>
      </c>
      <c r="AZ900" s="2">
        <v>22.500198110768999</v>
      </c>
      <c r="BA900" s="2">
        <v>23.1275783103473</v>
      </c>
      <c r="BB900" s="2">
        <v>23.236666433558302</v>
      </c>
      <c r="BC900" s="2">
        <v>24.1703460368443</v>
      </c>
      <c r="BD900" s="2">
        <v>23.409015969443299</v>
      </c>
      <c r="BE900" s="2">
        <v>23.1759292744234</v>
      </c>
      <c r="BF900" s="2">
        <v>23.081527000947801</v>
      </c>
      <c r="BG900" s="2">
        <v>22.3152220559226</v>
      </c>
      <c r="BH900" s="2">
        <v>22.531153551112101</v>
      </c>
      <c r="BI900" s="2">
        <v>22.761598783453099</v>
      </c>
      <c r="BJ900" s="2">
        <v>22.809579834469702</v>
      </c>
      <c r="BK900" s="2">
        <v>22.244375118907701</v>
      </c>
      <c r="BL900" s="2">
        <v>21.9854411558746</v>
      </c>
      <c r="BM900" s="2">
        <v>23.9037358258662</v>
      </c>
      <c r="BN900" s="2">
        <v>22.532069280678002</v>
      </c>
      <c r="BO900" s="2">
        <v>22.230465399548301</v>
      </c>
      <c r="BP900" s="2">
        <v>21.820997089722098</v>
      </c>
      <c r="BQ900" s="2">
        <v>22.632924207889499</v>
      </c>
      <c r="BR900" s="2">
        <v>22.726312910596199</v>
      </c>
      <c r="BS900" s="2">
        <v>22.243099041681401</v>
      </c>
      <c r="BT900" s="2">
        <v>22.7372724418708</v>
      </c>
      <c r="BU900" s="2">
        <v>22.7116410934239</v>
      </c>
      <c r="BV900" s="2">
        <v>22.6622523868506</v>
      </c>
      <c r="BW900" s="2">
        <v>22.400919662320899</v>
      </c>
      <c r="BX900" s="2">
        <v>23.202264107200101</v>
      </c>
      <c r="BY900" s="2">
        <v>22.460002360548302</v>
      </c>
      <c r="BZ900" s="2">
        <v>23.2773777471023</v>
      </c>
      <c r="CA900" s="2">
        <v>22.639380238509499</v>
      </c>
      <c r="CB900" s="2">
        <v>22.296127812805899</v>
      </c>
      <c r="CC900" s="2">
        <v>22.7972185030027</v>
      </c>
      <c r="CD900" s="2">
        <v>21.505483806312402</v>
      </c>
      <c r="CE900" s="2">
        <v>22.460568382492799</v>
      </c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</row>
    <row r="901" spans="1:97">
      <c r="A901" s="2" t="s">
        <v>8380</v>
      </c>
      <c r="B901" s="2">
        <v>162.05571</v>
      </c>
      <c r="C901" s="2">
        <v>3.7360000000000002</v>
      </c>
      <c r="D901" s="2" t="s">
        <v>146</v>
      </c>
      <c r="E901" s="2" t="s">
        <v>8381</v>
      </c>
      <c r="F901" s="2" t="s">
        <v>8382</v>
      </c>
      <c r="G901" s="2">
        <v>258182</v>
      </c>
      <c r="H901" s="3" t="str">
        <f>HYPERLINK("https://cloud.oebiotech.com/#/lm/network/258182", "https://cloud.oebiotech.com/#/lm/network/258182")</f>
        <v>https://cloud.oebiotech.com/#/lm/network/258182</v>
      </c>
      <c r="I901" s="2"/>
      <c r="J901" s="2">
        <v>2829</v>
      </c>
      <c r="K901" s="2"/>
      <c r="L901" s="2">
        <v>73942</v>
      </c>
      <c r="M901" s="2"/>
      <c r="N901" s="2"/>
      <c r="O901" s="2"/>
      <c r="P901" s="2"/>
      <c r="Q901" s="2"/>
      <c r="R901" s="2"/>
      <c r="S901" s="2" t="s">
        <v>8383</v>
      </c>
      <c r="T901" s="2" t="s">
        <v>8384</v>
      </c>
      <c r="U901" s="2" t="s">
        <v>8385</v>
      </c>
      <c r="V901" s="2" t="s">
        <v>385</v>
      </c>
      <c r="W901" s="2" t="s">
        <v>386</v>
      </c>
      <c r="X901" s="2" t="s">
        <v>8386</v>
      </c>
      <c r="Y901" s="2" t="s">
        <v>388</v>
      </c>
      <c r="Z901" s="2" t="s">
        <v>389</v>
      </c>
      <c r="AA901" s="2" t="s">
        <v>8387</v>
      </c>
      <c r="AB901" s="2" t="s">
        <v>3086</v>
      </c>
      <c r="AC901" s="2">
        <v>52.49</v>
      </c>
      <c r="AD901" s="2">
        <v>94.38</v>
      </c>
      <c r="AE901" s="2">
        <v>0</v>
      </c>
      <c r="AF901" s="2" t="s">
        <v>5614</v>
      </c>
      <c r="AG901" s="2" t="s">
        <v>194</v>
      </c>
      <c r="AH901" s="2" t="s">
        <v>2289</v>
      </c>
      <c r="AI901" s="2">
        <v>1.85</v>
      </c>
      <c r="AJ901" s="2">
        <v>18.677225123650398</v>
      </c>
      <c r="AK901" s="2">
        <v>18.840212354861201</v>
      </c>
      <c r="AL901" s="2">
        <v>18.858566958829002</v>
      </c>
      <c r="AM901" s="2">
        <v>18.794375344561299</v>
      </c>
      <c r="AN901" s="2">
        <v>18.755509819763301</v>
      </c>
      <c r="AO901" s="2">
        <v>18.733007275640102</v>
      </c>
      <c r="AP901" s="2">
        <v>18.693427538213999</v>
      </c>
      <c r="AQ901" s="2">
        <v>18.6929006890845</v>
      </c>
      <c r="AR901" s="2">
        <v>18.482051156205099</v>
      </c>
      <c r="AS901" s="2">
        <v>18.5526368673398</v>
      </c>
      <c r="AT901" s="2">
        <v>18.6518384177675</v>
      </c>
      <c r="AU901" s="2">
        <v>18.6925075202656</v>
      </c>
      <c r="AV901" s="2">
        <v>18.816552928448498</v>
      </c>
      <c r="AW901" s="2">
        <v>18.675568039544501</v>
      </c>
      <c r="AX901" s="2">
        <v>18.8169268607558</v>
      </c>
      <c r="AY901" s="2">
        <v>18.800978397144899</v>
      </c>
      <c r="AZ901" s="2">
        <v>18.767155959287798</v>
      </c>
      <c r="BA901" s="2">
        <v>18.562063432938999</v>
      </c>
      <c r="BB901" s="2">
        <v>18.729937101583602</v>
      </c>
      <c r="BC901" s="2">
        <v>18.657724464478299</v>
      </c>
      <c r="BD901" s="2">
        <v>18.6060810340391</v>
      </c>
      <c r="BE901" s="2">
        <v>18.663128809114198</v>
      </c>
      <c r="BF901" s="2">
        <v>18.784849452462101</v>
      </c>
      <c r="BG901" s="2">
        <v>18.543375878793999</v>
      </c>
      <c r="BH901" s="2">
        <v>18.893912302218698</v>
      </c>
      <c r="BI901" s="2">
        <v>18.650199872298</v>
      </c>
      <c r="BJ901" s="2">
        <v>18.864688024425</v>
      </c>
      <c r="BK901" s="2">
        <v>18.7358077331983</v>
      </c>
      <c r="BL901" s="2">
        <v>18.639563639255201</v>
      </c>
      <c r="BM901" s="2">
        <v>18.6371744398798</v>
      </c>
      <c r="BN901" s="2">
        <v>18.617044469684998</v>
      </c>
      <c r="BO901" s="2">
        <v>18.628605412226399</v>
      </c>
      <c r="BP901" s="2">
        <v>18.688613976823099</v>
      </c>
      <c r="BQ901" s="2">
        <v>18.699905090664402</v>
      </c>
      <c r="BR901" s="2">
        <v>18.5809468137282</v>
      </c>
      <c r="BS901" s="2">
        <v>18.636646992564799</v>
      </c>
      <c r="BT901" s="2">
        <v>18.3583904322428</v>
      </c>
      <c r="BU901" s="2">
        <v>18.6896015538013</v>
      </c>
      <c r="BV901" s="2">
        <v>18.641041034930499</v>
      </c>
      <c r="BW901" s="2">
        <v>18.7019586818171</v>
      </c>
      <c r="BX901" s="2">
        <v>18.623032411196</v>
      </c>
      <c r="BY901" s="2">
        <v>18.733770754733701</v>
      </c>
      <c r="BZ901" s="2">
        <v>18.773972734128499</v>
      </c>
      <c r="CA901" s="2">
        <v>18.7622576105009</v>
      </c>
      <c r="CB901" s="2">
        <v>18.650873642383299</v>
      </c>
      <c r="CC901" s="2">
        <v>18.366553978044099</v>
      </c>
      <c r="CD901" s="2">
        <v>18.557099608809001</v>
      </c>
      <c r="CE901" s="2">
        <v>18.673129265837002</v>
      </c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</row>
    <row r="902" spans="1:97">
      <c r="A902" s="2" t="s">
        <v>8388</v>
      </c>
      <c r="B902" s="2">
        <v>154.04727</v>
      </c>
      <c r="C902" s="2">
        <v>0.69299999999999995</v>
      </c>
      <c r="D902" s="2" t="s">
        <v>84</v>
      </c>
      <c r="E902" s="2" t="s">
        <v>8389</v>
      </c>
      <c r="F902" s="2" t="s">
        <v>8390</v>
      </c>
      <c r="G902" s="2">
        <v>201283</v>
      </c>
      <c r="H902" s="3" t="str">
        <f>HYPERLINK("https://cloud.oebiotech.com/#/lm/network/201283", "https://cloud.oebiotech.com/#/lm/network/201283")</f>
        <v>https://cloud.oebiotech.com/#/lm/network/201283</v>
      </c>
      <c r="I902" s="2" t="s">
        <v>8391</v>
      </c>
      <c r="J902" s="2"/>
      <c r="K902" s="2"/>
      <c r="L902" s="2">
        <v>559314</v>
      </c>
      <c r="M902" s="2"/>
      <c r="N902" s="2"/>
      <c r="O902" s="2"/>
      <c r="P902" s="2">
        <v>64368</v>
      </c>
      <c r="Q902" s="2"/>
      <c r="R902" s="2"/>
      <c r="S902" s="2"/>
      <c r="T902" s="2" t="s">
        <v>8392</v>
      </c>
      <c r="U902" s="2" t="s">
        <v>8393</v>
      </c>
      <c r="V902" s="2" t="s">
        <v>115</v>
      </c>
      <c r="W902" s="2" t="s">
        <v>116</v>
      </c>
      <c r="X902" s="2" t="s">
        <v>117</v>
      </c>
      <c r="Y902" s="2" t="s">
        <v>118</v>
      </c>
      <c r="Z902" s="2" t="s">
        <v>119</v>
      </c>
      <c r="AA902" s="2" t="s">
        <v>120</v>
      </c>
      <c r="AB902" s="2" t="s">
        <v>3086</v>
      </c>
      <c r="AC902" s="2">
        <v>52.47</v>
      </c>
      <c r="AD902" s="2">
        <v>74.319999999999993</v>
      </c>
      <c r="AE902" s="2">
        <v>0</v>
      </c>
      <c r="AF902" s="2" t="s">
        <v>5614</v>
      </c>
      <c r="AG902" s="2" t="s">
        <v>1578</v>
      </c>
      <c r="AH902" s="2" t="s">
        <v>1813</v>
      </c>
      <c r="AI902" s="2">
        <v>1.3</v>
      </c>
      <c r="AJ902" s="2">
        <v>19.321018154599098</v>
      </c>
      <c r="AK902" s="2">
        <v>19.417410029290199</v>
      </c>
      <c r="AL902" s="2">
        <v>18.6353504358949</v>
      </c>
      <c r="AM902" s="2">
        <v>19.458667678356601</v>
      </c>
      <c r="AN902" s="2">
        <v>18.838826539879499</v>
      </c>
      <c r="AO902" s="2">
        <v>19.1405641677242</v>
      </c>
      <c r="AP902" s="2">
        <v>18.967475613600001</v>
      </c>
      <c r="AQ902" s="2">
        <v>18.309721827015</v>
      </c>
      <c r="AR902" s="2">
        <v>19.440296257234198</v>
      </c>
      <c r="AS902" s="2">
        <v>18.6299518210323</v>
      </c>
      <c r="AT902" s="2">
        <v>17.949263845971799</v>
      </c>
      <c r="AU902" s="2">
        <v>18.277431755051001</v>
      </c>
      <c r="AV902" s="2">
        <v>19.447113966958</v>
      </c>
      <c r="AW902" s="2">
        <v>18.655842617458699</v>
      </c>
      <c r="AX902" s="2">
        <v>19.088907671766499</v>
      </c>
      <c r="AY902" s="2">
        <v>18.610976981009902</v>
      </c>
      <c r="AZ902" s="2">
        <v>18.567259299553299</v>
      </c>
      <c r="BA902" s="2">
        <v>18.979443142937399</v>
      </c>
      <c r="BB902" s="2">
        <v>18.333461383785</v>
      </c>
      <c r="BC902" s="2">
        <v>18.6938154550161</v>
      </c>
      <c r="BD902" s="2">
        <v>18.935410597249</v>
      </c>
      <c r="BE902" s="2">
        <v>19.558611142664098</v>
      </c>
      <c r="BF902" s="2">
        <v>18.667091335829401</v>
      </c>
      <c r="BG902" s="2">
        <v>17.760509062632401</v>
      </c>
      <c r="BH902" s="2">
        <v>19.497615932255499</v>
      </c>
      <c r="BI902" s="2">
        <v>18.8905698042749</v>
      </c>
      <c r="BJ902" s="2">
        <v>19.635719891394501</v>
      </c>
      <c r="BK902" s="2">
        <v>19.2088564902662</v>
      </c>
      <c r="BL902" s="2">
        <v>18.835080860462099</v>
      </c>
      <c r="BM902" s="2">
        <v>20.0578467830336</v>
      </c>
      <c r="BN902" s="2">
        <v>19.096155687753001</v>
      </c>
      <c r="BO902" s="2">
        <v>18.946439940559198</v>
      </c>
      <c r="BP902" s="2">
        <v>19.222544819398301</v>
      </c>
      <c r="BQ902" s="2">
        <v>19.421692288589998</v>
      </c>
      <c r="BR902" s="2">
        <v>19.558570170329599</v>
      </c>
      <c r="BS902" s="2">
        <v>18.783194159727199</v>
      </c>
      <c r="BT902" s="2">
        <v>18.737002587848</v>
      </c>
      <c r="BU902" s="2">
        <v>19.162574693038</v>
      </c>
      <c r="BV902" s="2">
        <v>18.7225281286754</v>
      </c>
      <c r="BW902" s="2">
        <v>17.5709638243131</v>
      </c>
      <c r="BX902" s="2">
        <v>19.422048418121399</v>
      </c>
      <c r="BY902" s="2">
        <v>18.3438102170999</v>
      </c>
      <c r="BZ902" s="2">
        <v>18.375427712768001</v>
      </c>
      <c r="CA902" s="2">
        <v>18.748423920475901</v>
      </c>
      <c r="CB902" s="2">
        <v>19.824072395007299</v>
      </c>
      <c r="CC902" s="2">
        <v>19.788190443009199</v>
      </c>
      <c r="CD902" s="2">
        <v>17.5285147763053</v>
      </c>
      <c r="CE902" s="2">
        <v>18.7720792416509</v>
      </c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</row>
    <row r="903" spans="1:97">
      <c r="A903" s="2" t="s">
        <v>8394</v>
      </c>
      <c r="B903" s="2">
        <v>299.25851999999998</v>
      </c>
      <c r="C903" s="2">
        <v>12.98</v>
      </c>
      <c r="D903" s="2" t="s">
        <v>146</v>
      </c>
      <c r="E903" s="2" t="s">
        <v>8395</v>
      </c>
      <c r="F903" s="2" t="s">
        <v>8396</v>
      </c>
      <c r="G903" s="2">
        <v>3075</v>
      </c>
      <c r="H903" s="3" t="str">
        <f>HYPERLINK("https://cloud.oebiotech.com/#/lm/network/3075", "https://cloud.oebiotech.com/#/lm/network/3075")</f>
        <v>https://cloud.oebiotech.com/#/lm/network/3075</v>
      </c>
      <c r="I903" s="2"/>
      <c r="J903" s="2">
        <v>35433</v>
      </c>
      <c r="K903" s="2" t="s">
        <v>8397</v>
      </c>
      <c r="L903" s="2">
        <v>5282907</v>
      </c>
      <c r="M903" s="2"/>
      <c r="N903" s="2"/>
      <c r="O903" s="2"/>
      <c r="P903" s="2">
        <v>50578</v>
      </c>
      <c r="Q903" s="2"/>
      <c r="R903" s="2"/>
      <c r="S903" s="2" t="s">
        <v>8398</v>
      </c>
      <c r="T903" s="2" t="s">
        <v>8399</v>
      </c>
      <c r="U903" s="2" t="s">
        <v>8400</v>
      </c>
      <c r="V903" s="2" t="s">
        <v>95</v>
      </c>
      <c r="W903" s="2" t="s">
        <v>96</v>
      </c>
      <c r="X903" s="2" t="s">
        <v>141</v>
      </c>
      <c r="Y903" s="2" t="s">
        <v>98</v>
      </c>
      <c r="Z903" s="2" t="s">
        <v>99</v>
      </c>
      <c r="AA903" s="2" t="s">
        <v>142</v>
      </c>
      <c r="AB903" s="2" t="s">
        <v>3086</v>
      </c>
      <c r="AC903" s="2">
        <v>52.47</v>
      </c>
      <c r="AD903" s="2">
        <v>88.79</v>
      </c>
      <c r="AE903" s="2">
        <v>0</v>
      </c>
      <c r="AF903" s="2" t="s">
        <v>5614</v>
      </c>
      <c r="AG903" s="2" t="s">
        <v>194</v>
      </c>
      <c r="AH903" s="2" t="s">
        <v>7440</v>
      </c>
      <c r="AI903" s="2">
        <v>2.34</v>
      </c>
      <c r="AJ903" s="2">
        <v>20.122740363484301</v>
      </c>
      <c r="AK903" s="2">
        <v>19.909560728040798</v>
      </c>
      <c r="AL903" s="2">
        <v>19.426052956360099</v>
      </c>
      <c r="AM903" s="2">
        <v>19.7309217876766</v>
      </c>
      <c r="AN903" s="2">
        <v>19.7193061240581</v>
      </c>
      <c r="AO903" s="2">
        <v>19.9769838602056</v>
      </c>
      <c r="AP903" s="2">
        <v>19.786883102749101</v>
      </c>
      <c r="AQ903" s="2">
        <v>19.469383108229898</v>
      </c>
      <c r="AR903" s="2">
        <v>19.6188010267172</v>
      </c>
      <c r="AS903" s="2">
        <v>19.029329425396799</v>
      </c>
      <c r="AT903" s="2">
        <v>19.4133438316302</v>
      </c>
      <c r="AU903" s="2">
        <v>19.090016431546299</v>
      </c>
      <c r="AV903" s="2">
        <v>19.563247244345899</v>
      </c>
      <c r="AW903" s="2">
        <v>19.148363345836</v>
      </c>
      <c r="AX903" s="2">
        <v>19.455294667139501</v>
      </c>
      <c r="AY903" s="2">
        <v>19.239442180337001</v>
      </c>
      <c r="AZ903" s="2">
        <v>17.819942550122398</v>
      </c>
      <c r="BA903" s="2">
        <v>19.777532970660499</v>
      </c>
      <c r="BB903" s="2">
        <v>19.874042447798999</v>
      </c>
      <c r="BC903" s="2">
        <v>20.155380872303802</v>
      </c>
      <c r="BD903" s="2">
        <v>18.8400022923595</v>
      </c>
      <c r="BE903" s="2">
        <v>19.665708407305601</v>
      </c>
      <c r="BF903" s="2">
        <v>19.154043040577299</v>
      </c>
      <c r="BG903" s="2">
        <v>19.708480206810901</v>
      </c>
      <c r="BH903" s="2">
        <v>19.2202516054281</v>
      </c>
      <c r="BI903" s="2">
        <v>20.137016649402199</v>
      </c>
      <c r="BJ903" s="2">
        <v>20.173286817129402</v>
      </c>
      <c r="BK903" s="2">
        <v>19.1326738054657</v>
      </c>
      <c r="BL903" s="2">
        <v>20.258290671840602</v>
      </c>
      <c r="BM903" s="2">
        <v>19.596106167346001</v>
      </c>
      <c r="BN903" s="2">
        <v>19.655046101699899</v>
      </c>
      <c r="BO903" s="2">
        <v>19.4772773287802</v>
      </c>
      <c r="BP903" s="2">
        <v>19.461673280423199</v>
      </c>
      <c r="BQ903" s="2">
        <v>19.753612063510499</v>
      </c>
      <c r="BR903" s="2">
        <v>19.249129220064798</v>
      </c>
      <c r="BS903" s="2">
        <v>19.000831715965699</v>
      </c>
      <c r="BT903" s="2">
        <v>18.470611850992899</v>
      </c>
      <c r="BU903" s="2">
        <v>20.413310720138099</v>
      </c>
      <c r="BV903" s="2">
        <v>20.2666834896559</v>
      </c>
      <c r="BW903" s="2">
        <v>19.0745522802147</v>
      </c>
      <c r="BX903" s="2">
        <v>19.558892387358998</v>
      </c>
      <c r="BY903" s="2">
        <v>19.773228068200901</v>
      </c>
      <c r="BZ903" s="2">
        <v>19.582492091811801</v>
      </c>
      <c r="CA903" s="2">
        <v>19.628899550519598</v>
      </c>
      <c r="CB903" s="2">
        <v>19.5389234669797</v>
      </c>
      <c r="CC903" s="2">
        <v>19.504839776490201</v>
      </c>
      <c r="CD903" s="2">
        <v>19.7204766591449</v>
      </c>
      <c r="CE903" s="2">
        <v>20.383802615580201</v>
      </c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</row>
    <row r="904" spans="1:97">
      <c r="A904" s="2" t="s">
        <v>8401</v>
      </c>
      <c r="B904" s="2">
        <v>158.01218</v>
      </c>
      <c r="C904" s="2">
        <v>0.58299999999999996</v>
      </c>
      <c r="D904" s="2" t="s">
        <v>84</v>
      </c>
      <c r="E904" s="2" t="s">
        <v>8402</v>
      </c>
      <c r="F904" s="2" t="s">
        <v>8403</v>
      </c>
      <c r="G904" s="2">
        <v>212077</v>
      </c>
      <c r="H904" s="3" t="str">
        <f>HYPERLINK("https://cloud.oebiotech.com/#/lm/network/212077", "https://cloud.oebiotech.com/#/lm/network/212077")</f>
        <v>https://cloud.oebiotech.com/#/lm/network/212077</v>
      </c>
      <c r="I904" s="2" t="s">
        <v>8404</v>
      </c>
      <c r="J904" s="2">
        <v>64745</v>
      </c>
      <c r="K904" s="2"/>
      <c r="L904" s="2">
        <v>31257</v>
      </c>
      <c r="M904" s="2" t="s">
        <v>8405</v>
      </c>
      <c r="N904" s="2" t="s">
        <v>6910</v>
      </c>
      <c r="O904" s="2" t="s">
        <v>6911</v>
      </c>
      <c r="P904" s="2">
        <v>50519</v>
      </c>
      <c r="Q904" s="2"/>
      <c r="R904" s="2"/>
      <c r="S904" s="2" t="s">
        <v>8406</v>
      </c>
      <c r="T904" s="2" t="s">
        <v>8407</v>
      </c>
      <c r="U904" s="2" t="s">
        <v>8408</v>
      </c>
      <c r="V904" s="2" t="s">
        <v>115</v>
      </c>
      <c r="W904" s="2" t="s">
        <v>2162</v>
      </c>
      <c r="X904" s="2" t="s">
        <v>2163</v>
      </c>
      <c r="Y904" s="2" t="s">
        <v>118</v>
      </c>
      <c r="Z904" s="2" t="s">
        <v>2164</v>
      </c>
      <c r="AA904" s="2" t="s">
        <v>2164</v>
      </c>
      <c r="AB904" s="2" t="s">
        <v>3086</v>
      </c>
      <c r="AC904" s="2">
        <v>52.45</v>
      </c>
      <c r="AD904" s="2">
        <v>95.26</v>
      </c>
      <c r="AE904" s="2">
        <v>0</v>
      </c>
      <c r="AF904" s="2" t="s">
        <v>5614</v>
      </c>
      <c r="AG904" s="2" t="s">
        <v>132</v>
      </c>
      <c r="AH904" s="2" t="s">
        <v>8409</v>
      </c>
      <c r="AI904" s="2">
        <v>-2.5299999999999998</v>
      </c>
      <c r="AJ904" s="2">
        <v>21.930017386764099</v>
      </c>
      <c r="AK904" s="2">
        <v>21.5511890407513</v>
      </c>
      <c r="AL904" s="2">
        <v>22.1757931271503</v>
      </c>
      <c r="AM904" s="2">
        <v>21.715715992915101</v>
      </c>
      <c r="AN904" s="2">
        <v>22.1457572715934</v>
      </c>
      <c r="AO904" s="2">
        <v>21.939897174817101</v>
      </c>
      <c r="AP904" s="2">
        <v>21.898171485232201</v>
      </c>
      <c r="AQ904" s="2">
        <v>21.737184420677401</v>
      </c>
      <c r="AR904" s="2">
        <v>21.376650359325801</v>
      </c>
      <c r="AS904" s="2">
        <v>21.704983282526801</v>
      </c>
      <c r="AT904" s="2">
        <v>21.639549080041199</v>
      </c>
      <c r="AU904" s="2">
        <v>21.499935199451102</v>
      </c>
      <c r="AV904" s="2">
        <v>21.8646340753596</v>
      </c>
      <c r="AW904" s="2">
        <v>21.715782937229498</v>
      </c>
      <c r="AX904" s="2">
        <v>21.7321521771905</v>
      </c>
      <c r="AY904" s="2">
        <v>21.7678968284891</v>
      </c>
      <c r="AZ904" s="2">
        <v>21.577058215920101</v>
      </c>
      <c r="BA904" s="2">
        <v>21.688074060053101</v>
      </c>
      <c r="BB904" s="2">
        <v>21.909496455367702</v>
      </c>
      <c r="BC904" s="2">
        <v>21.5747806562877</v>
      </c>
      <c r="BD904" s="2">
        <v>21.883648515946302</v>
      </c>
      <c r="BE904" s="2">
        <v>21.869655445680898</v>
      </c>
      <c r="BF904" s="2">
        <v>21.8946635920191</v>
      </c>
      <c r="BG904" s="2">
        <v>21.510165809816701</v>
      </c>
      <c r="BH904" s="2">
        <v>21.962068582925401</v>
      </c>
      <c r="BI904" s="2">
        <v>21.3541177385842</v>
      </c>
      <c r="BJ904" s="2">
        <v>21.953980616036201</v>
      </c>
      <c r="BK904" s="2">
        <v>21.687252236522799</v>
      </c>
      <c r="BL904" s="2">
        <v>21.736659343113999</v>
      </c>
      <c r="BM904" s="2">
        <v>21.851516782114501</v>
      </c>
      <c r="BN904" s="2">
        <v>21.8110348087449</v>
      </c>
      <c r="BO904" s="2">
        <v>21.559780572787801</v>
      </c>
      <c r="BP904" s="2">
        <v>21.4783769006787</v>
      </c>
      <c r="BQ904" s="2">
        <v>21.551996734428901</v>
      </c>
      <c r="BR904" s="2">
        <v>21.38065450122</v>
      </c>
      <c r="BS904" s="2">
        <v>21.7045758369179</v>
      </c>
      <c r="BT904" s="2">
        <v>21.681960424614001</v>
      </c>
      <c r="BU904" s="2">
        <v>21.666732320188899</v>
      </c>
      <c r="BV904" s="2">
        <v>21.7018345690656</v>
      </c>
      <c r="BW904" s="2">
        <v>21.798551280892301</v>
      </c>
      <c r="BX904" s="2">
        <v>21.641598835614499</v>
      </c>
      <c r="BY904" s="2">
        <v>22.125210552627902</v>
      </c>
      <c r="BZ904" s="2">
        <v>21.9489924335941</v>
      </c>
      <c r="CA904" s="2">
        <v>21.5772606744546</v>
      </c>
      <c r="CB904" s="2">
        <v>21.781331255431098</v>
      </c>
      <c r="CC904" s="2">
        <v>21.526032780852301</v>
      </c>
      <c r="CD904" s="2">
        <v>21.726263098970001</v>
      </c>
      <c r="CE904" s="2">
        <v>21.8386788225747</v>
      </c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</row>
    <row r="905" spans="1:97">
      <c r="A905" s="2" t="s">
        <v>8410</v>
      </c>
      <c r="B905" s="2">
        <v>185.04176000000001</v>
      </c>
      <c r="C905" s="2">
        <v>0.71399999999999997</v>
      </c>
      <c r="D905" s="2" t="s">
        <v>84</v>
      </c>
      <c r="E905" s="2" t="s">
        <v>8411</v>
      </c>
      <c r="F905" s="2" t="s">
        <v>8412</v>
      </c>
      <c r="G905" s="2">
        <v>64642</v>
      </c>
      <c r="H905" s="3" t="str">
        <f>HYPERLINK("https://cloud.oebiotech.com/#/lm/network/64642", "https://cloud.oebiotech.com/#/lm/network/64642")</f>
        <v>https://cloud.oebiotech.com/#/lm/network/64642</v>
      </c>
      <c r="I905" s="2" t="s">
        <v>8413</v>
      </c>
      <c r="J905" s="2"/>
      <c r="K905" s="2"/>
      <c r="L905" s="2">
        <v>14299935</v>
      </c>
      <c r="M905" s="2"/>
      <c r="N905" s="2"/>
      <c r="O905" s="2"/>
      <c r="P905" s="2">
        <v>168816</v>
      </c>
      <c r="Q905" s="2"/>
      <c r="R905" s="2"/>
      <c r="S905" s="2" t="s">
        <v>8414</v>
      </c>
      <c r="T905" s="2" t="s">
        <v>8415</v>
      </c>
      <c r="U905" s="2" t="s">
        <v>8416</v>
      </c>
      <c r="V905" s="2" t="s">
        <v>553</v>
      </c>
      <c r="W905" s="2" t="s">
        <v>6727</v>
      </c>
      <c r="X905" s="2" t="s">
        <v>375</v>
      </c>
      <c r="Y905" s="2" t="s">
        <v>556</v>
      </c>
      <c r="Z905" s="2" t="s">
        <v>3300</v>
      </c>
      <c r="AA905" s="2"/>
      <c r="AB905" s="2" t="s">
        <v>3086</v>
      </c>
      <c r="AC905" s="2">
        <v>52.44</v>
      </c>
      <c r="AD905" s="2">
        <v>73.98</v>
      </c>
      <c r="AE905" s="2">
        <v>0</v>
      </c>
      <c r="AF905" s="2" t="s">
        <v>5614</v>
      </c>
      <c r="AG905" s="2" t="s">
        <v>1578</v>
      </c>
      <c r="AH905" s="2" t="s">
        <v>7880</v>
      </c>
      <c r="AI905" s="2">
        <v>1.08</v>
      </c>
      <c r="AJ905" s="2">
        <v>19.517899423097401</v>
      </c>
      <c r="AK905" s="2">
        <v>19.681965733139801</v>
      </c>
      <c r="AL905" s="2">
        <v>19.257237485061498</v>
      </c>
      <c r="AM905" s="2">
        <v>20.024271879064202</v>
      </c>
      <c r="AN905" s="2">
        <v>20.131878658733299</v>
      </c>
      <c r="AO905" s="2">
        <v>20.0866105786106</v>
      </c>
      <c r="AP905" s="2">
        <v>19.742494116915601</v>
      </c>
      <c r="AQ905" s="2">
        <v>18.927463055635702</v>
      </c>
      <c r="AR905" s="2">
        <v>19.3082906517913</v>
      </c>
      <c r="AS905" s="2">
        <v>18.508321984283601</v>
      </c>
      <c r="AT905" s="2">
        <v>18.869925340434602</v>
      </c>
      <c r="AU905" s="2">
        <v>19.234371641130998</v>
      </c>
      <c r="AV905" s="2">
        <v>19.419323778222498</v>
      </c>
      <c r="AW905" s="2">
        <v>19.818993237823001</v>
      </c>
      <c r="AX905" s="2">
        <v>19.078048285453299</v>
      </c>
      <c r="AY905" s="2">
        <v>19.1313511310663</v>
      </c>
      <c r="AZ905" s="2">
        <v>19.010133920237699</v>
      </c>
      <c r="BA905" s="2">
        <v>17.4273739046223</v>
      </c>
      <c r="BB905" s="2">
        <v>19.573049213250901</v>
      </c>
      <c r="BC905" s="2">
        <v>19.690456228714702</v>
      </c>
      <c r="BD905" s="2">
        <v>20.329912908360399</v>
      </c>
      <c r="BE905" s="2">
        <v>19.691806227532499</v>
      </c>
      <c r="BF905" s="2">
        <v>19.260564525241701</v>
      </c>
      <c r="BG905" s="2">
        <v>19.558960994899401</v>
      </c>
      <c r="BH905" s="2">
        <v>19.555890561963199</v>
      </c>
      <c r="BI905" s="2">
        <v>19.272167843787098</v>
      </c>
      <c r="BJ905" s="2">
        <v>20.691706448236001</v>
      </c>
      <c r="BK905" s="2">
        <v>20.091114368320302</v>
      </c>
      <c r="BL905" s="2">
        <v>19.188264657800399</v>
      </c>
      <c r="BM905" s="2">
        <v>18.941657868516302</v>
      </c>
      <c r="BN905" s="2">
        <v>20.249699055938098</v>
      </c>
      <c r="BO905" s="2">
        <v>18.945290080020701</v>
      </c>
      <c r="BP905" s="2">
        <v>19.351648841796798</v>
      </c>
      <c r="BQ905" s="2">
        <v>18.983026875154302</v>
      </c>
      <c r="BR905" s="2">
        <v>19.538414638685101</v>
      </c>
      <c r="BS905" s="2">
        <v>20.088635271834399</v>
      </c>
      <c r="BT905" s="2">
        <v>19.495538637723701</v>
      </c>
      <c r="BU905" s="2">
        <v>19.6915102255875</v>
      </c>
      <c r="BV905" s="2">
        <v>19.553072664147301</v>
      </c>
      <c r="BW905" s="2">
        <v>19.2694699533637</v>
      </c>
      <c r="BX905" s="2">
        <v>19.138943606628899</v>
      </c>
      <c r="BY905" s="2">
        <v>20.0055377934505</v>
      </c>
      <c r="BZ905" s="2">
        <v>20.009593939508299</v>
      </c>
      <c r="CA905" s="2">
        <v>20.9457847926524</v>
      </c>
      <c r="CB905" s="2">
        <v>19.516177797342099</v>
      </c>
      <c r="CC905" s="2">
        <v>18.905670105201501</v>
      </c>
      <c r="CD905" s="2">
        <v>19.292618725735299</v>
      </c>
      <c r="CE905" s="2">
        <v>19.957545728598799</v>
      </c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</row>
    <row r="906" spans="1:97">
      <c r="A906" s="2" t="s">
        <v>8417</v>
      </c>
      <c r="B906" s="2">
        <v>137.06833</v>
      </c>
      <c r="C906" s="2">
        <v>0.70299999999999996</v>
      </c>
      <c r="D906" s="2" t="s">
        <v>84</v>
      </c>
      <c r="E906" s="2" t="s">
        <v>8418</v>
      </c>
      <c r="F906" s="2" t="s">
        <v>8419</v>
      </c>
      <c r="G906" s="2">
        <v>208155</v>
      </c>
      <c r="H906" s="3" t="str">
        <f>HYPERLINK("https://cloud.oebiotech.com/#/lm/network/208155", "https://cloud.oebiotech.com/#/lm/network/208155")</f>
        <v>https://cloud.oebiotech.com/#/lm/network/208155</v>
      </c>
      <c r="I906" s="2" t="s">
        <v>8420</v>
      </c>
      <c r="J906" s="2"/>
      <c r="K906" s="2"/>
      <c r="L906" s="2">
        <v>550774</v>
      </c>
      <c r="M906" s="2"/>
      <c r="N906" s="2"/>
      <c r="O906" s="2"/>
      <c r="P906" s="2"/>
      <c r="Q906" s="2"/>
      <c r="R906" s="2"/>
      <c r="S906" s="2"/>
      <c r="T906" s="2" t="s">
        <v>8421</v>
      </c>
      <c r="U906" s="2" t="s">
        <v>8422</v>
      </c>
      <c r="V906" s="2" t="s">
        <v>115</v>
      </c>
      <c r="W906" s="2" t="s">
        <v>116</v>
      </c>
      <c r="X906" s="2" t="s">
        <v>117</v>
      </c>
      <c r="Y906" s="2" t="s">
        <v>118</v>
      </c>
      <c r="Z906" s="2" t="s">
        <v>119</v>
      </c>
      <c r="AA906" s="2" t="s">
        <v>120</v>
      </c>
      <c r="AB906" s="2" t="s">
        <v>3086</v>
      </c>
      <c r="AC906" s="2">
        <v>52.44</v>
      </c>
      <c r="AD906" s="2">
        <v>75.040000000000006</v>
      </c>
      <c r="AE906" s="2">
        <v>0</v>
      </c>
      <c r="AF906" s="2" t="s">
        <v>5614</v>
      </c>
      <c r="AG906" s="2" t="s">
        <v>1578</v>
      </c>
      <c r="AH906" s="2" t="s">
        <v>8423</v>
      </c>
      <c r="AI906" s="2">
        <v>1.46</v>
      </c>
      <c r="AJ906" s="2">
        <v>18.318258225008499</v>
      </c>
      <c r="AK906" s="2">
        <v>18.311976511433901</v>
      </c>
      <c r="AL906" s="2">
        <v>18.682023671127101</v>
      </c>
      <c r="AM906" s="2">
        <v>18.7133626166117</v>
      </c>
      <c r="AN906" s="2">
        <v>18.519728767733</v>
      </c>
      <c r="AO906" s="2">
        <v>18.7363212941138</v>
      </c>
      <c r="AP906" s="2">
        <v>18.191439574545701</v>
      </c>
      <c r="AQ906" s="2">
        <v>18.851302948509201</v>
      </c>
      <c r="AR906" s="2">
        <v>15.6674652961468</v>
      </c>
      <c r="AS906" s="2">
        <v>9.6233145402724691</v>
      </c>
      <c r="AT906" s="2">
        <v>9.6233145402724691</v>
      </c>
      <c r="AU906" s="2">
        <v>15.8140183648117</v>
      </c>
      <c r="AV906" s="2">
        <v>18.594809374677801</v>
      </c>
      <c r="AW906" s="2">
        <v>9.6233145402724691</v>
      </c>
      <c r="AX906" s="2">
        <v>16.840670863037001</v>
      </c>
      <c r="AY906" s="2">
        <v>17.245338410316499</v>
      </c>
      <c r="AZ906" s="2">
        <v>17.358403783025501</v>
      </c>
      <c r="BA906" s="2">
        <v>16.5078254494844</v>
      </c>
      <c r="BB906" s="2">
        <v>15.6821085328718</v>
      </c>
      <c r="BC906" s="2">
        <v>19.152271273398</v>
      </c>
      <c r="BD906" s="2">
        <v>16.1902027844305</v>
      </c>
      <c r="BE906" s="2">
        <v>17.552442382915999</v>
      </c>
      <c r="BF906" s="2">
        <v>15.8028025937554</v>
      </c>
      <c r="BG906" s="2">
        <v>15.673274840965201</v>
      </c>
      <c r="BH906" s="2">
        <v>15.983448577351099</v>
      </c>
      <c r="BI906" s="2">
        <v>16.873368048913001</v>
      </c>
      <c r="BJ906" s="2">
        <v>15.911824038771901</v>
      </c>
      <c r="BK906" s="2">
        <v>17.180888561920501</v>
      </c>
      <c r="BL906" s="2">
        <v>16.8142238253016</v>
      </c>
      <c r="BM906" s="2">
        <v>20.500910630187501</v>
      </c>
      <c r="BN906" s="2">
        <v>17.731080993227</v>
      </c>
      <c r="BO906" s="2">
        <v>18.743601639977399</v>
      </c>
      <c r="BP906" s="2">
        <v>18.297502845455199</v>
      </c>
      <c r="BQ906" s="2">
        <v>17.893023223922199</v>
      </c>
      <c r="BR906" s="2">
        <v>18.142701109093</v>
      </c>
      <c r="BS906" s="2">
        <v>20.221658483968699</v>
      </c>
      <c r="BT906" s="2">
        <v>20.678516067920601</v>
      </c>
      <c r="BU906" s="2">
        <v>19.450291321995898</v>
      </c>
      <c r="BV906" s="2">
        <v>19.830919586823601</v>
      </c>
      <c r="BW906" s="2">
        <v>15.495055215977301</v>
      </c>
      <c r="BX906" s="2">
        <v>19.365723400578901</v>
      </c>
      <c r="BY906" s="2">
        <v>18.3337337714791</v>
      </c>
      <c r="BZ906" s="2">
        <v>15.4802954202713</v>
      </c>
      <c r="CA906" s="2">
        <v>19.325593549804001</v>
      </c>
      <c r="CB906" s="2">
        <v>9.6233145402724691</v>
      </c>
      <c r="CC906" s="2">
        <v>15.6874511408014</v>
      </c>
      <c r="CD906" s="2">
        <v>19.125622605541601</v>
      </c>
      <c r="CE906" s="2">
        <v>17.473517014475998</v>
      </c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</row>
    <row r="907" spans="1:97">
      <c r="A907" s="2" t="s">
        <v>8424</v>
      </c>
      <c r="B907" s="2">
        <v>309.09935000000002</v>
      </c>
      <c r="C907" s="2">
        <v>5.0839999999999996</v>
      </c>
      <c r="D907" s="2" t="s">
        <v>146</v>
      </c>
      <c r="E907" s="2" t="s">
        <v>8425</v>
      </c>
      <c r="F907" s="2" t="s">
        <v>8426</v>
      </c>
      <c r="G907" s="2">
        <v>63192</v>
      </c>
      <c r="H907" s="3" t="str">
        <f>HYPERLINK("https://cloud.oebiotech.com/#/lm/network/63192", "https://cloud.oebiotech.com/#/lm/network/63192")</f>
        <v>https://cloud.oebiotech.com/#/lm/network/63192</v>
      </c>
      <c r="I907" s="2" t="s">
        <v>8427</v>
      </c>
      <c r="J907" s="2"/>
      <c r="K907" s="2"/>
      <c r="L907" s="2">
        <v>10018247</v>
      </c>
      <c r="M907" s="2"/>
      <c r="N907" s="2"/>
      <c r="O907" s="2"/>
      <c r="P907" s="2"/>
      <c r="Q907" s="2"/>
      <c r="R907" s="2"/>
      <c r="S907" s="2" t="s">
        <v>8428</v>
      </c>
      <c r="T907" s="2" t="s">
        <v>8429</v>
      </c>
      <c r="U907" s="2" t="s">
        <v>8430</v>
      </c>
      <c r="V907" s="2" t="s">
        <v>338</v>
      </c>
      <c r="W907" s="2" t="s">
        <v>339</v>
      </c>
      <c r="X907" s="2" t="s">
        <v>663</v>
      </c>
      <c r="Y907" s="2" t="s">
        <v>341</v>
      </c>
      <c r="Z907" s="2" t="s">
        <v>341</v>
      </c>
      <c r="AA907" s="2" t="s">
        <v>664</v>
      </c>
      <c r="AB907" s="2" t="s">
        <v>3086</v>
      </c>
      <c r="AC907" s="2">
        <v>52.44</v>
      </c>
      <c r="AD907" s="2">
        <v>90.17</v>
      </c>
      <c r="AE907" s="2">
        <v>0</v>
      </c>
      <c r="AF907" s="2" t="s">
        <v>5614</v>
      </c>
      <c r="AG907" s="2" t="s">
        <v>194</v>
      </c>
      <c r="AH907" s="2" t="s">
        <v>8431</v>
      </c>
      <c r="AI907" s="2">
        <v>-4.53</v>
      </c>
      <c r="AJ907" s="2">
        <v>16.714123543593399</v>
      </c>
      <c r="AK907" s="2">
        <v>16.9620296358252</v>
      </c>
      <c r="AL907" s="2">
        <v>16.347867701832001</v>
      </c>
      <c r="AM907" s="2">
        <v>16.467448574590801</v>
      </c>
      <c r="AN907" s="2">
        <v>16.969016805854999</v>
      </c>
      <c r="AO907" s="2">
        <v>17.0504736385728</v>
      </c>
      <c r="AP907" s="2">
        <v>16.685926190924</v>
      </c>
      <c r="AQ907" s="2">
        <v>16.595609194576099</v>
      </c>
      <c r="AR907" s="2">
        <v>15.8225262688297</v>
      </c>
      <c r="AS907" s="2">
        <v>14.050255100788</v>
      </c>
      <c r="AT907" s="2">
        <v>16.902611469287098</v>
      </c>
      <c r="AU907" s="2">
        <v>14.942288608381601</v>
      </c>
      <c r="AV907" s="2">
        <v>9.6233145402724691</v>
      </c>
      <c r="AW907" s="2">
        <v>16.871468162463199</v>
      </c>
      <c r="AX907" s="2">
        <v>9.6233145402724691</v>
      </c>
      <c r="AY907" s="2">
        <v>16.024546898916999</v>
      </c>
      <c r="AZ907" s="2">
        <v>15.4600737977464</v>
      </c>
      <c r="BA907" s="2">
        <v>17.282636083071601</v>
      </c>
      <c r="BB907" s="2">
        <v>17.611455685057798</v>
      </c>
      <c r="BC907" s="2">
        <v>15.803404901853201</v>
      </c>
      <c r="BD907" s="2">
        <v>12.7602750132449</v>
      </c>
      <c r="BE907" s="2">
        <v>16.364587649507701</v>
      </c>
      <c r="BF907" s="2">
        <v>13.3822241230913</v>
      </c>
      <c r="BG907" s="2">
        <v>16.227799427153499</v>
      </c>
      <c r="BH907" s="2">
        <v>15.547126492359901</v>
      </c>
      <c r="BI907" s="2">
        <v>14.003180564526399</v>
      </c>
      <c r="BJ907" s="2">
        <v>16.4031253956116</v>
      </c>
      <c r="BK907" s="2">
        <v>17.111839073448099</v>
      </c>
      <c r="BL907" s="2">
        <v>16.7944870702445</v>
      </c>
      <c r="BM907" s="2">
        <v>14.568747059871599</v>
      </c>
      <c r="BN907" s="2">
        <v>16.5047747715296</v>
      </c>
      <c r="BO907" s="2">
        <v>16.116794936026899</v>
      </c>
      <c r="BP907" s="2">
        <v>9.6233145402724691</v>
      </c>
      <c r="BQ907" s="2">
        <v>16.180487878603099</v>
      </c>
      <c r="BR907" s="2">
        <v>15.175791616800501</v>
      </c>
      <c r="BS907" s="2">
        <v>16.334211646772498</v>
      </c>
      <c r="BT907" s="2">
        <v>17.039933348978799</v>
      </c>
      <c r="BU907" s="2">
        <v>17.254710971504501</v>
      </c>
      <c r="BV907" s="2">
        <v>15.6048928409345</v>
      </c>
      <c r="BW907" s="2">
        <v>16.852814153182099</v>
      </c>
      <c r="BX907" s="2">
        <v>15.9217535547028</v>
      </c>
      <c r="BY907" s="2">
        <v>17.628870687471998</v>
      </c>
      <c r="BZ907" s="2">
        <v>16.1382697999836</v>
      </c>
      <c r="CA907" s="2">
        <v>12.6973976633377</v>
      </c>
      <c r="CB907" s="2">
        <v>14.822828218720501</v>
      </c>
      <c r="CC907" s="2">
        <v>16.779357328059799</v>
      </c>
      <c r="CD907" s="2">
        <v>17.0755889310275</v>
      </c>
      <c r="CE907" s="2">
        <v>17.523995887665301</v>
      </c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</row>
    <row r="908" spans="1:97">
      <c r="A908" s="2" t="s">
        <v>8432</v>
      </c>
      <c r="B908" s="2">
        <v>218.04541</v>
      </c>
      <c r="C908" s="2">
        <v>6.0720000000000001</v>
      </c>
      <c r="D908" s="2" t="s">
        <v>146</v>
      </c>
      <c r="E908" s="2" t="s">
        <v>8433</v>
      </c>
      <c r="F908" s="2" t="s">
        <v>8434</v>
      </c>
      <c r="G908" s="2">
        <v>83457</v>
      </c>
      <c r="H908" s="3" t="str">
        <f>HYPERLINK("https://cloud.oebiotech.com/#/lm/network/83457", "https://cloud.oebiotech.com/#/lm/network/83457")</f>
        <v>https://cloud.oebiotech.com/#/lm/network/83457</v>
      </c>
      <c r="I908" s="2" t="s">
        <v>8435</v>
      </c>
      <c r="J908" s="2">
        <v>69765</v>
      </c>
      <c r="K908" s="2"/>
      <c r="L908" s="2">
        <v>6849</v>
      </c>
      <c r="M908" s="2" t="s">
        <v>8436</v>
      </c>
      <c r="N908" s="2" t="s">
        <v>8437</v>
      </c>
      <c r="O908" s="2" t="s">
        <v>8438</v>
      </c>
      <c r="P908" s="2">
        <v>34104</v>
      </c>
      <c r="Q908" s="2"/>
      <c r="R908" s="2"/>
      <c r="S908" s="2" t="s">
        <v>8439</v>
      </c>
      <c r="T908" s="2" t="s">
        <v>8440</v>
      </c>
      <c r="U908" s="2" t="s">
        <v>8441</v>
      </c>
      <c r="V908" s="2" t="s">
        <v>385</v>
      </c>
      <c r="W908" s="2" t="s">
        <v>4381</v>
      </c>
      <c r="X908" s="2" t="s">
        <v>8442</v>
      </c>
      <c r="Y908" s="2" t="s">
        <v>388</v>
      </c>
      <c r="Z908" s="2" t="s">
        <v>4382</v>
      </c>
      <c r="AA908" s="2" t="s">
        <v>8434</v>
      </c>
      <c r="AB908" s="2" t="s">
        <v>8443</v>
      </c>
      <c r="AC908" s="2">
        <v>52.43</v>
      </c>
      <c r="AD908" s="2">
        <v>92.75</v>
      </c>
      <c r="AE908" s="2">
        <v>39.729999999999997</v>
      </c>
      <c r="AF908" s="2" t="s">
        <v>8444</v>
      </c>
      <c r="AG908" s="2" t="s">
        <v>157</v>
      </c>
      <c r="AH908" s="2" t="s">
        <v>8445</v>
      </c>
      <c r="AI908" s="2">
        <v>2.29</v>
      </c>
      <c r="AJ908" s="2">
        <v>18.2297528054434</v>
      </c>
      <c r="AK908" s="2">
        <v>18.167116245990201</v>
      </c>
      <c r="AL908" s="2">
        <v>18.095958766234801</v>
      </c>
      <c r="AM908" s="2">
        <v>17.8589500046509</v>
      </c>
      <c r="AN908" s="2">
        <v>18.067224785845202</v>
      </c>
      <c r="AO908" s="2">
        <v>17.8058994546947</v>
      </c>
      <c r="AP908" s="2">
        <v>17.684838594324798</v>
      </c>
      <c r="AQ908" s="2">
        <v>17.766346308540601</v>
      </c>
      <c r="AR908" s="2">
        <v>17.537295308648599</v>
      </c>
      <c r="AS908" s="2">
        <v>17.602633919084901</v>
      </c>
      <c r="AT908" s="2">
        <v>17.386333298883301</v>
      </c>
      <c r="AU908" s="2">
        <v>17.693808310123199</v>
      </c>
      <c r="AV908" s="2">
        <v>18.207169122005801</v>
      </c>
      <c r="AW908" s="2">
        <v>17.982282108850601</v>
      </c>
      <c r="AX908" s="2">
        <v>17.828864331359199</v>
      </c>
      <c r="AY908" s="2">
        <v>17.780915591220701</v>
      </c>
      <c r="AZ908" s="2">
        <v>18.4752840226393</v>
      </c>
      <c r="BA908" s="2">
        <v>17.594898978017198</v>
      </c>
      <c r="BB908" s="2">
        <v>17.5859431013943</v>
      </c>
      <c r="BC908" s="2">
        <v>16.5138604988514</v>
      </c>
      <c r="BD908" s="2">
        <v>18.158222002557501</v>
      </c>
      <c r="BE908" s="2">
        <v>18.109812039067801</v>
      </c>
      <c r="BF908" s="2">
        <v>18.831960501580799</v>
      </c>
      <c r="BG908" s="2">
        <v>17.979048774496</v>
      </c>
      <c r="BH908" s="2">
        <v>17.3438082223173</v>
      </c>
      <c r="BI908" s="2">
        <v>17.531977713176701</v>
      </c>
      <c r="BJ908" s="2">
        <v>17.490641653870799</v>
      </c>
      <c r="BK908" s="2">
        <v>18.128783481847599</v>
      </c>
      <c r="BL908" s="2">
        <v>18.158370244709701</v>
      </c>
      <c r="BM908" s="2">
        <v>18.335150955769301</v>
      </c>
      <c r="BN908" s="2">
        <v>17.6446819104304</v>
      </c>
      <c r="BO908" s="2">
        <v>18.155750240489802</v>
      </c>
      <c r="BP908" s="2">
        <v>18.125949225403001</v>
      </c>
      <c r="BQ908" s="2">
        <v>18.174114201615101</v>
      </c>
      <c r="BR908" s="2">
        <v>18.485417392662502</v>
      </c>
      <c r="BS908" s="2">
        <v>18.3533136412548</v>
      </c>
      <c r="BT908" s="2">
        <v>18.426752702304999</v>
      </c>
      <c r="BU908" s="2">
        <v>17.342009714694601</v>
      </c>
      <c r="BV908" s="2">
        <v>17.720653085102001</v>
      </c>
      <c r="BW908" s="2">
        <v>16.587435316104699</v>
      </c>
      <c r="BX908" s="2">
        <v>18.2380398300952</v>
      </c>
      <c r="BY908" s="2">
        <v>18.4150769859551</v>
      </c>
      <c r="BZ908" s="2">
        <v>17.6804290987935</v>
      </c>
      <c r="CA908" s="2">
        <v>18.2590229223091</v>
      </c>
      <c r="CB908" s="2">
        <v>17.695186687242899</v>
      </c>
      <c r="CC908" s="2">
        <v>17.8217605936387</v>
      </c>
      <c r="CD908" s="2">
        <v>18.312635139148298</v>
      </c>
      <c r="CE908" s="2">
        <v>18.1492688637491</v>
      </c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</row>
    <row r="909" spans="1:97">
      <c r="A909" s="2" t="s">
        <v>8446</v>
      </c>
      <c r="B909" s="2">
        <v>212.11795000000001</v>
      </c>
      <c r="C909" s="2">
        <v>4.5339999999999998</v>
      </c>
      <c r="D909" s="2" t="s">
        <v>84</v>
      </c>
      <c r="E909" s="2" t="s">
        <v>8447</v>
      </c>
      <c r="F909" s="2" t="s">
        <v>8448</v>
      </c>
      <c r="G909" s="2">
        <v>205426</v>
      </c>
      <c r="H909" s="3" t="str">
        <f>HYPERLINK("https://cloud.oebiotech.com/#/lm/network/205426", "https://cloud.oebiotech.com/#/lm/network/205426")</f>
        <v>https://cloud.oebiotech.com/#/lm/network/205426</v>
      </c>
      <c r="I909" s="2" t="s">
        <v>8449</v>
      </c>
      <c r="J909" s="2"/>
      <c r="K909" s="2"/>
      <c r="L909" s="2">
        <v>66915701</v>
      </c>
      <c r="M909" s="2"/>
      <c r="N909" s="2"/>
      <c r="O909" s="2"/>
      <c r="P909" s="2"/>
      <c r="Q909" s="2"/>
      <c r="R909" s="2"/>
      <c r="S909" s="2"/>
      <c r="T909" s="2" t="s">
        <v>8450</v>
      </c>
      <c r="U909" s="2" t="s">
        <v>8451</v>
      </c>
      <c r="V909" s="2" t="s">
        <v>553</v>
      </c>
      <c r="W909" s="2" t="s">
        <v>933</v>
      </c>
      <c r="X909" s="2" t="s">
        <v>8452</v>
      </c>
      <c r="Y909" s="2" t="s">
        <v>556</v>
      </c>
      <c r="Z909" s="2" t="s">
        <v>935</v>
      </c>
      <c r="AA909" s="2" t="s">
        <v>8453</v>
      </c>
      <c r="AB909" s="2" t="s">
        <v>3086</v>
      </c>
      <c r="AC909" s="2">
        <v>52.41</v>
      </c>
      <c r="AD909" s="2">
        <v>91.89</v>
      </c>
      <c r="AE909" s="2">
        <v>0</v>
      </c>
      <c r="AF909" s="2" t="s">
        <v>5614</v>
      </c>
      <c r="AG909" s="2" t="s">
        <v>132</v>
      </c>
      <c r="AH909" s="2" t="s">
        <v>8454</v>
      </c>
      <c r="AI909" s="2">
        <v>0.94</v>
      </c>
      <c r="AJ909" s="2">
        <v>17.072968503578799</v>
      </c>
      <c r="AK909" s="2">
        <v>16.487274643536001</v>
      </c>
      <c r="AL909" s="2">
        <v>17.043899751941101</v>
      </c>
      <c r="AM909" s="2">
        <v>16.075557073306001</v>
      </c>
      <c r="AN909" s="2">
        <v>16.599516412608398</v>
      </c>
      <c r="AO909" s="2">
        <v>16.8758394450658</v>
      </c>
      <c r="AP909" s="2">
        <v>17.342222451921401</v>
      </c>
      <c r="AQ909" s="2">
        <v>16.883814333658801</v>
      </c>
      <c r="AR909" s="2">
        <v>17.0268912448288</v>
      </c>
      <c r="AS909" s="2">
        <v>16.250576743548699</v>
      </c>
      <c r="AT909" s="2">
        <v>17.987181114690301</v>
      </c>
      <c r="AU909" s="2">
        <v>16.703220526391998</v>
      </c>
      <c r="AV909" s="2">
        <v>15.934791755549</v>
      </c>
      <c r="AW909" s="2">
        <v>17.009490227392501</v>
      </c>
      <c r="AX909" s="2">
        <v>15.6917225305969</v>
      </c>
      <c r="AY909" s="2">
        <v>16.4922392348263</v>
      </c>
      <c r="AZ909" s="2">
        <v>16.104079229215099</v>
      </c>
      <c r="BA909" s="2">
        <v>17.410855346935001</v>
      </c>
      <c r="BB909" s="2">
        <v>15.758091235828999</v>
      </c>
      <c r="BC909" s="2">
        <v>16.989357021575401</v>
      </c>
      <c r="BD909" s="2">
        <v>16.737262529489399</v>
      </c>
      <c r="BE909" s="2">
        <v>16.225768526549398</v>
      </c>
      <c r="BF909" s="2">
        <v>16.7955028343411</v>
      </c>
      <c r="BG909" s="2">
        <v>16.6331218135144</v>
      </c>
      <c r="BH909" s="2">
        <v>16.312272487883099</v>
      </c>
      <c r="BI909" s="2">
        <v>17.053596088608298</v>
      </c>
      <c r="BJ909" s="2">
        <v>17.272824669037401</v>
      </c>
      <c r="BK909" s="2">
        <v>16.101587131315</v>
      </c>
      <c r="BL909" s="2">
        <v>15.662925062953001</v>
      </c>
      <c r="BM909" s="2">
        <v>16.486328167054499</v>
      </c>
      <c r="BN909" s="2">
        <v>16.761314494896599</v>
      </c>
      <c r="BO909" s="2">
        <v>16.465875966911099</v>
      </c>
      <c r="BP909" s="2">
        <v>16.672884674833401</v>
      </c>
      <c r="BQ909" s="2">
        <v>16.910091075203901</v>
      </c>
      <c r="BR909" s="2">
        <v>16.477464208955901</v>
      </c>
      <c r="BS909" s="2">
        <v>16.565510010554402</v>
      </c>
      <c r="BT909" s="2">
        <v>16.818692512271902</v>
      </c>
      <c r="BU909" s="2">
        <v>15.9362061239722</v>
      </c>
      <c r="BV909" s="2">
        <v>17.178154110828601</v>
      </c>
      <c r="BW909" s="2">
        <v>16.6098963858384</v>
      </c>
      <c r="BX909" s="2">
        <v>17.391277746278401</v>
      </c>
      <c r="BY909" s="2">
        <v>17.3524576444301</v>
      </c>
      <c r="BZ909" s="2">
        <v>16.251353698491801</v>
      </c>
      <c r="CA909" s="2">
        <v>15.899431510594599</v>
      </c>
      <c r="CB909" s="2">
        <v>16.9783398853581</v>
      </c>
      <c r="CC909" s="2">
        <v>16.6675236461449</v>
      </c>
      <c r="CD909" s="2">
        <v>15.1342217420849</v>
      </c>
      <c r="CE909" s="2">
        <v>16.844937295836701</v>
      </c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</row>
    <row r="910" spans="1:97">
      <c r="A910" s="2" t="s">
        <v>8455</v>
      </c>
      <c r="B910" s="2">
        <v>161.08071000000001</v>
      </c>
      <c r="C910" s="2">
        <v>1.5509999999999999</v>
      </c>
      <c r="D910" s="2" t="s">
        <v>84</v>
      </c>
      <c r="E910" s="2" t="s">
        <v>8456</v>
      </c>
      <c r="F910" s="2" t="s">
        <v>8457</v>
      </c>
      <c r="G910" s="2">
        <v>57970</v>
      </c>
      <c r="H910" s="3" t="str">
        <f>HYPERLINK("https://cloud.oebiotech.com/#/lm/network/57970", "https://cloud.oebiotech.com/#/lm/network/57970")</f>
        <v>https://cloud.oebiotech.com/#/lm/network/57970</v>
      </c>
      <c r="I910" s="2" t="s">
        <v>8458</v>
      </c>
      <c r="J910" s="2"/>
      <c r="K910" s="2"/>
      <c r="L910" s="2">
        <v>444792</v>
      </c>
      <c r="M910" s="2"/>
      <c r="N910" s="2"/>
      <c r="O910" s="2"/>
      <c r="P910" s="2"/>
      <c r="Q910" s="2"/>
      <c r="R910" s="2"/>
      <c r="S910" s="2" t="s">
        <v>8459</v>
      </c>
      <c r="T910" s="2" t="s">
        <v>8460</v>
      </c>
      <c r="U910" s="2" t="s">
        <v>8461</v>
      </c>
      <c r="V910" s="2" t="s">
        <v>338</v>
      </c>
      <c r="W910" s="2" t="s">
        <v>339</v>
      </c>
      <c r="X910" s="2" t="s">
        <v>663</v>
      </c>
      <c r="Y910" s="2" t="s">
        <v>341</v>
      </c>
      <c r="Z910" s="2" t="s">
        <v>341</v>
      </c>
      <c r="AA910" s="2" t="s">
        <v>664</v>
      </c>
      <c r="AB910" s="2" t="s">
        <v>3086</v>
      </c>
      <c r="AC910" s="2">
        <v>52.4</v>
      </c>
      <c r="AD910" s="2">
        <v>95.65</v>
      </c>
      <c r="AE910" s="2">
        <v>0</v>
      </c>
      <c r="AF910" s="2" t="s">
        <v>5614</v>
      </c>
      <c r="AG910" s="2" t="s">
        <v>1088</v>
      </c>
      <c r="AH910" s="2" t="s">
        <v>7289</v>
      </c>
      <c r="AI910" s="2">
        <v>4.3499999999999996</v>
      </c>
      <c r="AJ910" s="2">
        <v>19.848185906929501</v>
      </c>
      <c r="AK910" s="2">
        <v>19.789108816481299</v>
      </c>
      <c r="AL910" s="2">
        <v>20.1213079394877</v>
      </c>
      <c r="AM910" s="2">
        <v>20.217068254850599</v>
      </c>
      <c r="AN910" s="2">
        <v>20.207805460961499</v>
      </c>
      <c r="AO910" s="2">
        <v>19.2709659808671</v>
      </c>
      <c r="AP910" s="2">
        <v>20.048160639048</v>
      </c>
      <c r="AQ910" s="2">
        <v>19.4888606607662</v>
      </c>
      <c r="AR910" s="2">
        <v>19.991959861569299</v>
      </c>
      <c r="AS910" s="2">
        <v>19.9877100659028</v>
      </c>
      <c r="AT910" s="2">
        <v>19.942688886885701</v>
      </c>
      <c r="AU910" s="2">
        <v>20.050198109173898</v>
      </c>
      <c r="AV910" s="2">
        <v>20.074806934052699</v>
      </c>
      <c r="AW910" s="2">
        <v>20.066389019830101</v>
      </c>
      <c r="AX910" s="2">
        <v>20.045732083289401</v>
      </c>
      <c r="AY910" s="2">
        <v>19.912553606216701</v>
      </c>
      <c r="AZ910" s="2">
        <v>19.803264692752201</v>
      </c>
      <c r="BA910" s="2">
        <v>19.788227043856701</v>
      </c>
      <c r="BB910" s="2">
        <v>19.999197470883999</v>
      </c>
      <c r="BC910" s="2">
        <v>19.594923773728901</v>
      </c>
      <c r="BD910" s="2">
        <v>19.8723488694996</v>
      </c>
      <c r="BE910" s="2">
        <v>19.416715094839599</v>
      </c>
      <c r="BF910" s="2">
        <v>19.9459428029059</v>
      </c>
      <c r="BG910" s="2">
        <v>19.749281291617901</v>
      </c>
      <c r="BH910" s="2">
        <v>19.9124277805169</v>
      </c>
      <c r="BI910" s="2">
        <v>19.9132227233404</v>
      </c>
      <c r="BJ910" s="2">
        <v>20.165892892905099</v>
      </c>
      <c r="BK910" s="2">
        <v>17.997091912549401</v>
      </c>
      <c r="BL910" s="2">
        <v>20.021613078119799</v>
      </c>
      <c r="BM910" s="2">
        <v>20.036373257427801</v>
      </c>
      <c r="BN910" s="2">
        <v>20.3186998743811</v>
      </c>
      <c r="BO910" s="2">
        <v>20.3262553524198</v>
      </c>
      <c r="BP910" s="2">
        <v>20.282002913533201</v>
      </c>
      <c r="BQ910" s="2">
        <v>20.120883919571</v>
      </c>
      <c r="BR910" s="2">
        <v>20.1880593856473</v>
      </c>
      <c r="BS910" s="2">
        <v>20.104410532071199</v>
      </c>
      <c r="BT910" s="2">
        <v>20.2248143324198</v>
      </c>
      <c r="BU910" s="2">
        <v>20.184965162383701</v>
      </c>
      <c r="BV910" s="2">
        <v>18.094554950852</v>
      </c>
      <c r="BW910" s="2">
        <v>20.189173262391598</v>
      </c>
      <c r="BX910" s="2">
        <v>20.254979800006399</v>
      </c>
      <c r="BY910" s="2">
        <v>18.075150956282499</v>
      </c>
      <c r="BZ910" s="2">
        <v>20.051265640324701</v>
      </c>
      <c r="CA910" s="2">
        <v>20.283167897251602</v>
      </c>
      <c r="CB910" s="2">
        <v>20.2908911671698</v>
      </c>
      <c r="CC910" s="2">
        <v>20.198023622308899</v>
      </c>
      <c r="CD910" s="2">
        <v>20.3653504629963</v>
      </c>
      <c r="CE910" s="2">
        <v>20.258227701555899</v>
      </c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</row>
    <row r="911" spans="1:97">
      <c r="A911" s="2" t="s">
        <v>8462</v>
      </c>
      <c r="B911" s="2">
        <v>200.03608</v>
      </c>
      <c r="C911" s="2">
        <v>3.7290000000000001</v>
      </c>
      <c r="D911" s="2" t="s">
        <v>84</v>
      </c>
      <c r="E911" s="2" t="s">
        <v>8463</v>
      </c>
      <c r="F911" s="2" t="s">
        <v>8464</v>
      </c>
      <c r="G911" s="2">
        <v>47347</v>
      </c>
      <c r="H911" s="3" t="str">
        <f>HYPERLINK("https://cloud.oebiotech.com/#/lm/network/47347", "https://cloud.oebiotech.com/#/lm/network/47347")</f>
        <v>https://cloud.oebiotech.com/#/lm/network/47347</v>
      </c>
      <c r="I911" s="2" t="s">
        <v>8465</v>
      </c>
      <c r="J911" s="2"/>
      <c r="K911" s="2"/>
      <c r="L911" s="2">
        <v>439750</v>
      </c>
      <c r="M911" s="2" t="s">
        <v>6998</v>
      </c>
      <c r="N911" s="2" t="s">
        <v>1585</v>
      </c>
      <c r="O911" s="2" t="s">
        <v>1586</v>
      </c>
      <c r="P911" s="2">
        <v>16552</v>
      </c>
      <c r="Q911" s="2"/>
      <c r="R911" s="2"/>
      <c r="S911" s="2" t="s">
        <v>6999</v>
      </c>
      <c r="T911" s="2" t="s">
        <v>8466</v>
      </c>
      <c r="U911" s="2" t="s">
        <v>8467</v>
      </c>
      <c r="V911" s="2" t="s">
        <v>115</v>
      </c>
      <c r="W911" s="2" t="s">
        <v>116</v>
      </c>
      <c r="X911" s="2" t="s">
        <v>117</v>
      </c>
      <c r="Y911" s="2" t="s">
        <v>118</v>
      </c>
      <c r="Z911" s="2" t="s">
        <v>119</v>
      </c>
      <c r="AA911" s="2" t="s">
        <v>120</v>
      </c>
      <c r="AB911" s="2" t="s">
        <v>3086</v>
      </c>
      <c r="AC911" s="2">
        <v>52.39</v>
      </c>
      <c r="AD911" s="2">
        <v>90.78</v>
      </c>
      <c r="AE911" s="2">
        <v>0</v>
      </c>
      <c r="AF911" s="2" t="s">
        <v>5614</v>
      </c>
      <c r="AG911" s="2" t="s">
        <v>1578</v>
      </c>
      <c r="AH911" s="2" t="s">
        <v>7002</v>
      </c>
      <c r="AI911" s="2">
        <v>-4.5</v>
      </c>
      <c r="AJ911" s="2">
        <v>24.609496809798099</v>
      </c>
      <c r="AK911" s="2">
        <v>24.7902789698188</v>
      </c>
      <c r="AL911" s="2">
        <v>24.467258871628601</v>
      </c>
      <c r="AM911" s="2">
        <v>24.191923763648202</v>
      </c>
      <c r="AN911" s="2">
        <v>24.372806769900599</v>
      </c>
      <c r="AO911" s="2">
        <v>23.863940684306801</v>
      </c>
      <c r="AP911" s="2">
        <v>23.410586722293399</v>
      </c>
      <c r="AQ911" s="2">
        <v>24.123816000482201</v>
      </c>
      <c r="AR911" s="2">
        <v>24.3506603981367</v>
      </c>
      <c r="AS911" s="2">
        <v>24.477357120855199</v>
      </c>
      <c r="AT911" s="2">
        <v>25.255665009547101</v>
      </c>
      <c r="AU911" s="2">
        <v>24.445684025766901</v>
      </c>
      <c r="AV911" s="2">
        <v>25.225575042289201</v>
      </c>
      <c r="AW911" s="2">
        <v>24.5672829104603</v>
      </c>
      <c r="AX911" s="2">
        <v>24.425692312963498</v>
      </c>
      <c r="AY911" s="2">
        <v>24.428235546326398</v>
      </c>
      <c r="AZ911" s="2">
        <v>24.487131270534899</v>
      </c>
      <c r="BA911" s="2">
        <v>24.517825805425399</v>
      </c>
      <c r="BB911" s="2">
        <v>24.4670307546915</v>
      </c>
      <c r="BC911" s="2">
        <v>24.335460713924</v>
      </c>
      <c r="BD911" s="2">
        <v>24.520032693526701</v>
      </c>
      <c r="BE911" s="2">
        <v>24.483144805447498</v>
      </c>
      <c r="BF911" s="2">
        <v>24.0951647969639</v>
      </c>
      <c r="BG911" s="2">
        <v>25.1284456788112</v>
      </c>
      <c r="BH911" s="2">
        <v>24.5538659084323</v>
      </c>
      <c r="BI911" s="2">
        <v>24.390662710647899</v>
      </c>
      <c r="BJ911" s="2">
        <v>23.6655110971932</v>
      </c>
      <c r="BK911" s="2">
        <v>25.274540653243701</v>
      </c>
      <c r="BL911" s="2">
        <v>24.310272298907901</v>
      </c>
      <c r="BM911" s="2">
        <v>24.832954635228699</v>
      </c>
      <c r="BN911" s="2">
        <v>24.312611964440599</v>
      </c>
      <c r="BO911" s="2">
        <v>24.0676275972023</v>
      </c>
      <c r="BP911" s="2">
        <v>24.492425194386001</v>
      </c>
      <c r="BQ911" s="2">
        <v>24.431845809701599</v>
      </c>
      <c r="BR911" s="2">
        <v>24.702956471103398</v>
      </c>
      <c r="BS911" s="2">
        <v>24.237123800590801</v>
      </c>
      <c r="BT911" s="2">
        <v>24.763603113954101</v>
      </c>
      <c r="BU911" s="2">
        <v>24.447805335222299</v>
      </c>
      <c r="BV911" s="2">
        <v>24.095462420344901</v>
      </c>
      <c r="BW911" s="2">
        <v>23.578375554733</v>
      </c>
      <c r="BX911" s="2">
        <v>24.319778714687398</v>
      </c>
      <c r="BY911" s="2">
        <v>24.176644759761601</v>
      </c>
      <c r="BZ911" s="2">
        <v>23.8155825749195</v>
      </c>
      <c r="CA911" s="2">
        <v>23.6975915948675</v>
      </c>
      <c r="CB911" s="2">
        <v>24.205796853613101</v>
      </c>
      <c r="CC911" s="2">
        <v>24.101729968238399</v>
      </c>
      <c r="CD911" s="2">
        <v>23.9576785438691</v>
      </c>
      <c r="CE911" s="2">
        <v>23.886798052678198</v>
      </c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</row>
    <row r="912" spans="1:97">
      <c r="A912" s="2" t="s">
        <v>8468</v>
      </c>
      <c r="B912" s="2">
        <v>166.01420999999999</v>
      </c>
      <c r="C912" s="2">
        <v>0.82499999999999996</v>
      </c>
      <c r="D912" s="2" t="s">
        <v>146</v>
      </c>
      <c r="E912" s="2" t="s">
        <v>8469</v>
      </c>
      <c r="F912" s="2" t="s">
        <v>8470</v>
      </c>
      <c r="G912" s="2">
        <v>46947</v>
      </c>
      <c r="H912" s="3" t="str">
        <f>HYPERLINK("https://cloud.oebiotech.com/#/lm/network/46947", "https://cloud.oebiotech.com/#/lm/network/46947")</f>
        <v>https://cloud.oebiotech.com/#/lm/network/46947</v>
      </c>
      <c r="I912" s="2" t="s">
        <v>8471</v>
      </c>
      <c r="J912" s="2">
        <v>330</v>
      </c>
      <c r="K912" s="2"/>
      <c r="L912" s="2">
        <v>1066</v>
      </c>
      <c r="M912" s="2" t="s">
        <v>8472</v>
      </c>
      <c r="N912" s="2" t="s">
        <v>8473</v>
      </c>
      <c r="O912" s="2" t="s">
        <v>8474</v>
      </c>
      <c r="P912" s="2">
        <v>16675</v>
      </c>
      <c r="Q912" s="2"/>
      <c r="R912" s="2"/>
      <c r="S912" s="2" t="s">
        <v>8475</v>
      </c>
      <c r="T912" s="2" t="s">
        <v>8476</v>
      </c>
      <c r="U912" s="2" t="s">
        <v>8477</v>
      </c>
      <c r="V912" s="2" t="s">
        <v>553</v>
      </c>
      <c r="W912" s="2" t="s">
        <v>2447</v>
      </c>
      <c r="X912" s="2" t="s">
        <v>2448</v>
      </c>
      <c r="Y912" s="2" t="s">
        <v>556</v>
      </c>
      <c r="Z912" s="2" t="s">
        <v>2449</v>
      </c>
      <c r="AA912" s="2" t="s">
        <v>2450</v>
      </c>
      <c r="AB912" s="2" t="s">
        <v>3086</v>
      </c>
      <c r="AC912" s="2">
        <v>52.38</v>
      </c>
      <c r="AD912" s="2">
        <v>95.47</v>
      </c>
      <c r="AE912" s="2">
        <v>0</v>
      </c>
      <c r="AF912" s="2" t="s">
        <v>5614</v>
      </c>
      <c r="AG912" s="2" t="s">
        <v>194</v>
      </c>
      <c r="AH912" s="2" t="s">
        <v>8478</v>
      </c>
      <c r="AI912" s="2">
        <v>2.41</v>
      </c>
      <c r="AJ912" s="2">
        <v>20.258181547676301</v>
      </c>
      <c r="AK912" s="2">
        <v>19.772519455424501</v>
      </c>
      <c r="AL912" s="2">
        <v>19.970666819946398</v>
      </c>
      <c r="AM912" s="2">
        <v>19.895855419292399</v>
      </c>
      <c r="AN912" s="2">
        <v>19.891070706984401</v>
      </c>
      <c r="AO912" s="2">
        <v>19.527302297947902</v>
      </c>
      <c r="AP912" s="2">
        <v>20.1753023264197</v>
      </c>
      <c r="AQ912" s="2">
        <v>20.0378523581096</v>
      </c>
      <c r="AR912" s="2">
        <v>19.7608885486985</v>
      </c>
      <c r="AS912" s="2">
        <v>19.413222188363601</v>
      </c>
      <c r="AT912" s="2">
        <v>19.4898708864295</v>
      </c>
      <c r="AU912" s="2">
        <v>19.9664389280534</v>
      </c>
      <c r="AV912" s="2">
        <v>20.298409095373401</v>
      </c>
      <c r="AW912" s="2">
        <v>19.812590413902299</v>
      </c>
      <c r="AX912" s="2">
        <v>19.908238911049899</v>
      </c>
      <c r="AY912" s="2">
        <v>19.8165904572807</v>
      </c>
      <c r="AZ912" s="2">
        <v>20.0667848815437</v>
      </c>
      <c r="BA912" s="2">
        <v>19.522218796746301</v>
      </c>
      <c r="BB912" s="2">
        <v>19.9753650758331</v>
      </c>
      <c r="BC912" s="2">
        <v>19.670509372189098</v>
      </c>
      <c r="BD912" s="2">
        <v>19.758905872834799</v>
      </c>
      <c r="BE912" s="2">
        <v>19.1259028005109</v>
      </c>
      <c r="BF912" s="2">
        <v>19.2442514918718</v>
      </c>
      <c r="BG912" s="2">
        <v>19.805156634582001</v>
      </c>
      <c r="BH912" s="2">
        <v>20.046753746833399</v>
      </c>
      <c r="BI912" s="2">
        <v>20.3856217966249</v>
      </c>
      <c r="BJ912" s="2">
        <v>19.735306551750501</v>
      </c>
      <c r="BK912" s="2">
        <v>19.773898997751299</v>
      </c>
      <c r="BL912" s="2">
        <v>20.104547119231</v>
      </c>
      <c r="BM912" s="2">
        <v>20.151641181422601</v>
      </c>
      <c r="BN912" s="2">
        <v>19.805241167937101</v>
      </c>
      <c r="BO912" s="2">
        <v>20.2493573295801</v>
      </c>
      <c r="BP912" s="2">
        <v>19.8670182389736</v>
      </c>
      <c r="BQ912" s="2">
        <v>20.2015931111744</v>
      </c>
      <c r="BR912" s="2">
        <v>19.838960504749799</v>
      </c>
      <c r="BS912" s="2">
        <v>19.820829379452</v>
      </c>
      <c r="BT912" s="2">
        <v>20.4375979301774</v>
      </c>
      <c r="BU912" s="2">
        <v>19.959479037467901</v>
      </c>
      <c r="BV912" s="2">
        <v>20.160722178566601</v>
      </c>
      <c r="BW912" s="2">
        <v>19.587792602911701</v>
      </c>
      <c r="BX912" s="2">
        <v>19.697048356445698</v>
      </c>
      <c r="BY912" s="2">
        <v>19.7358816082799</v>
      </c>
      <c r="BZ912" s="2">
        <v>20.111755878038899</v>
      </c>
      <c r="CA912" s="2">
        <v>20.179480762783701</v>
      </c>
      <c r="CB912" s="2">
        <v>19.5527270462321</v>
      </c>
      <c r="CC912" s="2">
        <v>20.103949766965599</v>
      </c>
      <c r="CD912" s="2">
        <v>20.0527888383339</v>
      </c>
      <c r="CE912" s="2">
        <v>20.597704055232601</v>
      </c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</row>
    <row r="913" spans="1:97">
      <c r="A913" s="2" t="s">
        <v>8479</v>
      </c>
      <c r="B913" s="2">
        <v>249.11272</v>
      </c>
      <c r="C913" s="2">
        <v>8.5579999999999998</v>
      </c>
      <c r="D913" s="2" t="s">
        <v>146</v>
      </c>
      <c r="E913" s="2" t="s">
        <v>8480</v>
      </c>
      <c r="F913" s="2" t="s">
        <v>8481</v>
      </c>
      <c r="G913" s="2">
        <v>55517</v>
      </c>
      <c r="H913" s="3" t="str">
        <f>HYPERLINK("https://cloud.oebiotech.com/#/lm/network/55517", "https://cloud.oebiotech.com/#/lm/network/55517")</f>
        <v>https://cloud.oebiotech.com/#/lm/network/55517</v>
      </c>
      <c r="I913" s="2" t="s">
        <v>8482</v>
      </c>
      <c r="J913" s="2">
        <v>43938</v>
      </c>
      <c r="K913" s="2"/>
      <c r="L913" s="2">
        <v>442916</v>
      </c>
      <c r="M913" s="2" t="s">
        <v>8483</v>
      </c>
      <c r="N913" s="2"/>
      <c r="O913" s="2"/>
      <c r="P913" s="2">
        <v>585101</v>
      </c>
      <c r="Q913" s="2"/>
      <c r="R913" s="2"/>
      <c r="S913" s="2" t="s">
        <v>8484</v>
      </c>
      <c r="T913" s="2" t="s">
        <v>8485</v>
      </c>
      <c r="U913" s="2" t="s">
        <v>8486</v>
      </c>
      <c r="V913" s="2" t="s">
        <v>338</v>
      </c>
      <c r="W913" s="2" t="s">
        <v>339</v>
      </c>
      <c r="X913" s="2" t="s">
        <v>340</v>
      </c>
      <c r="Y913" s="2" t="s">
        <v>341</v>
      </c>
      <c r="Z913" s="2" t="s">
        <v>341</v>
      </c>
      <c r="AA913" s="2" t="s">
        <v>342</v>
      </c>
      <c r="AB913" s="2" t="s">
        <v>3086</v>
      </c>
      <c r="AC913" s="2">
        <v>52.38</v>
      </c>
      <c r="AD913" s="2">
        <v>91.25</v>
      </c>
      <c r="AE913" s="2">
        <v>0</v>
      </c>
      <c r="AF913" s="2" t="s">
        <v>5614</v>
      </c>
      <c r="AG913" s="2" t="s">
        <v>157</v>
      </c>
      <c r="AH913" s="2" t="s">
        <v>8487</v>
      </c>
      <c r="AI913" s="2">
        <v>2.0099999999999998</v>
      </c>
      <c r="AJ913" s="2">
        <v>17.877344352416699</v>
      </c>
      <c r="AK913" s="2">
        <v>17.933180024988101</v>
      </c>
      <c r="AL913" s="2">
        <v>17.643491525061702</v>
      </c>
      <c r="AM913" s="2">
        <v>17.577717804285601</v>
      </c>
      <c r="AN913" s="2">
        <v>17.6389147482924</v>
      </c>
      <c r="AO913" s="2">
        <v>17.552776626275399</v>
      </c>
      <c r="AP913" s="2">
        <v>17.596692715742702</v>
      </c>
      <c r="AQ913" s="2">
        <v>17.177311592672901</v>
      </c>
      <c r="AR913" s="2">
        <v>18.120674577281299</v>
      </c>
      <c r="AS913" s="2">
        <v>17.650710925823301</v>
      </c>
      <c r="AT913" s="2">
        <v>18.0472128633503</v>
      </c>
      <c r="AU913" s="2">
        <v>18.127944511924401</v>
      </c>
      <c r="AV913" s="2">
        <v>18.327071285352499</v>
      </c>
      <c r="AW913" s="2">
        <v>18.176192486094699</v>
      </c>
      <c r="AX913" s="2">
        <v>17.827078737659502</v>
      </c>
      <c r="AY913" s="2">
        <v>18.1889511737985</v>
      </c>
      <c r="AZ913" s="2">
        <v>17.714198218713499</v>
      </c>
      <c r="BA913" s="2">
        <v>17.945276875643799</v>
      </c>
      <c r="BB913" s="2">
        <v>17.911236665983299</v>
      </c>
      <c r="BC913" s="2">
        <v>17.897417825044599</v>
      </c>
      <c r="BD913" s="2">
        <v>18.0251264198656</v>
      </c>
      <c r="BE913" s="2">
        <v>17.891419602200301</v>
      </c>
      <c r="BF913" s="2">
        <v>17.626017480017101</v>
      </c>
      <c r="BG913" s="2">
        <v>17.887442984457699</v>
      </c>
      <c r="BH913" s="2">
        <v>17.9840971478867</v>
      </c>
      <c r="BI913" s="2">
        <v>17.999034097335102</v>
      </c>
      <c r="BJ913" s="2">
        <v>18.0585615597568</v>
      </c>
      <c r="BK913" s="2">
        <v>17.674420568269898</v>
      </c>
      <c r="BL913" s="2">
        <v>17.871980295880899</v>
      </c>
      <c r="BM913" s="2">
        <v>17.767318830788501</v>
      </c>
      <c r="BN913" s="2">
        <v>17.951636237974899</v>
      </c>
      <c r="BO913" s="2">
        <v>17.5702808796681</v>
      </c>
      <c r="BP913" s="2">
        <v>17.6454957598223</v>
      </c>
      <c r="BQ913" s="2">
        <v>17.645380358112199</v>
      </c>
      <c r="BR913" s="2">
        <v>17.470812879763201</v>
      </c>
      <c r="BS913" s="2">
        <v>17.663372418661702</v>
      </c>
      <c r="BT913" s="2">
        <v>17.728797549143099</v>
      </c>
      <c r="BU913" s="2">
        <v>17.325632919817199</v>
      </c>
      <c r="BV913" s="2">
        <v>17.545110933977298</v>
      </c>
      <c r="BW913" s="2">
        <v>17.521582191233499</v>
      </c>
      <c r="BX913" s="2">
        <v>17.810019837444901</v>
      </c>
      <c r="BY913" s="2">
        <v>17.5044378313459</v>
      </c>
      <c r="BZ913" s="2">
        <v>17.073552592024502</v>
      </c>
      <c r="CA913" s="2">
        <v>17.2747997210205</v>
      </c>
      <c r="CB913" s="2">
        <v>17.032990915580001</v>
      </c>
      <c r="CC913" s="2">
        <v>17.3968749936333</v>
      </c>
      <c r="CD913" s="2">
        <v>17.4950375657933</v>
      </c>
      <c r="CE913" s="2">
        <v>17.055328408808801</v>
      </c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</row>
    <row r="914" spans="1:97">
      <c r="A914" s="2" t="s">
        <v>8488</v>
      </c>
      <c r="B914" s="2">
        <v>116.10697</v>
      </c>
      <c r="C914" s="2">
        <v>0.76500000000000001</v>
      </c>
      <c r="D914" s="2" t="s">
        <v>84</v>
      </c>
      <c r="E914" s="2" t="s">
        <v>8489</v>
      </c>
      <c r="F914" s="2" t="s">
        <v>8490</v>
      </c>
      <c r="G914" s="2">
        <v>211426</v>
      </c>
      <c r="H914" s="3" t="str">
        <f>HYPERLINK("https://cloud.oebiotech.com/#/lm/network/211426", "https://cloud.oebiotech.com/#/lm/network/211426")</f>
        <v>https://cloud.oebiotech.com/#/lm/network/211426</v>
      </c>
      <c r="I914" s="2" t="s">
        <v>8491</v>
      </c>
      <c r="J914" s="2"/>
      <c r="K914" s="2"/>
      <c r="L914" s="2">
        <v>9833967</v>
      </c>
      <c r="M914" s="2"/>
      <c r="N914" s="2"/>
      <c r="O914" s="2"/>
      <c r="P914" s="2"/>
      <c r="Q914" s="2"/>
      <c r="R914" s="2"/>
      <c r="S914" s="2"/>
      <c r="T914" s="2" t="s">
        <v>8492</v>
      </c>
      <c r="U914" s="2" t="s">
        <v>8493</v>
      </c>
      <c r="V914" s="2" t="s">
        <v>166</v>
      </c>
      <c r="W914" s="2" t="s">
        <v>167</v>
      </c>
      <c r="X914" s="2" t="s">
        <v>482</v>
      </c>
      <c r="Y914" s="2" t="s">
        <v>169</v>
      </c>
      <c r="Z914" s="2" t="s">
        <v>169</v>
      </c>
      <c r="AA914" s="2" t="s">
        <v>483</v>
      </c>
      <c r="AB914" s="2" t="s">
        <v>3086</v>
      </c>
      <c r="AC914" s="2">
        <v>52.38</v>
      </c>
      <c r="AD914" s="2">
        <v>96.12</v>
      </c>
      <c r="AE914" s="2">
        <v>0</v>
      </c>
      <c r="AF914" s="2" t="s">
        <v>5614</v>
      </c>
      <c r="AG914" s="2" t="s">
        <v>1088</v>
      </c>
      <c r="AH914" s="2" t="s">
        <v>8494</v>
      </c>
      <c r="AI914" s="2">
        <v>5.17</v>
      </c>
      <c r="AJ914" s="2">
        <v>21.380771804751799</v>
      </c>
      <c r="AK914" s="2">
        <v>20.420153212601601</v>
      </c>
      <c r="AL914" s="2">
        <v>21.486934494030301</v>
      </c>
      <c r="AM914" s="2">
        <v>21.223538370997701</v>
      </c>
      <c r="AN914" s="2">
        <v>21.453156984419198</v>
      </c>
      <c r="AO914" s="2">
        <v>21.2865265774923</v>
      </c>
      <c r="AP914" s="2">
        <v>21.135185612998502</v>
      </c>
      <c r="AQ914" s="2">
        <v>21.4360771822159</v>
      </c>
      <c r="AR914" s="2">
        <v>21.096036479944001</v>
      </c>
      <c r="AS914" s="2">
        <v>21.1730139189401</v>
      </c>
      <c r="AT914" s="2">
        <v>21.4872215434042</v>
      </c>
      <c r="AU914" s="2">
        <v>21.1499131992591</v>
      </c>
      <c r="AV914" s="2">
        <v>20.9499172880512</v>
      </c>
      <c r="AW914" s="2">
        <v>21.427937308149801</v>
      </c>
      <c r="AX914" s="2">
        <v>21.582855510000002</v>
      </c>
      <c r="AY914" s="2">
        <v>21.368413676938498</v>
      </c>
      <c r="AZ914" s="2">
        <v>20.961668068692202</v>
      </c>
      <c r="BA914" s="2">
        <v>21.382494424728101</v>
      </c>
      <c r="BB914" s="2">
        <v>21.2984783070129</v>
      </c>
      <c r="BC914" s="2">
        <v>21.116078533939199</v>
      </c>
      <c r="BD914" s="2">
        <v>20.782505191943599</v>
      </c>
      <c r="BE914" s="2">
        <v>21.296173368050201</v>
      </c>
      <c r="BF914" s="2">
        <v>20.687567659655102</v>
      </c>
      <c r="BG914" s="2">
        <v>21.894556056783099</v>
      </c>
      <c r="BH914" s="2">
        <v>20.9211979660443</v>
      </c>
      <c r="BI914" s="2">
        <v>21.687074523797101</v>
      </c>
      <c r="BJ914" s="2">
        <v>21.353816228360401</v>
      </c>
      <c r="BK914" s="2">
        <v>21.382172586079701</v>
      </c>
      <c r="BL914" s="2">
        <v>21.451964148804802</v>
      </c>
      <c r="BM914" s="2">
        <v>21.0222603817856</v>
      </c>
      <c r="BN914" s="2">
        <v>21.350869819955498</v>
      </c>
      <c r="BO914" s="2">
        <v>20.8848900993572</v>
      </c>
      <c r="BP914" s="2">
        <v>21.3909675459611</v>
      </c>
      <c r="BQ914" s="2">
        <v>21.451985668143099</v>
      </c>
      <c r="BR914" s="2">
        <v>21.231394420584</v>
      </c>
      <c r="BS914" s="2">
        <v>21.398140084177999</v>
      </c>
      <c r="BT914" s="2">
        <v>20.564827036542301</v>
      </c>
      <c r="BU914" s="2">
        <v>21.284077233422501</v>
      </c>
      <c r="BV914" s="2">
        <v>21.166828193765401</v>
      </c>
      <c r="BW914" s="2">
        <v>20.120854526932501</v>
      </c>
      <c r="BX914" s="2">
        <v>20.9929110293156</v>
      </c>
      <c r="BY914" s="2">
        <v>22.015014694023801</v>
      </c>
      <c r="BZ914" s="2">
        <v>20.952829360034201</v>
      </c>
      <c r="CA914" s="2">
        <v>20.702025176518202</v>
      </c>
      <c r="CB914" s="2">
        <v>21.089631749310701</v>
      </c>
      <c r="CC914" s="2">
        <v>21.3546023610761</v>
      </c>
      <c r="CD914" s="2">
        <v>21.479403215534301</v>
      </c>
      <c r="CE914" s="2">
        <v>21.468316392641601</v>
      </c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</row>
    <row r="915" spans="1:97">
      <c r="A915" s="2" t="s">
        <v>8495</v>
      </c>
      <c r="B915" s="2">
        <v>309.12900000000002</v>
      </c>
      <c r="C915" s="2">
        <v>0.78</v>
      </c>
      <c r="D915" s="2" t="s">
        <v>84</v>
      </c>
      <c r="E915" s="2" t="s">
        <v>8496</v>
      </c>
      <c r="F915" s="2" t="s">
        <v>8497</v>
      </c>
      <c r="G915" s="2">
        <v>201084</v>
      </c>
      <c r="H915" s="3" t="str">
        <f>HYPERLINK("https://cloud.oebiotech.com/#/lm/network/201084", "https://cloud.oebiotech.com/#/lm/network/201084")</f>
        <v>https://cloud.oebiotech.com/#/lm/network/201084</v>
      </c>
      <c r="I915" s="2" t="s">
        <v>8498</v>
      </c>
      <c r="J915" s="2"/>
      <c r="K915" s="2"/>
      <c r="L915" s="2">
        <v>1553</v>
      </c>
      <c r="M915" s="2"/>
      <c r="N915" s="2"/>
      <c r="O915" s="2"/>
      <c r="P915" s="2"/>
      <c r="Q915" s="2"/>
      <c r="R915" s="2"/>
      <c r="S915" s="2"/>
      <c r="T915" s="2" t="s">
        <v>8499</v>
      </c>
      <c r="U915" s="2" t="s">
        <v>8500</v>
      </c>
      <c r="V915" s="2" t="s">
        <v>115</v>
      </c>
      <c r="W915" s="2" t="s">
        <v>116</v>
      </c>
      <c r="X915" s="2" t="s">
        <v>5270</v>
      </c>
      <c r="Y915" s="2" t="s">
        <v>118</v>
      </c>
      <c r="Z915" s="2" t="s">
        <v>119</v>
      </c>
      <c r="AA915" s="2" t="s">
        <v>5271</v>
      </c>
      <c r="AB915" s="2" t="s">
        <v>3086</v>
      </c>
      <c r="AC915" s="2">
        <v>52.37</v>
      </c>
      <c r="AD915" s="2">
        <v>92.3</v>
      </c>
      <c r="AE915" s="2">
        <v>0</v>
      </c>
      <c r="AF915" s="2" t="s">
        <v>5614</v>
      </c>
      <c r="AG915" s="2" t="s">
        <v>132</v>
      </c>
      <c r="AH915" s="2" t="s">
        <v>8501</v>
      </c>
      <c r="AI915" s="2">
        <v>0.65</v>
      </c>
      <c r="AJ915" s="2">
        <v>19.424127549173299</v>
      </c>
      <c r="AK915" s="2">
        <v>19.191158375196299</v>
      </c>
      <c r="AL915" s="2">
        <v>19.219907663124999</v>
      </c>
      <c r="AM915" s="2">
        <v>19.529990738060601</v>
      </c>
      <c r="AN915" s="2">
        <v>18.267258941944601</v>
      </c>
      <c r="AO915" s="2">
        <v>19.451821793239599</v>
      </c>
      <c r="AP915" s="2">
        <v>18.8954522717647</v>
      </c>
      <c r="AQ915" s="2">
        <v>19.349257641058401</v>
      </c>
      <c r="AR915" s="2">
        <v>18.357408532073801</v>
      </c>
      <c r="AS915" s="2">
        <v>16.9277023954327</v>
      </c>
      <c r="AT915" s="2">
        <v>18.332900811708399</v>
      </c>
      <c r="AU915" s="2">
        <v>18.6846979134781</v>
      </c>
      <c r="AV915" s="2">
        <v>19.9672549006557</v>
      </c>
      <c r="AW915" s="2">
        <v>19.2401319645125</v>
      </c>
      <c r="AX915" s="2">
        <v>9.6233145402724691</v>
      </c>
      <c r="AY915" s="2">
        <v>19.771066017402401</v>
      </c>
      <c r="AZ915" s="2">
        <v>20.3413137579949</v>
      </c>
      <c r="BA915" s="2">
        <v>18.784861590630499</v>
      </c>
      <c r="BB915" s="2">
        <v>18.413032233265302</v>
      </c>
      <c r="BC915" s="2">
        <v>17.785969247654801</v>
      </c>
      <c r="BD915" s="2">
        <v>20.496507540904702</v>
      </c>
      <c r="BE915" s="2">
        <v>19.992591037475702</v>
      </c>
      <c r="BF915" s="2">
        <v>20.286183383612801</v>
      </c>
      <c r="BG915" s="2">
        <v>19.419146910701699</v>
      </c>
      <c r="BH915" s="2">
        <v>19.156037808611298</v>
      </c>
      <c r="BI915" s="2">
        <v>18.946846549190099</v>
      </c>
      <c r="BJ915" s="2">
        <v>19.8546517247784</v>
      </c>
      <c r="BK915" s="2">
        <v>20.526268335963199</v>
      </c>
      <c r="BL915" s="2">
        <v>16.855507989460801</v>
      </c>
      <c r="BM915" s="2">
        <v>19.771885659092899</v>
      </c>
      <c r="BN915" s="2">
        <v>19.817806334965599</v>
      </c>
      <c r="BO915" s="2">
        <v>18.921524790013201</v>
      </c>
      <c r="BP915" s="2">
        <v>19.8585930760614</v>
      </c>
      <c r="BQ915" s="2">
        <v>18.734705585394199</v>
      </c>
      <c r="BR915" s="2">
        <v>19.836957611624801</v>
      </c>
      <c r="BS915" s="2">
        <v>19.997553447867599</v>
      </c>
      <c r="BT915" s="2">
        <v>18.434743417455</v>
      </c>
      <c r="BU915" s="2">
        <v>17.135500681365698</v>
      </c>
      <c r="BV915" s="2">
        <v>18.847778586725401</v>
      </c>
      <c r="BW915" s="2">
        <v>20.0106945942929</v>
      </c>
      <c r="BX915" s="2">
        <v>19.755949936132101</v>
      </c>
      <c r="BY915" s="2">
        <v>20.218603202239599</v>
      </c>
      <c r="BZ915" s="2">
        <v>19.753852352807201</v>
      </c>
      <c r="CA915" s="2">
        <v>21.635383469861601</v>
      </c>
      <c r="CB915" s="2">
        <v>20.131484689004701</v>
      </c>
      <c r="CC915" s="2">
        <v>19.7271164867417</v>
      </c>
      <c r="CD915" s="2">
        <v>20.5645353640647</v>
      </c>
      <c r="CE915" s="2">
        <v>18.510338562949102</v>
      </c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</row>
    <row r="916" spans="1:97">
      <c r="A916" s="2" t="s">
        <v>8502</v>
      </c>
      <c r="B916" s="2">
        <v>170.02110999999999</v>
      </c>
      <c r="C916" s="2">
        <v>4.6390000000000002</v>
      </c>
      <c r="D916" s="2" t="s">
        <v>84</v>
      </c>
      <c r="E916" s="2" t="s">
        <v>8503</v>
      </c>
      <c r="F916" s="2" t="s">
        <v>8504</v>
      </c>
      <c r="G916" s="2">
        <v>83429</v>
      </c>
      <c r="H916" s="3" t="str">
        <f>HYPERLINK("https://cloud.oebiotech.com/#/lm/network/83429", "https://cloud.oebiotech.com/#/lm/network/83429")</f>
        <v>https://cloud.oebiotech.com/#/lm/network/83429</v>
      </c>
      <c r="I916" s="2" t="s">
        <v>8505</v>
      </c>
      <c r="J916" s="2">
        <v>68870</v>
      </c>
      <c r="K916" s="2"/>
      <c r="L916" s="2">
        <v>7054</v>
      </c>
      <c r="M916" s="2" t="s">
        <v>8506</v>
      </c>
      <c r="N916" s="2"/>
      <c r="O916" s="2"/>
      <c r="P916" s="2">
        <v>27539</v>
      </c>
      <c r="Q916" s="2"/>
      <c r="R916" s="2"/>
      <c r="S916" s="2" t="s">
        <v>8507</v>
      </c>
      <c r="T916" s="2" t="s">
        <v>8508</v>
      </c>
      <c r="U916" s="2" t="s">
        <v>8509</v>
      </c>
      <c r="V916" s="2" t="s">
        <v>553</v>
      </c>
      <c r="W916" s="2" t="s">
        <v>933</v>
      </c>
      <c r="X916" s="2" t="s">
        <v>2286</v>
      </c>
      <c r="Y916" s="2" t="s">
        <v>556</v>
      </c>
      <c r="Z916" s="2" t="s">
        <v>935</v>
      </c>
      <c r="AA916" s="2" t="s">
        <v>2287</v>
      </c>
      <c r="AB916" s="2" t="s">
        <v>3086</v>
      </c>
      <c r="AC916" s="2">
        <v>52.36</v>
      </c>
      <c r="AD916" s="2">
        <v>74.599999999999994</v>
      </c>
      <c r="AE916" s="2">
        <v>0</v>
      </c>
      <c r="AF916" s="2" t="s">
        <v>5614</v>
      </c>
      <c r="AG916" s="2" t="s">
        <v>1578</v>
      </c>
      <c r="AH916" s="2" t="s">
        <v>8510</v>
      </c>
      <c r="AI916" s="2">
        <v>0.59</v>
      </c>
      <c r="AJ916" s="2">
        <v>18.5913764655931</v>
      </c>
      <c r="AK916" s="2">
        <v>18.499658049885099</v>
      </c>
      <c r="AL916" s="2">
        <v>18.754530736990901</v>
      </c>
      <c r="AM916" s="2">
        <v>18.626394110240401</v>
      </c>
      <c r="AN916" s="2">
        <v>18.653387281833702</v>
      </c>
      <c r="AO916" s="2">
        <v>18.794870286107301</v>
      </c>
      <c r="AP916" s="2">
        <v>18.755654160655599</v>
      </c>
      <c r="AQ916" s="2">
        <v>18.748890830835801</v>
      </c>
      <c r="AR916" s="2">
        <v>17.1233820401883</v>
      </c>
      <c r="AS916" s="2">
        <v>17.087812015227399</v>
      </c>
      <c r="AT916" s="2">
        <v>17.749380735894199</v>
      </c>
      <c r="AU916" s="2">
        <v>17.4856750897906</v>
      </c>
      <c r="AV916" s="2">
        <v>19.964995884403201</v>
      </c>
      <c r="AW916" s="2">
        <v>17.7896958244256</v>
      </c>
      <c r="AX916" s="2">
        <v>18.909030361694999</v>
      </c>
      <c r="AY916" s="2">
        <v>18.987957820174099</v>
      </c>
      <c r="AZ916" s="2">
        <v>18.2254851847444</v>
      </c>
      <c r="BA916" s="2">
        <v>15.5118134853023</v>
      </c>
      <c r="BB916" s="2">
        <v>18.731942550259699</v>
      </c>
      <c r="BC916" s="2">
        <v>17.935792937516101</v>
      </c>
      <c r="BD916" s="2">
        <v>17.937410604400402</v>
      </c>
      <c r="BE916" s="2">
        <v>20.3577742085536</v>
      </c>
      <c r="BF916" s="2">
        <v>15.710232544861499</v>
      </c>
      <c r="BG916" s="2">
        <v>19.088191572252601</v>
      </c>
      <c r="BH916" s="2">
        <v>19.221404757473898</v>
      </c>
      <c r="BI916" s="2">
        <v>19.385224472065399</v>
      </c>
      <c r="BJ916" s="2">
        <v>19.1755824668091</v>
      </c>
      <c r="BK916" s="2">
        <v>18.536776402811299</v>
      </c>
      <c r="BL916" s="2">
        <v>18.7905979212657</v>
      </c>
      <c r="BM916" s="2">
        <v>17.304374942107099</v>
      </c>
      <c r="BN916" s="2">
        <v>19.3909148828164</v>
      </c>
      <c r="BO916" s="2">
        <v>17.009307715328401</v>
      </c>
      <c r="BP916" s="2">
        <v>19.410441061764299</v>
      </c>
      <c r="BQ916" s="2">
        <v>18.423872341916098</v>
      </c>
      <c r="BR916" s="2">
        <v>18.519953926486998</v>
      </c>
      <c r="BS916" s="2">
        <v>18.164661357793001</v>
      </c>
      <c r="BT916" s="2">
        <v>18.229306644649501</v>
      </c>
      <c r="BU916" s="2">
        <v>18.390534337351799</v>
      </c>
      <c r="BV916" s="2">
        <v>16.842754104990799</v>
      </c>
      <c r="BW916" s="2">
        <v>13.9119443159508</v>
      </c>
      <c r="BX916" s="2">
        <v>18.555871038712301</v>
      </c>
      <c r="BY916" s="2">
        <v>21.4390255933336</v>
      </c>
      <c r="BZ916" s="2">
        <v>15.8685549177365</v>
      </c>
      <c r="CA916" s="2">
        <v>17.4125410693565</v>
      </c>
      <c r="CB916" s="2">
        <v>18.0813644291527</v>
      </c>
      <c r="CC916" s="2">
        <v>18.456512080931201</v>
      </c>
      <c r="CD916" s="2">
        <v>18.646471907060398</v>
      </c>
      <c r="CE916" s="2">
        <v>9.6233145402724691</v>
      </c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</row>
    <row r="917" spans="1:97">
      <c r="A917" s="2" t="s">
        <v>8511</v>
      </c>
      <c r="B917" s="2">
        <v>116.03498999999999</v>
      </c>
      <c r="C917" s="2">
        <v>0.53400000000000003</v>
      </c>
      <c r="D917" s="2" t="s">
        <v>146</v>
      </c>
      <c r="E917" s="2" t="s">
        <v>8512</v>
      </c>
      <c r="F917" s="2" t="s">
        <v>8513</v>
      </c>
      <c r="G917" s="2">
        <v>51943</v>
      </c>
      <c r="H917" s="3" t="str">
        <f>HYPERLINK("https://cloud.oebiotech.com/#/lm/network/51943", "https://cloud.oebiotech.com/#/lm/network/51943")</f>
        <v>https://cloud.oebiotech.com/#/lm/network/51943</v>
      </c>
      <c r="I917" s="2" t="s">
        <v>8514</v>
      </c>
      <c r="J917" s="2"/>
      <c r="K917" s="2"/>
      <c r="L917" s="2">
        <v>439235</v>
      </c>
      <c r="M917" s="2" t="s">
        <v>8515</v>
      </c>
      <c r="N917" s="2" t="s">
        <v>8516</v>
      </c>
      <c r="O917" s="2" t="s">
        <v>8517</v>
      </c>
      <c r="P917" s="2">
        <v>18051</v>
      </c>
      <c r="Q917" s="2"/>
      <c r="R917" s="2"/>
      <c r="S917" s="2" t="s">
        <v>8518</v>
      </c>
      <c r="T917" s="2" t="s">
        <v>8519</v>
      </c>
      <c r="U917" s="2" t="s">
        <v>8520</v>
      </c>
      <c r="V917" s="2" t="s">
        <v>115</v>
      </c>
      <c r="W917" s="2" t="s">
        <v>116</v>
      </c>
      <c r="X917" s="2" t="s">
        <v>117</v>
      </c>
      <c r="Y917" s="2" t="s">
        <v>118</v>
      </c>
      <c r="Z917" s="2" t="s">
        <v>119</v>
      </c>
      <c r="AA917" s="2" t="s">
        <v>120</v>
      </c>
      <c r="AB917" s="2" t="s">
        <v>3086</v>
      </c>
      <c r="AC917" s="2">
        <v>52.35</v>
      </c>
      <c r="AD917" s="2">
        <v>97.03</v>
      </c>
      <c r="AE917" s="2">
        <v>0</v>
      </c>
      <c r="AF917" s="2" t="s">
        <v>5614</v>
      </c>
      <c r="AG917" s="2" t="s">
        <v>194</v>
      </c>
      <c r="AH917" s="2" t="s">
        <v>8521</v>
      </c>
      <c r="AI917" s="2">
        <v>2.84</v>
      </c>
      <c r="AJ917" s="2">
        <v>20.584134884658599</v>
      </c>
      <c r="AK917" s="2">
        <v>20.3123644777781</v>
      </c>
      <c r="AL917" s="2">
        <v>20.510301306397398</v>
      </c>
      <c r="AM917" s="2">
        <v>20.400730724887399</v>
      </c>
      <c r="AN917" s="2">
        <v>20.476783852726701</v>
      </c>
      <c r="AO917" s="2">
        <v>19.193333590631301</v>
      </c>
      <c r="AP917" s="2">
        <v>20.7236531626287</v>
      </c>
      <c r="AQ917" s="2">
        <v>20.6817294548134</v>
      </c>
      <c r="AR917" s="2">
        <v>19.658395968222099</v>
      </c>
      <c r="AS917" s="2">
        <v>20.801407316147898</v>
      </c>
      <c r="AT917" s="2">
        <v>20.5720419536575</v>
      </c>
      <c r="AU917" s="2">
        <v>20.714576734607299</v>
      </c>
      <c r="AV917" s="2">
        <v>20.5985093327626</v>
      </c>
      <c r="AW917" s="2">
        <v>20.674434258231901</v>
      </c>
      <c r="AX917" s="2">
        <v>20.7309427110374</v>
      </c>
      <c r="AY917" s="2">
        <v>19.2679941741983</v>
      </c>
      <c r="AZ917" s="2">
        <v>20.575935055104001</v>
      </c>
      <c r="BA917" s="2">
        <v>20.202561754572798</v>
      </c>
      <c r="BB917" s="2">
        <v>20.579175650324899</v>
      </c>
      <c r="BC917" s="2">
        <v>20.554713322520598</v>
      </c>
      <c r="BD917" s="2">
        <v>20.6645331604172</v>
      </c>
      <c r="BE917" s="2">
        <v>20.027753737526801</v>
      </c>
      <c r="BF917" s="2">
        <v>19.362964766086598</v>
      </c>
      <c r="BG917" s="2">
        <v>20.5170845740302</v>
      </c>
      <c r="BH917" s="2">
        <v>20.6358334385924</v>
      </c>
      <c r="BI917" s="2">
        <v>20.590311277418198</v>
      </c>
      <c r="BJ917" s="2">
        <v>20.693583363996801</v>
      </c>
      <c r="BK917" s="2">
        <v>20.5606191820278</v>
      </c>
      <c r="BL917" s="2">
        <v>20.666556850678699</v>
      </c>
      <c r="BM917" s="2">
        <v>20.412982942526</v>
      </c>
      <c r="BN917" s="2">
        <v>20.352040547663599</v>
      </c>
      <c r="BO917" s="2">
        <v>20.515880816286298</v>
      </c>
      <c r="BP917" s="2">
        <v>20.501661957938101</v>
      </c>
      <c r="BQ917" s="2">
        <v>19.674138205386299</v>
      </c>
      <c r="BR917" s="2">
        <v>19.6350368612</v>
      </c>
      <c r="BS917" s="2">
        <v>20.5079975010552</v>
      </c>
      <c r="BT917" s="2">
        <v>19.245787856632099</v>
      </c>
      <c r="BU917" s="2">
        <v>20.435170931902299</v>
      </c>
      <c r="BV917" s="2">
        <v>19.628770783414598</v>
      </c>
      <c r="BW917" s="2">
        <v>20.612753173091299</v>
      </c>
      <c r="BX917" s="2">
        <v>20.3320722454236</v>
      </c>
      <c r="BY917" s="2">
        <v>18.918878927010201</v>
      </c>
      <c r="BZ917" s="2">
        <v>20.471382970787399</v>
      </c>
      <c r="CA917" s="2">
        <v>20.762191636484701</v>
      </c>
      <c r="CB917" s="2">
        <v>20.608478492840899</v>
      </c>
      <c r="CC917" s="2">
        <v>20.567403480005101</v>
      </c>
      <c r="CD917" s="2">
        <v>19.838085893364699</v>
      </c>
      <c r="CE917" s="2">
        <v>20.547000442335801</v>
      </c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</row>
    <row r="918" spans="1:97">
      <c r="A918" s="2" t="s">
        <v>8522</v>
      </c>
      <c r="B918" s="2">
        <v>225.07553999999999</v>
      </c>
      <c r="C918" s="2">
        <v>4.5629999999999997</v>
      </c>
      <c r="D918" s="2" t="s">
        <v>84</v>
      </c>
      <c r="E918" s="2" t="s">
        <v>8523</v>
      </c>
      <c r="F918" s="2" t="s">
        <v>8524</v>
      </c>
      <c r="G918" s="2">
        <v>62437</v>
      </c>
      <c r="H918" s="3" t="str">
        <f>HYPERLINK("https://cloud.oebiotech.com/#/lm/network/62437", "https://cloud.oebiotech.com/#/lm/network/62437")</f>
        <v>https://cloud.oebiotech.com/#/lm/network/62437</v>
      </c>
      <c r="I918" s="2" t="s">
        <v>8525</v>
      </c>
      <c r="J918" s="2">
        <v>93733</v>
      </c>
      <c r="K918" s="2"/>
      <c r="L918" s="2">
        <v>188234</v>
      </c>
      <c r="M918" s="2"/>
      <c r="N918" s="2"/>
      <c r="O918" s="2"/>
      <c r="P918" s="2">
        <v>174252</v>
      </c>
      <c r="Q918" s="2"/>
      <c r="R918" s="2"/>
      <c r="S918" s="2" t="s">
        <v>8526</v>
      </c>
      <c r="T918" s="2" t="s">
        <v>8527</v>
      </c>
      <c r="U918" s="2" t="s">
        <v>8528</v>
      </c>
      <c r="V918" s="2" t="s">
        <v>115</v>
      </c>
      <c r="W918" s="2" t="s">
        <v>116</v>
      </c>
      <c r="X918" s="2" t="s">
        <v>1238</v>
      </c>
      <c r="Y918" s="2" t="s">
        <v>118</v>
      </c>
      <c r="Z918" s="2" t="s">
        <v>119</v>
      </c>
      <c r="AA918" s="2" t="s">
        <v>1239</v>
      </c>
      <c r="AB918" s="2" t="s">
        <v>3086</v>
      </c>
      <c r="AC918" s="2">
        <v>52.35</v>
      </c>
      <c r="AD918" s="2">
        <v>93.03</v>
      </c>
      <c r="AE918" s="2">
        <v>0</v>
      </c>
      <c r="AF918" s="2" t="s">
        <v>5614</v>
      </c>
      <c r="AG918" s="2" t="s">
        <v>1088</v>
      </c>
      <c r="AH918" s="2" t="s">
        <v>8529</v>
      </c>
      <c r="AI918" s="2">
        <v>3.55</v>
      </c>
      <c r="AJ918" s="2">
        <v>17.652015647075501</v>
      </c>
      <c r="AK918" s="2">
        <v>17.8417008838051</v>
      </c>
      <c r="AL918" s="2">
        <v>17.913706723799301</v>
      </c>
      <c r="AM918" s="2">
        <v>17.616231999015898</v>
      </c>
      <c r="AN918" s="2">
        <v>17.502194316542202</v>
      </c>
      <c r="AO918" s="2">
        <v>17.589189112879001</v>
      </c>
      <c r="AP918" s="2">
        <v>17.756451686854898</v>
      </c>
      <c r="AQ918" s="2">
        <v>17.767895022594299</v>
      </c>
      <c r="AR918" s="2">
        <v>9.6233145402724691</v>
      </c>
      <c r="AS918" s="2">
        <v>17.127394483502002</v>
      </c>
      <c r="AT918" s="2">
        <v>17.269057717642799</v>
      </c>
      <c r="AU918" s="2">
        <v>16.996611956625799</v>
      </c>
      <c r="AV918" s="2">
        <v>16.769763217761302</v>
      </c>
      <c r="AW918" s="2">
        <v>15.4029457609027</v>
      </c>
      <c r="AX918" s="2">
        <v>14.765882263232101</v>
      </c>
      <c r="AY918" s="2">
        <v>13.8906756296944</v>
      </c>
      <c r="AZ918" s="2">
        <v>14.3021026681699</v>
      </c>
      <c r="BA918" s="2">
        <v>18.701853224511002</v>
      </c>
      <c r="BB918" s="2">
        <v>18.369565228100001</v>
      </c>
      <c r="BC918" s="2">
        <v>19.5187433520261</v>
      </c>
      <c r="BD918" s="2">
        <v>18.7689704023887</v>
      </c>
      <c r="BE918" s="2">
        <v>17.493545891914401</v>
      </c>
      <c r="BF918" s="2">
        <v>14.032301482929199</v>
      </c>
      <c r="BG918" s="2">
        <v>16.378622026599398</v>
      </c>
      <c r="BH918" s="2">
        <v>17.822342279915699</v>
      </c>
      <c r="BI918" s="2">
        <v>16.3593916556461</v>
      </c>
      <c r="BJ918" s="2">
        <v>18.669294263508199</v>
      </c>
      <c r="BK918" s="2">
        <v>14.461043887162701</v>
      </c>
      <c r="BL918" s="2">
        <v>16.817818963908699</v>
      </c>
      <c r="BM918" s="2">
        <v>17.564201303152299</v>
      </c>
      <c r="BN918" s="2">
        <v>17.641707101692202</v>
      </c>
      <c r="BO918" s="2">
        <v>17.407445699824699</v>
      </c>
      <c r="BP918" s="2">
        <v>15.3331176048885</v>
      </c>
      <c r="BQ918" s="2">
        <v>15.4675985454555</v>
      </c>
      <c r="BR918" s="2">
        <v>16.701417746642001</v>
      </c>
      <c r="BS918" s="2">
        <v>16.082634945782399</v>
      </c>
      <c r="BT918" s="2">
        <v>20.709699423165301</v>
      </c>
      <c r="BU918" s="2">
        <v>18.523355356302702</v>
      </c>
      <c r="BV918" s="2">
        <v>18.139858525888801</v>
      </c>
      <c r="BW918" s="2">
        <v>17.6748947790675</v>
      </c>
      <c r="BX918" s="2">
        <v>18.951008775430001</v>
      </c>
      <c r="BY918" s="2">
        <v>17.2601780439301</v>
      </c>
      <c r="BZ918" s="2">
        <v>15.309246118177001</v>
      </c>
      <c r="CA918" s="2">
        <v>17.840608847862999</v>
      </c>
      <c r="CB918" s="2">
        <v>14.893153138782599</v>
      </c>
      <c r="CC918" s="2">
        <v>17.222355217569699</v>
      </c>
      <c r="CD918" s="2">
        <v>17.542755909872898</v>
      </c>
      <c r="CE918" s="2">
        <v>14.1528829359968</v>
      </c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</row>
    <row r="919" spans="1:97">
      <c r="A919" s="2" t="s">
        <v>8530</v>
      </c>
      <c r="B919" s="2">
        <v>427.34104000000002</v>
      </c>
      <c r="C919" s="2">
        <v>11.917</v>
      </c>
      <c r="D919" s="2" t="s">
        <v>84</v>
      </c>
      <c r="E919" s="2" t="s">
        <v>8531</v>
      </c>
      <c r="F919" s="2" t="s">
        <v>8532</v>
      </c>
      <c r="G919" s="2">
        <v>10328</v>
      </c>
      <c r="H919" s="3" t="str">
        <f>HYPERLINK("https://cloud.oebiotech.com/#/lm/network/10328", "https://cloud.oebiotech.com/#/lm/network/10328")</f>
        <v>https://cloud.oebiotech.com/#/lm/network/10328</v>
      </c>
      <c r="I919" s="2"/>
      <c r="J919" s="2"/>
      <c r="K919" s="2" t="s">
        <v>8533</v>
      </c>
      <c r="L919" s="2">
        <v>86289794</v>
      </c>
      <c r="M919" s="2"/>
      <c r="N919" s="2"/>
      <c r="O919" s="2"/>
      <c r="P919" s="2">
        <v>79156</v>
      </c>
      <c r="Q919" s="2"/>
      <c r="R919" s="2"/>
      <c r="S919" s="2"/>
      <c r="T919" s="2" t="s">
        <v>8534</v>
      </c>
      <c r="U919" s="2" t="s">
        <v>8535</v>
      </c>
      <c r="V919" s="2" t="s">
        <v>95</v>
      </c>
      <c r="W919" s="2" t="s">
        <v>96</v>
      </c>
      <c r="X919" s="2" t="s">
        <v>141</v>
      </c>
      <c r="Y919" s="2" t="s">
        <v>98</v>
      </c>
      <c r="Z919" s="2" t="s">
        <v>99</v>
      </c>
      <c r="AA919" s="2" t="s">
        <v>142</v>
      </c>
      <c r="AB919" s="2" t="s">
        <v>3086</v>
      </c>
      <c r="AC919" s="2">
        <v>52.35</v>
      </c>
      <c r="AD919" s="2">
        <v>83.49</v>
      </c>
      <c r="AE919" s="2">
        <v>0</v>
      </c>
      <c r="AF919" s="2" t="s">
        <v>5614</v>
      </c>
      <c r="AG919" s="2" t="s">
        <v>1088</v>
      </c>
      <c r="AH919" s="2" t="s">
        <v>8536</v>
      </c>
      <c r="AI919" s="2">
        <v>3.28</v>
      </c>
      <c r="AJ919" s="2">
        <v>17.902167344656</v>
      </c>
      <c r="AK919" s="2">
        <v>18.048815868267301</v>
      </c>
      <c r="AL919" s="2">
        <v>18.0509105617298</v>
      </c>
      <c r="AM919" s="2">
        <v>18.430261625328999</v>
      </c>
      <c r="AN919" s="2">
        <v>18.667002015980898</v>
      </c>
      <c r="AO919" s="2">
        <v>18.057045743681002</v>
      </c>
      <c r="AP919" s="2">
        <v>17.894445308684901</v>
      </c>
      <c r="AQ919" s="2">
        <v>18.075151583175</v>
      </c>
      <c r="AR919" s="2">
        <v>18.943035182219798</v>
      </c>
      <c r="AS919" s="2">
        <v>18.1733529228656</v>
      </c>
      <c r="AT919" s="2">
        <v>17.694376116694301</v>
      </c>
      <c r="AU919" s="2">
        <v>16.713359260073702</v>
      </c>
      <c r="AV919" s="2">
        <v>18.0290933949444</v>
      </c>
      <c r="AW919" s="2">
        <v>19.126276956257101</v>
      </c>
      <c r="AX919" s="2">
        <v>15.569203519433</v>
      </c>
      <c r="AY919" s="2">
        <v>19.371803354364399</v>
      </c>
      <c r="AZ919" s="2">
        <v>18.520162625636601</v>
      </c>
      <c r="BA919" s="2">
        <v>18.837674156074499</v>
      </c>
      <c r="BB919" s="2">
        <v>18.096358965770399</v>
      </c>
      <c r="BC919" s="2">
        <v>18.957879891806702</v>
      </c>
      <c r="BD919" s="2">
        <v>18.590877714444201</v>
      </c>
      <c r="BE919" s="2">
        <v>19.486577295885699</v>
      </c>
      <c r="BF919" s="2">
        <v>17.4747642221629</v>
      </c>
      <c r="BG919" s="2">
        <v>17.699187911994901</v>
      </c>
      <c r="BH919" s="2">
        <v>16.370330332375001</v>
      </c>
      <c r="BI919" s="2">
        <v>16.969458137141199</v>
      </c>
      <c r="BJ919" s="2">
        <v>18.5622892371027</v>
      </c>
      <c r="BK919" s="2">
        <v>14.8455978570077</v>
      </c>
      <c r="BL919" s="2">
        <v>18.551637224441901</v>
      </c>
      <c r="BM919" s="2">
        <v>19.282403899248401</v>
      </c>
      <c r="BN919" s="2">
        <v>17.6747553660989</v>
      </c>
      <c r="BO919" s="2">
        <v>15.5825439486739</v>
      </c>
      <c r="BP919" s="2">
        <v>16.346647559915802</v>
      </c>
      <c r="BQ919" s="2">
        <v>18.494745252031201</v>
      </c>
      <c r="BR919" s="2">
        <v>17.397518049528401</v>
      </c>
      <c r="BS919" s="2">
        <v>19.293148771077199</v>
      </c>
      <c r="BT919" s="2">
        <v>18.0724984875141</v>
      </c>
      <c r="BU919" s="2">
        <v>18.514328221224002</v>
      </c>
      <c r="BV919" s="2">
        <v>17.6519636714082</v>
      </c>
      <c r="BW919" s="2">
        <v>16.402754447819198</v>
      </c>
      <c r="BX919" s="2">
        <v>15.5004927379696</v>
      </c>
      <c r="BY919" s="2">
        <v>19.044889331049699</v>
      </c>
      <c r="BZ919" s="2">
        <v>17.5516600528385</v>
      </c>
      <c r="CA919" s="2">
        <v>17.917269505733199</v>
      </c>
      <c r="CB919" s="2">
        <v>17.994942395000901</v>
      </c>
      <c r="CC919" s="2">
        <v>17.8967462867456</v>
      </c>
      <c r="CD919" s="2">
        <v>19.086054619036801</v>
      </c>
      <c r="CE919" s="2">
        <v>18.4535418936368</v>
      </c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</row>
    <row r="920" spans="1:97">
      <c r="A920" s="2" t="s">
        <v>8537</v>
      </c>
      <c r="B920" s="2">
        <v>490.35212999999999</v>
      </c>
      <c r="C920" s="2">
        <v>9.5679999999999996</v>
      </c>
      <c r="D920" s="2" t="s">
        <v>84</v>
      </c>
      <c r="E920" s="2" t="s">
        <v>8538</v>
      </c>
      <c r="F920" s="2" t="s">
        <v>8539</v>
      </c>
      <c r="G920" s="2">
        <v>59482</v>
      </c>
      <c r="H920" s="3" t="str">
        <f>HYPERLINK("https://cloud.oebiotech.com/#/lm/network/59482", "https://cloud.oebiotech.com/#/lm/network/59482")</f>
        <v>https://cloud.oebiotech.com/#/lm/network/59482</v>
      </c>
      <c r="I920" s="2" t="s">
        <v>8540</v>
      </c>
      <c r="J920" s="2">
        <v>90895</v>
      </c>
      <c r="K920" s="2"/>
      <c r="L920" s="2">
        <v>131751817</v>
      </c>
      <c r="M920" s="2"/>
      <c r="N920" s="2"/>
      <c r="O920" s="2"/>
      <c r="P920" s="2"/>
      <c r="Q920" s="2"/>
      <c r="R920" s="2"/>
      <c r="S920" s="2"/>
      <c r="T920" s="2" t="s">
        <v>8541</v>
      </c>
      <c r="U920" s="2" t="s">
        <v>8542</v>
      </c>
      <c r="V920" s="2" t="s">
        <v>95</v>
      </c>
      <c r="W920" s="2" t="s">
        <v>180</v>
      </c>
      <c r="X920" s="2" t="s">
        <v>1790</v>
      </c>
      <c r="Y920" s="2" t="s">
        <v>98</v>
      </c>
      <c r="Z920" s="2" t="s">
        <v>182</v>
      </c>
      <c r="AA920" s="2" t="s">
        <v>1791</v>
      </c>
      <c r="AB920" s="2" t="s">
        <v>3086</v>
      </c>
      <c r="AC920" s="2">
        <v>52.29</v>
      </c>
      <c r="AD920" s="2">
        <v>79.959999999999994</v>
      </c>
      <c r="AE920" s="2">
        <v>0</v>
      </c>
      <c r="AF920" s="2" t="s">
        <v>5614</v>
      </c>
      <c r="AG920" s="2" t="s">
        <v>132</v>
      </c>
      <c r="AH920" s="2" t="s">
        <v>8543</v>
      </c>
      <c r="AI920" s="2">
        <v>1.22</v>
      </c>
      <c r="AJ920" s="2">
        <v>17.060237734872398</v>
      </c>
      <c r="AK920" s="2">
        <v>17.684205508082499</v>
      </c>
      <c r="AL920" s="2">
        <v>17.636353863264102</v>
      </c>
      <c r="AM920" s="2">
        <v>17.8050791675699</v>
      </c>
      <c r="AN920" s="2">
        <v>17.929107137368401</v>
      </c>
      <c r="AO920" s="2">
        <v>17.935709676073401</v>
      </c>
      <c r="AP920" s="2">
        <v>17.683120931885998</v>
      </c>
      <c r="AQ920" s="2">
        <v>17.307464013636299</v>
      </c>
      <c r="AR920" s="2">
        <v>14.910538740261099</v>
      </c>
      <c r="AS920" s="2">
        <v>17.2575007329934</v>
      </c>
      <c r="AT920" s="2">
        <v>17.978012300242199</v>
      </c>
      <c r="AU920" s="2">
        <v>16.384462695842601</v>
      </c>
      <c r="AV920" s="2">
        <v>16.051718544792202</v>
      </c>
      <c r="AW920" s="2">
        <v>17.301976519174399</v>
      </c>
      <c r="AX920" s="2">
        <v>17.7084123080935</v>
      </c>
      <c r="AY920" s="2">
        <v>17.148140099467501</v>
      </c>
      <c r="AZ920" s="2">
        <v>15.5364418085239</v>
      </c>
      <c r="BA920" s="2">
        <v>17.920673678411699</v>
      </c>
      <c r="BB920" s="2">
        <v>18.063112381853198</v>
      </c>
      <c r="BC920" s="2">
        <v>19.291341981304701</v>
      </c>
      <c r="BD920" s="2">
        <v>17.4528652371195</v>
      </c>
      <c r="BE920" s="2">
        <v>16.5379352920705</v>
      </c>
      <c r="BF920" s="2">
        <v>15.5164787473564</v>
      </c>
      <c r="BG920" s="2">
        <v>18.195403833299999</v>
      </c>
      <c r="BH920" s="2">
        <v>18.085363219694301</v>
      </c>
      <c r="BI920" s="2">
        <v>18.256300660353698</v>
      </c>
      <c r="BJ920" s="2">
        <v>17.991069161379698</v>
      </c>
      <c r="BK920" s="2">
        <v>16.893883455029801</v>
      </c>
      <c r="BL920" s="2">
        <v>16.808581637123801</v>
      </c>
      <c r="BM920" s="2">
        <v>9.6233145402724691</v>
      </c>
      <c r="BN920" s="2">
        <v>16.079103892727499</v>
      </c>
      <c r="BO920" s="2">
        <v>18.7460589787052</v>
      </c>
      <c r="BP920" s="2">
        <v>17.121396619126699</v>
      </c>
      <c r="BQ920" s="2">
        <v>18.174068398659202</v>
      </c>
      <c r="BR920" s="2">
        <v>18.0562193554468</v>
      </c>
      <c r="BS920" s="2">
        <v>15.7865220874017</v>
      </c>
      <c r="BT920" s="2">
        <v>19.870393860264699</v>
      </c>
      <c r="BU920" s="2">
        <v>17.901454881554599</v>
      </c>
      <c r="BV920" s="2">
        <v>17.853309738177501</v>
      </c>
      <c r="BW920" s="2">
        <v>17.772064320619599</v>
      </c>
      <c r="BX920" s="2">
        <v>17.781905872059799</v>
      </c>
      <c r="BY920" s="2">
        <v>9.6233145402724691</v>
      </c>
      <c r="BZ920" s="2">
        <v>15.330162010022899</v>
      </c>
      <c r="CA920" s="2">
        <v>17.640494770432401</v>
      </c>
      <c r="CB920" s="2">
        <v>16.659197641928301</v>
      </c>
      <c r="CC920" s="2">
        <v>18.0588962954827</v>
      </c>
      <c r="CD920" s="2">
        <v>15.5258076801539</v>
      </c>
      <c r="CE920" s="2">
        <v>18.059906319655401</v>
      </c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</row>
    <row r="921" spans="1:97">
      <c r="A921" s="2" t="s">
        <v>8544</v>
      </c>
      <c r="B921" s="2">
        <v>291.02688000000001</v>
      </c>
      <c r="C921" s="2">
        <v>5.734</v>
      </c>
      <c r="D921" s="2" t="s">
        <v>84</v>
      </c>
      <c r="E921" s="2" t="s">
        <v>8545</v>
      </c>
      <c r="F921" s="2" t="s">
        <v>8546</v>
      </c>
      <c r="G921" s="2">
        <v>83304</v>
      </c>
      <c r="H921" s="3" t="str">
        <f>HYPERLINK("https://cloud.oebiotech.com/#/lm/network/83304", "https://cloud.oebiotech.com/#/lm/network/83304")</f>
        <v>https://cloud.oebiotech.com/#/lm/network/83304</v>
      </c>
      <c r="I921" s="2" t="s">
        <v>8547</v>
      </c>
      <c r="J921" s="2">
        <v>329023</v>
      </c>
      <c r="K921" s="2"/>
      <c r="L921" s="2">
        <v>53435015</v>
      </c>
      <c r="M921" s="2"/>
      <c r="N921" s="2"/>
      <c r="O921" s="2"/>
      <c r="P921" s="2">
        <v>132872</v>
      </c>
      <c r="Q921" s="2"/>
      <c r="R921" s="2"/>
      <c r="S921" s="2"/>
      <c r="T921" s="2" t="s">
        <v>8548</v>
      </c>
      <c r="U921" s="2" t="s">
        <v>8549</v>
      </c>
      <c r="V921" s="2" t="s">
        <v>385</v>
      </c>
      <c r="W921" s="2" t="s">
        <v>386</v>
      </c>
      <c r="X921" s="2" t="s">
        <v>1059</v>
      </c>
      <c r="Y921" s="2" t="s">
        <v>388</v>
      </c>
      <c r="Z921" s="2" t="s">
        <v>389</v>
      </c>
      <c r="AA921" s="2" t="s">
        <v>1060</v>
      </c>
      <c r="AB921" s="2" t="s">
        <v>3086</v>
      </c>
      <c r="AC921" s="2">
        <v>52.26</v>
      </c>
      <c r="AD921" s="2">
        <v>74.81</v>
      </c>
      <c r="AE921" s="2">
        <v>0</v>
      </c>
      <c r="AF921" s="2" t="s">
        <v>8550</v>
      </c>
      <c r="AG921" s="2" t="s">
        <v>3544</v>
      </c>
      <c r="AH921" s="2" t="s">
        <v>8551</v>
      </c>
      <c r="AI921" s="2">
        <v>-1.37</v>
      </c>
      <c r="AJ921" s="2">
        <v>18.211212680866101</v>
      </c>
      <c r="AK921" s="2">
        <v>18.164775948714802</v>
      </c>
      <c r="AL921" s="2">
        <v>18.221464824190601</v>
      </c>
      <c r="AM921" s="2">
        <v>18.271186559641901</v>
      </c>
      <c r="AN921" s="2">
        <v>18.370537572313701</v>
      </c>
      <c r="AO921" s="2">
        <v>18.3416889431664</v>
      </c>
      <c r="AP921" s="2">
        <v>18.246748761867899</v>
      </c>
      <c r="AQ921" s="2">
        <v>18.0034324845351</v>
      </c>
      <c r="AR921" s="2">
        <v>9.6233145402724691</v>
      </c>
      <c r="AS921" s="2">
        <v>9.6233145402724691</v>
      </c>
      <c r="AT921" s="2">
        <v>9.6233145402724691</v>
      </c>
      <c r="AU921" s="2">
        <v>9.6233145402724691</v>
      </c>
      <c r="AV921" s="2">
        <v>9.6233145402724691</v>
      </c>
      <c r="AW921" s="2">
        <v>16.4548027479801</v>
      </c>
      <c r="AX921" s="2">
        <v>21.483668540611401</v>
      </c>
      <c r="AY921" s="2">
        <v>20.957402595343201</v>
      </c>
      <c r="AZ921" s="2">
        <v>9.6233145402724691</v>
      </c>
      <c r="BA921" s="2">
        <v>9.6233145402724691</v>
      </c>
      <c r="BB921" s="2">
        <v>9.6233145402724691</v>
      </c>
      <c r="BC921" s="2">
        <v>9.6233145402724691</v>
      </c>
      <c r="BD921" s="2">
        <v>14.4559211564852</v>
      </c>
      <c r="BE921" s="2">
        <v>18.324638173815199</v>
      </c>
      <c r="BF921" s="2">
        <v>16.048549028424201</v>
      </c>
      <c r="BG921" s="2">
        <v>9.6233145402724691</v>
      </c>
      <c r="BH921" s="2">
        <v>9.6233145402724691</v>
      </c>
      <c r="BI921" s="2">
        <v>16.653469016441399</v>
      </c>
      <c r="BJ921" s="2">
        <v>9.6233145402724691</v>
      </c>
      <c r="BK921" s="2">
        <v>16.564938545799201</v>
      </c>
      <c r="BL921" s="2">
        <v>9.6233145402724691</v>
      </c>
      <c r="BM921" s="2">
        <v>9.6233145402724691</v>
      </c>
      <c r="BN921" s="2">
        <v>18.294254841894301</v>
      </c>
      <c r="BO921" s="2">
        <v>17.721087971025899</v>
      </c>
      <c r="BP921" s="2">
        <v>9.6233145402724691</v>
      </c>
      <c r="BQ921" s="2">
        <v>21.171326237698199</v>
      </c>
      <c r="BR921" s="2">
        <v>14.410259209043</v>
      </c>
      <c r="BS921" s="2">
        <v>9.6233145402724691</v>
      </c>
      <c r="BT921" s="2">
        <v>9.6233145402724691</v>
      </c>
      <c r="BU921" s="2">
        <v>18.815029671601501</v>
      </c>
      <c r="BV921" s="2">
        <v>14.361660770556099</v>
      </c>
      <c r="BW921" s="2">
        <v>9.6233145402724691</v>
      </c>
      <c r="BX921" s="2">
        <v>14.9561324504448</v>
      </c>
      <c r="BY921" s="2">
        <v>21.390122689121299</v>
      </c>
      <c r="BZ921" s="2">
        <v>9.6233145402724691</v>
      </c>
      <c r="CA921" s="2">
        <v>9.6233145402724691</v>
      </c>
      <c r="CB921" s="2">
        <v>14.572354430820701</v>
      </c>
      <c r="CC921" s="2">
        <v>18.232837746086599</v>
      </c>
      <c r="CD921" s="2">
        <v>21.051555184203</v>
      </c>
      <c r="CE921" s="2">
        <v>19.009729787273798</v>
      </c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</row>
    <row r="922" spans="1:97">
      <c r="A922" s="2" t="s">
        <v>8552</v>
      </c>
      <c r="B922" s="2">
        <v>301.23777999999999</v>
      </c>
      <c r="C922" s="2">
        <v>10.031000000000001</v>
      </c>
      <c r="D922" s="2" t="s">
        <v>146</v>
      </c>
      <c r="E922" s="2" t="s">
        <v>8553</v>
      </c>
      <c r="F922" s="2" t="s">
        <v>8554</v>
      </c>
      <c r="G922" s="2">
        <v>93677</v>
      </c>
      <c r="H922" s="3" t="str">
        <f>HYPERLINK("https://cloud.oebiotech.com/#/lm/network/93677", "https://cloud.oebiotech.com/#/lm/network/93677")</f>
        <v>https://cloud.oebiotech.com/#/lm/network/93677</v>
      </c>
      <c r="I922" s="2" t="s">
        <v>8555</v>
      </c>
      <c r="J922" s="2"/>
      <c r="K922" s="2"/>
      <c r="L922" s="2">
        <v>131779640</v>
      </c>
      <c r="M922" s="2"/>
      <c r="N922" s="2"/>
      <c r="O922" s="2"/>
      <c r="P922" s="2"/>
      <c r="Q922" s="2"/>
      <c r="R922" s="2"/>
      <c r="S922" s="2"/>
      <c r="T922" s="2" t="s">
        <v>8556</v>
      </c>
      <c r="U922" s="2" t="s">
        <v>8557</v>
      </c>
      <c r="V922" s="2" t="s">
        <v>95</v>
      </c>
      <c r="W922" s="2" t="s">
        <v>7709</v>
      </c>
      <c r="X922" s="2" t="s">
        <v>7710</v>
      </c>
      <c r="Y922" s="2" t="s">
        <v>98</v>
      </c>
      <c r="Z922" s="2" t="s">
        <v>7711</v>
      </c>
      <c r="AA922" s="2" t="s">
        <v>7712</v>
      </c>
      <c r="AB922" s="2" t="s">
        <v>5118</v>
      </c>
      <c r="AC922" s="2">
        <v>52.25</v>
      </c>
      <c r="AD922" s="2">
        <v>99.16</v>
      </c>
      <c r="AE922" s="2">
        <v>83.82</v>
      </c>
      <c r="AF922" s="2" t="s">
        <v>8558</v>
      </c>
      <c r="AG922" s="2" t="s">
        <v>194</v>
      </c>
      <c r="AH922" s="2" t="s">
        <v>8559</v>
      </c>
      <c r="AI922" s="2">
        <v>1.99</v>
      </c>
      <c r="AJ922" s="2">
        <v>23.1879174454204</v>
      </c>
      <c r="AK922" s="2">
        <v>23.382856486547201</v>
      </c>
      <c r="AL922" s="2">
        <v>23.234709923871002</v>
      </c>
      <c r="AM922" s="2">
        <v>23.1793783403803</v>
      </c>
      <c r="AN922" s="2">
        <v>23.179266013791398</v>
      </c>
      <c r="AO922" s="2">
        <v>23.185672316576699</v>
      </c>
      <c r="AP922" s="2">
        <v>23.147254918261801</v>
      </c>
      <c r="AQ922" s="2">
        <v>23.109672398201901</v>
      </c>
      <c r="AR922" s="2">
        <v>23.2151016044089</v>
      </c>
      <c r="AS922" s="2">
        <v>23.416790052886</v>
      </c>
      <c r="AT922" s="2">
        <v>23.070076850715001</v>
      </c>
      <c r="AU922" s="2">
        <v>23.1757127825691</v>
      </c>
      <c r="AV922" s="2">
        <v>23.168765020557402</v>
      </c>
      <c r="AW922" s="2">
        <v>23.217832633475499</v>
      </c>
      <c r="AX922" s="2">
        <v>23.210413337800102</v>
      </c>
      <c r="AY922" s="2">
        <v>23.1571898910776</v>
      </c>
      <c r="AZ922" s="2">
        <v>23.220312003617401</v>
      </c>
      <c r="BA922" s="2">
        <v>23.2633727878748</v>
      </c>
      <c r="BB922" s="2">
        <v>23.084719987812601</v>
      </c>
      <c r="BC922" s="2">
        <v>23.436406756647798</v>
      </c>
      <c r="BD922" s="2">
        <v>23.169567534406799</v>
      </c>
      <c r="BE922" s="2">
        <v>23.1780509298897</v>
      </c>
      <c r="BF922" s="2">
        <v>23.110670000073601</v>
      </c>
      <c r="BG922" s="2">
        <v>23.152114876633501</v>
      </c>
      <c r="BH922" s="2">
        <v>23.167466619742299</v>
      </c>
      <c r="BI922" s="2">
        <v>23.053623263253598</v>
      </c>
      <c r="BJ922" s="2">
        <v>23.091466729085099</v>
      </c>
      <c r="BK922" s="2">
        <v>23.090251422107499</v>
      </c>
      <c r="BL922" s="2">
        <v>23.234170761422799</v>
      </c>
      <c r="BM922" s="2">
        <v>23.186268856041899</v>
      </c>
      <c r="BN922" s="2">
        <v>23.052552812710999</v>
      </c>
      <c r="BO922" s="2">
        <v>23.087276079474101</v>
      </c>
      <c r="BP922" s="2">
        <v>23.105188698186701</v>
      </c>
      <c r="BQ922" s="2">
        <v>23.1656705397968</v>
      </c>
      <c r="BR922" s="2">
        <v>23.089522564087101</v>
      </c>
      <c r="BS922" s="2">
        <v>23.187295855785099</v>
      </c>
      <c r="BT922" s="2">
        <v>23.0452396409434</v>
      </c>
      <c r="BU922" s="2">
        <v>23.107855159229999</v>
      </c>
      <c r="BV922" s="2">
        <v>23.084515586991301</v>
      </c>
      <c r="BW922" s="2">
        <v>23.156847772353899</v>
      </c>
      <c r="BX922" s="2">
        <v>23.133018020328102</v>
      </c>
      <c r="BY922" s="2">
        <v>23.099902641979899</v>
      </c>
      <c r="BZ922" s="2">
        <v>23.051671973444101</v>
      </c>
      <c r="CA922" s="2">
        <v>23.130308516514301</v>
      </c>
      <c r="CB922" s="2">
        <v>23.126215200392199</v>
      </c>
      <c r="CC922" s="2">
        <v>23.1137698634092</v>
      </c>
      <c r="CD922" s="2">
        <v>23.022057851121101</v>
      </c>
      <c r="CE922" s="2">
        <v>23.0998122620971</v>
      </c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</row>
    <row r="923" spans="1:97">
      <c r="A923" s="2" t="s">
        <v>8560</v>
      </c>
      <c r="B923" s="2">
        <v>254.16070999999999</v>
      </c>
      <c r="C923" s="2">
        <v>1.556</v>
      </c>
      <c r="D923" s="2" t="s">
        <v>84</v>
      </c>
      <c r="E923" s="2" t="s">
        <v>8561</v>
      </c>
      <c r="F923" s="2" t="s">
        <v>8562</v>
      </c>
      <c r="G923" s="2">
        <v>53756</v>
      </c>
      <c r="H923" s="3" t="str">
        <f>HYPERLINK("https://cloud.oebiotech.com/#/lm/network/53756", "https://cloud.oebiotech.com/#/lm/network/53756")</f>
        <v>https://cloud.oebiotech.com/#/lm/network/53756</v>
      </c>
      <c r="I923" s="2" t="s">
        <v>8563</v>
      </c>
      <c r="J923" s="2">
        <v>23679</v>
      </c>
      <c r="K923" s="2"/>
      <c r="L923" s="2">
        <v>151003</v>
      </c>
      <c r="M923" s="2"/>
      <c r="N923" s="2"/>
      <c r="O923" s="2"/>
      <c r="P923" s="2">
        <v>141419</v>
      </c>
      <c r="Q923" s="2"/>
      <c r="R923" s="2"/>
      <c r="S923" s="2" t="s">
        <v>8564</v>
      </c>
      <c r="T923" s="2" t="s">
        <v>8565</v>
      </c>
      <c r="U923" s="2" t="s">
        <v>8566</v>
      </c>
      <c r="V923" s="2" t="s">
        <v>115</v>
      </c>
      <c r="W923" s="2" t="s">
        <v>116</v>
      </c>
      <c r="X923" s="2" t="s">
        <v>117</v>
      </c>
      <c r="Y923" s="2" t="s">
        <v>118</v>
      </c>
      <c r="Z923" s="2" t="s">
        <v>119</v>
      </c>
      <c r="AA923" s="2" t="s">
        <v>120</v>
      </c>
      <c r="AB923" s="2" t="s">
        <v>3086</v>
      </c>
      <c r="AC923" s="2">
        <v>52.25</v>
      </c>
      <c r="AD923" s="2">
        <v>91.85</v>
      </c>
      <c r="AE923" s="2">
        <v>0</v>
      </c>
      <c r="AF923" s="2" t="s">
        <v>5614</v>
      </c>
      <c r="AG923" s="2" t="s">
        <v>1088</v>
      </c>
      <c r="AH923" s="2" t="s">
        <v>8567</v>
      </c>
      <c r="AI923" s="2">
        <v>3.93</v>
      </c>
      <c r="AJ923" s="2">
        <v>17.414874725715901</v>
      </c>
      <c r="AK923" s="2">
        <v>16.655894593287702</v>
      </c>
      <c r="AL923" s="2">
        <v>17.944242786321201</v>
      </c>
      <c r="AM923" s="2">
        <v>17.469399365854201</v>
      </c>
      <c r="AN923" s="2">
        <v>17.905279696822799</v>
      </c>
      <c r="AO923" s="2">
        <v>17.562260687389099</v>
      </c>
      <c r="AP923" s="2">
        <v>17.2865441352081</v>
      </c>
      <c r="AQ923" s="2">
        <v>17.477163291320998</v>
      </c>
      <c r="AR923" s="2">
        <v>17.406765127077499</v>
      </c>
      <c r="AS923" s="2">
        <v>9.6233145402724691</v>
      </c>
      <c r="AT923" s="2">
        <v>9.6233145402724691</v>
      </c>
      <c r="AU923" s="2">
        <v>19.527700080867401</v>
      </c>
      <c r="AV923" s="2">
        <v>19.9438688587102</v>
      </c>
      <c r="AW923" s="2">
        <v>17.858253515156701</v>
      </c>
      <c r="AX923" s="2">
        <v>9.6233145402724691</v>
      </c>
      <c r="AY923" s="2">
        <v>9.6233145402724691</v>
      </c>
      <c r="AZ923" s="2">
        <v>14.327191223353701</v>
      </c>
      <c r="BA923" s="2">
        <v>17.8622674597345</v>
      </c>
      <c r="BB923" s="2">
        <v>17.713907883227499</v>
      </c>
      <c r="BC923" s="2">
        <v>9.6233145402724691</v>
      </c>
      <c r="BD923" s="2">
        <v>9.6233145402724691</v>
      </c>
      <c r="BE923" s="2">
        <v>15.002362784283299</v>
      </c>
      <c r="BF923" s="2">
        <v>9.6233145402724691</v>
      </c>
      <c r="BG923" s="2">
        <v>9.6233145402724691</v>
      </c>
      <c r="BH923" s="2">
        <v>9.6233145402724691</v>
      </c>
      <c r="BI923" s="2">
        <v>9.6233145402724691</v>
      </c>
      <c r="BJ923" s="2">
        <v>9.6233145402724691</v>
      </c>
      <c r="BK923" s="2">
        <v>9.6233145402724691</v>
      </c>
      <c r="BL923" s="2">
        <v>14.729873490419701</v>
      </c>
      <c r="BM923" s="2">
        <v>19.661225223132</v>
      </c>
      <c r="BN923" s="2">
        <v>14.746409873122699</v>
      </c>
      <c r="BO923" s="2">
        <v>9.6233145402724691</v>
      </c>
      <c r="BP923" s="2">
        <v>13.989358130413899</v>
      </c>
      <c r="BQ923" s="2">
        <v>9.6233145402724691</v>
      </c>
      <c r="BR923" s="2">
        <v>13.5897237007356</v>
      </c>
      <c r="BS923" s="2">
        <v>19.666762571993601</v>
      </c>
      <c r="BT923" s="2">
        <v>16.427932659923702</v>
      </c>
      <c r="BU923" s="2">
        <v>18.110093026700099</v>
      </c>
      <c r="BV923" s="2">
        <v>13.7335121691229</v>
      </c>
      <c r="BW923" s="2">
        <v>9.6233145402724691</v>
      </c>
      <c r="BX923" s="2">
        <v>9.6233145402724691</v>
      </c>
      <c r="BY923" s="2">
        <v>18.2915308693619</v>
      </c>
      <c r="BZ923" s="2">
        <v>20.357567435657899</v>
      </c>
      <c r="CA923" s="2">
        <v>9.6233145402724691</v>
      </c>
      <c r="CB923" s="2">
        <v>9.6233145402724691</v>
      </c>
      <c r="CC923" s="2">
        <v>9.6233145402724691</v>
      </c>
      <c r="CD923" s="2">
        <v>9.6233145402724691</v>
      </c>
      <c r="CE923" s="2">
        <v>17.8310394231316</v>
      </c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</row>
    <row r="924" spans="1:97">
      <c r="A924" s="2" t="s">
        <v>8568</v>
      </c>
      <c r="B924" s="2">
        <v>229.18042</v>
      </c>
      <c r="C924" s="2">
        <v>10.242000000000001</v>
      </c>
      <c r="D924" s="2" t="s">
        <v>146</v>
      </c>
      <c r="E924" s="2" t="s">
        <v>8569</v>
      </c>
      <c r="F924" s="2" t="s">
        <v>8570</v>
      </c>
      <c r="G924" s="2">
        <v>6004</v>
      </c>
      <c r="H924" s="3" t="str">
        <f>HYPERLINK("https://cloud.oebiotech.com/#/lm/network/6004", "https://cloud.oebiotech.com/#/lm/network/6004")</f>
        <v>https://cloud.oebiotech.com/#/lm/network/6004</v>
      </c>
      <c r="I924" s="2"/>
      <c r="J924" s="2">
        <v>36481</v>
      </c>
      <c r="K924" s="2" t="s">
        <v>8571</v>
      </c>
      <c r="L924" s="2">
        <v>5283277</v>
      </c>
      <c r="M924" s="2"/>
      <c r="N924" s="2"/>
      <c r="O924" s="2"/>
      <c r="P924" s="2"/>
      <c r="Q924" s="2"/>
      <c r="R924" s="2"/>
      <c r="S924" s="2"/>
      <c r="T924" s="2" t="s">
        <v>8572</v>
      </c>
      <c r="U924" s="2" t="s">
        <v>8573</v>
      </c>
      <c r="V924" s="2" t="s">
        <v>95</v>
      </c>
      <c r="W924" s="2" t="s">
        <v>96</v>
      </c>
      <c r="X924" s="2" t="s">
        <v>353</v>
      </c>
      <c r="Y924" s="2" t="s">
        <v>98</v>
      </c>
      <c r="Z924" s="2" t="s">
        <v>99</v>
      </c>
      <c r="AA924" s="2" t="s">
        <v>354</v>
      </c>
      <c r="AB924" s="2" t="s">
        <v>8443</v>
      </c>
      <c r="AC924" s="2">
        <v>52.24</v>
      </c>
      <c r="AD924" s="2">
        <v>92.01</v>
      </c>
      <c r="AE924" s="2">
        <v>37.909999999999997</v>
      </c>
      <c r="AF924" s="2" t="s">
        <v>8574</v>
      </c>
      <c r="AG924" s="2" t="s">
        <v>157</v>
      </c>
      <c r="AH924" s="2" t="s">
        <v>8575</v>
      </c>
      <c r="AI924" s="2">
        <v>2.1800000000000002</v>
      </c>
      <c r="AJ924" s="2">
        <v>19.672789775061201</v>
      </c>
      <c r="AK924" s="2">
        <v>19.423576796402202</v>
      </c>
      <c r="AL924" s="2">
        <v>19.7998580094456</v>
      </c>
      <c r="AM924" s="2">
        <v>19.378567714966302</v>
      </c>
      <c r="AN924" s="2">
        <v>19.712269583657299</v>
      </c>
      <c r="AO924" s="2">
        <v>19.7103600449914</v>
      </c>
      <c r="AP924" s="2">
        <v>19.808422305471801</v>
      </c>
      <c r="AQ924" s="2">
        <v>19.837857554943898</v>
      </c>
      <c r="AR924" s="2">
        <v>19.177843235315098</v>
      </c>
      <c r="AS924" s="2">
        <v>19.389982010029598</v>
      </c>
      <c r="AT924" s="2">
        <v>19.551764296673699</v>
      </c>
      <c r="AU924" s="2">
        <v>19.875620019414601</v>
      </c>
      <c r="AV924" s="2">
        <v>19.556748781044298</v>
      </c>
      <c r="AW924" s="2">
        <v>19.425759414136699</v>
      </c>
      <c r="AX924" s="2">
        <v>19.559175612886101</v>
      </c>
      <c r="AY924" s="2">
        <v>19.4883358632562</v>
      </c>
      <c r="AZ924" s="2">
        <v>17.9061165596321</v>
      </c>
      <c r="BA924" s="2">
        <v>19.5938914307504</v>
      </c>
      <c r="BB924" s="2">
        <v>19.6798549508338</v>
      </c>
      <c r="BC924" s="2">
        <v>19.7975239396036</v>
      </c>
      <c r="BD924" s="2">
        <v>19.4993949354926</v>
      </c>
      <c r="BE924" s="2">
        <v>19.730454298578302</v>
      </c>
      <c r="BF924" s="2">
        <v>19.469835431116</v>
      </c>
      <c r="BG924" s="2">
        <v>19.585236142734601</v>
      </c>
      <c r="BH924" s="2">
        <v>19.443542895086502</v>
      </c>
      <c r="BI924" s="2">
        <v>19.562072509770299</v>
      </c>
      <c r="BJ924" s="2">
        <v>19.463571787553501</v>
      </c>
      <c r="BK924" s="2">
        <v>19.449272234697698</v>
      </c>
      <c r="BL924" s="2">
        <v>19.3749372413556</v>
      </c>
      <c r="BM924" s="2">
        <v>19.319501435504598</v>
      </c>
      <c r="BN924" s="2">
        <v>19.5153895814545</v>
      </c>
      <c r="BO924" s="2">
        <v>19.630836147740801</v>
      </c>
      <c r="BP924" s="2">
        <v>19.628695023267699</v>
      </c>
      <c r="BQ924" s="2">
        <v>19.5530787594546</v>
      </c>
      <c r="BR924" s="2">
        <v>19.627774799187598</v>
      </c>
      <c r="BS924" s="2">
        <v>19.39204918615</v>
      </c>
      <c r="BT924" s="2">
        <v>20.776700269532</v>
      </c>
      <c r="BU924" s="2">
        <v>19.9535785282966</v>
      </c>
      <c r="BV924" s="2">
        <v>19.6087705917354</v>
      </c>
      <c r="BW924" s="2">
        <v>19.368021946461401</v>
      </c>
      <c r="BX924" s="2">
        <v>19.4371487984948</v>
      </c>
      <c r="BY924" s="2">
        <v>19.374019477504099</v>
      </c>
      <c r="BZ924" s="2">
        <v>19.695680592334</v>
      </c>
      <c r="CA924" s="2">
        <v>19.5243413395632</v>
      </c>
      <c r="CB924" s="2">
        <v>19.689525714024001</v>
      </c>
      <c r="CC924" s="2">
        <v>19.7566086700871</v>
      </c>
      <c r="CD924" s="2">
        <v>19.596043363342002</v>
      </c>
      <c r="CE924" s="2">
        <v>19.8502701012304</v>
      </c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</row>
    <row r="925" spans="1:97">
      <c r="A925" s="2" t="s">
        <v>8576</v>
      </c>
      <c r="B925" s="2">
        <v>466.29295999999999</v>
      </c>
      <c r="C925" s="2">
        <v>10.241</v>
      </c>
      <c r="D925" s="2" t="s">
        <v>146</v>
      </c>
      <c r="E925" s="2" t="s">
        <v>8577</v>
      </c>
      <c r="F925" s="2" t="s">
        <v>8578</v>
      </c>
      <c r="G925" s="2">
        <v>21251</v>
      </c>
      <c r="H925" s="3" t="str">
        <f>HYPERLINK("https://cloud.oebiotech.com/#/lm/network/21251", "https://cloud.oebiotech.com/#/lm/network/21251")</f>
        <v>https://cloud.oebiotech.com/#/lm/network/21251</v>
      </c>
      <c r="I925" s="2"/>
      <c r="J925" s="2"/>
      <c r="K925" s="2" t="s">
        <v>8579</v>
      </c>
      <c r="L925" s="2">
        <v>137323921</v>
      </c>
      <c r="M925" s="2"/>
      <c r="N925" s="2"/>
      <c r="O925" s="2"/>
      <c r="P925" s="2"/>
      <c r="Q925" s="2"/>
      <c r="R925" s="2"/>
      <c r="S925" s="2"/>
      <c r="T925" s="2" t="s">
        <v>8580</v>
      </c>
      <c r="U925" s="2" t="s">
        <v>8581</v>
      </c>
      <c r="V925" s="2" t="s">
        <v>95</v>
      </c>
      <c r="W925" s="2" t="s">
        <v>202</v>
      </c>
      <c r="X925" s="2" t="s">
        <v>327</v>
      </c>
      <c r="Y925" s="2" t="s">
        <v>98</v>
      </c>
      <c r="Z925" s="2" t="s">
        <v>204</v>
      </c>
      <c r="AA925" s="2" t="s">
        <v>328</v>
      </c>
      <c r="AB925" s="2" t="s">
        <v>3086</v>
      </c>
      <c r="AC925" s="2">
        <v>52.24</v>
      </c>
      <c r="AD925" s="2">
        <v>85.33</v>
      </c>
      <c r="AE925" s="2">
        <v>0</v>
      </c>
      <c r="AF925" s="2" t="s">
        <v>5614</v>
      </c>
      <c r="AG925" s="2" t="s">
        <v>194</v>
      </c>
      <c r="AH925" s="2" t="s">
        <v>447</v>
      </c>
      <c r="AI925" s="2">
        <v>1.93</v>
      </c>
      <c r="AJ925" s="2">
        <v>17.546098561165199</v>
      </c>
      <c r="AK925" s="2">
        <v>17.211044144016601</v>
      </c>
      <c r="AL925" s="2">
        <v>17.406025421501401</v>
      </c>
      <c r="AM925" s="2">
        <v>17.315360458890598</v>
      </c>
      <c r="AN925" s="2">
        <v>17.313303786284902</v>
      </c>
      <c r="AO925" s="2">
        <v>17.216512556908299</v>
      </c>
      <c r="AP925" s="2">
        <v>17.191517986325799</v>
      </c>
      <c r="AQ925" s="2">
        <v>17.287942290751001</v>
      </c>
      <c r="AR925" s="2">
        <v>17.615638041745601</v>
      </c>
      <c r="AS925" s="2">
        <v>16.2804393050525</v>
      </c>
      <c r="AT925" s="2">
        <v>16.885136405404801</v>
      </c>
      <c r="AU925" s="2">
        <v>17.5208152392755</v>
      </c>
      <c r="AV925" s="2">
        <v>16.9930095665901</v>
      </c>
      <c r="AW925" s="2">
        <v>16.805252017705499</v>
      </c>
      <c r="AX925" s="2">
        <v>17.109881959616899</v>
      </c>
      <c r="AY925" s="2">
        <v>16.673435929746301</v>
      </c>
      <c r="AZ925" s="2">
        <v>17.024922886476801</v>
      </c>
      <c r="BA925" s="2">
        <v>16.022934722397199</v>
      </c>
      <c r="BB925" s="2">
        <v>17.1926137630015</v>
      </c>
      <c r="BC925" s="2">
        <v>17.5595995067928</v>
      </c>
      <c r="BD925" s="2">
        <v>16.537873126036299</v>
      </c>
      <c r="BE925" s="2">
        <v>17.503375058282501</v>
      </c>
      <c r="BF925" s="2">
        <v>15.7953403550638</v>
      </c>
      <c r="BG925" s="2">
        <v>17.866542856272801</v>
      </c>
      <c r="BH925" s="2">
        <v>16.7225824926748</v>
      </c>
      <c r="BI925" s="2">
        <v>9.6233145402724691</v>
      </c>
      <c r="BJ925" s="2">
        <v>16.444207211275199</v>
      </c>
      <c r="BK925" s="2">
        <v>15.9930077969327</v>
      </c>
      <c r="BL925" s="2">
        <v>17.017029340092101</v>
      </c>
      <c r="BM925" s="2">
        <v>16.591382675149099</v>
      </c>
      <c r="BN925" s="2">
        <v>16.949579957261101</v>
      </c>
      <c r="BO925" s="2">
        <v>17.440684521318602</v>
      </c>
      <c r="BP925" s="2">
        <v>17.874834720461699</v>
      </c>
      <c r="BQ925" s="2">
        <v>17.112813123908499</v>
      </c>
      <c r="BR925" s="2">
        <v>17.3930817064408</v>
      </c>
      <c r="BS925" s="2">
        <v>17.7434664100359</v>
      </c>
      <c r="BT925" s="2">
        <v>16.289491387581801</v>
      </c>
      <c r="BU925" s="2">
        <v>17.274920718154299</v>
      </c>
      <c r="BV925" s="2">
        <v>16.506132750981202</v>
      </c>
      <c r="BW925" s="2">
        <v>16.079063880823799</v>
      </c>
      <c r="BX925" s="2">
        <v>15.3355540025266</v>
      </c>
      <c r="BY925" s="2">
        <v>18.143314599437101</v>
      </c>
      <c r="BZ925" s="2">
        <v>16.921774471177802</v>
      </c>
      <c r="CA925" s="2">
        <v>17.848192938170701</v>
      </c>
      <c r="CB925" s="2">
        <v>16.7735843125195</v>
      </c>
      <c r="CC925" s="2">
        <v>14.127511569121101</v>
      </c>
      <c r="CD925" s="2">
        <v>17.2865346598211</v>
      </c>
      <c r="CE925" s="2">
        <v>16.3026383883454</v>
      </c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</row>
    <row r="926" spans="1:97">
      <c r="A926" s="2" t="s">
        <v>8582</v>
      </c>
      <c r="B926" s="2">
        <v>383.33031</v>
      </c>
      <c r="C926" s="2">
        <v>12.628</v>
      </c>
      <c r="D926" s="2" t="s">
        <v>84</v>
      </c>
      <c r="E926" s="2" t="s">
        <v>8583</v>
      </c>
      <c r="F926" s="2" t="s">
        <v>8584</v>
      </c>
      <c r="G926" s="2">
        <v>45416</v>
      </c>
      <c r="H926" s="3" t="str">
        <f>HYPERLINK("https://cloud.oebiotech.com/#/lm/network/45416", "https://cloud.oebiotech.com/#/lm/network/45416")</f>
        <v>https://cloud.oebiotech.com/#/lm/network/45416</v>
      </c>
      <c r="I926" s="2" t="s">
        <v>8585</v>
      </c>
      <c r="J926" s="2">
        <v>42183</v>
      </c>
      <c r="K926" s="2" t="s">
        <v>8586</v>
      </c>
      <c r="L926" s="2">
        <v>5283731</v>
      </c>
      <c r="M926" s="2" t="s">
        <v>8587</v>
      </c>
      <c r="N926" s="2" t="s">
        <v>8588</v>
      </c>
      <c r="O926" s="2" t="s">
        <v>8589</v>
      </c>
      <c r="P926" s="2">
        <v>17933</v>
      </c>
      <c r="Q926" s="2" t="s">
        <v>8590</v>
      </c>
      <c r="R926" s="2" t="s">
        <v>8591</v>
      </c>
      <c r="S926" s="2" t="s">
        <v>8592</v>
      </c>
      <c r="T926" s="2" t="s">
        <v>8593</v>
      </c>
      <c r="U926" s="2" t="s">
        <v>8594</v>
      </c>
      <c r="V926" s="2" t="s">
        <v>95</v>
      </c>
      <c r="W926" s="2" t="s">
        <v>152</v>
      </c>
      <c r="X926" s="2" t="s">
        <v>1484</v>
      </c>
      <c r="Y926" s="2" t="s">
        <v>98</v>
      </c>
      <c r="Z926" s="2" t="s">
        <v>154</v>
      </c>
      <c r="AA926" s="2" t="s">
        <v>1485</v>
      </c>
      <c r="AB926" s="2" t="s">
        <v>3086</v>
      </c>
      <c r="AC926" s="2">
        <v>52.23</v>
      </c>
      <c r="AD926" s="2">
        <v>83.3</v>
      </c>
      <c r="AE926" s="2">
        <v>0</v>
      </c>
      <c r="AF926" s="2" t="s">
        <v>5614</v>
      </c>
      <c r="AG926" s="2" t="s">
        <v>1088</v>
      </c>
      <c r="AH926" s="2" t="s">
        <v>7702</v>
      </c>
      <c r="AI926" s="2">
        <v>2.87</v>
      </c>
      <c r="AJ926" s="2">
        <v>19.323184006541201</v>
      </c>
      <c r="AK926" s="2">
        <v>18.957341106456798</v>
      </c>
      <c r="AL926" s="2">
        <v>18.858807353058801</v>
      </c>
      <c r="AM926" s="2">
        <v>18.708665632166699</v>
      </c>
      <c r="AN926" s="2">
        <v>19.0376936793363</v>
      </c>
      <c r="AO926" s="2">
        <v>18.710994787901399</v>
      </c>
      <c r="AP926" s="2">
        <v>18.743381038375901</v>
      </c>
      <c r="AQ926" s="2">
        <v>19.1424698548709</v>
      </c>
      <c r="AR926" s="2">
        <v>18.863392477974301</v>
      </c>
      <c r="AS926" s="2">
        <v>18.371921969829401</v>
      </c>
      <c r="AT926" s="2">
        <v>18.055110817125701</v>
      </c>
      <c r="AU926" s="2">
        <v>19.2660732094091</v>
      </c>
      <c r="AV926" s="2">
        <v>18.1417947255032</v>
      </c>
      <c r="AW926" s="2">
        <v>18.624230900401301</v>
      </c>
      <c r="AX926" s="2">
        <v>18.2610398175363</v>
      </c>
      <c r="AY926" s="2">
        <v>18.5132315302913</v>
      </c>
      <c r="AZ926" s="2">
        <v>18.4032907762831</v>
      </c>
      <c r="BA926" s="2">
        <v>18.765629240653301</v>
      </c>
      <c r="BB926" s="2">
        <v>19.421888049524199</v>
      </c>
      <c r="BC926" s="2">
        <v>19.042383087136599</v>
      </c>
      <c r="BD926" s="2">
        <v>19.533813880528601</v>
      </c>
      <c r="BE926" s="2">
        <v>18.306559052500599</v>
      </c>
      <c r="BF926" s="2">
        <v>18.381659416868199</v>
      </c>
      <c r="BG926" s="2">
        <v>19.146453300668099</v>
      </c>
      <c r="BH926" s="2">
        <v>18.948748691531399</v>
      </c>
      <c r="BI926" s="2">
        <v>19.194569215699001</v>
      </c>
      <c r="BJ926" s="2">
        <v>18.3374223800705</v>
      </c>
      <c r="BK926" s="2">
        <v>19.434694130042399</v>
      </c>
      <c r="BL926" s="2">
        <v>18.7102718001582</v>
      </c>
      <c r="BM926" s="2">
        <v>19.2270413483133</v>
      </c>
      <c r="BN926" s="2">
        <v>18.228608610913501</v>
      </c>
      <c r="BO926" s="2">
        <v>19.597551833021601</v>
      </c>
      <c r="BP926" s="2">
        <v>17.660120370219801</v>
      </c>
      <c r="BQ926" s="2">
        <v>18.542573879859301</v>
      </c>
      <c r="BR926" s="2">
        <v>17.796913453116201</v>
      </c>
      <c r="BS926" s="2">
        <v>19.121444099893498</v>
      </c>
      <c r="BT926" s="2">
        <v>19.021619584039499</v>
      </c>
      <c r="BU926" s="2">
        <v>19.051581469700601</v>
      </c>
      <c r="BV926" s="2">
        <v>19.1632032604026</v>
      </c>
      <c r="BW926" s="2">
        <v>18.438683319929599</v>
      </c>
      <c r="BX926" s="2">
        <v>19.431936565875301</v>
      </c>
      <c r="BY926" s="2">
        <v>19.356089505681201</v>
      </c>
      <c r="BZ926" s="2">
        <v>18.125641900639199</v>
      </c>
      <c r="CA926" s="2">
        <v>19.305889808955399</v>
      </c>
      <c r="CB926" s="2">
        <v>18.6606885685962</v>
      </c>
      <c r="CC926" s="2">
        <v>18.354617947440701</v>
      </c>
      <c r="CD926" s="2">
        <v>19.070231317958399</v>
      </c>
      <c r="CE926" s="2">
        <v>18.906373707541299</v>
      </c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</row>
    <row r="927" spans="1:97">
      <c r="A927" s="2" t="s">
        <v>8595</v>
      </c>
      <c r="B927" s="2">
        <v>356.35156999999998</v>
      </c>
      <c r="C927" s="2">
        <v>12.583</v>
      </c>
      <c r="D927" s="2" t="s">
        <v>84</v>
      </c>
      <c r="E927" s="2" t="s">
        <v>8596</v>
      </c>
      <c r="F927" s="2" t="s">
        <v>8597</v>
      </c>
      <c r="G927" s="2">
        <v>598</v>
      </c>
      <c r="H927" s="3" t="str">
        <f>HYPERLINK("https://cloud.oebiotech.com/#/lm/network/598", "https://cloud.oebiotech.com/#/lm/network/598")</f>
        <v>https://cloud.oebiotech.com/#/lm/network/598</v>
      </c>
      <c r="I927" s="2"/>
      <c r="J927" s="2">
        <v>34769</v>
      </c>
      <c r="K927" s="2" t="s">
        <v>8598</v>
      </c>
      <c r="L927" s="2">
        <v>5282772</v>
      </c>
      <c r="M927" s="2" t="s">
        <v>8599</v>
      </c>
      <c r="N927" s="2" t="s">
        <v>598</v>
      </c>
      <c r="O927" s="2" t="s">
        <v>599</v>
      </c>
      <c r="P927" s="2">
        <v>28792</v>
      </c>
      <c r="Q927" s="2"/>
      <c r="R927" s="2"/>
      <c r="S927" s="2"/>
      <c r="T927" s="2" t="s">
        <v>8600</v>
      </c>
      <c r="U927" s="2" t="s">
        <v>8601</v>
      </c>
      <c r="V927" s="2" t="s">
        <v>95</v>
      </c>
      <c r="W927" s="2" t="s">
        <v>96</v>
      </c>
      <c r="X927" s="2" t="s">
        <v>141</v>
      </c>
      <c r="Y927" s="2" t="s">
        <v>98</v>
      </c>
      <c r="Z927" s="2" t="s">
        <v>99</v>
      </c>
      <c r="AA927" s="2" t="s">
        <v>142</v>
      </c>
      <c r="AB927" s="2" t="s">
        <v>5118</v>
      </c>
      <c r="AC927" s="2">
        <v>52.21</v>
      </c>
      <c r="AD927" s="2">
        <v>86.16</v>
      </c>
      <c r="AE927" s="2">
        <v>79.709999999999994</v>
      </c>
      <c r="AF927" s="2" t="s">
        <v>8602</v>
      </c>
      <c r="AG927" s="2" t="s">
        <v>132</v>
      </c>
      <c r="AH927" s="2" t="s">
        <v>3382</v>
      </c>
      <c r="AI927" s="2">
        <v>1.96</v>
      </c>
      <c r="AJ927" s="2">
        <v>24.112393419094801</v>
      </c>
      <c r="AK927" s="2">
        <v>24.092124081699801</v>
      </c>
      <c r="AL927" s="2">
        <v>23.809097496182702</v>
      </c>
      <c r="AM927" s="2">
        <v>22.952543003815599</v>
      </c>
      <c r="AN927" s="2">
        <v>23.905250226625299</v>
      </c>
      <c r="AO927" s="2">
        <v>23.648771587936899</v>
      </c>
      <c r="AP927" s="2">
        <v>23.886207425082802</v>
      </c>
      <c r="AQ927" s="2">
        <v>23.628295208925501</v>
      </c>
      <c r="AR927" s="2">
        <v>23.895869272389699</v>
      </c>
      <c r="AS927" s="2">
        <v>23.623545640626201</v>
      </c>
      <c r="AT927" s="2">
        <v>24.193503426263501</v>
      </c>
      <c r="AU927" s="2">
        <v>23.4676653952286</v>
      </c>
      <c r="AV927" s="2">
        <v>23.978129644453301</v>
      </c>
      <c r="AW927" s="2">
        <v>24.276869779629099</v>
      </c>
      <c r="AX927" s="2">
        <v>23.943774291439301</v>
      </c>
      <c r="AY927" s="2">
        <v>24.1063047029911</v>
      </c>
      <c r="AZ927" s="2">
        <v>23.501980146536201</v>
      </c>
      <c r="BA927" s="2">
        <v>22.675198995750598</v>
      </c>
      <c r="BB927" s="2">
        <v>23.880006651266001</v>
      </c>
      <c r="BC927" s="2">
        <v>23.925814726333201</v>
      </c>
      <c r="BD927" s="2">
        <v>23.971995559335099</v>
      </c>
      <c r="BE927" s="2">
        <v>23.633500016187899</v>
      </c>
      <c r="BF927" s="2">
        <v>23.543752096533598</v>
      </c>
      <c r="BG927" s="2">
        <v>23.706693732779001</v>
      </c>
      <c r="BH927" s="2">
        <v>23.825044795092101</v>
      </c>
      <c r="BI927" s="2">
        <v>23.779837550522199</v>
      </c>
      <c r="BJ927" s="2">
        <v>23.8044429409359</v>
      </c>
      <c r="BK927" s="2">
        <v>23.683134302818701</v>
      </c>
      <c r="BL927" s="2">
        <v>23.5556040170001</v>
      </c>
      <c r="BM927" s="2">
        <v>24.0268411978514</v>
      </c>
      <c r="BN927" s="2">
        <v>24.066480833890498</v>
      </c>
      <c r="BO927" s="2">
        <v>23.840997547259899</v>
      </c>
      <c r="BP927" s="2">
        <v>23.690396591751</v>
      </c>
      <c r="BQ927" s="2">
        <v>23.9462644293653</v>
      </c>
      <c r="BR927" s="2">
        <v>24.188394177192599</v>
      </c>
      <c r="BS927" s="2">
        <v>23.799494932367701</v>
      </c>
      <c r="BT927" s="2">
        <v>23.304618377272298</v>
      </c>
      <c r="BU927" s="2">
        <v>23.730411257739402</v>
      </c>
      <c r="BV927" s="2">
        <v>23.456569977985399</v>
      </c>
      <c r="BW927" s="2">
        <v>23.5829609638802</v>
      </c>
      <c r="BX927" s="2">
        <v>23.6012441952426</v>
      </c>
      <c r="BY927" s="2">
        <v>23.890538206349898</v>
      </c>
      <c r="BZ927" s="2">
        <v>23.5612255348234</v>
      </c>
      <c r="CA927" s="2">
        <v>23.904822859928199</v>
      </c>
      <c r="CB927" s="2">
        <v>23.7813055275906</v>
      </c>
      <c r="CC927" s="2">
        <v>23.496421992860601</v>
      </c>
      <c r="CD927" s="2">
        <v>23.7228659058419</v>
      </c>
      <c r="CE927" s="2">
        <v>23.711768779960298</v>
      </c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</row>
    <row r="928" spans="1:97">
      <c r="A928" s="2" t="s">
        <v>8603</v>
      </c>
      <c r="B928" s="2">
        <v>370.29469999999998</v>
      </c>
      <c r="C928" s="2">
        <v>9.3569999999999993</v>
      </c>
      <c r="D928" s="2" t="s">
        <v>84</v>
      </c>
      <c r="E928" s="2" t="s">
        <v>8604</v>
      </c>
      <c r="F928" s="2" t="s">
        <v>8605</v>
      </c>
      <c r="G928" s="2">
        <v>52253</v>
      </c>
      <c r="H928" s="3" t="str">
        <f>HYPERLINK("https://cloud.oebiotech.com/#/lm/network/52253", "https://cloud.oebiotech.com/#/lm/network/52253")</f>
        <v>https://cloud.oebiotech.com/#/lm/network/52253</v>
      </c>
      <c r="I928" s="2" t="s">
        <v>8606</v>
      </c>
      <c r="J928" s="2"/>
      <c r="K928" s="2"/>
      <c r="L928" s="2">
        <v>53481699</v>
      </c>
      <c r="M928" s="2"/>
      <c r="N928" s="2"/>
      <c r="O928" s="2"/>
      <c r="P928" s="2">
        <v>89716</v>
      </c>
      <c r="Q928" s="2"/>
      <c r="R928" s="2"/>
      <c r="S928" s="2" t="s">
        <v>8607</v>
      </c>
      <c r="T928" s="2" t="s">
        <v>8608</v>
      </c>
      <c r="U928" s="2" t="s">
        <v>8609</v>
      </c>
      <c r="V928" s="2" t="s">
        <v>95</v>
      </c>
      <c r="W928" s="2" t="s">
        <v>96</v>
      </c>
      <c r="X928" s="2" t="s">
        <v>97</v>
      </c>
      <c r="Y928" s="2" t="s">
        <v>98</v>
      </c>
      <c r="Z928" s="2" t="s">
        <v>99</v>
      </c>
      <c r="AA928" s="2" t="s">
        <v>100</v>
      </c>
      <c r="AB928" s="2" t="s">
        <v>3086</v>
      </c>
      <c r="AC928" s="2">
        <v>52.21</v>
      </c>
      <c r="AD928" s="2">
        <v>96.15</v>
      </c>
      <c r="AE928" s="2">
        <v>0</v>
      </c>
      <c r="AF928" s="2" t="s">
        <v>8610</v>
      </c>
      <c r="AG928" s="2" t="s">
        <v>4104</v>
      </c>
      <c r="AH928" s="2" t="s">
        <v>8611</v>
      </c>
      <c r="AI928" s="2">
        <v>1.35</v>
      </c>
      <c r="AJ928" s="2">
        <v>20.5658264988163</v>
      </c>
      <c r="AK928" s="2">
        <v>20.374390743679999</v>
      </c>
      <c r="AL928" s="2">
        <v>20.4574591771112</v>
      </c>
      <c r="AM928" s="2">
        <v>20.4336219412221</v>
      </c>
      <c r="AN928" s="2">
        <v>20.353996837408801</v>
      </c>
      <c r="AO928" s="2">
        <v>20.2666219711613</v>
      </c>
      <c r="AP928" s="2">
        <v>20.380666611913099</v>
      </c>
      <c r="AQ928" s="2">
        <v>20.214696469157101</v>
      </c>
      <c r="AR928" s="2">
        <v>18.8505101878795</v>
      </c>
      <c r="AS928" s="2">
        <v>19.588599724795898</v>
      </c>
      <c r="AT928" s="2">
        <v>20.773822779149999</v>
      </c>
      <c r="AU928" s="2">
        <v>18.986091345891602</v>
      </c>
      <c r="AV928" s="2">
        <v>19.1879656883664</v>
      </c>
      <c r="AW928" s="2">
        <v>19.6874171547191</v>
      </c>
      <c r="AX928" s="2">
        <v>20.010057327316499</v>
      </c>
      <c r="AY928" s="2">
        <v>20.282687862908901</v>
      </c>
      <c r="AZ928" s="2">
        <v>17.526293136040099</v>
      </c>
      <c r="BA928" s="2">
        <v>20.831493092888898</v>
      </c>
      <c r="BB928" s="2">
        <v>20.454326577268201</v>
      </c>
      <c r="BC928" s="2">
        <v>21.7148029791454</v>
      </c>
      <c r="BD928" s="2">
        <v>19.1753717513356</v>
      </c>
      <c r="BE928" s="2">
        <v>20.304417535920599</v>
      </c>
      <c r="BF928" s="2">
        <v>19.9202764190041</v>
      </c>
      <c r="BG928" s="2">
        <v>20.728188698676501</v>
      </c>
      <c r="BH928" s="2">
        <v>19.776754742139499</v>
      </c>
      <c r="BI928" s="2">
        <v>21.188909876901999</v>
      </c>
      <c r="BJ928" s="2">
        <v>20.280116499685199</v>
      </c>
      <c r="BK928" s="2">
        <v>18.456932652743699</v>
      </c>
      <c r="BL928" s="2">
        <v>20.9938109913403</v>
      </c>
      <c r="BM928" s="2">
        <v>19.374033236491499</v>
      </c>
      <c r="BN928" s="2">
        <v>20.046800885122199</v>
      </c>
      <c r="BO928" s="2">
        <v>21.0318322325625</v>
      </c>
      <c r="BP928" s="2">
        <v>20.357313548836601</v>
      </c>
      <c r="BQ928" s="2">
        <v>20.912629853560599</v>
      </c>
      <c r="BR928" s="2">
        <v>20.691463299937201</v>
      </c>
      <c r="BS928" s="2">
        <v>19.383588983117299</v>
      </c>
      <c r="BT928" s="2">
        <v>20.463200044538802</v>
      </c>
      <c r="BU928" s="2">
        <v>20.560023033546099</v>
      </c>
      <c r="BV928" s="2">
        <v>20.463859781869498</v>
      </c>
      <c r="BW928" s="2">
        <v>20.737842004657999</v>
      </c>
      <c r="BX928" s="2">
        <v>19.948123451609</v>
      </c>
      <c r="BY928" s="2">
        <v>19.353240295535301</v>
      </c>
      <c r="BZ928" s="2">
        <v>20.512144877549499</v>
      </c>
      <c r="CA928" s="2">
        <v>20.546110132386598</v>
      </c>
      <c r="CB928" s="2">
        <v>19.884821454569501</v>
      </c>
      <c r="CC928" s="2">
        <v>20.962661219644499</v>
      </c>
      <c r="CD928" s="2">
        <v>19.665873517123199</v>
      </c>
      <c r="CE928" s="2">
        <v>20.467800183536301</v>
      </c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</row>
    <row r="929" spans="1:97">
      <c r="A929" s="2" t="s">
        <v>8612</v>
      </c>
      <c r="B929" s="2">
        <v>501.30052000000001</v>
      </c>
      <c r="C929" s="2">
        <v>8.7959999999999994</v>
      </c>
      <c r="D929" s="2" t="s">
        <v>146</v>
      </c>
      <c r="E929" s="2" t="s">
        <v>8613</v>
      </c>
      <c r="F929" s="2" t="s">
        <v>8614</v>
      </c>
      <c r="G929" s="2">
        <v>46513</v>
      </c>
      <c r="H929" s="3" t="str">
        <f>HYPERLINK("https://cloud.oebiotech.com/#/lm/network/46513", "https://cloud.oebiotech.com/#/lm/network/46513")</f>
        <v>https://cloud.oebiotech.com/#/lm/network/46513</v>
      </c>
      <c r="I929" s="2"/>
      <c r="J929" s="2">
        <v>84898</v>
      </c>
      <c r="K929" s="2" t="s">
        <v>8615</v>
      </c>
      <c r="L929" s="2">
        <v>52931545</v>
      </c>
      <c r="M929" s="2"/>
      <c r="N929" s="2"/>
      <c r="O929" s="2"/>
      <c r="P929" s="2"/>
      <c r="Q929" s="2"/>
      <c r="R929" s="2"/>
      <c r="S929" s="2"/>
      <c r="T929" s="2" t="s">
        <v>8616</v>
      </c>
      <c r="U929" s="2" t="s">
        <v>8617</v>
      </c>
      <c r="V929" s="2" t="s">
        <v>95</v>
      </c>
      <c r="W929" s="2" t="s">
        <v>152</v>
      </c>
      <c r="X929" s="2" t="s">
        <v>278</v>
      </c>
      <c r="Y929" s="2" t="s">
        <v>98</v>
      </c>
      <c r="Z929" s="2" t="s">
        <v>154</v>
      </c>
      <c r="AA929" s="2" t="s">
        <v>279</v>
      </c>
      <c r="AB929" s="2" t="s">
        <v>3086</v>
      </c>
      <c r="AC929" s="2">
        <v>52.2</v>
      </c>
      <c r="AD929" s="2">
        <v>60.31</v>
      </c>
      <c r="AE929" s="2">
        <v>32.363571428571397</v>
      </c>
      <c r="AF929" s="2" t="s">
        <v>8618</v>
      </c>
      <c r="AG929" s="2" t="s">
        <v>4062</v>
      </c>
      <c r="AH929" s="2" t="s">
        <v>8619</v>
      </c>
      <c r="AI929" s="2">
        <v>-3.39</v>
      </c>
      <c r="AJ929" s="2">
        <v>18.378041340752699</v>
      </c>
      <c r="AK929" s="2">
        <v>18.547586002381099</v>
      </c>
      <c r="AL929" s="2">
        <v>18.096304912109499</v>
      </c>
      <c r="AM929" s="2">
        <v>18.454064976431901</v>
      </c>
      <c r="AN929" s="2">
        <v>18.586489851818499</v>
      </c>
      <c r="AO929" s="2">
        <v>18.716450342312498</v>
      </c>
      <c r="AP929" s="2">
        <v>18.435846518076399</v>
      </c>
      <c r="AQ929" s="2">
        <v>18.331007358746799</v>
      </c>
      <c r="AR929" s="2">
        <v>18.622688071795402</v>
      </c>
      <c r="AS929" s="2">
        <v>18.267856299551301</v>
      </c>
      <c r="AT929" s="2">
        <v>18.7022942872117</v>
      </c>
      <c r="AU929" s="2">
        <v>18.641942681203101</v>
      </c>
      <c r="AV929" s="2">
        <v>18.465164408957499</v>
      </c>
      <c r="AW929" s="2">
        <v>18.820910678491899</v>
      </c>
      <c r="AX929" s="2">
        <v>18.3294328950657</v>
      </c>
      <c r="AY929" s="2">
        <v>18.5950817748923</v>
      </c>
      <c r="AZ929" s="2">
        <v>18.6436739393931</v>
      </c>
      <c r="BA929" s="2">
        <v>18.683417186342801</v>
      </c>
      <c r="BB929" s="2">
        <v>18.367126034890699</v>
      </c>
      <c r="BC929" s="2">
        <v>18.7183435299875</v>
      </c>
      <c r="BD929" s="2">
        <v>18.521770300624201</v>
      </c>
      <c r="BE929" s="2">
        <v>18.664535026661</v>
      </c>
      <c r="BF929" s="2">
        <v>18.768432861151901</v>
      </c>
      <c r="BG929" s="2">
        <v>18.682733659845699</v>
      </c>
      <c r="BH929" s="2">
        <v>18.758693860677099</v>
      </c>
      <c r="BI929" s="2">
        <v>18.528915524479999</v>
      </c>
      <c r="BJ929" s="2">
        <v>18.501872319073499</v>
      </c>
      <c r="BK929" s="2">
        <v>18.4036892516745</v>
      </c>
      <c r="BL929" s="2">
        <v>18.724110050370601</v>
      </c>
      <c r="BM929" s="2">
        <v>18.403550544630701</v>
      </c>
      <c r="BN929" s="2">
        <v>18.461060518891902</v>
      </c>
      <c r="BO929" s="2">
        <v>18.667842450481199</v>
      </c>
      <c r="BP929" s="2">
        <v>18.379076293175501</v>
      </c>
      <c r="BQ929" s="2">
        <v>18.658513663239901</v>
      </c>
      <c r="BR929" s="2">
        <v>18.191703805709199</v>
      </c>
      <c r="BS929" s="2">
        <v>18.486337320609501</v>
      </c>
      <c r="BT929" s="2">
        <v>18.503551698029899</v>
      </c>
      <c r="BU929" s="2">
        <v>18.191047066037999</v>
      </c>
      <c r="BV929" s="2">
        <v>18.575550362740501</v>
      </c>
      <c r="BW929" s="2">
        <v>18.296961406864799</v>
      </c>
      <c r="BX929" s="2">
        <v>18.462370664446301</v>
      </c>
      <c r="BY929" s="2">
        <v>18.5112520471625</v>
      </c>
      <c r="BZ929" s="2">
        <v>18.3944211183886</v>
      </c>
      <c r="CA929" s="2">
        <v>18.3587900865686</v>
      </c>
      <c r="CB929" s="2">
        <v>18.451153588051199</v>
      </c>
      <c r="CC929" s="2">
        <v>18.492105342403601</v>
      </c>
      <c r="CD929" s="2">
        <v>18.3868099783707</v>
      </c>
      <c r="CE929" s="2">
        <v>18.449237448558499</v>
      </c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</row>
    <row r="930" spans="1:97">
      <c r="A930" s="2" t="s">
        <v>8620</v>
      </c>
      <c r="B930" s="2">
        <v>392.31644999999997</v>
      </c>
      <c r="C930" s="2">
        <v>12.773999999999999</v>
      </c>
      <c r="D930" s="2" t="s">
        <v>146</v>
      </c>
      <c r="E930" s="2" t="s">
        <v>8621</v>
      </c>
      <c r="F930" s="2" t="s">
        <v>8622</v>
      </c>
      <c r="G930" s="2">
        <v>198485</v>
      </c>
      <c r="H930" s="3" t="str">
        <f>HYPERLINK("https://cloud.oebiotech.com/#/lm/network/198485", "https://cloud.oebiotech.com/#/lm/network/198485")</f>
        <v>https://cloud.oebiotech.com/#/lm/network/198485</v>
      </c>
      <c r="I930" s="2" t="s">
        <v>8623</v>
      </c>
      <c r="J930" s="2"/>
      <c r="K930" s="2"/>
      <c r="L930" s="2">
        <v>72996889</v>
      </c>
      <c r="M930" s="2"/>
      <c r="N930" s="2"/>
      <c r="O930" s="2"/>
      <c r="P930" s="2"/>
      <c r="Q930" s="2"/>
      <c r="R930" s="2"/>
      <c r="S930" s="2"/>
      <c r="T930" s="2" t="s">
        <v>8624</v>
      </c>
      <c r="U930" s="2" t="s">
        <v>8625</v>
      </c>
      <c r="V930" s="2" t="s">
        <v>115</v>
      </c>
      <c r="W930" s="2" t="s">
        <v>116</v>
      </c>
      <c r="X930" s="2" t="s">
        <v>117</v>
      </c>
      <c r="Y930" s="2" t="s">
        <v>118</v>
      </c>
      <c r="Z930" s="2" t="s">
        <v>119</v>
      </c>
      <c r="AA930" s="2" t="s">
        <v>120</v>
      </c>
      <c r="AB930" s="2" t="s">
        <v>3086</v>
      </c>
      <c r="AC930" s="2">
        <v>52.19</v>
      </c>
      <c r="AD930" s="2">
        <v>84.22</v>
      </c>
      <c r="AE930" s="2">
        <v>0</v>
      </c>
      <c r="AF930" s="2" t="s">
        <v>8626</v>
      </c>
      <c r="AG930" s="2" t="s">
        <v>194</v>
      </c>
      <c r="AH930" s="2" t="s">
        <v>8627</v>
      </c>
      <c r="AI930" s="2">
        <v>1.53</v>
      </c>
      <c r="AJ930" s="2">
        <v>16.131263551143999</v>
      </c>
      <c r="AK930" s="2">
        <v>16.4319380956934</v>
      </c>
      <c r="AL930" s="2">
        <v>16.336116683793701</v>
      </c>
      <c r="AM930" s="2">
        <v>16.8268294915143</v>
      </c>
      <c r="AN930" s="2">
        <v>16.068390770313901</v>
      </c>
      <c r="AO930" s="2">
        <v>16.344249609146999</v>
      </c>
      <c r="AP930" s="2">
        <v>15.932567491710399</v>
      </c>
      <c r="AQ930" s="2">
        <v>15.9684735300265</v>
      </c>
      <c r="AR930" s="2">
        <v>14.0630579636235</v>
      </c>
      <c r="AS930" s="2">
        <v>14.667040004454099</v>
      </c>
      <c r="AT930" s="2">
        <v>14.048370220775</v>
      </c>
      <c r="AU930" s="2">
        <v>13.442235966517201</v>
      </c>
      <c r="AV930" s="2">
        <v>18.236538770669998</v>
      </c>
      <c r="AW930" s="2">
        <v>15.382294722219401</v>
      </c>
      <c r="AX930" s="2">
        <v>16.138698976914299</v>
      </c>
      <c r="AY930" s="2">
        <v>17.155101241807301</v>
      </c>
      <c r="AZ930" s="2">
        <v>15.6425856643649</v>
      </c>
      <c r="BA930" s="2">
        <v>14.8680325208265</v>
      </c>
      <c r="BB930" s="2">
        <v>15.6952992606876</v>
      </c>
      <c r="BC930" s="2">
        <v>17.532649353840402</v>
      </c>
      <c r="BD930" s="2">
        <v>14.7207583459313</v>
      </c>
      <c r="BE930" s="2">
        <v>17.371448087574102</v>
      </c>
      <c r="BF930" s="2">
        <v>15.811762511185901</v>
      </c>
      <c r="BG930" s="2">
        <v>14.8356329943645</v>
      </c>
      <c r="BH930" s="2">
        <v>16.7648550079392</v>
      </c>
      <c r="BI930" s="2">
        <v>16.222176229826001</v>
      </c>
      <c r="BJ930" s="2">
        <v>16.117956546724201</v>
      </c>
      <c r="BK930" s="2">
        <v>14.8411362912563</v>
      </c>
      <c r="BL930" s="2">
        <v>14.6468146240757</v>
      </c>
      <c r="BM930" s="2">
        <v>16.462533265668601</v>
      </c>
      <c r="BN930" s="2">
        <v>16.257164798530201</v>
      </c>
      <c r="BO930" s="2">
        <v>14.2044251862555</v>
      </c>
      <c r="BP930" s="2">
        <v>15.165740429749899</v>
      </c>
      <c r="BQ930" s="2">
        <v>15.795830654455999</v>
      </c>
      <c r="BR930" s="2">
        <v>17.017484175051301</v>
      </c>
      <c r="BS930" s="2">
        <v>18.243515840935</v>
      </c>
      <c r="BT930" s="2">
        <v>14.590916811188499</v>
      </c>
      <c r="BU930" s="2">
        <v>14.939207749653299</v>
      </c>
      <c r="BV930" s="2">
        <v>16.0342526051449</v>
      </c>
      <c r="BW930" s="2">
        <v>15.961652491304401</v>
      </c>
      <c r="BX930" s="2">
        <v>15.408762603763901</v>
      </c>
      <c r="BY930" s="2">
        <v>19.6771853889943</v>
      </c>
      <c r="BZ930" s="2">
        <v>16.351993925439199</v>
      </c>
      <c r="CA930" s="2">
        <v>14.5866076060659</v>
      </c>
      <c r="CB930" s="2">
        <v>15.413252398673</v>
      </c>
      <c r="CC930" s="2">
        <v>16.985212665946701</v>
      </c>
      <c r="CD930" s="2">
        <v>16.9410947307348</v>
      </c>
      <c r="CE930" s="2">
        <v>15.6092985151883</v>
      </c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</row>
    <row r="931" spans="1:97">
      <c r="A931" s="2" t="s">
        <v>8628</v>
      </c>
      <c r="B931" s="2">
        <v>207.07996</v>
      </c>
      <c r="C931" s="2">
        <v>1.524</v>
      </c>
      <c r="D931" s="2" t="s">
        <v>84</v>
      </c>
      <c r="E931" s="2" t="s">
        <v>8629</v>
      </c>
      <c r="F931" s="2" t="s">
        <v>8630</v>
      </c>
      <c r="G931" s="2">
        <v>53994</v>
      </c>
      <c r="H931" s="3" t="str">
        <f>HYPERLINK("https://cloud.oebiotech.com/#/lm/network/53994", "https://cloud.oebiotech.com/#/lm/network/53994")</f>
        <v>https://cloud.oebiotech.com/#/lm/network/53994</v>
      </c>
      <c r="I931" s="2" t="s">
        <v>8631</v>
      </c>
      <c r="J931" s="2">
        <v>85875</v>
      </c>
      <c r="K931" s="2"/>
      <c r="L931" s="2">
        <v>259185</v>
      </c>
      <c r="M931" s="2"/>
      <c r="N931" s="2"/>
      <c r="O931" s="2"/>
      <c r="P931" s="2">
        <v>174028</v>
      </c>
      <c r="Q931" s="2"/>
      <c r="R931" s="2"/>
      <c r="S931" s="2"/>
      <c r="T931" s="2" t="s">
        <v>8632</v>
      </c>
      <c r="U931" s="2" t="s">
        <v>8633</v>
      </c>
      <c r="V931" s="2" t="s">
        <v>115</v>
      </c>
      <c r="W931" s="2" t="s">
        <v>116</v>
      </c>
      <c r="X931" s="2" t="s">
        <v>117</v>
      </c>
      <c r="Y931" s="2" t="s">
        <v>118</v>
      </c>
      <c r="Z931" s="2" t="s">
        <v>119</v>
      </c>
      <c r="AA931" s="2" t="s">
        <v>120</v>
      </c>
      <c r="AB931" s="2" t="s">
        <v>3086</v>
      </c>
      <c r="AC931" s="2">
        <v>52.16</v>
      </c>
      <c r="AD931" s="2">
        <v>92.36</v>
      </c>
      <c r="AE931" s="2">
        <v>0</v>
      </c>
      <c r="AF931" s="2" t="s">
        <v>5614</v>
      </c>
      <c r="AG931" s="2" t="s">
        <v>103</v>
      </c>
      <c r="AH931" s="2" t="s">
        <v>8634</v>
      </c>
      <c r="AI931" s="2">
        <v>-0.97</v>
      </c>
      <c r="AJ931" s="2">
        <v>18.706052932137801</v>
      </c>
      <c r="AK931" s="2">
        <v>18.507583369859798</v>
      </c>
      <c r="AL931" s="2">
        <v>18.225577724084399</v>
      </c>
      <c r="AM931" s="2">
        <v>18.2090542065459</v>
      </c>
      <c r="AN931" s="2">
        <v>18.978821936592102</v>
      </c>
      <c r="AO931" s="2">
        <v>18.8574723112473</v>
      </c>
      <c r="AP931" s="2">
        <v>19.004400248746499</v>
      </c>
      <c r="AQ931" s="2">
        <v>19.430423271127701</v>
      </c>
      <c r="AR931" s="2">
        <v>9.6233145402724691</v>
      </c>
      <c r="AS931" s="2">
        <v>17.480847462282298</v>
      </c>
      <c r="AT931" s="2">
        <v>16.159696151878599</v>
      </c>
      <c r="AU931" s="2">
        <v>9.6233145402724691</v>
      </c>
      <c r="AV931" s="2">
        <v>18.256064268026801</v>
      </c>
      <c r="AW931" s="2">
        <v>18.663351152248701</v>
      </c>
      <c r="AX931" s="2">
        <v>18.005704091265802</v>
      </c>
      <c r="AY931" s="2">
        <v>18.590782854761599</v>
      </c>
      <c r="AZ931" s="2">
        <v>18.068552996714001</v>
      </c>
      <c r="BA931" s="2">
        <v>15.2618227724285</v>
      </c>
      <c r="BB931" s="2">
        <v>18.875029179825901</v>
      </c>
      <c r="BC931" s="2">
        <v>9.6233145402724691</v>
      </c>
      <c r="BD931" s="2">
        <v>14.705792737891199</v>
      </c>
      <c r="BE931" s="2">
        <v>19.5705084958648</v>
      </c>
      <c r="BF931" s="2">
        <v>19.420585256884799</v>
      </c>
      <c r="BG931" s="2">
        <v>19.463779346384701</v>
      </c>
      <c r="BH931" s="2">
        <v>19.559251844921501</v>
      </c>
      <c r="BI931" s="2">
        <v>18.797646582130401</v>
      </c>
      <c r="BJ931" s="2">
        <v>18.598574873516199</v>
      </c>
      <c r="BK931" s="2">
        <v>16.594815460155999</v>
      </c>
      <c r="BL931" s="2">
        <v>16.8394359580696</v>
      </c>
      <c r="BM931" s="2">
        <v>18.928258406263101</v>
      </c>
      <c r="BN931" s="2">
        <v>18.038722803884198</v>
      </c>
      <c r="BO931" s="2">
        <v>16.901735101679002</v>
      </c>
      <c r="BP931" s="2">
        <v>19.690328952464</v>
      </c>
      <c r="BQ931" s="2">
        <v>19.080421607400599</v>
      </c>
      <c r="BR931" s="2">
        <v>17.947901084470701</v>
      </c>
      <c r="BS931" s="2">
        <v>17.593747667189</v>
      </c>
      <c r="BT931" s="2">
        <v>9.6233145402724691</v>
      </c>
      <c r="BU931" s="2">
        <v>9.6233145402724691</v>
      </c>
      <c r="BV931" s="2">
        <v>16.068718878092799</v>
      </c>
      <c r="BW931" s="2">
        <v>15.2241230496846</v>
      </c>
      <c r="BX931" s="2">
        <v>17.481936805886502</v>
      </c>
      <c r="BY931" s="2">
        <v>20.226998617691201</v>
      </c>
      <c r="BZ931" s="2">
        <v>19.597671160884001</v>
      </c>
      <c r="CA931" s="2">
        <v>19.491849691527801</v>
      </c>
      <c r="CB931" s="2">
        <v>18.473073615672298</v>
      </c>
      <c r="CC931" s="2">
        <v>17.312575892690901</v>
      </c>
      <c r="CD931" s="2">
        <v>20.3809991195698</v>
      </c>
      <c r="CE931" s="2">
        <v>19.2819381067855</v>
      </c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</row>
    <row r="932" spans="1:97">
      <c r="A932" s="2" t="s">
        <v>8635</v>
      </c>
      <c r="B932" s="2">
        <v>321.24284999999998</v>
      </c>
      <c r="C932" s="2">
        <v>11.831</v>
      </c>
      <c r="D932" s="2" t="s">
        <v>146</v>
      </c>
      <c r="E932" s="2" t="s">
        <v>8636</v>
      </c>
      <c r="F932" s="2" t="s">
        <v>8636</v>
      </c>
      <c r="G932" s="2">
        <v>1623</v>
      </c>
      <c r="H932" s="3" t="str">
        <f>HYPERLINK("https://cloud.oebiotech.com/#/lm/network/1623", "https://cloud.oebiotech.com/#/lm/network/1623")</f>
        <v>https://cloud.oebiotech.com/#/lm/network/1623</v>
      </c>
      <c r="I932" s="2"/>
      <c r="J932" s="2">
        <v>35361</v>
      </c>
      <c r="K932" s="2" t="s">
        <v>8637</v>
      </c>
      <c r="L932" s="2">
        <v>5282869</v>
      </c>
      <c r="M932" s="2"/>
      <c r="N932" s="2"/>
      <c r="O932" s="2"/>
      <c r="P932" s="2">
        <v>144843</v>
      </c>
      <c r="Q932" s="2"/>
      <c r="R932" s="2"/>
      <c r="S932" s="2" t="s">
        <v>8638</v>
      </c>
      <c r="T932" s="2" t="s">
        <v>8639</v>
      </c>
      <c r="U932" s="2" t="s">
        <v>8640</v>
      </c>
      <c r="V932" s="2" t="s">
        <v>95</v>
      </c>
      <c r="W932" s="2" t="s">
        <v>96</v>
      </c>
      <c r="X932" s="2" t="s">
        <v>3216</v>
      </c>
      <c r="Y932" s="2" t="s">
        <v>98</v>
      </c>
      <c r="Z932" s="2" t="s">
        <v>99</v>
      </c>
      <c r="AA932" s="2" t="s">
        <v>3217</v>
      </c>
      <c r="AB932" s="2" t="s">
        <v>3086</v>
      </c>
      <c r="AC932" s="2">
        <v>52.15</v>
      </c>
      <c r="AD932" s="2">
        <v>87.43</v>
      </c>
      <c r="AE932" s="2">
        <v>0</v>
      </c>
      <c r="AF932" s="2" t="s">
        <v>5614</v>
      </c>
      <c r="AG932" s="2" t="s">
        <v>993</v>
      </c>
      <c r="AH932" s="2" t="s">
        <v>5171</v>
      </c>
      <c r="AI932" s="2">
        <v>0.62</v>
      </c>
      <c r="AJ932" s="2">
        <v>18.692773526170502</v>
      </c>
      <c r="AK932" s="2">
        <v>17.5100875914924</v>
      </c>
      <c r="AL932" s="2">
        <v>18.420058734509901</v>
      </c>
      <c r="AM932" s="2">
        <v>18.098042726663898</v>
      </c>
      <c r="AN932" s="2">
        <v>18.492842027199199</v>
      </c>
      <c r="AO932" s="2">
        <v>18.5122284299858</v>
      </c>
      <c r="AP932" s="2">
        <v>18.152361647846899</v>
      </c>
      <c r="AQ932" s="2">
        <v>18.378731447959201</v>
      </c>
      <c r="AR932" s="2">
        <v>16.4857054318168</v>
      </c>
      <c r="AS932" s="2">
        <v>17.140332221150501</v>
      </c>
      <c r="AT932" s="2">
        <v>19.2121873836563</v>
      </c>
      <c r="AU932" s="2">
        <v>16.760614963675401</v>
      </c>
      <c r="AV932" s="2">
        <v>17.878638780284099</v>
      </c>
      <c r="AW932" s="2">
        <v>17.597666469423299</v>
      </c>
      <c r="AX932" s="2">
        <v>18.1679794331803</v>
      </c>
      <c r="AY932" s="2">
        <v>17.112549464103399</v>
      </c>
      <c r="AZ932" s="2">
        <v>17.089115569321301</v>
      </c>
      <c r="BA932" s="2">
        <v>18.154548517799299</v>
      </c>
      <c r="BB932" s="2">
        <v>18.152146869280202</v>
      </c>
      <c r="BC932" s="2">
        <v>19.313678377639999</v>
      </c>
      <c r="BD932" s="2">
        <v>15.304241503804199</v>
      </c>
      <c r="BE932" s="2">
        <v>17.210204637116099</v>
      </c>
      <c r="BF932" s="2">
        <v>17.4751200412183</v>
      </c>
      <c r="BG932" s="2">
        <v>18.770694279928801</v>
      </c>
      <c r="BH932" s="2">
        <v>16.6856002033302</v>
      </c>
      <c r="BI932" s="2">
        <v>18.334374162524401</v>
      </c>
      <c r="BJ932" s="2">
        <v>17.636315412176401</v>
      </c>
      <c r="BK932" s="2">
        <v>16.449064795319298</v>
      </c>
      <c r="BL932" s="2">
        <v>18.6585722718124</v>
      </c>
      <c r="BM932" s="2">
        <v>17.143512760529699</v>
      </c>
      <c r="BN932" s="2">
        <v>18.035516843621501</v>
      </c>
      <c r="BO932" s="2">
        <v>18.170414504840998</v>
      </c>
      <c r="BP932" s="2">
        <v>19.158333432170402</v>
      </c>
      <c r="BQ932" s="2">
        <v>18.272545864656401</v>
      </c>
      <c r="BR932" s="2">
        <v>19.406191819802402</v>
      </c>
      <c r="BS932" s="2">
        <v>17.2637114458315</v>
      </c>
      <c r="BT932" s="2">
        <v>16.939424487258702</v>
      </c>
      <c r="BU932" s="2">
        <v>19.0234954531008</v>
      </c>
      <c r="BV932" s="2">
        <v>18.902094046826601</v>
      </c>
      <c r="BW932" s="2">
        <v>17.345229715998101</v>
      </c>
      <c r="BX932" s="2">
        <v>17.7470251021008</v>
      </c>
      <c r="BY932" s="2">
        <v>17.7799313610609</v>
      </c>
      <c r="BZ932" s="2">
        <v>18.0729264898936</v>
      </c>
      <c r="CA932" s="2">
        <v>17.263805874218001</v>
      </c>
      <c r="CB932" s="2">
        <v>19.0149138662151</v>
      </c>
      <c r="CC932" s="2">
        <v>18.490322943884401</v>
      </c>
      <c r="CD932" s="2">
        <v>18.531134885117801</v>
      </c>
      <c r="CE932" s="2">
        <v>19.031932662084799</v>
      </c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</row>
    <row r="933" spans="1:97">
      <c r="A933" s="2" t="s">
        <v>8641</v>
      </c>
      <c r="B933" s="2">
        <v>447.34832</v>
      </c>
      <c r="C933" s="2">
        <v>13.03</v>
      </c>
      <c r="D933" s="2" t="s">
        <v>146</v>
      </c>
      <c r="E933" s="2" t="s">
        <v>8642</v>
      </c>
      <c r="F933" s="2" t="s">
        <v>8643</v>
      </c>
      <c r="G933" s="2">
        <v>58316</v>
      </c>
      <c r="H933" s="3" t="str">
        <f>HYPERLINK("https://cloud.oebiotech.com/#/lm/network/58316", "https://cloud.oebiotech.com/#/lm/network/58316")</f>
        <v>https://cloud.oebiotech.com/#/lm/network/58316</v>
      </c>
      <c r="I933" s="2" t="s">
        <v>8644</v>
      </c>
      <c r="J933" s="2">
        <v>89807</v>
      </c>
      <c r="K933" s="2"/>
      <c r="L933" s="2">
        <v>9887390</v>
      </c>
      <c r="M933" s="2"/>
      <c r="N933" s="2"/>
      <c r="O933" s="2"/>
      <c r="P933" s="2"/>
      <c r="Q933" s="2"/>
      <c r="R933" s="2"/>
      <c r="S933" s="2" t="s">
        <v>8645</v>
      </c>
      <c r="T933" s="2" t="s">
        <v>8646</v>
      </c>
      <c r="U933" s="2" t="s">
        <v>8647</v>
      </c>
      <c r="V933" s="2" t="s">
        <v>95</v>
      </c>
      <c r="W933" s="2" t="s">
        <v>180</v>
      </c>
      <c r="X933" s="2" t="s">
        <v>3643</v>
      </c>
      <c r="Y933" s="2" t="s">
        <v>98</v>
      </c>
      <c r="Z933" s="2" t="s">
        <v>182</v>
      </c>
      <c r="AA933" s="2" t="s">
        <v>3644</v>
      </c>
      <c r="AB933" s="2" t="s">
        <v>3086</v>
      </c>
      <c r="AC933" s="2">
        <v>52.11</v>
      </c>
      <c r="AD933" s="2">
        <v>81.41</v>
      </c>
      <c r="AE933" s="2">
        <v>0</v>
      </c>
      <c r="AF933" s="2" t="s">
        <v>5614</v>
      </c>
      <c r="AG933" s="2" t="s">
        <v>157</v>
      </c>
      <c r="AH933" s="2" t="s">
        <v>504</v>
      </c>
      <c r="AI933" s="2">
        <v>-0.67</v>
      </c>
      <c r="AJ933" s="2">
        <v>18.206497971510601</v>
      </c>
      <c r="AK933" s="2">
        <v>18.671078333324498</v>
      </c>
      <c r="AL933" s="2">
        <v>18.122910427836999</v>
      </c>
      <c r="AM933" s="2">
        <v>18.424704024632401</v>
      </c>
      <c r="AN933" s="2">
        <v>18.3711099669164</v>
      </c>
      <c r="AO933" s="2">
        <v>18.3784480782336</v>
      </c>
      <c r="AP933" s="2">
        <v>18.812273212861299</v>
      </c>
      <c r="AQ933" s="2">
        <v>18.846153604198602</v>
      </c>
      <c r="AR933" s="2">
        <v>17.531314670353801</v>
      </c>
      <c r="AS933" s="2">
        <v>18.290997665208099</v>
      </c>
      <c r="AT933" s="2">
        <v>18.694683636308699</v>
      </c>
      <c r="AU933" s="2">
        <v>18.101107004950101</v>
      </c>
      <c r="AV933" s="2">
        <v>18.273700638816301</v>
      </c>
      <c r="AW933" s="2">
        <v>17.649151463791501</v>
      </c>
      <c r="AX933" s="2">
        <v>18.727888388852801</v>
      </c>
      <c r="AY933" s="2">
        <v>19.204305127603199</v>
      </c>
      <c r="AZ933" s="2">
        <v>19.4740182259889</v>
      </c>
      <c r="BA933" s="2">
        <v>18.371372403423599</v>
      </c>
      <c r="BB933" s="2">
        <v>18.675781652657999</v>
      </c>
      <c r="BC933" s="2">
        <v>19.5158489757345</v>
      </c>
      <c r="BD933" s="2">
        <v>18.372319806928299</v>
      </c>
      <c r="BE933" s="2">
        <v>19.321405018718199</v>
      </c>
      <c r="BF933" s="2">
        <v>17.978228873457699</v>
      </c>
      <c r="BG933" s="2">
        <v>18.6200582336397</v>
      </c>
      <c r="BH933" s="2">
        <v>17.6759376047088</v>
      </c>
      <c r="BI933" s="2">
        <v>17.489320993334999</v>
      </c>
      <c r="BJ933" s="2">
        <v>19.697431245429499</v>
      </c>
      <c r="BK933" s="2">
        <v>14.9735498430158</v>
      </c>
      <c r="BL933" s="2">
        <v>18.5976775252444</v>
      </c>
      <c r="BM933" s="2">
        <v>19.335067409804299</v>
      </c>
      <c r="BN933" s="2">
        <v>18.567515486608698</v>
      </c>
      <c r="BO933" s="2">
        <v>17.873698289663501</v>
      </c>
      <c r="BP933" s="2">
        <v>17.986185641005299</v>
      </c>
      <c r="BQ933" s="2">
        <v>16.8082758104078</v>
      </c>
      <c r="BR933" s="2">
        <v>18.405847102955502</v>
      </c>
      <c r="BS933" s="2">
        <v>18.974562472808501</v>
      </c>
      <c r="BT933" s="2">
        <v>19.018902845442401</v>
      </c>
      <c r="BU933" s="2">
        <v>18.632529871695301</v>
      </c>
      <c r="BV933" s="2">
        <v>18.675320932407899</v>
      </c>
      <c r="BW933" s="2">
        <v>18.087343081320299</v>
      </c>
      <c r="BX933" s="2">
        <v>18.7219761680815</v>
      </c>
      <c r="BY933" s="2">
        <v>19.4900783598709</v>
      </c>
      <c r="BZ933" s="2">
        <v>18.023832685546498</v>
      </c>
      <c r="CA933" s="2">
        <v>18.5389262132298</v>
      </c>
      <c r="CB933" s="2">
        <v>17.8857162703078</v>
      </c>
      <c r="CC933" s="2">
        <v>17.155466543314901</v>
      </c>
      <c r="CD933" s="2">
        <v>18.8314297541021</v>
      </c>
      <c r="CE933" s="2">
        <v>16.1060496455503</v>
      </c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</row>
    <row r="934" spans="1:97">
      <c r="A934" s="2" t="s">
        <v>8648</v>
      </c>
      <c r="B934" s="2">
        <v>325.24801000000002</v>
      </c>
      <c r="C934" s="2">
        <v>5.6349999999999998</v>
      </c>
      <c r="D934" s="2" t="s">
        <v>84</v>
      </c>
      <c r="E934" s="2" t="s">
        <v>8649</v>
      </c>
      <c r="F934" s="2" t="s">
        <v>8650</v>
      </c>
      <c r="G934" s="2">
        <v>201803</v>
      </c>
      <c r="H934" s="3" t="str">
        <f>HYPERLINK("https://cloud.oebiotech.com/#/lm/network/201803", "https://cloud.oebiotech.com/#/lm/network/201803")</f>
        <v>https://cloud.oebiotech.com/#/lm/network/201803</v>
      </c>
      <c r="I934" s="2" t="s">
        <v>8651</v>
      </c>
      <c r="J934" s="2"/>
      <c r="K934" s="2"/>
      <c r="L934" s="2">
        <v>13933755</v>
      </c>
      <c r="M934" s="2"/>
      <c r="N934" s="2"/>
      <c r="O934" s="2"/>
      <c r="P934" s="2"/>
      <c r="Q934" s="2"/>
      <c r="R934" s="2"/>
      <c r="S934" s="2"/>
      <c r="T934" s="2" t="s">
        <v>8652</v>
      </c>
      <c r="U934" s="2" t="s">
        <v>8653</v>
      </c>
      <c r="V934" s="2" t="s">
        <v>385</v>
      </c>
      <c r="W934" s="2" t="s">
        <v>3319</v>
      </c>
      <c r="X934" s="2" t="s">
        <v>8654</v>
      </c>
      <c r="Y934" s="2" t="s">
        <v>388</v>
      </c>
      <c r="Z934" s="2" t="s">
        <v>3321</v>
      </c>
      <c r="AA934" s="2" t="s">
        <v>8655</v>
      </c>
      <c r="AB934" s="2" t="s">
        <v>3086</v>
      </c>
      <c r="AC934" s="2">
        <v>52.09</v>
      </c>
      <c r="AD934" s="2">
        <v>88.31</v>
      </c>
      <c r="AE934" s="2">
        <v>0</v>
      </c>
      <c r="AF934" s="2" t="s">
        <v>5614</v>
      </c>
      <c r="AG934" s="2" t="s">
        <v>132</v>
      </c>
      <c r="AH934" s="2" t="s">
        <v>8656</v>
      </c>
      <c r="AI934" s="2">
        <v>1.84</v>
      </c>
      <c r="AJ934" s="2">
        <v>19.754254067460302</v>
      </c>
      <c r="AK934" s="2">
        <v>19.911796966249099</v>
      </c>
      <c r="AL934" s="2">
        <v>19.961476882594699</v>
      </c>
      <c r="AM934" s="2">
        <v>19.9782979845372</v>
      </c>
      <c r="AN934" s="2">
        <v>20.116970485680501</v>
      </c>
      <c r="AO934" s="2">
        <v>20.114240618123802</v>
      </c>
      <c r="AP934" s="2">
        <v>20.1048520485447</v>
      </c>
      <c r="AQ934" s="2">
        <v>20.1515766868207</v>
      </c>
      <c r="AR934" s="2">
        <v>9.6233145402724691</v>
      </c>
      <c r="AS934" s="2">
        <v>9.6233145402724691</v>
      </c>
      <c r="AT934" s="2">
        <v>9.6233145402724691</v>
      </c>
      <c r="AU934" s="2">
        <v>9.6233145402724691</v>
      </c>
      <c r="AV934" s="2">
        <v>9.6233145402724691</v>
      </c>
      <c r="AW934" s="2">
        <v>9.6233145402724691</v>
      </c>
      <c r="AX934" s="2">
        <v>9.6233145402724691</v>
      </c>
      <c r="AY934" s="2">
        <v>9.6233145402724691</v>
      </c>
      <c r="AZ934" s="2">
        <v>9.6233145402724691</v>
      </c>
      <c r="BA934" s="2">
        <v>9.6233145402724691</v>
      </c>
      <c r="BB934" s="2">
        <v>9.6233145402724691</v>
      </c>
      <c r="BC934" s="2">
        <v>9.6233145402724691</v>
      </c>
      <c r="BD934" s="2">
        <v>9.6233145402724691</v>
      </c>
      <c r="BE934" s="2">
        <v>9.6233145402724691</v>
      </c>
      <c r="BF934" s="2">
        <v>9.6233145402724691</v>
      </c>
      <c r="BG934" s="2">
        <v>9.6233145402724691</v>
      </c>
      <c r="BH934" s="2">
        <v>9.6233145402724691</v>
      </c>
      <c r="BI934" s="2">
        <v>9.6233145402724691</v>
      </c>
      <c r="BJ934" s="2">
        <v>9.6233145402724691</v>
      </c>
      <c r="BK934" s="2">
        <v>9.6233145402724691</v>
      </c>
      <c r="BL934" s="2">
        <v>9.6233145402724691</v>
      </c>
      <c r="BM934" s="2">
        <v>9.6233145402724691</v>
      </c>
      <c r="BN934" s="2">
        <v>9.6233145402724691</v>
      </c>
      <c r="BO934" s="2">
        <v>15.0772672034536</v>
      </c>
      <c r="BP934" s="2">
        <v>9.6233145402724691</v>
      </c>
      <c r="BQ934" s="2">
        <v>9.6233145402724691</v>
      </c>
      <c r="BR934" s="2">
        <v>9.6233145402724691</v>
      </c>
      <c r="BS934" s="2">
        <v>16.244267382142901</v>
      </c>
      <c r="BT934" s="2">
        <v>14.2902420901739</v>
      </c>
      <c r="BU934" s="2">
        <v>14.1672683800406</v>
      </c>
      <c r="BV934" s="2">
        <v>14.1534570311018</v>
      </c>
      <c r="BW934" s="2">
        <v>14.022703304654501</v>
      </c>
      <c r="BX934" s="2">
        <v>15.706156025176</v>
      </c>
      <c r="BY934" s="2">
        <v>13.9732632729092</v>
      </c>
      <c r="BZ934" s="2">
        <v>14.4581810142845</v>
      </c>
      <c r="CA934" s="2">
        <v>9.6233145402724691</v>
      </c>
      <c r="CB934" s="2">
        <v>15.6003627427566</v>
      </c>
      <c r="CC934" s="2">
        <v>15.2961630536755</v>
      </c>
      <c r="CD934" s="2">
        <v>14.3291235962916</v>
      </c>
      <c r="CE934" s="2">
        <v>14.4186999020414</v>
      </c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</row>
    <row r="935" spans="1:97">
      <c r="A935" s="2" t="s">
        <v>8657</v>
      </c>
      <c r="B935" s="2">
        <v>251.09199000000001</v>
      </c>
      <c r="C935" s="2">
        <v>6.3840000000000003</v>
      </c>
      <c r="D935" s="2" t="s">
        <v>146</v>
      </c>
      <c r="E935" s="2" t="s">
        <v>8658</v>
      </c>
      <c r="F935" s="2" t="s">
        <v>8659</v>
      </c>
      <c r="G935" s="2">
        <v>212648</v>
      </c>
      <c r="H935" s="3" t="str">
        <f>HYPERLINK("https://cloud.oebiotech.com/#/lm/network/212648", "https://cloud.oebiotech.com/#/lm/network/212648")</f>
        <v>https://cloud.oebiotech.com/#/lm/network/212648</v>
      </c>
      <c r="I935" s="2" t="s">
        <v>8660</v>
      </c>
      <c r="J935" s="2"/>
      <c r="K935" s="2"/>
      <c r="L935" s="2"/>
      <c r="M935" s="2" t="s">
        <v>8661</v>
      </c>
      <c r="N935" s="2"/>
      <c r="O935" s="2"/>
      <c r="P935" s="2">
        <v>81817</v>
      </c>
      <c r="Q935" s="2"/>
      <c r="R935" s="2"/>
      <c r="S935" s="2"/>
      <c r="T935" s="2" t="s">
        <v>8662</v>
      </c>
      <c r="U935" s="2" t="s">
        <v>8663</v>
      </c>
      <c r="V935" s="2" t="s">
        <v>115</v>
      </c>
      <c r="W935" s="2" t="s">
        <v>8664</v>
      </c>
      <c r="X935" s="2" t="s">
        <v>375</v>
      </c>
      <c r="Y935" s="2" t="s">
        <v>118</v>
      </c>
      <c r="Z935" s="2" t="s">
        <v>8665</v>
      </c>
      <c r="AA935" s="2"/>
      <c r="AB935" s="2" t="s">
        <v>3086</v>
      </c>
      <c r="AC935" s="2">
        <v>52.07</v>
      </c>
      <c r="AD935" s="2">
        <v>91.58</v>
      </c>
      <c r="AE935" s="2">
        <v>0</v>
      </c>
      <c r="AF935" s="2" t="s">
        <v>5614</v>
      </c>
      <c r="AG935" s="2" t="s">
        <v>194</v>
      </c>
      <c r="AH935" s="2" t="s">
        <v>8666</v>
      </c>
      <c r="AI935" s="2">
        <v>1.99</v>
      </c>
      <c r="AJ935" s="2">
        <v>16.752870739848198</v>
      </c>
      <c r="AK935" s="2">
        <v>17.187808643004601</v>
      </c>
      <c r="AL935" s="2">
        <v>17.2284614477507</v>
      </c>
      <c r="AM935" s="2">
        <v>16.964204232217099</v>
      </c>
      <c r="AN935" s="2">
        <v>17.370212394961499</v>
      </c>
      <c r="AO935" s="2">
        <v>16.952652645557201</v>
      </c>
      <c r="AP935" s="2">
        <v>17.335072514318</v>
      </c>
      <c r="AQ935" s="2">
        <v>17.311264669327901</v>
      </c>
      <c r="AR935" s="2">
        <v>12.5628243465098</v>
      </c>
      <c r="AS935" s="2">
        <v>11.8368787986585</v>
      </c>
      <c r="AT935" s="2">
        <v>12.5325385641802</v>
      </c>
      <c r="AU935" s="2">
        <v>19.038110262673101</v>
      </c>
      <c r="AV935" s="2">
        <v>16.9252421775766</v>
      </c>
      <c r="AW935" s="2">
        <v>9.6233145402724691</v>
      </c>
      <c r="AX935" s="2">
        <v>15.517100341359299</v>
      </c>
      <c r="AY935" s="2">
        <v>18.511902026112701</v>
      </c>
      <c r="AZ935" s="2">
        <v>13.999459240247401</v>
      </c>
      <c r="BA935" s="2">
        <v>17.5899899697866</v>
      </c>
      <c r="BB935" s="2">
        <v>14.581198816223401</v>
      </c>
      <c r="BC935" s="2">
        <v>12.5392630343036</v>
      </c>
      <c r="BD935" s="2">
        <v>17.420362506634099</v>
      </c>
      <c r="BE935" s="2">
        <v>17.530052615806799</v>
      </c>
      <c r="BF935" s="2">
        <v>19.025152812738199</v>
      </c>
      <c r="BG935" s="2">
        <v>12.5281170844084</v>
      </c>
      <c r="BH935" s="2">
        <v>13.365135875006001</v>
      </c>
      <c r="BI935" s="2">
        <v>12.5879977940752</v>
      </c>
      <c r="BJ935" s="2">
        <v>13.3727562554788</v>
      </c>
      <c r="BK935" s="2">
        <v>14.0476854380008</v>
      </c>
      <c r="BL935" s="2">
        <v>16.184016007991598</v>
      </c>
      <c r="BM935" s="2">
        <v>18.819092093234001</v>
      </c>
      <c r="BN935" s="2">
        <v>15.970631253101899</v>
      </c>
      <c r="BO935" s="2">
        <v>20.310214035176099</v>
      </c>
      <c r="BP935" s="2">
        <v>17.581805281178799</v>
      </c>
      <c r="BQ935" s="2">
        <v>17.9847626689122</v>
      </c>
      <c r="BR935" s="2">
        <v>16.839201942399001</v>
      </c>
      <c r="BS935" s="2">
        <v>19.085394991290801</v>
      </c>
      <c r="BT935" s="2">
        <v>9.6233145402724691</v>
      </c>
      <c r="BU935" s="2">
        <v>12.464160265449699</v>
      </c>
      <c r="BV935" s="2">
        <v>12.9847192856063</v>
      </c>
      <c r="BW935" s="2">
        <v>9.6233145402724691</v>
      </c>
      <c r="BX935" s="2">
        <v>12.0385212333616</v>
      </c>
      <c r="BY935" s="2">
        <v>15.3533026127093</v>
      </c>
      <c r="BZ935" s="2">
        <v>12.7467515317578</v>
      </c>
      <c r="CA935" s="2">
        <v>12.9437620289702</v>
      </c>
      <c r="CB935" s="2">
        <v>14.248403488688499</v>
      </c>
      <c r="CC935" s="2">
        <v>13.266929983354601</v>
      </c>
      <c r="CD935" s="2">
        <v>18.9114721002313</v>
      </c>
      <c r="CE935" s="2">
        <v>14.9736830181978</v>
      </c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</row>
    <row r="936" spans="1:97">
      <c r="A936" s="2" t="s">
        <v>8667</v>
      </c>
      <c r="B936" s="2">
        <v>254.99395999999999</v>
      </c>
      <c r="C936" s="2">
        <v>4.8120000000000003</v>
      </c>
      <c r="D936" s="2" t="s">
        <v>146</v>
      </c>
      <c r="E936" s="2" t="s">
        <v>8668</v>
      </c>
      <c r="F936" s="2" t="s">
        <v>8669</v>
      </c>
      <c r="G936" s="2">
        <v>51931</v>
      </c>
      <c r="H936" s="3" t="str">
        <f>HYPERLINK("https://cloud.oebiotech.com/#/lm/network/51931", "https://cloud.oebiotech.com/#/lm/network/51931")</f>
        <v>https://cloud.oebiotech.com/#/lm/network/51931</v>
      </c>
      <c r="I936" s="2" t="s">
        <v>8670</v>
      </c>
      <c r="J936" s="2">
        <v>3354</v>
      </c>
      <c r="K936" s="2"/>
      <c r="L936" s="2">
        <v>792</v>
      </c>
      <c r="M936" s="2" t="s">
        <v>8671</v>
      </c>
      <c r="N936" s="2" t="s">
        <v>546</v>
      </c>
      <c r="O936" s="2" t="s">
        <v>547</v>
      </c>
      <c r="P936" s="2">
        <v>16426</v>
      </c>
      <c r="Q936" s="2"/>
      <c r="R936" s="2"/>
      <c r="S936" s="2" t="s">
        <v>8672</v>
      </c>
      <c r="T936" s="2" t="s">
        <v>8673</v>
      </c>
      <c r="U936" s="2" t="s">
        <v>8674</v>
      </c>
      <c r="V936" s="2" t="s">
        <v>115</v>
      </c>
      <c r="W936" s="2" t="s">
        <v>4566</v>
      </c>
      <c r="X936" s="2" t="s">
        <v>4567</v>
      </c>
      <c r="Y936" s="2" t="s">
        <v>118</v>
      </c>
      <c r="Z936" s="2" t="s">
        <v>4568</v>
      </c>
      <c r="AA936" s="2" t="s">
        <v>4569</v>
      </c>
      <c r="AB936" s="2" t="s">
        <v>5118</v>
      </c>
      <c r="AC936" s="2">
        <v>52.03</v>
      </c>
      <c r="AD936" s="2">
        <v>83.39</v>
      </c>
      <c r="AE936" s="2">
        <v>97.1</v>
      </c>
      <c r="AF936" s="2" t="s">
        <v>8675</v>
      </c>
      <c r="AG936" s="2" t="s">
        <v>4062</v>
      </c>
      <c r="AH936" s="2" t="s">
        <v>8676</v>
      </c>
      <c r="AI936" s="2">
        <v>1.18</v>
      </c>
      <c r="AJ936" s="2">
        <v>24.0878009583653</v>
      </c>
      <c r="AK936" s="2">
        <v>24.1640836625816</v>
      </c>
      <c r="AL936" s="2">
        <v>24.268642951406701</v>
      </c>
      <c r="AM936" s="2">
        <v>24.221742577369699</v>
      </c>
      <c r="AN936" s="2">
        <v>24.163407227700802</v>
      </c>
      <c r="AO936" s="2">
        <v>23.984711187592399</v>
      </c>
      <c r="AP936" s="2">
        <v>23.980559641392801</v>
      </c>
      <c r="AQ936" s="2">
        <v>24.1746619051282</v>
      </c>
      <c r="AR936" s="2">
        <v>22.647048112513701</v>
      </c>
      <c r="AS936" s="2">
        <v>21.204021784680702</v>
      </c>
      <c r="AT936" s="2">
        <v>19.399645699598899</v>
      </c>
      <c r="AU936" s="2">
        <v>22.245267182133698</v>
      </c>
      <c r="AV936" s="2">
        <v>25.541597833147598</v>
      </c>
      <c r="AW936" s="2">
        <v>23.9250046176582</v>
      </c>
      <c r="AX936" s="2">
        <v>23.3471623330847</v>
      </c>
      <c r="AY936" s="2">
        <v>22.481497990588501</v>
      </c>
      <c r="AZ936" s="2">
        <v>23.338751904669699</v>
      </c>
      <c r="BA936" s="2">
        <v>22.333721672455798</v>
      </c>
      <c r="BB936" s="2">
        <v>21.9203730288922</v>
      </c>
      <c r="BC936" s="2">
        <v>20.394266568272201</v>
      </c>
      <c r="BD936" s="2">
        <v>23.4955305682779</v>
      </c>
      <c r="BE936" s="2">
        <v>26.412698305135901</v>
      </c>
      <c r="BF936" s="2">
        <v>23.5820812998954</v>
      </c>
      <c r="BG936" s="2">
        <v>22.754301152005699</v>
      </c>
      <c r="BH936" s="2">
        <v>24.9930221550302</v>
      </c>
      <c r="BI936" s="2">
        <v>24.995222741631999</v>
      </c>
      <c r="BJ936" s="2">
        <v>25.154100375576199</v>
      </c>
      <c r="BK936" s="2">
        <v>21.7333689681167</v>
      </c>
      <c r="BL936" s="2">
        <v>23.780662792095299</v>
      </c>
      <c r="BM936" s="2">
        <v>20.358829472988202</v>
      </c>
      <c r="BN936" s="2">
        <v>22.315694861802999</v>
      </c>
      <c r="BO936" s="2">
        <v>20.456744216604001</v>
      </c>
      <c r="BP936" s="2">
        <v>25.000921609540999</v>
      </c>
      <c r="BQ936" s="2">
        <v>23.9355568668487</v>
      </c>
      <c r="BR936" s="2">
        <v>23.641268572344298</v>
      </c>
      <c r="BS936" s="2">
        <v>23.3455270743904</v>
      </c>
      <c r="BT936" s="2">
        <v>23.910150648539702</v>
      </c>
      <c r="BU936" s="2">
        <v>22.715704042136</v>
      </c>
      <c r="BV936" s="2">
        <v>22.331943364047302</v>
      </c>
      <c r="BW936" s="2">
        <v>19.845023804164601</v>
      </c>
      <c r="BX936" s="2">
        <v>23.636464578128699</v>
      </c>
      <c r="BY936" s="2">
        <v>26.1891566209997</v>
      </c>
      <c r="BZ936" s="2">
        <v>21.876663249281101</v>
      </c>
      <c r="CA936" s="2">
        <v>21.318333525366</v>
      </c>
      <c r="CB936" s="2">
        <v>24.173104811674001</v>
      </c>
      <c r="CC936" s="2">
        <v>22.0524123025784</v>
      </c>
      <c r="CD936" s="2">
        <v>24.695844254234501</v>
      </c>
      <c r="CE936" s="2">
        <v>18.986881856040799</v>
      </c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</row>
    <row r="937" spans="1:97">
      <c r="A937" s="2" t="s">
        <v>8677</v>
      </c>
      <c r="B937" s="2">
        <v>317.11369999999999</v>
      </c>
      <c r="C937" s="2">
        <v>5.0819999999999999</v>
      </c>
      <c r="D937" s="2" t="s">
        <v>146</v>
      </c>
      <c r="E937" s="2" t="s">
        <v>8678</v>
      </c>
      <c r="F937" s="2" t="s">
        <v>8679</v>
      </c>
      <c r="G937" s="2">
        <v>204498</v>
      </c>
      <c r="H937" s="3" t="str">
        <f>HYPERLINK("https://cloud.oebiotech.com/#/lm/network/204498", "https://cloud.oebiotech.com/#/lm/network/204498")</f>
        <v>https://cloud.oebiotech.com/#/lm/network/204498</v>
      </c>
      <c r="I937" s="2" t="s">
        <v>8680</v>
      </c>
      <c r="J937" s="2"/>
      <c r="K937" s="2"/>
      <c r="L937" s="2">
        <v>65892</v>
      </c>
      <c r="M937" s="2"/>
      <c r="N937" s="2"/>
      <c r="O937" s="2"/>
      <c r="P937" s="2"/>
      <c r="Q937" s="2"/>
      <c r="R937" s="2"/>
      <c r="S937" s="2"/>
      <c r="T937" s="2" t="s">
        <v>8681</v>
      </c>
      <c r="U937" s="2" t="s">
        <v>8682</v>
      </c>
      <c r="V937" s="2" t="s">
        <v>385</v>
      </c>
      <c r="W937" s="2" t="s">
        <v>8683</v>
      </c>
      <c r="X937" s="2" t="s">
        <v>375</v>
      </c>
      <c r="Y937" s="2" t="s">
        <v>388</v>
      </c>
      <c r="Z937" s="2" t="s">
        <v>8684</v>
      </c>
      <c r="AA937" s="2"/>
      <c r="AB937" s="2" t="s">
        <v>3086</v>
      </c>
      <c r="AC937" s="2">
        <v>52.03</v>
      </c>
      <c r="AD937" s="2">
        <v>89.46</v>
      </c>
      <c r="AE937" s="2">
        <v>0</v>
      </c>
      <c r="AF937" s="2" t="s">
        <v>5614</v>
      </c>
      <c r="AG937" s="2" t="s">
        <v>157</v>
      </c>
      <c r="AH937" s="2" t="s">
        <v>8685</v>
      </c>
      <c r="AI937" s="2">
        <v>1.89</v>
      </c>
      <c r="AJ937" s="2">
        <v>18.704571539628599</v>
      </c>
      <c r="AK937" s="2">
        <v>18.639359046082902</v>
      </c>
      <c r="AL937" s="2">
        <v>18.580058567870498</v>
      </c>
      <c r="AM937" s="2">
        <v>18.512368801848002</v>
      </c>
      <c r="AN937" s="2">
        <v>18.7473891371503</v>
      </c>
      <c r="AO937" s="2">
        <v>18.6589242915298</v>
      </c>
      <c r="AP937" s="2">
        <v>18.823702658003601</v>
      </c>
      <c r="AQ937" s="2">
        <v>18.6715770355102</v>
      </c>
      <c r="AR937" s="2">
        <v>16.440900791087699</v>
      </c>
      <c r="AS937" s="2">
        <v>17.6425274956114</v>
      </c>
      <c r="AT937" s="2">
        <v>18.712071250051299</v>
      </c>
      <c r="AU937" s="2">
        <v>16.7743738570822</v>
      </c>
      <c r="AV937" s="2">
        <v>17.483199279417398</v>
      </c>
      <c r="AW937" s="2">
        <v>18.3507517211943</v>
      </c>
      <c r="AX937" s="2">
        <v>18.258781041994499</v>
      </c>
      <c r="AY937" s="2">
        <v>18.3671911472454</v>
      </c>
      <c r="AZ937" s="2">
        <v>17.138424306387101</v>
      </c>
      <c r="BA937" s="2">
        <v>17.788607083279398</v>
      </c>
      <c r="BB937" s="2">
        <v>18.663609698598901</v>
      </c>
      <c r="BC937" s="2">
        <v>19.724088078153599</v>
      </c>
      <c r="BD937" s="2">
        <v>17.464748742669499</v>
      </c>
      <c r="BE937" s="2">
        <v>19.896975201640899</v>
      </c>
      <c r="BF937" s="2">
        <v>17.394114304934298</v>
      </c>
      <c r="BG937" s="2">
        <v>18.9557378429135</v>
      </c>
      <c r="BH937" s="2">
        <v>18.5824812130273</v>
      </c>
      <c r="BI937" s="2">
        <v>18.567703494059899</v>
      </c>
      <c r="BJ937" s="2">
        <v>19.000637378232199</v>
      </c>
      <c r="BK937" s="2">
        <v>17.549004129895799</v>
      </c>
      <c r="BL937" s="2">
        <v>17.820643631575201</v>
      </c>
      <c r="BM937" s="2">
        <v>17.312534857443101</v>
      </c>
      <c r="BN937" s="2">
        <v>18.350811578240201</v>
      </c>
      <c r="BO937" s="2">
        <v>19.372243530718201</v>
      </c>
      <c r="BP937" s="2">
        <v>18.803033535584898</v>
      </c>
      <c r="BQ937" s="2">
        <v>18.3152636838097</v>
      </c>
      <c r="BR937" s="2">
        <v>19.172231570415502</v>
      </c>
      <c r="BS937" s="2">
        <v>18.201163263820401</v>
      </c>
      <c r="BT937" s="2">
        <v>17.853281773508701</v>
      </c>
      <c r="BU937" s="2">
        <v>18.336623188287</v>
      </c>
      <c r="BV937" s="2">
        <v>18.570054432353601</v>
      </c>
      <c r="BW937" s="2">
        <v>17.963102551268801</v>
      </c>
      <c r="BX937" s="2">
        <v>17.316454874578099</v>
      </c>
      <c r="BY937" s="2">
        <v>20.832668855283899</v>
      </c>
      <c r="BZ937" s="2">
        <v>17.1487362399453</v>
      </c>
      <c r="CA937" s="2">
        <v>18.1346730790668</v>
      </c>
      <c r="CB937" s="2">
        <v>18.452971019545501</v>
      </c>
      <c r="CC937" s="2">
        <v>17.7222630831779</v>
      </c>
      <c r="CD937" s="2">
        <v>19.5376381218062</v>
      </c>
      <c r="CE937" s="2">
        <v>17.869895798804901</v>
      </c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</row>
    <row r="938" spans="1:97">
      <c r="A938" s="2" t="s">
        <v>8686</v>
      </c>
      <c r="B938" s="2">
        <v>279.08587</v>
      </c>
      <c r="C938" s="2">
        <v>4.4320000000000004</v>
      </c>
      <c r="D938" s="2" t="s">
        <v>84</v>
      </c>
      <c r="E938" s="2" t="s">
        <v>8687</v>
      </c>
      <c r="F938" s="2" t="s">
        <v>8688</v>
      </c>
      <c r="G938" s="2">
        <v>257382</v>
      </c>
      <c r="H938" s="3" t="str">
        <f>HYPERLINK("https://cloud.oebiotech.com/#/lm/network/257382", "https://cloud.oebiotech.com/#/lm/network/257382")</f>
        <v>https://cloud.oebiotech.com/#/lm/network/257382</v>
      </c>
      <c r="I938" s="2" t="s">
        <v>8689</v>
      </c>
      <c r="J938" s="2"/>
      <c r="K938" s="2"/>
      <c r="L938" s="2">
        <v>129720486</v>
      </c>
      <c r="M938" s="2"/>
      <c r="N938" s="2"/>
      <c r="O938" s="2"/>
      <c r="P938" s="2"/>
      <c r="Q938" s="2"/>
      <c r="R938" s="2"/>
      <c r="S938" s="2"/>
      <c r="T938" s="2" t="s">
        <v>8690</v>
      </c>
      <c r="U938" s="2" t="s">
        <v>8691</v>
      </c>
      <c r="V938" s="2" t="s">
        <v>845</v>
      </c>
      <c r="W938" s="2" t="s">
        <v>970</v>
      </c>
      <c r="X938" s="2" t="s">
        <v>971</v>
      </c>
      <c r="Y938" s="2" t="s">
        <v>847</v>
      </c>
      <c r="Z938" s="2" t="s">
        <v>972</v>
      </c>
      <c r="AA938" s="2" t="s">
        <v>973</v>
      </c>
      <c r="AB938" s="2" t="s">
        <v>3086</v>
      </c>
      <c r="AC938" s="2">
        <v>52.03</v>
      </c>
      <c r="AD938" s="2">
        <v>90.51</v>
      </c>
      <c r="AE938" s="2">
        <v>0</v>
      </c>
      <c r="AF938" s="2" t="s">
        <v>5614</v>
      </c>
      <c r="AG938" s="2" t="s">
        <v>1088</v>
      </c>
      <c r="AH938" s="2" t="s">
        <v>8692</v>
      </c>
      <c r="AI938" s="2">
        <v>3.58</v>
      </c>
      <c r="AJ938" s="2">
        <v>18.144204043410401</v>
      </c>
      <c r="AK938" s="2">
        <v>18.079904470615201</v>
      </c>
      <c r="AL938" s="2">
        <v>17.897186173146899</v>
      </c>
      <c r="AM938" s="2">
        <v>17.765096540864601</v>
      </c>
      <c r="AN938" s="2">
        <v>17.722933641426899</v>
      </c>
      <c r="AO938" s="2">
        <v>17.749650927799198</v>
      </c>
      <c r="AP938" s="2">
        <v>17.932401341042699</v>
      </c>
      <c r="AQ938" s="2">
        <v>18.069081641060599</v>
      </c>
      <c r="AR938" s="2">
        <v>18.1567910231383</v>
      </c>
      <c r="AS938" s="2">
        <v>17.666824122339101</v>
      </c>
      <c r="AT938" s="2">
        <v>18.1992526382619</v>
      </c>
      <c r="AU938" s="2">
        <v>18.249654121235199</v>
      </c>
      <c r="AV938" s="2">
        <v>18.181445895726501</v>
      </c>
      <c r="AW938" s="2">
        <v>18.120217016119</v>
      </c>
      <c r="AX938" s="2">
        <v>17.4419338488119</v>
      </c>
      <c r="AY938" s="2">
        <v>17.8642386895493</v>
      </c>
      <c r="AZ938" s="2">
        <v>17.8795373630062</v>
      </c>
      <c r="BA938" s="2">
        <v>18.143341258347402</v>
      </c>
      <c r="BB938" s="2">
        <v>17.811214744798001</v>
      </c>
      <c r="BC938" s="2">
        <v>16.929625740461798</v>
      </c>
      <c r="BD938" s="2">
        <v>17.522803640522799</v>
      </c>
      <c r="BE938" s="2">
        <v>17.546890843501799</v>
      </c>
      <c r="BF938" s="2">
        <v>17.511761454427301</v>
      </c>
      <c r="BG938" s="2">
        <v>17.2409682116776</v>
      </c>
      <c r="BH938" s="2">
        <v>17.359148312119899</v>
      </c>
      <c r="BI938" s="2">
        <v>17.909711294335398</v>
      </c>
      <c r="BJ938" s="2">
        <v>17.448649746409799</v>
      </c>
      <c r="BK938" s="2">
        <v>17.784563409324701</v>
      </c>
      <c r="BL938" s="2">
        <v>17.713533118471499</v>
      </c>
      <c r="BM938" s="2">
        <v>17.7033349082859</v>
      </c>
      <c r="BN938" s="2">
        <v>16.890876038502299</v>
      </c>
      <c r="BO938" s="2">
        <v>17.622745866513501</v>
      </c>
      <c r="BP938" s="2">
        <v>17.782077552344301</v>
      </c>
      <c r="BQ938" s="2">
        <v>15.981762366103901</v>
      </c>
      <c r="BR938" s="2">
        <v>17.624747558434901</v>
      </c>
      <c r="BS938" s="2">
        <v>17.7786216446559</v>
      </c>
      <c r="BT938" s="2">
        <v>17.759849182504301</v>
      </c>
      <c r="BU938" s="2">
        <v>17.7883515467101</v>
      </c>
      <c r="BV938" s="2">
        <v>17.7567247270139</v>
      </c>
      <c r="BW938" s="2">
        <v>17.5256793139359</v>
      </c>
      <c r="BX938" s="2">
        <v>17.940734551216199</v>
      </c>
      <c r="BY938" s="2">
        <v>17.526025930022701</v>
      </c>
      <c r="BZ938" s="2">
        <v>18.034644286185902</v>
      </c>
      <c r="CA938" s="2">
        <v>17.454781626990101</v>
      </c>
      <c r="CB938" s="2">
        <v>17.720105751953099</v>
      </c>
      <c r="CC938" s="2">
        <v>17.5390970007726</v>
      </c>
      <c r="CD938" s="2">
        <v>17.8749305729981</v>
      </c>
      <c r="CE938" s="2">
        <v>17.9523696298365</v>
      </c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</row>
    <row r="939" spans="1:97">
      <c r="A939" s="2" t="s">
        <v>8693</v>
      </c>
      <c r="B939" s="2">
        <v>241.10669999999999</v>
      </c>
      <c r="C939" s="2">
        <v>7.4119999999999999</v>
      </c>
      <c r="D939" s="2" t="s">
        <v>84</v>
      </c>
      <c r="E939" s="2" t="s">
        <v>8694</v>
      </c>
      <c r="F939" s="2" t="s">
        <v>8695</v>
      </c>
      <c r="G939" s="2">
        <v>2659</v>
      </c>
      <c r="H939" s="3" t="str">
        <f>HYPERLINK("https://cloud.oebiotech.com/#/lm/network/2659", "https://cloud.oebiotech.com/#/lm/network/2659")</f>
        <v>https://cloud.oebiotech.com/#/lm/network/2659</v>
      </c>
      <c r="I939" s="2"/>
      <c r="J939" s="2"/>
      <c r="K939" s="2" t="s">
        <v>8696</v>
      </c>
      <c r="L939" s="2">
        <v>134812133</v>
      </c>
      <c r="M939" s="2"/>
      <c r="N939" s="2"/>
      <c r="O939" s="2"/>
      <c r="P939" s="2"/>
      <c r="Q939" s="2"/>
      <c r="R939" s="2"/>
      <c r="S939" s="2"/>
      <c r="T939" s="2" t="s">
        <v>8697</v>
      </c>
      <c r="U939" s="2" t="s">
        <v>8698</v>
      </c>
      <c r="V939" s="2" t="s">
        <v>95</v>
      </c>
      <c r="W939" s="2" t="s">
        <v>96</v>
      </c>
      <c r="X939" s="2" t="s">
        <v>141</v>
      </c>
      <c r="Y939" s="2" t="s">
        <v>98</v>
      </c>
      <c r="Z939" s="2" t="s">
        <v>99</v>
      </c>
      <c r="AA939" s="2" t="s">
        <v>142</v>
      </c>
      <c r="AB939" s="2" t="s">
        <v>5118</v>
      </c>
      <c r="AC939" s="2">
        <v>52.01</v>
      </c>
      <c r="AD939" s="2">
        <v>98.84</v>
      </c>
      <c r="AE939" s="2">
        <v>80.62</v>
      </c>
      <c r="AF939" s="2" t="s">
        <v>8699</v>
      </c>
      <c r="AG939" s="2" t="s">
        <v>103</v>
      </c>
      <c r="AH939" s="2" t="s">
        <v>8700</v>
      </c>
      <c r="AI939" s="2">
        <v>1.66</v>
      </c>
      <c r="AJ939" s="2">
        <v>23.66121865669</v>
      </c>
      <c r="AK939" s="2">
        <v>23.5020154290265</v>
      </c>
      <c r="AL939" s="2">
        <v>23.352672841466902</v>
      </c>
      <c r="AM939" s="2">
        <v>23.486854742092799</v>
      </c>
      <c r="AN939" s="2">
        <v>23.258228033727299</v>
      </c>
      <c r="AO939" s="2">
        <v>23.424831156804501</v>
      </c>
      <c r="AP939" s="2">
        <v>23.397122231672299</v>
      </c>
      <c r="AQ939" s="2">
        <v>23.515296462996101</v>
      </c>
      <c r="AR939" s="2">
        <v>23.371504058427</v>
      </c>
      <c r="AS939" s="2">
        <v>22.010487105680301</v>
      </c>
      <c r="AT939" s="2">
        <v>23.669505640400399</v>
      </c>
      <c r="AU939" s="2">
        <v>23.3387260131116</v>
      </c>
      <c r="AV939" s="2">
        <v>22.312734549857801</v>
      </c>
      <c r="AW939" s="2">
        <v>23.995306020250901</v>
      </c>
      <c r="AX939" s="2">
        <v>21.988296054826598</v>
      </c>
      <c r="AY939" s="2">
        <v>22.426223506433399</v>
      </c>
      <c r="AZ939" s="2">
        <v>21.8074905913174</v>
      </c>
      <c r="BA939" s="2">
        <v>23.992759798769701</v>
      </c>
      <c r="BB939" s="2">
        <v>23.3689504534055</v>
      </c>
      <c r="BC939" s="2">
        <v>23.785749858256398</v>
      </c>
      <c r="BD939" s="2">
        <v>23.7210605826989</v>
      </c>
      <c r="BE939" s="2">
        <v>22.579223040469198</v>
      </c>
      <c r="BF939" s="2">
        <v>22.552286899409101</v>
      </c>
      <c r="BG939" s="2">
        <v>22.661728862163201</v>
      </c>
      <c r="BH939" s="2">
        <v>23.0321203002026</v>
      </c>
      <c r="BI939" s="2">
        <v>22.705215673569899</v>
      </c>
      <c r="BJ939" s="2">
        <v>25.741800507779999</v>
      </c>
      <c r="BK939" s="2">
        <v>23.957781976870301</v>
      </c>
      <c r="BL939" s="2">
        <v>23.186710241244999</v>
      </c>
      <c r="BM939" s="2">
        <v>23.0592279048116</v>
      </c>
      <c r="BN939" s="2">
        <v>24.1868310757256</v>
      </c>
      <c r="BO939" s="2">
        <v>23.792381546494902</v>
      </c>
      <c r="BP939" s="2">
        <v>20.200523688411501</v>
      </c>
      <c r="BQ939" s="2">
        <v>23.468186783314799</v>
      </c>
      <c r="BR939" s="2">
        <v>22.285334465632101</v>
      </c>
      <c r="BS939" s="2">
        <v>22.683892813276799</v>
      </c>
      <c r="BT939" s="2">
        <v>25.747574666744502</v>
      </c>
      <c r="BU939" s="2">
        <v>24.154952888106301</v>
      </c>
      <c r="BV939" s="2">
        <v>23.1322914840549</v>
      </c>
      <c r="BW939" s="2">
        <v>21.3941841675767</v>
      </c>
      <c r="BX939" s="2">
        <v>23.510399941913398</v>
      </c>
      <c r="BY939" s="2">
        <v>22.7272825598358</v>
      </c>
      <c r="BZ939" s="2">
        <v>21.738522498341698</v>
      </c>
      <c r="CA939" s="2">
        <v>22.9029989674032</v>
      </c>
      <c r="CB939" s="2">
        <v>21.097909012650799</v>
      </c>
      <c r="CC939" s="2">
        <v>23.604791054434401</v>
      </c>
      <c r="CD939" s="2">
        <v>23.9399096557528</v>
      </c>
      <c r="CE939" s="2">
        <v>24.026783905123299</v>
      </c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</row>
    <row r="940" spans="1:97">
      <c r="A940" s="2" t="s">
        <v>8701</v>
      </c>
      <c r="B940" s="2">
        <v>209.11451</v>
      </c>
      <c r="C940" s="2">
        <v>0.66200000000000003</v>
      </c>
      <c r="D940" s="2" t="s">
        <v>84</v>
      </c>
      <c r="E940" s="2" t="s">
        <v>8702</v>
      </c>
      <c r="F940" s="2" t="s">
        <v>8703</v>
      </c>
      <c r="G940" s="2">
        <v>199789</v>
      </c>
      <c r="H940" s="3" t="str">
        <f>HYPERLINK("https://cloud.oebiotech.com/#/lm/network/199789", "https://cloud.oebiotech.com/#/lm/network/199789")</f>
        <v>https://cloud.oebiotech.com/#/lm/network/199789</v>
      </c>
      <c r="I940" s="2" t="s">
        <v>8704</v>
      </c>
      <c r="J940" s="2"/>
      <c r="K940" s="2"/>
      <c r="L940" s="2">
        <v>92837</v>
      </c>
      <c r="M940" s="2"/>
      <c r="N940" s="2"/>
      <c r="O940" s="2"/>
      <c r="P940" s="2"/>
      <c r="Q940" s="2"/>
      <c r="R940" s="2"/>
      <c r="S940" s="2"/>
      <c r="T940" s="2" t="s">
        <v>8705</v>
      </c>
      <c r="U940" s="2" t="s">
        <v>8706</v>
      </c>
      <c r="V940" s="2" t="s">
        <v>115</v>
      </c>
      <c r="W940" s="2" t="s">
        <v>832</v>
      </c>
      <c r="X940" s="2" t="s">
        <v>4084</v>
      </c>
      <c r="Y940" s="2" t="s">
        <v>118</v>
      </c>
      <c r="Z940" s="2" t="s">
        <v>834</v>
      </c>
      <c r="AA940" s="2" t="s">
        <v>4085</v>
      </c>
      <c r="AB940" s="2" t="s">
        <v>3086</v>
      </c>
      <c r="AC940" s="2">
        <v>52</v>
      </c>
      <c r="AD940" s="2">
        <v>73.459999999999994</v>
      </c>
      <c r="AE940" s="2">
        <v>0</v>
      </c>
      <c r="AF940" s="2" t="s">
        <v>5614</v>
      </c>
      <c r="AG940" s="2" t="s">
        <v>1578</v>
      </c>
      <c r="AH940" s="2" t="s">
        <v>2034</v>
      </c>
      <c r="AI940" s="2">
        <v>1.43</v>
      </c>
      <c r="AJ940" s="2">
        <v>20.315207519882598</v>
      </c>
      <c r="AK940" s="2">
        <v>20.6787524347159</v>
      </c>
      <c r="AL940" s="2">
        <v>20.5809586146814</v>
      </c>
      <c r="AM940" s="2">
        <v>20.915534591828099</v>
      </c>
      <c r="AN940" s="2">
        <v>20.2440245717866</v>
      </c>
      <c r="AO940" s="2">
        <v>20.8003203887708</v>
      </c>
      <c r="AP940" s="2">
        <v>20.4202755478074</v>
      </c>
      <c r="AQ940" s="2">
        <v>20.209222309538699</v>
      </c>
      <c r="AR940" s="2">
        <v>20.4555579112841</v>
      </c>
      <c r="AS940" s="2">
        <v>20.366390308596099</v>
      </c>
      <c r="AT940" s="2">
        <v>20.2317987418194</v>
      </c>
      <c r="AU940" s="2">
        <v>20.166961620382601</v>
      </c>
      <c r="AV940" s="2">
        <v>20.621083827155299</v>
      </c>
      <c r="AW940" s="2">
        <v>20.774698052833902</v>
      </c>
      <c r="AX940" s="2">
        <v>20.353744356324601</v>
      </c>
      <c r="AY940" s="2">
        <v>20.813014172088099</v>
      </c>
      <c r="AZ940" s="2">
        <v>20.5200615707388</v>
      </c>
      <c r="BA940" s="2">
        <v>20.3656273400846</v>
      </c>
      <c r="BB940" s="2">
        <v>20.453543983452199</v>
      </c>
      <c r="BC940" s="2">
        <v>19.818855377961501</v>
      </c>
      <c r="BD940" s="2">
        <v>20.2566295752274</v>
      </c>
      <c r="BE940" s="2">
        <v>20.874122139032099</v>
      </c>
      <c r="BF940" s="2">
        <v>19.908253147920998</v>
      </c>
      <c r="BG940" s="2">
        <v>20.1546190722201</v>
      </c>
      <c r="BH940" s="2">
        <v>20.8371614485722</v>
      </c>
      <c r="BI940" s="2">
        <v>20.765191581954699</v>
      </c>
      <c r="BJ940" s="2">
        <v>20.846591743353201</v>
      </c>
      <c r="BK940" s="2">
        <v>20.304761493652599</v>
      </c>
      <c r="BL940" s="2">
        <v>20.7833616978278</v>
      </c>
      <c r="BM940" s="2">
        <v>20.2114196998936</v>
      </c>
      <c r="BN940" s="2">
        <v>20.364151234395301</v>
      </c>
      <c r="BO940" s="2">
        <v>20.246992586607</v>
      </c>
      <c r="BP940" s="2">
        <v>20.1355275476811</v>
      </c>
      <c r="BQ940" s="2">
        <v>20.488485404592701</v>
      </c>
      <c r="BR940" s="2">
        <v>20.118351692574301</v>
      </c>
      <c r="BS940" s="2">
        <v>20.2611882525661</v>
      </c>
      <c r="BT940" s="2">
        <v>20.275383143008401</v>
      </c>
      <c r="BU940" s="2">
        <v>20.980656844456099</v>
      </c>
      <c r="BV940" s="2">
        <v>20.738354487435501</v>
      </c>
      <c r="BW940" s="2">
        <v>20.4302337091688</v>
      </c>
      <c r="BX940" s="2">
        <v>19.7459489190597</v>
      </c>
      <c r="BY940" s="2">
        <v>20.731294698601101</v>
      </c>
      <c r="BZ940" s="2">
        <v>20.5928347670799</v>
      </c>
      <c r="CA940" s="2">
        <v>20.083038442258299</v>
      </c>
      <c r="CB940" s="2">
        <v>20.425799318576001</v>
      </c>
      <c r="CC940" s="2">
        <v>20.1683053215624</v>
      </c>
      <c r="CD940" s="2">
        <v>20.911728112581802</v>
      </c>
      <c r="CE940" s="2">
        <v>20.649369602962899</v>
      </c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</row>
    <row r="941" spans="1:97">
      <c r="A941" s="2" t="s">
        <v>8707</v>
      </c>
      <c r="B941" s="2">
        <v>324.28906000000001</v>
      </c>
      <c r="C941" s="2">
        <v>11.625999999999999</v>
      </c>
      <c r="D941" s="2" t="s">
        <v>84</v>
      </c>
      <c r="E941" s="2" t="s">
        <v>8708</v>
      </c>
      <c r="F941" s="2" t="s">
        <v>8709</v>
      </c>
      <c r="G941" s="2">
        <v>9016</v>
      </c>
      <c r="H941" s="3" t="str">
        <f>HYPERLINK("https://cloud.oebiotech.com/#/lm/network/9016", "https://cloud.oebiotech.com/#/lm/network/9016")</f>
        <v>https://cloud.oebiotech.com/#/lm/network/9016</v>
      </c>
      <c r="I941" s="2" t="s">
        <v>8710</v>
      </c>
      <c r="J941" s="2">
        <v>3718</v>
      </c>
      <c r="K941" s="2" t="s">
        <v>8711</v>
      </c>
      <c r="L941" s="2">
        <v>5283446</v>
      </c>
      <c r="M941" s="2"/>
      <c r="N941" s="2"/>
      <c r="O941" s="2"/>
      <c r="P941" s="2">
        <v>64032</v>
      </c>
      <c r="Q941" s="2"/>
      <c r="R941" s="2"/>
      <c r="S941" s="2" t="s">
        <v>8712</v>
      </c>
      <c r="T941" s="2" t="s">
        <v>8713</v>
      </c>
      <c r="U941" s="2" t="s">
        <v>8714</v>
      </c>
      <c r="V941" s="2" t="s">
        <v>166</v>
      </c>
      <c r="W941" s="2" t="s">
        <v>167</v>
      </c>
      <c r="X941" s="2" t="s">
        <v>482</v>
      </c>
      <c r="Y941" s="2" t="s">
        <v>169</v>
      </c>
      <c r="Z941" s="2" t="s">
        <v>169</v>
      </c>
      <c r="AA941" s="2" t="s">
        <v>483</v>
      </c>
      <c r="AB941" s="2" t="s">
        <v>3086</v>
      </c>
      <c r="AC941" s="2">
        <v>52</v>
      </c>
      <c r="AD941" s="2">
        <v>87.01</v>
      </c>
      <c r="AE941" s="2">
        <v>0</v>
      </c>
      <c r="AF941" s="2" t="s">
        <v>5614</v>
      </c>
      <c r="AG941" s="2" t="s">
        <v>103</v>
      </c>
      <c r="AH941" s="2" t="s">
        <v>8715</v>
      </c>
      <c r="AI941" s="2">
        <v>1.85</v>
      </c>
      <c r="AJ941" s="2">
        <v>18.528244203573699</v>
      </c>
      <c r="AK941" s="2">
        <v>18.5236925397144</v>
      </c>
      <c r="AL941" s="2">
        <v>18.824542975038</v>
      </c>
      <c r="AM941" s="2">
        <v>17.980692367186599</v>
      </c>
      <c r="AN941" s="2">
        <v>18.213471835185601</v>
      </c>
      <c r="AO941" s="2">
        <v>18.532280009197201</v>
      </c>
      <c r="AP941" s="2">
        <v>18.684446988881199</v>
      </c>
      <c r="AQ941" s="2">
        <v>18.548776688096801</v>
      </c>
      <c r="AR941" s="2">
        <v>9.6233145402724691</v>
      </c>
      <c r="AS941" s="2">
        <v>18.17088467864</v>
      </c>
      <c r="AT941" s="2">
        <v>18.7229516467515</v>
      </c>
      <c r="AU941" s="2">
        <v>18.162152020281699</v>
      </c>
      <c r="AV941" s="2">
        <v>16.794186365355198</v>
      </c>
      <c r="AW941" s="2">
        <v>18.360415419626701</v>
      </c>
      <c r="AX941" s="2">
        <v>18.8535207351478</v>
      </c>
      <c r="AY941" s="2">
        <v>17.693233336470101</v>
      </c>
      <c r="AZ941" s="2">
        <v>9.6233145402724691</v>
      </c>
      <c r="BA941" s="2">
        <v>18.346153481893602</v>
      </c>
      <c r="BB941" s="2">
        <v>19.031881092314201</v>
      </c>
      <c r="BC941" s="2">
        <v>19.157696498041702</v>
      </c>
      <c r="BD941" s="2">
        <v>16.42006580927</v>
      </c>
      <c r="BE941" s="2">
        <v>19.221754667001498</v>
      </c>
      <c r="BF941" s="2">
        <v>18.581743469463898</v>
      </c>
      <c r="BG941" s="2">
        <v>18.948440354693702</v>
      </c>
      <c r="BH941" s="2">
        <v>17.756234116795198</v>
      </c>
      <c r="BI941" s="2">
        <v>18.856110403175698</v>
      </c>
      <c r="BJ941" s="2">
        <v>18.480225749202202</v>
      </c>
      <c r="BK941" s="2">
        <v>18.420036893025699</v>
      </c>
      <c r="BL941" s="2">
        <v>18.246754791603699</v>
      </c>
      <c r="BM941" s="2">
        <v>15.743706291493799</v>
      </c>
      <c r="BN941" s="2">
        <v>9.6233145402724691</v>
      </c>
      <c r="BO941" s="2">
        <v>18.669850766197602</v>
      </c>
      <c r="BP941" s="2">
        <v>19.208428015984499</v>
      </c>
      <c r="BQ941" s="2">
        <v>18.687360782875398</v>
      </c>
      <c r="BR941" s="2">
        <v>18.4487153138544</v>
      </c>
      <c r="BS941" s="2">
        <v>17.413832099158</v>
      </c>
      <c r="BT941" s="2">
        <v>17.3630714661426</v>
      </c>
      <c r="BU941" s="2">
        <v>19.731269106017599</v>
      </c>
      <c r="BV941" s="2">
        <v>18.891608309009001</v>
      </c>
      <c r="BW941" s="2">
        <v>17.7539290137092</v>
      </c>
      <c r="BX941" s="2">
        <v>18.1076405210353</v>
      </c>
      <c r="BY941" s="2">
        <v>18.535314034910101</v>
      </c>
      <c r="BZ941" s="2">
        <v>18.026417644174099</v>
      </c>
      <c r="CA941" s="2">
        <v>17.645170429992199</v>
      </c>
      <c r="CB941" s="2">
        <v>17.831768219395698</v>
      </c>
      <c r="CC941" s="2">
        <v>18.475163156439901</v>
      </c>
      <c r="CD941" s="2">
        <v>18.438056285596701</v>
      </c>
      <c r="CE941" s="2">
        <v>19.403766358536298</v>
      </c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</row>
    <row r="942" spans="1:97">
      <c r="A942" s="2" t="s">
        <v>8716</v>
      </c>
      <c r="B942" s="2">
        <v>205.06801999999999</v>
      </c>
      <c r="C942" s="2">
        <v>0.71799999999999997</v>
      </c>
      <c r="D942" s="2" t="s">
        <v>84</v>
      </c>
      <c r="E942" s="2" t="s">
        <v>8717</v>
      </c>
      <c r="F942" s="2" t="s">
        <v>8718</v>
      </c>
      <c r="G942" s="2">
        <v>46956</v>
      </c>
      <c r="H942" s="3" t="str">
        <f>HYPERLINK("https://cloud.oebiotech.com/#/lm/network/46956", "https://cloud.oebiotech.com/#/lm/network/46956")</f>
        <v>https://cloud.oebiotech.com/#/lm/network/46956</v>
      </c>
      <c r="I942" s="2" t="s">
        <v>8719</v>
      </c>
      <c r="J942" s="2">
        <v>143</v>
      </c>
      <c r="K942" s="2"/>
      <c r="L942" s="2">
        <v>5780</v>
      </c>
      <c r="M942" s="2" t="s">
        <v>8720</v>
      </c>
      <c r="N942" s="2" t="s">
        <v>8721</v>
      </c>
      <c r="O942" s="2" t="s">
        <v>8722</v>
      </c>
      <c r="P942" s="2">
        <v>17924</v>
      </c>
      <c r="Q942" s="2" t="s">
        <v>8723</v>
      </c>
      <c r="R942" s="2" t="s">
        <v>8724</v>
      </c>
      <c r="S942" s="2" t="s">
        <v>8725</v>
      </c>
      <c r="T942" s="2" t="s">
        <v>8726</v>
      </c>
      <c r="U942" s="2" t="s">
        <v>8727</v>
      </c>
      <c r="V942" s="2" t="s">
        <v>338</v>
      </c>
      <c r="W942" s="2" t="s">
        <v>339</v>
      </c>
      <c r="X942" s="2" t="s">
        <v>663</v>
      </c>
      <c r="Y942" s="2" t="s">
        <v>341</v>
      </c>
      <c r="Z942" s="2" t="s">
        <v>341</v>
      </c>
      <c r="AA942" s="2" t="s">
        <v>664</v>
      </c>
      <c r="AB942" s="2" t="s">
        <v>3086</v>
      </c>
      <c r="AC942" s="2">
        <v>51.99</v>
      </c>
      <c r="AD942" s="2">
        <v>74.099999999999994</v>
      </c>
      <c r="AE942" s="2">
        <v>0</v>
      </c>
      <c r="AF942" s="2" t="s">
        <v>5614</v>
      </c>
      <c r="AG942" s="2" t="s">
        <v>1578</v>
      </c>
      <c r="AH942" s="2" t="s">
        <v>3124</v>
      </c>
      <c r="AI942" s="2">
        <v>1.46</v>
      </c>
      <c r="AJ942" s="2">
        <v>19.608035377126601</v>
      </c>
      <c r="AK942" s="2">
        <v>20.244514611285201</v>
      </c>
      <c r="AL942" s="2">
        <v>19.634267367441499</v>
      </c>
      <c r="AM942" s="2">
        <v>20.0839897586823</v>
      </c>
      <c r="AN942" s="2">
        <v>19.962594998370999</v>
      </c>
      <c r="AO942" s="2">
        <v>20.253779439349799</v>
      </c>
      <c r="AP942" s="2">
        <v>20.527368825457799</v>
      </c>
      <c r="AQ942" s="2">
        <v>19.8920306961429</v>
      </c>
      <c r="AR942" s="2">
        <v>19.448320392271999</v>
      </c>
      <c r="AS942" s="2">
        <v>19.572750382920301</v>
      </c>
      <c r="AT942" s="2">
        <v>9.6233145402724691</v>
      </c>
      <c r="AU942" s="2">
        <v>16.824285302492999</v>
      </c>
      <c r="AV942" s="2">
        <v>18.774987248469301</v>
      </c>
      <c r="AW942" s="2">
        <v>19.867794669289101</v>
      </c>
      <c r="AX942" s="2">
        <v>20.642822801152001</v>
      </c>
      <c r="AY942" s="2">
        <v>22.6337186535605</v>
      </c>
      <c r="AZ942" s="2">
        <v>18.066821150187799</v>
      </c>
      <c r="BA942" s="2">
        <v>16.768841308691599</v>
      </c>
      <c r="BB942" s="2">
        <v>17.850520107325298</v>
      </c>
      <c r="BC942" s="2">
        <v>17.320062145501101</v>
      </c>
      <c r="BD942" s="2">
        <v>20.650657588514999</v>
      </c>
      <c r="BE942" s="2">
        <v>17.868994322660299</v>
      </c>
      <c r="BF942" s="2">
        <v>21.139096835218599</v>
      </c>
      <c r="BG942" s="2">
        <v>17.0259660498083</v>
      </c>
      <c r="BH942" s="2">
        <v>19.320071910193601</v>
      </c>
      <c r="BI942" s="2">
        <v>17.089543377688099</v>
      </c>
      <c r="BJ942" s="2">
        <v>21.479122853112401</v>
      </c>
      <c r="BK942" s="2">
        <v>19.788303477199101</v>
      </c>
      <c r="BL942" s="2">
        <v>15.8655837071927</v>
      </c>
      <c r="BM942" s="2">
        <v>20.376332148282</v>
      </c>
      <c r="BN942" s="2">
        <v>19.251619200901899</v>
      </c>
      <c r="BO942" s="2">
        <v>16.6516374147864</v>
      </c>
      <c r="BP942" s="2">
        <v>18.019422847193098</v>
      </c>
      <c r="BQ942" s="2">
        <v>20.171636877567799</v>
      </c>
      <c r="BR942" s="2">
        <v>16.818542235204799</v>
      </c>
      <c r="BS942" s="2">
        <v>21.212457318323899</v>
      </c>
      <c r="BT942" s="2">
        <v>18.6592830206381</v>
      </c>
      <c r="BU942" s="2">
        <v>17.848977592779001</v>
      </c>
      <c r="BV942" s="2">
        <v>9.6233145402724691</v>
      </c>
      <c r="BW942" s="2">
        <v>18.144829240091401</v>
      </c>
      <c r="BX942" s="2">
        <v>18.941034420407199</v>
      </c>
      <c r="BY942" s="2">
        <v>19.048027763552401</v>
      </c>
      <c r="BZ942" s="2">
        <v>20.8043968876799</v>
      </c>
      <c r="CA942" s="2">
        <v>21.8357653674502</v>
      </c>
      <c r="CB942" s="2">
        <v>18.293617401812199</v>
      </c>
      <c r="CC942" s="2">
        <v>19.9926195535222</v>
      </c>
      <c r="CD942" s="2">
        <v>23.309849883999998</v>
      </c>
      <c r="CE942" s="2">
        <v>17.8438600342222</v>
      </c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</row>
    <row r="943" spans="1:97">
      <c r="A943" s="2" t="s">
        <v>8728</v>
      </c>
      <c r="B943" s="2">
        <v>375.25335999999999</v>
      </c>
      <c r="C943" s="2">
        <v>13.135999999999999</v>
      </c>
      <c r="D943" s="2" t="s">
        <v>146</v>
      </c>
      <c r="E943" s="2" t="s">
        <v>8729</v>
      </c>
      <c r="F943" s="2" t="s">
        <v>8730</v>
      </c>
      <c r="G943" s="2">
        <v>62237</v>
      </c>
      <c r="H943" s="3" t="str">
        <f>HYPERLINK("https://cloud.oebiotech.com/#/lm/network/62237", "https://cloud.oebiotech.com/#/lm/network/62237")</f>
        <v>https://cloud.oebiotech.com/#/lm/network/62237</v>
      </c>
      <c r="I943" s="2" t="s">
        <v>8731</v>
      </c>
      <c r="J943" s="2">
        <v>93522</v>
      </c>
      <c r="K943" s="2"/>
      <c r="L943" s="2">
        <v>131752491</v>
      </c>
      <c r="M943" s="2"/>
      <c r="N943" s="2"/>
      <c r="O943" s="2"/>
      <c r="P943" s="2"/>
      <c r="Q943" s="2"/>
      <c r="R943" s="2"/>
      <c r="S943" s="2" t="s">
        <v>8732</v>
      </c>
      <c r="T943" s="2" t="s">
        <v>8733</v>
      </c>
      <c r="U943" s="2" t="s">
        <v>8734</v>
      </c>
      <c r="V943" s="2" t="s">
        <v>385</v>
      </c>
      <c r="W943" s="2" t="s">
        <v>3319</v>
      </c>
      <c r="X943" s="2" t="s">
        <v>4101</v>
      </c>
      <c r="Y943" s="2" t="s">
        <v>388</v>
      </c>
      <c r="Z943" s="2" t="s">
        <v>3321</v>
      </c>
      <c r="AA943" s="2" t="s">
        <v>4102</v>
      </c>
      <c r="AB943" s="2" t="s">
        <v>3086</v>
      </c>
      <c r="AC943" s="2">
        <v>51.98</v>
      </c>
      <c r="AD943" s="2">
        <v>85.64</v>
      </c>
      <c r="AE943" s="2">
        <v>0</v>
      </c>
      <c r="AF943" s="2" t="s">
        <v>8735</v>
      </c>
      <c r="AG943" s="2" t="s">
        <v>157</v>
      </c>
      <c r="AH943" s="2" t="s">
        <v>289</v>
      </c>
      <c r="AI943" s="2">
        <v>1.87</v>
      </c>
      <c r="AJ943" s="2">
        <v>17.536622413332999</v>
      </c>
      <c r="AK943" s="2">
        <v>17.570000641722199</v>
      </c>
      <c r="AL943" s="2">
        <v>17.586227444805601</v>
      </c>
      <c r="AM943" s="2">
        <v>17.618513765751501</v>
      </c>
      <c r="AN943" s="2">
        <v>17.672505797933201</v>
      </c>
      <c r="AO943" s="2">
        <v>17.379027161576701</v>
      </c>
      <c r="AP943" s="2">
        <v>17.6977315828819</v>
      </c>
      <c r="AQ943" s="2">
        <v>17.6979235516289</v>
      </c>
      <c r="AR943" s="2">
        <v>15.247272976431899</v>
      </c>
      <c r="AS943" s="2">
        <v>16.218992635896299</v>
      </c>
      <c r="AT943" s="2">
        <v>18.2210337045057</v>
      </c>
      <c r="AU943" s="2">
        <v>15.3764405033958</v>
      </c>
      <c r="AV943" s="2">
        <v>15.873652936352499</v>
      </c>
      <c r="AW943" s="2">
        <v>15.2215236847867</v>
      </c>
      <c r="AX943" s="2">
        <v>17.754977054699498</v>
      </c>
      <c r="AY943" s="2">
        <v>16.969461622277699</v>
      </c>
      <c r="AZ943" s="2">
        <v>15.4396487828748</v>
      </c>
      <c r="BA943" s="2">
        <v>17.698022749221099</v>
      </c>
      <c r="BB943" s="2">
        <v>17.779442424774601</v>
      </c>
      <c r="BC943" s="2">
        <v>19.0934664907697</v>
      </c>
      <c r="BD943" s="2">
        <v>14.439161443867</v>
      </c>
      <c r="BE943" s="2">
        <v>15.929342332205501</v>
      </c>
      <c r="BF943" s="2">
        <v>16.423328181115998</v>
      </c>
      <c r="BG943" s="2">
        <v>18.321743211322701</v>
      </c>
      <c r="BH943" s="2">
        <v>16.929820464681299</v>
      </c>
      <c r="BI943" s="2">
        <v>17.024160314008999</v>
      </c>
      <c r="BJ943" s="2">
        <v>16.7010734403102</v>
      </c>
      <c r="BK943" s="2">
        <v>15.8949569872695</v>
      </c>
      <c r="BL943" s="2">
        <v>18.396665817503099</v>
      </c>
      <c r="BM943" s="2">
        <v>16.571882084504399</v>
      </c>
      <c r="BN943" s="2">
        <v>15.147090023192201</v>
      </c>
      <c r="BO943" s="2">
        <v>17.607810337475399</v>
      </c>
      <c r="BP943" s="2">
        <v>17.243393622131901</v>
      </c>
      <c r="BQ943" s="2">
        <v>18.012779357538001</v>
      </c>
      <c r="BR943" s="2">
        <v>17.628388578532601</v>
      </c>
      <c r="BS943" s="2">
        <v>15.4985871521246</v>
      </c>
      <c r="BT943" s="2">
        <v>16.834552895521</v>
      </c>
      <c r="BU943" s="2">
        <v>16.4669969758076</v>
      </c>
      <c r="BV943" s="2">
        <v>17.794669950417301</v>
      </c>
      <c r="BW943" s="2">
        <v>16.474992232053701</v>
      </c>
      <c r="BX943" s="2">
        <v>15.8240013152376</v>
      </c>
      <c r="BY943" s="2">
        <v>15.378410017617499</v>
      </c>
      <c r="BZ943" s="2">
        <v>17.6697535217248</v>
      </c>
      <c r="CA943" s="2">
        <v>15.921677323205</v>
      </c>
      <c r="CB943" s="2">
        <v>18.5618382272297</v>
      </c>
      <c r="CC943" s="2">
        <v>17.963466616692202</v>
      </c>
      <c r="CD943" s="2">
        <v>17.219745668348999</v>
      </c>
      <c r="CE943" s="2">
        <v>18.787101441846701</v>
      </c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</row>
    <row r="944" spans="1:97">
      <c r="A944" s="2" t="s">
        <v>8736</v>
      </c>
      <c r="B944" s="2">
        <v>169.12305000000001</v>
      </c>
      <c r="C944" s="2">
        <v>6.6459999999999999</v>
      </c>
      <c r="D944" s="2" t="s">
        <v>146</v>
      </c>
      <c r="E944" s="2" t="s">
        <v>8737</v>
      </c>
      <c r="F944" s="2" t="s">
        <v>8738</v>
      </c>
      <c r="G944" s="2">
        <v>59026</v>
      </c>
      <c r="H944" s="3" t="str">
        <f>HYPERLINK("https://cloud.oebiotech.com/#/lm/network/59026", "https://cloud.oebiotech.com/#/lm/network/59026")</f>
        <v>https://cloud.oebiotech.com/#/lm/network/59026</v>
      </c>
      <c r="I944" s="2" t="s">
        <v>8739</v>
      </c>
      <c r="J944" s="2">
        <v>90460</v>
      </c>
      <c r="K944" s="2"/>
      <c r="L944" s="2">
        <v>89802642</v>
      </c>
      <c r="M944" s="2"/>
      <c r="N944" s="2"/>
      <c r="O944" s="2"/>
      <c r="P944" s="2"/>
      <c r="Q944" s="2"/>
      <c r="R944" s="2"/>
      <c r="S944" s="2" t="s">
        <v>8740</v>
      </c>
      <c r="T944" s="2" t="s">
        <v>8741</v>
      </c>
      <c r="U944" s="2" t="s">
        <v>8742</v>
      </c>
      <c r="V944" s="2" t="s">
        <v>95</v>
      </c>
      <c r="W944" s="2" t="s">
        <v>96</v>
      </c>
      <c r="X944" s="2" t="s">
        <v>353</v>
      </c>
      <c r="Y944" s="2" t="s">
        <v>98</v>
      </c>
      <c r="Z944" s="2" t="s">
        <v>99</v>
      </c>
      <c r="AA944" s="2" t="s">
        <v>354</v>
      </c>
      <c r="AB944" s="2" t="s">
        <v>8443</v>
      </c>
      <c r="AC944" s="2">
        <v>51.97</v>
      </c>
      <c r="AD944" s="2">
        <v>93.97</v>
      </c>
      <c r="AE944" s="2">
        <v>32.36</v>
      </c>
      <c r="AF944" s="2" t="s">
        <v>8743</v>
      </c>
      <c r="AG944" s="2" t="s">
        <v>194</v>
      </c>
      <c r="AH944" s="2" t="s">
        <v>8744</v>
      </c>
      <c r="AI944" s="2">
        <v>1.77</v>
      </c>
      <c r="AJ944" s="2">
        <v>18.2103030138598</v>
      </c>
      <c r="AK944" s="2">
        <v>18.387568686496898</v>
      </c>
      <c r="AL944" s="2">
        <v>18.041164648275402</v>
      </c>
      <c r="AM944" s="2">
        <v>18.229729620685301</v>
      </c>
      <c r="AN944" s="2">
        <v>18.256427181150901</v>
      </c>
      <c r="AO944" s="2">
        <v>18.0534114883116</v>
      </c>
      <c r="AP944" s="2">
        <v>18.533639500954099</v>
      </c>
      <c r="AQ944" s="2">
        <v>18.2311104819515</v>
      </c>
      <c r="AR944" s="2">
        <v>16.011324235660201</v>
      </c>
      <c r="AS944" s="2">
        <v>17.080662659371601</v>
      </c>
      <c r="AT944" s="2">
        <v>17.066175192772999</v>
      </c>
      <c r="AU944" s="2">
        <v>17.1659876790651</v>
      </c>
      <c r="AV944" s="2">
        <v>16.449026899945</v>
      </c>
      <c r="AW944" s="2">
        <v>17.9027198003498</v>
      </c>
      <c r="AX944" s="2">
        <v>17.2683808065281</v>
      </c>
      <c r="AY944" s="2">
        <v>18.259642409045401</v>
      </c>
      <c r="AZ944" s="2">
        <v>16.059335165078998</v>
      </c>
      <c r="BA944" s="2">
        <v>18.438485560816499</v>
      </c>
      <c r="BB944" s="2">
        <v>19.5667089638054</v>
      </c>
      <c r="BC944" s="2">
        <v>19.074316163982601</v>
      </c>
      <c r="BD944" s="2">
        <v>16.145367587304801</v>
      </c>
      <c r="BE944" s="2">
        <v>18.121776472093501</v>
      </c>
      <c r="BF944" s="2">
        <v>17.553324875824998</v>
      </c>
      <c r="BG944" s="2">
        <v>18.998464409880199</v>
      </c>
      <c r="BH944" s="2">
        <v>16.986216478671</v>
      </c>
      <c r="BI944" s="2">
        <v>18.1638022742959</v>
      </c>
      <c r="BJ944" s="2">
        <v>17.0873659773697</v>
      </c>
      <c r="BK944" s="2">
        <v>15.862649706030201</v>
      </c>
      <c r="BL944" s="2">
        <v>18.357554152302299</v>
      </c>
      <c r="BM944" s="2">
        <v>17.3127176901775</v>
      </c>
      <c r="BN944" s="2">
        <v>17.048320938342702</v>
      </c>
      <c r="BO944" s="2">
        <v>18.622014201104701</v>
      </c>
      <c r="BP944" s="2">
        <v>18.455298480433601</v>
      </c>
      <c r="BQ944" s="2">
        <v>18.851982524870699</v>
      </c>
      <c r="BR944" s="2">
        <v>18.5016901873101</v>
      </c>
      <c r="BS944" s="2">
        <v>17.767953715038001</v>
      </c>
      <c r="BT944" s="2">
        <v>18.362770409211901</v>
      </c>
      <c r="BU944" s="2">
        <v>17.988594105026898</v>
      </c>
      <c r="BV944" s="2">
        <v>19.431595375918899</v>
      </c>
      <c r="BW944" s="2">
        <v>17.6338416264717</v>
      </c>
      <c r="BX944" s="2">
        <v>17.6453173758463</v>
      </c>
      <c r="BY944" s="2">
        <v>17.398539045158898</v>
      </c>
      <c r="BZ944" s="2">
        <v>18.129018626099501</v>
      </c>
      <c r="CA944" s="2">
        <v>17.369731519265599</v>
      </c>
      <c r="CB944" s="2">
        <v>17.435512864478198</v>
      </c>
      <c r="CC944" s="2">
        <v>18.7175182916721</v>
      </c>
      <c r="CD944" s="2">
        <v>17.393046167340099</v>
      </c>
      <c r="CE944" s="2">
        <v>17.8862575531891</v>
      </c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</row>
    <row r="945" spans="1:97">
      <c r="A945" s="2" t="s">
        <v>8745</v>
      </c>
      <c r="B945" s="2">
        <v>170.02445</v>
      </c>
      <c r="C945" s="2">
        <v>1.0509999999999999</v>
      </c>
      <c r="D945" s="2" t="s">
        <v>84</v>
      </c>
      <c r="E945" s="2" t="s">
        <v>8746</v>
      </c>
      <c r="F945" s="2" t="s">
        <v>8747</v>
      </c>
      <c r="G945" s="2">
        <v>81715</v>
      </c>
      <c r="H945" s="3" t="str">
        <f>HYPERLINK("https://cloud.oebiotech.com/#/lm/network/81715", "https://cloud.oebiotech.com/#/lm/network/81715")</f>
        <v>https://cloud.oebiotech.com/#/lm/network/81715</v>
      </c>
      <c r="I945" s="2" t="s">
        <v>8748</v>
      </c>
      <c r="J945" s="2">
        <v>66076</v>
      </c>
      <c r="K945" s="2"/>
      <c r="L945" s="2">
        <v>440159</v>
      </c>
      <c r="M945" s="2" t="s">
        <v>8749</v>
      </c>
      <c r="N945" s="2"/>
      <c r="O945" s="2"/>
      <c r="P945" s="2">
        <v>17195</v>
      </c>
      <c r="Q945" s="2"/>
      <c r="R945" s="2"/>
      <c r="S945" s="2" t="s">
        <v>8750</v>
      </c>
      <c r="T945" s="2" t="s">
        <v>8751</v>
      </c>
      <c r="U945" s="2" t="s">
        <v>8752</v>
      </c>
      <c r="V945" s="2" t="s">
        <v>115</v>
      </c>
      <c r="W945" s="2" t="s">
        <v>116</v>
      </c>
      <c r="X945" s="2" t="s">
        <v>117</v>
      </c>
      <c r="Y945" s="2" t="s">
        <v>118</v>
      </c>
      <c r="Z945" s="2" t="s">
        <v>119</v>
      </c>
      <c r="AA945" s="2" t="s">
        <v>120</v>
      </c>
      <c r="AB945" s="2" t="s">
        <v>3086</v>
      </c>
      <c r="AC945" s="2">
        <v>51.95</v>
      </c>
      <c r="AD945" s="2">
        <v>74.099999999999994</v>
      </c>
      <c r="AE945" s="2">
        <v>0</v>
      </c>
      <c r="AF945" s="2" t="s">
        <v>5614</v>
      </c>
      <c r="AG945" s="2" t="s">
        <v>1578</v>
      </c>
      <c r="AH945" s="2" t="s">
        <v>8753</v>
      </c>
      <c r="AI945" s="2">
        <v>0.59</v>
      </c>
      <c r="AJ945" s="2">
        <v>19.579789373117698</v>
      </c>
      <c r="AK945" s="2">
        <v>19.2134122179542</v>
      </c>
      <c r="AL945" s="2">
        <v>18.979535919847201</v>
      </c>
      <c r="AM945" s="2">
        <v>19.488599609683298</v>
      </c>
      <c r="AN945" s="2">
        <v>18.787365363018399</v>
      </c>
      <c r="AO945" s="2">
        <v>18.9034211060365</v>
      </c>
      <c r="AP945" s="2">
        <v>18.890612491591401</v>
      </c>
      <c r="AQ945" s="2">
        <v>19.0493295622598</v>
      </c>
      <c r="AR945" s="2">
        <v>18.934890500185698</v>
      </c>
      <c r="AS945" s="2">
        <v>19.843682947468299</v>
      </c>
      <c r="AT945" s="2">
        <v>19.5028018783674</v>
      </c>
      <c r="AU945" s="2">
        <v>18.471198894008801</v>
      </c>
      <c r="AV945" s="2">
        <v>19.600396628471</v>
      </c>
      <c r="AW945" s="2">
        <v>19.2175849525504</v>
      </c>
      <c r="AX945" s="2">
        <v>19.729315171346201</v>
      </c>
      <c r="AY945" s="2">
        <v>19.5244081281026</v>
      </c>
      <c r="AZ945" s="2">
        <v>19.5253316968432</v>
      </c>
      <c r="BA945" s="2">
        <v>19.1612562775843</v>
      </c>
      <c r="BB945" s="2">
        <v>18.914843405865899</v>
      </c>
      <c r="BC945" s="2">
        <v>17.885239263224399</v>
      </c>
      <c r="BD945" s="2">
        <v>17.6119160451147</v>
      </c>
      <c r="BE945" s="2">
        <v>19.484949481611601</v>
      </c>
      <c r="BF945" s="2">
        <v>19.858049934564399</v>
      </c>
      <c r="BG945" s="2">
        <v>19.544136746069601</v>
      </c>
      <c r="BH945" s="2">
        <v>19.900828431650201</v>
      </c>
      <c r="BI945" s="2">
        <v>19.025017814603999</v>
      </c>
      <c r="BJ945" s="2">
        <v>19.536042083083998</v>
      </c>
      <c r="BK945" s="2">
        <v>18.998603237705499</v>
      </c>
      <c r="BL945" s="2">
        <v>19.1958215617219</v>
      </c>
      <c r="BM945" s="2">
        <v>19.470912807882002</v>
      </c>
      <c r="BN945" s="2">
        <v>19.3173848554333</v>
      </c>
      <c r="BO945" s="2">
        <v>19.525758617166201</v>
      </c>
      <c r="BP945" s="2">
        <v>19.5173929478681</v>
      </c>
      <c r="BQ945" s="2">
        <v>19.6835361473982</v>
      </c>
      <c r="BR945" s="2">
        <v>19.421118677321601</v>
      </c>
      <c r="BS945" s="2">
        <v>19.549394489313901</v>
      </c>
      <c r="BT945" s="2">
        <v>18.652342693570201</v>
      </c>
      <c r="BU945" s="2">
        <v>18.829119452703299</v>
      </c>
      <c r="BV945" s="2">
        <v>18.904104308385399</v>
      </c>
      <c r="BW945" s="2">
        <v>19.1942083681475</v>
      </c>
      <c r="BX945" s="2">
        <v>18.864206038171101</v>
      </c>
      <c r="BY945" s="2">
        <v>20.415393363162501</v>
      </c>
      <c r="BZ945" s="2">
        <v>18.677777715993699</v>
      </c>
      <c r="CA945" s="2">
        <v>20.9775535253371</v>
      </c>
      <c r="CB945" s="2">
        <v>19.985679197800099</v>
      </c>
      <c r="CC945" s="2">
        <v>18.4058976557811</v>
      </c>
      <c r="CD945" s="2">
        <v>20.569776597554899</v>
      </c>
      <c r="CE945" s="2">
        <v>18.862619470247299</v>
      </c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</row>
    <row r="946" spans="1:97">
      <c r="A946" s="2" t="s">
        <v>8754</v>
      </c>
      <c r="B946" s="2">
        <v>217.01714000000001</v>
      </c>
      <c r="C946" s="2">
        <v>5.4859999999999998</v>
      </c>
      <c r="D946" s="2" t="s">
        <v>146</v>
      </c>
      <c r="E946" s="2" t="s">
        <v>8755</v>
      </c>
      <c r="F946" s="2" t="s">
        <v>8756</v>
      </c>
      <c r="G946" s="2">
        <v>64839</v>
      </c>
      <c r="H946" s="3" t="str">
        <f>HYPERLINK("https://cloud.oebiotech.com/#/lm/network/64839", "https://cloud.oebiotech.com/#/lm/network/64839")</f>
        <v>https://cloud.oebiotech.com/#/lm/network/64839</v>
      </c>
      <c r="I946" s="2" t="s">
        <v>8757</v>
      </c>
      <c r="J946" s="2">
        <v>96137</v>
      </c>
      <c r="K946" s="2"/>
      <c r="L946" s="2">
        <v>102186806</v>
      </c>
      <c r="M946" s="2"/>
      <c r="N946" s="2"/>
      <c r="O946" s="2"/>
      <c r="P946" s="2">
        <v>174103</v>
      </c>
      <c r="Q946" s="2"/>
      <c r="R946" s="2"/>
      <c r="S946" s="2"/>
      <c r="T946" s="2" t="s">
        <v>8758</v>
      </c>
      <c r="U946" s="2" t="s">
        <v>8759</v>
      </c>
      <c r="V946" s="2" t="s">
        <v>115</v>
      </c>
      <c r="W946" s="2" t="s">
        <v>613</v>
      </c>
      <c r="X946" s="2" t="s">
        <v>614</v>
      </c>
      <c r="Y946" s="2" t="s">
        <v>118</v>
      </c>
      <c r="Z946" s="2" t="s">
        <v>615</v>
      </c>
      <c r="AA946" s="2" t="s">
        <v>616</v>
      </c>
      <c r="AB946" s="2" t="s">
        <v>5118</v>
      </c>
      <c r="AC946" s="2">
        <v>51.91</v>
      </c>
      <c r="AD946" s="2">
        <v>91.9</v>
      </c>
      <c r="AE946" s="2">
        <v>74.13</v>
      </c>
      <c r="AF946" s="2" t="s">
        <v>8760</v>
      </c>
      <c r="AG946" s="2" t="s">
        <v>194</v>
      </c>
      <c r="AH946" s="2" t="s">
        <v>1405</v>
      </c>
      <c r="AI946" s="2">
        <v>2.2999999999999998</v>
      </c>
      <c r="AJ946" s="2">
        <v>18.312804046880501</v>
      </c>
      <c r="AK946" s="2">
        <v>18.401661862125199</v>
      </c>
      <c r="AL946" s="2">
        <v>18.229354154077299</v>
      </c>
      <c r="AM946" s="2">
        <v>18.126386065690198</v>
      </c>
      <c r="AN946" s="2">
        <v>18.0887926891725</v>
      </c>
      <c r="AO946" s="2">
        <v>18.2673150947649</v>
      </c>
      <c r="AP946" s="2">
        <v>18.338006538615399</v>
      </c>
      <c r="AQ946" s="2">
        <v>18.644396887747799</v>
      </c>
      <c r="AR946" s="2">
        <v>9.6233145402724691</v>
      </c>
      <c r="AS946" s="2">
        <v>9.6233145402724691</v>
      </c>
      <c r="AT946" s="2">
        <v>9.6233145402724691</v>
      </c>
      <c r="AU946" s="2">
        <v>15.93428059364</v>
      </c>
      <c r="AV946" s="2">
        <v>20.549354777448102</v>
      </c>
      <c r="AW946" s="2">
        <v>14.313391835179299</v>
      </c>
      <c r="AX946" s="2">
        <v>9.6233145402724691</v>
      </c>
      <c r="AY946" s="2">
        <v>13.876924565433001</v>
      </c>
      <c r="AZ946" s="2">
        <v>12.367786025433</v>
      </c>
      <c r="BA946" s="2">
        <v>14.423167790545399</v>
      </c>
      <c r="BB946" s="2">
        <v>12.6083310674589</v>
      </c>
      <c r="BC946" s="2">
        <v>9.6233145402724691</v>
      </c>
      <c r="BD946" s="2">
        <v>14.8650145469968</v>
      </c>
      <c r="BE946" s="2">
        <v>19.118827648206</v>
      </c>
      <c r="BF946" s="2">
        <v>15.166297661986601</v>
      </c>
      <c r="BG946" s="2">
        <v>11.6555486113899</v>
      </c>
      <c r="BH946" s="2">
        <v>9.6233145402724691</v>
      </c>
      <c r="BI946" s="2">
        <v>16.9457867283345</v>
      </c>
      <c r="BJ946" s="2">
        <v>13.641004049652601</v>
      </c>
      <c r="BK946" s="2">
        <v>9.6233145402724691</v>
      </c>
      <c r="BL946" s="2">
        <v>16.034767588088702</v>
      </c>
      <c r="BM946" s="2">
        <v>15.242363579076301</v>
      </c>
      <c r="BN946" s="2">
        <v>14.484892107733801</v>
      </c>
      <c r="BO946" s="2">
        <v>13.433945287656799</v>
      </c>
      <c r="BP946" s="2">
        <v>17.457403966112899</v>
      </c>
      <c r="BQ946" s="2">
        <v>16.1989917039419</v>
      </c>
      <c r="BR946" s="2">
        <v>9.6233145402724691</v>
      </c>
      <c r="BS946" s="2">
        <v>19.481789106396601</v>
      </c>
      <c r="BT946" s="2">
        <v>16.583783841910801</v>
      </c>
      <c r="BU946" s="2">
        <v>11.9170923157241</v>
      </c>
      <c r="BV946" s="2">
        <v>9.6233145402724691</v>
      </c>
      <c r="BW946" s="2">
        <v>9.6233145402724691</v>
      </c>
      <c r="BX946" s="2">
        <v>19.579180936438298</v>
      </c>
      <c r="BY946" s="2">
        <v>22.745166050293101</v>
      </c>
      <c r="BZ946" s="2">
        <v>16.545503139929199</v>
      </c>
      <c r="CA946" s="2">
        <v>9.6233145402724691</v>
      </c>
      <c r="CB946" s="2">
        <v>17.178836872642702</v>
      </c>
      <c r="CC946" s="2">
        <v>9.6233145402724691</v>
      </c>
      <c r="CD946" s="2">
        <v>15.667448941092101</v>
      </c>
      <c r="CE946" s="2">
        <v>9.6233145402724691</v>
      </c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</row>
    <row r="947" spans="1:97">
      <c r="A947" s="2" t="s">
        <v>8761</v>
      </c>
      <c r="B947" s="2">
        <v>134.06075999999999</v>
      </c>
      <c r="C947" s="2">
        <v>4.3049999999999997</v>
      </c>
      <c r="D947" s="2" t="s">
        <v>146</v>
      </c>
      <c r="E947" s="2" t="s">
        <v>8762</v>
      </c>
      <c r="F947" s="2" t="s">
        <v>8763</v>
      </c>
      <c r="G947" s="2">
        <v>51144</v>
      </c>
      <c r="H947" s="3" t="str">
        <f>HYPERLINK("https://cloud.oebiotech.com/#/lm/network/51144", "https://cloud.oebiotech.com/#/lm/network/51144")</f>
        <v>https://cloud.oebiotech.com/#/lm/network/51144</v>
      </c>
      <c r="I947" s="2" t="s">
        <v>8764</v>
      </c>
      <c r="J947" s="2">
        <v>3260</v>
      </c>
      <c r="K947" s="2"/>
      <c r="L947" s="2">
        <v>7680</v>
      </c>
      <c r="M947" s="2" t="s">
        <v>8765</v>
      </c>
      <c r="N947" s="2" t="s">
        <v>526</v>
      </c>
      <c r="O947" s="2" t="s">
        <v>527</v>
      </c>
      <c r="P947" s="2">
        <v>16562</v>
      </c>
      <c r="Q947" s="2"/>
      <c r="R947" s="2"/>
      <c r="S947" s="2" t="s">
        <v>8766</v>
      </c>
      <c r="T947" s="2" t="s">
        <v>8767</v>
      </c>
      <c r="U947" s="2" t="s">
        <v>8768</v>
      </c>
      <c r="V947" s="2" t="s">
        <v>385</v>
      </c>
      <c r="W947" s="2" t="s">
        <v>386</v>
      </c>
      <c r="X947" s="2" t="s">
        <v>8769</v>
      </c>
      <c r="Y947" s="2" t="s">
        <v>388</v>
      </c>
      <c r="Z947" s="2" t="s">
        <v>389</v>
      </c>
      <c r="AA947" s="2" t="s">
        <v>8770</v>
      </c>
      <c r="AB947" s="2" t="s">
        <v>3086</v>
      </c>
      <c r="AC947" s="2">
        <v>51.9</v>
      </c>
      <c r="AD947" s="2">
        <v>95.28</v>
      </c>
      <c r="AE947" s="2">
        <v>0</v>
      </c>
      <c r="AF947" s="2" t="s">
        <v>8771</v>
      </c>
      <c r="AG947" s="2" t="s">
        <v>194</v>
      </c>
      <c r="AH947" s="2" t="s">
        <v>8772</v>
      </c>
      <c r="AI947" s="2">
        <v>2.2400000000000002</v>
      </c>
      <c r="AJ947" s="2">
        <v>19.194102754167101</v>
      </c>
      <c r="AK947" s="2">
        <v>19.347204460951701</v>
      </c>
      <c r="AL947" s="2">
        <v>19.254572882524698</v>
      </c>
      <c r="AM947" s="2">
        <v>19.255614762323798</v>
      </c>
      <c r="AN947" s="2">
        <v>19.2260011829269</v>
      </c>
      <c r="AO947" s="2">
        <v>19.2881486611989</v>
      </c>
      <c r="AP947" s="2">
        <v>19.196965976757301</v>
      </c>
      <c r="AQ947" s="2">
        <v>19.315573734795901</v>
      </c>
      <c r="AR947" s="2">
        <v>19.253404952058201</v>
      </c>
      <c r="AS947" s="2">
        <v>17.033668728326099</v>
      </c>
      <c r="AT947" s="2">
        <v>14.322452807954599</v>
      </c>
      <c r="AU947" s="2">
        <v>16.970070267795101</v>
      </c>
      <c r="AV947" s="2">
        <v>20.0098612768208</v>
      </c>
      <c r="AW947" s="2">
        <v>16.581468943443401</v>
      </c>
      <c r="AX947" s="2">
        <v>15.298159608328399</v>
      </c>
      <c r="AY947" s="2">
        <v>20.0099229998008</v>
      </c>
      <c r="AZ947" s="2">
        <v>17.193217515243202</v>
      </c>
      <c r="BA947" s="2">
        <v>17.430069366586402</v>
      </c>
      <c r="BB947" s="2">
        <v>18.0110056398503</v>
      </c>
      <c r="BC947" s="2">
        <v>15.6797236436974</v>
      </c>
      <c r="BD947" s="2">
        <v>17.958207009448</v>
      </c>
      <c r="BE947" s="2">
        <v>19.886017074267901</v>
      </c>
      <c r="BF947" s="2">
        <v>19.1048849035157</v>
      </c>
      <c r="BG947" s="2">
        <v>19.032283669744299</v>
      </c>
      <c r="BH947" s="2">
        <v>15.149862206672999</v>
      </c>
      <c r="BI947" s="2">
        <v>18.1199545034947</v>
      </c>
      <c r="BJ947" s="2">
        <v>17.8215242535592</v>
      </c>
      <c r="BK947" s="2">
        <v>17.7034701673687</v>
      </c>
      <c r="BL947" s="2">
        <v>19.4455751971153</v>
      </c>
      <c r="BM947" s="2">
        <v>18.875357420580801</v>
      </c>
      <c r="BN947" s="2">
        <v>17.328458780331001</v>
      </c>
      <c r="BO947" s="2">
        <v>17.137003223909101</v>
      </c>
      <c r="BP947" s="2">
        <v>18.315258995272501</v>
      </c>
      <c r="BQ947" s="2">
        <v>19.131387935155601</v>
      </c>
      <c r="BR947" s="2">
        <v>15.421795615876899</v>
      </c>
      <c r="BS947" s="2">
        <v>19.849785548157602</v>
      </c>
      <c r="BT947" s="2">
        <v>17.298619209255801</v>
      </c>
      <c r="BU947" s="2">
        <v>19.923071760127002</v>
      </c>
      <c r="BV947" s="2">
        <v>18.861023338268598</v>
      </c>
      <c r="BW947" s="2">
        <v>14.621544246636301</v>
      </c>
      <c r="BX947" s="2">
        <v>18.8387787845801</v>
      </c>
      <c r="BY947" s="2">
        <v>20.6511603847743</v>
      </c>
      <c r="BZ947" s="2">
        <v>19.103601391434999</v>
      </c>
      <c r="CA947" s="2">
        <v>18.832945101630202</v>
      </c>
      <c r="CB947" s="2">
        <v>19.203560144199699</v>
      </c>
      <c r="CC947" s="2">
        <v>14.9410820038603</v>
      </c>
      <c r="CD947" s="2">
        <v>19.134948589940301</v>
      </c>
      <c r="CE947" s="2">
        <v>17.5818494780567</v>
      </c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</row>
    <row r="948" spans="1:97">
      <c r="A948" s="2" t="s">
        <v>8773</v>
      </c>
      <c r="B948" s="2">
        <v>175.05744999999999</v>
      </c>
      <c r="C948" s="2">
        <v>0.71899999999999997</v>
      </c>
      <c r="D948" s="2" t="s">
        <v>84</v>
      </c>
      <c r="E948" s="2" t="s">
        <v>8774</v>
      </c>
      <c r="F948" s="2" t="s">
        <v>8775</v>
      </c>
      <c r="G948" s="2">
        <v>48002</v>
      </c>
      <c r="H948" s="3" t="str">
        <f>HYPERLINK("https://cloud.oebiotech.com/#/lm/network/48002", "https://cloud.oebiotech.com/#/lm/network/48002")</f>
        <v>https://cloud.oebiotech.com/#/lm/network/48002</v>
      </c>
      <c r="I948" s="2" t="s">
        <v>8776</v>
      </c>
      <c r="J948" s="2"/>
      <c r="K948" s="2"/>
      <c r="L948" s="2">
        <v>6912</v>
      </c>
      <c r="M948" s="2" t="s">
        <v>8777</v>
      </c>
      <c r="N948" s="2" t="s">
        <v>8778</v>
      </c>
      <c r="O948" s="2" t="s">
        <v>8779</v>
      </c>
      <c r="P948" s="2">
        <v>17151</v>
      </c>
      <c r="Q948" s="2" t="s">
        <v>8780</v>
      </c>
      <c r="R948" s="2" t="s">
        <v>8781</v>
      </c>
      <c r="S948" s="2" t="s">
        <v>8782</v>
      </c>
      <c r="T948" s="2" t="s">
        <v>8783</v>
      </c>
      <c r="U948" s="2" t="s">
        <v>8784</v>
      </c>
      <c r="V948" s="2" t="s">
        <v>338</v>
      </c>
      <c r="W948" s="2" t="s">
        <v>339</v>
      </c>
      <c r="X948" s="2" t="s">
        <v>663</v>
      </c>
      <c r="Y948" s="2" t="s">
        <v>341</v>
      </c>
      <c r="Z948" s="2" t="s">
        <v>341</v>
      </c>
      <c r="AA948" s="2" t="s">
        <v>664</v>
      </c>
      <c r="AB948" s="2" t="s">
        <v>3086</v>
      </c>
      <c r="AC948" s="2">
        <v>51.89</v>
      </c>
      <c r="AD948" s="2">
        <v>73.739999999999995</v>
      </c>
      <c r="AE948" s="2">
        <v>0</v>
      </c>
      <c r="AF948" s="2" t="s">
        <v>5614</v>
      </c>
      <c r="AG948" s="2" t="s">
        <v>1578</v>
      </c>
      <c r="AH948" s="2" t="s">
        <v>5069</v>
      </c>
      <c r="AI948" s="2">
        <v>1.71</v>
      </c>
      <c r="AJ948" s="2">
        <v>20.7046484076741</v>
      </c>
      <c r="AK948" s="2">
        <v>20.985618360416101</v>
      </c>
      <c r="AL948" s="2">
        <v>20.506611778398099</v>
      </c>
      <c r="AM948" s="2">
        <v>20.807592737754899</v>
      </c>
      <c r="AN948" s="2">
        <v>20.407465450648701</v>
      </c>
      <c r="AO948" s="2">
        <v>20.410648664287599</v>
      </c>
      <c r="AP948" s="2">
        <v>20.798913731532298</v>
      </c>
      <c r="AQ948" s="2">
        <v>20.6416363303825</v>
      </c>
      <c r="AR948" s="2">
        <v>18.867924870535099</v>
      </c>
      <c r="AS948" s="2">
        <v>18.5206818247038</v>
      </c>
      <c r="AT948" s="2">
        <v>17.815486933257201</v>
      </c>
      <c r="AU948" s="2">
        <v>19.214122622950701</v>
      </c>
      <c r="AV948" s="2">
        <v>18.990924373067301</v>
      </c>
      <c r="AW948" s="2">
        <v>19.248049557308299</v>
      </c>
      <c r="AX948" s="2">
        <v>19.046657547445399</v>
      </c>
      <c r="AY948" s="2">
        <v>21.093130633343801</v>
      </c>
      <c r="AZ948" s="2">
        <v>19.791609527195199</v>
      </c>
      <c r="BA948" s="2">
        <v>19.123354479387999</v>
      </c>
      <c r="BB948" s="2">
        <v>20.179541397866601</v>
      </c>
      <c r="BC948" s="2">
        <v>20.787168064494001</v>
      </c>
      <c r="BD948" s="2">
        <v>20.599026172466601</v>
      </c>
      <c r="BE948" s="2">
        <v>18.386106586167099</v>
      </c>
      <c r="BF948" s="2">
        <v>19.110340745082102</v>
      </c>
      <c r="BG948" s="2">
        <v>20.2976712505873</v>
      </c>
      <c r="BH948" s="2">
        <v>17.9859130184837</v>
      </c>
      <c r="BI948" s="2">
        <v>20.140860768337099</v>
      </c>
      <c r="BJ948" s="2">
        <v>20.119883360119999</v>
      </c>
      <c r="BK948" s="2">
        <v>20.0631063632874</v>
      </c>
      <c r="BL948" s="2">
        <v>19.721409660176501</v>
      </c>
      <c r="BM948" s="2">
        <v>20.490188256392301</v>
      </c>
      <c r="BN948" s="2">
        <v>19.937140189837699</v>
      </c>
      <c r="BO948" s="2">
        <v>18.858510230753701</v>
      </c>
      <c r="BP948" s="2">
        <v>19.470827175487599</v>
      </c>
      <c r="BQ948" s="2">
        <v>19.0367385574833</v>
      </c>
      <c r="BR948" s="2">
        <v>20.0206914350542</v>
      </c>
      <c r="BS948" s="2">
        <v>20.645926613914099</v>
      </c>
      <c r="BT948" s="2">
        <v>19.385379488217101</v>
      </c>
      <c r="BU948" s="2">
        <v>19.607284325667202</v>
      </c>
      <c r="BV948" s="2">
        <v>20.1204882770854</v>
      </c>
      <c r="BW948" s="2">
        <v>17.053399237355599</v>
      </c>
      <c r="BX948" s="2">
        <v>18.2861711640649</v>
      </c>
      <c r="BY948" s="2">
        <v>20.693506669800101</v>
      </c>
      <c r="BZ948" s="2">
        <v>25.4194150734793</v>
      </c>
      <c r="CA948" s="2">
        <v>20.257740595556001</v>
      </c>
      <c r="CB948" s="2">
        <v>20.212616524033301</v>
      </c>
      <c r="CC948" s="2">
        <v>19.071646500569798</v>
      </c>
      <c r="CD948" s="2">
        <v>20.5818476488034</v>
      </c>
      <c r="CE948" s="2">
        <v>19.928932551649499</v>
      </c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</row>
    <row r="949" spans="1:97">
      <c r="A949" s="2" t="s">
        <v>8785</v>
      </c>
      <c r="B949" s="2">
        <v>311.29503</v>
      </c>
      <c r="C949" s="2">
        <v>14.997999999999999</v>
      </c>
      <c r="D949" s="2" t="s">
        <v>146</v>
      </c>
      <c r="E949" s="2" t="s">
        <v>8786</v>
      </c>
      <c r="F949" s="2" t="s">
        <v>8787</v>
      </c>
      <c r="G949" s="2">
        <v>47229</v>
      </c>
      <c r="H949" s="3" t="str">
        <f>HYPERLINK("https://cloud.oebiotech.com/#/lm/network/47229", "https://cloud.oebiotech.com/#/lm/network/47229")</f>
        <v>https://cloud.oebiotech.com/#/lm/network/47229</v>
      </c>
      <c r="I949" s="2" t="s">
        <v>8788</v>
      </c>
      <c r="J949" s="2">
        <v>200</v>
      </c>
      <c r="K949" s="2"/>
      <c r="L949" s="2">
        <v>26840</v>
      </c>
      <c r="M949" s="2" t="s">
        <v>8789</v>
      </c>
      <c r="N949" s="2"/>
      <c r="O949" s="2"/>
      <c r="P949" s="2">
        <v>16285</v>
      </c>
      <c r="Q949" s="2" t="s">
        <v>8790</v>
      </c>
      <c r="R949" s="2" t="s">
        <v>8791</v>
      </c>
      <c r="S949" s="2" t="s">
        <v>8792</v>
      </c>
      <c r="T949" s="2" t="s">
        <v>8793</v>
      </c>
      <c r="U949" s="2" t="s">
        <v>8794</v>
      </c>
      <c r="V949" s="2" t="s">
        <v>95</v>
      </c>
      <c r="W949" s="2" t="s">
        <v>180</v>
      </c>
      <c r="X949" s="2" t="s">
        <v>3643</v>
      </c>
      <c r="Y949" s="2" t="s">
        <v>98</v>
      </c>
      <c r="Z949" s="2" t="s">
        <v>182</v>
      </c>
      <c r="AA949" s="2" t="s">
        <v>3644</v>
      </c>
      <c r="AB949" s="2" t="s">
        <v>3086</v>
      </c>
      <c r="AC949" s="2">
        <v>51.88</v>
      </c>
      <c r="AD949" s="2">
        <v>87.31</v>
      </c>
      <c r="AE949" s="2">
        <v>0</v>
      </c>
      <c r="AF949" s="2" t="s">
        <v>5614</v>
      </c>
      <c r="AG949" s="2" t="s">
        <v>194</v>
      </c>
      <c r="AH949" s="2" t="s">
        <v>5694</v>
      </c>
      <c r="AI949" s="2">
        <v>1.93</v>
      </c>
      <c r="AJ949" s="2">
        <v>18.1057747736576</v>
      </c>
      <c r="AK949" s="2">
        <v>18.355985190506001</v>
      </c>
      <c r="AL949" s="2">
        <v>18.4464373777829</v>
      </c>
      <c r="AM949" s="2">
        <v>18.5919551909485</v>
      </c>
      <c r="AN949" s="2">
        <v>18.6218144355141</v>
      </c>
      <c r="AO949" s="2">
        <v>18.441404808165998</v>
      </c>
      <c r="AP949" s="2">
        <v>18.648010911529799</v>
      </c>
      <c r="AQ949" s="2">
        <v>18.578206933198</v>
      </c>
      <c r="AR949" s="2">
        <v>17.732375935051799</v>
      </c>
      <c r="AS949" s="2">
        <v>17.438293582663899</v>
      </c>
      <c r="AT949" s="2">
        <v>17.265371201187001</v>
      </c>
      <c r="AU949" s="2">
        <v>16.817560555909399</v>
      </c>
      <c r="AV949" s="2">
        <v>20.873281804098699</v>
      </c>
      <c r="AW949" s="2">
        <v>16.122751369815902</v>
      </c>
      <c r="AX949" s="2">
        <v>15.9998062657347</v>
      </c>
      <c r="AY949" s="2">
        <v>17.403992954392901</v>
      </c>
      <c r="AZ949" s="2">
        <v>17.742907671485799</v>
      </c>
      <c r="BA949" s="2">
        <v>19.125569158034899</v>
      </c>
      <c r="BB949" s="2">
        <v>18.245334603211798</v>
      </c>
      <c r="BC949" s="2">
        <v>19.4556326865379</v>
      </c>
      <c r="BD949" s="2">
        <v>14.2096087150499</v>
      </c>
      <c r="BE949" s="2">
        <v>18.198546861049799</v>
      </c>
      <c r="BF949" s="2">
        <v>17.909021715748899</v>
      </c>
      <c r="BG949" s="2">
        <v>18.2930522687188</v>
      </c>
      <c r="BH949" s="2">
        <v>16.271129052329599</v>
      </c>
      <c r="BI949" s="2">
        <v>16.228541771669601</v>
      </c>
      <c r="BJ949" s="2">
        <v>20.158805106493599</v>
      </c>
      <c r="BK949" s="2">
        <v>15.7309522110051</v>
      </c>
      <c r="BL949" s="2">
        <v>17.2368630096</v>
      </c>
      <c r="BM949" s="2">
        <v>18.1104443627232</v>
      </c>
      <c r="BN949" s="2">
        <v>16.427665093218501</v>
      </c>
      <c r="BO949" s="2">
        <v>17.545481194296901</v>
      </c>
      <c r="BP949" s="2">
        <v>16.667620937093201</v>
      </c>
      <c r="BQ949" s="2">
        <v>17.704596833509001</v>
      </c>
      <c r="BR949" s="2">
        <v>17.6941055077905</v>
      </c>
      <c r="BS949" s="2">
        <v>18.4386579010772</v>
      </c>
      <c r="BT949" s="2">
        <v>18.688970145008099</v>
      </c>
      <c r="BU949" s="2">
        <v>18.4079815732741</v>
      </c>
      <c r="BV949" s="2">
        <v>17.826703828325499</v>
      </c>
      <c r="BW949" s="2">
        <v>17.8646278491752</v>
      </c>
      <c r="BX949" s="2">
        <v>15.6863560753633</v>
      </c>
      <c r="BY949" s="2">
        <v>17.911632428683902</v>
      </c>
      <c r="BZ949" s="2">
        <v>18.4437988141147</v>
      </c>
      <c r="CA949" s="2">
        <v>17.4463418589302</v>
      </c>
      <c r="CB949" s="2">
        <v>17.559314273007601</v>
      </c>
      <c r="CC949" s="2">
        <v>15.787419251087099</v>
      </c>
      <c r="CD949" s="2">
        <v>16.691413799730299</v>
      </c>
      <c r="CE949" s="2">
        <v>17.747381695400801</v>
      </c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</row>
    <row r="950" spans="1:97">
      <c r="A950" s="2" t="s">
        <v>8795</v>
      </c>
      <c r="B950" s="2">
        <v>386.28946000000002</v>
      </c>
      <c r="C950" s="2">
        <v>8.0340000000000007</v>
      </c>
      <c r="D950" s="2" t="s">
        <v>84</v>
      </c>
      <c r="E950" s="2" t="s">
        <v>8796</v>
      </c>
      <c r="F950" s="2" t="s">
        <v>8797</v>
      </c>
      <c r="G950" s="2">
        <v>197909</v>
      </c>
      <c r="H950" s="3" t="str">
        <f>HYPERLINK("https://cloud.oebiotech.com/#/lm/network/197909", "https://cloud.oebiotech.com/#/lm/network/197909")</f>
        <v>https://cloud.oebiotech.com/#/lm/network/197909</v>
      </c>
      <c r="I950" s="2" t="s">
        <v>8798</v>
      </c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 t="s">
        <v>8799</v>
      </c>
      <c r="U950" s="2" t="s">
        <v>8800</v>
      </c>
      <c r="V950" s="2" t="s">
        <v>95</v>
      </c>
      <c r="W950" s="2" t="s">
        <v>96</v>
      </c>
      <c r="X950" s="2" t="s">
        <v>97</v>
      </c>
      <c r="Y950" s="2" t="s">
        <v>98</v>
      </c>
      <c r="Z950" s="2" t="s">
        <v>99</v>
      </c>
      <c r="AA950" s="2" t="s">
        <v>100</v>
      </c>
      <c r="AB950" s="2" t="s">
        <v>3086</v>
      </c>
      <c r="AC950" s="2">
        <v>51.88</v>
      </c>
      <c r="AD950" s="2">
        <v>85.66</v>
      </c>
      <c r="AE950" s="2">
        <v>0</v>
      </c>
      <c r="AF950" s="2" t="s">
        <v>8801</v>
      </c>
      <c r="AG950" s="2" t="s">
        <v>103</v>
      </c>
      <c r="AH950" s="2" t="s">
        <v>4619</v>
      </c>
      <c r="AI950" s="2">
        <v>1.55</v>
      </c>
      <c r="AJ950" s="2">
        <v>18.920311300798001</v>
      </c>
      <c r="AK950" s="2">
        <v>18.961492087412498</v>
      </c>
      <c r="AL950" s="2">
        <v>18.833358391349901</v>
      </c>
      <c r="AM950" s="2">
        <v>18.742815853796799</v>
      </c>
      <c r="AN950" s="2">
        <v>18.590487310056499</v>
      </c>
      <c r="AO950" s="2">
        <v>18.343117688385099</v>
      </c>
      <c r="AP950" s="2">
        <v>18.7040205025231</v>
      </c>
      <c r="AQ950" s="2">
        <v>18.460371740910801</v>
      </c>
      <c r="AR950" s="2">
        <v>17.446321744640599</v>
      </c>
      <c r="AS950" s="2">
        <v>18.020320013628702</v>
      </c>
      <c r="AT950" s="2">
        <v>19.296250698299598</v>
      </c>
      <c r="AU950" s="2">
        <v>16.534379034167799</v>
      </c>
      <c r="AV950" s="2">
        <v>16.858368142782499</v>
      </c>
      <c r="AW950" s="2">
        <v>18.219852138959801</v>
      </c>
      <c r="AX950" s="2">
        <v>17.1817631526608</v>
      </c>
      <c r="AY950" s="2">
        <v>18.6380522299199</v>
      </c>
      <c r="AZ950" s="2">
        <v>14.0211760571179</v>
      </c>
      <c r="BA950" s="2">
        <v>19.273015769249799</v>
      </c>
      <c r="BB950" s="2">
        <v>19.207135512302902</v>
      </c>
      <c r="BC950" s="2">
        <v>20.0502864060186</v>
      </c>
      <c r="BD950" s="2">
        <v>17.2716717461788</v>
      </c>
      <c r="BE950" s="2">
        <v>18.365521704598201</v>
      </c>
      <c r="BF950" s="2">
        <v>18.606460880080199</v>
      </c>
      <c r="BG950" s="2">
        <v>18.853844587595798</v>
      </c>
      <c r="BH950" s="2">
        <v>17.528007091150499</v>
      </c>
      <c r="BI950" s="2">
        <v>19.540194630132099</v>
      </c>
      <c r="BJ950" s="2">
        <v>18.594650888126299</v>
      </c>
      <c r="BK950" s="2">
        <v>15.3062685776884</v>
      </c>
      <c r="BL950" s="2">
        <v>19.202050005142802</v>
      </c>
      <c r="BM950" s="2">
        <v>17.854709654704401</v>
      </c>
      <c r="BN950" s="2">
        <v>18.325395805183899</v>
      </c>
      <c r="BO950" s="2">
        <v>19.487762719849101</v>
      </c>
      <c r="BP950" s="2">
        <v>18.657166788343499</v>
      </c>
      <c r="BQ950" s="2">
        <v>19.5602455182153</v>
      </c>
      <c r="BR950" s="2">
        <v>19.0674557104767</v>
      </c>
      <c r="BS950" s="2">
        <v>17.361340954694999</v>
      </c>
      <c r="BT950" s="2">
        <v>18.4343082619584</v>
      </c>
      <c r="BU950" s="2">
        <v>19.3130978823691</v>
      </c>
      <c r="BV950" s="2">
        <v>19.0857900158991</v>
      </c>
      <c r="BW950" s="2">
        <v>19.152889866092899</v>
      </c>
      <c r="BX950" s="2">
        <v>17.814104947250701</v>
      </c>
      <c r="BY950" s="2">
        <v>16.919750909023399</v>
      </c>
      <c r="BZ950" s="2">
        <v>19.110397589137602</v>
      </c>
      <c r="CA950" s="2">
        <v>18.6250018034841</v>
      </c>
      <c r="CB950" s="2">
        <v>18.554436939235099</v>
      </c>
      <c r="CC950" s="2">
        <v>19.481712748343199</v>
      </c>
      <c r="CD950" s="2">
        <v>17.817421840790299</v>
      </c>
      <c r="CE950" s="2">
        <v>18.9944789876334</v>
      </c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</row>
    <row r="951" spans="1:97">
      <c r="A951" s="2" t="s">
        <v>8802</v>
      </c>
      <c r="B951" s="2">
        <v>351.10050999999999</v>
      </c>
      <c r="C951" s="2">
        <v>7.6909999999999998</v>
      </c>
      <c r="D951" s="2" t="s">
        <v>84</v>
      </c>
      <c r="E951" s="2" t="s">
        <v>8803</v>
      </c>
      <c r="F951" s="2" t="s">
        <v>8804</v>
      </c>
      <c r="G951" s="2">
        <v>213215</v>
      </c>
      <c r="H951" s="3" t="str">
        <f>HYPERLINK("https://cloud.oebiotech.com/#/lm/network/213215", "https://cloud.oebiotech.com/#/lm/network/213215")</f>
        <v>https://cloud.oebiotech.com/#/lm/network/213215</v>
      </c>
      <c r="I951" s="2" t="s">
        <v>8805</v>
      </c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 t="s">
        <v>8806</v>
      </c>
      <c r="U951" s="2" t="s">
        <v>8807</v>
      </c>
      <c r="V951" s="2" t="s">
        <v>553</v>
      </c>
      <c r="W951" s="2" t="s">
        <v>1045</v>
      </c>
      <c r="X951" s="2" t="s">
        <v>8808</v>
      </c>
      <c r="Y951" s="2" t="s">
        <v>556</v>
      </c>
      <c r="Z951" s="2" t="s">
        <v>1047</v>
      </c>
      <c r="AA951" s="2" t="s">
        <v>8809</v>
      </c>
      <c r="AB951" s="2" t="s">
        <v>5118</v>
      </c>
      <c r="AC951" s="2">
        <v>51.87</v>
      </c>
      <c r="AD951" s="2">
        <v>74.41</v>
      </c>
      <c r="AE951" s="2">
        <v>50.46</v>
      </c>
      <c r="AF951" s="2" t="s">
        <v>8810</v>
      </c>
      <c r="AG951" s="2" t="s">
        <v>3544</v>
      </c>
      <c r="AH951" s="2" t="s">
        <v>8811</v>
      </c>
      <c r="AI951" s="2">
        <v>0.28000000000000003</v>
      </c>
      <c r="AJ951" s="2">
        <v>18.370657441153401</v>
      </c>
      <c r="AK951" s="2">
        <v>19.057681788323301</v>
      </c>
      <c r="AL951" s="2">
        <v>18.8656907772613</v>
      </c>
      <c r="AM951" s="2">
        <v>18.646974652665001</v>
      </c>
      <c r="AN951" s="2">
        <v>18.839321169636801</v>
      </c>
      <c r="AO951" s="2">
        <v>18.824823127332699</v>
      </c>
      <c r="AP951" s="2">
        <v>18.5801010144313</v>
      </c>
      <c r="AQ951" s="2">
        <v>18.9719550739926</v>
      </c>
      <c r="AR951" s="2">
        <v>9.6233145402724691</v>
      </c>
      <c r="AS951" s="2">
        <v>9.6233145402724691</v>
      </c>
      <c r="AT951" s="2">
        <v>19.245584736493001</v>
      </c>
      <c r="AU951" s="2">
        <v>20.454629042744301</v>
      </c>
      <c r="AV951" s="2">
        <v>19.1875470560419</v>
      </c>
      <c r="AW951" s="2">
        <v>19.862826825352901</v>
      </c>
      <c r="AX951" s="2">
        <v>19.612645901973998</v>
      </c>
      <c r="AY951" s="2">
        <v>18.740741262651799</v>
      </c>
      <c r="AZ951" s="2">
        <v>18.352816411327201</v>
      </c>
      <c r="BA951" s="2">
        <v>17.724765764518001</v>
      </c>
      <c r="BB951" s="2">
        <v>9.6233145402724691</v>
      </c>
      <c r="BC951" s="2">
        <v>9.6233145402724691</v>
      </c>
      <c r="BD951" s="2">
        <v>20.3897036982072</v>
      </c>
      <c r="BE951" s="2">
        <v>17.770257897168701</v>
      </c>
      <c r="BF951" s="2">
        <v>18.102991041752102</v>
      </c>
      <c r="BG951" s="2">
        <v>9.6233145402724691</v>
      </c>
      <c r="BH951" s="2">
        <v>20.6290918789825</v>
      </c>
      <c r="BI951" s="2">
        <v>20.6005450755443</v>
      </c>
      <c r="BJ951" s="2">
        <v>9.6233145402724691</v>
      </c>
      <c r="BK951" s="2">
        <v>19.729920278246599</v>
      </c>
      <c r="BL951" s="2">
        <v>17.5362457735996</v>
      </c>
      <c r="BM951" s="2">
        <v>20.145538836349701</v>
      </c>
      <c r="BN951" s="2">
        <v>19.4229634185874</v>
      </c>
      <c r="BO951" s="2">
        <v>15.9493249533019</v>
      </c>
      <c r="BP951" s="2">
        <v>19.683564656843501</v>
      </c>
      <c r="BQ951" s="2">
        <v>18.187058812304201</v>
      </c>
      <c r="BR951" s="2">
        <v>9.6233145402724691</v>
      </c>
      <c r="BS951" s="2">
        <v>16.466278840129299</v>
      </c>
      <c r="BT951" s="2">
        <v>9.6233145402724691</v>
      </c>
      <c r="BU951" s="2">
        <v>19.341538607177199</v>
      </c>
      <c r="BV951" s="2">
        <v>9.6233145402724691</v>
      </c>
      <c r="BW951" s="2">
        <v>9.6233145402724691</v>
      </c>
      <c r="BX951" s="2">
        <v>20.6384801331122</v>
      </c>
      <c r="BY951" s="2">
        <v>21.181478677645998</v>
      </c>
      <c r="BZ951" s="2">
        <v>9.6233145402724691</v>
      </c>
      <c r="CA951" s="2">
        <v>9.6233145402724691</v>
      </c>
      <c r="CB951" s="2">
        <v>9.6233145402724691</v>
      </c>
      <c r="CC951" s="2">
        <v>17.7904790848837</v>
      </c>
      <c r="CD951" s="2">
        <v>18.669386694357399</v>
      </c>
      <c r="CE951" s="2">
        <v>18.5175871978131</v>
      </c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</row>
    <row r="952" spans="1:97">
      <c r="A952" s="2" t="s">
        <v>8812</v>
      </c>
      <c r="B952" s="2">
        <v>176.07048</v>
      </c>
      <c r="C952" s="2">
        <v>6.2220000000000004</v>
      </c>
      <c r="D952" s="2" t="s">
        <v>84</v>
      </c>
      <c r="E952" s="2" t="s">
        <v>8813</v>
      </c>
      <c r="F952" s="2" t="s">
        <v>8814</v>
      </c>
      <c r="G952" s="2">
        <v>207804</v>
      </c>
      <c r="H952" s="3" t="str">
        <f>HYPERLINK("https://cloud.oebiotech.com/#/lm/network/207804", "https://cloud.oebiotech.com/#/lm/network/207804")</f>
        <v>https://cloud.oebiotech.com/#/lm/network/207804</v>
      </c>
      <c r="I952" s="2" t="s">
        <v>8815</v>
      </c>
      <c r="J952" s="2"/>
      <c r="K952" s="2"/>
      <c r="L952" s="2">
        <v>4371752</v>
      </c>
      <c r="M952" s="2"/>
      <c r="N952" s="2"/>
      <c r="O952" s="2"/>
      <c r="P952" s="2"/>
      <c r="Q952" s="2"/>
      <c r="R952" s="2"/>
      <c r="S952" s="2"/>
      <c r="T952" s="2" t="s">
        <v>8816</v>
      </c>
      <c r="U952" s="2" t="s">
        <v>8817</v>
      </c>
      <c r="V952" s="2" t="s">
        <v>553</v>
      </c>
      <c r="W952" s="2" t="s">
        <v>933</v>
      </c>
      <c r="X952" s="2" t="s">
        <v>934</v>
      </c>
      <c r="Y952" s="2" t="s">
        <v>556</v>
      </c>
      <c r="Z952" s="2" t="s">
        <v>935</v>
      </c>
      <c r="AA952" s="2" t="s">
        <v>936</v>
      </c>
      <c r="AB952" s="2" t="s">
        <v>8443</v>
      </c>
      <c r="AC952" s="2">
        <v>51.86</v>
      </c>
      <c r="AD952" s="2">
        <v>93.52</v>
      </c>
      <c r="AE952" s="2">
        <v>41.07</v>
      </c>
      <c r="AF952" s="2" t="s">
        <v>8818</v>
      </c>
      <c r="AG952" s="2" t="s">
        <v>103</v>
      </c>
      <c r="AH952" s="2" t="s">
        <v>2804</v>
      </c>
      <c r="AI952" s="2">
        <v>0.56999999999999995</v>
      </c>
      <c r="AJ952" s="2">
        <v>19.127072549832899</v>
      </c>
      <c r="AK952" s="2">
        <v>19.484567031210599</v>
      </c>
      <c r="AL952" s="2">
        <v>19.506657758832901</v>
      </c>
      <c r="AM952" s="2">
        <v>19.195828600917299</v>
      </c>
      <c r="AN952" s="2">
        <v>19.615776049091501</v>
      </c>
      <c r="AO952" s="2">
        <v>19.356665059957699</v>
      </c>
      <c r="AP952" s="2">
        <v>19.421321646349298</v>
      </c>
      <c r="AQ952" s="2">
        <v>18.822111420309501</v>
      </c>
      <c r="AR952" s="2">
        <v>18.125023118298799</v>
      </c>
      <c r="AS952" s="2">
        <v>18.296840362691299</v>
      </c>
      <c r="AT952" s="2">
        <v>18.533453275119001</v>
      </c>
      <c r="AU952" s="2">
        <v>17.758928784609701</v>
      </c>
      <c r="AV952" s="2">
        <v>19.698654837945501</v>
      </c>
      <c r="AW952" s="2">
        <v>19.816025749866998</v>
      </c>
      <c r="AX952" s="2">
        <v>18.597186696108199</v>
      </c>
      <c r="AY952" s="2">
        <v>19.207999700282201</v>
      </c>
      <c r="AZ952" s="2">
        <v>19.847361531543999</v>
      </c>
      <c r="BA952" s="2">
        <v>18.9458911798889</v>
      </c>
      <c r="BB952" s="2">
        <v>19.100079729564101</v>
      </c>
      <c r="BC952" s="2">
        <v>18.877316999569199</v>
      </c>
      <c r="BD952" s="2">
        <v>19.921877988739599</v>
      </c>
      <c r="BE952" s="2">
        <v>20.1903665147249</v>
      </c>
      <c r="BF952" s="2">
        <v>18.400782853779901</v>
      </c>
      <c r="BG952" s="2">
        <v>18.897877059508598</v>
      </c>
      <c r="BH952" s="2">
        <v>21.005756516193301</v>
      </c>
      <c r="BI952" s="2">
        <v>18.217240799916599</v>
      </c>
      <c r="BJ952" s="2">
        <v>18.643827835748301</v>
      </c>
      <c r="BK952" s="2">
        <v>19.0881808556219</v>
      </c>
      <c r="BL952" s="2">
        <v>19.379223064390501</v>
      </c>
      <c r="BM952" s="2">
        <v>18.3690265670045</v>
      </c>
      <c r="BN952" s="2">
        <v>18.844429079141701</v>
      </c>
      <c r="BO952" s="2">
        <v>18.818784929887101</v>
      </c>
      <c r="BP952" s="2">
        <v>18.3444793110029</v>
      </c>
      <c r="BQ952" s="2">
        <v>19.9372062677533</v>
      </c>
      <c r="BR952" s="2">
        <v>18.580338147345799</v>
      </c>
      <c r="BS952" s="2">
        <v>19.3701860173868</v>
      </c>
      <c r="BT952" s="2">
        <v>19.5952321268168</v>
      </c>
      <c r="BU952" s="2">
        <v>18.781415395304201</v>
      </c>
      <c r="BV952" s="2">
        <v>18.273338630327199</v>
      </c>
      <c r="BW952" s="2">
        <v>18.695557820051</v>
      </c>
      <c r="BX952" s="2">
        <v>19.9328286458036</v>
      </c>
      <c r="BY952" s="2">
        <v>19.909243108917401</v>
      </c>
      <c r="BZ952" s="2">
        <v>18.948894011589601</v>
      </c>
      <c r="CA952" s="2">
        <v>18.164589574267101</v>
      </c>
      <c r="CB952" s="2">
        <v>19.0560953854886</v>
      </c>
      <c r="CC952" s="2">
        <v>18.356730753592299</v>
      </c>
      <c r="CD952" s="2">
        <v>18.6252690622246</v>
      </c>
      <c r="CE952" s="2">
        <v>18.8044775266874</v>
      </c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</row>
    <row r="953" spans="1:97">
      <c r="A953" s="2" t="s">
        <v>8819</v>
      </c>
      <c r="B953" s="2">
        <v>615.10195999999996</v>
      </c>
      <c r="C953" s="2">
        <v>4.9850000000000003</v>
      </c>
      <c r="D953" s="2" t="s">
        <v>146</v>
      </c>
      <c r="E953" s="2" t="s">
        <v>8820</v>
      </c>
      <c r="F953" s="2" t="s">
        <v>8821</v>
      </c>
      <c r="G953" s="2">
        <v>30658</v>
      </c>
      <c r="H953" s="3" t="str">
        <f>HYPERLINK("https://cloud.oebiotech.com/#/lm/network/30658", "https://cloud.oebiotech.com/#/lm/network/30658")</f>
        <v>https://cloud.oebiotech.com/#/lm/network/30658</v>
      </c>
      <c r="I953" s="2"/>
      <c r="J953" s="2"/>
      <c r="K953" s="2" t="s">
        <v>8822</v>
      </c>
      <c r="L953" s="2">
        <v>100968215</v>
      </c>
      <c r="M953" s="2"/>
      <c r="N953" s="2"/>
      <c r="O953" s="2"/>
      <c r="P953" s="2"/>
      <c r="Q953" s="2"/>
      <c r="R953" s="2"/>
      <c r="S953" s="2"/>
      <c r="T953" s="2" t="s">
        <v>8823</v>
      </c>
      <c r="U953" s="2" t="s">
        <v>8824</v>
      </c>
      <c r="V953" s="2" t="s">
        <v>845</v>
      </c>
      <c r="W953" s="2" t="s">
        <v>1853</v>
      </c>
      <c r="X953" s="2" t="s">
        <v>6175</v>
      </c>
      <c r="Y953" s="2" t="s">
        <v>847</v>
      </c>
      <c r="Z953" s="2" t="s">
        <v>1855</v>
      </c>
      <c r="AA953" s="2" t="s">
        <v>6176</v>
      </c>
      <c r="AB953" s="2" t="s">
        <v>3086</v>
      </c>
      <c r="AC953" s="2">
        <v>51.84</v>
      </c>
      <c r="AD953" s="2">
        <v>78.84</v>
      </c>
      <c r="AE953" s="2">
        <v>30.1885714285714</v>
      </c>
      <c r="AF953" s="2" t="s">
        <v>8825</v>
      </c>
      <c r="AG953" s="2" t="s">
        <v>194</v>
      </c>
      <c r="AH953" s="2" t="s">
        <v>8826</v>
      </c>
      <c r="AI953" s="2">
        <v>-4.55</v>
      </c>
      <c r="AJ953" s="2">
        <v>18.328835745626701</v>
      </c>
      <c r="AK953" s="2">
        <v>18.7248926027744</v>
      </c>
      <c r="AL953" s="2">
        <v>18.588598443891598</v>
      </c>
      <c r="AM953" s="2">
        <v>18.772596322783201</v>
      </c>
      <c r="AN953" s="2">
        <v>18.593985739887199</v>
      </c>
      <c r="AO953" s="2">
        <v>18.590935701478799</v>
      </c>
      <c r="AP953" s="2">
        <v>18.541157432377901</v>
      </c>
      <c r="AQ953" s="2">
        <v>18.476905215920599</v>
      </c>
      <c r="AR953" s="2">
        <v>9.6233145402724691</v>
      </c>
      <c r="AS953" s="2">
        <v>11.582137276187799</v>
      </c>
      <c r="AT953" s="2">
        <v>17.3244026976576</v>
      </c>
      <c r="AU953" s="2">
        <v>9.6233145402724691</v>
      </c>
      <c r="AV953" s="2">
        <v>18.7001394189396</v>
      </c>
      <c r="AW953" s="2">
        <v>17.268088711157301</v>
      </c>
      <c r="AX953" s="2">
        <v>16.7279849161146</v>
      </c>
      <c r="AY953" s="2">
        <v>19.860448768634001</v>
      </c>
      <c r="AZ953" s="2">
        <v>14.829879778162001</v>
      </c>
      <c r="BA953" s="2">
        <v>19.734139274138201</v>
      </c>
      <c r="BB953" s="2">
        <v>19.650657115253701</v>
      </c>
      <c r="BC953" s="2">
        <v>11.837698883641901</v>
      </c>
      <c r="BD953" s="2">
        <v>16.460002102988899</v>
      </c>
      <c r="BE953" s="2">
        <v>18.7935633044168</v>
      </c>
      <c r="BF953" s="2">
        <v>14.693832670660299</v>
      </c>
      <c r="BG953" s="2">
        <v>18.384902946902699</v>
      </c>
      <c r="BH953" s="2">
        <v>20.300122059566501</v>
      </c>
      <c r="BI953" s="2">
        <v>17.997103382766699</v>
      </c>
      <c r="BJ953" s="2">
        <v>17.2553992126299</v>
      </c>
      <c r="BK953" s="2">
        <v>9.6233145402724691</v>
      </c>
      <c r="BL953" s="2">
        <v>9.6233145402724691</v>
      </c>
      <c r="BM953" s="2">
        <v>19.167165872664999</v>
      </c>
      <c r="BN953" s="2">
        <v>18.423368809468901</v>
      </c>
      <c r="BO953" s="2">
        <v>17.278960104532899</v>
      </c>
      <c r="BP953" s="2">
        <v>18.0556771332575</v>
      </c>
      <c r="BQ953" s="2">
        <v>17.540060895140599</v>
      </c>
      <c r="BR953" s="2">
        <v>18.278914926699802</v>
      </c>
      <c r="BS953" s="2">
        <v>21.289171293985799</v>
      </c>
      <c r="BT953" s="2">
        <v>15.595328297199501</v>
      </c>
      <c r="BU953" s="2">
        <v>18.611881978749601</v>
      </c>
      <c r="BV953" s="2">
        <v>20.4754064818788</v>
      </c>
      <c r="BW953" s="2">
        <v>16.750670353195702</v>
      </c>
      <c r="BX953" s="2">
        <v>14.879584685415301</v>
      </c>
      <c r="BY953" s="2">
        <v>20.264021672592801</v>
      </c>
      <c r="BZ953" s="2">
        <v>16.232861021443899</v>
      </c>
      <c r="CA953" s="2">
        <v>17.893736070656399</v>
      </c>
      <c r="CB953" s="2">
        <v>19.194680878586801</v>
      </c>
      <c r="CC953" s="2">
        <v>18.0255578935678</v>
      </c>
      <c r="CD953" s="2">
        <v>20.9123737891994</v>
      </c>
      <c r="CE953" s="2">
        <v>19.370502835731902</v>
      </c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</row>
    <row r="954" spans="1:97">
      <c r="A954" s="2" t="s">
        <v>8827</v>
      </c>
      <c r="B954" s="2">
        <v>168.06288000000001</v>
      </c>
      <c r="C954" s="2">
        <v>0.67</v>
      </c>
      <c r="D954" s="2" t="s">
        <v>84</v>
      </c>
      <c r="E954" s="2" t="s">
        <v>8828</v>
      </c>
      <c r="F954" s="2" t="s">
        <v>8829</v>
      </c>
      <c r="G954" s="2">
        <v>54384</v>
      </c>
      <c r="H954" s="3" t="str">
        <f>HYPERLINK("https://cloud.oebiotech.com/#/lm/network/54384", "https://cloud.oebiotech.com/#/lm/network/54384")</f>
        <v>https://cloud.oebiotech.com/#/lm/network/54384</v>
      </c>
      <c r="I954" s="2" t="s">
        <v>8830</v>
      </c>
      <c r="J954" s="2">
        <v>86261</v>
      </c>
      <c r="K954" s="2"/>
      <c r="L954" s="2">
        <v>151730</v>
      </c>
      <c r="M954" s="2"/>
      <c r="N954" s="2"/>
      <c r="O954" s="2"/>
      <c r="P954" s="2">
        <v>74048</v>
      </c>
      <c r="Q954" s="2"/>
      <c r="R954" s="2"/>
      <c r="S954" s="2" t="s">
        <v>8831</v>
      </c>
      <c r="T954" s="2" t="s">
        <v>8832</v>
      </c>
      <c r="U954" s="2" t="s">
        <v>8833</v>
      </c>
      <c r="V954" s="2" t="s">
        <v>115</v>
      </c>
      <c r="W954" s="2" t="s">
        <v>116</v>
      </c>
      <c r="X954" s="2" t="s">
        <v>117</v>
      </c>
      <c r="Y954" s="2" t="s">
        <v>118</v>
      </c>
      <c r="Z954" s="2" t="s">
        <v>119</v>
      </c>
      <c r="AA954" s="2" t="s">
        <v>120</v>
      </c>
      <c r="AB954" s="2" t="s">
        <v>3086</v>
      </c>
      <c r="AC954" s="2">
        <v>51.83</v>
      </c>
      <c r="AD954" s="2">
        <v>74.44</v>
      </c>
      <c r="AE954" s="2">
        <v>0</v>
      </c>
      <c r="AF954" s="2" t="s">
        <v>5614</v>
      </c>
      <c r="AG954" s="2" t="s">
        <v>1578</v>
      </c>
      <c r="AH954" s="2" t="s">
        <v>5894</v>
      </c>
      <c r="AI954" s="2">
        <v>1.19</v>
      </c>
      <c r="AJ954" s="2">
        <v>19.5471400703772</v>
      </c>
      <c r="AK954" s="2">
        <v>19.169144181567201</v>
      </c>
      <c r="AL954" s="2">
        <v>19.036975566706499</v>
      </c>
      <c r="AM954" s="2">
        <v>18.9367142466273</v>
      </c>
      <c r="AN954" s="2">
        <v>19.046181544484998</v>
      </c>
      <c r="AO954" s="2">
        <v>18.7739977733854</v>
      </c>
      <c r="AP954" s="2">
        <v>19.277613597171499</v>
      </c>
      <c r="AQ954" s="2">
        <v>19.120714615837301</v>
      </c>
      <c r="AR954" s="2">
        <v>18.984361212277399</v>
      </c>
      <c r="AS954" s="2">
        <v>18.572998956220701</v>
      </c>
      <c r="AT954" s="2">
        <v>18.702080234044001</v>
      </c>
      <c r="AU954" s="2">
        <v>19.0769891660747</v>
      </c>
      <c r="AV954" s="2">
        <v>18.860008814689699</v>
      </c>
      <c r="AW954" s="2">
        <v>18.477673414877501</v>
      </c>
      <c r="AX954" s="2">
        <v>18.746912230285901</v>
      </c>
      <c r="AY954" s="2">
        <v>18.7731574979159</v>
      </c>
      <c r="AZ954" s="2">
        <v>18.981090942671202</v>
      </c>
      <c r="BA954" s="2">
        <v>18.497191752446501</v>
      </c>
      <c r="BB954" s="2">
        <v>18.4321775840078</v>
      </c>
      <c r="BC954" s="2">
        <v>18.6648870178423</v>
      </c>
      <c r="BD954" s="2">
        <v>19.341916035243202</v>
      </c>
      <c r="BE954" s="2">
        <v>18.345397016485101</v>
      </c>
      <c r="BF954" s="2">
        <v>18.888061652769501</v>
      </c>
      <c r="BG954" s="2">
        <v>18.377709336635899</v>
      </c>
      <c r="BH954" s="2">
        <v>18.825062375834499</v>
      </c>
      <c r="BI954" s="2">
        <v>18.697415413242101</v>
      </c>
      <c r="BJ954" s="2">
        <v>18.694554726135401</v>
      </c>
      <c r="BK954" s="2">
        <v>18.310776468916199</v>
      </c>
      <c r="BL954" s="2">
        <v>19.323387882299201</v>
      </c>
      <c r="BM954" s="2">
        <v>19.6645248881537</v>
      </c>
      <c r="BN954" s="2">
        <v>18.3656008571873</v>
      </c>
      <c r="BO954" s="2">
        <v>18.699428694425201</v>
      </c>
      <c r="BP954" s="2">
        <v>18.4217323056818</v>
      </c>
      <c r="BQ954" s="2">
        <v>18.781510712143401</v>
      </c>
      <c r="BR954" s="2">
        <v>18.358388886806601</v>
      </c>
      <c r="BS954" s="2">
        <v>19.208975599416899</v>
      </c>
      <c r="BT954" s="2">
        <v>18.7286462780853</v>
      </c>
      <c r="BU954" s="2">
        <v>19.110485807696001</v>
      </c>
      <c r="BV954" s="2">
        <v>18.341355807216999</v>
      </c>
      <c r="BW954" s="2">
        <v>18.375113183579199</v>
      </c>
      <c r="BX954" s="2">
        <v>18.6921807344138</v>
      </c>
      <c r="BY954" s="2">
        <v>19.4669907645427</v>
      </c>
      <c r="BZ954" s="2">
        <v>18.9564975981814</v>
      </c>
      <c r="CA954" s="2">
        <v>18.6258434830875</v>
      </c>
      <c r="CB954" s="2">
        <v>18.221128182292301</v>
      </c>
      <c r="CC954" s="2">
        <v>17.981729147914901</v>
      </c>
      <c r="CD954" s="2">
        <v>18.506609996481501</v>
      </c>
      <c r="CE954" s="2">
        <v>19.038048407303801</v>
      </c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</row>
    <row r="955" spans="1:97">
      <c r="A955" s="2" t="s">
        <v>8834</v>
      </c>
      <c r="B955" s="2">
        <v>466.35235999999998</v>
      </c>
      <c r="C955" s="2">
        <v>9.6080000000000005</v>
      </c>
      <c r="D955" s="2" t="s">
        <v>84</v>
      </c>
      <c r="E955" s="2" t="s">
        <v>8835</v>
      </c>
      <c r="F955" s="2" t="s">
        <v>8836</v>
      </c>
      <c r="G955" s="2">
        <v>46388</v>
      </c>
      <c r="H955" s="3" t="str">
        <f>HYPERLINK("https://cloud.oebiotech.com/#/lm/network/46388", "https://cloud.oebiotech.com/#/lm/network/46388")</f>
        <v>https://cloud.oebiotech.com/#/lm/network/46388</v>
      </c>
      <c r="I955" s="2"/>
      <c r="J955" s="2">
        <v>84810</v>
      </c>
      <c r="K955" s="2" t="s">
        <v>8837</v>
      </c>
      <c r="L955" s="2">
        <v>5284238</v>
      </c>
      <c r="M955" s="2"/>
      <c r="N955" s="2"/>
      <c r="O955" s="2"/>
      <c r="P955" s="2"/>
      <c r="Q955" s="2"/>
      <c r="R955" s="2"/>
      <c r="S955" s="2"/>
      <c r="T955" s="2" t="s">
        <v>8838</v>
      </c>
      <c r="U955" s="2" t="s">
        <v>8839</v>
      </c>
      <c r="V955" s="2" t="s">
        <v>95</v>
      </c>
      <c r="W955" s="2" t="s">
        <v>152</v>
      </c>
      <c r="X955" s="2" t="s">
        <v>1420</v>
      </c>
      <c r="Y955" s="2" t="s">
        <v>98</v>
      </c>
      <c r="Z955" s="2" t="s">
        <v>154</v>
      </c>
      <c r="AA955" s="2" t="s">
        <v>1421</v>
      </c>
      <c r="AB955" s="2" t="s">
        <v>3086</v>
      </c>
      <c r="AC955" s="2">
        <v>51.78</v>
      </c>
      <c r="AD955" s="2">
        <v>82.14</v>
      </c>
      <c r="AE955" s="2">
        <v>0</v>
      </c>
      <c r="AF955" s="2" t="s">
        <v>5614</v>
      </c>
      <c r="AG955" s="2" t="s">
        <v>132</v>
      </c>
      <c r="AH955" s="2" t="s">
        <v>8840</v>
      </c>
      <c r="AI955" s="2">
        <v>0.64</v>
      </c>
      <c r="AJ955" s="2">
        <v>17.3274849284496</v>
      </c>
      <c r="AK955" s="2">
        <v>17.397480697610899</v>
      </c>
      <c r="AL955" s="2">
        <v>16.950123784725001</v>
      </c>
      <c r="AM955" s="2">
        <v>17.613792701211</v>
      </c>
      <c r="AN955" s="2">
        <v>17.4953475840714</v>
      </c>
      <c r="AO955" s="2">
        <v>17.3239049860886</v>
      </c>
      <c r="AP955" s="2">
        <v>16.922255582588502</v>
      </c>
      <c r="AQ955" s="2">
        <v>16.246030764876998</v>
      </c>
      <c r="AR955" s="2">
        <v>16.081904051867401</v>
      </c>
      <c r="AS955" s="2">
        <v>16.092780880126099</v>
      </c>
      <c r="AT955" s="2">
        <v>17.7230573401444</v>
      </c>
      <c r="AU955" s="2">
        <v>15.5322329354085</v>
      </c>
      <c r="AV955" s="2">
        <v>15.256862869628099</v>
      </c>
      <c r="AW955" s="2">
        <v>16.924811459989201</v>
      </c>
      <c r="AX955" s="2">
        <v>17.695321488825702</v>
      </c>
      <c r="AY955" s="2">
        <v>17.413467448039999</v>
      </c>
      <c r="AZ955" s="2">
        <v>9.6233145402724691</v>
      </c>
      <c r="BA955" s="2">
        <v>15.912035570155</v>
      </c>
      <c r="BB955" s="2">
        <v>16.824511929970399</v>
      </c>
      <c r="BC955" s="2">
        <v>18.042403394642001</v>
      </c>
      <c r="BD955" s="2">
        <v>16.603116159868801</v>
      </c>
      <c r="BE955" s="2">
        <v>17.6670273879554</v>
      </c>
      <c r="BF955" s="2">
        <v>17.381352750155401</v>
      </c>
      <c r="BG955" s="2">
        <v>17.6621742696571</v>
      </c>
      <c r="BH955" s="2">
        <v>16.356956543248899</v>
      </c>
      <c r="BI955" s="2">
        <v>18.1429067812815</v>
      </c>
      <c r="BJ955" s="2">
        <v>17.296673742349501</v>
      </c>
      <c r="BK955" s="2">
        <v>14.657067184370501</v>
      </c>
      <c r="BL955" s="2">
        <v>17.861522048521699</v>
      </c>
      <c r="BM955" s="2">
        <v>9.6233145402724691</v>
      </c>
      <c r="BN955" s="2">
        <v>16.6137514861996</v>
      </c>
      <c r="BO955" s="2">
        <v>17.9104366164553</v>
      </c>
      <c r="BP955" s="2">
        <v>18.029712067004599</v>
      </c>
      <c r="BQ955" s="2">
        <v>17.8852298478077</v>
      </c>
      <c r="BR955" s="2">
        <v>18.1147978307846</v>
      </c>
      <c r="BS955" s="2">
        <v>16.8153636557727</v>
      </c>
      <c r="BT955" s="2">
        <v>17.178646179250102</v>
      </c>
      <c r="BU955" s="2">
        <v>16.333684730641501</v>
      </c>
      <c r="BV955" s="2">
        <v>16.8147599381216</v>
      </c>
      <c r="BW955" s="2">
        <v>16.552995635999299</v>
      </c>
      <c r="BX955" s="2">
        <v>16.7321908819893</v>
      </c>
      <c r="BY955" s="2">
        <v>16.564630179204801</v>
      </c>
      <c r="BZ955" s="2">
        <v>17.1888530683526</v>
      </c>
      <c r="CA955" s="2">
        <v>17.2910473690991</v>
      </c>
      <c r="CB955" s="2">
        <v>16.906168597828799</v>
      </c>
      <c r="CC955" s="2">
        <v>17.864848892489899</v>
      </c>
      <c r="CD955" s="2">
        <v>16.6928712740816</v>
      </c>
      <c r="CE955" s="2">
        <v>17.189229907493001</v>
      </c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</row>
    <row r="956" spans="1:97">
      <c r="A956" s="2" t="s">
        <v>8841</v>
      </c>
      <c r="B956" s="2">
        <v>419.31608999999997</v>
      </c>
      <c r="C956" s="2">
        <v>12.622</v>
      </c>
      <c r="D956" s="2" t="s">
        <v>146</v>
      </c>
      <c r="E956" s="2" t="s">
        <v>8842</v>
      </c>
      <c r="F956" s="2" t="s">
        <v>8843</v>
      </c>
      <c r="G956" s="2">
        <v>10473</v>
      </c>
      <c r="H956" s="3" t="str">
        <f>HYPERLINK("https://cloud.oebiotech.com/#/lm/network/10473", "https://cloud.oebiotech.com/#/lm/network/10473")</f>
        <v>https://cloud.oebiotech.com/#/lm/network/10473</v>
      </c>
      <c r="I956" s="2"/>
      <c r="J956" s="2"/>
      <c r="K956" s="2" t="s">
        <v>8844</v>
      </c>
      <c r="L956" s="2">
        <v>137323846</v>
      </c>
      <c r="M956" s="2"/>
      <c r="N956" s="2"/>
      <c r="O956" s="2"/>
      <c r="P956" s="2"/>
      <c r="Q956" s="2"/>
      <c r="R956" s="2"/>
      <c r="S956" s="2"/>
      <c r="T956" s="2" t="s">
        <v>8845</v>
      </c>
      <c r="U956" s="2" t="s">
        <v>8846</v>
      </c>
      <c r="V956" s="2" t="s">
        <v>95</v>
      </c>
      <c r="W956" s="2" t="s">
        <v>7709</v>
      </c>
      <c r="X956" s="2" t="s">
        <v>7710</v>
      </c>
      <c r="Y956" s="2" t="s">
        <v>98</v>
      </c>
      <c r="Z956" s="2" t="s">
        <v>7711</v>
      </c>
      <c r="AA956" s="2" t="s">
        <v>7712</v>
      </c>
      <c r="AB956" s="2" t="s">
        <v>3086</v>
      </c>
      <c r="AC956" s="2">
        <v>51.76</v>
      </c>
      <c r="AD956" s="2">
        <v>83.59</v>
      </c>
      <c r="AE956" s="2">
        <v>0</v>
      </c>
      <c r="AF956" s="2" t="s">
        <v>8847</v>
      </c>
      <c r="AG956" s="2" t="s">
        <v>194</v>
      </c>
      <c r="AH956" s="2" t="s">
        <v>8848</v>
      </c>
      <c r="AI956" s="2">
        <v>1.43</v>
      </c>
      <c r="AJ956" s="2">
        <v>19.503612953972901</v>
      </c>
      <c r="AK956" s="2">
        <v>19.207878485434598</v>
      </c>
      <c r="AL956" s="2">
        <v>19.426219825414801</v>
      </c>
      <c r="AM956" s="2">
        <v>19.243407104364199</v>
      </c>
      <c r="AN956" s="2">
        <v>19.312370682618901</v>
      </c>
      <c r="AO956" s="2">
        <v>19.132054692795599</v>
      </c>
      <c r="AP956" s="2">
        <v>18.913125085457001</v>
      </c>
      <c r="AQ956" s="2">
        <v>19.002648027350499</v>
      </c>
      <c r="AR956" s="2">
        <v>19.1881818906745</v>
      </c>
      <c r="AS956" s="2">
        <v>18.4142420460071</v>
      </c>
      <c r="AT956" s="2">
        <v>18.984849542841399</v>
      </c>
      <c r="AU956" s="2">
        <v>19.4158780294051</v>
      </c>
      <c r="AV956" s="2">
        <v>19.087585388049799</v>
      </c>
      <c r="AW956" s="2">
        <v>18.7711431718472</v>
      </c>
      <c r="AX956" s="2">
        <v>19.043381450383102</v>
      </c>
      <c r="AY956" s="2">
        <v>19.9415549009376</v>
      </c>
      <c r="AZ956" s="2">
        <v>19.994054681532301</v>
      </c>
      <c r="BA956" s="2">
        <v>18.882574961747601</v>
      </c>
      <c r="BB956" s="2">
        <v>19.2387722613927</v>
      </c>
      <c r="BC956" s="2">
        <v>19.325187446797798</v>
      </c>
      <c r="BD956" s="2">
        <v>19.1771879907207</v>
      </c>
      <c r="BE956" s="2">
        <v>18.951368505427499</v>
      </c>
      <c r="BF956" s="2">
        <v>18.526512114826701</v>
      </c>
      <c r="BG956" s="2">
        <v>18.091025964756199</v>
      </c>
      <c r="BH956" s="2">
        <v>18.968542913133</v>
      </c>
      <c r="BI956" s="2">
        <v>19.1327864729178</v>
      </c>
      <c r="BJ956" s="2">
        <v>19.690859349533099</v>
      </c>
      <c r="BK956" s="2">
        <v>18.3284944564585</v>
      </c>
      <c r="BL956" s="2">
        <v>19.669574444672001</v>
      </c>
      <c r="BM956" s="2">
        <v>19.505916373248802</v>
      </c>
      <c r="BN956" s="2">
        <v>18.897350076622502</v>
      </c>
      <c r="BO956" s="2">
        <v>19.4039458703081</v>
      </c>
      <c r="BP956" s="2">
        <v>18.670974292912302</v>
      </c>
      <c r="BQ956" s="2">
        <v>18.524106110616401</v>
      </c>
      <c r="BR956" s="2">
        <v>18.764735036089998</v>
      </c>
      <c r="BS956" s="2">
        <v>19.963424648568701</v>
      </c>
      <c r="BT956" s="2">
        <v>18.648446975209101</v>
      </c>
      <c r="BU956" s="2">
        <v>19.173994227956101</v>
      </c>
      <c r="BV956" s="2">
        <v>19.3560420789006</v>
      </c>
      <c r="BW956" s="2">
        <v>18.399391131367601</v>
      </c>
      <c r="BX956" s="2">
        <v>19.2151750116527</v>
      </c>
      <c r="BY956" s="2">
        <v>20.431684317482901</v>
      </c>
      <c r="BZ956" s="2">
        <v>17.877617972186499</v>
      </c>
      <c r="CA956" s="2">
        <v>18.0281629731689</v>
      </c>
      <c r="CB956" s="2">
        <v>19.2991534511367</v>
      </c>
      <c r="CC956" s="2">
        <v>18.7389130050117</v>
      </c>
      <c r="CD956" s="2">
        <v>19.883372453825299</v>
      </c>
      <c r="CE956" s="2">
        <v>18.9523873199457</v>
      </c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</row>
    <row r="957" spans="1:97">
      <c r="A957" s="2" t="s">
        <v>8849</v>
      </c>
      <c r="B957" s="2">
        <v>239.16479000000001</v>
      </c>
      <c r="C957" s="2">
        <v>11.318</v>
      </c>
      <c r="D957" s="2" t="s">
        <v>146</v>
      </c>
      <c r="E957" s="2" t="s">
        <v>8850</v>
      </c>
      <c r="F957" s="2" t="s">
        <v>8851</v>
      </c>
      <c r="G957" s="2">
        <v>9802</v>
      </c>
      <c r="H957" s="3" t="str">
        <f>HYPERLINK("https://cloud.oebiotech.com/#/lm/network/9802", "https://cloud.oebiotech.com/#/lm/network/9802")</f>
        <v>https://cloud.oebiotech.com/#/lm/network/9802</v>
      </c>
      <c r="I957" s="2"/>
      <c r="J957" s="2">
        <v>98068</v>
      </c>
      <c r="K957" s="2" t="s">
        <v>8852</v>
      </c>
      <c r="L957" s="2">
        <v>1549778</v>
      </c>
      <c r="M957" s="2"/>
      <c r="N957" s="2"/>
      <c r="O957" s="2"/>
      <c r="P957" s="2">
        <v>67206</v>
      </c>
      <c r="Q957" s="2"/>
      <c r="R957" s="2"/>
      <c r="S957" s="2"/>
      <c r="T957" s="2" t="s">
        <v>8853</v>
      </c>
      <c r="U957" s="2" t="s">
        <v>8854</v>
      </c>
      <c r="V957" s="2" t="s">
        <v>95</v>
      </c>
      <c r="W957" s="2" t="s">
        <v>180</v>
      </c>
      <c r="X957" s="2" t="s">
        <v>5048</v>
      </c>
      <c r="Y957" s="2" t="s">
        <v>98</v>
      </c>
      <c r="Z957" s="2" t="s">
        <v>182</v>
      </c>
      <c r="AA957" s="2" t="s">
        <v>5049</v>
      </c>
      <c r="AB957" s="2" t="s">
        <v>3086</v>
      </c>
      <c r="AC957" s="2">
        <v>51.76</v>
      </c>
      <c r="AD957" s="2">
        <v>91.52</v>
      </c>
      <c r="AE957" s="2">
        <v>0</v>
      </c>
      <c r="AF957" s="2" t="s">
        <v>8855</v>
      </c>
      <c r="AG957" s="2" t="s">
        <v>157</v>
      </c>
      <c r="AH957" s="2" t="s">
        <v>4029</v>
      </c>
      <c r="AI957" s="2">
        <v>2.09</v>
      </c>
      <c r="AJ957" s="2">
        <v>16.928922318652202</v>
      </c>
      <c r="AK957" s="2">
        <v>16.27334322942</v>
      </c>
      <c r="AL957" s="2">
        <v>17.244879070979</v>
      </c>
      <c r="AM957" s="2">
        <v>16.568781047045199</v>
      </c>
      <c r="AN957" s="2">
        <v>16.142629022177001</v>
      </c>
      <c r="AO957" s="2">
        <v>16.6855305347996</v>
      </c>
      <c r="AP957" s="2">
        <v>16.086763825085502</v>
      </c>
      <c r="AQ957" s="2">
        <v>17.010268132489902</v>
      </c>
      <c r="AR957" s="2">
        <v>16.454243700459902</v>
      </c>
      <c r="AS957" s="2">
        <v>15.750807722259401</v>
      </c>
      <c r="AT957" s="2">
        <v>15.4735640222197</v>
      </c>
      <c r="AU957" s="2">
        <v>17.5536406174202</v>
      </c>
      <c r="AV957" s="2">
        <v>17.3310503219342</v>
      </c>
      <c r="AW957" s="2">
        <v>12.9083231865892</v>
      </c>
      <c r="AX957" s="2">
        <v>15.2864628253389</v>
      </c>
      <c r="AY957" s="2">
        <v>15.2229971074582</v>
      </c>
      <c r="AZ957" s="2">
        <v>14.4444862869651</v>
      </c>
      <c r="BA957" s="2">
        <v>18.337475780259201</v>
      </c>
      <c r="BB957" s="2">
        <v>18.379707745513201</v>
      </c>
      <c r="BC957" s="2">
        <v>17.4306550897407</v>
      </c>
      <c r="BD957" s="2">
        <v>14.0375160681526</v>
      </c>
      <c r="BE957" s="2">
        <v>17.714451937637801</v>
      </c>
      <c r="BF957" s="2">
        <v>14.490234165758901</v>
      </c>
      <c r="BG957" s="2">
        <v>15.305218874061399</v>
      </c>
      <c r="BH957" s="2">
        <v>15.868871977806</v>
      </c>
      <c r="BI957" s="2">
        <v>15.508980709738299</v>
      </c>
      <c r="BJ957" s="2">
        <v>14.623227649253</v>
      </c>
      <c r="BK957" s="2">
        <v>16.019039666161099</v>
      </c>
      <c r="BL957" s="2">
        <v>14.383470753511</v>
      </c>
      <c r="BM957" s="2">
        <v>17.381319709570601</v>
      </c>
      <c r="BN957" s="2">
        <v>15.107040488329</v>
      </c>
      <c r="BO957" s="2">
        <v>16.810968953746301</v>
      </c>
      <c r="BP957" s="2">
        <v>17.3219939586116</v>
      </c>
      <c r="BQ957" s="2">
        <v>14.3250214984657</v>
      </c>
      <c r="BR957" s="2">
        <v>17.224781767062701</v>
      </c>
      <c r="BS957" s="2">
        <v>17.640042805776002</v>
      </c>
      <c r="BT957" s="2">
        <v>14.101162366914</v>
      </c>
      <c r="BU957" s="2">
        <v>18.2656556986203</v>
      </c>
      <c r="BV957" s="2">
        <v>18.219957231404202</v>
      </c>
      <c r="BW957" s="2">
        <v>14.2510200291074</v>
      </c>
      <c r="BX957" s="2">
        <v>12.8339198604823</v>
      </c>
      <c r="BY957" s="2">
        <v>18.893870600963101</v>
      </c>
      <c r="BZ957" s="2">
        <v>18.765689967529799</v>
      </c>
      <c r="CA957" s="2">
        <v>14.9134060285811</v>
      </c>
      <c r="CB957" s="2">
        <v>17.487776220658901</v>
      </c>
      <c r="CC957" s="2">
        <v>14.177294168821501</v>
      </c>
      <c r="CD957" s="2">
        <v>15.0740699451949</v>
      </c>
      <c r="CE957" s="2">
        <v>17.909229614416301</v>
      </c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</row>
    <row r="958" spans="1:97">
      <c r="A958" s="2" t="s">
        <v>8856</v>
      </c>
      <c r="B958" s="2">
        <v>240.04286999999999</v>
      </c>
      <c r="C958" s="2">
        <v>5.4189999999999996</v>
      </c>
      <c r="D958" s="2" t="s">
        <v>146</v>
      </c>
      <c r="E958" s="2" t="s">
        <v>8857</v>
      </c>
      <c r="F958" s="2" t="s">
        <v>8858</v>
      </c>
      <c r="G958" s="2">
        <v>48233</v>
      </c>
      <c r="H958" s="3" t="str">
        <f>HYPERLINK("https://cloud.oebiotech.com/#/lm/network/48233", "https://cloud.oebiotech.com/#/lm/network/48233")</f>
        <v>https://cloud.oebiotech.com/#/lm/network/48233</v>
      </c>
      <c r="I958" s="2" t="s">
        <v>8859</v>
      </c>
      <c r="J958" s="2">
        <v>7016</v>
      </c>
      <c r="K958" s="2"/>
      <c r="L958" s="2">
        <v>18986</v>
      </c>
      <c r="M958" s="2" t="s">
        <v>8860</v>
      </c>
      <c r="N958" s="2" t="s">
        <v>2281</v>
      </c>
      <c r="O958" s="2" t="s">
        <v>2282</v>
      </c>
      <c r="P958" s="2">
        <v>28281</v>
      </c>
      <c r="Q958" s="2"/>
      <c r="R958" s="2"/>
      <c r="S958" s="2" t="s">
        <v>8861</v>
      </c>
      <c r="T958" s="2" t="s">
        <v>8862</v>
      </c>
      <c r="U958" s="2" t="s">
        <v>8863</v>
      </c>
      <c r="V958" s="2" t="s">
        <v>553</v>
      </c>
      <c r="W958" s="2" t="s">
        <v>933</v>
      </c>
      <c r="X958" s="2" t="s">
        <v>934</v>
      </c>
      <c r="Y958" s="2" t="s">
        <v>556</v>
      </c>
      <c r="Z958" s="2" t="s">
        <v>935</v>
      </c>
      <c r="AA958" s="2" t="s">
        <v>936</v>
      </c>
      <c r="AB958" s="2" t="s">
        <v>3086</v>
      </c>
      <c r="AC958" s="2">
        <v>51.74</v>
      </c>
      <c r="AD958" s="2">
        <v>75.13</v>
      </c>
      <c r="AE958" s="2">
        <v>0</v>
      </c>
      <c r="AF958" s="2" t="s">
        <v>5614</v>
      </c>
      <c r="AG958" s="2" t="s">
        <v>4062</v>
      </c>
      <c r="AH958" s="2" t="s">
        <v>985</v>
      </c>
      <c r="AI958" s="2">
        <v>1.67</v>
      </c>
      <c r="AJ958" s="2">
        <v>19.421149565308099</v>
      </c>
      <c r="AK958" s="2">
        <v>19.2926564000187</v>
      </c>
      <c r="AL958" s="2">
        <v>19.597828297821501</v>
      </c>
      <c r="AM958" s="2">
        <v>19.633223758587601</v>
      </c>
      <c r="AN958" s="2">
        <v>19.5840325958847</v>
      </c>
      <c r="AO958" s="2">
        <v>19.648467883149099</v>
      </c>
      <c r="AP958" s="2">
        <v>19.839238471398701</v>
      </c>
      <c r="AQ958" s="2">
        <v>19.7949817672948</v>
      </c>
      <c r="AR958" s="2">
        <v>19.3749680518909</v>
      </c>
      <c r="AS958" s="2">
        <v>19.914772471570199</v>
      </c>
      <c r="AT958" s="2">
        <v>19.698307446425801</v>
      </c>
      <c r="AU958" s="2">
        <v>19.424685512923698</v>
      </c>
      <c r="AV958" s="2">
        <v>19.281018005449098</v>
      </c>
      <c r="AW958" s="2">
        <v>19.559302508423801</v>
      </c>
      <c r="AX958" s="2">
        <v>19.682197299638201</v>
      </c>
      <c r="AY958" s="2">
        <v>19.495791664838599</v>
      </c>
      <c r="AZ958" s="2">
        <v>19.6222919887934</v>
      </c>
      <c r="BA958" s="2">
        <v>19.7446128987091</v>
      </c>
      <c r="BB958" s="2">
        <v>19.351029601744099</v>
      </c>
      <c r="BC958" s="2">
        <v>18.5341527712493</v>
      </c>
      <c r="BD958" s="2">
        <v>19.995074617908202</v>
      </c>
      <c r="BE958" s="2">
        <v>19.3375753014375</v>
      </c>
      <c r="BF958" s="2">
        <v>19.764993963940601</v>
      </c>
      <c r="BG958" s="2">
        <v>19.973662504639901</v>
      </c>
      <c r="BH958" s="2">
        <v>19.645113456296802</v>
      </c>
      <c r="BI958" s="2">
        <v>19.593308648410499</v>
      </c>
      <c r="BJ958" s="2">
        <v>19.359046406260799</v>
      </c>
      <c r="BK958" s="2">
        <v>20.169162572906899</v>
      </c>
      <c r="BL958" s="2">
        <v>19.999802206393401</v>
      </c>
      <c r="BM958" s="2">
        <v>19.102521967534901</v>
      </c>
      <c r="BN958" s="2">
        <v>19.2563066042229</v>
      </c>
      <c r="BO958" s="2">
        <v>19.954211435904298</v>
      </c>
      <c r="BP958" s="2">
        <v>19.6805487357035</v>
      </c>
      <c r="BQ958" s="2">
        <v>19.634154822760099</v>
      </c>
      <c r="BR958" s="2">
        <v>19.627398547094799</v>
      </c>
      <c r="BS958" s="2">
        <v>19.2161614919392</v>
      </c>
      <c r="BT958" s="2">
        <v>19.531642213370301</v>
      </c>
      <c r="BU958" s="2">
        <v>19.097791473178599</v>
      </c>
      <c r="BV958" s="2">
        <v>19.487421586245301</v>
      </c>
      <c r="BW958" s="2">
        <v>20.1027470678786</v>
      </c>
      <c r="BX958" s="2">
        <v>19.520597791741199</v>
      </c>
      <c r="BY958" s="2">
        <v>19.376460746870599</v>
      </c>
      <c r="BZ958" s="2">
        <v>19.603560173104</v>
      </c>
      <c r="CA958" s="2">
        <v>19.302923103971398</v>
      </c>
      <c r="CB958" s="2">
        <v>19.794821703688701</v>
      </c>
      <c r="CC958" s="2">
        <v>20.053271219248799</v>
      </c>
      <c r="CD958" s="2">
        <v>19.498389489233901</v>
      </c>
      <c r="CE958" s="2">
        <v>20.0280922565432</v>
      </c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</row>
    <row r="959" spans="1:97">
      <c r="A959" s="2" t="s">
        <v>8864</v>
      </c>
      <c r="B959" s="2">
        <v>232.19049999999999</v>
      </c>
      <c r="C959" s="2">
        <v>7.2439999999999998</v>
      </c>
      <c r="D959" s="2" t="s">
        <v>84</v>
      </c>
      <c r="E959" s="2" t="s">
        <v>8865</v>
      </c>
      <c r="F959" s="2" t="s">
        <v>8866</v>
      </c>
      <c r="G959" s="2">
        <v>1745</v>
      </c>
      <c r="H959" s="3" t="str">
        <f>HYPERLINK("https://cloud.oebiotech.com/#/lm/network/1745", "https://cloud.oebiotech.com/#/lm/network/1745")</f>
        <v>https://cloud.oebiotech.com/#/lm/network/1745</v>
      </c>
      <c r="I959" s="2"/>
      <c r="J959" s="2">
        <v>74548</v>
      </c>
      <c r="K959" s="2" t="s">
        <v>8867</v>
      </c>
      <c r="L959" s="2">
        <v>5312747</v>
      </c>
      <c r="M959" s="2"/>
      <c r="N959" s="2"/>
      <c r="O959" s="2"/>
      <c r="P959" s="2"/>
      <c r="Q959" s="2"/>
      <c r="R959" s="2"/>
      <c r="S959" s="2"/>
      <c r="T959" s="2" t="s">
        <v>8868</v>
      </c>
      <c r="U959" s="2" t="s">
        <v>8869</v>
      </c>
      <c r="V959" s="2" t="s">
        <v>115</v>
      </c>
      <c r="W959" s="2" t="s">
        <v>832</v>
      </c>
      <c r="X959" s="2" t="s">
        <v>4084</v>
      </c>
      <c r="Y959" s="2" t="s">
        <v>118</v>
      </c>
      <c r="Z959" s="2" t="s">
        <v>834</v>
      </c>
      <c r="AA959" s="2" t="s">
        <v>4085</v>
      </c>
      <c r="AB959" s="2" t="s">
        <v>3086</v>
      </c>
      <c r="AC959" s="2">
        <v>51.73</v>
      </c>
      <c r="AD959" s="2">
        <v>92.22</v>
      </c>
      <c r="AE959" s="2">
        <v>0</v>
      </c>
      <c r="AF959" s="2" t="s">
        <v>5614</v>
      </c>
      <c r="AG959" s="2" t="s">
        <v>132</v>
      </c>
      <c r="AH959" s="2" t="s">
        <v>5557</v>
      </c>
      <c r="AI959" s="2">
        <v>0.86</v>
      </c>
      <c r="AJ959" s="2">
        <v>19.7095412983827</v>
      </c>
      <c r="AK959" s="2">
        <v>19.635324518382902</v>
      </c>
      <c r="AL959" s="2">
        <v>19.582041527548999</v>
      </c>
      <c r="AM959" s="2">
        <v>19.671176490821399</v>
      </c>
      <c r="AN959" s="2">
        <v>19.7804700986235</v>
      </c>
      <c r="AO959" s="2">
        <v>19.358010484151599</v>
      </c>
      <c r="AP959" s="2">
        <v>19.592782594594301</v>
      </c>
      <c r="AQ959" s="2">
        <v>19.503084040810101</v>
      </c>
      <c r="AR959" s="2">
        <v>19.552496850953901</v>
      </c>
      <c r="AS959" s="2">
        <v>19.411195558463</v>
      </c>
      <c r="AT959" s="2">
        <v>19.204461605494899</v>
      </c>
      <c r="AU959" s="2">
        <v>19.577095102037401</v>
      </c>
      <c r="AV959" s="2">
        <v>19.669816795376398</v>
      </c>
      <c r="AW959" s="2">
        <v>19.604956690181499</v>
      </c>
      <c r="AX959" s="2">
        <v>19.664057310982798</v>
      </c>
      <c r="AY959" s="2">
        <v>19.542415331063602</v>
      </c>
      <c r="AZ959" s="2">
        <v>19.6854440090552</v>
      </c>
      <c r="BA959" s="2">
        <v>19.289287078084001</v>
      </c>
      <c r="BB959" s="2">
        <v>19.7094456999911</v>
      </c>
      <c r="BC959" s="2">
        <v>19.3784357583888</v>
      </c>
      <c r="BD959" s="2">
        <v>19.6911398394763</v>
      </c>
      <c r="BE959" s="2">
        <v>19.455282926144498</v>
      </c>
      <c r="BF959" s="2">
        <v>19.416454408095198</v>
      </c>
      <c r="BG959" s="2">
        <v>19.186499072970999</v>
      </c>
      <c r="BH959" s="2">
        <v>19.4566510820909</v>
      </c>
      <c r="BI959" s="2">
        <v>19.463163027649198</v>
      </c>
      <c r="BJ959" s="2">
        <v>19.430275389206301</v>
      </c>
      <c r="BK959" s="2">
        <v>19.648656988811702</v>
      </c>
      <c r="BL959" s="2">
        <v>18.777015552544299</v>
      </c>
      <c r="BM959" s="2">
        <v>19.661095411275401</v>
      </c>
      <c r="BN959" s="2">
        <v>19.503639000547199</v>
      </c>
      <c r="BO959" s="2">
        <v>19.564401949949701</v>
      </c>
      <c r="BP959" s="2">
        <v>19.5547531494237</v>
      </c>
      <c r="BQ959" s="2">
        <v>19.110379491049098</v>
      </c>
      <c r="BR959" s="2">
        <v>19.2478127823329</v>
      </c>
      <c r="BS959" s="2">
        <v>19.265525452091399</v>
      </c>
      <c r="BT959" s="2">
        <v>19.335134879545699</v>
      </c>
      <c r="BU959" s="2">
        <v>19.139390271237499</v>
      </c>
      <c r="BV959" s="2">
        <v>19.5172220516497</v>
      </c>
      <c r="BW959" s="2">
        <v>19.350360971037698</v>
      </c>
      <c r="BX959" s="2">
        <v>19.444379617667501</v>
      </c>
      <c r="BY959" s="2">
        <v>19.4818360227212</v>
      </c>
      <c r="BZ959" s="2">
        <v>19.430531385640901</v>
      </c>
      <c r="CA959" s="2">
        <v>19.392096072972201</v>
      </c>
      <c r="CB959" s="2">
        <v>19.021331153860601</v>
      </c>
      <c r="CC959" s="2">
        <v>19.418040971423899</v>
      </c>
      <c r="CD959" s="2">
        <v>18.714459584739199</v>
      </c>
      <c r="CE959" s="2">
        <v>19.356094944826999</v>
      </c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</row>
    <row r="960" spans="1:97">
      <c r="A960" s="2" t="s">
        <v>8870</v>
      </c>
      <c r="B960" s="2">
        <v>452.37277999999998</v>
      </c>
      <c r="C960" s="2">
        <v>10.281000000000001</v>
      </c>
      <c r="D960" s="2" t="s">
        <v>84</v>
      </c>
      <c r="E960" s="2" t="s">
        <v>8871</v>
      </c>
      <c r="F960" s="2" t="s">
        <v>8872</v>
      </c>
      <c r="G960" s="2">
        <v>46477</v>
      </c>
      <c r="H960" s="3" t="str">
        <f>HYPERLINK("https://cloud.oebiotech.com/#/lm/network/46477", "https://cloud.oebiotech.com/#/lm/network/46477")</f>
        <v>https://cloud.oebiotech.com/#/lm/network/46477</v>
      </c>
      <c r="I960" s="2"/>
      <c r="J960" s="2">
        <v>57932</v>
      </c>
      <c r="K960" s="2" t="s">
        <v>8873</v>
      </c>
      <c r="L960" s="2">
        <v>24755587</v>
      </c>
      <c r="M960" s="2"/>
      <c r="N960" s="2"/>
      <c r="O960" s="2"/>
      <c r="P960" s="2">
        <v>48715</v>
      </c>
      <c r="Q960" s="2"/>
      <c r="R960" s="2"/>
      <c r="S960" s="2"/>
      <c r="T960" s="2" t="s">
        <v>8874</v>
      </c>
      <c r="U960" s="2" t="s">
        <v>8875</v>
      </c>
      <c r="V960" s="2" t="s">
        <v>95</v>
      </c>
      <c r="W960" s="2" t="s">
        <v>152</v>
      </c>
      <c r="X960" s="2" t="s">
        <v>278</v>
      </c>
      <c r="Y960" s="2" t="s">
        <v>98</v>
      </c>
      <c r="Z960" s="2" t="s">
        <v>154</v>
      </c>
      <c r="AA960" s="2" t="s">
        <v>279</v>
      </c>
      <c r="AB960" s="2" t="s">
        <v>3086</v>
      </c>
      <c r="AC960" s="2">
        <v>51.73</v>
      </c>
      <c r="AD960" s="2">
        <v>94.34</v>
      </c>
      <c r="AE960" s="2">
        <v>0</v>
      </c>
      <c r="AF960" s="2" t="s">
        <v>8876</v>
      </c>
      <c r="AG960" s="2" t="s">
        <v>132</v>
      </c>
      <c r="AH960" s="2" t="s">
        <v>3523</v>
      </c>
      <c r="AI960" s="2">
        <v>1.33</v>
      </c>
      <c r="AJ960" s="2">
        <v>20.2242910196229</v>
      </c>
      <c r="AK960" s="2">
        <v>20.262374873619802</v>
      </c>
      <c r="AL960" s="2">
        <v>20.200050668665099</v>
      </c>
      <c r="AM960" s="2">
        <v>20.2163396760217</v>
      </c>
      <c r="AN960" s="2">
        <v>20.1370506317324</v>
      </c>
      <c r="AO960" s="2">
        <v>20.446159739662299</v>
      </c>
      <c r="AP960" s="2">
        <v>20.333195912432501</v>
      </c>
      <c r="AQ960" s="2">
        <v>19.9577763471748</v>
      </c>
      <c r="AR960" s="2">
        <v>19.705455296070301</v>
      </c>
      <c r="AS960" s="2">
        <v>18.9040352556977</v>
      </c>
      <c r="AT960" s="2">
        <v>20.9382267857073</v>
      </c>
      <c r="AU960" s="2">
        <v>19.450566021761301</v>
      </c>
      <c r="AV960" s="2">
        <v>20.204305963534502</v>
      </c>
      <c r="AW960" s="2">
        <v>20.130712374061002</v>
      </c>
      <c r="AX960" s="2">
        <v>19.9371065173912</v>
      </c>
      <c r="AY960" s="2">
        <v>19.7589515334144</v>
      </c>
      <c r="AZ960" s="2">
        <v>19.7429437787039</v>
      </c>
      <c r="BA960" s="2">
        <v>19.180226199330001</v>
      </c>
      <c r="BB960" s="2">
        <v>19.747668650310001</v>
      </c>
      <c r="BC960" s="2">
        <v>21.755053325694099</v>
      </c>
      <c r="BD960" s="2">
        <v>19.665216920751899</v>
      </c>
      <c r="BE960" s="2">
        <v>20.1260679034324</v>
      </c>
      <c r="BF960" s="2">
        <v>19.6853593261763</v>
      </c>
      <c r="BG960" s="2">
        <v>20.162034810548001</v>
      </c>
      <c r="BH960" s="2">
        <v>19.9047418749693</v>
      </c>
      <c r="BI960" s="2">
        <v>20.4811534970137</v>
      </c>
      <c r="BJ960" s="2">
        <v>20.077508170178799</v>
      </c>
      <c r="BK960" s="2">
        <v>19.227675705088998</v>
      </c>
      <c r="BL960" s="2">
        <v>20.445702214428898</v>
      </c>
      <c r="BM960" s="2">
        <v>19.08119297244</v>
      </c>
      <c r="BN960" s="2">
        <v>19.102997780139301</v>
      </c>
      <c r="BO960" s="2">
        <v>20.036343218543401</v>
      </c>
      <c r="BP960" s="2">
        <v>20.681458993896999</v>
      </c>
      <c r="BQ960" s="2">
        <v>19.930822806235899</v>
      </c>
      <c r="BR960" s="2">
        <v>19.9023556815017</v>
      </c>
      <c r="BS960" s="2">
        <v>19.735706853151601</v>
      </c>
      <c r="BT960" s="2">
        <v>19.462823813302201</v>
      </c>
      <c r="BU960" s="2">
        <v>20.6956191990033</v>
      </c>
      <c r="BV960" s="2">
        <v>20.169638439186802</v>
      </c>
      <c r="BW960" s="2">
        <v>20.184314561886701</v>
      </c>
      <c r="BX960" s="2">
        <v>19.941113792172299</v>
      </c>
      <c r="BY960" s="2">
        <v>19.6186347775302</v>
      </c>
      <c r="BZ960" s="2">
        <v>19.339026419893099</v>
      </c>
      <c r="CA960" s="2">
        <v>19.706081759123599</v>
      </c>
      <c r="CB960" s="2">
        <v>18.930360325792599</v>
      </c>
      <c r="CC960" s="2">
        <v>20.2595753027834</v>
      </c>
      <c r="CD960" s="2">
        <v>20.0236954795126</v>
      </c>
      <c r="CE960" s="2">
        <v>18.9289889763647</v>
      </c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</row>
    <row r="961" spans="1:97">
      <c r="A961" s="2" t="s">
        <v>8877</v>
      </c>
      <c r="B961" s="2">
        <v>594.33839</v>
      </c>
      <c r="C961" s="2">
        <v>10.917</v>
      </c>
      <c r="D961" s="2" t="s">
        <v>146</v>
      </c>
      <c r="E961" s="2" t="s">
        <v>8878</v>
      </c>
      <c r="F961" s="2" t="s">
        <v>8879</v>
      </c>
      <c r="G961" s="2">
        <v>27841</v>
      </c>
      <c r="H961" s="3" t="str">
        <f>HYPERLINK("https://cloud.oebiotech.com/#/lm/network/27841", "https://cloud.oebiotech.com/#/lm/network/27841")</f>
        <v>https://cloud.oebiotech.com/#/lm/network/27841</v>
      </c>
      <c r="I961" s="2"/>
      <c r="J961" s="2"/>
      <c r="K961" s="2" t="s">
        <v>8880</v>
      </c>
      <c r="L961" s="2">
        <v>134812294</v>
      </c>
      <c r="M961" s="2"/>
      <c r="N961" s="2"/>
      <c r="O961" s="2"/>
      <c r="P961" s="2"/>
      <c r="Q961" s="2"/>
      <c r="R961" s="2"/>
      <c r="S961" s="2"/>
      <c r="T961" s="2" t="s">
        <v>8881</v>
      </c>
      <c r="U961" s="2" t="s">
        <v>8882</v>
      </c>
      <c r="V961" s="2" t="s">
        <v>95</v>
      </c>
      <c r="W961" s="2" t="s">
        <v>202</v>
      </c>
      <c r="X961" s="2" t="s">
        <v>203</v>
      </c>
      <c r="Y961" s="2" t="s">
        <v>98</v>
      </c>
      <c r="Z961" s="2" t="s">
        <v>204</v>
      </c>
      <c r="AA961" s="2" t="s">
        <v>205</v>
      </c>
      <c r="AB961" s="2" t="s">
        <v>3086</v>
      </c>
      <c r="AC961" s="2">
        <v>51.71</v>
      </c>
      <c r="AD961" s="2">
        <v>93.53</v>
      </c>
      <c r="AE961" s="2">
        <v>0</v>
      </c>
      <c r="AF961" s="2" t="s">
        <v>8883</v>
      </c>
      <c r="AG961" s="2" t="s">
        <v>194</v>
      </c>
      <c r="AH961" s="2" t="s">
        <v>8884</v>
      </c>
      <c r="AI961" s="2">
        <v>4.71</v>
      </c>
      <c r="AJ961" s="2">
        <v>19.979536799022199</v>
      </c>
      <c r="AK961" s="2">
        <v>19.744086756079501</v>
      </c>
      <c r="AL961" s="2">
        <v>19.578590945576099</v>
      </c>
      <c r="AM961" s="2">
        <v>19.643547065586802</v>
      </c>
      <c r="AN961" s="2">
        <v>19.762459512966799</v>
      </c>
      <c r="AO961" s="2">
        <v>19.6594118109603</v>
      </c>
      <c r="AP961" s="2">
        <v>19.7151353211075</v>
      </c>
      <c r="AQ961" s="2">
        <v>19.7600703838554</v>
      </c>
      <c r="AR961" s="2">
        <v>19.9376221241323</v>
      </c>
      <c r="AS961" s="2">
        <v>19.112564735290899</v>
      </c>
      <c r="AT961" s="2">
        <v>19.4294140566472</v>
      </c>
      <c r="AU961" s="2">
        <v>19.3731243305796</v>
      </c>
      <c r="AV961" s="2">
        <v>19.929899516946801</v>
      </c>
      <c r="AW961" s="2">
        <v>18.790217260317601</v>
      </c>
      <c r="AX961" s="2">
        <v>19.115508823780701</v>
      </c>
      <c r="AY961" s="2">
        <v>19.572019084560001</v>
      </c>
      <c r="AZ961" s="2">
        <v>19.839124128700899</v>
      </c>
      <c r="BA961" s="2">
        <v>17.474067931448801</v>
      </c>
      <c r="BB961" s="2">
        <v>19.5019311785525</v>
      </c>
      <c r="BC961" s="2">
        <v>19.568151523653398</v>
      </c>
      <c r="BD961" s="2">
        <v>19.292776200846301</v>
      </c>
      <c r="BE961" s="2">
        <v>20.232818322349502</v>
      </c>
      <c r="BF961" s="2">
        <v>19.0384395683874</v>
      </c>
      <c r="BG961" s="2">
        <v>19.630488724681499</v>
      </c>
      <c r="BH961" s="2">
        <v>20.521210299213202</v>
      </c>
      <c r="BI961" s="2">
        <v>18.997997558422199</v>
      </c>
      <c r="BJ961" s="2">
        <v>19.345383003322901</v>
      </c>
      <c r="BK961" s="2">
        <v>19.357714639695399</v>
      </c>
      <c r="BL961" s="2">
        <v>19.8986341551593</v>
      </c>
      <c r="BM961" s="2">
        <v>19.545492167154801</v>
      </c>
      <c r="BN961" s="2">
        <v>19.816721972352401</v>
      </c>
      <c r="BO961" s="2">
        <v>19.790123058038901</v>
      </c>
      <c r="BP961" s="2">
        <v>19.759713565552602</v>
      </c>
      <c r="BQ961" s="2">
        <v>19.713950762887201</v>
      </c>
      <c r="BR961" s="2">
        <v>19.7334108801601</v>
      </c>
      <c r="BS961" s="2">
        <v>19.597781387637301</v>
      </c>
      <c r="BT961" s="2">
        <v>20.052725964288101</v>
      </c>
      <c r="BU961" s="2">
        <v>19.543397931998499</v>
      </c>
      <c r="BV961" s="2">
        <v>20.049657061721401</v>
      </c>
      <c r="BW961" s="2">
        <v>19.470105302673801</v>
      </c>
      <c r="BX961" s="2">
        <v>19.451903511728698</v>
      </c>
      <c r="BY961" s="2">
        <v>20.4301557575277</v>
      </c>
      <c r="BZ961" s="2">
        <v>19.1017259990676</v>
      </c>
      <c r="CA961" s="2">
        <v>19.896220117716201</v>
      </c>
      <c r="CB961" s="2">
        <v>18.9747319314524</v>
      </c>
      <c r="CC961" s="2">
        <v>18.7496796331246</v>
      </c>
      <c r="CD961" s="2">
        <v>19.562929686764601</v>
      </c>
      <c r="CE961" s="2">
        <v>19.571566866487</v>
      </c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</row>
    <row r="962" spans="1:97">
      <c r="A962" s="2" t="s">
        <v>8885</v>
      </c>
      <c r="B962" s="2">
        <v>400.34190000000001</v>
      </c>
      <c r="C962" s="2">
        <v>10.035</v>
      </c>
      <c r="D962" s="2" t="s">
        <v>84</v>
      </c>
      <c r="E962" s="2" t="s">
        <v>8886</v>
      </c>
      <c r="F962" s="2" t="s">
        <v>8887</v>
      </c>
      <c r="G962" s="2">
        <v>8380</v>
      </c>
      <c r="H962" s="3" t="str">
        <f>HYPERLINK("https://cloud.oebiotech.com/#/lm/network/8380", "https://cloud.oebiotech.com/#/lm/network/8380")</f>
        <v>https://cloud.oebiotech.com/#/lm/network/8380</v>
      </c>
      <c r="I962" s="2" t="s">
        <v>8888</v>
      </c>
      <c r="J962" s="2">
        <v>36667</v>
      </c>
      <c r="K962" s="2" t="s">
        <v>8889</v>
      </c>
      <c r="L962" s="2">
        <v>461</v>
      </c>
      <c r="M962" s="2" t="s">
        <v>8890</v>
      </c>
      <c r="N962" s="2" t="s">
        <v>8891</v>
      </c>
      <c r="O962" s="2" t="s">
        <v>8892</v>
      </c>
      <c r="P962" s="2">
        <v>73067</v>
      </c>
      <c r="Q962" s="2"/>
      <c r="R962" s="2"/>
      <c r="S962" s="2"/>
      <c r="T962" s="2" t="s">
        <v>8893</v>
      </c>
      <c r="U962" s="2" t="s">
        <v>8894</v>
      </c>
      <c r="V962" s="2" t="s">
        <v>95</v>
      </c>
      <c r="W962" s="2" t="s">
        <v>96</v>
      </c>
      <c r="X962" s="2" t="s">
        <v>97</v>
      </c>
      <c r="Y962" s="2" t="s">
        <v>98</v>
      </c>
      <c r="Z962" s="2" t="s">
        <v>99</v>
      </c>
      <c r="AA962" s="2" t="s">
        <v>100</v>
      </c>
      <c r="AB962" s="2" t="s">
        <v>5118</v>
      </c>
      <c r="AC962" s="2">
        <v>51.56</v>
      </c>
      <c r="AD962" s="2">
        <v>64.989999999999995</v>
      </c>
      <c r="AE962" s="2">
        <v>92.83</v>
      </c>
      <c r="AF962" s="2" t="s">
        <v>8895</v>
      </c>
      <c r="AG962" s="2" t="s">
        <v>103</v>
      </c>
      <c r="AH962" s="2" t="s">
        <v>8896</v>
      </c>
      <c r="AI962" s="2">
        <v>0.5</v>
      </c>
      <c r="AJ962" s="2">
        <v>25.121242325884701</v>
      </c>
      <c r="AK962" s="2">
        <v>25.055458262745098</v>
      </c>
      <c r="AL962" s="2">
        <v>25.079209013116301</v>
      </c>
      <c r="AM962" s="2">
        <v>25.142486913691201</v>
      </c>
      <c r="AN962" s="2">
        <v>25.137864307616798</v>
      </c>
      <c r="AO962" s="2">
        <v>25.1550642588772</v>
      </c>
      <c r="AP962" s="2">
        <v>25.2730631030512</v>
      </c>
      <c r="AQ962" s="2">
        <v>25.272763070918302</v>
      </c>
      <c r="AR962" s="2">
        <v>25.173438052949798</v>
      </c>
      <c r="AS962" s="2">
        <v>24.083627428437101</v>
      </c>
      <c r="AT962" s="2">
        <v>25.251889461108899</v>
      </c>
      <c r="AU962" s="2">
        <v>24.494739132848601</v>
      </c>
      <c r="AV962" s="2">
        <v>24.607744541185902</v>
      </c>
      <c r="AW962" s="2">
        <v>24.854898983515302</v>
      </c>
      <c r="AX962" s="2">
        <v>24.9388108489978</v>
      </c>
      <c r="AY962" s="2">
        <v>24.9172266109174</v>
      </c>
      <c r="AZ962" s="2">
        <v>24.283540236090001</v>
      </c>
      <c r="BA962" s="2">
        <v>24.6335829983325</v>
      </c>
      <c r="BB962" s="2">
        <v>24.831210346572298</v>
      </c>
      <c r="BC962" s="2">
        <v>26.428587210358302</v>
      </c>
      <c r="BD962" s="2">
        <v>24.761612635379599</v>
      </c>
      <c r="BE962" s="2">
        <v>25.314809342209799</v>
      </c>
      <c r="BF962" s="2">
        <v>25.102113976554499</v>
      </c>
      <c r="BG962" s="2">
        <v>25.006324433002</v>
      </c>
      <c r="BH962" s="2">
        <v>24.637247442300801</v>
      </c>
      <c r="BI962" s="2">
        <v>25.600267928404399</v>
      </c>
      <c r="BJ962" s="2">
        <v>25.2956493482334</v>
      </c>
      <c r="BK962" s="2">
        <v>24.6287034145628</v>
      </c>
      <c r="BL962" s="2">
        <v>25.435249393685599</v>
      </c>
      <c r="BM962" s="2">
        <v>24.429897632634201</v>
      </c>
      <c r="BN962" s="2">
        <v>25.0051771542668</v>
      </c>
      <c r="BO962" s="2">
        <v>24.8733143502362</v>
      </c>
      <c r="BP962" s="2">
        <v>25.3451726649986</v>
      </c>
      <c r="BQ962" s="2">
        <v>25.0621984020237</v>
      </c>
      <c r="BR962" s="2">
        <v>24.967402112484201</v>
      </c>
      <c r="BS962" s="2">
        <v>24.891851510553298</v>
      </c>
      <c r="BT962" s="2">
        <v>24.517914929894498</v>
      </c>
      <c r="BU962" s="2">
        <v>25.4951689092143</v>
      </c>
      <c r="BV962" s="2">
        <v>24.901284974638301</v>
      </c>
      <c r="BW962" s="2">
        <v>24.780211164320999</v>
      </c>
      <c r="BX962" s="2">
        <v>25.0890166565501</v>
      </c>
      <c r="BY962" s="2">
        <v>25.074688559887001</v>
      </c>
      <c r="BZ962" s="2">
        <v>24.86501290352</v>
      </c>
      <c r="CA962" s="2">
        <v>25.2515342870817</v>
      </c>
      <c r="CB962" s="2">
        <v>24.483953206801001</v>
      </c>
      <c r="CC962" s="2">
        <v>24.347042380900501</v>
      </c>
      <c r="CD962" s="2">
        <v>25.147180355491699</v>
      </c>
      <c r="CE962" s="2">
        <v>24.959350521068899</v>
      </c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</row>
    <row r="963" spans="1:97">
      <c r="A963" s="2" t="s">
        <v>8897</v>
      </c>
      <c r="B963" s="2">
        <v>279.98916000000003</v>
      </c>
      <c r="C963" s="2">
        <v>4.2469999999999999</v>
      </c>
      <c r="D963" s="2" t="s">
        <v>146</v>
      </c>
      <c r="E963" s="2" t="s">
        <v>8898</v>
      </c>
      <c r="F963" s="2" t="s">
        <v>8899</v>
      </c>
      <c r="G963" s="2">
        <v>211372</v>
      </c>
      <c r="H963" s="3" t="str">
        <f>HYPERLINK("https://cloud.oebiotech.com/#/lm/network/211372", "https://cloud.oebiotech.com/#/lm/network/211372")</f>
        <v>https://cloud.oebiotech.com/#/lm/network/211372</v>
      </c>
      <c r="I963" s="2" t="s">
        <v>8900</v>
      </c>
      <c r="J963" s="2"/>
      <c r="K963" s="2"/>
      <c r="L963" s="2">
        <v>18941178</v>
      </c>
      <c r="M963" s="2"/>
      <c r="N963" s="2"/>
      <c r="O963" s="2"/>
      <c r="P963" s="2"/>
      <c r="Q963" s="2"/>
      <c r="R963" s="2"/>
      <c r="S963" s="2"/>
      <c r="T963" s="2" t="s">
        <v>8901</v>
      </c>
      <c r="U963" s="2" t="s">
        <v>8902</v>
      </c>
      <c r="V963" s="2" t="s">
        <v>553</v>
      </c>
      <c r="W963" s="2" t="s">
        <v>2781</v>
      </c>
      <c r="X963" s="2" t="s">
        <v>375</v>
      </c>
      <c r="Y963" s="2" t="s">
        <v>556</v>
      </c>
      <c r="Z963" s="2" t="s">
        <v>2782</v>
      </c>
      <c r="AA963" s="2"/>
      <c r="AB963" s="2" t="s">
        <v>5118</v>
      </c>
      <c r="AC963" s="2">
        <v>51.52</v>
      </c>
      <c r="AD963" s="2">
        <v>74.66</v>
      </c>
      <c r="AE963" s="2">
        <v>95.72</v>
      </c>
      <c r="AF963" s="2" t="s">
        <v>8903</v>
      </c>
      <c r="AG963" s="2" t="s">
        <v>4062</v>
      </c>
      <c r="AH963" s="2" t="s">
        <v>8904</v>
      </c>
      <c r="AI963" s="2">
        <v>-6.43</v>
      </c>
      <c r="AJ963" s="2">
        <v>22.301608588565799</v>
      </c>
      <c r="AK963" s="2">
        <v>22.4064581199377</v>
      </c>
      <c r="AL963" s="2">
        <v>22.3394205262281</v>
      </c>
      <c r="AM963" s="2">
        <v>22.230088854595699</v>
      </c>
      <c r="AN963" s="2">
        <v>22.2845025287459</v>
      </c>
      <c r="AO963" s="2">
        <v>22.360267558430799</v>
      </c>
      <c r="AP963" s="2">
        <v>22.3458919435902</v>
      </c>
      <c r="AQ963" s="2">
        <v>22.287933712002101</v>
      </c>
      <c r="AR963" s="2">
        <v>20.1565699412421</v>
      </c>
      <c r="AS963" s="2">
        <v>20.6619746060164</v>
      </c>
      <c r="AT963" s="2">
        <v>21.179499830732698</v>
      </c>
      <c r="AU963" s="2">
        <v>22.269614456282198</v>
      </c>
      <c r="AV963" s="2">
        <v>22.367981664141901</v>
      </c>
      <c r="AW963" s="2">
        <v>21.538570937645002</v>
      </c>
      <c r="AX963" s="2">
        <v>22.250595874729399</v>
      </c>
      <c r="AY963" s="2">
        <v>21.999577115240999</v>
      </c>
      <c r="AZ963" s="2">
        <v>21.782256592253098</v>
      </c>
      <c r="BA963" s="2">
        <v>21.174442675704999</v>
      </c>
      <c r="BB963" s="2">
        <v>22.3168394626219</v>
      </c>
      <c r="BC963" s="2">
        <v>20.668273566148098</v>
      </c>
      <c r="BD963" s="2">
        <v>22.292197280135301</v>
      </c>
      <c r="BE963" s="2">
        <v>24.236045153236599</v>
      </c>
      <c r="BF963" s="2">
        <v>21.259575722278999</v>
      </c>
      <c r="BG963" s="2">
        <v>22.671487245729299</v>
      </c>
      <c r="BH963" s="2">
        <v>22.133300536693401</v>
      </c>
      <c r="BI963" s="2">
        <v>24.4552073888709</v>
      </c>
      <c r="BJ963" s="2">
        <v>22.1982774587097</v>
      </c>
      <c r="BK963" s="2">
        <v>22.4920254906108</v>
      </c>
      <c r="BL963" s="2">
        <v>22.027885531200901</v>
      </c>
      <c r="BM963" s="2">
        <v>22.318252575116301</v>
      </c>
      <c r="BN963" s="2">
        <v>21.9285833457308</v>
      </c>
      <c r="BO963" s="2">
        <v>21.738883573518802</v>
      </c>
      <c r="BP963" s="2">
        <v>22.8948814686688</v>
      </c>
      <c r="BQ963" s="2">
        <v>22.0572843428704</v>
      </c>
      <c r="BR963" s="2">
        <v>21.924354080341299</v>
      </c>
      <c r="BS963" s="2">
        <v>21.936537419686001</v>
      </c>
      <c r="BT963" s="2">
        <v>22.191902341801399</v>
      </c>
      <c r="BU963" s="2">
        <v>20.932424662980299</v>
      </c>
      <c r="BV963" s="2">
        <v>21.0388172770244</v>
      </c>
      <c r="BW963" s="2">
        <v>18.9439246164583</v>
      </c>
      <c r="BX963" s="2">
        <v>21.6761149723554</v>
      </c>
      <c r="BY963" s="2">
        <v>24.663186483850801</v>
      </c>
      <c r="BZ963" s="2">
        <v>20.9785064360718</v>
      </c>
      <c r="CA963" s="2">
        <v>20.898935369616598</v>
      </c>
      <c r="CB963" s="2">
        <v>21.511668943490701</v>
      </c>
      <c r="CC963" s="2">
        <v>22.1615126861013</v>
      </c>
      <c r="CD963" s="2">
        <v>22.070383696676998</v>
      </c>
      <c r="CE963" s="2">
        <v>19.894424451106399</v>
      </c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</row>
    <row r="964" spans="1:97">
      <c r="A964" s="2" t="s">
        <v>8905</v>
      </c>
      <c r="B964" s="2">
        <v>259.09836999999999</v>
      </c>
      <c r="C964" s="2">
        <v>10.029999999999999</v>
      </c>
      <c r="D964" s="2" t="s">
        <v>146</v>
      </c>
      <c r="E964" s="2" t="s">
        <v>8906</v>
      </c>
      <c r="F964" s="2" t="s">
        <v>8907</v>
      </c>
      <c r="G964" s="2">
        <v>64294</v>
      </c>
      <c r="H964" s="3" t="str">
        <f>HYPERLINK("https://cloud.oebiotech.com/#/lm/network/64294", "https://cloud.oebiotech.com/#/lm/network/64294")</f>
        <v>https://cloud.oebiotech.com/#/lm/network/64294</v>
      </c>
      <c r="I964" s="2" t="s">
        <v>8908</v>
      </c>
      <c r="J964" s="2">
        <v>95614</v>
      </c>
      <c r="K964" s="2"/>
      <c r="L964" s="2">
        <v>11253965</v>
      </c>
      <c r="M964" s="2"/>
      <c r="N964" s="2"/>
      <c r="O964" s="2"/>
      <c r="P964" s="2">
        <v>174426</v>
      </c>
      <c r="Q964" s="2"/>
      <c r="R964" s="2"/>
      <c r="S964" s="2" t="s">
        <v>8909</v>
      </c>
      <c r="T964" s="2" t="s">
        <v>8910</v>
      </c>
      <c r="U964" s="2" t="s">
        <v>8911</v>
      </c>
      <c r="V964" s="2" t="s">
        <v>845</v>
      </c>
      <c r="W964" s="2" t="s">
        <v>846</v>
      </c>
      <c r="X964" s="2" t="s">
        <v>8912</v>
      </c>
      <c r="Y964" s="2" t="s">
        <v>847</v>
      </c>
      <c r="Z964" s="2" t="s">
        <v>848</v>
      </c>
      <c r="AA964" s="2" t="s">
        <v>8913</v>
      </c>
      <c r="AB964" s="2" t="s">
        <v>3086</v>
      </c>
      <c r="AC964" s="2">
        <v>51.52</v>
      </c>
      <c r="AD964" s="2">
        <v>90.5</v>
      </c>
      <c r="AE964" s="2">
        <v>0</v>
      </c>
      <c r="AF964" s="2" t="s">
        <v>5614</v>
      </c>
      <c r="AG964" s="2" t="s">
        <v>194</v>
      </c>
      <c r="AH964" s="2" t="s">
        <v>8914</v>
      </c>
      <c r="AI964" s="2">
        <v>-3.09</v>
      </c>
      <c r="AJ964" s="2">
        <v>18.1616065673145</v>
      </c>
      <c r="AK964" s="2">
        <v>18.270230071519901</v>
      </c>
      <c r="AL964" s="2">
        <v>17.806872739721399</v>
      </c>
      <c r="AM964" s="2">
        <v>18.017536370752001</v>
      </c>
      <c r="AN964" s="2">
        <v>17.809553177760598</v>
      </c>
      <c r="AO964" s="2">
        <v>18.097469037382201</v>
      </c>
      <c r="AP964" s="2">
        <v>17.871317928643201</v>
      </c>
      <c r="AQ964" s="2">
        <v>17.928398951492301</v>
      </c>
      <c r="AR964" s="2">
        <v>17.977945746059799</v>
      </c>
      <c r="AS964" s="2">
        <v>18.120181774144399</v>
      </c>
      <c r="AT964" s="2">
        <v>17.787044033555599</v>
      </c>
      <c r="AU964" s="2">
        <v>17.809332164996999</v>
      </c>
      <c r="AV964" s="2">
        <v>18.093200122387501</v>
      </c>
      <c r="AW964" s="2">
        <v>17.606599099409198</v>
      </c>
      <c r="AX964" s="2">
        <v>18.205241950357401</v>
      </c>
      <c r="AY964" s="2">
        <v>17.465324622811799</v>
      </c>
      <c r="AZ964" s="2">
        <v>17.806435900047799</v>
      </c>
      <c r="BA964" s="2">
        <v>17.9490657993932</v>
      </c>
      <c r="BB964" s="2">
        <v>17.769994313021201</v>
      </c>
      <c r="BC964" s="2">
        <v>18.075172531676198</v>
      </c>
      <c r="BD964" s="2">
        <v>17.803709240529798</v>
      </c>
      <c r="BE964" s="2">
        <v>17.732601504694902</v>
      </c>
      <c r="BF964" s="2">
        <v>17.7308272640214</v>
      </c>
      <c r="BG964" s="2">
        <v>18.128667908895899</v>
      </c>
      <c r="BH964" s="2">
        <v>17.7590934654969</v>
      </c>
      <c r="BI964" s="2">
        <v>17.526996760866901</v>
      </c>
      <c r="BJ964" s="2">
        <v>16.904154066620801</v>
      </c>
      <c r="BK964" s="2">
        <v>18.116120655217902</v>
      </c>
      <c r="BL964" s="2">
        <v>17.858780799673799</v>
      </c>
      <c r="BM964" s="2">
        <v>17.9166204411911</v>
      </c>
      <c r="BN964" s="2">
        <v>17.762956118866899</v>
      </c>
      <c r="BO964" s="2">
        <v>18.119424268688</v>
      </c>
      <c r="BP964" s="2">
        <v>17.7784546861444</v>
      </c>
      <c r="BQ964" s="2">
        <v>17.925468788902801</v>
      </c>
      <c r="BR964" s="2">
        <v>17.920306909722399</v>
      </c>
      <c r="BS964" s="2">
        <v>17.908822932621501</v>
      </c>
      <c r="BT964" s="2">
        <v>17.921170269635201</v>
      </c>
      <c r="BU964" s="2">
        <v>17.5239222479182</v>
      </c>
      <c r="BV964" s="2">
        <v>17.9569002483519</v>
      </c>
      <c r="BW964" s="2">
        <v>17.735013126276499</v>
      </c>
      <c r="BX964" s="2">
        <v>18.197509912352398</v>
      </c>
      <c r="BY964" s="2">
        <v>18.021760782376901</v>
      </c>
      <c r="BZ964" s="2">
        <v>18.085878326045499</v>
      </c>
      <c r="CA964" s="2">
        <v>17.997401190477099</v>
      </c>
      <c r="CB964" s="2">
        <v>17.8015329996894</v>
      </c>
      <c r="CC964" s="2">
        <v>17.841131683183701</v>
      </c>
      <c r="CD964" s="2">
        <v>17.811726706386501</v>
      </c>
      <c r="CE964" s="2">
        <v>18.006530280028102</v>
      </c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</row>
    <row r="965" spans="1:97">
      <c r="A965" s="2" t="s">
        <v>8915</v>
      </c>
      <c r="B965" s="2">
        <v>295.07682999999997</v>
      </c>
      <c r="C965" s="2">
        <v>5.94</v>
      </c>
      <c r="D965" s="2" t="s">
        <v>146</v>
      </c>
      <c r="E965" s="2" t="s">
        <v>8916</v>
      </c>
      <c r="F965" s="2" t="s">
        <v>8917</v>
      </c>
      <c r="G965" s="2">
        <v>212164</v>
      </c>
      <c r="H965" s="3" t="str">
        <f>HYPERLINK("https://cloud.oebiotech.com/#/lm/network/212164", "https://cloud.oebiotech.com/#/lm/network/212164")</f>
        <v>https://cloud.oebiotech.com/#/lm/network/212164</v>
      </c>
      <c r="I965" s="2" t="s">
        <v>8918</v>
      </c>
      <c r="J965" s="2"/>
      <c r="K965" s="2"/>
      <c r="L965" s="2">
        <v>71248</v>
      </c>
      <c r="M965" s="2"/>
      <c r="N965" s="2"/>
      <c r="O965" s="2"/>
      <c r="P965" s="2"/>
      <c r="Q965" s="2"/>
      <c r="R965" s="2"/>
      <c r="S965" s="2"/>
      <c r="T965" s="2" t="s">
        <v>8919</v>
      </c>
      <c r="U965" s="2" t="s">
        <v>8920</v>
      </c>
      <c r="V965" s="2" t="s">
        <v>553</v>
      </c>
      <c r="W965" s="2" t="s">
        <v>8921</v>
      </c>
      <c r="X965" s="2" t="s">
        <v>8922</v>
      </c>
      <c r="Y965" s="2" t="s">
        <v>556</v>
      </c>
      <c r="Z965" s="2" t="s">
        <v>8923</v>
      </c>
      <c r="AA965" s="2" t="s">
        <v>8924</v>
      </c>
      <c r="AB965" s="2" t="s">
        <v>3086</v>
      </c>
      <c r="AC965" s="2">
        <v>51.51</v>
      </c>
      <c r="AD965" s="2">
        <v>88.66</v>
      </c>
      <c r="AE965" s="2">
        <v>0</v>
      </c>
      <c r="AF965" s="2" t="s">
        <v>8925</v>
      </c>
      <c r="AG965" s="2" t="s">
        <v>194</v>
      </c>
      <c r="AH965" s="2" t="s">
        <v>8926</v>
      </c>
      <c r="AI965" s="2">
        <v>-3.39</v>
      </c>
      <c r="AJ965" s="2">
        <v>16.699867517359898</v>
      </c>
      <c r="AK965" s="2">
        <v>17.214238949873899</v>
      </c>
      <c r="AL965" s="2">
        <v>17.2687891473809</v>
      </c>
      <c r="AM965" s="2">
        <v>17.404687307785199</v>
      </c>
      <c r="AN965" s="2">
        <v>17.5600758163371</v>
      </c>
      <c r="AO965" s="2">
        <v>17.1378750084755</v>
      </c>
      <c r="AP965" s="2">
        <v>17.2595337318822</v>
      </c>
      <c r="AQ965" s="2">
        <v>17.0268732026605</v>
      </c>
      <c r="AR965" s="2">
        <v>14.2392718274407</v>
      </c>
      <c r="AS965" s="2">
        <v>15.3083294301553</v>
      </c>
      <c r="AT965" s="2">
        <v>17.280499840717901</v>
      </c>
      <c r="AU965" s="2">
        <v>15.458864111877601</v>
      </c>
      <c r="AV965" s="2">
        <v>15.450697382297999</v>
      </c>
      <c r="AW965" s="2">
        <v>17.071182654059999</v>
      </c>
      <c r="AX965" s="2">
        <v>16.039991697680499</v>
      </c>
      <c r="AY965" s="2">
        <v>17.023799934847901</v>
      </c>
      <c r="AZ965" s="2">
        <v>14.812453100297301</v>
      </c>
      <c r="BA965" s="2">
        <v>16.4807348306798</v>
      </c>
      <c r="BB965" s="2">
        <v>17.319292929761598</v>
      </c>
      <c r="BC965" s="2">
        <v>17.413728075978302</v>
      </c>
      <c r="BD965" s="2">
        <v>15.358608622630999</v>
      </c>
      <c r="BE965" s="2">
        <v>16.8303558807957</v>
      </c>
      <c r="BF965" s="2">
        <v>16.3283944383525</v>
      </c>
      <c r="BG965" s="2">
        <v>16.5053486997733</v>
      </c>
      <c r="BH965" s="2">
        <v>16.425014403750598</v>
      </c>
      <c r="BI965" s="2">
        <v>16.802447828410799</v>
      </c>
      <c r="BJ965" s="2">
        <v>16.856932576194101</v>
      </c>
      <c r="BK965" s="2">
        <v>16.1829847505083</v>
      </c>
      <c r="BL965" s="2">
        <v>16.7793012781977</v>
      </c>
      <c r="BM965" s="2">
        <v>17.277967317727999</v>
      </c>
      <c r="BN965" s="2">
        <v>18.903341722277599</v>
      </c>
      <c r="BO965" s="2">
        <v>16.601571754248202</v>
      </c>
      <c r="BP965" s="2">
        <v>15.5959981063562</v>
      </c>
      <c r="BQ965" s="2">
        <v>17.9508925086399</v>
      </c>
      <c r="BR965" s="2">
        <v>18.0418632245702</v>
      </c>
      <c r="BS965" s="2">
        <v>15.4360465104863</v>
      </c>
      <c r="BT965" s="2">
        <v>15.880127316418401</v>
      </c>
      <c r="BU965" s="2">
        <v>16.841818983535902</v>
      </c>
      <c r="BV965" s="2">
        <v>16.917862234644598</v>
      </c>
      <c r="BW965" s="2">
        <v>16.520372982861499</v>
      </c>
      <c r="BX965" s="2">
        <v>16.737085564275102</v>
      </c>
      <c r="BY965" s="2">
        <v>18.481276651635401</v>
      </c>
      <c r="BZ965" s="2">
        <v>16.772562528711301</v>
      </c>
      <c r="CA965" s="2">
        <v>16.683596540838298</v>
      </c>
      <c r="CB965" s="2">
        <v>16.1853015272393</v>
      </c>
      <c r="CC965" s="2">
        <v>17.323866909930299</v>
      </c>
      <c r="CD965" s="2">
        <v>16.1407786557828</v>
      </c>
      <c r="CE965" s="2">
        <v>16.199508828598699</v>
      </c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</row>
    <row r="966" spans="1:97">
      <c r="A966" s="2" t="s">
        <v>8927</v>
      </c>
      <c r="B966" s="2">
        <v>556.32488999999998</v>
      </c>
      <c r="C966" s="2">
        <v>9.9730000000000008</v>
      </c>
      <c r="D966" s="2" t="s">
        <v>146</v>
      </c>
      <c r="E966" s="2" t="s">
        <v>8928</v>
      </c>
      <c r="F966" s="2" t="s">
        <v>8929</v>
      </c>
      <c r="G966" s="2">
        <v>22465</v>
      </c>
      <c r="H966" s="3" t="str">
        <f>HYPERLINK("https://cloud.oebiotech.com/#/lm/network/22465", "https://cloud.oebiotech.com/#/lm/network/22465")</f>
        <v>https://cloud.oebiotech.com/#/lm/network/22465</v>
      </c>
      <c r="I966" s="2"/>
      <c r="J966" s="2">
        <v>78862</v>
      </c>
      <c r="K966" s="2" t="s">
        <v>8930</v>
      </c>
      <c r="L966" s="2">
        <v>52926302</v>
      </c>
      <c r="M966" s="2"/>
      <c r="N966" s="2"/>
      <c r="O966" s="2"/>
      <c r="P966" s="2">
        <v>72738</v>
      </c>
      <c r="Q966" s="2"/>
      <c r="R966" s="2"/>
      <c r="S966" s="2"/>
      <c r="T966" s="2" t="s">
        <v>8931</v>
      </c>
      <c r="U966" s="2" t="s">
        <v>8932</v>
      </c>
      <c r="V966" s="2" t="s">
        <v>95</v>
      </c>
      <c r="W966" s="2" t="s">
        <v>202</v>
      </c>
      <c r="X966" s="2" t="s">
        <v>8933</v>
      </c>
      <c r="Y966" s="2" t="s">
        <v>98</v>
      </c>
      <c r="Z966" s="2" t="s">
        <v>204</v>
      </c>
      <c r="AA966" s="2" t="s">
        <v>8934</v>
      </c>
      <c r="AB966" s="2" t="s">
        <v>5118</v>
      </c>
      <c r="AC966" s="2">
        <v>51.51</v>
      </c>
      <c r="AD966" s="2">
        <v>95.08</v>
      </c>
      <c r="AE966" s="2">
        <v>79.709999999999994</v>
      </c>
      <c r="AF966" s="2" t="s">
        <v>8935</v>
      </c>
      <c r="AG966" s="2" t="s">
        <v>157</v>
      </c>
      <c r="AH966" s="2" t="s">
        <v>8936</v>
      </c>
      <c r="AI966" s="2">
        <v>1.26</v>
      </c>
      <c r="AJ966" s="2">
        <v>21.718172562842501</v>
      </c>
      <c r="AK966" s="2">
        <v>21.5600554724207</v>
      </c>
      <c r="AL966" s="2">
        <v>21.4373548236677</v>
      </c>
      <c r="AM966" s="2">
        <v>21.429168208004199</v>
      </c>
      <c r="AN966" s="2">
        <v>21.465546262839101</v>
      </c>
      <c r="AO966" s="2">
        <v>21.3306951207854</v>
      </c>
      <c r="AP966" s="2">
        <v>21.313946401971101</v>
      </c>
      <c r="AQ966" s="2">
        <v>21.2831750260546</v>
      </c>
      <c r="AR966" s="2">
        <v>21.370618839238499</v>
      </c>
      <c r="AS966" s="2">
        <v>21.0081948108046</v>
      </c>
      <c r="AT966" s="2">
        <v>21.3259463923835</v>
      </c>
      <c r="AU966" s="2">
        <v>21.248908264634998</v>
      </c>
      <c r="AV966" s="2">
        <v>21.155676437408999</v>
      </c>
      <c r="AW966" s="2">
        <v>21.467818145239999</v>
      </c>
      <c r="AX966" s="2">
        <v>20.996003536646</v>
      </c>
      <c r="AY966" s="2">
        <v>21.519455543787899</v>
      </c>
      <c r="AZ966" s="2">
        <v>21.8349796160736</v>
      </c>
      <c r="BA966" s="2">
        <v>20.226397974536901</v>
      </c>
      <c r="BB966" s="2">
        <v>21.403913436715399</v>
      </c>
      <c r="BC966" s="2">
        <v>22.4737257557024</v>
      </c>
      <c r="BD966" s="2">
        <v>21.4547332252282</v>
      </c>
      <c r="BE966" s="2">
        <v>21.531901339442101</v>
      </c>
      <c r="BF966" s="2">
        <v>20.988800803918298</v>
      </c>
      <c r="BG966" s="2">
        <v>21.6953135866599</v>
      </c>
      <c r="BH966" s="2">
        <v>21.433370853399399</v>
      </c>
      <c r="BI966" s="2">
        <v>21.509782159844399</v>
      </c>
      <c r="BJ966" s="2">
        <v>21.184327299974399</v>
      </c>
      <c r="BK966" s="2">
        <v>21.173650092836802</v>
      </c>
      <c r="BL966" s="2">
        <v>21.3044001442486</v>
      </c>
      <c r="BM966" s="2">
        <v>21.762429308883402</v>
      </c>
      <c r="BN966" s="2">
        <v>21.4553785221601</v>
      </c>
      <c r="BO966" s="2">
        <v>21.505561014752299</v>
      </c>
      <c r="BP966" s="2">
        <v>21.2257299115603</v>
      </c>
      <c r="BQ966" s="2">
        <v>21.660837540875502</v>
      </c>
      <c r="BR966" s="2">
        <v>21.530125781340299</v>
      </c>
      <c r="BS966" s="2">
        <v>21.556103877912701</v>
      </c>
      <c r="BT966" s="2">
        <v>21.981847529503799</v>
      </c>
      <c r="BU966" s="2">
        <v>20.5329999858447</v>
      </c>
      <c r="BV966" s="2">
        <v>21.283153995701799</v>
      </c>
      <c r="BW966" s="2">
        <v>21.332781336529202</v>
      </c>
      <c r="BX966" s="2">
        <v>21.5715760873974</v>
      </c>
      <c r="BY966" s="2">
        <v>21.2727169006765</v>
      </c>
      <c r="BZ966" s="2">
        <v>21.381910322634202</v>
      </c>
      <c r="CA966" s="2">
        <v>21.6604348038192</v>
      </c>
      <c r="CB966" s="2">
        <v>20.635552472006498</v>
      </c>
      <c r="CC966" s="2">
        <v>21.284318293559298</v>
      </c>
      <c r="CD966" s="2">
        <v>20.963908329814</v>
      </c>
      <c r="CE966" s="2">
        <v>20.538240785932299</v>
      </c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</row>
    <row r="967" spans="1:97">
      <c r="A967" s="2" t="s">
        <v>8937</v>
      </c>
      <c r="B967" s="2">
        <v>389.04937999999999</v>
      </c>
      <c r="C967" s="2">
        <v>0.91500000000000004</v>
      </c>
      <c r="D967" s="2" t="s">
        <v>146</v>
      </c>
      <c r="E967" s="2" t="s">
        <v>8938</v>
      </c>
      <c r="F967" s="2" t="s">
        <v>8939</v>
      </c>
      <c r="G967" s="2">
        <v>207219</v>
      </c>
      <c r="H967" s="3" t="str">
        <f>HYPERLINK("https://cloud.oebiotech.com/#/lm/network/207219", "https://cloud.oebiotech.com/#/lm/network/207219")</f>
        <v>https://cloud.oebiotech.com/#/lm/network/207219</v>
      </c>
      <c r="I967" s="2" t="s">
        <v>8940</v>
      </c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 t="s">
        <v>8941</v>
      </c>
      <c r="U967" s="2" t="s">
        <v>8942</v>
      </c>
      <c r="V967" s="2" t="s">
        <v>338</v>
      </c>
      <c r="W967" s="2" t="s">
        <v>339</v>
      </c>
      <c r="X967" s="2" t="s">
        <v>663</v>
      </c>
      <c r="Y967" s="2" t="s">
        <v>341</v>
      </c>
      <c r="Z967" s="2" t="s">
        <v>341</v>
      </c>
      <c r="AA967" s="2" t="s">
        <v>664</v>
      </c>
      <c r="AB967" s="2" t="s">
        <v>3086</v>
      </c>
      <c r="AC967" s="2">
        <v>51.5</v>
      </c>
      <c r="AD967" s="2">
        <v>77.680000000000007</v>
      </c>
      <c r="AE967" s="2">
        <v>0</v>
      </c>
      <c r="AF967" s="2" t="s">
        <v>8943</v>
      </c>
      <c r="AG967" s="2" t="s">
        <v>4062</v>
      </c>
      <c r="AH967" s="2" t="s">
        <v>8944</v>
      </c>
      <c r="AI967" s="2">
        <v>-0.51</v>
      </c>
      <c r="AJ967" s="2">
        <v>24.0964536875139</v>
      </c>
      <c r="AK967" s="2">
        <v>24.345675490377801</v>
      </c>
      <c r="AL967" s="2">
        <v>24.239024100348999</v>
      </c>
      <c r="AM967" s="2">
        <v>24.3724697772792</v>
      </c>
      <c r="AN967" s="2">
        <v>24.073858960323602</v>
      </c>
      <c r="AO967" s="2">
        <v>24.355663785243902</v>
      </c>
      <c r="AP967" s="2">
        <v>24.318826418596799</v>
      </c>
      <c r="AQ967" s="2">
        <v>24.391190449841002</v>
      </c>
      <c r="AR967" s="2">
        <v>24.547299398320401</v>
      </c>
      <c r="AS967" s="2">
        <v>24.2207470078807</v>
      </c>
      <c r="AT967" s="2">
        <v>24.2285933985643</v>
      </c>
      <c r="AU967" s="2">
        <v>24.971739142768701</v>
      </c>
      <c r="AV967" s="2">
        <v>24.487494454590902</v>
      </c>
      <c r="AW967" s="2">
        <v>24.191237687975502</v>
      </c>
      <c r="AX967" s="2">
        <v>24.316982546720499</v>
      </c>
      <c r="AY967" s="2">
        <v>24.2231687475076</v>
      </c>
      <c r="AZ967" s="2">
        <v>24.542686261689301</v>
      </c>
      <c r="BA967" s="2">
        <v>24.143789324484001</v>
      </c>
      <c r="BB967" s="2">
        <v>24.053137086384002</v>
      </c>
      <c r="BC967" s="2">
        <v>23.9414123019152</v>
      </c>
      <c r="BD967" s="2">
        <v>24.477920674533699</v>
      </c>
      <c r="BE967" s="2">
        <v>23.867725740614102</v>
      </c>
      <c r="BF967" s="2">
        <v>24.241979470425399</v>
      </c>
      <c r="BG967" s="2">
        <v>24.334719041336601</v>
      </c>
      <c r="BH967" s="2">
        <v>24.440250799495701</v>
      </c>
      <c r="BI967" s="2">
        <v>23.9086640166683</v>
      </c>
      <c r="BJ967" s="2">
        <v>23.915780083702899</v>
      </c>
      <c r="BK967" s="2">
        <v>24.7075010255029</v>
      </c>
      <c r="BL967" s="2">
        <v>24.427303473940199</v>
      </c>
      <c r="BM967" s="2">
        <v>25.0084633098129</v>
      </c>
      <c r="BN967" s="2">
        <v>24.194364191623201</v>
      </c>
      <c r="BO967" s="2">
        <v>23.990386290116099</v>
      </c>
      <c r="BP967" s="2">
        <v>23.7998105984177</v>
      </c>
      <c r="BQ967" s="2">
        <v>24.751074119125299</v>
      </c>
      <c r="BR967" s="2">
        <v>24.283511143612898</v>
      </c>
      <c r="BS967" s="2">
        <v>23.8981116025064</v>
      </c>
      <c r="BT967" s="2">
        <v>24.5014750003246</v>
      </c>
      <c r="BU967" s="2">
        <v>23.4522806792822</v>
      </c>
      <c r="BV967" s="2">
        <v>24.0958820838866</v>
      </c>
      <c r="BW967" s="2">
        <v>23.9978257365518</v>
      </c>
      <c r="BX967" s="2">
        <v>24.492333482973802</v>
      </c>
      <c r="BY967" s="2">
        <v>23.4829449420793</v>
      </c>
      <c r="BZ967" s="2">
        <v>24.3768913740751</v>
      </c>
      <c r="CA967" s="2">
        <v>23.887915272815299</v>
      </c>
      <c r="CB967" s="2">
        <v>23.675664664635502</v>
      </c>
      <c r="CC967" s="2">
        <v>24.089378519822699</v>
      </c>
      <c r="CD967" s="2">
        <v>22.754516481511899</v>
      </c>
      <c r="CE967" s="2">
        <v>24.442704675285999</v>
      </c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</row>
    <row r="968" spans="1:97">
      <c r="A968" s="2" t="s">
        <v>8945</v>
      </c>
      <c r="B968" s="2">
        <v>275.14195000000001</v>
      </c>
      <c r="C968" s="2">
        <v>4.125</v>
      </c>
      <c r="D968" s="2" t="s">
        <v>84</v>
      </c>
      <c r="E968" s="2" t="s">
        <v>8946</v>
      </c>
      <c r="F968" s="2" t="s">
        <v>8947</v>
      </c>
      <c r="G968" s="2">
        <v>57735</v>
      </c>
      <c r="H968" s="3" t="str">
        <f>HYPERLINK("https://cloud.oebiotech.com/#/lm/network/57735", "https://cloud.oebiotech.com/#/lm/network/57735")</f>
        <v>https://cloud.oebiotech.com/#/lm/network/57735</v>
      </c>
      <c r="I968" s="2" t="s">
        <v>8948</v>
      </c>
      <c r="J968" s="2">
        <v>89326</v>
      </c>
      <c r="K968" s="2"/>
      <c r="L968" s="2">
        <v>107777</v>
      </c>
      <c r="M968" s="2"/>
      <c r="N968" s="2"/>
      <c r="O968" s="2"/>
      <c r="P968" s="2">
        <v>174090</v>
      </c>
      <c r="Q968" s="2"/>
      <c r="R968" s="2"/>
      <c r="S968" s="2" t="s">
        <v>8949</v>
      </c>
      <c r="T968" s="2" t="s">
        <v>8950</v>
      </c>
      <c r="U968" s="2" t="s">
        <v>8951</v>
      </c>
      <c r="V968" s="2" t="s">
        <v>553</v>
      </c>
      <c r="W968" s="2" t="s">
        <v>2193</v>
      </c>
      <c r="X968" s="2" t="s">
        <v>4866</v>
      </c>
      <c r="Y968" s="2" t="s">
        <v>556</v>
      </c>
      <c r="Z968" s="2" t="s">
        <v>2194</v>
      </c>
      <c r="AA968" s="2" t="s">
        <v>4867</v>
      </c>
      <c r="AB968" s="2" t="s">
        <v>3086</v>
      </c>
      <c r="AC968" s="2">
        <v>51.5</v>
      </c>
      <c r="AD968" s="2">
        <v>97.75</v>
      </c>
      <c r="AE968" s="2">
        <v>35.979999999999997</v>
      </c>
      <c r="AF968" s="2" t="s">
        <v>8952</v>
      </c>
      <c r="AG968" s="2" t="s">
        <v>1088</v>
      </c>
      <c r="AH968" s="2" t="s">
        <v>8953</v>
      </c>
      <c r="AI968" s="2">
        <v>-8.7200000000000006</v>
      </c>
      <c r="AJ968" s="2">
        <v>22.586468298690502</v>
      </c>
      <c r="AK968" s="2">
        <v>22.612325658522099</v>
      </c>
      <c r="AL968" s="2">
        <v>22.631498995038001</v>
      </c>
      <c r="AM968" s="2">
        <v>22.621996070997401</v>
      </c>
      <c r="AN968" s="2">
        <v>22.652014810891501</v>
      </c>
      <c r="AO968" s="2">
        <v>22.650911512450602</v>
      </c>
      <c r="AP968" s="2">
        <v>22.607518102771898</v>
      </c>
      <c r="AQ968" s="2">
        <v>22.6686852562433</v>
      </c>
      <c r="AR968" s="2">
        <v>18.4778317714518</v>
      </c>
      <c r="AS968" s="2">
        <v>15.5860463455027</v>
      </c>
      <c r="AT968" s="2">
        <v>17.833671670023001</v>
      </c>
      <c r="AU968" s="2">
        <v>19.911948103699999</v>
      </c>
      <c r="AV968" s="2">
        <v>18.1753207978186</v>
      </c>
      <c r="AW968" s="2">
        <v>17.541956212114201</v>
      </c>
      <c r="AX968" s="2">
        <v>18.419317625778</v>
      </c>
      <c r="AY968" s="2">
        <v>19.773754732621398</v>
      </c>
      <c r="AZ968" s="2">
        <v>18.8515999422942</v>
      </c>
      <c r="BA968" s="2">
        <v>16.883674507431198</v>
      </c>
      <c r="BB968" s="2">
        <v>18.467453151957699</v>
      </c>
      <c r="BC968" s="2">
        <v>19.8022498519979</v>
      </c>
      <c r="BD968" s="2">
        <v>14.7607365778602</v>
      </c>
      <c r="BE968" s="2">
        <v>17.0609439157972</v>
      </c>
      <c r="BF968" s="2">
        <v>16.5161558435994</v>
      </c>
      <c r="BG968" s="2">
        <v>9.6233145402724691</v>
      </c>
      <c r="BH968" s="2">
        <v>17.048239400427502</v>
      </c>
      <c r="BI968" s="2">
        <v>9.6233145402724691</v>
      </c>
      <c r="BJ968" s="2">
        <v>16.062057524709601</v>
      </c>
      <c r="BK968" s="2">
        <v>17.357297782130999</v>
      </c>
      <c r="BL968" s="2">
        <v>17.885355461093202</v>
      </c>
      <c r="BM968" s="2">
        <v>15.971044577547699</v>
      </c>
      <c r="BN968" s="2">
        <v>17.8865672343216</v>
      </c>
      <c r="BO968" s="2">
        <v>19.262010332928298</v>
      </c>
      <c r="BP968" s="2">
        <v>16.3679422869142</v>
      </c>
      <c r="BQ968" s="2">
        <v>19.402970235158801</v>
      </c>
      <c r="BR968" s="2">
        <v>20.1382006542587</v>
      </c>
      <c r="BS968" s="2">
        <v>17.2183318370165</v>
      </c>
      <c r="BT968" s="2">
        <v>18.5555376988086</v>
      </c>
      <c r="BU968" s="2">
        <v>17.538731083887399</v>
      </c>
      <c r="BV968" s="2">
        <v>19.5837681258282</v>
      </c>
      <c r="BW968" s="2">
        <v>17.660370547146201</v>
      </c>
      <c r="BX968" s="2">
        <v>18.325235920755901</v>
      </c>
      <c r="BY968" s="2">
        <v>16.234947814027802</v>
      </c>
      <c r="BZ968" s="2">
        <v>19.323921012069501</v>
      </c>
      <c r="CA968" s="2">
        <v>16.4368766138019</v>
      </c>
      <c r="CB968" s="2">
        <v>17.512691937048299</v>
      </c>
      <c r="CC968" s="2">
        <v>18.7730250747226</v>
      </c>
      <c r="CD968" s="2">
        <v>17.703168875803598</v>
      </c>
      <c r="CE968" s="2">
        <v>18.025174986704599</v>
      </c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</row>
    <row r="969" spans="1:97">
      <c r="A969" s="2" t="s">
        <v>8954</v>
      </c>
      <c r="B969" s="2">
        <v>358.27683000000002</v>
      </c>
      <c r="C969" s="2">
        <v>9.7289999999999992</v>
      </c>
      <c r="D969" s="2" t="s">
        <v>84</v>
      </c>
      <c r="E969" s="2" t="s">
        <v>8955</v>
      </c>
      <c r="F969" s="2" t="s">
        <v>8956</v>
      </c>
      <c r="G969" s="2">
        <v>212955</v>
      </c>
      <c r="H969" s="3" t="str">
        <f>HYPERLINK("https://cloud.oebiotech.com/#/lm/network/212955", "https://cloud.oebiotech.com/#/lm/network/212955")</f>
        <v>https://cloud.oebiotech.com/#/lm/network/212955</v>
      </c>
      <c r="I969" s="2" t="s">
        <v>8957</v>
      </c>
      <c r="J969" s="2"/>
      <c r="K969" s="2"/>
      <c r="L969" s="2">
        <v>59758</v>
      </c>
      <c r="M969" s="2"/>
      <c r="N969" s="2"/>
      <c r="O969" s="2"/>
      <c r="P969" s="2"/>
      <c r="Q969" s="2"/>
      <c r="R969" s="2"/>
      <c r="S969" s="2"/>
      <c r="T969" s="2" t="s">
        <v>8958</v>
      </c>
      <c r="U969" s="2" t="s">
        <v>8959</v>
      </c>
      <c r="V969" s="2" t="s">
        <v>95</v>
      </c>
      <c r="W969" s="2" t="s">
        <v>152</v>
      </c>
      <c r="X969" s="2" t="s">
        <v>7256</v>
      </c>
      <c r="Y969" s="2" t="s">
        <v>98</v>
      </c>
      <c r="Z969" s="2" t="s">
        <v>154</v>
      </c>
      <c r="AA969" s="2" t="s">
        <v>7257</v>
      </c>
      <c r="AB969" s="2" t="s">
        <v>5118</v>
      </c>
      <c r="AC969" s="2">
        <v>51.49</v>
      </c>
      <c r="AD969" s="2">
        <v>94.39</v>
      </c>
      <c r="AE969" s="2">
        <v>69.650000000000006</v>
      </c>
      <c r="AF969" s="2" t="s">
        <v>8960</v>
      </c>
      <c r="AG969" s="2" t="s">
        <v>103</v>
      </c>
      <c r="AH969" s="2" t="s">
        <v>8961</v>
      </c>
      <c r="AI969" s="2">
        <v>-7.82</v>
      </c>
      <c r="AJ969" s="2">
        <v>21.1291732394855</v>
      </c>
      <c r="AK969" s="2">
        <v>21.1704260214313</v>
      </c>
      <c r="AL969" s="2">
        <v>21.054790865175601</v>
      </c>
      <c r="AM969" s="2">
        <v>21.0621250672129</v>
      </c>
      <c r="AN969" s="2">
        <v>21.017498338758799</v>
      </c>
      <c r="AO969" s="2">
        <v>21.070793427245601</v>
      </c>
      <c r="AP969" s="2">
        <v>20.924903179408599</v>
      </c>
      <c r="AQ969" s="2">
        <v>20.972050781527098</v>
      </c>
      <c r="AR969" s="2">
        <v>18.822990804881101</v>
      </c>
      <c r="AS969" s="2">
        <v>20.1977427917531</v>
      </c>
      <c r="AT969" s="2">
        <v>20.5782669430222</v>
      </c>
      <c r="AU969" s="2">
        <v>18.856524162183401</v>
      </c>
      <c r="AV969" s="2">
        <v>20.3797747034453</v>
      </c>
      <c r="AW969" s="2">
        <v>20.525484592538501</v>
      </c>
      <c r="AX969" s="2">
        <v>20.601615295317</v>
      </c>
      <c r="AY969" s="2">
        <v>21.475022418487601</v>
      </c>
      <c r="AZ969" s="2">
        <v>19.501862972068398</v>
      </c>
      <c r="BA969" s="2">
        <v>21.236520511964098</v>
      </c>
      <c r="BB969" s="2">
        <v>21.039148356312801</v>
      </c>
      <c r="BC969" s="2">
        <v>22.394840107303601</v>
      </c>
      <c r="BD969" s="2">
        <v>20.358698456141699</v>
      </c>
      <c r="BE969" s="2">
        <v>21.904209123637401</v>
      </c>
      <c r="BF969" s="2">
        <v>21.4346203382838</v>
      </c>
      <c r="BG969" s="2">
        <v>19.9596652746987</v>
      </c>
      <c r="BH969" s="2">
        <v>22.121520418093802</v>
      </c>
      <c r="BI969" s="2">
        <v>20.944545101382499</v>
      </c>
      <c r="BJ969" s="2">
        <v>20.7424022400056</v>
      </c>
      <c r="BK969" s="2">
        <v>19.8820982435217</v>
      </c>
      <c r="BL969" s="2">
        <v>19.975080685888301</v>
      </c>
      <c r="BM969" s="2">
        <v>20.960588259987599</v>
      </c>
      <c r="BN969" s="2">
        <v>21.464806145635599</v>
      </c>
      <c r="BO969" s="2">
        <v>20.028740517672102</v>
      </c>
      <c r="BP969" s="2">
        <v>20.068709721266401</v>
      </c>
      <c r="BQ969" s="2">
        <v>20.105766347687201</v>
      </c>
      <c r="BR969" s="2">
        <v>21.019304485202898</v>
      </c>
      <c r="BS969" s="2">
        <v>21.0408958477271</v>
      </c>
      <c r="BT969" s="2">
        <v>19.806079871026601</v>
      </c>
      <c r="BU969" s="2">
        <v>21.239487509980201</v>
      </c>
      <c r="BV969" s="2">
        <v>20.575296217323601</v>
      </c>
      <c r="BW969" s="2">
        <v>21.375666459682499</v>
      </c>
      <c r="BX969" s="2">
        <v>20.523662565091499</v>
      </c>
      <c r="BY969" s="2">
        <v>22.165798600312201</v>
      </c>
      <c r="BZ969" s="2">
        <v>20.793981967031002</v>
      </c>
      <c r="CA969" s="2">
        <v>20.926460157102799</v>
      </c>
      <c r="CB969" s="2">
        <v>19.829722038386102</v>
      </c>
      <c r="CC969" s="2">
        <v>21.3718536948276</v>
      </c>
      <c r="CD969" s="2">
        <v>21.080568226341999</v>
      </c>
      <c r="CE969" s="2">
        <v>20.195050177369701</v>
      </c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</row>
    <row r="970" spans="1:97">
      <c r="A970" s="2" t="s">
        <v>8962</v>
      </c>
      <c r="B970" s="2">
        <v>222.11314999999999</v>
      </c>
      <c r="C970" s="2">
        <v>7.0140000000000002</v>
      </c>
      <c r="D970" s="2" t="s">
        <v>146</v>
      </c>
      <c r="E970" s="2" t="s">
        <v>8963</v>
      </c>
      <c r="F970" s="2" t="s">
        <v>8964</v>
      </c>
      <c r="G970" s="2">
        <v>53273</v>
      </c>
      <c r="H970" s="3" t="str">
        <f>HYPERLINK("https://cloud.oebiotech.com/#/lm/network/53273", "https://cloud.oebiotech.com/#/lm/network/53273")</f>
        <v>https://cloud.oebiotech.com/#/lm/network/53273</v>
      </c>
      <c r="I970" s="2" t="s">
        <v>8965</v>
      </c>
      <c r="J970" s="2"/>
      <c r="K970" s="2"/>
      <c r="L970" s="2">
        <v>5282054</v>
      </c>
      <c r="M970" s="2" t="s">
        <v>8966</v>
      </c>
      <c r="N970" s="2"/>
      <c r="O970" s="2"/>
      <c r="P970" s="2">
        <v>171741</v>
      </c>
      <c r="Q970" s="2"/>
      <c r="R970" s="2"/>
      <c r="S970" s="2" t="s">
        <v>8967</v>
      </c>
      <c r="T970" s="2" t="s">
        <v>8968</v>
      </c>
      <c r="U970" s="2" t="s">
        <v>8969</v>
      </c>
      <c r="V970" s="2" t="s">
        <v>553</v>
      </c>
      <c r="W970" s="2" t="s">
        <v>2001</v>
      </c>
      <c r="X970" s="2" t="s">
        <v>8970</v>
      </c>
      <c r="Y970" s="2" t="s">
        <v>556</v>
      </c>
      <c r="Z970" s="2" t="s">
        <v>2002</v>
      </c>
      <c r="AA970" s="2" t="s">
        <v>8971</v>
      </c>
      <c r="AB970" s="2" t="s">
        <v>3086</v>
      </c>
      <c r="AC970" s="2">
        <v>51.48</v>
      </c>
      <c r="AD970" s="2">
        <v>92.38</v>
      </c>
      <c r="AE970" s="2">
        <v>0</v>
      </c>
      <c r="AF970" s="2" t="s">
        <v>8972</v>
      </c>
      <c r="AG970" s="2" t="s">
        <v>194</v>
      </c>
      <c r="AH970" s="2" t="s">
        <v>8973</v>
      </c>
      <c r="AI970" s="2">
        <v>2.25</v>
      </c>
      <c r="AJ970" s="2">
        <v>17.794352147942899</v>
      </c>
      <c r="AK970" s="2">
        <v>17.558872680533302</v>
      </c>
      <c r="AL970" s="2">
        <v>17.718537357728</v>
      </c>
      <c r="AM970" s="2">
        <v>17.3478062089488</v>
      </c>
      <c r="AN970" s="2">
        <v>17.693641245636002</v>
      </c>
      <c r="AO970" s="2">
        <v>18.0619998507932</v>
      </c>
      <c r="AP970" s="2">
        <v>17.7249766781716</v>
      </c>
      <c r="AQ970" s="2">
        <v>17.779354185733801</v>
      </c>
      <c r="AR970" s="2">
        <v>14.034192841464</v>
      </c>
      <c r="AS970" s="2">
        <v>16.217749863945901</v>
      </c>
      <c r="AT970" s="2">
        <v>16.442022408504499</v>
      </c>
      <c r="AU970" s="2">
        <v>16.850906637903599</v>
      </c>
      <c r="AV970" s="2">
        <v>16.6589093381907</v>
      </c>
      <c r="AW970" s="2">
        <v>17.865604789600301</v>
      </c>
      <c r="AX970" s="2">
        <v>16.8612897707219</v>
      </c>
      <c r="AY970" s="2">
        <v>18.605006352773799</v>
      </c>
      <c r="AZ970" s="2">
        <v>16.179262219652799</v>
      </c>
      <c r="BA970" s="2">
        <v>16.703803157553601</v>
      </c>
      <c r="BB970" s="2">
        <v>17.580943502453501</v>
      </c>
      <c r="BC970" s="2">
        <v>17.392997886404601</v>
      </c>
      <c r="BD970" s="2">
        <v>15.5818443304035</v>
      </c>
      <c r="BE970" s="2">
        <v>17.9264684675227</v>
      </c>
      <c r="BF970" s="2">
        <v>17.998248346276501</v>
      </c>
      <c r="BG970" s="2">
        <v>16.540750121180601</v>
      </c>
      <c r="BH970" s="2">
        <v>16.050389883840101</v>
      </c>
      <c r="BI970" s="2">
        <v>16.430371038399802</v>
      </c>
      <c r="BJ970" s="2">
        <v>17.096330961078898</v>
      </c>
      <c r="BK970" s="2">
        <v>12.3640607669891</v>
      </c>
      <c r="BL970" s="2">
        <v>14.323051240882201</v>
      </c>
      <c r="BM970" s="2">
        <v>16.636902688618999</v>
      </c>
      <c r="BN970" s="2">
        <v>16.326654364010601</v>
      </c>
      <c r="BO970" s="2">
        <v>17.8627754244025</v>
      </c>
      <c r="BP970" s="2">
        <v>16.126106720994098</v>
      </c>
      <c r="BQ970" s="2">
        <v>17.0441219233198</v>
      </c>
      <c r="BR970" s="2">
        <v>16.7787847987384</v>
      </c>
      <c r="BS970" s="2">
        <v>18.929210144594101</v>
      </c>
      <c r="BT970" s="2">
        <v>17.818295879256201</v>
      </c>
      <c r="BU970" s="2">
        <v>17.111693000822999</v>
      </c>
      <c r="BV970" s="2">
        <v>17.684246882219</v>
      </c>
      <c r="BW970" s="2">
        <v>16.515454995412401</v>
      </c>
      <c r="BX970" s="2">
        <v>15.797497643004601</v>
      </c>
      <c r="BY970" s="2">
        <v>18.927426335221899</v>
      </c>
      <c r="BZ970" s="2">
        <v>16.851746601791699</v>
      </c>
      <c r="CA970" s="2">
        <v>16.812718189675401</v>
      </c>
      <c r="CB970" s="2">
        <v>17.0039641834449</v>
      </c>
      <c r="CC970" s="2">
        <v>16.787775308158601</v>
      </c>
      <c r="CD970" s="2">
        <v>17.5492068636939</v>
      </c>
      <c r="CE970" s="2">
        <v>13.336595818923101</v>
      </c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</row>
    <row r="971" spans="1:97">
      <c r="A971" s="2" t="s">
        <v>8974</v>
      </c>
      <c r="B971" s="2">
        <v>303.23120999999998</v>
      </c>
      <c r="C971" s="2">
        <v>12.826000000000001</v>
      </c>
      <c r="D971" s="2" t="s">
        <v>84</v>
      </c>
      <c r="E971" s="2" t="s">
        <v>8975</v>
      </c>
      <c r="F971" s="2" t="s">
        <v>8976</v>
      </c>
      <c r="G971" s="2">
        <v>255585</v>
      </c>
      <c r="H971" s="3" t="str">
        <f>HYPERLINK("https://cloud.oebiotech.com/#/lm/network/255585", "https://cloud.oebiotech.com/#/lm/network/255585")</f>
        <v>https://cloud.oebiotech.com/#/lm/network/255585</v>
      </c>
      <c r="I971" s="2" t="s">
        <v>8977</v>
      </c>
      <c r="J971" s="2"/>
      <c r="K971" s="2"/>
      <c r="L971" s="2">
        <v>53974829</v>
      </c>
      <c r="M971" s="2"/>
      <c r="N971" s="2"/>
      <c r="O971" s="2"/>
      <c r="P971" s="2"/>
      <c r="Q971" s="2"/>
      <c r="R971" s="2"/>
      <c r="S971" s="2"/>
      <c r="T971" s="2" t="s">
        <v>8978</v>
      </c>
      <c r="U971" s="2" t="s">
        <v>8979</v>
      </c>
      <c r="V971" s="2" t="s">
        <v>95</v>
      </c>
      <c r="W971" s="2" t="s">
        <v>96</v>
      </c>
      <c r="X971" s="2" t="s">
        <v>919</v>
      </c>
      <c r="Y971" s="2" t="s">
        <v>98</v>
      </c>
      <c r="Z971" s="2" t="s">
        <v>99</v>
      </c>
      <c r="AA971" s="2" t="s">
        <v>920</v>
      </c>
      <c r="AB971" s="2" t="s">
        <v>3086</v>
      </c>
      <c r="AC971" s="2">
        <v>51.47</v>
      </c>
      <c r="AD971" s="2">
        <v>73.7</v>
      </c>
      <c r="AE971" s="2">
        <v>30.1778571428571</v>
      </c>
      <c r="AF971" s="2" t="s">
        <v>8980</v>
      </c>
      <c r="AG971" s="2" t="s">
        <v>1578</v>
      </c>
      <c r="AH971" s="2" t="s">
        <v>2123</v>
      </c>
      <c r="AI971" s="2">
        <v>-5.61</v>
      </c>
      <c r="AJ971" s="2">
        <v>20.497147116745801</v>
      </c>
      <c r="AK971" s="2">
        <v>20.1265072915171</v>
      </c>
      <c r="AL971" s="2">
        <v>20.221774617806499</v>
      </c>
      <c r="AM971" s="2">
        <v>19.789695856261101</v>
      </c>
      <c r="AN971" s="2">
        <v>20.221047314693301</v>
      </c>
      <c r="AO971" s="2">
        <v>19.988022041193801</v>
      </c>
      <c r="AP971" s="2">
        <v>20.128533221503599</v>
      </c>
      <c r="AQ971" s="2">
        <v>20.047529115149501</v>
      </c>
      <c r="AR971" s="2">
        <v>20.0252070977896</v>
      </c>
      <c r="AS971" s="2">
        <v>18.923903633517298</v>
      </c>
      <c r="AT971" s="2">
        <v>19.360315296660701</v>
      </c>
      <c r="AU971" s="2">
        <v>20.020262993831999</v>
      </c>
      <c r="AV971" s="2">
        <v>19.953989394428699</v>
      </c>
      <c r="AW971" s="2">
        <v>20.340398623261599</v>
      </c>
      <c r="AX971" s="2">
        <v>20.001611636336001</v>
      </c>
      <c r="AY971" s="2">
        <v>19.6658838542876</v>
      </c>
      <c r="AZ971" s="2">
        <v>19.024607036459901</v>
      </c>
      <c r="BA971" s="2">
        <v>18.790119620812401</v>
      </c>
      <c r="BB971" s="2">
        <v>19.5664840733684</v>
      </c>
      <c r="BC971" s="2">
        <v>19.845194645554901</v>
      </c>
      <c r="BD971" s="2">
        <v>20.153602436390699</v>
      </c>
      <c r="BE971" s="2">
        <v>20.7422822122486</v>
      </c>
      <c r="BF971" s="2">
        <v>19.445615021928901</v>
      </c>
      <c r="BG971" s="2">
        <v>19.7235923566436</v>
      </c>
      <c r="BH971" s="2">
        <v>19.536346792212299</v>
      </c>
      <c r="BI971" s="2">
        <v>20.688924835067699</v>
      </c>
      <c r="BJ971" s="2">
        <v>19.771452296463298</v>
      </c>
      <c r="BK971" s="2">
        <v>20.124978000986701</v>
      </c>
      <c r="BL971" s="2">
        <v>20.1280666140688</v>
      </c>
      <c r="BM971" s="2">
        <v>19.625103645964099</v>
      </c>
      <c r="BN971" s="2">
        <v>19.838192253202699</v>
      </c>
      <c r="BO971" s="2">
        <v>20.625394851164</v>
      </c>
      <c r="BP971" s="2">
        <v>20.098718248338599</v>
      </c>
      <c r="BQ971" s="2">
        <v>20.165671238958399</v>
      </c>
      <c r="BR971" s="2">
        <v>20.6292033337714</v>
      </c>
      <c r="BS971" s="2">
        <v>20.131653273645799</v>
      </c>
      <c r="BT971" s="2">
        <v>19.858655628021602</v>
      </c>
      <c r="BU971" s="2">
        <v>18.632592988704101</v>
      </c>
      <c r="BV971" s="2">
        <v>20.479202131725199</v>
      </c>
      <c r="BW971" s="2">
        <v>18.6801288983341</v>
      </c>
      <c r="BX971" s="2">
        <v>20.047248229264198</v>
      </c>
      <c r="BY971" s="2">
        <v>21.217331165386</v>
      </c>
      <c r="BZ971" s="2">
        <v>19.2307855805741</v>
      </c>
      <c r="CA971" s="2">
        <v>19.9489826590452</v>
      </c>
      <c r="CB971" s="2">
        <v>20.5133060262032</v>
      </c>
      <c r="CC971" s="2">
        <v>19.676146410060799</v>
      </c>
      <c r="CD971" s="2">
        <v>20.5106869235874</v>
      </c>
      <c r="CE971" s="2">
        <v>20.2622128974986</v>
      </c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</row>
    <row r="972" spans="1:97">
      <c r="A972" s="2" t="s">
        <v>8981</v>
      </c>
      <c r="B972" s="2">
        <v>241.0866</v>
      </c>
      <c r="C972" s="2">
        <v>8.6760000000000002</v>
      </c>
      <c r="D972" s="2" t="s">
        <v>146</v>
      </c>
      <c r="E972" s="2" t="s">
        <v>8982</v>
      </c>
      <c r="F972" s="2" t="s">
        <v>8983</v>
      </c>
      <c r="G972" s="2">
        <v>207652</v>
      </c>
      <c r="H972" s="3" t="str">
        <f>HYPERLINK("https://cloud.oebiotech.com/#/lm/network/207652", "https://cloud.oebiotech.com/#/lm/network/207652")</f>
        <v>https://cloud.oebiotech.com/#/lm/network/207652</v>
      </c>
      <c r="I972" s="2" t="s">
        <v>8984</v>
      </c>
      <c r="J972" s="2"/>
      <c r="K972" s="2"/>
      <c r="L972" s="2">
        <v>2749419</v>
      </c>
      <c r="M972" s="2"/>
      <c r="N972" s="2"/>
      <c r="O972" s="2"/>
      <c r="P972" s="2"/>
      <c r="Q972" s="2"/>
      <c r="R972" s="2"/>
      <c r="S972" s="2"/>
      <c r="T972" s="2" t="s">
        <v>8985</v>
      </c>
      <c r="U972" s="2" t="s">
        <v>8986</v>
      </c>
      <c r="V972" s="2" t="s">
        <v>845</v>
      </c>
      <c r="W972" s="2" t="s">
        <v>4705</v>
      </c>
      <c r="X972" s="2" t="s">
        <v>375</v>
      </c>
      <c r="Y972" s="2" t="s">
        <v>847</v>
      </c>
      <c r="Z972" s="2" t="s">
        <v>4707</v>
      </c>
      <c r="AA972" s="2"/>
      <c r="AB972" s="2" t="s">
        <v>5118</v>
      </c>
      <c r="AC972" s="2">
        <v>51.42</v>
      </c>
      <c r="AD972" s="2">
        <v>74.69</v>
      </c>
      <c r="AE972" s="2">
        <v>51.37</v>
      </c>
      <c r="AF972" s="2" t="s">
        <v>8987</v>
      </c>
      <c r="AG972" s="2" t="s">
        <v>157</v>
      </c>
      <c r="AH972" s="2" t="s">
        <v>8988</v>
      </c>
      <c r="AI972" s="2">
        <v>1.66</v>
      </c>
      <c r="AJ972" s="2">
        <v>19.740522924233598</v>
      </c>
      <c r="AK972" s="2">
        <v>19.850154339885201</v>
      </c>
      <c r="AL972" s="2">
        <v>20.114439610131601</v>
      </c>
      <c r="AM972" s="2">
        <v>19.508325234357599</v>
      </c>
      <c r="AN972" s="2">
        <v>19.559702450463799</v>
      </c>
      <c r="AO972" s="2">
        <v>19.974302799240501</v>
      </c>
      <c r="AP972" s="2">
        <v>19.588456402848902</v>
      </c>
      <c r="AQ972" s="2">
        <v>19.950497703855401</v>
      </c>
      <c r="AR972" s="2">
        <v>9.6233145402724691</v>
      </c>
      <c r="AS972" s="2">
        <v>9.6233145402724691</v>
      </c>
      <c r="AT972" s="2">
        <v>9.6233145402724691</v>
      </c>
      <c r="AU972" s="2">
        <v>9.6233145402724691</v>
      </c>
      <c r="AV972" s="2">
        <v>9.6233145402724691</v>
      </c>
      <c r="AW972" s="2">
        <v>9.6233145402724691</v>
      </c>
      <c r="AX972" s="2">
        <v>9.6233145402724691</v>
      </c>
      <c r="AY972" s="2">
        <v>9.6233145402724691</v>
      </c>
      <c r="AZ972" s="2">
        <v>9.6233145402724691</v>
      </c>
      <c r="BA972" s="2">
        <v>9.6233145402724691</v>
      </c>
      <c r="BB972" s="2">
        <v>9.6233145402724691</v>
      </c>
      <c r="BC972" s="2">
        <v>9.6233145402724691</v>
      </c>
      <c r="BD972" s="2">
        <v>9.6233145402724691</v>
      </c>
      <c r="BE972" s="2">
        <v>9.6233145402724691</v>
      </c>
      <c r="BF972" s="2">
        <v>20.059037788459001</v>
      </c>
      <c r="BG972" s="2">
        <v>9.6233145402724691</v>
      </c>
      <c r="BH972" s="2">
        <v>9.6233145402724691</v>
      </c>
      <c r="BI972" s="2">
        <v>9.6233145402724691</v>
      </c>
      <c r="BJ972" s="2">
        <v>9.6233145402724691</v>
      </c>
      <c r="BK972" s="2">
        <v>9.6233145402724691</v>
      </c>
      <c r="BL972" s="2">
        <v>13.2810693678235</v>
      </c>
      <c r="BM972" s="2">
        <v>9.6233145402724691</v>
      </c>
      <c r="BN972" s="2">
        <v>9.6233145402724691</v>
      </c>
      <c r="BO972" s="2">
        <v>15.820174473934999</v>
      </c>
      <c r="BP972" s="2">
        <v>17.247367745074801</v>
      </c>
      <c r="BQ972" s="2">
        <v>13.558498442588499</v>
      </c>
      <c r="BR972" s="2">
        <v>15.2734929423743</v>
      </c>
      <c r="BS972" s="2">
        <v>9.6233145402724691</v>
      </c>
      <c r="BT972" s="2">
        <v>9.6233145402724691</v>
      </c>
      <c r="BU972" s="2">
        <v>9.6233145402724691</v>
      </c>
      <c r="BV972" s="2">
        <v>15.2602381491124</v>
      </c>
      <c r="BW972" s="2">
        <v>14.901893099206699</v>
      </c>
      <c r="BX972" s="2">
        <v>13.313101271151501</v>
      </c>
      <c r="BY972" s="2">
        <v>14.230006921637999</v>
      </c>
      <c r="BZ972" s="2">
        <v>9.6233145402724691</v>
      </c>
      <c r="CA972" s="2">
        <v>22.013885775464999</v>
      </c>
      <c r="CB972" s="2">
        <v>24.450618829671601</v>
      </c>
      <c r="CC972" s="2">
        <v>9.6233145402724691</v>
      </c>
      <c r="CD972" s="2">
        <v>13.065030668855099</v>
      </c>
      <c r="CE972" s="2">
        <v>9.6233145402724691</v>
      </c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</row>
    <row r="973" spans="1:97">
      <c r="A973" s="2" t="s">
        <v>8989</v>
      </c>
      <c r="B973" s="2">
        <v>185.04428999999999</v>
      </c>
      <c r="C973" s="2">
        <v>4.7779999999999996</v>
      </c>
      <c r="D973" s="2" t="s">
        <v>84</v>
      </c>
      <c r="E973" s="2" t="s">
        <v>8990</v>
      </c>
      <c r="F973" s="2"/>
      <c r="G973" s="2">
        <v>595025</v>
      </c>
      <c r="H973" s="3" t="str">
        <f>HYPERLINK("https://cloud.oebiotech.com/#/lm/network/595025", "https://cloud.oebiotech.com/#/lm/network/595025")</f>
        <v>https://cloud.oebiotech.com/#/lm/network/595025</v>
      </c>
      <c r="I973" s="2"/>
      <c r="J973" s="2"/>
      <c r="K973" s="2"/>
      <c r="L973" s="2">
        <v>6708611</v>
      </c>
      <c r="M973" s="2"/>
      <c r="N973" s="2"/>
      <c r="O973" s="2"/>
      <c r="P973" s="2"/>
      <c r="Q973" s="2"/>
      <c r="R973" s="2"/>
      <c r="S973" s="2"/>
      <c r="T973" s="2" t="s">
        <v>8991</v>
      </c>
      <c r="U973" s="2" t="s">
        <v>8992</v>
      </c>
      <c r="V973" s="2" t="s">
        <v>385</v>
      </c>
      <c r="W973" s="2" t="s">
        <v>386</v>
      </c>
      <c r="X973" s="2" t="s">
        <v>1059</v>
      </c>
      <c r="Y973" s="2" t="s">
        <v>388</v>
      </c>
      <c r="Z973" s="2" t="s">
        <v>389</v>
      </c>
      <c r="AA973" s="2" t="s">
        <v>1060</v>
      </c>
      <c r="AB973" s="2" t="s">
        <v>5118</v>
      </c>
      <c r="AC973" s="2">
        <v>51.41</v>
      </c>
      <c r="AD973" s="2">
        <v>94.87</v>
      </c>
      <c r="AE973" s="2">
        <v>77.709999999999994</v>
      </c>
      <c r="AF973" s="2" t="s">
        <v>8993</v>
      </c>
      <c r="AG973" s="2" t="s">
        <v>103</v>
      </c>
      <c r="AH973" s="2" t="s">
        <v>8994</v>
      </c>
      <c r="AI973" s="2">
        <v>0.54</v>
      </c>
      <c r="AJ973" s="2">
        <v>22.278346309519598</v>
      </c>
      <c r="AK973" s="2">
        <v>22.060323644665502</v>
      </c>
      <c r="AL973" s="2">
        <v>22.2441404583649</v>
      </c>
      <c r="AM973" s="2">
        <v>22.0307274737862</v>
      </c>
      <c r="AN973" s="2">
        <v>22.3255292308782</v>
      </c>
      <c r="AO973" s="2">
        <v>22.291220956625001</v>
      </c>
      <c r="AP973" s="2">
        <v>22.163359481037901</v>
      </c>
      <c r="AQ973" s="2">
        <v>21.7375449891709</v>
      </c>
      <c r="AR973" s="2">
        <v>19.826391934642501</v>
      </c>
      <c r="AS973" s="2">
        <v>20.8034279612558</v>
      </c>
      <c r="AT973" s="2">
        <v>21.7729746560343</v>
      </c>
      <c r="AU973" s="2">
        <v>21.176373368136002</v>
      </c>
      <c r="AV973" s="2">
        <v>22.299913854852001</v>
      </c>
      <c r="AW973" s="2">
        <v>20.556474387225101</v>
      </c>
      <c r="AX973" s="2">
        <v>23.796721841966701</v>
      </c>
      <c r="AY973" s="2">
        <v>21.926254980242199</v>
      </c>
      <c r="AZ973" s="2">
        <v>21.0056665683469</v>
      </c>
      <c r="BA973" s="2">
        <v>23.6832789404769</v>
      </c>
      <c r="BB973" s="2">
        <v>21.245404905351499</v>
      </c>
      <c r="BC973" s="2">
        <v>19.654873526185899</v>
      </c>
      <c r="BD973" s="2">
        <v>21.559940178587301</v>
      </c>
      <c r="BE973" s="2">
        <v>23.080732600297999</v>
      </c>
      <c r="BF973" s="2">
        <v>23.338516687708498</v>
      </c>
      <c r="BG973" s="2">
        <v>21.570330365109299</v>
      </c>
      <c r="BH973" s="2">
        <v>17.865230757645701</v>
      </c>
      <c r="BI973" s="2">
        <v>24.654046344607799</v>
      </c>
      <c r="BJ973" s="2">
        <v>20.0386427845078</v>
      </c>
      <c r="BK973" s="2">
        <v>9.6233145402724691</v>
      </c>
      <c r="BL973" s="2">
        <v>18.797956759292202</v>
      </c>
      <c r="BM973" s="2">
        <v>21.265052213724498</v>
      </c>
      <c r="BN973" s="2">
        <v>20.569557070597298</v>
      </c>
      <c r="BO973" s="2">
        <v>23.5525199225576</v>
      </c>
      <c r="BP973" s="2">
        <v>19.9831552250877</v>
      </c>
      <c r="BQ973" s="2">
        <v>22.028717842083001</v>
      </c>
      <c r="BR973" s="2">
        <v>24.2741794435636</v>
      </c>
      <c r="BS973" s="2">
        <v>22.4654629967463</v>
      </c>
      <c r="BT973" s="2">
        <v>18.8358997478982</v>
      </c>
      <c r="BU973" s="2">
        <v>22.920001539062199</v>
      </c>
      <c r="BV973" s="2">
        <v>22.936796287556799</v>
      </c>
      <c r="BW973" s="2">
        <v>20.2791311415235</v>
      </c>
      <c r="BX973" s="2">
        <v>20.700523461207201</v>
      </c>
      <c r="BY973" s="2">
        <v>22.889641567919298</v>
      </c>
      <c r="BZ973" s="2">
        <v>21.460357171208901</v>
      </c>
      <c r="CA973" s="2">
        <v>22.182278476703999</v>
      </c>
      <c r="CB973" s="2">
        <v>19.749065257024299</v>
      </c>
      <c r="CC973" s="2">
        <v>23.071449206603798</v>
      </c>
      <c r="CD973" s="2">
        <v>18.330211126975399</v>
      </c>
      <c r="CE973" s="2">
        <v>13.8178021044791</v>
      </c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</row>
    <row r="974" spans="1:97">
      <c r="A974" s="2" t="s">
        <v>8995</v>
      </c>
      <c r="B974" s="2">
        <v>156.04185000000001</v>
      </c>
      <c r="C974" s="2">
        <v>4.2450000000000001</v>
      </c>
      <c r="D974" s="2" t="s">
        <v>84</v>
      </c>
      <c r="E974" s="2" t="s">
        <v>8996</v>
      </c>
      <c r="F974" s="2" t="s">
        <v>8997</v>
      </c>
      <c r="G974" s="2">
        <v>58657</v>
      </c>
      <c r="H974" s="3" t="str">
        <f>HYPERLINK("https://cloud.oebiotech.com/#/lm/network/58657", "https://cloud.oebiotech.com/#/lm/network/58657")</f>
        <v>https://cloud.oebiotech.com/#/lm/network/58657</v>
      </c>
      <c r="I974" s="2" t="s">
        <v>8998</v>
      </c>
      <c r="J974" s="2">
        <v>63621</v>
      </c>
      <c r="K974" s="2"/>
      <c r="L974" s="2">
        <v>10758</v>
      </c>
      <c r="M974" s="2" t="s">
        <v>8999</v>
      </c>
      <c r="N974" s="2"/>
      <c r="O974" s="2"/>
      <c r="P974" s="2">
        <v>16910</v>
      </c>
      <c r="Q974" s="2"/>
      <c r="R974" s="2"/>
      <c r="S974" s="2" t="s">
        <v>9000</v>
      </c>
      <c r="T974" s="2" t="s">
        <v>9001</v>
      </c>
      <c r="U974" s="2" t="s">
        <v>9002</v>
      </c>
      <c r="V974" s="2" t="s">
        <v>385</v>
      </c>
      <c r="W974" s="2" t="s">
        <v>386</v>
      </c>
      <c r="X974" s="2" t="s">
        <v>375</v>
      </c>
      <c r="Y974" s="2" t="s">
        <v>388</v>
      </c>
      <c r="Z974" s="2" t="s">
        <v>389</v>
      </c>
      <c r="AA974" s="2"/>
      <c r="AB974" s="2" t="s">
        <v>3086</v>
      </c>
      <c r="AC974" s="2">
        <v>51.41</v>
      </c>
      <c r="AD974" s="2">
        <v>74.2</v>
      </c>
      <c r="AE974" s="2">
        <v>0</v>
      </c>
      <c r="AF974" s="2" t="s">
        <v>5614</v>
      </c>
      <c r="AG974" s="2" t="s">
        <v>1578</v>
      </c>
      <c r="AH974" s="2" t="s">
        <v>9003</v>
      </c>
      <c r="AI974" s="2">
        <v>0.64</v>
      </c>
      <c r="AJ974" s="2">
        <v>19.294181169114101</v>
      </c>
      <c r="AK974" s="2">
        <v>19.4258906972231</v>
      </c>
      <c r="AL974" s="2">
        <v>19.675963302280199</v>
      </c>
      <c r="AM974" s="2">
        <v>19.516678486710699</v>
      </c>
      <c r="AN974" s="2">
        <v>19.354884648862399</v>
      </c>
      <c r="AO974" s="2">
        <v>19.301647457650098</v>
      </c>
      <c r="AP974" s="2">
        <v>19.5930615618167</v>
      </c>
      <c r="AQ974" s="2">
        <v>19.578672846882601</v>
      </c>
      <c r="AR974" s="2">
        <v>17.6850388585529</v>
      </c>
      <c r="AS974" s="2">
        <v>17.617218634041802</v>
      </c>
      <c r="AT974" s="2">
        <v>18.572562421452801</v>
      </c>
      <c r="AU974" s="2">
        <v>19.319034808411701</v>
      </c>
      <c r="AV974" s="2">
        <v>19.325010866578499</v>
      </c>
      <c r="AW974" s="2">
        <v>18.6121016674632</v>
      </c>
      <c r="AX974" s="2">
        <v>19.236343991439</v>
      </c>
      <c r="AY974" s="2">
        <v>19.142877273161702</v>
      </c>
      <c r="AZ974" s="2">
        <v>18.477312611555501</v>
      </c>
      <c r="BA974" s="2">
        <v>18.6165752264213</v>
      </c>
      <c r="BB974" s="2">
        <v>19.574084817444799</v>
      </c>
      <c r="BC974" s="2">
        <v>18.158038182834101</v>
      </c>
      <c r="BD974" s="2">
        <v>19.2213284490755</v>
      </c>
      <c r="BE974" s="2">
        <v>21.354967168052202</v>
      </c>
      <c r="BF974" s="2">
        <v>17.799104132600299</v>
      </c>
      <c r="BG974" s="2">
        <v>19.5902756186894</v>
      </c>
      <c r="BH974" s="2">
        <v>18.924961182264202</v>
      </c>
      <c r="BI974" s="2">
        <v>21.353218070292201</v>
      </c>
      <c r="BJ974" s="2">
        <v>19.303696123612902</v>
      </c>
      <c r="BK974" s="2">
        <v>19.666169311139601</v>
      </c>
      <c r="BL974" s="2">
        <v>18.382977607317098</v>
      </c>
      <c r="BM974" s="2">
        <v>19.586138785973201</v>
      </c>
      <c r="BN974" s="2">
        <v>18.779313879986901</v>
      </c>
      <c r="BO974" s="2">
        <v>18.852139145265099</v>
      </c>
      <c r="BP974" s="2">
        <v>19.6473878576655</v>
      </c>
      <c r="BQ974" s="2">
        <v>19.083347912272199</v>
      </c>
      <c r="BR974" s="2">
        <v>18.965532439135</v>
      </c>
      <c r="BS974" s="2">
        <v>19.012511087362299</v>
      </c>
      <c r="BT974" s="2">
        <v>19.164979258919701</v>
      </c>
      <c r="BU974" s="2">
        <v>17.983367798687802</v>
      </c>
      <c r="BV974" s="2">
        <v>18.065801550115701</v>
      </c>
      <c r="BW974" s="2">
        <v>16.867002246545901</v>
      </c>
      <c r="BX974" s="2">
        <v>18.846723673265402</v>
      </c>
      <c r="BY974" s="2">
        <v>21.7546032069604</v>
      </c>
      <c r="BZ974" s="2">
        <v>18.306372589256799</v>
      </c>
      <c r="CA974" s="2">
        <v>18.191369255747599</v>
      </c>
      <c r="CB974" s="2">
        <v>18.370940344904501</v>
      </c>
      <c r="CC974" s="2">
        <v>19.157531830007802</v>
      </c>
      <c r="CD974" s="2">
        <v>19.292904751591799</v>
      </c>
      <c r="CE974" s="2">
        <v>17.5285676562616</v>
      </c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</row>
    <row r="975" spans="1:97">
      <c r="A975" s="2" t="s">
        <v>9004</v>
      </c>
      <c r="B975" s="2">
        <v>237.11185</v>
      </c>
      <c r="C975" s="2">
        <v>9.2729999999999997</v>
      </c>
      <c r="D975" s="2" t="s">
        <v>84</v>
      </c>
      <c r="E975" s="2" t="s">
        <v>9005</v>
      </c>
      <c r="F975" s="2"/>
      <c r="G975" s="2">
        <v>594944</v>
      </c>
      <c r="H975" s="3" t="str">
        <f>HYPERLINK("https://cloud.oebiotech.com/#/lm/network/594944", "https://cloud.oebiotech.com/#/lm/network/594944")</f>
        <v>https://cloud.oebiotech.com/#/lm/network/594944</v>
      </c>
      <c r="I975" s="2"/>
      <c r="J975" s="2"/>
      <c r="K975" s="2"/>
      <c r="L975" s="2">
        <v>5399049</v>
      </c>
      <c r="M975" s="2"/>
      <c r="N975" s="2"/>
      <c r="O975" s="2"/>
      <c r="P975" s="2"/>
      <c r="Q975" s="2"/>
      <c r="R975" s="2"/>
      <c r="S975" s="2"/>
      <c r="T975" s="2" t="s">
        <v>9006</v>
      </c>
      <c r="U975" s="2" t="s">
        <v>9007</v>
      </c>
      <c r="V975" s="2" t="s">
        <v>385</v>
      </c>
      <c r="W975" s="2" t="s">
        <v>3055</v>
      </c>
      <c r="X975" s="2" t="s">
        <v>4768</v>
      </c>
      <c r="Y975" s="2" t="s">
        <v>388</v>
      </c>
      <c r="Z975" s="2" t="s">
        <v>3056</v>
      </c>
      <c r="AA975" s="2" t="s">
        <v>4769</v>
      </c>
      <c r="AB975" s="2" t="s">
        <v>5118</v>
      </c>
      <c r="AC975" s="2">
        <v>51.4</v>
      </c>
      <c r="AD975" s="2">
        <v>91.78</v>
      </c>
      <c r="AE975" s="2">
        <v>81.52</v>
      </c>
      <c r="AF975" s="2" t="s">
        <v>9008</v>
      </c>
      <c r="AG975" s="2" t="s">
        <v>103</v>
      </c>
      <c r="AH975" s="2" t="s">
        <v>9009</v>
      </c>
      <c r="AI975" s="2">
        <v>0.84</v>
      </c>
      <c r="AJ975" s="2">
        <v>20.1695628904816</v>
      </c>
      <c r="AK975" s="2">
        <v>20.184061653658301</v>
      </c>
      <c r="AL975" s="2">
        <v>20.3112377904407</v>
      </c>
      <c r="AM975" s="2">
        <v>20.479879415123602</v>
      </c>
      <c r="AN975" s="2">
        <v>20.5870105933272</v>
      </c>
      <c r="AO975" s="2">
        <v>20.356680242609102</v>
      </c>
      <c r="AP975" s="2">
        <v>20.464537793569299</v>
      </c>
      <c r="AQ975" s="2">
        <v>20.446635675325499</v>
      </c>
      <c r="AR975" s="2">
        <v>21.3045896030169</v>
      </c>
      <c r="AS975" s="2">
        <v>18.198707896877401</v>
      </c>
      <c r="AT975" s="2">
        <v>20.1874341025927</v>
      </c>
      <c r="AU975" s="2">
        <v>17.427654045819899</v>
      </c>
      <c r="AV975" s="2">
        <v>19.965838117034199</v>
      </c>
      <c r="AW975" s="2">
        <v>19.0239402433542</v>
      </c>
      <c r="AX975" s="2">
        <v>18.456293124937901</v>
      </c>
      <c r="AY975" s="2">
        <v>17.8113535562069</v>
      </c>
      <c r="AZ975" s="2">
        <v>22.1098477998231</v>
      </c>
      <c r="BA975" s="2">
        <v>20.912666696715899</v>
      </c>
      <c r="BB975" s="2">
        <v>17.828101951450599</v>
      </c>
      <c r="BC975" s="2">
        <v>21.461028814492501</v>
      </c>
      <c r="BD975" s="2">
        <v>20.203851049809</v>
      </c>
      <c r="BE975" s="2">
        <v>19.8083509846768</v>
      </c>
      <c r="BF975" s="2">
        <v>19.702036644894999</v>
      </c>
      <c r="BG975" s="2">
        <v>19.8508182082576</v>
      </c>
      <c r="BH975" s="2">
        <v>21.6040812216891</v>
      </c>
      <c r="BI975" s="2">
        <v>17.2576431684273</v>
      </c>
      <c r="BJ975" s="2">
        <v>21.998037916250201</v>
      </c>
      <c r="BK975" s="2">
        <v>20.6782348838648</v>
      </c>
      <c r="BL975" s="2">
        <v>16.646129882277101</v>
      </c>
      <c r="BM975" s="2">
        <v>21.9034593509427</v>
      </c>
      <c r="BN975" s="2">
        <v>20.310918964650298</v>
      </c>
      <c r="BO975" s="2">
        <v>20.124691594270502</v>
      </c>
      <c r="BP975" s="2">
        <v>17.014487805483501</v>
      </c>
      <c r="BQ975" s="2">
        <v>18.823265380200102</v>
      </c>
      <c r="BR975" s="2">
        <v>18.082148833400801</v>
      </c>
      <c r="BS975" s="2">
        <v>20.149055708779599</v>
      </c>
      <c r="BT975" s="2">
        <v>23.2540519833709</v>
      </c>
      <c r="BU975" s="2">
        <v>20.5164114849063</v>
      </c>
      <c r="BV975" s="2">
        <v>20.024117490543802</v>
      </c>
      <c r="BW975" s="2">
        <v>17.812443824420502</v>
      </c>
      <c r="BX975" s="2">
        <v>20.1198768014333</v>
      </c>
      <c r="BY975" s="2">
        <v>20.104671639926298</v>
      </c>
      <c r="BZ975" s="2">
        <v>16.709884818068801</v>
      </c>
      <c r="CA975" s="2">
        <v>19.002448412572299</v>
      </c>
      <c r="CB975" s="2">
        <v>18.843530405451698</v>
      </c>
      <c r="CC975" s="2">
        <v>17.700565834650298</v>
      </c>
      <c r="CD975" s="2">
        <v>21.056734534460102</v>
      </c>
      <c r="CE975" s="2">
        <v>20.4667557420847</v>
      </c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</row>
    <row r="976" spans="1:97">
      <c r="A976" s="2" t="s">
        <v>9010</v>
      </c>
      <c r="B976" s="2">
        <v>248.97936000000001</v>
      </c>
      <c r="C976" s="2">
        <v>5.5010000000000003</v>
      </c>
      <c r="D976" s="2" t="s">
        <v>146</v>
      </c>
      <c r="E976" s="2" t="s">
        <v>9011</v>
      </c>
      <c r="F976" s="2" t="s">
        <v>9012</v>
      </c>
      <c r="G976" s="2">
        <v>204216</v>
      </c>
      <c r="H976" s="3" t="str">
        <f>HYPERLINK("https://cloud.oebiotech.com/#/lm/network/204216", "https://cloud.oebiotech.com/#/lm/network/204216")</f>
        <v>https://cloud.oebiotech.com/#/lm/network/204216</v>
      </c>
      <c r="I976" s="2" t="s">
        <v>9013</v>
      </c>
      <c r="J976" s="2"/>
      <c r="K976" s="2"/>
      <c r="L976" s="2">
        <v>97676</v>
      </c>
      <c r="M976" s="2"/>
      <c r="N976" s="2"/>
      <c r="O976" s="2"/>
      <c r="P976" s="2"/>
      <c r="Q976" s="2"/>
      <c r="R976" s="2"/>
      <c r="S976" s="2"/>
      <c r="T976" s="2" t="s">
        <v>9014</v>
      </c>
      <c r="U976" s="2" t="s">
        <v>9015</v>
      </c>
      <c r="V976" s="2" t="s">
        <v>166</v>
      </c>
      <c r="W976" s="2" t="s">
        <v>167</v>
      </c>
      <c r="X976" s="2" t="s">
        <v>482</v>
      </c>
      <c r="Y976" s="2" t="s">
        <v>169</v>
      </c>
      <c r="Z976" s="2" t="s">
        <v>169</v>
      </c>
      <c r="AA976" s="2" t="s">
        <v>483</v>
      </c>
      <c r="AB976" s="2" t="s">
        <v>5118</v>
      </c>
      <c r="AC976" s="2">
        <v>51.39</v>
      </c>
      <c r="AD976" s="2">
        <v>71.91</v>
      </c>
      <c r="AE976" s="2">
        <v>70.680000000000007</v>
      </c>
      <c r="AF976" s="2" t="s">
        <v>9016</v>
      </c>
      <c r="AG976" s="2" t="s">
        <v>4062</v>
      </c>
      <c r="AH976" s="2" t="s">
        <v>9017</v>
      </c>
      <c r="AI976" s="2">
        <v>-2.0099999999999998</v>
      </c>
      <c r="AJ976" s="2">
        <v>20.0211850732504</v>
      </c>
      <c r="AK976" s="2">
        <v>19.9942585275864</v>
      </c>
      <c r="AL976" s="2">
        <v>19.77868070433</v>
      </c>
      <c r="AM976" s="2">
        <v>20.167343571174101</v>
      </c>
      <c r="AN976" s="2">
        <v>20.003622521054901</v>
      </c>
      <c r="AO976" s="2">
        <v>20.044019929979701</v>
      </c>
      <c r="AP976" s="2">
        <v>19.8421456112915</v>
      </c>
      <c r="AQ976" s="2">
        <v>20.1955175702535</v>
      </c>
      <c r="AR976" s="2">
        <v>19.438536992976399</v>
      </c>
      <c r="AS976" s="2">
        <v>19.9063492486016</v>
      </c>
      <c r="AT976" s="2">
        <v>20.087894855251498</v>
      </c>
      <c r="AU976" s="2">
        <v>19.845411825251698</v>
      </c>
      <c r="AV976" s="2">
        <v>19.974575313827501</v>
      </c>
      <c r="AW976" s="2">
        <v>19.232062091987501</v>
      </c>
      <c r="AX976" s="2">
        <v>19.957658683459201</v>
      </c>
      <c r="AY976" s="2">
        <v>20.084081657646099</v>
      </c>
      <c r="AZ976" s="2">
        <v>19.861261415002001</v>
      </c>
      <c r="BA976" s="2">
        <v>19.8938329858704</v>
      </c>
      <c r="BB976" s="2">
        <v>19.992234138175501</v>
      </c>
      <c r="BC976" s="2">
        <v>19.8501465397032</v>
      </c>
      <c r="BD976" s="2">
        <v>19.830470409872401</v>
      </c>
      <c r="BE976" s="2">
        <v>19.750758467142099</v>
      </c>
      <c r="BF976" s="2">
        <v>19.431651991495301</v>
      </c>
      <c r="BG976" s="2">
        <v>20.086734687742101</v>
      </c>
      <c r="BH976" s="2">
        <v>20.071137824945701</v>
      </c>
      <c r="BI976" s="2">
        <v>19.815876132639499</v>
      </c>
      <c r="BJ976" s="2">
        <v>19.857227471668299</v>
      </c>
      <c r="BK976" s="2">
        <v>19.8584841879047</v>
      </c>
      <c r="BL976" s="2">
        <v>19.955469834660502</v>
      </c>
      <c r="BM976" s="2">
        <v>19.6906823278124</v>
      </c>
      <c r="BN976" s="2">
        <v>19.8874105862925</v>
      </c>
      <c r="BO976" s="2">
        <v>20.034961800791699</v>
      </c>
      <c r="BP976" s="2">
        <v>19.9123687159878</v>
      </c>
      <c r="BQ976" s="2">
        <v>19.968263461960099</v>
      </c>
      <c r="BR976" s="2">
        <v>19.8915997508396</v>
      </c>
      <c r="BS976" s="2">
        <v>19.823090677707398</v>
      </c>
      <c r="BT976" s="2">
        <v>19.876800193943598</v>
      </c>
      <c r="BU976" s="2">
        <v>19.809683122358098</v>
      </c>
      <c r="BV976" s="2">
        <v>19.548651365360602</v>
      </c>
      <c r="BW976" s="2">
        <v>19.7106564421888</v>
      </c>
      <c r="BX976" s="2">
        <v>19.599479382498799</v>
      </c>
      <c r="BY976" s="2">
        <v>19.760342187744602</v>
      </c>
      <c r="BZ976" s="2">
        <v>19.967790151761999</v>
      </c>
      <c r="CA976" s="2">
        <v>19.732680661011301</v>
      </c>
      <c r="CB976" s="2">
        <v>19.808888043028102</v>
      </c>
      <c r="CC976" s="2">
        <v>20.014382632851099</v>
      </c>
      <c r="CD976" s="2">
        <v>19.943692001702999</v>
      </c>
      <c r="CE976" s="2">
        <v>19.847954147212501</v>
      </c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</row>
    <row r="977" spans="1:97">
      <c r="A977" s="2" t="s">
        <v>9018</v>
      </c>
      <c r="B977" s="2">
        <v>323.02677</v>
      </c>
      <c r="C977" s="2">
        <v>1.083</v>
      </c>
      <c r="D977" s="2" t="s">
        <v>146</v>
      </c>
      <c r="E977" s="2" t="s">
        <v>9019</v>
      </c>
      <c r="F977" s="2" t="s">
        <v>9020</v>
      </c>
      <c r="G977" s="2">
        <v>51433</v>
      </c>
      <c r="H977" s="3" t="str">
        <f>HYPERLINK("https://cloud.oebiotech.com/#/lm/network/51433", "https://cloud.oebiotech.com/#/lm/network/51433")</f>
        <v>https://cloud.oebiotech.com/#/lm/network/51433</v>
      </c>
      <c r="I977" s="2" t="s">
        <v>9021</v>
      </c>
      <c r="J977" s="2">
        <v>62394</v>
      </c>
      <c r="K977" s="2"/>
      <c r="L977" s="2">
        <v>101609</v>
      </c>
      <c r="M977" s="2" t="s">
        <v>9022</v>
      </c>
      <c r="N977" s="2"/>
      <c r="O977" s="2"/>
      <c r="P977" s="2">
        <v>28070</v>
      </c>
      <c r="Q977" s="2"/>
      <c r="R977" s="2"/>
      <c r="S977" s="2" t="s">
        <v>9023</v>
      </c>
      <c r="T977" s="2" t="s">
        <v>9024</v>
      </c>
      <c r="U977" s="2" t="s">
        <v>9025</v>
      </c>
      <c r="V977" s="2" t="s">
        <v>338</v>
      </c>
      <c r="W977" s="2" t="s">
        <v>339</v>
      </c>
      <c r="X977" s="2" t="s">
        <v>663</v>
      </c>
      <c r="Y977" s="2" t="s">
        <v>341</v>
      </c>
      <c r="Z977" s="2" t="s">
        <v>341</v>
      </c>
      <c r="AA977" s="2" t="s">
        <v>664</v>
      </c>
      <c r="AB977" s="2" t="s">
        <v>3086</v>
      </c>
      <c r="AC977" s="2">
        <v>51.39</v>
      </c>
      <c r="AD977" s="2">
        <v>92.89</v>
      </c>
      <c r="AE977" s="2">
        <v>0</v>
      </c>
      <c r="AF977" s="2" t="s">
        <v>5614</v>
      </c>
      <c r="AG977" s="2" t="s">
        <v>194</v>
      </c>
      <c r="AH977" s="2" t="s">
        <v>9026</v>
      </c>
      <c r="AI977" s="2">
        <v>5.57</v>
      </c>
      <c r="AJ977" s="2">
        <v>19.065500283822999</v>
      </c>
      <c r="AK977" s="2">
        <v>19.218265111288801</v>
      </c>
      <c r="AL977" s="2">
        <v>19.125642329416198</v>
      </c>
      <c r="AM977" s="2">
        <v>19.404473232411199</v>
      </c>
      <c r="AN977" s="2">
        <v>19.141506249818999</v>
      </c>
      <c r="AO977" s="2">
        <v>18.749433082571802</v>
      </c>
      <c r="AP977" s="2">
        <v>18.5078881110644</v>
      </c>
      <c r="AQ977" s="2">
        <v>18.530545103861002</v>
      </c>
      <c r="AR977" s="2">
        <v>19.139317219200201</v>
      </c>
      <c r="AS977" s="2">
        <v>19.581973678007</v>
      </c>
      <c r="AT977" s="2">
        <v>19.1897421707124</v>
      </c>
      <c r="AU977" s="2">
        <v>18.6777471997266</v>
      </c>
      <c r="AV977" s="2">
        <v>19.123607887553</v>
      </c>
      <c r="AW977" s="2">
        <v>19.270646146737</v>
      </c>
      <c r="AX977" s="2">
        <v>19.200570107840601</v>
      </c>
      <c r="AY977" s="2">
        <v>19.303475420976302</v>
      </c>
      <c r="AZ977" s="2">
        <v>19.2183549218386</v>
      </c>
      <c r="BA977" s="2">
        <v>18.844159820910299</v>
      </c>
      <c r="BB977" s="2">
        <v>19.0822577447125</v>
      </c>
      <c r="BC977" s="2">
        <v>18.276594622496699</v>
      </c>
      <c r="BD977" s="2">
        <v>18.905690991775302</v>
      </c>
      <c r="BE977" s="2">
        <v>18.7768241570007</v>
      </c>
      <c r="BF977" s="2">
        <v>19.275134166926499</v>
      </c>
      <c r="BG977" s="2">
        <v>19.281775641453802</v>
      </c>
      <c r="BH977" s="2">
        <v>19.0220991792714</v>
      </c>
      <c r="BI977" s="2">
        <v>19.241515478687798</v>
      </c>
      <c r="BJ977" s="2">
        <v>19.2842040363807</v>
      </c>
      <c r="BK977" s="2">
        <v>18.516360206363</v>
      </c>
      <c r="BL977" s="2">
        <v>19.347203227958499</v>
      </c>
      <c r="BM977" s="2">
        <v>18.9725865633174</v>
      </c>
      <c r="BN977" s="2">
        <v>19.2754587595653</v>
      </c>
      <c r="BO977" s="2">
        <v>18.9455246519226</v>
      </c>
      <c r="BP977" s="2">
        <v>18.863051760515301</v>
      </c>
      <c r="BQ977" s="2">
        <v>18.774239260825599</v>
      </c>
      <c r="BR977" s="2">
        <v>18.680655830480099</v>
      </c>
      <c r="BS977" s="2">
        <v>18.917847961200401</v>
      </c>
      <c r="BT977" s="2">
        <v>18.817797608597999</v>
      </c>
      <c r="BU977" s="2">
        <v>18.0345783059377</v>
      </c>
      <c r="BV977" s="2">
        <v>19.218194408453101</v>
      </c>
      <c r="BW977" s="2">
        <v>18.897039775969301</v>
      </c>
      <c r="BX977" s="2">
        <v>18.7743891725232</v>
      </c>
      <c r="BY977" s="2">
        <v>18.376999797116699</v>
      </c>
      <c r="BZ977" s="2">
        <v>18.488244628366701</v>
      </c>
      <c r="CA977" s="2">
        <v>19.3150125823555</v>
      </c>
      <c r="CB977" s="2">
        <v>19.140344230063</v>
      </c>
      <c r="CC977" s="2">
        <v>19.382914997296901</v>
      </c>
      <c r="CD977" s="2">
        <v>19.160264760192501</v>
      </c>
      <c r="CE977" s="2">
        <v>19.223393889312302</v>
      </c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</row>
    <row r="978" spans="1:97">
      <c r="A978" s="2" t="s">
        <v>9027</v>
      </c>
      <c r="B978" s="2">
        <v>138.09115</v>
      </c>
      <c r="C978" s="2">
        <v>0.82699999999999996</v>
      </c>
      <c r="D978" s="2" t="s">
        <v>84</v>
      </c>
      <c r="E978" s="2" t="s">
        <v>9028</v>
      </c>
      <c r="F978" s="2" t="s">
        <v>9029</v>
      </c>
      <c r="G978" s="2">
        <v>55172</v>
      </c>
      <c r="H978" s="3" t="str">
        <f>HYPERLINK("https://cloud.oebiotech.com/#/lm/network/55172", "https://cloud.oebiotech.com/#/lm/network/55172")</f>
        <v>https://cloud.oebiotech.com/#/lm/network/55172</v>
      </c>
      <c r="I978" s="2" t="s">
        <v>9030</v>
      </c>
      <c r="J978" s="2">
        <v>43570</v>
      </c>
      <c r="K978" s="2"/>
      <c r="L978" s="2">
        <v>2230</v>
      </c>
      <c r="M978" s="2" t="s">
        <v>9031</v>
      </c>
      <c r="N978" s="2"/>
      <c r="O978" s="2"/>
      <c r="P978" s="2">
        <v>2814</v>
      </c>
      <c r="Q978" s="2"/>
      <c r="R978" s="2"/>
      <c r="S978" s="2" t="s">
        <v>9032</v>
      </c>
      <c r="T978" s="2" t="s">
        <v>9033</v>
      </c>
      <c r="U978" s="2" t="s">
        <v>9034</v>
      </c>
      <c r="V978" s="2" t="s">
        <v>374</v>
      </c>
      <c r="W978" s="2" t="s">
        <v>375</v>
      </c>
      <c r="X978" s="2" t="s">
        <v>375</v>
      </c>
      <c r="Y978" s="2" t="s">
        <v>376</v>
      </c>
      <c r="Z978" s="2"/>
      <c r="AA978" s="2"/>
      <c r="AB978" s="2" t="s">
        <v>3086</v>
      </c>
      <c r="AC978" s="2">
        <v>51.36</v>
      </c>
      <c r="AD978" s="2">
        <v>95.34</v>
      </c>
      <c r="AE978" s="2">
        <v>0</v>
      </c>
      <c r="AF978" s="2" t="s">
        <v>5614</v>
      </c>
      <c r="AG978" s="2" t="s">
        <v>1088</v>
      </c>
      <c r="AH978" s="2" t="s">
        <v>9035</v>
      </c>
      <c r="AI978" s="2">
        <v>5.79</v>
      </c>
      <c r="AJ978" s="2">
        <v>20.915792626440801</v>
      </c>
      <c r="AK978" s="2">
        <v>21.209962490197299</v>
      </c>
      <c r="AL978" s="2">
        <v>21.209607108810999</v>
      </c>
      <c r="AM978" s="2">
        <v>21.492138161282501</v>
      </c>
      <c r="AN978" s="2">
        <v>21.4746223214716</v>
      </c>
      <c r="AO978" s="2">
        <v>21.492474191468698</v>
      </c>
      <c r="AP978" s="2">
        <v>21.242065789708899</v>
      </c>
      <c r="AQ978" s="2">
        <v>21.412868869856801</v>
      </c>
      <c r="AR978" s="2">
        <v>21.695505070294701</v>
      </c>
      <c r="AS978" s="2">
        <v>21.866422771104599</v>
      </c>
      <c r="AT978" s="2">
        <v>21.7121771136703</v>
      </c>
      <c r="AU978" s="2">
        <v>21.8011432155715</v>
      </c>
      <c r="AV978" s="2">
        <v>21.526061760361699</v>
      </c>
      <c r="AW978" s="2">
        <v>21.5324055539879</v>
      </c>
      <c r="AX978" s="2">
        <v>21.495905014984402</v>
      </c>
      <c r="AY978" s="2">
        <v>21.714757685291701</v>
      </c>
      <c r="AZ978" s="2">
        <v>21.841755678092898</v>
      </c>
      <c r="BA978" s="2">
        <v>21.737315041226001</v>
      </c>
      <c r="BB978" s="2">
        <v>21.311729952867399</v>
      </c>
      <c r="BC978" s="2">
        <v>21.247344772132401</v>
      </c>
      <c r="BD978" s="2">
        <v>21.428959768615599</v>
      </c>
      <c r="BE978" s="2">
        <v>21.370768654652</v>
      </c>
      <c r="BF978" s="2">
        <v>21.275412727378399</v>
      </c>
      <c r="BG978" s="2">
        <v>21.3401615539054</v>
      </c>
      <c r="BH978" s="2">
        <v>21.624997271433699</v>
      </c>
      <c r="BI978" s="2">
        <v>21.398909836506899</v>
      </c>
      <c r="BJ978" s="2">
        <v>21.557341019885602</v>
      </c>
      <c r="BK978" s="2">
        <v>21.8033776163883</v>
      </c>
      <c r="BL978" s="2">
        <v>21.6939510609261</v>
      </c>
      <c r="BM978" s="2">
        <v>20.902285573362899</v>
      </c>
      <c r="BN978" s="2">
        <v>21.4930686692792</v>
      </c>
      <c r="BO978" s="2">
        <v>21.739810846862699</v>
      </c>
      <c r="BP978" s="2">
        <v>21.604531018885201</v>
      </c>
      <c r="BQ978" s="2">
        <v>21.193139099504901</v>
      </c>
      <c r="BR978" s="2">
        <v>21.152685643233799</v>
      </c>
      <c r="BS978" s="2">
        <v>21.428360750366199</v>
      </c>
      <c r="BT978" s="2">
        <v>21.888592577610499</v>
      </c>
      <c r="BU978" s="2">
        <v>21.479483657986801</v>
      </c>
      <c r="BV978" s="2">
        <v>21.244770849321899</v>
      </c>
      <c r="BW978" s="2">
        <v>21.760494996050099</v>
      </c>
      <c r="BX978" s="2">
        <v>21.682133863512501</v>
      </c>
      <c r="BY978" s="2">
        <v>21.116353366445299</v>
      </c>
      <c r="BZ978" s="2">
        <v>21.4014439519073</v>
      </c>
      <c r="CA978" s="2">
        <v>21.1692574687385</v>
      </c>
      <c r="CB978" s="2">
        <v>21.662841989554401</v>
      </c>
      <c r="CC978" s="2">
        <v>21.485287042727499</v>
      </c>
      <c r="CD978" s="2">
        <v>21.109330790753599</v>
      </c>
      <c r="CE978" s="2">
        <v>21.534573689164201</v>
      </c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</row>
    <row r="979" spans="1:97">
      <c r="A979" s="2" t="s">
        <v>9036</v>
      </c>
      <c r="B979" s="2">
        <v>226.02722</v>
      </c>
      <c r="C979" s="2">
        <v>5.3170000000000002</v>
      </c>
      <c r="D979" s="2" t="s">
        <v>146</v>
      </c>
      <c r="E979" s="2" t="s">
        <v>9037</v>
      </c>
      <c r="F979" s="2" t="s">
        <v>9038</v>
      </c>
      <c r="G979" s="2">
        <v>82302</v>
      </c>
      <c r="H979" s="3" t="str">
        <f>HYPERLINK("https://cloud.oebiotech.com/#/lm/network/82302", "https://cloud.oebiotech.com/#/lm/network/82302")</f>
        <v>https://cloud.oebiotech.com/#/lm/network/82302</v>
      </c>
      <c r="I979" s="2" t="s">
        <v>9039</v>
      </c>
      <c r="J979" s="2">
        <v>71253</v>
      </c>
      <c r="K979" s="2"/>
      <c r="L979" s="2">
        <v>21350393</v>
      </c>
      <c r="M979" s="2" t="s">
        <v>9040</v>
      </c>
      <c r="N979" s="2" t="s">
        <v>9041</v>
      </c>
      <c r="O979" s="2" t="s">
        <v>9042</v>
      </c>
      <c r="P979" s="2">
        <v>80594</v>
      </c>
      <c r="Q979" s="2"/>
      <c r="R979" s="2"/>
      <c r="S979" s="2"/>
      <c r="T979" s="2" t="s">
        <v>9043</v>
      </c>
      <c r="U979" s="2" t="s">
        <v>9044</v>
      </c>
      <c r="V979" s="2" t="s">
        <v>385</v>
      </c>
      <c r="W979" s="2" t="s">
        <v>386</v>
      </c>
      <c r="X979" s="2" t="s">
        <v>375</v>
      </c>
      <c r="Y979" s="2" t="s">
        <v>388</v>
      </c>
      <c r="Z979" s="2" t="s">
        <v>389</v>
      </c>
      <c r="AA979" s="2"/>
      <c r="AB979" s="2" t="s">
        <v>3086</v>
      </c>
      <c r="AC979" s="2">
        <v>51.35</v>
      </c>
      <c r="AD979" s="2">
        <v>74.2</v>
      </c>
      <c r="AE979" s="2">
        <v>0</v>
      </c>
      <c r="AF979" s="2" t="s">
        <v>5614</v>
      </c>
      <c r="AG979" s="2" t="s">
        <v>4062</v>
      </c>
      <c r="AH979" s="2" t="s">
        <v>9045</v>
      </c>
      <c r="AI979" s="2">
        <v>1.77</v>
      </c>
      <c r="AJ979" s="2">
        <v>16.8115563235637</v>
      </c>
      <c r="AK979" s="2">
        <v>17.073293061225801</v>
      </c>
      <c r="AL979" s="2">
        <v>17.168106691961999</v>
      </c>
      <c r="AM979" s="2">
        <v>17.317439024537599</v>
      </c>
      <c r="AN979" s="2">
        <v>17.405421217509101</v>
      </c>
      <c r="AO979" s="2">
        <v>17.2977275305043</v>
      </c>
      <c r="AP979" s="2">
        <v>17.452818354247999</v>
      </c>
      <c r="AQ979" s="2">
        <v>17.340727504161801</v>
      </c>
      <c r="AR979" s="2">
        <v>15.989455926618399</v>
      </c>
      <c r="AS979" s="2">
        <v>14.945216111087801</v>
      </c>
      <c r="AT979" s="2">
        <v>17.965005526390701</v>
      </c>
      <c r="AU979" s="2">
        <v>17.039397929622901</v>
      </c>
      <c r="AV979" s="2">
        <v>14.9747219902042</v>
      </c>
      <c r="AW979" s="2">
        <v>16.340704819132998</v>
      </c>
      <c r="AX979" s="2">
        <v>16.271177758116199</v>
      </c>
      <c r="AY979" s="2">
        <v>16.485387988051102</v>
      </c>
      <c r="AZ979" s="2">
        <v>15.806597197514099</v>
      </c>
      <c r="BA979" s="2">
        <v>15.8905813519421</v>
      </c>
      <c r="BB979" s="2">
        <v>18.061205730202399</v>
      </c>
      <c r="BC979" s="2">
        <v>16.8105521801164</v>
      </c>
      <c r="BD979" s="2">
        <v>16.9292971343062</v>
      </c>
      <c r="BE979" s="2">
        <v>16.9685720772287</v>
      </c>
      <c r="BF979" s="2">
        <v>18.535547139906601</v>
      </c>
      <c r="BG979" s="2">
        <v>19.390862438109099</v>
      </c>
      <c r="BH979" s="2">
        <v>17.015543547581199</v>
      </c>
      <c r="BI979" s="2">
        <v>16.6861923184514</v>
      </c>
      <c r="BJ979" s="2">
        <v>16.363316886971099</v>
      </c>
      <c r="BK979" s="2">
        <v>17.420650837676501</v>
      </c>
      <c r="BL979" s="2">
        <v>16.487219835530201</v>
      </c>
      <c r="BM979" s="2">
        <v>16.050558238671101</v>
      </c>
      <c r="BN979" s="2">
        <v>15.9710126838992</v>
      </c>
      <c r="BO979" s="2">
        <v>16.342878353403002</v>
      </c>
      <c r="BP979" s="2">
        <v>15.9022429650303</v>
      </c>
      <c r="BQ979" s="2">
        <v>16.343547836152901</v>
      </c>
      <c r="BR979" s="2">
        <v>15.760369105402701</v>
      </c>
      <c r="BS979" s="2">
        <v>16.623619474905301</v>
      </c>
      <c r="BT979" s="2">
        <v>15.6679661145723</v>
      </c>
      <c r="BU979" s="2">
        <v>15.9756193948429</v>
      </c>
      <c r="BV979" s="2">
        <v>16.218125192484699</v>
      </c>
      <c r="BW979" s="2">
        <v>16.054227613123398</v>
      </c>
      <c r="BX979" s="2">
        <v>15.781456026597899</v>
      </c>
      <c r="BY979" s="2">
        <v>15.5913020218937</v>
      </c>
      <c r="BZ979" s="2">
        <v>15.860046685352399</v>
      </c>
      <c r="CA979" s="2">
        <v>15.7479105213559</v>
      </c>
      <c r="CB979" s="2">
        <v>15.866327747848301</v>
      </c>
      <c r="CC979" s="2">
        <v>16.0797712193576</v>
      </c>
      <c r="CD979" s="2">
        <v>17.408884064008401</v>
      </c>
      <c r="CE979" s="2">
        <v>16.971545350133699</v>
      </c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</row>
    <row r="980" spans="1:97">
      <c r="A980" s="2" t="s">
        <v>9046</v>
      </c>
      <c r="B980" s="2">
        <v>311.16153000000003</v>
      </c>
      <c r="C980" s="2">
        <v>11.382</v>
      </c>
      <c r="D980" s="2" t="s">
        <v>84</v>
      </c>
      <c r="E980" s="2" t="s">
        <v>9047</v>
      </c>
      <c r="F980" s="2" t="s">
        <v>9048</v>
      </c>
      <c r="G980" s="2">
        <v>552057</v>
      </c>
      <c r="H980" s="3" t="str">
        <f>HYPERLINK("https://cloud.oebiotech.com/#/lm/network/552057", "https://cloud.oebiotech.com/#/lm/network/552057")</f>
        <v>https://cloud.oebiotech.com/#/lm/network/552057</v>
      </c>
      <c r="I980" s="2"/>
      <c r="J980" s="2"/>
      <c r="K980" s="2"/>
      <c r="L980" s="2">
        <v>16757678</v>
      </c>
      <c r="M980" s="2"/>
      <c r="N980" s="2"/>
      <c r="O980" s="2"/>
      <c r="P980" s="2"/>
      <c r="Q980" s="2"/>
      <c r="R980" s="2"/>
      <c r="S980" s="2" t="s">
        <v>9049</v>
      </c>
      <c r="T980" s="2" t="s">
        <v>9050</v>
      </c>
      <c r="U980" s="2" t="s">
        <v>9051</v>
      </c>
      <c r="V980" s="2" t="s">
        <v>95</v>
      </c>
      <c r="W980" s="2" t="s">
        <v>152</v>
      </c>
      <c r="X980" s="2" t="s">
        <v>5492</v>
      </c>
      <c r="Y980" s="2" t="s">
        <v>98</v>
      </c>
      <c r="Z980" s="2" t="s">
        <v>154</v>
      </c>
      <c r="AA980" s="2" t="s">
        <v>5493</v>
      </c>
      <c r="AB980" s="2" t="s">
        <v>5118</v>
      </c>
      <c r="AC980" s="2">
        <v>51.34</v>
      </c>
      <c r="AD980" s="2">
        <v>72.81</v>
      </c>
      <c r="AE980" s="2">
        <v>83.87</v>
      </c>
      <c r="AF980" s="2" t="s">
        <v>9052</v>
      </c>
      <c r="AG980" s="2" t="s">
        <v>1578</v>
      </c>
      <c r="AH980" s="2" t="s">
        <v>9053</v>
      </c>
      <c r="AI980" s="2">
        <v>0.96</v>
      </c>
      <c r="AJ980" s="2">
        <v>21.888125296605502</v>
      </c>
      <c r="AK980" s="2">
        <v>21.8627842195875</v>
      </c>
      <c r="AL980" s="2">
        <v>21.742402667659601</v>
      </c>
      <c r="AM980" s="2">
        <v>21.812401855033301</v>
      </c>
      <c r="AN980" s="2">
        <v>21.912545789028201</v>
      </c>
      <c r="AO980" s="2">
        <v>21.982833942470101</v>
      </c>
      <c r="AP980" s="2">
        <v>21.863172058518401</v>
      </c>
      <c r="AQ980" s="2">
        <v>22.058732457729</v>
      </c>
      <c r="AR980" s="2">
        <v>22.434937227285602</v>
      </c>
      <c r="AS980" s="2">
        <v>20.717301506361199</v>
      </c>
      <c r="AT980" s="2">
        <v>21.5306192016361</v>
      </c>
      <c r="AU980" s="2">
        <v>21.756410141587899</v>
      </c>
      <c r="AV980" s="2">
        <v>21.3962369460979</v>
      </c>
      <c r="AW980" s="2">
        <v>21.741091658194701</v>
      </c>
      <c r="AX980" s="2">
        <v>21.880041228042</v>
      </c>
      <c r="AY980" s="2">
        <v>21.713122759721202</v>
      </c>
      <c r="AZ980" s="2">
        <v>22.016568805489499</v>
      </c>
      <c r="BA980" s="2">
        <v>20.478492229681098</v>
      </c>
      <c r="BB980" s="2">
        <v>21.698189756570802</v>
      </c>
      <c r="BC980" s="2">
        <v>22.376147789158001</v>
      </c>
      <c r="BD980" s="2">
        <v>21.760710073078201</v>
      </c>
      <c r="BE980" s="2">
        <v>22.202194547249501</v>
      </c>
      <c r="BF980" s="2">
        <v>21.277044719400902</v>
      </c>
      <c r="BG980" s="2">
        <v>21.857255101737898</v>
      </c>
      <c r="BH980" s="2">
        <v>21.641453786110301</v>
      </c>
      <c r="BI980" s="2">
        <v>21.6318146692381</v>
      </c>
      <c r="BJ980" s="2">
        <v>21.719468045392301</v>
      </c>
      <c r="BK980" s="2">
        <v>21.290700429440701</v>
      </c>
      <c r="BL980" s="2">
        <v>22.173077535531501</v>
      </c>
      <c r="BM980" s="2">
        <v>21.4369429319201</v>
      </c>
      <c r="BN980" s="2">
        <v>21.561755583649301</v>
      </c>
      <c r="BO980" s="2">
        <v>21.876796717381598</v>
      </c>
      <c r="BP980" s="2">
        <v>21.790347629625</v>
      </c>
      <c r="BQ980" s="2">
        <v>21.6671743251989</v>
      </c>
      <c r="BR980" s="2">
        <v>21.750116246968801</v>
      </c>
      <c r="BS980" s="2">
        <v>21.919696936519198</v>
      </c>
      <c r="BT980" s="2">
        <v>21.812514621980601</v>
      </c>
      <c r="BU980" s="2">
        <v>21.614899666778701</v>
      </c>
      <c r="BV980" s="2">
        <v>21.901009870189</v>
      </c>
      <c r="BW980" s="2">
        <v>20.839462431624401</v>
      </c>
      <c r="BX980" s="2">
        <v>21.5585382959258</v>
      </c>
      <c r="BY980" s="2">
        <v>22.445631877940102</v>
      </c>
      <c r="BZ980" s="2">
        <v>21.563012589072901</v>
      </c>
      <c r="CA980" s="2">
        <v>21.717555207281698</v>
      </c>
      <c r="CB980" s="2">
        <v>21.541392847262902</v>
      </c>
      <c r="CC980" s="2">
        <v>21.539694735245501</v>
      </c>
      <c r="CD980" s="2">
        <v>22.1733405450471</v>
      </c>
      <c r="CE980" s="2">
        <v>21.071108128000901</v>
      </c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</row>
    <row r="981" spans="1:97">
      <c r="A981" s="2" t="s">
        <v>9054</v>
      </c>
      <c r="B981" s="2">
        <v>313.06473999999997</v>
      </c>
      <c r="C981" s="2">
        <v>1.079</v>
      </c>
      <c r="D981" s="2" t="s">
        <v>146</v>
      </c>
      <c r="E981" s="2" t="s">
        <v>9055</v>
      </c>
      <c r="F981" s="2" t="s">
        <v>9056</v>
      </c>
      <c r="G981" s="2">
        <v>266158</v>
      </c>
      <c r="H981" s="3" t="str">
        <f>HYPERLINK("https://cloud.oebiotech.com/#/lm/network/266158", "https://cloud.oebiotech.com/#/lm/network/266158")</f>
        <v>https://cloud.oebiotech.com/#/lm/network/266158</v>
      </c>
      <c r="I981" s="2"/>
      <c r="J981" s="2">
        <v>23791</v>
      </c>
      <c r="K981" s="2"/>
      <c r="L981" s="2">
        <v>7015689</v>
      </c>
      <c r="M981" s="2"/>
      <c r="N981" s="2"/>
      <c r="O981" s="2"/>
      <c r="P981" s="2"/>
      <c r="Q981" s="2"/>
      <c r="R981" s="2"/>
      <c r="S981" s="2"/>
      <c r="T981" s="2" t="s">
        <v>9057</v>
      </c>
      <c r="U981" s="2" t="s">
        <v>9058</v>
      </c>
      <c r="V981" s="2" t="s">
        <v>115</v>
      </c>
      <c r="W981" s="2" t="s">
        <v>116</v>
      </c>
      <c r="X981" s="2" t="s">
        <v>117</v>
      </c>
      <c r="Y981" s="2" t="s">
        <v>118</v>
      </c>
      <c r="Z981" s="2" t="s">
        <v>119</v>
      </c>
      <c r="AA981" s="2" t="s">
        <v>120</v>
      </c>
      <c r="AB981" s="2" t="s">
        <v>3086</v>
      </c>
      <c r="AC981" s="2">
        <v>51.32</v>
      </c>
      <c r="AD981" s="2">
        <v>76.06</v>
      </c>
      <c r="AE981" s="2">
        <v>30.7521428571429</v>
      </c>
      <c r="AF981" s="2" t="s">
        <v>9059</v>
      </c>
      <c r="AG981" s="2" t="s">
        <v>4062</v>
      </c>
      <c r="AH981" s="2" t="s">
        <v>9060</v>
      </c>
      <c r="AI981" s="2">
        <v>-5.43</v>
      </c>
      <c r="AJ981" s="2">
        <v>26.1006948584842</v>
      </c>
      <c r="AK981" s="2">
        <v>26.589949035190902</v>
      </c>
      <c r="AL981" s="2">
        <v>26.471268834110301</v>
      </c>
      <c r="AM981" s="2">
        <v>26.626403057488901</v>
      </c>
      <c r="AN981" s="2">
        <v>26.5605295473041</v>
      </c>
      <c r="AO981" s="2">
        <v>26.0962701133904</v>
      </c>
      <c r="AP981" s="2">
        <v>26.6680715873682</v>
      </c>
      <c r="AQ981" s="2">
        <v>26.476463039557299</v>
      </c>
      <c r="AR981" s="2">
        <v>26.772090729662299</v>
      </c>
      <c r="AS981" s="2">
        <v>25.895870124339702</v>
      </c>
      <c r="AT981" s="2">
        <v>25.8380148986673</v>
      </c>
      <c r="AU981" s="2">
        <v>26.5932118308627</v>
      </c>
      <c r="AV981" s="2">
        <v>25.770667644957101</v>
      </c>
      <c r="AW981" s="2">
        <v>26.7088778882746</v>
      </c>
      <c r="AX981" s="2">
        <v>26.154535930848699</v>
      </c>
      <c r="AY981" s="2">
        <v>26.521916914636002</v>
      </c>
      <c r="AZ981" s="2">
        <v>26.746434253084299</v>
      </c>
      <c r="BA981" s="2">
        <v>26.1366874487194</v>
      </c>
      <c r="BB981" s="2">
        <v>26.620479987018101</v>
      </c>
      <c r="BC981" s="2">
        <v>27.251995320492799</v>
      </c>
      <c r="BD981" s="2">
        <v>27.0233304224666</v>
      </c>
      <c r="BE981" s="2">
        <v>26.4054873066938</v>
      </c>
      <c r="BF981" s="2">
        <v>26.468133161040502</v>
      </c>
      <c r="BG981" s="2">
        <v>26.784088843328199</v>
      </c>
      <c r="BH981" s="2">
        <v>26.455560726681998</v>
      </c>
      <c r="BI981" s="2">
        <v>26.680203494394501</v>
      </c>
      <c r="BJ981" s="2">
        <v>26.7723816094197</v>
      </c>
      <c r="BK981" s="2">
        <v>26.420800412948498</v>
      </c>
      <c r="BL981" s="2">
        <v>26.784421337407199</v>
      </c>
      <c r="BM981" s="2">
        <v>26.875522918475198</v>
      </c>
      <c r="BN981" s="2">
        <v>26.750339030026399</v>
      </c>
      <c r="BO981" s="2">
        <v>25.650698051509501</v>
      </c>
      <c r="BP981" s="2">
        <v>26.491028770917399</v>
      </c>
      <c r="BQ981" s="2">
        <v>26.572492678136001</v>
      </c>
      <c r="BR981" s="2">
        <v>26.253494939829299</v>
      </c>
      <c r="BS981" s="2">
        <v>26.479218270748198</v>
      </c>
      <c r="BT981" s="2">
        <v>25.712168463463701</v>
      </c>
      <c r="BU981" s="2">
        <v>26.616813817393499</v>
      </c>
      <c r="BV981" s="2">
        <v>26.6526132765987</v>
      </c>
      <c r="BW981" s="2">
        <v>26.565567778141901</v>
      </c>
      <c r="BX981" s="2">
        <v>25.319262679591699</v>
      </c>
      <c r="BY981" s="2">
        <v>26.7502391748144</v>
      </c>
      <c r="BZ981" s="2">
        <v>26.0491742643534</v>
      </c>
      <c r="CA981" s="2">
        <v>26.550283952891299</v>
      </c>
      <c r="CB981" s="2">
        <v>24.615027804294002</v>
      </c>
      <c r="CC981" s="2">
        <v>26.287633332770799</v>
      </c>
      <c r="CD981" s="2">
        <v>25.652114339377601</v>
      </c>
      <c r="CE981" s="2">
        <v>25.3248914161823</v>
      </c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</row>
    <row r="982" spans="1:97">
      <c r="A982" s="2" t="s">
        <v>9061</v>
      </c>
      <c r="B982" s="2">
        <v>140.06790000000001</v>
      </c>
      <c r="C982" s="2">
        <v>1.1259999999999999</v>
      </c>
      <c r="D982" s="2" t="s">
        <v>84</v>
      </c>
      <c r="E982" s="2" t="s">
        <v>9062</v>
      </c>
      <c r="F982" s="2" t="s">
        <v>9063</v>
      </c>
      <c r="G982" s="2">
        <v>52443</v>
      </c>
      <c r="H982" s="3" t="str">
        <f>HYPERLINK("https://cloud.oebiotech.com/#/lm/network/52443", "https://cloud.oebiotech.com/#/lm/network/52443")</f>
        <v>https://cloud.oebiotech.com/#/lm/network/52443</v>
      </c>
      <c r="I982" s="2" t="s">
        <v>9064</v>
      </c>
      <c r="J982" s="2">
        <v>85259</v>
      </c>
      <c r="K982" s="2"/>
      <c r="L982" s="2">
        <v>439575</v>
      </c>
      <c r="M982" s="2" t="s">
        <v>9065</v>
      </c>
      <c r="N982" s="2"/>
      <c r="O982" s="2"/>
      <c r="P982" s="2">
        <v>28804</v>
      </c>
      <c r="Q982" s="2"/>
      <c r="R982" s="2"/>
      <c r="S982" s="2" t="s">
        <v>9066</v>
      </c>
      <c r="T982" s="2" t="s">
        <v>9067</v>
      </c>
      <c r="U982" s="2" t="s">
        <v>9068</v>
      </c>
      <c r="V982" s="2" t="s">
        <v>115</v>
      </c>
      <c r="W982" s="2" t="s">
        <v>116</v>
      </c>
      <c r="X982" s="2" t="s">
        <v>117</v>
      </c>
      <c r="Y982" s="2" t="s">
        <v>118</v>
      </c>
      <c r="Z982" s="2" t="s">
        <v>119</v>
      </c>
      <c r="AA982" s="2" t="s">
        <v>120</v>
      </c>
      <c r="AB982" s="2" t="s">
        <v>3086</v>
      </c>
      <c r="AC982" s="2">
        <v>51.29</v>
      </c>
      <c r="AD982" s="2">
        <v>73.05</v>
      </c>
      <c r="AE982" s="2">
        <v>0</v>
      </c>
      <c r="AF982" s="2" t="s">
        <v>5614</v>
      </c>
      <c r="AG982" s="2" t="s">
        <v>1578</v>
      </c>
      <c r="AH982" s="2" t="s">
        <v>3545</v>
      </c>
      <c r="AI982" s="2">
        <v>2.14</v>
      </c>
      <c r="AJ982" s="2">
        <v>21.107110211200499</v>
      </c>
      <c r="AK982" s="2">
        <v>21.353559941419999</v>
      </c>
      <c r="AL982" s="2">
        <v>21.498003975505299</v>
      </c>
      <c r="AM982" s="2">
        <v>21.360458244669601</v>
      </c>
      <c r="AN982" s="2">
        <v>21.4446481059144</v>
      </c>
      <c r="AO982" s="2">
        <v>21.3858890617472</v>
      </c>
      <c r="AP982" s="2">
        <v>21.381504290905699</v>
      </c>
      <c r="AQ982" s="2">
        <v>21.234519705412399</v>
      </c>
      <c r="AR982" s="2">
        <v>21.195572831449301</v>
      </c>
      <c r="AS982" s="2">
        <v>20.4779355612587</v>
      </c>
      <c r="AT982" s="2">
        <v>20.710497228331999</v>
      </c>
      <c r="AU982" s="2">
        <v>21.370552471326601</v>
      </c>
      <c r="AV982" s="2">
        <v>21.5980683295444</v>
      </c>
      <c r="AW982" s="2">
        <v>21.109619701827199</v>
      </c>
      <c r="AX982" s="2">
        <v>21.561108989284499</v>
      </c>
      <c r="AY982" s="2">
        <v>20.953200148386198</v>
      </c>
      <c r="AZ982" s="2">
        <v>20.816940762620199</v>
      </c>
      <c r="BA982" s="2">
        <v>20.976548209604701</v>
      </c>
      <c r="BB982" s="2">
        <v>21.627584810824299</v>
      </c>
      <c r="BC982" s="2">
        <v>21.142482263571999</v>
      </c>
      <c r="BD982" s="2">
        <v>21.362584479993501</v>
      </c>
      <c r="BE982" s="2">
        <v>20.9027543659614</v>
      </c>
      <c r="BF982" s="2">
        <v>20.699565675727701</v>
      </c>
      <c r="BG982" s="2">
        <v>21.3402339862369</v>
      </c>
      <c r="BH982" s="2">
        <v>20.894257601829398</v>
      </c>
      <c r="BI982" s="2">
        <v>20.679862362700099</v>
      </c>
      <c r="BJ982" s="2">
        <v>21.245836207172299</v>
      </c>
      <c r="BK982" s="2">
        <v>21.738273505672598</v>
      </c>
      <c r="BL982" s="2">
        <v>21.444936556807299</v>
      </c>
      <c r="BM982" s="2">
        <v>20.748414993498901</v>
      </c>
      <c r="BN982" s="2">
        <v>20.139940241306501</v>
      </c>
      <c r="BO982" s="2">
        <v>21.3222467641802</v>
      </c>
      <c r="BP982" s="2">
        <v>22.443645058737001</v>
      </c>
      <c r="BQ982" s="2">
        <v>21.0236829465296</v>
      </c>
      <c r="BR982" s="2">
        <v>21.1900548347887</v>
      </c>
      <c r="BS982" s="2">
        <v>21.411869318783999</v>
      </c>
      <c r="BT982" s="2">
        <v>21.673220661848202</v>
      </c>
      <c r="BU982" s="2">
        <v>21.898723716559999</v>
      </c>
      <c r="BV982" s="2">
        <v>20.2670442790142</v>
      </c>
      <c r="BW982" s="2">
        <v>21.049855620425301</v>
      </c>
      <c r="BX982" s="2">
        <v>20.876580951847799</v>
      </c>
      <c r="BY982" s="2">
        <v>21.757732283920198</v>
      </c>
      <c r="BZ982" s="2">
        <v>21.3017069369312</v>
      </c>
      <c r="CA982" s="2">
        <v>21.337374406416899</v>
      </c>
      <c r="CB982" s="2">
        <v>21.1946869195334</v>
      </c>
      <c r="CC982" s="2">
        <v>20.500146420488502</v>
      </c>
      <c r="CD982" s="2">
        <v>21.5435641934355</v>
      </c>
      <c r="CE982" s="2">
        <v>21.1904733188913</v>
      </c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</row>
    <row r="983" spans="1:97">
      <c r="A983" s="2" t="s">
        <v>9069</v>
      </c>
      <c r="B983" s="2">
        <v>227.16367</v>
      </c>
      <c r="C983" s="2">
        <v>10.210000000000001</v>
      </c>
      <c r="D983" s="2" t="s">
        <v>84</v>
      </c>
      <c r="E983" s="2" t="s">
        <v>9070</v>
      </c>
      <c r="F983" s="2" t="s">
        <v>9071</v>
      </c>
      <c r="G983" s="2">
        <v>56217</v>
      </c>
      <c r="H983" s="3" t="str">
        <f>HYPERLINK("https://cloud.oebiotech.com/#/lm/network/56217", "https://cloud.oebiotech.com/#/lm/network/56217")</f>
        <v>https://cloud.oebiotech.com/#/lm/network/56217</v>
      </c>
      <c r="I983" s="2" t="s">
        <v>9072</v>
      </c>
      <c r="J983" s="2"/>
      <c r="K983" s="2"/>
      <c r="L983" s="2">
        <v>102861</v>
      </c>
      <c r="M983" s="2"/>
      <c r="N983" s="2"/>
      <c r="O983" s="2"/>
      <c r="P983" s="2">
        <v>89741</v>
      </c>
      <c r="Q983" s="2"/>
      <c r="R983" s="2"/>
      <c r="S983" s="2" t="s">
        <v>9073</v>
      </c>
      <c r="T983" s="2" t="s">
        <v>9074</v>
      </c>
      <c r="U983" s="2" t="s">
        <v>9075</v>
      </c>
      <c r="V983" s="2" t="s">
        <v>95</v>
      </c>
      <c r="W983" s="2" t="s">
        <v>96</v>
      </c>
      <c r="X983" s="2" t="s">
        <v>919</v>
      </c>
      <c r="Y983" s="2" t="s">
        <v>98</v>
      </c>
      <c r="Z983" s="2" t="s">
        <v>99</v>
      </c>
      <c r="AA983" s="2" t="s">
        <v>920</v>
      </c>
      <c r="AB983" s="2" t="s">
        <v>3086</v>
      </c>
      <c r="AC983" s="2">
        <v>51.29</v>
      </c>
      <c r="AD983" s="2">
        <v>92.28</v>
      </c>
      <c r="AE983" s="2">
        <v>0</v>
      </c>
      <c r="AF983" s="2" t="s">
        <v>5614</v>
      </c>
      <c r="AG983" s="2" t="s">
        <v>103</v>
      </c>
      <c r="AH983" s="2" t="s">
        <v>9076</v>
      </c>
      <c r="AI983" s="2">
        <v>2.2000000000000002</v>
      </c>
      <c r="AJ983" s="2">
        <v>18.922735517522799</v>
      </c>
      <c r="AK983" s="2">
        <v>19.294242948584099</v>
      </c>
      <c r="AL983" s="2">
        <v>18.1590106769338</v>
      </c>
      <c r="AM983" s="2">
        <v>19.243183817713899</v>
      </c>
      <c r="AN983" s="2">
        <v>19.315607121948599</v>
      </c>
      <c r="AO983" s="2">
        <v>19.106601379086399</v>
      </c>
      <c r="AP983" s="2">
        <v>19.129660975470699</v>
      </c>
      <c r="AQ983" s="2">
        <v>19.3136286060152</v>
      </c>
      <c r="AR983" s="2">
        <v>18.8296328734918</v>
      </c>
      <c r="AS983" s="2">
        <v>19.061787982160499</v>
      </c>
      <c r="AT983" s="2">
        <v>19.470843218298501</v>
      </c>
      <c r="AU983" s="2">
        <v>19.012738172374199</v>
      </c>
      <c r="AV983" s="2">
        <v>19.0788620069731</v>
      </c>
      <c r="AW983" s="2">
        <v>18.293185757819401</v>
      </c>
      <c r="AX983" s="2">
        <v>18.780868570559299</v>
      </c>
      <c r="AY983" s="2">
        <v>19.579155647643599</v>
      </c>
      <c r="AZ983" s="2">
        <v>18.930169689019401</v>
      </c>
      <c r="BA983" s="2">
        <v>19.395012263198002</v>
      </c>
      <c r="BB983" s="2">
        <v>19.211055673610399</v>
      </c>
      <c r="BC983" s="2">
        <v>18.693340548866999</v>
      </c>
      <c r="BD983" s="2">
        <v>19.2480458732038</v>
      </c>
      <c r="BE983" s="2">
        <v>19.228156035113699</v>
      </c>
      <c r="BF983" s="2">
        <v>19.136020984765</v>
      </c>
      <c r="BG983" s="2">
        <v>18.7633011771408</v>
      </c>
      <c r="BH983" s="2">
        <v>19.388982277934101</v>
      </c>
      <c r="BI983" s="2">
        <v>18.9823396607806</v>
      </c>
      <c r="BJ983" s="2">
        <v>18.841199788998299</v>
      </c>
      <c r="BK983" s="2">
        <v>19.122891803741599</v>
      </c>
      <c r="BL983" s="2">
        <v>19.298140943736701</v>
      </c>
      <c r="BM983" s="2">
        <v>19.057039739429101</v>
      </c>
      <c r="BN983" s="2">
        <v>19.137278440314802</v>
      </c>
      <c r="BO983" s="2">
        <v>19.251746710678901</v>
      </c>
      <c r="BP983" s="2">
        <v>19.3353262774977</v>
      </c>
      <c r="BQ983" s="2">
        <v>18.847652288603001</v>
      </c>
      <c r="BR983" s="2">
        <v>19.539053463043</v>
      </c>
      <c r="BS983" s="2">
        <v>18.846139674860002</v>
      </c>
      <c r="BT983" s="2">
        <v>18.920347563011099</v>
      </c>
      <c r="BU983" s="2">
        <v>19.484811627095802</v>
      </c>
      <c r="BV983" s="2">
        <v>18.877407115205301</v>
      </c>
      <c r="BW983" s="2">
        <v>18.600706753770901</v>
      </c>
      <c r="BX983" s="2">
        <v>18.986342239513998</v>
      </c>
      <c r="BY983" s="2">
        <v>18.773239837629699</v>
      </c>
      <c r="BZ983" s="2">
        <v>19.1157318181783</v>
      </c>
      <c r="CA983" s="2">
        <v>18.612696938178999</v>
      </c>
      <c r="CB983" s="2">
        <v>18.822055108243301</v>
      </c>
      <c r="CC983" s="2">
        <v>19.175442586161999</v>
      </c>
      <c r="CD983" s="2">
        <v>18.788147531037598</v>
      </c>
      <c r="CE983" s="2">
        <v>19.1903037162608</v>
      </c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</row>
    <row r="984" spans="1:97">
      <c r="A984" s="2" t="s">
        <v>9077</v>
      </c>
      <c r="B984" s="2">
        <v>176.06558999999999</v>
      </c>
      <c r="C984" s="2">
        <v>0.88200000000000001</v>
      </c>
      <c r="D984" s="2" t="s">
        <v>84</v>
      </c>
      <c r="E984" s="2" t="s">
        <v>9078</v>
      </c>
      <c r="F984" s="2" t="s">
        <v>9079</v>
      </c>
      <c r="G984" s="2">
        <v>48072</v>
      </c>
      <c r="H984" s="3" t="str">
        <f>HYPERLINK("https://cloud.oebiotech.com/#/lm/network/48072", "https://cloud.oebiotech.com/#/lm/network/48072")</f>
        <v>https://cloud.oebiotech.com/#/lm/network/48072</v>
      </c>
      <c r="I984" s="2" t="s">
        <v>9080</v>
      </c>
      <c r="J984" s="2">
        <v>64749</v>
      </c>
      <c r="K984" s="2"/>
      <c r="L984" s="2">
        <v>439216</v>
      </c>
      <c r="M984" s="2" t="s">
        <v>9081</v>
      </c>
      <c r="N984" s="2" t="s">
        <v>9082</v>
      </c>
      <c r="O984" s="2" t="s">
        <v>9083</v>
      </c>
      <c r="P984" s="2">
        <v>17025</v>
      </c>
      <c r="Q984" s="2"/>
      <c r="R984" s="2"/>
      <c r="S984" s="2" t="s">
        <v>9084</v>
      </c>
      <c r="T984" s="2" t="s">
        <v>9085</v>
      </c>
      <c r="U984" s="2" t="s">
        <v>9086</v>
      </c>
      <c r="V984" s="2" t="s">
        <v>115</v>
      </c>
      <c r="W984" s="2" t="s">
        <v>116</v>
      </c>
      <c r="X984" s="2" t="s">
        <v>117</v>
      </c>
      <c r="Y984" s="2" t="s">
        <v>118</v>
      </c>
      <c r="Z984" s="2" t="s">
        <v>119</v>
      </c>
      <c r="AA984" s="2" t="s">
        <v>120</v>
      </c>
      <c r="AB984" s="2" t="s">
        <v>3086</v>
      </c>
      <c r="AC984" s="2">
        <v>51.27</v>
      </c>
      <c r="AD984" s="2">
        <v>95.99</v>
      </c>
      <c r="AE984" s="2">
        <v>0</v>
      </c>
      <c r="AF984" s="2" t="s">
        <v>5614</v>
      </c>
      <c r="AG984" s="2" t="s">
        <v>132</v>
      </c>
      <c r="AH984" s="2" t="s">
        <v>9087</v>
      </c>
      <c r="AI984" s="2">
        <v>5.68</v>
      </c>
      <c r="AJ984" s="2">
        <v>19.530453203807902</v>
      </c>
      <c r="AK984" s="2">
        <v>19.413346497046401</v>
      </c>
      <c r="AL984" s="2">
        <v>19.600802360327801</v>
      </c>
      <c r="AM984" s="2">
        <v>19.5557734559344</v>
      </c>
      <c r="AN984" s="2">
        <v>19.458579373666101</v>
      </c>
      <c r="AO984" s="2">
        <v>19.400479621075199</v>
      </c>
      <c r="AP984" s="2">
        <v>19.747213622936702</v>
      </c>
      <c r="AQ984" s="2">
        <v>19.857560394728601</v>
      </c>
      <c r="AR984" s="2">
        <v>19.131324274793599</v>
      </c>
      <c r="AS984" s="2">
        <v>18.918818262968301</v>
      </c>
      <c r="AT984" s="2">
        <v>18.761153671714101</v>
      </c>
      <c r="AU984" s="2">
        <v>18.663919573502799</v>
      </c>
      <c r="AV984" s="2">
        <v>19.5378208514257</v>
      </c>
      <c r="AW984" s="2">
        <v>20.0481381635222</v>
      </c>
      <c r="AX984" s="2">
        <v>19.7795690505524</v>
      </c>
      <c r="AY984" s="2">
        <v>19.828791814138398</v>
      </c>
      <c r="AZ984" s="2">
        <v>19.297109159275401</v>
      </c>
      <c r="BA984" s="2">
        <v>18.7555447654054</v>
      </c>
      <c r="BB984" s="2">
        <v>19.612290596045199</v>
      </c>
      <c r="BC984" s="2">
        <v>17.9465107626635</v>
      </c>
      <c r="BD984" s="2">
        <v>18.810008034674201</v>
      </c>
      <c r="BE984" s="2">
        <v>20.165702210251201</v>
      </c>
      <c r="BF984" s="2">
        <v>19.401824473924901</v>
      </c>
      <c r="BG984" s="2">
        <v>19.9945563982598</v>
      </c>
      <c r="BH984" s="2">
        <v>20.202567732719501</v>
      </c>
      <c r="BI984" s="2">
        <v>18.543736315785701</v>
      </c>
      <c r="BJ984" s="2">
        <v>20.321807850613901</v>
      </c>
      <c r="BK984" s="2">
        <v>19.223907007423701</v>
      </c>
      <c r="BL984" s="2">
        <v>18.719009827065602</v>
      </c>
      <c r="BM984" s="2">
        <v>19.9544517896292</v>
      </c>
      <c r="BN984" s="2">
        <v>19.6663913249165</v>
      </c>
      <c r="BO984" s="2">
        <v>19.101133583062602</v>
      </c>
      <c r="BP984" s="2">
        <v>19.630380773317899</v>
      </c>
      <c r="BQ984" s="2">
        <v>19.342551394795699</v>
      </c>
      <c r="BR984" s="2">
        <v>19.605237112140799</v>
      </c>
      <c r="BS984" s="2">
        <v>19.782015799083801</v>
      </c>
      <c r="BT984" s="2">
        <v>19.052729572324299</v>
      </c>
      <c r="BU984" s="2">
        <v>19.588305141761602</v>
      </c>
      <c r="BV984" s="2">
        <v>19.1664377455485</v>
      </c>
      <c r="BW984" s="2">
        <v>18.097685888405302</v>
      </c>
      <c r="BX984" s="2">
        <v>19.6075948883419</v>
      </c>
      <c r="BY984" s="2">
        <v>20.105970973614902</v>
      </c>
      <c r="BZ984" s="2">
        <v>19.392938853221398</v>
      </c>
      <c r="CA984" s="2">
        <v>20.225622697189898</v>
      </c>
      <c r="CB984" s="2">
        <v>19.471269379492401</v>
      </c>
      <c r="CC984" s="2">
        <v>19.4901617209546</v>
      </c>
      <c r="CD984" s="2">
        <v>20.7956356833838</v>
      </c>
      <c r="CE984" s="2">
        <v>19.579344943679999</v>
      </c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</row>
    <row r="985" spans="1:97">
      <c r="A985" s="2" t="s">
        <v>9088</v>
      </c>
      <c r="B985" s="2">
        <v>138.09123</v>
      </c>
      <c r="C985" s="2">
        <v>4.1500000000000004</v>
      </c>
      <c r="D985" s="2" t="s">
        <v>84</v>
      </c>
      <c r="E985" s="2" t="s">
        <v>9089</v>
      </c>
      <c r="F985" s="2" t="s">
        <v>9090</v>
      </c>
      <c r="G985" s="2">
        <v>207544</v>
      </c>
      <c r="H985" s="3" t="str">
        <f>HYPERLINK("https://cloud.oebiotech.com/#/lm/network/207544", "https://cloud.oebiotech.com/#/lm/network/207544")</f>
        <v>https://cloud.oebiotech.com/#/lm/network/207544</v>
      </c>
      <c r="I985" s="2" t="s">
        <v>9091</v>
      </c>
      <c r="J985" s="2"/>
      <c r="K985" s="2"/>
      <c r="L985" s="2">
        <v>171278</v>
      </c>
      <c r="M985" s="2"/>
      <c r="N985" s="2"/>
      <c r="O985" s="2"/>
      <c r="P985" s="2"/>
      <c r="Q985" s="2"/>
      <c r="R985" s="2"/>
      <c r="S985" s="2"/>
      <c r="T985" s="2" t="s">
        <v>9092</v>
      </c>
      <c r="U985" s="2" t="s">
        <v>9093</v>
      </c>
      <c r="V985" s="2" t="s">
        <v>553</v>
      </c>
      <c r="W985" s="2" t="s">
        <v>5641</v>
      </c>
      <c r="X985" s="2" t="s">
        <v>375</v>
      </c>
      <c r="Y985" s="2" t="s">
        <v>556</v>
      </c>
      <c r="Z985" s="2" t="s">
        <v>5642</v>
      </c>
      <c r="AA985" s="2"/>
      <c r="AB985" s="2" t="s">
        <v>3086</v>
      </c>
      <c r="AC985" s="2">
        <v>51.27</v>
      </c>
      <c r="AD985" s="2">
        <v>95.34</v>
      </c>
      <c r="AE985" s="2">
        <v>0</v>
      </c>
      <c r="AF985" s="2" t="s">
        <v>5614</v>
      </c>
      <c r="AG985" s="2" t="s">
        <v>1088</v>
      </c>
      <c r="AH985" s="2" t="s">
        <v>9035</v>
      </c>
      <c r="AI985" s="2">
        <v>5.07</v>
      </c>
      <c r="AJ985" s="2">
        <v>20.416339408518802</v>
      </c>
      <c r="AK985" s="2">
        <v>20.500019145798198</v>
      </c>
      <c r="AL985" s="2">
        <v>20.153656648835899</v>
      </c>
      <c r="AM985" s="2">
        <v>20.236527034208301</v>
      </c>
      <c r="AN985" s="2">
        <v>20.439693782813201</v>
      </c>
      <c r="AO985" s="2">
        <v>20.4041237793551</v>
      </c>
      <c r="AP985" s="2">
        <v>20.561113460771001</v>
      </c>
      <c r="AQ985" s="2">
        <v>20.262222912555298</v>
      </c>
      <c r="AR985" s="2">
        <v>20.5235755662512</v>
      </c>
      <c r="AS985" s="2">
        <v>20.123421447934199</v>
      </c>
      <c r="AT985" s="2">
        <v>20.374305437874199</v>
      </c>
      <c r="AU985" s="2">
        <v>20.1422709894733</v>
      </c>
      <c r="AV985" s="2">
        <v>20.2583444946459</v>
      </c>
      <c r="AW985" s="2">
        <v>20.657379584163301</v>
      </c>
      <c r="AX985" s="2">
        <v>20.741435113388398</v>
      </c>
      <c r="AY985" s="2">
        <v>20.576588030134001</v>
      </c>
      <c r="AZ985" s="2">
        <v>20.247572572903799</v>
      </c>
      <c r="BA985" s="2">
        <v>20.519310426514899</v>
      </c>
      <c r="BB985" s="2">
        <v>20.651863418576301</v>
      </c>
      <c r="BC985" s="2">
        <v>20.468207194280499</v>
      </c>
      <c r="BD985" s="2">
        <v>20.440032515475199</v>
      </c>
      <c r="BE985" s="2">
        <v>20.373262042427001</v>
      </c>
      <c r="BF985" s="2">
        <v>20.719722944628501</v>
      </c>
      <c r="BG985" s="2">
        <v>21.158631030829699</v>
      </c>
      <c r="BH985" s="2">
        <v>20.525183106276401</v>
      </c>
      <c r="BI985" s="2">
        <v>20.692677371990101</v>
      </c>
      <c r="BJ985" s="2">
        <v>20.5089889278843</v>
      </c>
      <c r="BK985" s="2">
        <v>20.5103862986129</v>
      </c>
      <c r="BL985" s="2">
        <v>19.550744775377002</v>
      </c>
      <c r="BM985" s="2">
        <v>20.117365039174501</v>
      </c>
      <c r="BN985" s="2">
        <v>19.927691372554602</v>
      </c>
      <c r="BO985" s="2">
        <v>20.4464233835557</v>
      </c>
      <c r="BP985" s="2">
        <v>20.506616010441299</v>
      </c>
      <c r="BQ985" s="2">
        <v>20.3553085927363</v>
      </c>
      <c r="BR985" s="2">
        <v>20.364009859876099</v>
      </c>
      <c r="BS985" s="2">
        <v>20.195406717085898</v>
      </c>
      <c r="BT985" s="2">
        <v>19.974335544605299</v>
      </c>
      <c r="BU985" s="2">
        <v>20.019796046743501</v>
      </c>
      <c r="BV985" s="2">
        <v>20.175453685008598</v>
      </c>
      <c r="BW985" s="2">
        <v>20.1985464414124</v>
      </c>
      <c r="BX985" s="2">
        <v>20.159887223558201</v>
      </c>
      <c r="BY985" s="2">
        <v>19.9201335678775</v>
      </c>
      <c r="BZ985" s="2">
        <v>20.544963433180602</v>
      </c>
      <c r="CA985" s="2">
        <v>20.277046337445402</v>
      </c>
      <c r="CB985" s="2">
        <v>19.569769626898601</v>
      </c>
      <c r="CC985" s="2">
        <v>20.090343561178901</v>
      </c>
      <c r="CD985" s="2">
        <v>20.500194222206801</v>
      </c>
      <c r="CE985" s="2">
        <v>20.462941185858799</v>
      </c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</row>
    <row r="986" spans="1:97">
      <c r="A986" s="2" t="s">
        <v>9094</v>
      </c>
      <c r="B986" s="2">
        <v>251.09196</v>
      </c>
      <c r="C986" s="2">
        <v>7.5709999999999997</v>
      </c>
      <c r="D986" s="2" t="s">
        <v>146</v>
      </c>
      <c r="E986" s="2" t="s">
        <v>9095</v>
      </c>
      <c r="F986" s="2" t="s">
        <v>9096</v>
      </c>
      <c r="G986" s="2">
        <v>255505</v>
      </c>
      <c r="H986" s="3" t="str">
        <f>HYPERLINK("https://cloud.oebiotech.com/#/lm/network/255505", "https://cloud.oebiotech.com/#/lm/network/255505")</f>
        <v>https://cloud.oebiotech.com/#/lm/network/255505</v>
      </c>
      <c r="I986" s="2" t="s">
        <v>9097</v>
      </c>
      <c r="J986" s="2"/>
      <c r="K986" s="2"/>
      <c r="L986" s="2">
        <v>267137</v>
      </c>
      <c r="M986" s="2"/>
      <c r="N986" s="2"/>
      <c r="O986" s="2"/>
      <c r="P986" s="2"/>
      <c r="Q986" s="2"/>
      <c r="R986" s="2"/>
      <c r="S986" s="2"/>
      <c r="T986" s="2" t="s">
        <v>9098</v>
      </c>
      <c r="U986" s="2" t="s">
        <v>9099</v>
      </c>
      <c r="V986" s="2" t="s">
        <v>385</v>
      </c>
      <c r="W986" s="2" t="s">
        <v>386</v>
      </c>
      <c r="X986" s="2" t="s">
        <v>1059</v>
      </c>
      <c r="Y986" s="2" t="s">
        <v>388</v>
      </c>
      <c r="Z986" s="2" t="s">
        <v>389</v>
      </c>
      <c r="AA986" s="2" t="s">
        <v>1060</v>
      </c>
      <c r="AB986" s="2" t="s">
        <v>3086</v>
      </c>
      <c r="AC986" s="2">
        <v>51.26</v>
      </c>
      <c r="AD986" s="2">
        <v>91.35</v>
      </c>
      <c r="AE986" s="2">
        <v>0</v>
      </c>
      <c r="AF986" s="2" t="s">
        <v>5614</v>
      </c>
      <c r="AG986" s="2" t="s">
        <v>157</v>
      </c>
      <c r="AH986" s="2" t="s">
        <v>7297</v>
      </c>
      <c r="AI986" s="2">
        <v>1.99</v>
      </c>
      <c r="AJ986" s="2">
        <v>19.107664169830599</v>
      </c>
      <c r="AK986" s="2">
        <v>18.625055187825001</v>
      </c>
      <c r="AL986" s="2">
        <v>18.804943877734001</v>
      </c>
      <c r="AM986" s="2">
        <v>18.223358015592499</v>
      </c>
      <c r="AN986" s="2">
        <v>18.5767724791143</v>
      </c>
      <c r="AO986" s="2">
        <v>18.7775895547692</v>
      </c>
      <c r="AP986" s="2">
        <v>18.543294837924101</v>
      </c>
      <c r="AQ986" s="2">
        <v>19.067635791854499</v>
      </c>
      <c r="AR986" s="2">
        <v>18.567524473499098</v>
      </c>
      <c r="AS986" s="2">
        <v>18.5139179270003</v>
      </c>
      <c r="AT986" s="2">
        <v>18.973965386263899</v>
      </c>
      <c r="AU986" s="2">
        <v>18.682694059475001</v>
      </c>
      <c r="AV986" s="2">
        <v>18.7464549139764</v>
      </c>
      <c r="AW986" s="2">
        <v>18.745551203642901</v>
      </c>
      <c r="AX986" s="2">
        <v>18.834997378896201</v>
      </c>
      <c r="AY986" s="2">
        <v>18.941993010260099</v>
      </c>
      <c r="AZ986" s="2">
        <v>18.239692731310701</v>
      </c>
      <c r="BA986" s="2">
        <v>18.7482674528706</v>
      </c>
      <c r="BB986" s="2">
        <v>18.8289593836612</v>
      </c>
      <c r="BC986" s="2">
        <v>18.1780760394814</v>
      </c>
      <c r="BD986" s="2">
        <v>18.120297775730499</v>
      </c>
      <c r="BE986" s="2">
        <v>18.871408479935202</v>
      </c>
      <c r="BF986" s="2">
        <v>18.926974357416299</v>
      </c>
      <c r="BG986" s="2">
        <v>18.911783729633498</v>
      </c>
      <c r="BH986" s="2">
        <v>18.7763857690653</v>
      </c>
      <c r="BI986" s="2">
        <v>18.588834403867299</v>
      </c>
      <c r="BJ986" s="2">
        <v>18.500253082097998</v>
      </c>
      <c r="BK986" s="2">
        <v>18.369519733222699</v>
      </c>
      <c r="BL986" s="2">
        <v>18.759472283750501</v>
      </c>
      <c r="BM986" s="2">
        <v>19.0064839851991</v>
      </c>
      <c r="BN986" s="2">
        <v>18.869991859585799</v>
      </c>
      <c r="BO986" s="2">
        <v>18.791762445144101</v>
      </c>
      <c r="BP986" s="2">
        <v>18.888131474242201</v>
      </c>
      <c r="BQ986" s="2">
        <v>18.6822262814221</v>
      </c>
      <c r="BR986" s="2">
        <v>18.722811165913502</v>
      </c>
      <c r="BS986" s="2">
        <v>18.569430248683901</v>
      </c>
      <c r="BT986" s="2">
        <v>18.099057065975</v>
      </c>
      <c r="BU986" s="2">
        <v>18.676592302226201</v>
      </c>
      <c r="BV986" s="2">
        <v>15.919832362153199</v>
      </c>
      <c r="BW986" s="2">
        <v>18.792229142052101</v>
      </c>
      <c r="BX986" s="2">
        <v>18.7258781911796</v>
      </c>
      <c r="BY986" s="2">
        <v>18.705009814098801</v>
      </c>
      <c r="BZ986" s="2">
        <v>18.921234467530098</v>
      </c>
      <c r="CA986" s="2">
        <v>18.970881143223899</v>
      </c>
      <c r="CB986" s="2">
        <v>19.145803860987101</v>
      </c>
      <c r="CC986" s="2">
        <v>17.912925990076999</v>
      </c>
      <c r="CD986" s="2">
        <v>18.5343097225932</v>
      </c>
      <c r="CE986" s="2">
        <v>18.2799401968186</v>
      </c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</row>
    <row r="987" spans="1:97">
      <c r="A987" s="2" t="s">
        <v>9100</v>
      </c>
      <c r="B987" s="2">
        <v>468.34505999999999</v>
      </c>
      <c r="C987" s="2">
        <v>11.882999999999999</v>
      </c>
      <c r="D987" s="2" t="s">
        <v>84</v>
      </c>
      <c r="E987" s="2" t="s">
        <v>9101</v>
      </c>
      <c r="F987" s="2" t="s">
        <v>9102</v>
      </c>
      <c r="G987" s="2">
        <v>21238</v>
      </c>
      <c r="H987" s="3" t="str">
        <f>HYPERLINK("https://cloud.oebiotech.com/#/lm/network/21238", "https://cloud.oebiotech.com/#/lm/network/21238")</f>
        <v>https://cloud.oebiotech.com/#/lm/network/21238</v>
      </c>
      <c r="I987" s="2"/>
      <c r="J987" s="2">
        <v>46717</v>
      </c>
      <c r="K987" s="2" t="s">
        <v>9103</v>
      </c>
      <c r="L987" s="2">
        <v>42607467</v>
      </c>
      <c r="M987" s="2"/>
      <c r="N987" s="2"/>
      <c r="O987" s="2"/>
      <c r="P987" s="2">
        <v>138426</v>
      </c>
      <c r="Q987" s="2"/>
      <c r="R987" s="2"/>
      <c r="S987" s="2"/>
      <c r="T987" s="2" t="s">
        <v>9104</v>
      </c>
      <c r="U987" s="2" t="s">
        <v>9105</v>
      </c>
      <c r="V987" s="2" t="s">
        <v>95</v>
      </c>
      <c r="W987" s="2" t="s">
        <v>202</v>
      </c>
      <c r="X987" s="2" t="s">
        <v>327</v>
      </c>
      <c r="Y987" s="2" t="s">
        <v>98</v>
      </c>
      <c r="Z987" s="2" t="s">
        <v>204</v>
      </c>
      <c r="AA987" s="2" t="s">
        <v>328</v>
      </c>
      <c r="AB987" s="2" t="s">
        <v>3086</v>
      </c>
      <c r="AC987" s="2">
        <v>51.24</v>
      </c>
      <c r="AD987" s="2">
        <v>83.87</v>
      </c>
      <c r="AE987" s="2">
        <v>0</v>
      </c>
      <c r="AF987" s="2" t="s">
        <v>5614</v>
      </c>
      <c r="AG987" s="2" t="s">
        <v>103</v>
      </c>
      <c r="AH987" s="2" t="s">
        <v>4355</v>
      </c>
      <c r="AI987" s="2">
        <v>-0.64</v>
      </c>
      <c r="AJ987" s="2">
        <v>20.151017877143499</v>
      </c>
      <c r="AK987" s="2">
        <v>19.7198141970987</v>
      </c>
      <c r="AL987" s="2">
        <v>19.885516543529899</v>
      </c>
      <c r="AM987" s="2">
        <v>20.167564147610701</v>
      </c>
      <c r="AN987" s="2">
        <v>20.0401601060987</v>
      </c>
      <c r="AO987" s="2">
        <v>20.030146079130901</v>
      </c>
      <c r="AP987" s="2">
        <v>20.0207801052062</v>
      </c>
      <c r="AQ987" s="2">
        <v>20.366453650533401</v>
      </c>
      <c r="AR987" s="2">
        <v>20.407059705735801</v>
      </c>
      <c r="AS987" s="2">
        <v>19.0883274387675</v>
      </c>
      <c r="AT987" s="2">
        <v>18.356207700365399</v>
      </c>
      <c r="AU987" s="2">
        <v>18.8093958533068</v>
      </c>
      <c r="AV987" s="2">
        <v>20.101845840296299</v>
      </c>
      <c r="AW987" s="2">
        <v>17.878959796863398</v>
      </c>
      <c r="AX987" s="2">
        <v>19.942379925070998</v>
      </c>
      <c r="AY987" s="2">
        <v>19.111337816608799</v>
      </c>
      <c r="AZ987" s="2">
        <v>19.483786576120899</v>
      </c>
      <c r="BA987" s="2">
        <v>18.356347939189899</v>
      </c>
      <c r="BB987" s="2">
        <v>19.1132686887936</v>
      </c>
      <c r="BC987" s="2">
        <v>20.017293970988501</v>
      </c>
      <c r="BD987" s="2">
        <v>19.895729903502801</v>
      </c>
      <c r="BE987" s="2">
        <v>20.419476654954199</v>
      </c>
      <c r="BF987" s="2">
        <v>18.450459498994299</v>
      </c>
      <c r="BG987" s="2">
        <v>19.949954401944598</v>
      </c>
      <c r="BH987" s="2">
        <v>19.773419184760201</v>
      </c>
      <c r="BI987" s="2">
        <v>18.298740372725302</v>
      </c>
      <c r="BJ987" s="2">
        <v>18.6576898580559</v>
      </c>
      <c r="BK987" s="2">
        <v>19.095936366608299</v>
      </c>
      <c r="BL987" s="2">
        <v>20.189681661266501</v>
      </c>
      <c r="BM987" s="2">
        <v>19.713676217077399</v>
      </c>
      <c r="BN987" s="2">
        <v>18.763758565865899</v>
      </c>
      <c r="BO987" s="2">
        <v>19.259862450633801</v>
      </c>
      <c r="BP987" s="2">
        <v>19.457641168061301</v>
      </c>
      <c r="BQ987" s="2">
        <v>18.738838015351501</v>
      </c>
      <c r="BR987" s="2">
        <v>20.129188253947301</v>
      </c>
      <c r="BS987" s="2">
        <v>19.854832536964999</v>
      </c>
      <c r="BT987" s="2">
        <v>19.605490007773099</v>
      </c>
      <c r="BU987" s="2">
        <v>17.589155603102</v>
      </c>
      <c r="BV987" s="2">
        <v>19.677475535216001</v>
      </c>
      <c r="BW987" s="2">
        <v>19.173478317783498</v>
      </c>
      <c r="BX987" s="2">
        <v>19.377598312728299</v>
      </c>
      <c r="BY987" s="2">
        <v>20.9352454284648</v>
      </c>
      <c r="BZ987" s="2">
        <v>18.471711646426701</v>
      </c>
      <c r="CA987" s="2">
        <v>20.371360331455701</v>
      </c>
      <c r="CB987" s="2">
        <v>16.822747323257399</v>
      </c>
      <c r="CC987" s="2">
        <v>16.4426241139406</v>
      </c>
      <c r="CD987" s="2">
        <v>18.799567006513001</v>
      </c>
      <c r="CE987" s="2">
        <v>18.8743797091829</v>
      </c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</row>
    <row r="988" spans="1:97">
      <c r="A988" s="2" t="s">
        <v>9106</v>
      </c>
      <c r="B988" s="2">
        <v>254.06880000000001</v>
      </c>
      <c r="C988" s="2">
        <v>1.1240000000000001</v>
      </c>
      <c r="D988" s="2" t="s">
        <v>84</v>
      </c>
      <c r="E988" s="2" t="s">
        <v>9107</v>
      </c>
      <c r="F988" s="2" t="s">
        <v>9108</v>
      </c>
      <c r="G988" s="2">
        <v>200252</v>
      </c>
      <c r="H988" s="3" t="str">
        <f>HYPERLINK("https://cloud.oebiotech.com/#/lm/network/200252", "https://cloud.oebiotech.com/#/lm/network/200252")</f>
        <v>https://cloud.oebiotech.com/#/lm/network/200252</v>
      </c>
      <c r="I988" s="2" t="s">
        <v>9109</v>
      </c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 t="s">
        <v>9110</v>
      </c>
      <c r="U988" s="2" t="s">
        <v>9111</v>
      </c>
      <c r="V988" s="2" t="s">
        <v>115</v>
      </c>
      <c r="W988" s="2" t="s">
        <v>116</v>
      </c>
      <c r="X988" s="2" t="s">
        <v>117</v>
      </c>
      <c r="Y988" s="2" t="s">
        <v>118</v>
      </c>
      <c r="Z988" s="2" t="s">
        <v>119</v>
      </c>
      <c r="AA988" s="2" t="s">
        <v>120</v>
      </c>
      <c r="AB988" s="2" t="s">
        <v>3086</v>
      </c>
      <c r="AC988" s="2">
        <v>51.22</v>
      </c>
      <c r="AD988" s="2">
        <v>91.44</v>
      </c>
      <c r="AE988" s="2">
        <v>0</v>
      </c>
      <c r="AF988" s="2" t="s">
        <v>5614</v>
      </c>
      <c r="AG988" s="2" t="s">
        <v>103</v>
      </c>
      <c r="AH988" s="2" t="s">
        <v>9112</v>
      </c>
      <c r="AI988" s="2">
        <v>1.97</v>
      </c>
      <c r="AJ988" s="2">
        <v>19.1263573773644</v>
      </c>
      <c r="AK988" s="2">
        <v>19.1890959781846</v>
      </c>
      <c r="AL988" s="2">
        <v>19.001327205465799</v>
      </c>
      <c r="AM988" s="2">
        <v>18.5904463375999</v>
      </c>
      <c r="AN988" s="2">
        <v>18.899796486108801</v>
      </c>
      <c r="AO988" s="2">
        <v>18.703985637635199</v>
      </c>
      <c r="AP988" s="2">
        <v>18.615664584717301</v>
      </c>
      <c r="AQ988" s="2">
        <v>18.793527838861099</v>
      </c>
      <c r="AR988" s="2">
        <v>18.860072912250399</v>
      </c>
      <c r="AS988" s="2">
        <v>19.181456693702302</v>
      </c>
      <c r="AT988" s="2">
        <v>17.1065986188989</v>
      </c>
      <c r="AU988" s="2">
        <v>18.739824770540999</v>
      </c>
      <c r="AV988" s="2">
        <v>19.034523848467799</v>
      </c>
      <c r="AW988" s="2">
        <v>18.325016621865998</v>
      </c>
      <c r="AX988" s="2">
        <v>19.0163504916416</v>
      </c>
      <c r="AY988" s="2">
        <v>19.393006939203101</v>
      </c>
      <c r="AZ988" s="2">
        <v>18.841686635030101</v>
      </c>
      <c r="BA988" s="2">
        <v>17.023831115695199</v>
      </c>
      <c r="BB988" s="2">
        <v>19.794805414016601</v>
      </c>
      <c r="BC988" s="2">
        <v>20.2294740121906</v>
      </c>
      <c r="BD988" s="2">
        <v>18.503577085789502</v>
      </c>
      <c r="BE988" s="2">
        <v>19.3580146278622</v>
      </c>
      <c r="BF988" s="2">
        <v>17.3797305022531</v>
      </c>
      <c r="BG988" s="2">
        <v>19.0324760781698</v>
      </c>
      <c r="BH988" s="2">
        <v>19.770022213010101</v>
      </c>
      <c r="BI988" s="2">
        <v>18.8784099308075</v>
      </c>
      <c r="BJ988" s="2">
        <v>19.673272787553799</v>
      </c>
      <c r="BK988" s="2">
        <v>16.875857439127898</v>
      </c>
      <c r="BL988" s="2">
        <v>18.8603019907559</v>
      </c>
      <c r="BM988" s="2">
        <v>20.556653951622501</v>
      </c>
      <c r="BN988" s="2">
        <v>19.057094305786499</v>
      </c>
      <c r="BO988" s="2">
        <v>18.712160611046802</v>
      </c>
      <c r="BP988" s="2">
        <v>18.505054512512199</v>
      </c>
      <c r="BQ988" s="2">
        <v>19.076516335158502</v>
      </c>
      <c r="BR988" s="2">
        <v>19.135560976444399</v>
      </c>
      <c r="BS988" s="2">
        <v>18.9540619490644</v>
      </c>
      <c r="BT988" s="2">
        <v>18.030840878903199</v>
      </c>
      <c r="BU988" s="2">
        <v>17.6026070265535</v>
      </c>
      <c r="BV988" s="2">
        <v>20.236731398492299</v>
      </c>
      <c r="BW988" s="2">
        <v>18.875989088854201</v>
      </c>
      <c r="BX988" s="2">
        <v>18.924608259255599</v>
      </c>
      <c r="BY988" s="2">
        <v>18.9150638929246</v>
      </c>
      <c r="BZ988" s="2">
        <v>17.604292313500601</v>
      </c>
      <c r="CA988" s="2">
        <v>18.906267412375598</v>
      </c>
      <c r="CB988" s="2">
        <v>18.4711974251111</v>
      </c>
      <c r="CC988" s="2">
        <v>18.009718417005701</v>
      </c>
      <c r="CD988" s="2">
        <v>15.7997586966114</v>
      </c>
      <c r="CE988" s="2">
        <v>9.6233145402724691</v>
      </c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</row>
    <row r="989" spans="1:97">
      <c r="A989" s="2" t="s">
        <v>9113</v>
      </c>
      <c r="B989" s="2">
        <v>230.01617999999999</v>
      </c>
      <c r="C989" s="2">
        <v>0.94399999999999995</v>
      </c>
      <c r="D989" s="2" t="s">
        <v>146</v>
      </c>
      <c r="E989" s="2" t="s">
        <v>9114</v>
      </c>
      <c r="F989" s="2" t="s">
        <v>9115</v>
      </c>
      <c r="G989" s="2">
        <v>211272</v>
      </c>
      <c r="H989" s="3" t="str">
        <f>HYPERLINK("https://cloud.oebiotech.com/#/lm/network/211272", "https://cloud.oebiotech.com/#/lm/network/211272")</f>
        <v>https://cloud.oebiotech.com/#/lm/network/211272</v>
      </c>
      <c r="I989" s="2" t="s">
        <v>9116</v>
      </c>
      <c r="J989" s="2"/>
      <c r="K989" s="2"/>
      <c r="L989" s="2">
        <v>10013250</v>
      </c>
      <c r="M989" s="2"/>
      <c r="N989" s="2"/>
      <c r="O989" s="2"/>
      <c r="P989" s="2"/>
      <c r="Q989" s="2"/>
      <c r="R989" s="2"/>
      <c r="S989" s="2"/>
      <c r="T989" s="2" t="s">
        <v>9117</v>
      </c>
      <c r="U989" s="2" t="s">
        <v>9118</v>
      </c>
      <c r="V989" s="2" t="s">
        <v>115</v>
      </c>
      <c r="W989" s="2" t="s">
        <v>2162</v>
      </c>
      <c r="X989" s="2" t="s">
        <v>2163</v>
      </c>
      <c r="Y989" s="2" t="s">
        <v>118</v>
      </c>
      <c r="Z989" s="2" t="s">
        <v>2164</v>
      </c>
      <c r="AA989" s="2" t="s">
        <v>2164</v>
      </c>
      <c r="AB989" s="2" t="s">
        <v>8443</v>
      </c>
      <c r="AC989" s="2">
        <v>51.2</v>
      </c>
      <c r="AD989" s="2">
        <v>89.53</v>
      </c>
      <c r="AE989" s="2">
        <v>30.99</v>
      </c>
      <c r="AF989" s="2" t="s">
        <v>9119</v>
      </c>
      <c r="AG989" s="2" t="s">
        <v>157</v>
      </c>
      <c r="AH989" s="2" t="s">
        <v>9120</v>
      </c>
      <c r="AI989" s="2">
        <v>0</v>
      </c>
      <c r="AJ989" s="2">
        <v>21.097402698684501</v>
      </c>
      <c r="AK989" s="2">
        <v>21.416465665293099</v>
      </c>
      <c r="AL989" s="2">
        <v>21.072485043335899</v>
      </c>
      <c r="AM989" s="2">
        <v>20.964998612077299</v>
      </c>
      <c r="AN989" s="2">
        <v>20.95784502123</v>
      </c>
      <c r="AO989" s="2">
        <v>20.823692303692699</v>
      </c>
      <c r="AP989" s="2">
        <v>21.100264557331499</v>
      </c>
      <c r="AQ989" s="2">
        <v>21.1424605996929</v>
      </c>
      <c r="AR989" s="2">
        <v>20.939469455085099</v>
      </c>
      <c r="AS989" s="2">
        <v>20.9300074142037</v>
      </c>
      <c r="AT989" s="2">
        <v>21.026912919440601</v>
      </c>
      <c r="AU989" s="2">
        <v>21.097162170409899</v>
      </c>
      <c r="AV989" s="2">
        <v>20.9058932615707</v>
      </c>
      <c r="AW989" s="2">
        <v>21.665023135796201</v>
      </c>
      <c r="AX989" s="2">
        <v>21.3821522589623</v>
      </c>
      <c r="AY989" s="2">
        <v>21.1190294798864</v>
      </c>
      <c r="AZ989" s="2">
        <v>20.4969188477382</v>
      </c>
      <c r="BA989" s="2">
        <v>21.449776554592301</v>
      </c>
      <c r="BB989" s="2">
        <v>21.021241371961199</v>
      </c>
      <c r="BC989" s="2">
        <v>20.689684119932501</v>
      </c>
      <c r="BD989" s="2">
        <v>20.4841284718613</v>
      </c>
      <c r="BE989" s="2">
        <v>21.3000814116768</v>
      </c>
      <c r="BF989" s="2">
        <v>20.449827268503199</v>
      </c>
      <c r="BG989" s="2">
        <v>21.443207191763602</v>
      </c>
      <c r="BH989" s="2">
        <v>21.3168190995803</v>
      </c>
      <c r="BI989" s="2">
        <v>21.4074637753661</v>
      </c>
      <c r="BJ989" s="2">
        <v>20.5004822830346</v>
      </c>
      <c r="BK989" s="2">
        <v>21.262448835137601</v>
      </c>
      <c r="BL989" s="2">
        <v>20.567811226177401</v>
      </c>
      <c r="BM989" s="2">
        <v>20.511176441124</v>
      </c>
      <c r="BN989" s="2">
        <v>20.832498077038402</v>
      </c>
      <c r="BO989" s="2">
        <v>21.828908485140602</v>
      </c>
      <c r="BP989" s="2">
        <v>20.723373282208499</v>
      </c>
      <c r="BQ989" s="2">
        <v>20.949967727387101</v>
      </c>
      <c r="BR989" s="2">
        <v>21.443293447189699</v>
      </c>
      <c r="BS989" s="2">
        <v>20.962422752346299</v>
      </c>
      <c r="BT989" s="2">
        <v>20.764667069748398</v>
      </c>
      <c r="BU989" s="2">
        <v>20.184921639185902</v>
      </c>
      <c r="BV989" s="2">
        <v>21.066937128853901</v>
      </c>
      <c r="BW989" s="2">
        <v>20.575687587268099</v>
      </c>
      <c r="BX989" s="2">
        <v>21.102086973451701</v>
      </c>
      <c r="BY989" s="2">
        <v>20.863488481204701</v>
      </c>
      <c r="BZ989" s="2">
        <v>20.675004577980999</v>
      </c>
      <c r="CA989" s="2">
        <v>20.0008419189361</v>
      </c>
      <c r="CB989" s="2">
        <v>21.137497463694</v>
      </c>
      <c r="CC989" s="2">
        <v>20.867241903162899</v>
      </c>
      <c r="CD989" s="2">
        <v>21.069925489833</v>
      </c>
      <c r="CE989" s="2">
        <v>21.028592703511102</v>
      </c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</row>
    <row r="990" spans="1:97">
      <c r="A990" s="2" t="s">
        <v>9121</v>
      </c>
      <c r="B990" s="2">
        <v>441.00776000000002</v>
      </c>
      <c r="C990" s="2">
        <v>8.3030000000000008</v>
      </c>
      <c r="D990" s="2" t="s">
        <v>146</v>
      </c>
      <c r="E990" s="2" t="s">
        <v>9122</v>
      </c>
      <c r="F990" s="2" t="s">
        <v>9123</v>
      </c>
      <c r="G990" s="2">
        <v>35063</v>
      </c>
      <c r="H990" s="3" t="str">
        <f>HYPERLINK("https://cloud.oebiotech.com/#/lm/network/35063", "https://cloud.oebiotech.com/#/lm/network/35063")</f>
        <v>https://cloud.oebiotech.com/#/lm/network/35063</v>
      </c>
      <c r="I990" s="2"/>
      <c r="J990" s="2"/>
      <c r="K990" s="2" t="s">
        <v>9124</v>
      </c>
      <c r="L990" s="2">
        <v>6450195</v>
      </c>
      <c r="M990" s="2"/>
      <c r="N990" s="2"/>
      <c r="O990" s="2"/>
      <c r="P990" s="2"/>
      <c r="Q990" s="2"/>
      <c r="R990" s="2"/>
      <c r="S990" s="2"/>
      <c r="T990" s="2" t="s">
        <v>9125</v>
      </c>
      <c r="U990" s="2" t="s">
        <v>9126</v>
      </c>
      <c r="V990" s="2" t="s">
        <v>845</v>
      </c>
      <c r="W990" s="2" t="s">
        <v>9127</v>
      </c>
      <c r="X990" s="2" t="s">
        <v>375</v>
      </c>
      <c r="Y990" s="2" t="s">
        <v>847</v>
      </c>
      <c r="Z990" s="2" t="s">
        <v>9128</v>
      </c>
      <c r="AA990" s="2"/>
      <c r="AB990" s="2" t="s">
        <v>5118</v>
      </c>
      <c r="AC990" s="2">
        <v>51.15</v>
      </c>
      <c r="AD990" s="2">
        <v>88.14</v>
      </c>
      <c r="AE990" s="2">
        <v>91.04</v>
      </c>
      <c r="AF990" s="2" t="s">
        <v>9129</v>
      </c>
      <c r="AG990" s="2" t="s">
        <v>194</v>
      </c>
      <c r="AH990" s="2" t="s">
        <v>9130</v>
      </c>
      <c r="AI990" s="2">
        <v>-2.04</v>
      </c>
      <c r="AJ990" s="2">
        <v>19.637333312268801</v>
      </c>
      <c r="AK990" s="2">
        <v>19.858435409415598</v>
      </c>
      <c r="AL990" s="2">
        <v>19.714286072767202</v>
      </c>
      <c r="AM990" s="2">
        <v>19.700500254764101</v>
      </c>
      <c r="AN990" s="2">
        <v>19.7707605355893</v>
      </c>
      <c r="AO990" s="2">
        <v>19.881303108969</v>
      </c>
      <c r="AP990" s="2">
        <v>19.590041173958198</v>
      </c>
      <c r="AQ990" s="2">
        <v>19.696666774993101</v>
      </c>
      <c r="AR990" s="2">
        <v>19.0874351036218</v>
      </c>
      <c r="AS990" s="2">
        <v>14.9632162574849</v>
      </c>
      <c r="AT990" s="2">
        <v>15.335485265719299</v>
      </c>
      <c r="AU990" s="2">
        <v>9.6233145402724691</v>
      </c>
      <c r="AV990" s="2">
        <v>14.5150000008924</v>
      </c>
      <c r="AW990" s="2">
        <v>18.478661367475599</v>
      </c>
      <c r="AX990" s="2">
        <v>9.6233145402724691</v>
      </c>
      <c r="AY990" s="2">
        <v>12.5515015982958</v>
      </c>
      <c r="AZ990" s="2">
        <v>9.6233145402724691</v>
      </c>
      <c r="BA990" s="2">
        <v>12.4132656232331</v>
      </c>
      <c r="BB990" s="2">
        <v>17.419967993521801</v>
      </c>
      <c r="BC990" s="2">
        <v>13.8177071884583</v>
      </c>
      <c r="BD990" s="2">
        <v>16.630666712139401</v>
      </c>
      <c r="BE990" s="2">
        <v>17.556599902236901</v>
      </c>
      <c r="BF990" s="2">
        <v>17.845772963437099</v>
      </c>
      <c r="BG990" s="2">
        <v>18.4961836765188</v>
      </c>
      <c r="BH990" s="2">
        <v>17.0604682764078</v>
      </c>
      <c r="BI990" s="2">
        <v>16.5396247273342</v>
      </c>
      <c r="BJ990" s="2">
        <v>18.3474176880435</v>
      </c>
      <c r="BK990" s="2">
        <v>15.9880364554995</v>
      </c>
      <c r="BL990" s="2">
        <v>18.726356013583899</v>
      </c>
      <c r="BM990" s="2">
        <v>18.325647982460598</v>
      </c>
      <c r="BN990" s="2">
        <v>18.269510885104101</v>
      </c>
      <c r="BO990" s="2">
        <v>19.470082735844102</v>
      </c>
      <c r="BP990" s="2">
        <v>13.7363437910588</v>
      </c>
      <c r="BQ990" s="2">
        <v>18.081298106536298</v>
      </c>
      <c r="BR990" s="2">
        <v>19.351869412460999</v>
      </c>
      <c r="BS990" s="2">
        <v>20.056526402536399</v>
      </c>
      <c r="BT990" s="2">
        <v>22.5944899603636</v>
      </c>
      <c r="BU990" s="2">
        <v>18.424296876208899</v>
      </c>
      <c r="BV990" s="2">
        <v>18.927065736827998</v>
      </c>
      <c r="BW990" s="2">
        <v>18.020663088750499</v>
      </c>
      <c r="BX990" s="2">
        <v>18.7883911546561</v>
      </c>
      <c r="BY990" s="2">
        <v>17.673022128621401</v>
      </c>
      <c r="BZ990" s="2">
        <v>9.6233145402724691</v>
      </c>
      <c r="CA990" s="2">
        <v>15.3064768603369</v>
      </c>
      <c r="CB990" s="2">
        <v>21.2827079726199</v>
      </c>
      <c r="CC990" s="2">
        <v>17.8104813881708</v>
      </c>
      <c r="CD990" s="2">
        <v>15.8801962073409</v>
      </c>
      <c r="CE990" s="2">
        <v>19.4266742962085</v>
      </c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</row>
    <row r="991" spans="1:97">
      <c r="A991" s="2" t="s">
        <v>9131</v>
      </c>
      <c r="B991" s="2">
        <v>361.27301</v>
      </c>
      <c r="C991" s="2">
        <v>10.243</v>
      </c>
      <c r="D991" s="2" t="s">
        <v>84</v>
      </c>
      <c r="E991" s="2" t="s">
        <v>9132</v>
      </c>
      <c r="F991" s="2" t="s">
        <v>9133</v>
      </c>
      <c r="G991" s="2">
        <v>3682</v>
      </c>
      <c r="H991" s="3" t="str">
        <f>HYPERLINK("https://cloud.oebiotech.com/#/lm/network/3682", "https://cloud.oebiotech.com/#/lm/network/3682")</f>
        <v>https://cloud.oebiotech.com/#/lm/network/3682</v>
      </c>
      <c r="I991" s="2"/>
      <c r="J991" s="2">
        <v>36130</v>
      </c>
      <c r="K991" s="2" t="s">
        <v>9134</v>
      </c>
      <c r="L991" s="2">
        <v>5283060</v>
      </c>
      <c r="M991" s="2"/>
      <c r="N991" s="2"/>
      <c r="O991" s="2"/>
      <c r="P991" s="2"/>
      <c r="Q991" s="2"/>
      <c r="R991" s="2"/>
      <c r="S991" s="2" t="s">
        <v>9135</v>
      </c>
      <c r="T991" s="2" t="s">
        <v>9136</v>
      </c>
      <c r="U991" s="2" t="s">
        <v>9137</v>
      </c>
      <c r="V991" s="2" t="s">
        <v>95</v>
      </c>
      <c r="W991" s="2" t="s">
        <v>96</v>
      </c>
      <c r="X991" s="2" t="s">
        <v>141</v>
      </c>
      <c r="Y991" s="2" t="s">
        <v>98</v>
      </c>
      <c r="Z991" s="2" t="s">
        <v>99</v>
      </c>
      <c r="AA991" s="2" t="s">
        <v>142</v>
      </c>
      <c r="AB991" s="2" t="s">
        <v>3086</v>
      </c>
      <c r="AC991" s="2">
        <v>51.14</v>
      </c>
      <c r="AD991" s="2">
        <v>85.42</v>
      </c>
      <c r="AE991" s="2">
        <v>0</v>
      </c>
      <c r="AF991" s="2" t="s">
        <v>5614</v>
      </c>
      <c r="AG991" s="2" t="s">
        <v>1088</v>
      </c>
      <c r="AH991" s="2" t="s">
        <v>9138</v>
      </c>
      <c r="AI991" s="2">
        <v>3.6</v>
      </c>
      <c r="AJ991" s="2">
        <v>19.4431549138511</v>
      </c>
      <c r="AK991" s="2">
        <v>19.6719779180717</v>
      </c>
      <c r="AL991" s="2">
        <v>19.585009004080501</v>
      </c>
      <c r="AM991" s="2">
        <v>19.675250334902699</v>
      </c>
      <c r="AN991" s="2">
        <v>19.226304911500598</v>
      </c>
      <c r="AO991" s="2">
        <v>19.3736597225945</v>
      </c>
      <c r="AP991" s="2">
        <v>19.823459436445098</v>
      </c>
      <c r="AQ991" s="2">
        <v>19.682870864150999</v>
      </c>
      <c r="AR991" s="2">
        <v>19.691873992428299</v>
      </c>
      <c r="AS991" s="2">
        <v>18.446460721386501</v>
      </c>
      <c r="AT991" s="2">
        <v>19.0112043472589</v>
      </c>
      <c r="AU991" s="2">
        <v>19.1138594239974</v>
      </c>
      <c r="AV991" s="2">
        <v>19.379882768599799</v>
      </c>
      <c r="AW991" s="2">
        <v>19.466747389317799</v>
      </c>
      <c r="AX991" s="2">
        <v>19.293219712026499</v>
      </c>
      <c r="AY991" s="2">
        <v>19.754035953594599</v>
      </c>
      <c r="AZ991" s="2">
        <v>19.231185032240798</v>
      </c>
      <c r="BA991" s="2">
        <v>18.858464913465401</v>
      </c>
      <c r="BB991" s="2">
        <v>18.859667115117201</v>
      </c>
      <c r="BC991" s="2">
        <v>19.7040376981702</v>
      </c>
      <c r="BD991" s="2">
        <v>19.5781120661388</v>
      </c>
      <c r="BE991" s="2">
        <v>19.012175481653301</v>
      </c>
      <c r="BF991" s="2">
        <v>19.328141162550398</v>
      </c>
      <c r="BG991" s="2">
        <v>19.171873445539401</v>
      </c>
      <c r="BH991" s="2">
        <v>20.065228017287701</v>
      </c>
      <c r="BI991" s="2">
        <v>19.901739711658099</v>
      </c>
      <c r="BJ991" s="2">
        <v>19.302936598851399</v>
      </c>
      <c r="BK991" s="2">
        <v>19.086684198030699</v>
      </c>
      <c r="BL991" s="2">
        <v>19.573977478862901</v>
      </c>
      <c r="BM991" s="2">
        <v>19.367013532078801</v>
      </c>
      <c r="BN991" s="2">
        <v>19.391089139172401</v>
      </c>
      <c r="BO991" s="2">
        <v>18.736734342895598</v>
      </c>
      <c r="BP991" s="2">
        <v>19.094345026205701</v>
      </c>
      <c r="BQ991" s="2">
        <v>19.258417478337201</v>
      </c>
      <c r="BR991" s="2">
        <v>19.727086298269299</v>
      </c>
      <c r="BS991" s="2">
        <v>20.115067177916099</v>
      </c>
      <c r="BT991" s="2">
        <v>18.983361284980301</v>
      </c>
      <c r="BU991" s="2">
        <v>18.7024866305937</v>
      </c>
      <c r="BV991" s="2">
        <v>19.068320935443101</v>
      </c>
      <c r="BW991" s="2">
        <v>19.035501916020301</v>
      </c>
      <c r="BX991" s="2">
        <v>19.406905517856799</v>
      </c>
      <c r="BY991" s="2">
        <v>19.421803709192901</v>
      </c>
      <c r="BZ991" s="2">
        <v>19.6566252876802</v>
      </c>
      <c r="CA991" s="2">
        <v>19.519822101951199</v>
      </c>
      <c r="CB991" s="2">
        <v>19.045470925003698</v>
      </c>
      <c r="CC991" s="2">
        <v>19.0441481044063</v>
      </c>
      <c r="CD991" s="2">
        <v>18.727069990246999</v>
      </c>
      <c r="CE991" s="2">
        <v>18.826553855927699</v>
      </c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</row>
    <row r="992" spans="1:97">
      <c r="A992" s="2" t="s">
        <v>9139</v>
      </c>
      <c r="B992" s="2">
        <v>435.34726999999998</v>
      </c>
      <c r="C992" s="2">
        <v>14.81</v>
      </c>
      <c r="D992" s="2" t="s">
        <v>146</v>
      </c>
      <c r="E992" s="2" t="s">
        <v>9140</v>
      </c>
      <c r="F992" s="2" t="s">
        <v>9141</v>
      </c>
      <c r="G992" s="2">
        <v>1479</v>
      </c>
      <c r="H992" s="3" t="str">
        <f>HYPERLINK("https://cloud.oebiotech.com/#/lm/network/1479", "https://cloud.oebiotech.com/#/lm/network/1479")</f>
        <v>https://cloud.oebiotech.com/#/lm/network/1479</v>
      </c>
      <c r="I992" s="2"/>
      <c r="J992" s="2"/>
      <c r="K992" s="2" t="s">
        <v>9142</v>
      </c>
      <c r="L992" s="2">
        <v>21774063</v>
      </c>
      <c r="M992" s="2"/>
      <c r="N992" s="2"/>
      <c r="O992" s="2"/>
      <c r="P992" s="2"/>
      <c r="Q992" s="2"/>
      <c r="R992" s="2"/>
      <c r="S992" s="2"/>
      <c r="T992" s="2" t="s">
        <v>9143</v>
      </c>
      <c r="U992" s="2" t="s">
        <v>9144</v>
      </c>
      <c r="V992" s="2" t="s">
        <v>95</v>
      </c>
      <c r="W992" s="2" t="s">
        <v>96</v>
      </c>
      <c r="X992" s="2" t="s">
        <v>141</v>
      </c>
      <c r="Y992" s="2" t="s">
        <v>98</v>
      </c>
      <c r="Z992" s="2" t="s">
        <v>99</v>
      </c>
      <c r="AA992" s="2" t="s">
        <v>142</v>
      </c>
      <c r="AB992" s="2" t="s">
        <v>3086</v>
      </c>
      <c r="AC992" s="2">
        <v>51.09</v>
      </c>
      <c r="AD992" s="2">
        <v>82.27</v>
      </c>
      <c r="AE992" s="2">
        <v>0</v>
      </c>
      <c r="AF992" s="2" t="s">
        <v>9145</v>
      </c>
      <c r="AG992" s="2" t="s">
        <v>157</v>
      </c>
      <c r="AH992" s="2" t="s">
        <v>9146</v>
      </c>
      <c r="AI992" s="2">
        <v>1.61</v>
      </c>
      <c r="AJ992" s="2">
        <v>17.651046574335201</v>
      </c>
      <c r="AK992" s="2">
        <v>17.121205466038798</v>
      </c>
      <c r="AL992" s="2">
        <v>17.146015209015601</v>
      </c>
      <c r="AM992" s="2">
        <v>17.0191805469819</v>
      </c>
      <c r="AN992" s="2">
        <v>17.509117685617198</v>
      </c>
      <c r="AO992" s="2">
        <v>17.1993954298445</v>
      </c>
      <c r="AP992" s="2">
        <v>17.277993462006702</v>
      </c>
      <c r="AQ992" s="2">
        <v>17.243313284011599</v>
      </c>
      <c r="AR992" s="2">
        <v>14.177601732140401</v>
      </c>
      <c r="AS992" s="2">
        <v>15.7742388425055</v>
      </c>
      <c r="AT992" s="2">
        <v>18.292360011402302</v>
      </c>
      <c r="AU992" s="2">
        <v>17.205624221388899</v>
      </c>
      <c r="AV992" s="2">
        <v>16.837903955226899</v>
      </c>
      <c r="AW992" s="2">
        <v>17.468195010890799</v>
      </c>
      <c r="AX992" s="2">
        <v>17.857142892113199</v>
      </c>
      <c r="AY992" s="2">
        <v>17.6590446445806</v>
      </c>
      <c r="AZ992" s="2">
        <v>17.8083612296961</v>
      </c>
      <c r="BA992" s="2">
        <v>17.294838436125499</v>
      </c>
      <c r="BB992" s="2">
        <v>16.9036805292365</v>
      </c>
      <c r="BC992" s="2">
        <v>18.193867879059301</v>
      </c>
      <c r="BD992" s="2">
        <v>16.798420539356801</v>
      </c>
      <c r="BE992" s="2">
        <v>17.869220181369698</v>
      </c>
      <c r="BF992" s="2">
        <v>17.485055768654501</v>
      </c>
      <c r="BG992" s="2">
        <v>17.2597325074236</v>
      </c>
      <c r="BH992" s="2">
        <v>14.2743432066372</v>
      </c>
      <c r="BI992" s="2">
        <v>15.81601988864</v>
      </c>
      <c r="BJ992" s="2">
        <v>17.630037347873198</v>
      </c>
      <c r="BK992" s="2">
        <v>12.9073751695851</v>
      </c>
      <c r="BL992" s="2">
        <v>12.8055201967831</v>
      </c>
      <c r="BM992" s="2">
        <v>19.8360864398636</v>
      </c>
      <c r="BN992" s="2">
        <v>18.5207540189394</v>
      </c>
      <c r="BO992" s="2">
        <v>16.407942707675002</v>
      </c>
      <c r="BP992" s="2">
        <v>15.663823526348301</v>
      </c>
      <c r="BQ992" s="2">
        <v>16.186780480762401</v>
      </c>
      <c r="BR992" s="2">
        <v>16.750469509166798</v>
      </c>
      <c r="BS992" s="2">
        <v>18.2311572287154</v>
      </c>
      <c r="BT992" s="2">
        <v>16.804541209095699</v>
      </c>
      <c r="BU992" s="2">
        <v>17.292174130833999</v>
      </c>
      <c r="BV992" s="2">
        <v>16.898848042419399</v>
      </c>
      <c r="BW992" s="2">
        <v>15.8565792055917</v>
      </c>
      <c r="BX992" s="2">
        <v>16.777288325197599</v>
      </c>
      <c r="BY992" s="2">
        <v>18.2188113861679</v>
      </c>
      <c r="BZ992" s="2">
        <v>13.266776294244901</v>
      </c>
      <c r="CA992" s="2">
        <v>15.658638826786699</v>
      </c>
      <c r="CB992" s="2">
        <v>14.789999694672399</v>
      </c>
      <c r="CC992" s="2">
        <v>17.450415961338301</v>
      </c>
      <c r="CD992" s="2">
        <v>17.3016077401766</v>
      </c>
      <c r="CE992" s="2">
        <v>13.4314636519477</v>
      </c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</row>
    <row r="993" spans="1:97">
      <c r="A993" s="2" t="s">
        <v>9147</v>
      </c>
      <c r="B993" s="2">
        <v>235.05770000000001</v>
      </c>
      <c r="C993" s="2">
        <v>4.9619999999999997</v>
      </c>
      <c r="D993" s="2" t="s">
        <v>84</v>
      </c>
      <c r="E993" s="2" t="s">
        <v>9148</v>
      </c>
      <c r="F993" s="2" t="s">
        <v>9149</v>
      </c>
      <c r="G993" s="2">
        <v>56185</v>
      </c>
      <c r="H993" s="3" t="str">
        <f>HYPERLINK("https://cloud.oebiotech.com/#/lm/network/56185", "https://cloud.oebiotech.com/#/lm/network/56185")</f>
        <v>https://cloud.oebiotech.com/#/lm/network/56185</v>
      </c>
      <c r="I993" s="2" t="s">
        <v>9150</v>
      </c>
      <c r="J993" s="2">
        <v>68483</v>
      </c>
      <c r="K993" s="2"/>
      <c r="L993" s="2">
        <v>146167</v>
      </c>
      <c r="M993" s="2" t="s">
        <v>9151</v>
      </c>
      <c r="N993" s="2"/>
      <c r="O993" s="2"/>
      <c r="P993" s="2">
        <v>4316</v>
      </c>
      <c r="Q993" s="2"/>
      <c r="R993" s="2"/>
      <c r="S993" s="2" t="s">
        <v>9152</v>
      </c>
      <c r="T993" s="2" t="s">
        <v>9153</v>
      </c>
      <c r="U993" s="2" t="s">
        <v>9154</v>
      </c>
      <c r="V993" s="2" t="s">
        <v>338</v>
      </c>
      <c r="W993" s="2" t="s">
        <v>339</v>
      </c>
      <c r="X993" s="2" t="s">
        <v>340</v>
      </c>
      <c r="Y993" s="2" t="s">
        <v>341</v>
      </c>
      <c r="Z993" s="2" t="s">
        <v>341</v>
      </c>
      <c r="AA993" s="2" t="s">
        <v>342</v>
      </c>
      <c r="AB993" s="2" t="s">
        <v>3086</v>
      </c>
      <c r="AC993" s="2">
        <v>51.08</v>
      </c>
      <c r="AD993" s="2">
        <v>74.92</v>
      </c>
      <c r="AE993" s="2">
        <v>0</v>
      </c>
      <c r="AF993" s="2" t="s">
        <v>5614</v>
      </c>
      <c r="AG993" s="2" t="s">
        <v>1578</v>
      </c>
      <c r="AH993" s="2" t="s">
        <v>9155</v>
      </c>
      <c r="AI993" s="2">
        <v>0</v>
      </c>
      <c r="AJ993" s="2">
        <v>18.278633395194099</v>
      </c>
      <c r="AK993" s="2">
        <v>18.3391910261949</v>
      </c>
      <c r="AL993" s="2">
        <v>18.360477106147201</v>
      </c>
      <c r="AM993" s="2">
        <v>18.2882600037907</v>
      </c>
      <c r="AN993" s="2">
        <v>18.354489549943899</v>
      </c>
      <c r="AO993" s="2">
        <v>18.0777397883835</v>
      </c>
      <c r="AP993" s="2">
        <v>18.188435659398099</v>
      </c>
      <c r="AQ993" s="2">
        <v>18.2888187727998</v>
      </c>
      <c r="AR993" s="2">
        <v>17.4492608678244</v>
      </c>
      <c r="AS993" s="2">
        <v>15.4621146432138</v>
      </c>
      <c r="AT993" s="2">
        <v>14.0828209890864</v>
      </c>
      <c r="AU993" s="2">
        <v>17.147347744204801</v>
      </c>
      <c r="AV993" s="2">
        <v>15.9835340831241</v>
      </c>
      <c r="AW993" s="2">
        <v>16.195476406826302</v>
      </c>
      <c r="AX993" s="2">
        <v>16.089105946054001</v>
      </c>
      <c r="AY993" s="2">
        <v>18.699253534613799</v>
      </c>
      <c r="AZ993" s="2">
        <v>16.234026837648798</v>
      </c>
      <c r="BA993" s="2">
        <v>16.282965325027199</v>
      </c>
      <c r="BB993" s="2">
        <v>17.592802865366199</v>
      </c>
      <c r="BC993" s="2">
        <v>19.772422559991199</v>
      </c>
      <c r="BD993" s="2">
        <v>19.0862632391452</v>
      </c>
      <c r="BE993" s="2">
        <v>16.9127154662221</v>
      </c>
      <c r="BF993" s="2">
        <v>19.3972782116623</v>
      </c>
      <c r="BG993" s="2">
        <v>17.215457920621699</v>
      </c>
      <c r="BH993" s="2">
        <v>17.818540425294199</v>
      </c>
      <c r="BI993" s="2">
        <v>16.884135453177802</v>
      </c>
      <c r="BJ993" s="2">
        <v>18.5914664650149</v>
      </c>
      <c r="BK993" s="2">
        <v>17.771235461524999</v>
      </c>
      <c r="BL993" s="2">
        <v>15.806072017727701</v>
      </c>
      <c r="BM993" s="2">
        <v>19.087748370558899</v>
      </c>
      <c r="BN993" s="2">
        <v>19.336189989747901</v>
      </c>
      <c r="BO993" s="2">
        <v>18.003349961966499</v>
      </c>
      <c r="BP993" s="2">
        <v>17.1097230397401</v>
      </c>
      <c r="BQ993" s="2">
        <v>16.7988827152396</v>
      </c>
      <c r="BR993" s="2">
        <v>19.382193234886302</v>
      </c>
      <c r="BS993" s="2">
        <v>18.365051611920101</v>
      </c>
      <c r="BT993" s="2">
        <v>18.0864062073741</v>
      </c>
      <c r="BU993" s="2">
        <v>14.939526416145901</v>
      </c>
      <c r="BV993" s="2">
        <v>9.6233145402724691</v>
      </c>
      <c r="BW993" s="2">
        <v>9.6233145402724691</v>
      </c>
      <c r="BX993" s="2">
        <v>18.566268960288401</v>
      </c>
      <c r="BY993" s="2">
        <v>13.951627132241899</v>
      </c>
      <c r="BZ993" s="2">
        <v>18.311067678938901</v>
      </c>
      <c r="CA993" s="2">
        <v>17.052195697098</v>
      </c>
      <c r="CB993" s="2">
        <v>9.6233145402724691</v>
      </c>
      <c r="CC993" s="2">
        <v>16.134116232609799</v>
      </c>
      <c r="CD993" s="2">
        <v>15.723967783080299</v>
      </c>
      <c r="CE993" s="2">
        <v>16.9399743357868</v>
      </c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</row>
    <row r="994" spans="1:97">
      <c r="A994" s="2" t="s">
        <v>9156</v>
      </c>
      <c r="B994" s="2">
        <v>288.28933000000001</v>
      </c>
      <c r="C994" s="2">
        <v>8.3420000000000005</v>
      </c>
      <c r="D994" s="2" t="s">
        <v>84</v>
      </c>
      <c r="E994" s="2" t="s">
        <v>9157</v>
      </c>
      <c r="F994" s="2" t="s">
        <v>9158</v>
      </c>
      <c r="G994" s="2">
        <v>355</v>
      </c>
      <c r="H994" s="3" t="str">
        <f>HYPERLINK("https://cloud.oebiotech.com/#/lm/network/355", "https://cloud.oebiotech.com/#/lm/network/355")</f>
        <v>https://cloud.oebiotech.com/#/lm/network/355</v>
      </c>
      <c r="I994" s="2"/>
      <c r="J994" s="2">
        <v>45761</v>
      </c>
      <c r="K994" s="2" t="s">
        <v>9159</v>
      </c>
      <c r="L994" s="2">
        <v>42607285</v>
      </c>
      <c r="M994" s="2"/>
      <c r="N994" s="2"/>
      <c r="O994" s="2"/>
      <c r="P994" s="2"/>
      <c r="Q994" s="2"/>
      <c r="R994" s="2"/>
      <c r="S994" s="2"/>
      <c r="T994" s="2" t="s">
        <v>9160</v>
      </c>
      <c r="U994" s="2" t="s">
        <v>9161</v>
      </c>
      <c r="V994" s="2" t="s">
        <v>95</v>
      </c>
      <c r="W994" s="2" t="s">
        <v>96</v>
      </c>
      <c r="X994" s="2" t="s">
        <v>141</v>
      </c>
      <c r="Y994" s="2" t="s">
        <v>98</v>
      </c>
      <c r="Z994" s="2" t="s">
        <v>99</v>
      </c>
      <c r="AA994" s="2" t="s">
        <v>142</v>
      </c>
      <c r="AB994" s="2" t="s">
        <v>5118</v>
      </c>
      <c r="AC994" s="2">
        <v>51.08</v>
      </c>
      <c r="AD994" s="2">
        <v>89.95</v>
      </c>
      <c r="AE994" s="2">
        <v>67.42</v>
      </c>
      <c r="AF994" s="2" t="s">
        <v>9162</v>
      </c>
      <c r="AG994" s="2" t="s">
        <v>132</v>
      </c>
      <c r="AH994" s="2" t="s">
        <v>9163</v>
      </c>
      <c r="AI994" s="2">
        <v>1.39</v>
      </c>
      <c r="AJ994" s="2">
        <v>21.264630370197601</v>
      </c>
      <c r="AK994" s="2">
        <v>21.2230791212097</v>
      </c>
      <c r="AL994" s="2">
        <v>21.145946383788601</v>
      </c>
      <c r="AM994" s="2">
        <v>21.1831842143363</v>
      </c>
      <c r="AN994" s="2">
        <v>21.214121413139299</v>
      </c>
      <c r="AO994" s="2">
        <v>21.1747218616403</v>
      </c>
      <c r="AP994" s="2">
        <v>21.129648971621702</v>
      </c>
      <c r="AQ994" s="2">
        <v>21.254840664391399</v>
      </c>
      <c r="AR994" s="2">
        <v>19.262689619680899</v>
      </c>
      <c r="AS994" s="2">
        <v>19.818548164206302</v>
      </c>
      <c r="AT994" s="2">
        <v>19.069939469077902</v>
      </c>
      <c r="AU994" s="2">
        <v>18.006559316263299</v>
      </c>
      <c r="AV994" s="2">
        <v>16.771272027500199</v>
      </c>
      <c r="AW994" s="2">
        <v>18.761881308041801</v>
      </c>
      <c r="AX994" s="2">
        <v>16.041132930531301</v>
      </c>
      <c r="AY994" s="2">
        <v>15.967278278152</v>
      </c>
      <c r="AZ994" s="2">
        <v>9.6233145402724691</v>
      </c>
      <c r="BA994" s="2">
        <v>9.6233145402724691</v>
      </c>
      <c r="BB994" s="2">
        <v>9.6233145402724691</v>
      </c>
      <c r="BC994" s="2">
        <v>9.6233145402724691</v>
      </c>
      <c r="BD994" s="2">
        <v>18.663868372307299</v>
      </c>
      <c r="BE994" s="2">
        <v>9.6233145402724691</v>
      </c>
      <c r="BF994" s="2">
        <v>9.6233145402724691</v>
      </c>
      <c r="BG994" s="2">
        <v>9.6233145402724691</v>
      </c>
      <c r="BH994" s="2">
        <v>9.6233145402724691</v>
      </c>
      <c r="BI994" s="2">
        <v>15.1538457023546</v>
      </c>
      <c r="BJ994" s="2">
        <v>18.372877682618999</v>
      </c>
      <c r="BK994" s="2">
        <v>19.495518573204301</v>
      </c>
      <c r="BL994" s="2">
        <v>14.443587227421901</v>
      </c>
      <c r="BM994" s="2">
        <v>19.2756122539889</v>
      </c>
      <c r="BN994" s="2">
        <v>15.1686791686446</v>
      </c>
      <c r="BO994" s="2">
        <v>17.969960472065502</v>
      </c>
      <c r="BP994" s="2">
        <v>17.566329543062999</v>
      </c>
      <c r="BQ994" s="2">
        <v>9.6233145402724691</v>
      </c>
      <c r="BR994" s="2">
        <v>9.6233145402724691</v>
      </c>
      <c r="BS994" s="2">
        <v>9.6233145402724691</v>
      </c>
      <c r="BT994" s="2">
        <v>9.6233145402724691</v>
      </c>
      <c r="BU994" s="2">
        <v>9.6233145402724691</v>
      </c>
      <c r="BV994" s="2">
        <v>16.233754286568502</v>
      </c>
      <c r="BW994" s="2">
        <v>9.6233145402724691</v>
      </c>
      <c r="BX994" s="2">
        <v>9.6233145402724691</v>
      </c>
      <c r="BY994" s="2">
        <v>9.6233145402724691</v>
      </c>
      <c r="BZ994" s="2">
        <v>9.6233145402724691</v>
      </c>
      <c r="CA994" s="2">
        <v>9.6233145402724691</v>
      </c>
      <c r="CB994" s="2">
        <v>9.6233145402724691</v>
      </c>
      <c r="CC994" s="2">
        <v>17.439352535442499</v>
      </c>
      <c r="CD994" s="2">
        <v>18.424067150987099</v>
      </c>
      <c r="CE994" s="2">
        <v>17.662417970881702</v>
      </c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</row>
    <row r="995" spans="1:97">
      <c r="A995" s="2" t="s">
        <v>9164</v>
      </c>
      <c r="B995" s="2">
        <v>232.05864</v>
      </c>
      <c r="C995" s="2">
        <v>1.8089999999999999</v>
      </c>
      <c r="D995" s="2" t="s">
        <v>146</v>
      </c>
      <c r="E995" s="2" t="s">
        <v>9165</v>
      </c>
      <c r="F995" s="2" t="s">
        <v>9166</v>
      </c>
      <c r="G995" s="2">
        <v>200053</v>
      </c>
      <c r="H995" s="3" t="str">
        <f>HYPERLINK("https://cloud.oebiotech.com/#/lm/network/200053", "https://cloud.oebiotech.com/#/lm/network/200053")</f>
        <v>https://cloud.oebiotech.com/#/lm/network/200053</v>
      </c>
      <c r="I995" s="2" t="s">
        <v>9167</v>
      </c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 t="s">
        <v>9168</v>
      </c>
      <c r="U995" s="2" t="s">
        <v>9169</v>
      </c>
      <c r="V995" s="2" t="s">
        <v>9170</v>
      </c>
      <c r="W995" s="2" t="s">
        <v>9171</v>
      </c>
      <c r="X995" s="2" t="s">
        <v>9172</v>
      </c>
      <c r="Y995" s="2" t="s">
        <v>9173</v>
      </c>
      <c r="Z995" s="2" t="s">
        <v>9174</v>
      </c>
      <c r="AA995" s="2" t="s">
        <v>9175</v>
      </c>
      <c r="AB995" s="2" t="s">
        <v>3086</v>
      </c>
      <c r="AC995" s="2">
        <v>51.06</v>
      </c>
      <c r="AD995" s="2">
        <v>94.54</v>
      </c>
      <c r="AE995" s="2">
        <v>0</v>
      </c>
      <c r="AF995" s="2" t="s">
        <v>5614</v>
      </c>
      <c r="AG995" s="2" t="s">
        <v>157</v>
      </c>
      <c r="AH995" s="2" t="s">
        <v>7992</v>
      </c>
      <c r="AI995" s="2">
        <v>-4.74</v>
      </c>
      <c r="AJ995" s="2">
        <v>19.5470062996779</v>
      </c>
      <c r="AK995" s="2">
        <v>19.543466657288899</v>
      </c>
      <c r="AL995" s="2">
        <v>19.2502608472338</v>
      </c>
      <c r="AM995" s="2">
        <v>19.192038663512399</v>
      </c>
      <c r="AN995" s="2">
        <v>19.508951974864399</v>
      </c>
      <c r="AO995" s="2">
        <v>19.168251154791498</v>
      </c>
      <c r="AP995" s="2">
        <v>18.883669198062499</v>
      </c>
      <c r="AQ995" s="2">
        <v>19.480869940226</v>
      </c>
      <c r="AR995" s="2">
        <v>18.923101292089001</v>
      </c>
      <c r="AS995" s="2">
        <v>18.4310468957007</v>
      </c>
      <c r="AT995" s="2">
        <v>18.393150560957199</v>
      </c>
      <c r="AU995" s="2">
        <v>19.212871017194999</v>
      </c>
      <c r="AV995" s="2">
        <v>19.882827878644999</v>
      </c>
      <c r="AW995" s="2">
        <v>18.8415492683929</v>
      </c>
      <c r="AX995" s="2">
        <v>19.157926138476999</v>
      </c>
      <c r="AY995" s="2">
        <v>19.294500652417302</v>
      </c>
      <c r="AZ995" s="2">
        <v>19.425490870343701</v>
      </c>
      <c r="BA995" s="2">
        <v>19.093513120168002</v>
      </c>
      <c r="BB995" s="2">
        <v>19.277665148988401</v>
      </c>
      <c r="BC995" s="2">
        <v>19.374343203590001</v>
      </c>
      <c r="BD995" s="2">
        <v>18.8972512108089</v>
      </c>
      <c r="BE995" s="2">
        <v>19.662164723159101</v>
      </c>
      <c r="BF995" s="2">
        <v>19.3096383717102</v>
      </c>
      <c r="BG995" s="2">
        <v>19.7185748325467</v>
      </c>
      <c r="BH995" s="2">
        <v>19.724919424190801</v>
      </c>
      <c r="BI995" s="2">
        <v>19.198420676583002</v>
      </c>
      <c r="BJ995" s="2">
        <v>19.674667243534799</v>
      </c>
      <c r="BK995" s="2">
        <v>19.0310799900058</v>
      </c>
      <c r="BL995" s="2">
        <v>18.832774116616701</v>
      </c>
      <c r="BM995" s="2">
        <v>20.078338225072699</v>
      </c>
      <c r="BN995" s="2">
        <v>19.765446154367801</v>
      </c>
      <c r="BO995" s="2">
        <v>19.147651374504498</v>
      </c>
      <c r="BP995" s="2">
        <v>19.2487139093429</v>
      </c>
      <c r="BQ995" s="2">
        <v>19.192122173130102</v>
      </c>
      <c r="BR995" s="2">
        <v>18.852295565755998</v>
      </c>
      <c r="BS995" s="2">
        <v>19.6578715325135</v>
      </c>
      <c r="BT995" s="2">
        <v>18.906519777209599</v>
      </c>
      <c r="BU995" s="2">
        <v>19.168432429176999</v>
      </c>
      <c r="BV995" s="2">
        <v>19.2794024187567</v>
      </c>
      <c r="BW995" s="2">
        <v>18.181498987018099</v>
      </c>
      <c r="BX995" s="2">
        <v>19.1124197543006</v>
      </c>
      <c r="BY995" s="2">
        <v>19.9806587339109</v>
      </c>
      <c r="BZ995" s="2">
        <v>19.7168749616696</v>
      </c>
      <c r="CA995" s="2">
        <v>20.3887501908589</v>
      </c>
      <c r="CB995" s="2">
        <v>19.233663697795901</v>
      </c>
      <c r="CC995" s="2">
        <v>19.263893489981701</v>
      </c>
      <c r="CD995" s="2">
        <v>19.838534737090299</v>
      </c>
      <c r="CE995" s="2">
        <v>19.305040500811099</v>
      </c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</row>
    <row r="996" spans="1:97">
      <c r="A996" s="2" t="s">
        <v>9176</v>
      </c>
      <c r="B996" s="2">
        <v>360.27388999999999</v>
      </c>
      <c r="C996" s="2">
        <v>7.2409999999999997</v>
      </c>
      <c r="D996" s="2" t="s">
        <v>84</v>
      </c>
      <c r="E996" s="2" t="s">
        <v>9177</v>
      </c>
      <c r="F996" s="2" t="s">
        <v>9178</v>
      </c>
      <c r="G996" s="2">
        <v>8321</v>
      </c>
      <c r="H996" s="3" t="str">
        <f>HYPERLINK("https://cloud.oebiotech.com/#/lm/network/8321", "https://cloud.oebiotech.com/#/lm/network/8321")</f>
        <v>https://cloud.oebiotech.com/#/lm/network/8321</v>
      </c>
      <c r="I996" s="2" t="s">
        <v>9179</v>
      </c>
      <c r="J996" s="2"/>
      <c r="K996" s="2" t="s">
        <v>9180</v>
      </c>
      <c r="L996" s="2">
        <v>71464535</v>
      </c>
      <c r="M996" s="2"/>
      <c r="N996" s="2"/>
      <c r="O996" s="2"/>
      <c r="P996" s="2">
        <v>73056</v>
      </c>
      <c r="Q996" s="2"/>
      <c r="R996" s="2"/>
      <c r="S996" s="2"/>
      <c r="T996" s="2" t="s">
        <v>9181</v>
      </c>
      <c r="U996" s="2" t="s">
        <v>9182</v>
      </c>
      <c r="V996" s="2" t="s">
        <v>95</v>
      </c>
      <c r="W996" s="2" t="s">
        <v>96</v>
      </c>
      <c r="X996" s="2" t="s">
        <v>97</v>
      </c>
      <c r="Y996" s="2" t="s">
        <v>98</v>
      </c>
      <c r="Z996" s="2" t="s">
        <v>99</v>
      </c>
      <c r="AA996" s="2" t="s">
        <v>100</v>
      </c>
      <c r="AB996" s="2" t="s">
        <v>3086</v>
      </c>
      <c r="AC996" s="2">
        <v>51</v>
      </c>
      <c r="AD996" s="2">
        <v>87.56</v>
      </c>
      <c r="AE996" s="2">
        <v>0</v>
      </c>
      <c r="AF996" s="2" t="s">
        <v>5614</v>
      </c>
      <c r="AG996" s="2" t="s">
        <v>103</v>
      </c>
      <c r="AH996" s="2" t="s">
        <v>5310</v>
      </c>
      <c r="AI996" s="2">
        <v>1.39</v>
      </c>
      <c r="AJ996" s="2">
        <v>18.477061007727599</v>
      </c>
      <c r="AK996" s="2">
        <v>18.491135562235598</v>
      </c>
      <c r="AL996" s="2">
        <v>18.853598735598499</v>
      </c>
      <c r="AM996" s="2">
        <v>18.546906778133799</v>
      </c>
      <c r="AN996" s="2">
        <v>18.832680273257601</v>
      </c>
      <c r="AO996" s="2">
        <v>18.413045005182099</v>
      </c>
      <c r="AP996" s="2">
        <v>18.807922420002999</v>
      </c>
      <c r="AQ996" s="2">
        <v>18.478170754956601</v>
      </c>
      <c r="AR996" s="2">
        <v>17.288647573940199</v>
      </c>
      <c r="AS996" s="2">
        <v>17.469109006517801</v>
      </c>
      <c r="AT996" s="2">
        <v>18.237038690316801</v>
      </c>
      <c r="AU996" s="2">
        <v>17.577838968271202</v>
      </c>
      <c r="AV996" s="2">
        <v>17.028892092723598</v>
      </c>
      <c r="AW996" s="2">
        <v>17.707594375950698</v>
      </c>
      <c r="AX996" s="2">
        <v>17.649784262424301</v>
      </c>
      <c r="AY996" s="2">
        <v>18.009561574693102</v>
      </c>
      <c r="AZ996" s="2">
        <v>13.88494509181</v>
      </c>
      <c r="BA996" s="2">
        <v>18.920698041064501</v>
      </c>
      <c r="BB996" s="2">
        <v>19.0632200006334</v>
      </c>
      <c r="BC996" s="2">
        <v>19.4994721152379</v>
      </c>
      <c r="BD996" s="2">
        <v>15.9027827934774</v>
      </c>
      <c r="BE996" s="2">
        <v>18.6420803640064</v>
      </c>
      <c r="BF996" s="2">
        <v>18.041400824588798</v>
      </c>
      <c r="BG996" s="2">
        <v>19.517628216673501</v>
      </c>
      <c r="BH996" s="2">
        <v>17.336148770592999</v>
      </c>
      <c r="BI996" s="2">
        <v>19.748437892312602</v>
      </c>
      <c r="BJ996" s="2">
        <v>18.148044890808801</v>
      </c>
      <c r="BK996" s="2">
        <v>16.682829621949601</v>
      </c>
      <c r="BL996" s="2">
        <v>19.342317934686701</v>
      </c>
      <c r="BM996" s="2">
        <v>17.964376575948201</v>
      </c>
      <c r="BN996" s="2">
        <v>17.737253615716099</v>
      </c>
      <c r="BO996" s="2">
        <v>19.084349091859501</v>
      </c>
      <c r="BP996" s="2">
        <v>18.560258973322199</v>
      </c>
      <c r="BQ996" s="2">
        <v>19.0411443233257</v>
      </c>
      <c r="BR996" s="2">
        <v>18.551714869552502</v>
      </c>
      <c r="BS996" s="2">
        <v>17.1591226617406</v>
      </c>
      <c r="BT996" s="2">
        <v>18.0996489740239</v>
      </c>
      <c r="BU996" s="2">
        <v>18.848670982195799</v>
      </c>
      <c r="BV996" s="2">
        <v>19.157484634040799</v>
      </c>
      <c r="BW996" s="2">
        <v>18.694707540041801</v>
      </c>
      <c r="BX996" s="2">
        <v>18.086314871075398</v>
      </c>
      <c r="BY996" s="2">
        <v>17.059383333292701</v>
      </c>
      <c r="BZ996" s="2">
        <v>19.3317109276508</v>
      </c>
      <c r="CA996" s="2">
        <v>18.454406738201001</v>
      </c>
      <c r="CB996" s="2">
        <v>18.137895265799699</v>
      </c>
      <c r="CC996" s="2">
        <v>19.3809923049253</v>
      </c>
      <c r="CD996" s="2">
        <v>17.676196901835599</v>
      </c>
      <c r="CE996" s="2">
        <v>18.834317685117799</v>
      </c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</row>
    <row r="997" spans="1:97">
      <c r="A997" s="2" t="s">
        <v>9183</v>
      </c>
      <c r="B997" s="2">
        <v>172.13296</v>
      </c>
      <c r="C997" s="2">
        <v>4.8719999999999999</v>
      </c>
      <c r="D997" s="2" t="s">
        <v>84</v>
      </c>
      <c r="E997" s="2" t="s">
        <v>9184</v>
      </c>
      <c r="F997" s="2" t="s">
        <v>9185</v>
      </c>
      <c r="G997" s="2">
        <v>200430</v>
      </c>
      <c r="H997" s="3" t="str">
        <f>HYPERLINK("https://cloud.oebiotech.com/#/lm/network/200430", "https://cloud.oebiotech.com/#/lm/network/200430")</f>
        <v>https://cloud.oebiotech.com/#/lm/network/200430</v>
      </c>
      <c r="I997" s="2" t="s">
        <v>9186</v>
      </c>
      <c r="J997" s="2"/>
      <c r="K997" s="2"/>
      <c r="L997" s="2">
        <v>95475</v>
      </c>
      <c r="M997" s="2"/>
      <c r="N997" s="2"/>
      <c r="O997" s="2"/>
      <c r="P997" s="2"/>
      <c r="Q997" s="2"/>
      <c r="R997" s="2"/>
      <c r="S997" s="2"/>
      <c r="T997" s="2" t="s">
        <v>9187</v>
      </c>
      <c r="U997" s="2" t="s">
        <v>9188</v>
      </c>
      <c r="V997" s="2" t="s">
        <v>115</v>
      </c>
      <c r="W997" s="2" t="s">
        <v>116</v>
      </c>
      <c r="X997" s="2" t="s">
        <v>117</v>
      </c>
      <c r="Y997" s="2" t="s">
        <v>118</v>
      </c>
      <c r="Z997" s="2" t="s">
        <v>119</v>
      </c>
      <c r="AA997" s="2" t="s">
        <v>120</v>
      </c>
      <c r="AB997" s="2" t="s">
        <v>5118</v>
      </c>
      <c r="AC997" s="2">
        <v>50.94</v>
      </c>
      <c r="AD997" s="2">
        <v>99.01</v>
      </c>
      <c r="AE997" s="2">
        <v>70.599999999999994</v>
      </c>
      <c r="AF997" s="2" t="s">
        <v>9189</v>
      </c>
      <c r="AG997" s="2" t="s">
        <v>103</v>
      </c>
      <c r="AH997" s="2" t="s">
        <v>9190</v>
      </c>
      <c r="AI997" s="2">
        <v>1.1599999999999999</v>
      </c>
      <c r="AJ997" s="2">
        <v>28.1342836597649</v>
      </c>
      <c r="AK997" s="2">
        <v>28.338148234498501</v>
      </c>
      <c r="AL997" s="2">
        <v>28.2323302109011</v>
      </c>
      <c r="AM997" s="2">
        <v>28.498545507185899</v>
      </c>
      <c r="AN997" s="2">
        <v>28.557573061309601</v>
      </c>
      <c r="AO997" s="2">
        <v>28.490572708500601</v>
      </c>
      <c r="AP997" s="2">
        <v>28.409030193971201</v>
      </c>
      <c r="AQ997" s="2">
        <v>28.905759958203902</v>
      </c>
      <c r="AR997" s="2">
        <v>28.145834315930198</v>
      </c>
      <c r="AS997" s="2">
        <v>28.168627703310001</v>
      </c>
      <c r="AT997" s="2">
        <v>28.353176099362098</v>
      </c>
      <c r="AU997" s="2">
        <v>28.311762386564901</v>
      </c>
      <c r="AV997" s="2">
        <v>28.134541350998699</v>
      </c>
      <c r="AW997" s="2">
        <v>28.378558896169</v>
      </c>
      <c r="AX997" s="2">
        <v>28.154443828430299</v>
      </c>
      <c r="AY997" s="2">
        <v>28.397416787021299</v>
      </c>
      <c r="AZ997" s="2">
        <v>28.234819268901401</v>
      </c>
      <c r="BA997" s="2">
        <v>28.077957298270199</v>
      </c>
      <c r="BB997" s="2">
        <v>28.391584705183099</v>
      </c>
      <c r="BC997" s="2">
        <v>28.523322675072599</v>
      </c>
      <c r="BD997" s="2">
        <v>28.524804373833899</v>
      </c>
      <c r="BE997" s="2">
        <v>28.304346676565501</v>
      </c>
      <c r="BF997" s="2">
        <v>28.266141609260099</v>
      </c>
      <c r="BG997" s="2">
        <v>28.471600542262799</v>
      </c>
      <c r="BH997" s="2">
        <v>28.4652075415325</v>
      </c>
      <c r="BI997" s="2">
        <v>28.394794201904201</v>
      </c>
      <c r="BJ997" s="2">
        <v>28.352798821792401</v>
      </c>
      <c r="BK997" s="2">
        <v>28.351748228797</v>
      </c>
      <c r="BL997" s="2">
        <v>28.5641135434281</v>
      </c>
      <c r="BM997" s="2">
        <v>28.4746342291999</v>
      </c>
      <c r="BN997" s="2">
        <v>28.475927240540202</v>
      </c>
      <c r="BO997" s="2">
        <v>28.621550087987899</v>
      </c>
      <c r="BP997" s="2">
        <v>28.510240563362199</v>
      </c>
      <c r="BQ997" s="2">
        <v>28.598462782107301</v>
      </c>
      <c r="BR997" s="2">
        <v>28.4302746902625</v>
      </c>
      <c r="BS997" s="2">
        <v>28.364022730098799</v>
      </c>
      <c r="BT997" s="2">
        <v>28.3480513147008</v>
      </c>
      <c r="BU997" s="2">
        <v>28.448246733598399</v>
      </c>
      <c r="BV997" s="2">
        <v>28.449348534673199</v>
      </c>
      <c r="BW997" s="2">
        <v>28.656819470166301</v>
      </c>
      <c r="BX997" s="2">
        <v>28.665364935094001</v>
      </c>
      <c r="BY997" s="2">
        <v>28.466014290155801</v>
      </c>
      <c r="BZ997" s="2">
        <v>28.593694181765901</v>
      </c>
      <c r="CA997" s="2">
        <v>28.2737285131515</v>
      </c>
      <c r="CB997" s="2">
        <v>28.702459403823202</v>
      </c>
      <c r="CC997" s="2">
        <v>28.544794679140299</v>
      </c>
      <c r="CD997" s="2">
        <v>28.451826834178199</v>
      </c>
      <c r="CE997" s="2">
        <v>28.5915435558281</v>
      </c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</row>
    <row r="998" spans="1:97">
      <c r="A998" s="2" t="s">
        <v>9191</v>
      </c>
      <c r="B998" s="2">
        <v>331.12916999999999</v>
      </c>
      <c r="C998" s="2">
        <v>5.524</v>
      </c>
      <c r="D998" s="2" t="s">
        <v>146</v>
      </c>
      <c r="E998" s="2" t="s">
        <v>9192</v>
      </c>
      <c r="F998" s="2" t="s">
        <v>9193</v>
      </c>
      <c r="G998" s="2">
        <v>62654</v>
      </c>
      <c r="H998" s="3" t="str">
        <f>HYPERLINK("https://cloud.oebiotech.com/#/lm/network/62654", "https://cloud.oebiotech.com/#/lm/network/62654")</f>
        <v>https://cloud.oebiotech.com/#/lm/network/62654</v>
      </c>
      <c r="I998" s="2" t="s">
        <v>9194</v>
      </c>
      <c r="J998" s="2"/>
      <c r="K998" s="2"/>
      <c r="L998" s="2">
        <v>131752623</v>
      </c>
      <c r="M998" s="2"/>
      <c r="N998" s="2"/>
      <c r="O998" s="2"/>
      <c r="P998" s="2"/>
      <c r="Q998" s="2"/>
      <c r="R998" s="2"/>
      <c r="S998" s="2"/>
      <c r="T998" s="2" t="s">
        <v>9195</v>
      </c>
      <c r="U998" s="2" t="s">
        <v>9196</v>
      </c>
      <c r="V998" s="2" t="s">
        <v>95</v>
      </c>
      <c r="W998" s="2" t="s">
        <v>180</v>
      </c>
      <c r="X998" s="2" t="s">
        <v>181</v>
      </c>
      <c r="Y998" s="2" t="s">
        <v>98</v>
      </c>
      <c r="Z998" s="2" t="s">
        <v>182</v>
      </c>
      <c r="AA998" s="2" t="s">
        <v>183</v>
      </c>
      <c r="AB998" s="2" t="s">
        <v>3086</v>
      </c>
      <c r="AC998" s="2">
        <v>50.94</v>
      </c>
      <c r="AD998" s="2">
        <v>70.09</v>
      </c>
      <c r="AE998" s="2">
        <v>32.157857142857097</v>
      </c>
      <c r="AF998" s="2" t="s">
        <v>9197</v>
      </c>
      <c r="AG998" s="2" t="s">
        <v>4062</v>
      </c>
      <c r="AH998" s="2" t="s">
        <v>9198</v>
      </c>
      <c r="AI998" s="2">
        <v>7.85</v>
      </c>
      <c r="AJ998" s="2">
        <v>17.073769825562501</v>
      </c>
      <c r="AK998" s="2">
        <v>17.4779206047643</v>
      </c>
      <c r="AL998" s="2">
        <v>17.201171689207101</v>
      </c>
      <c r="AM998" s="2">
        <v>17.706659914578001</v>
      </c>
      <c r="AN998" s="2">
        <v>17.396458032609299</v>
      </c>
      <c r="AO998" s="2">
        <v>17.5457451230644</v>
      </c>
      <c r="AP998" s="2">
        <v>17.724599715753399</v>
      </c>
      <c r="AQ998" s="2">
        <v>17.663675813146298</v>
      </c>
      <c r="AR998" s="2">
        <v>14.737557907388201</v>
      </c>
      <c r="AS998" s="2">
        <v>16.6370971911476</v>
      </c>
      <c r="AT998" s="2">
        <v>17.016355633778801</v>
      </c>
      <c r="AU998" s="2">
        <v>13.8410178283949</v>
      </c>
      <c r="AV998" s="2">
        <v>16.808707066407901</v>
      </c>
      <c r="AW998" s="2">
        <v>17.204495779039998</v>
      </c>
      <c r="AX998" s="2">
        <v>17.2527629884476</v>
      </c>
      <c r="AY998" s="2">
        <v>15.404977208914</v>
      </c>
      <c r="AZ998" s="2">
        <v>14.400758717565701</v>
      </c>
      <c r="BA998" s="2">
        <v>16.358808454871902</v>
      </c>
      <c r="BB998" s="2">
        <v>17.648259123702299</v>
      </c>
      <c r="BC998" s="2">
        <v>17.938881376445501</v>
      </c>
      <c r="BD998" s="2">
        <v>16.343588779396502</v>
      </c>
      <c r="BE998" s="2">
        <v>18.7469975899999</v>
      </c>
      <c r="BF998" s="2">
        <v>16.430280045206199</v>
      </c>
      <c r="BG998" s="2">
        <v>18.344307265626501</v>
      </c>
      <c r="BH998" s="2">
        <v>17.5874660090359</v>
      </c>
      <c r="BI998" s="2">
        <v>17.849857949118999</v>
      </c>
      <c r="BJ998" s="2">
        <v>17.949199714693499</v>
      </c>
      <c r="BK998" s="2">
        <v>17.086800618400101</v>
      </c>
      <c r="BL998" s="2">
        <v>16.445589926968999</v>
      </c>
      <c r="BM998" s="2">
        <v>14.2186517748707</v>
      </c>
      <c r="BN998" s="2">
        <v>17.362819241619501</v>
      </c>
      <c r="BO998" s="2">
        <v>17.720893450575499</v>
      </c>
      <c r="BP998" s="2">
        <v>17.604430885529698</v>
      </c>
      <c r="BQ998" s="2">
        <v>15.820565418067799</v>
      </c>
      <c r="BR998" s="2">
        <v>18.388432109871601</v>
      </c>
      <c r="BS998" s="2">
        <v>17.258836513853399</v>
      </c>
      <c r="BT998" s="2">
        <v>15.8424905495072</v>
      </c>
      <c r="BU998" s="2">
        <v>17.0868926493992</v>
      </c>
      <c r="BV998" s="2">
        <v>17.083088683049102</v>
      </c>
      <c r="BW998" s="2">
        <v>16.418831149814999</v>
      </c>
      <c r="BX998" s="2">
        <v>15.229562388408199</v>
      </c>
      <c r="BY998" s="2">
        <v>19.082407036024001</v>
      </c>
      <c r="BZ998" s="2">
        <v>14.4555282228382</v>
      </c>
      <c r="CA998" s="2">
        <v>17.1709180191746</v>
      </c>
      <c r="CB998" s="2">
        <v>18.265899450069501</v>
      </c>
      <c r="CC998" s="2">
        <v>16.623074433917001</v>
      </c>
      <c r="CD998" s="2">
        <v>18.772975767164599</v>
      </c>
      <c r="CE998" s="2">
        <v>17.417267092215202</v>
      </c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</row>
    <row r="999" spans="1:97">
      <c r="A999" s="2" t="s">
        <v>9199</v>
      </c>
      <c r="B999" s="2">
        <v>487.32080999999999</v>
      </c>
      <c r="C999" s="2">
        <v>8.8010000000000002</v>
      </c>
      <c r="D999" s="2" t="s">
        <v>146</v>
      </c>
      <c r="E999" s="2" t="s">
        <v>9200</v>
      </c>
      <c r="F999" s="2" t="s">
        <v>9201</v>
      </c>
      <c r="G999" s="2">
        <v>43649</v>
      </c>
      <c r="H999" s="3" t="str">
        <f>HYPERLINK("https://cloud.oebiotech.com/#/lm/network/43649", "https://cloud.oebiotech.com/#/lm/network/43649")</f>
        <v>https://cloud.oebiotech.com/#/lm/network/43649</v>
      </c>
      <c r="I999" s="2"/>
      <c r="J999" s="2">
        <v>83924</v>
      </c>
      <c r="K999" s="2" t="s">
        <v>9202</v>
      </c>
      <c r="L999" s="2">
        <v>52931335</v>
      </c>
      <c r="M999" s="2"/>
      <c r="N999" s="2"/>
      <c r="O999" s="2"/>
      <c r="P999" s="2"/>
      <c r="Q999" s="2"/>
      <c r="R999" s="2"/>
      <c r="S999" s="2"/>
      <c r="T999" s="2" t="s">
        <v>9203</v>
      </c>
      <c r="U999" s="2" t="s">
        <v>9204</v>
      </c>
      <c r="V999" s="2" t="s">
        <v>95</v>
      </c>
      <c r="W999" s="2" t="s">
        <v>152</v>
      </c>
      <c r="X999" s="2" t="s">
        <v>278</v>
      </c>
      <c r="Y999" s="2" t="s">
        <v>98</v>
      </c>
      <c r="Z999" s="2" t="s">
        <v>154</v>
      </c>
      <c r="AA999" s="2" t="s">
        <v>279</v>
      </c>
      <c r="AB999" s="2" t="s">
        <v>3086</v>
      </c>
      <c r="AC999" s="2">
        <v>50.92</v>
      </c>
      <c r="AD999" s="2">
        <v>60.39</v>
      </c>
      <c r="AE999" s="2">
        <v>32.183571428571398</v>
      </c>
      <c r="AF999" s="2" t="s">
        <v>9205</v>
      </c>
      <c r="AG999" s="2" t="s">
        <v>4062</v>
      </c>
      <c r="AH999" s="2" t="s">
        <v>9206</v>
      </c>
      <c r="AI999" s="2">
        <v>-2.46</v>
      </c>
      <c r="AJ999" s="2">
        <v>18.858638222399101</v>
      </c>
      <c r="AK999" s="2">
        <v>18.376461997505299</v>
      </c>
      <c r="AL999" s="2">
        <v>18.849673687483399</v>
      </c>
      <c r="AM999" s="2">
        <v>18.846256126115499</v>
      </c>
      <c r="AN999" s="2">
        <v>18.7035577308922</v>
      </c>
      <c r="AO999" s="2">
        <v>18.6459349055799</v>
      </c>
      <c r="AP999" s="2">
        <v>18.868185509129301</v>
      </c>
      <c r="AQ999" s="2">
        <v>18.578313533695098</v>
      </c>
      <c r="AR999" s="2">
        <v>18.397772844024601</v>
      </c>
      <c r="AS999" s="2">
        <v>18.3915113675274</v>
      </c>
      <c r="AT999" s="2">
        <v>18.567578542203599</v>
      </c>
      <c r="AU999" s="2">
        <v>18.728050570898901</v>
      </c>
      <c r="AV999" s="2">
        <v>18.683855664248899</v>
      </c>
      <c r="AW999" s="2">
        <v>18.768400358698099</v>
      </c>
      <c r="AX999" s="2">
        <v>18.577215894127001</v>
      </c>
      <c r="AY999" s="2">
        <v>18.8658400278327</v>
      </c>
      <c r="AZ999" s="2">
        <v>18.515753497978299</v>
      </c>
      <c r="BA999" s="2">
        <v>18.4514816722882</v>
      </c>
      <c r="BB999" s="2">
        <v>18.797709047131701</v>
      </c>
      <c r="BC999" s="2">
        <v>18.794991933239999</v>
      </c>
      <c r="BD999" s="2">
        <v>18.6402576478825</v>
      </c>
      <c r="BE999" s="2">
        <v>18.692547499195101</v>
      </c>
      <c r="BF999" s="2">
        <v>18.756722251577699</v>
      </c>
      <c r="BG999" s="2">
        <v>18.6509404833558</v>
      </c>
      <c r="BH999" s="2">
        <v>18.887666568486502</v>
      </c>
      <c r="BI999" s="2">
        <v>18.068030878539499</v>
      </c>
      <c r="BJ999" s="2">
        <v>18.879103821085</v>
      </c>
      <c r="BK999" s="2">
        <v>18.677216037606399</v>
      </c>
      <c r="BL999" s="2">
        <v>18.737955324321401</v>
      </c>
      <c r="BM999" s="2">
        <v>18.4811796269762</v>
      </c>
      <c r="BN999" s="2">
        <v>18.687823038729501</v>
      </c>
      <c r="BO999" s="2">
        <v>18.847152522789301</v>
      </c>
      <c r="BP999" s="2">
        <v>18.517198441040598</v>
      </c>
      <c r="BQ999" s="2">
        <v>18.8465051912669</v>
      </c>
      <c r="BR999" s="2">
        <v>18.483442690164299</v>
      </c>
      <c r="BS999" s="2">
        <v>18.515147497062099</v>
      </c>
      <c r="BT999" s="2">
        <v>18.679690351213399</v>
      </c>
      <c r="BU999" s="2">
        <v>18.443054299343402</v>
      </c>
      <c r="BV999" s="2">
        <v>18.6891528724091</v>
      </c>
      <c r="BW999" s="2">
        <v>18.420953704135702</v>
      </c>
      <c r="BX999" s="2">
        <v>18.5927938886059</v>
      </c>
      <c r="BY999" s="2">
        <v>18.5880858811135</v>
      </c>
      <c r="BZ999" s="2">
        <v>18.639558834774999</v>
      </c>
      <c r="CA999" s="2">
        <v>18.8256784732</v>
      </c>
      <c r="CB999" s="2">
        <v>18.816998305541698</v>
      </c>
      <c r="CC999" s="2">
        <v>18.771795715663</v>
      </c>
      <c r="CD999" s="2">
        <v>18.6773310200265</v>
      </c>
      <c r="CE999" s="2">
        <v>18.472393922280801</v>
      </c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</row>
    <row r="1000" spans="1:97">
      <c r="A1000" s="2" t="s">
        <v>9207</v>
      </c>
      <c r="B1000" s="2">
        <v>529.13896</v>
      </c>
      <c r="C1000" s="2">
        <v>0.79600000000000004</v>
      </c>
      <c r="D1000" s="2" t="s">
        <v>146</v>
      </c>
      <c r="E1000" s="2" t="s">
        <v>9208</v>
      </c>
      <c r="F1000" s="2" t="s">
        <v>9209</v>
      </c>
      <c r="G1000" s="2">
        <v>204566</v>
      </c>
      <c r="H1000" s="3" t="str">
        <f>HYPERLINK("https://cloud.oebiotech.com/#/lm/network/204566", "https://cloud.oebiotech.com/#/lm/network/204566")</f>
        <v>https://cloud.oebiotech.com/#/lm/network/204566</v>
      </c>
      <c r="I1000" s="2" t="s">
        <v>9210</v>
      </c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 t="s">
        <v>9211</v>
      </c>
      <c r="U1000" s="2" t="s">
        <v>9212</v>
      </c>
      <c r="V1000" s="2" t="s">
        <v>95</v>
      </c>
      <c r="W1000" s="2" t="s">
        <v>96</v>
      </c>
      <c r="X1000" s="2" t="s">
        <v>2173</v>
      </c>
      <c r="Y1000" s="2" t="s">
        <v>98</v>
      </c>
      <c r="Z1000" s="2" t="s">
        <v>99</v>
      </c>
      <c r="AA1000" s="2" t="s">
        <v>2174</v>
      </c>
      <c r="AB1000" s="2" t="s">
        <v>3086</v>
      </c>
      <c r="AC1000" s="2">
        <v>50.89</v>
      </c>
      <c r="AD1000" s="2">
        <v>86.02</v>
      </c>
      <c r="AE1000" s="2">
        <v>0</v>
      </c>
      <c r="AF1000" s="2" t="s">
        <v>5614</v>
      </c>
      <c r="AG1000" s="2" t="s">
        <v>993</v>
      </c>
      <c r="AH1000" s="2" t="s">
        <v>9213</v>
      </c>
      <c r="AI1000" s="2">
        <v>2.83</v>
      </c>
      <c r="AJ1000" s="2">
        <v>18.951688224918701</v>
      </c>
      <c r="AK1000" s="2">
        <v>19.7730913844509</v>
      </c>
      <c r="AL1000" s="2">
        <v>19.098184763739901</v>
      </c>
      <c r="AM1000" s="2">
        <v>18.9907054877986</v>
      </c>
      <c r="AN1000" s="2">
        <v>19.431685470147499</v>
      </c>
      <c r="AO1000" s="2">
        <v>19.4664738020019</v>
      </c>
      <c r="AP1000" s="2">
        <v>18.876434509631899</v>
      </c>
      <c r="AQ1000" s="2">
        <v>19.382244581148701</v>
      </c>
      <c r="AR1000" s="2">
        <v>18.4822189612998</v>
      </c>
      <c r="AS1000" s="2">
        <v>17.689240660717701</v>
      </c>
      <c r="AT1000" s="2">
        <v>18.558317790215799</v>
      </c>
      <c r="AU1000" s="2">
        <v>19.301969242728099</v>
      </c>
      <c r="AV1000" s="2">
        <v>17.443764462217899</v>
      </c>
      <c r="AW1000" s="2">
        <v>18.028011038114801</v>
      </c>
      <c r="AX1000" s="2">
        <v>16.137451890507201</v>
      </c>
      <c r="AY1000" s="2">
        <v>19.213889727430999</v>
      </c>
      <c r="AZ1000" s="2">
        <v>19.335463414055798</v>
      </c>
      <c r="BA1000" s="2">
        <v>18.639051306773201</v>
      </c>
      <c r="BB1000" s="2">
        <v>20.418795107269698</v>
      </c>
      <c r="BC1000" s="2">
        <v>20.384394089476</v>
      </c>
      <c r="BD1000" s="2">
        <v>18.891674844448598</v>
      </c>
      <c r="BE1000" s="2">
        <v>18.374351461391701</v>
      </c>
      <c r="BF1000" s="2">
        <v>18.678784700274999</v>
      </c>
      <c r="BG1000" s="2">
        <v>19.904861921009399</v>
      </c>
      <c r="BH1000" s="2">
        <v>17.505592550156202</v>
      </c>
      <c r="BI1000" s="2">
        <v>18.095054368818499</v>
      </c>
      <c r="BJ1000" s="2">
        <v>16.347132383154499</v>
      </c>
      <c r="BK1000" s="2">
        <v>17.677805651401702</v>
      </c>
      <c r="BL1000" s="2">
        <v>17.815314429399901</v>
      </c>
      <c r="BM1000" s="2">
        <v>19.418553778099199</v>
      </c>
      <c r="BN1000" s="2">
        <v>17.843550616508999</v>
      </c>
      <c r="BO1000" s="2">
        <v>9.6233145402724691</v>
      </c>
      <c r="BP1000" s="2">
        <v>17.799902344736299</v>
      </c>
      <c r="BQ1000" s="2">
        <v>17.8146097514894</v>
      </c>
      <c r="BR1000" s="2">
        <v>18.278955704745901</v>
      </c>
      <c r="BS1000" s="2">
        <v>17.328948263956601</v>
      </c>
      <c r="BT1000" s="2">
        <v>20.4468302915758</v>
      </c>
      <c r="BU1000" s="2">
        <v>18.248742025031799</v>
      </c>
      <c r="BV1000" s="2">
        <v>20.7184974654581</v>
      </c>
      <c r="BW1000" s="2">
        <v>19.753505989915599</v>
      </c>
      <c r="BX1000" s="2">
        <v>18.624345899862899</v>
      </c>
      <c r="BY1000" s="2">
        <v>16.928175865707999</v>
      </c>
      <c r="BZ1000" s="2">
        <v>20.271744184148101</v>
      </c>
      <c r="CA1000" s="2">
        <v>19.751084530246001</v>
      </c>
      <c r="CB1000" s="2">
        <v>19.787612689483201</v>
      </c>
      <c r="CC1000" s="2">
        <v>18.502254425656702</v>
      </c>
      <c r="CD1000" s="2">
        <v>15.7368622137546</v>
      </c>
      <c r="CE1000" s="2">
        <v>18.298201904890998</v>
      </c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</row>
    <row r="1001" spans="1:97">
      <c r="A1001" s="2" t="s">
        <v>9214</v>
      </c>
      <c r="B1001" s="2">
        <v>342.18164000000002</v>
      </c>
      <c r="C1001" s="2">
        <v>4.7939999999999996</v>
      </c>
      <c r="D1001" s="2" t="s">
        <v>84</v>
      </c>
      <c r="E1001" s="2" t="s">
        <v>9215</v>
      </c>
      <c r="F1001" s="2" t="s">
        <v>9216</v>
      </c>
      <c r="G1001" s="2">
        <v>261900</v>
      </c>
      <c r="H1001" s="3" t="str">
        <f>HYPERLINK("https://cloud.oebiotech.com/#/lm/network/261900", "https://cloud.oebiotech.com/#/lm/network/261900")</f>
        <v>https://cloud.oebiotech.com/#/lm/network/261900</v>
      </c>
      <c r="I1001" s="2"/>
      <c r="J1001" s="2">
        <v>19234</v>
      </c>
      <c r="K1001" s="2"/>
      <c r="L1001" s="2">
        <v>10133086</v>
      </c>
      <c r="M1001" s="2"/>
      <c r="N1001" s="2"/>
      <c r="O1001" s="2"/>
      <c r="P1001" s="2"/>
      <c r="Q1001" s="2"/>
      <c r="R1001" s="2"/>
      <c r="S1001" s="2"/>
      <c r="T1001" s="2" t="s">
        <v>9217</v>
      </c>
      <c r="U1001" s="2" t="s">
        <v>9218</v>
      </c>
      <c r="V1001" s="2" t="s">
        <v>115</v>
      </c>
      <c r="W1001" s="2" t="s">
        <v>116</v>
      </c>
      <c r="X1001" s="2" t="s">
        <v>117</v>
      </c>
      <c r="Y1001" s="2" t="s">
        <v>118</v>
      </c>
      <c r="Z1001" s="2" t="s">
        <v>119</v>
      </c>
      <c r="AA1001" s="2" t="s">
        <v>120</v>
      </c>
      <c r="AB1001" s="2" t="s">
        <v>3086</v>
      </c>
      <c r="AC1001" s="2">
        <v>50.88</v>
      </c>
      <c r="AD1001" s="2">
        <v>86.81</v>
      </c>
      <c r="AE1001" s="2">
        <v>0</v>
      </c>
      <c r="AF1001" s="2" t="s">
        <v>5614</v>
      </c>
      <c r="AG1001" s="2" t="s">
        <v>1088</v>
      </c>
      <c r="AH1001" s="2" t="s">
        <v>9219</v>
      </c>
      <c r="AI1001" s="2">
        <v>0.57999999999999996</v>
      </c>
      <c r="AJ1001" s="2">
        <v>17.6119102113968</v>
      </c>
      <c r="AK1001" s="2">
        <v>17.884138792826999</v>
      </c>
      <c r="AL1001" s="2">
        <v>18.214595984586801</v>
      </c>
      <c r="AM1001" s="2">
        <v>17.971691114151302</v>
      </c>
      <c r="AN1001" s="2">
        <v>18.0476027459483</v>
      </c>
      <c r="AO1001" s="2">
        <v>17.3855457149462</v>
      </c>
      <c r="AP1001" s="2">
        <v>17.799999640512802</v>
      </c>
      <c r="AQ1001" s="2">
        <v>16.923739151006799</v>
      </c>
      <c r="AR1001" s="2">
        <v>9.6233145402724691</v>
      </c>
      <c r="AS1001" s="2">
        <v>9.6233145402724691</v>
      </c>
      <c r="AT1001" s="2">
        <v>17.904796828724201</v>
      </c>
      <c r="AU1001" s="2">
        <v>17.966762449623602</v>
      </c>
      <c r="AV1001" s="2">
        <v>17.675771489524799</v>
      </c>
      <c r="AW1001" s="2">
        <v>18.2818218388771</v>
      </c>
      <c r="AX1001" s="2">
        <v>17.792954077449298</v>
      </c>
      <c r="AY1001" s="2">
        <v>17.973387224829601</v>
      </c>
      <c r="AZ1001" s="2">
        <v>18.177347461782698</v>
      </c>
      <c r="BA1001" s="2">
        <v>17.151146591290299</v>
      </c>
      <c r="BB1001" s="2">
        <v>17.512200647239499</v>
      </c>
      <c r="BC1001" s="2">
        <v>18.8589659955583</v>
      </c>
      <c r="BD1001" s="2">
        <v>17.7494140625165</v>
      </c>
      <c r="BE1001" s="2">
        <v>17.603954008627799</v>
      </c>
      <c r="BF1001" s="2">
        <v>17.973582465346201</v>
      </c>
      <c r="BG1001" s="2">
        <v>17.787115538422199</v>
      </c>
      <c r="BH1001" s="2">
        <v>18.379878285431399</v>
      </c>
      <c r="BI1001" s="2">
        <v>17.843930188296</v>
      </c>
      <c r="BJ1001" s="2">
        <v>15.963279938084201</v>
      </c>
      <c r="BK1001" s="2">
        <v>18.127878684785902</v>
      </c>
      <c r="BL1001" s="2">
        <v>17.974987608019799</v>
      </c>
      <c r="BM1001" s="2">
        <v>18.618021441402099</v>
      </c>
      <c r="BN1001" s="2">
        <v>17.831590167790601</v>
      </c>
      <c r="BO1001" s="2">
        <v>17.942696102219799</v>
      </c>
      <c r="BP1001" s="2">
        <v>17.8167628086393</v>
      </c>
      <c r="BQ1001" s="2">
        <v>18.122079665531501</v>
      </c>
      <c r="BR1001" s="2">
        <v>17.375848971764501</v>
      </c>
      <c r="BS1001" s="2">
        <v>18.3018191522583</v>
      </c>
      <c r="BT1001" s="2">
        <v>16.902128708417798</v>
      </c>
      <c r="BU1001" s="2">
        <v>18.0403148211151</v>
      </c>
      <c r="BV1001" s="2">
        <v>17.665543486769099</v>
      </c>
      <c r="BW1001" s="2">
        <v>17.649243193989602</v>
      </c>
      <c r="BX1001" s="2">
        <v>18.165127225599299</v>
      </c>
      <c r="BY1001" s="2">
        <v>17.939850979533698</v>
      </c>
      <c r="BZ1001" s="2">
        <v>17.402290129206602</v>
      </c>
      <c r="CA1001" s="2">
        <v>9.6233145402724691</v>
      </c>
      <c r="CB1001" s="2">
        <v>15.617017126770101</v>
      </c>
      <c r="CC1001" s="2">
        <v>17.749694983856699</v>
      </c>
      <c r="CD1001" s="2">
        <v>18.185624857314899</v>
      </c>
      <c r="CE1001" s="2">
        <v>18.198788647803699</v>
      </c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</row>
    <row r="1002" spans="1:97">
      <c r="A1002" s="2" t="s">
        <v>9220</v>
      </c>
      <c r="B1002" s="2">
        <v>313.05275</v>
      </c>
      <c r="C1002" s="2">
        <v>1.0269999999999999</v>
      </c>
      <c r="D1002" s="2" t="s">
        <v>146</v>
      </c>
      <c r="E1002" s="2" t="s">
        <v>9221</v>
      </c>
      <c r="F1002" s="2" t="s">
        <v>9222</v>
      </c>
      <c r="G1002" s="2">
        <v>47153</v>
      </c>
      <c r="H1002" s="3" t="str">
        <f>HYPERLINK("https://cloud.oebiotech.com/#/lm/network/47153", "https://cloud.oebiotech.com/#/lm/network/47153")</f>
        <v>https://cloud.oebiotech.com/#/lm/network/47153</v>
      </c>
      <c r="I1002" s="2" t="s">
        <v>9223</v>
      </c>
      <c r="J1002" s="2"/>
      <c r="K1002" s="2"/>
      <c r="L1002" s="2">
        <v>69382</v>
      </c>
      <c r="M1002" s="2" t="s">
        <v>9224</v>
      </c>
      <c r="N1002" s="2" t="s">
        <v>1585</v>
      </c>
      <c r="O1002" s="2" t="s">
        <v>1586</v>
      </c>
      <c r="P1002" s="2">
        <v>89698</v>
      </c>
      <c r="Q1002" s="2"/>
      <c r="R1002" s="2"/>
      <c r="S1002" s="2" t="s">
        <v>9225</v>
      </c>
      <c r="T1002" s="2" t="s">
        <v>9226</v>
      </c>
      <c r="U1002" s="2" t="s">
        <v>9227</v>
      </c>
      <c r="V1002" s="2" t="s">
        <v>115</v>
      </c>
      <c r="W1002" s="2" t="s">
        <v>116</v>
      </c>
      <c r="X1002" s="2" t="s">
        <v>117</v>
      </c>
      <c r="Y1002" s="2" t="s">
        <v>118</v>
      </c>
      <c r="Z1002" s="2" t="s">
        <v>119</v>
      </c>
      <c r="AA1002" s="2" t="s">
        <v>120</v>
      </c>
      <c r="AB1002" s="2" t="s">
        <v>3086</v>
      </c>
      <c r="AC1002" s="2">
        <v>50.83</v>
      </c>
      <c r="AD1002" s="2">
        <v>87.56</v>
      </c>
      <c r="AE1002" s="2">
        <v>0</v>
      </c>
      <c r="AF1002" s="2" t="s">
        <v>5614</v>
      </c>
      <c r="AG1002" s="2" t="s">
        <v>157</v>
      </c>
      <c r="AH1002" s="2" t="s">
        <v>9228</v>
      </c>
      <c r="AI1002" s="2">
        <v>1.6</v>
      </c>
      <c r="AJ1002" s="2">
        <v>20.520117438192099</v>
      </c>
      <c r="AK1002" s="2">
        <v>20.438072554811999</v>
      </c>
      <c r="AL1002" s="2">
        <v>21.1796616825049</v>
      </c>
      <c r="AM1002" s="2">
        <v>21.128757483774201</v>
      </c>
      <c r="AN1002" s="2">
        <v>20.510728438462799</v>
      </c>
      <c r="AO1002" s="2">
        <v>21.021949944533301</v>
      </c>
      <c r="AP1002" s="2">
        <v>20.952839957949799</v>
      </c>
      <c r="AQ1002" s="2">
        <v>21.016792512475099</v>
      </c>
      <c r="AR1002" s="2">
        <v>20.927387552067898</v>
      </c>
      <c r="AS1002" s="2">
        <v>20.393576920599202</v>
      </c>
      <c r="AT1002" s="2">
        <v>21.0607939960313</v>
      </c>
      <c r="AU1002" s="2">
        <v>9.6233145402724691</v>
      </c>
      <c r="AV1002" s="2">
        <v>20.555827620526099</v>
      </c>
      <c r="AW1002" s="2">
        <v>20.529000866983299</v>
      </c>
      <c r="AX1002" s="2">
        <v>20.8148457017551</v>
      </c>
      <c r="AY1002" s="2">
        <v>20.134752933262</v>
      </c>
      <c r="AZ1002" s="2">
        <v>20.127148315769499</v>
      </c>
      <c r="BA1002" s="2">
        <v>18.135499629247999</v>
      </c>
      <c r="BB1002" s="2">
        <v>21.199628358538199</v>
      </c>
      <c r="BC1002" s="2">
        <v>20.883833093441901</v>
      </c>
      <c r="BD1002" s="2">
        <v>21.2015194208705</v>
      </c>
      <c r="BE1002" s="2">
        <v>19.882117548183999</v>
      </c>
      <c r="BF1002" s="2">
        <v>20.8156355120957</v>
      </c>
      <c r="BG1002" s="2">
        <v>21.625700278285599</v>
      </c>
      <c r="BH1002" s="2">
        <v>20.304217602604499</v>
      </c>
      <c r="BI1002" s="2">
        <v>20.964387378478399</v>
      </c>
      <c r="BJ1002" s="2">
        <v>21.741369402395101</v>
      </c>
      <c r="BK1002" s="2">
        <v>20.642337981409899</v>
      </c>
      <c r="BL1002" s="2">
        <v>20.946326989243399</v>
      </c>
      <c r="BM1002" s="2">
        <v>16.5391276032795</v>
      </c>
      <c r="BN1002" s="2">
        <v>19.470550825951399</v>
      </c>
      <c r="BO1002" s="2">
        <v>9.6233145402724691</v>
      </c>
      <c r="BP1002" s="2">
        <v>20.944849511616201</v>
      </c>
      <c r="BQ1002" s="2">
        <v>19.499431919996699</v>
      </c>
      <c r="BR1002" s="2">
        <v>21.044389596520301</v>
      </c>
      <c r="BS1002" s="2">
        <v>21.311963233846999</v>
      </c>
      <c r="BT1002" s="2">
        <v>9.6233145402724691</v>
      </c>
      <c r="BU1002" s="2">
        <v>22.0702704682422</v>
      </c>
      <c r="BV1002" s="2">
        <v>20.775022553642</v>
      </c>
      <c r="BW1002" s="2">
        <v>18.821898643170801</v>
      </c>
      <c r="BX1002" s="2">
        <v>19.250224640579798</v>
      </c>
      <c r="BY1002" s="2">
        <v>21.201519953311099</v>
      </c>
      <c r="BZ1002" s="2">
        <v>20.431613513547202</v>
      </c>
      <c r="CA1002" s="2">
        <v>21.782502524388899</v>
      </c>
      <c r="CB1002" s="2">
        <v>20.1762913466542</v>
      </c>
      <c r="CC1002" s="2">
        <v>20.683144428140999</v>
      </c>
      <c r="CD1002" s="2">
        <v>21.325616078453901</v>
      </c>
      <c r="CE1002" s="2">
        <v>21.285754768792501</v>
      </c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</row>
    <row r="1003" spans="1:97">
      <c r="A1003" s="2" t="s">
        <v>9229</v>
      </c>
      <c r="B1003" s="2">
        <v>221.15334999999999</v>
      </c>
      <c r="C1003" s="2">
        <v>1.044</v>
      </c>
      <c r="D1003" s="2" t="s">
        <v>84</v>
      </c>
      <c r="E1003" s="2" t="s">
        <v>9230</v>
      </c>
      <c r="F1003" s="2" t="s">
        <v>9231</v>
      </c>
      <c r="G1003" s="2">
        <v>63427</v>
      </c>
      <c r="H1003" s="3" t="str">
        <f>HYPERLINK("https://cloud.oebiotech.com/#/lm/network/63427", "https://cloud.oebiotech.com/#/lm/network/63427")</f>
        <v>https://cloud.oebiotech.com/#/lm/network/63427</v>
      </c>
      <c r="I1003" s="2" t="s">
        <v>9232</v>
      </c>
      <c r="J1003" s="2">
        <v>94748</v>
      </c>
      <c r="K1003" s="2"/>
      <c r="L1003" s="2">
        <v>99479</v>
      </c>
      <c r="M1003" s="2"/>
      <c r="N1003" s="2"/>
      <c r="O1003" s="2"/>
      <c r="P1003" s="2"/>
      <c r="Q1003" s="2"/>
      <c r="R1003" s="2"/>
      <c r="S1003" s="2" t="s">
        <v>9233</v>
      </c>
      <c r="T1003" s="2" t="s">
        <v>9234</v>
      </c>
      <c r="U1003" s="2" t="s">
        <v>9235</v>
      </c>
      <c r="V1003" s="2" t="s">
        <v>553</v>
      </c>
      <c r="W1003" s="2" t="s">
        <v>2193</v>
      </c>
      <c r="X1003" s="2" t="s">
        <v>4866</v>
      </c>
      <c r="Y1003" s="2" t="s">
        <v>556</v>
      </c>
      <c r="Z1003" s="2" t="s">
        <v>2194</v>
      </c>
      <c r="AA1003" s="2" t="s">
        <v>4867</v>
      </c>
      <c r="AB1003" s="2" t="s">
        <v>5118</v>
      </c>
      <c r="AC1003" s="2">
        <v>50.82</v>
      </c>
      <c r="AD1003" s="2">
        <v>91.71</v>
      </c>
      <c r="AE1003" s="2">
        <v>80.23</v>
      </c>
      <c r="AF1003" s="2" t="s">
        <v>9236</v>
      </c>
      <c r="AG1003" s="2" t="s">
        <v>103</v>
      </c>
      <c r="AH1003" s="2" t="s">
        <v>9237</v>
      </c>
      <c r="AI1003" s="2">
        <v>1.36</v>
      </c>
      <c r="AJ1003" s="2">
        <v>25.823242370348002</v>
      </c>
      <c r="AK1003" s="2">
        <v>25.9741138611802</v>
      </c>
      <c r="AL1003" s="2">
        <v>25.886354600845401</v>
      </c>
      <c r="AM1003" s="2">
        <v>25.899524631434101</v>
      </c>
      <c r="AN1003" s="2">
        <v>25.855386210119701</v>
      </c>
      <c r="AO1003" s="2">
        <v>25.789967574027099</v>
      </c>
      <c r="AP1003" s="2">
        <v>25.824908863772301</v>
      </c>
      <c r="AQ1003" s="2">
        <v>25.766260334702199</v>
      </c>
      <c r="AR1003" s="2">
        <v>25.891785439988599</v>
      </c>
      <c r="AS1003" s="2">
        <v>25.999282955153099</v>
      </c>
      <c r="AT1003" s="2">
        <v>26.110491543404201</v>
      </c>
      <c r="AU1003" s="2">
        <v>24.155512098362902</v>
      </c>
      <c r="AV1003" s="2">
        <v>25.997689837426599</v>
      </c>
      <c r="AW1003" s="2">
        <v>25.982667089722401</v>
      </c>
      <c r="AX1003" s="2">
        <v>24.267532454850699</v>
      </c>
      <c r="AY1003" s="2">
        <v>25.947076353550798</v>
      </c>
      <c r="AZ1003" s="2">
        <v>26.015991961355802</v>
      </c>
      <c r="BA1003" s="2">
        <v>25.146385634169</v>
      </c>
      <c r="BB1003" s="2">
        <v>26.001785104385899</v>
      </c>
      <c r="BC1003" s="2">
        <v>25.899396020248499</v>
      </c>
      <c r="BD1003" s="2">
        <v>25.9328524236631</v>
      </c>
      <c r="BE1003" s="2">
        <v>25.907423133082698</v>
      </c>
      <c r="BF1003" s="2">
        <v>23.6338704478746</v>
      </c>
      <c r="BG1003" s="2">
        <v>25.8989248344628</v>
      </c>
      <c r="BH1003" s="2">
        <v>25.999969301845098</v>
      </c>
      <c r="BI1003" s="2">
        <v>24.399939114175499</v>
      </c>
      <c r="BJ1003" s="2">
        <v>25.994457553314099</v>
      </c>
      <c r="BK1003" s="2">
        <v>24.476807624938299</v>
      </c>
      <c r="BL1003" s="2">
        <v>25.8700199115526</v>
      </c>
      <c r="BM1003" s="2">
        <v>25.9112050419414</v>
      </c>
      <c r="BN1003" s="2">
        <v>25.9431633974161</v>
      </c>
      <c r="BO1003" s="2">
        <v>25.801038164014301</v>
      </c>
      <c r="BP1003" s="2">
        <v>23.050653040883699</v>
      </c>
      <c r="BQ1003" s="2">
        <v>25.9200082531802</v>
      </c>
      <c r="BR1003" s="2">
        <v>25.908265886163498</v>
      </c>
      <c r="BS1003" s="2">
        <v>25.732868514643901</v>
      </c>
      <c r="BT1003" s="2">
        <v>25.8795505125081</v>
      </c>
      <c r="BU1003" s="2">
        <v>25.974389114867598</v>
      </c>
      <c r="BV1003" s="2">
        <v>25.663598671160599</v>
      </c>
      <c r="BW1003" s="2">
        <v>24.216122673728599</v>
      </c>
      <c r="BX1003" s="2">
        <v>24.635873086800402</v>
      </c>
      <c r="BY1003" s="2">
        <v>25.826038565572301</v>
      </c>
      <c r="BZ1003" s="2">
        <v>25.949289419305401</v>
      </c>
      <c r="CA1003" s="2">
        <v>25.844946465905899</v>
      </c>
      <c r="CB1003" s="2">
        <v>25.814594978136999</v>
      </c>
      <c r="CC1003" s="2">
        <v>25.889113923071701</v>
      </c>
      <c r="CD1003" s="2">
        <v>25.829121818841301</v>
      </c>
      <c r="CE1003" s="2">
        <v>25.811713863314498</v>
      </c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</row>
    <row r="1004" spans="1:97">
      <c r="A1004" s="2" t="s">
        <v>9238</v>
      </c>
      <c r="B1004" s="2">
        <v>349.23635000000002</v>
      </c>
      <c r="C1004" s="2">
        <v>6.4930000000000003</v>
      </c>
      <c r="D1004" s="2" t="s">
        <v>84</v>
      </c>
      <c r="E1004" s="2" t="s">
        <v>9239</v>
      </c>
      <c r="F1004" s="2" t="s">
        <v>9240</v>
      </c>
      <c r="G1004" s="2">
        <v>45093</v>
      </c>
      <c r="H1004" s="3" t="str">
        <f>HYPERLINK("https://cloud.oebiotech.com/#/lm/network/45093", "https://cloud.oebiotech.com/#/lm/network/45093")</f>
        <v>https://cloud.oebiotech.com/#/lm/network/45093</v>
      </c>
      <c r="I1004" s="2" t="s">
        <v>9241</v>
      </c>
      <c r="J1004" s="2">
        <v>63340</v>
      </c>
      <c r="K1004" s="2" t="s">
        <v>9242</v>
      </c>
      <c r="L1004" s="2">
        <v>160499</v>
      </c>
      <c r="M1004" s="2" t="s">
        <v>9243</v>
      </c>
      <c r="N1004" s="2" t="s">
        <v>1564</v>
      </c>
      <c r="O1004" s="2" t="s">
        <v>1565</v>
      </c>
      <c r="P1004" s="2">
        <v>3899</v>
      </c>
      <c r="Q1004" s="2"/>
      <c r="R1004" s="2"/>
      <c r="S1004" s="2" t="s">
        <v>9244</v>
      </c>
      <c r="T1004" s="2" t="s">
        <v>9245</v>
      </c>
      <c r="U1004" s="2" t="s">
        <v>9246</v>
      </c>
      <c r="V1004" s="2" t="s">
        <v>95</v>
      </c>
      <c r="W1004" s="2" t="s">
        <v>152</v>
      </c>
      <c r="X1004" s="2" t="s">
        <v>153</v>
      </c>
      <c r="Y1004" s="2" t="s">
        <v>98</v>
      </c>
      <c r="Z1004" s="2" t="s">
        <v>154</v>
      </c>
      <c r="AA1004" s="2" t="s">
        <v>155</v>
      </c>
      <c r="AB1004" s="2" t="s">
        <v>3086</v>
      </c>
      <c r="AC1004" s="2">
        <v>50.8</v>
      </c>
      <c r="AD1004" s="2">
        <v>86.04</v>
      </c>
      <c r="AE1004" s="2">
        <v>0</v>
      </c>
      <c r="AF1004" s="2" t="s">
        <v>5614</v>
      </c>
      <c r="AG1004" s="2" t="s">
        <v>1088</v>
      </c>
      <c r="AH1004" s="2" t="s">
        <v>5081</v>
      </c>
      <c r="AI1004" s="2">
        <v>4.3</v>
      </c>
      <c r="AJ1004" s="2">
        <v>17.490770904077898</v>
      </c>
      <c r="AK1004" s="2">
        <v>17.9212146766322</v>
      </c>
      <c r="AL1004" s="2">
        <v>18.529509937403699</v>
      </c>
      <c r="AM1004" s="2">
        <v>17.806979884308699</v>
      </c>
      <c r="AN1004" s="2">
        <v>17.8784862978275</v>
      </c>
      <c r="AO1004" s="2">
        <v>17.813517299162399</v>
      </c>
      <c r="AP1004" s="2">
        <v>18.124018545638101</v>
      </c>
      <c r="AQ1004" s="2">
        <v>17.969384722469499</v>
      </c>
      <c r="AR1004" s="2">
        <v>13.597313511452001</v>
      </c>
      <c r="AS1004" s="2">
        <v>14.607266154009899</v>
      </c>
      <c r="AT1004" s="2">
        <v>15.0570423580266</v>
      </c>
      <c r="AU1004" s="2">
        <v>15.857428753497301</v>
      </c>
      <c r="AV1004" s="2">
        <v>15.487186227299</v>
      </c>
      <c r="AW1004" s="2">
        <v>16.281981809507801</v>
      </c>
      <c r="AX1004" s="2">
        <v>16.074006998446201</v>
      </c>
      <c r="AY1004" s="2">
        <v>15.374061369815101</v>
      </c>
      <c r="AZ1004" s="2">
        <v>16.260326004781898</v>
      </c>
      <c r="BA1004" s="2">
        <v>15.6635305864593</v>
      </c>
      <c r="BB1004" s="2">
        <v>13.694280613465301</v>
      </c>
      <c r="BC1004" s="2">
        <v>15.2871030729195</v>
      </c>
      <c r="BD1004" s="2">
        <v>15.530893371741699</v>
      </c>
      <c r="BE1004" s="2">
        <v>16.485438620218101</v>
      </c>
      <c r="BF1004" s="2">
        <v>15.3724314928544</v>
      </c>
      <c r="BG1004" s="2">
        <v>15.9091123344138</v>
      </c>
      <c r="BH1004" s="2">
        <v>14.0190251102266</v>
      </c>
      <c r="BI1004" s="2">
        <v>14.061501144128099</v>
      </c>
      <c r="BJ1004" s="2">
        <v>9.6233145402724691</v>
      </c>
      <c r="BK1004" s="2">
        <v>15.4644142885862</v>
      </c>
      <c r="BL1004" s="2">
        <v>13.7114120921325</v>
      </c>
      <c r="BM1004" s="2">
        <v>14.546798019830099</v>
      </c>
      <c r="BN1004" s="2">
        <v>14.955692130802399</v>
      </c>
      <c r="BO1004" s="2">
        <v>14.9409650489469</v>
      </c>
      <c r="BP1004" s="2">
        <v>15.2714564622263</v>
      </c>
      <c r="BQ1004" s="2">
        <v>16.116053727764498</v>
      </c>
      <c r="BR1004" s="2">
        <v>15.567000912340999</v>
      </c>
      <c r="BS1004" s="2">
        <v>15.125128083766301</v>
      </c>
      <c r="BT1004" s="2">
        <v>9.6233145402724691</v>
      </c>
      <c r="BU1004" s="2">
        <v>14.930622774750301</v>
      </c>
      <c r="BV1004" s="2">
        <v>15.93723380172</v>
      </c>
      <c r="BW1004" s="2">
        <v>16.263633239779999</v>
      </c>
      <c r="BX1004" s="2">
        <v>15.7050356404506</v>
      </c>
      <c r="BY1004" s="2">
        <v>15.8297539469008</v>
      </c>
      <c r="BZ1004" s="2">
        <v>14.7501333108913</v>
      </c>
      <c r="CA1004" s="2">
        <v>14.765270038757</v>
      </c>
      <c r="CB1004" s="2">
        <v>15.521661164129901</v>
      </c>
      <c r="CC1004" s="2">
        <v>9.6233145402724691</v>
      </c>
      <c r="CD1004" s="2">
        <v>15.0836692087393</v>
      </c>
      <c r="CE1004" s="2">
        <v>15.5002362735689</v>
      </c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</row>
    <row r="1005" spans="1:97">
      <c r="A1005" s="2" t="s">
        <v>9247</v>
      </c>
      <c r="B1005" s="2">
        <v>312.21634</v>
      </c>
      <c r="C1005" s="2">
        <v>6.157</v>
      </c>
      <c r="D1005" s="2" t="s">
        <v>84</v>
      </c>
      <c r="E1005" s="2" t="s">
        <v>9248</v>
      </c>
      <c r="F1005" s="2" t="s">
        <v>9249</v>
      </c>
      <c r="G1005" s="2">
        <v>197657</v>
      </c>
      <c r="H1005" s="3" t="str">
        <f>HYPERLINK("https://cloud.oebiotech.com/#/lm/network/197657", "https://cloud.oebiotech.com/#/lm/network/197657")</f>
        <v>https://cloud.oebiotech.com/#/lm/network/197657</v>
      </c>
      <c r="I1005" s="2" t="s">
        <v>9250</v>
      </c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 t="s">
        <v>9251</v>
      </c>
      <c r="U1005" s="2" t="s">
        <v>9252</v>
      </c>
      <c r="V1005" s="2" t="s">
        <v>95</v>
      </c>
      <c r="W1005" s="2" t="s">
        <v>96</v>
      </c>
      <c r="X1005" s="2" t="s">
        <v>97</v>
      </c>
      <c r="Y1005" s="2" t="s">
        <v>98</v>
      </c>
      <c r="Z1005" s="2" t="s">
        <v>99</v>
      </c>
      <c r="AA1005" s="2" t="s">
        <v>100</v>
      </c>
      <c r="AB1005" s="2" t="s">
        <v>8443</v>
      </c>
      <c r="AC1005" s="2">
        <v>50.79</v>
      </c>
      <c r="AD1005" s="2">
        <v>88.71</v>
      </c>
      <c r="AE1005" s="2">
        <v>33.79</v>
      </c>
      <c r="AF1005" s="2" t="s">
        <v>9253</v>
      </c>
      <c r="AG1005" s="2" t="s">
        <v>103</v>
      </c>
      <c r="AH1005" s="2" t="s">
        <v>4120</v>
      </c>
      <c r="AI1005" s="2">
        <v>1.92</v>
      </c>
      <c r="AJ1005" s="2">
        <v>19.1518427719413</v>
      </c>
      <c r="AK1005" s="2">
        <v>19.308655927088399</v>
      </c>
      <c r="AL1005" s="2">
        <v>19.224782167364399</v>
      </c>
      <c r="AM1005" s="2">
        <v>19.034631418125201</v>
      </c>
      <c r="AN1005" s="2">
        <v>19.0063689265275</v>
      </c>
      <c r="AO1005" s="2">
        <v>19.085013789716001</v>
      </c>
      <c r="AP1005" s="2">
        <v>19.606700803606799</v>
      </c>
      <c r="AQ1005" s="2">
        <v>19.4654651490806</v>
      </c>
      <c r="AR1005" s="2">
        <v>18.037559608373801</v>
      </c>
      <c r="AS1005" s="2">
        <v>18.4413527283434</v>
      </c>
      <c r="AT1005" s="2">
        <v>18.7435810966244</v>
      </c>
      <c r="AU1005" s="2">
        <v>18.950148452673702</v>
      </c>
      <c r="AV1005" s="2">
        <v>18.046178932750301</v>
      </c>
      <c r="AW1005" s="2">
        <v>19.529782464785701</v>
      </c>
      <c r="AX1005" s="2">
        <v>18.413971349584799</v>
      </c>
      <c r="AY1005" s="2">
        <v>19.317973540017899</v>
      </c>
      <c r="AZ1005" s="2">
        <v>17.848677644350101</v>
      </c>
      <c r="BA1005" s="2">
        <v>19.6213544510797</v>
      </c>
      <c r="BB1005" s="2">
        <v>19.290745993295801</v>
      </c>
      <c r="BC1005" s="2">
        <v>19.5695079062939</v>
      </c>
      <c r="BD1005" s="2">
        <v>17.652278508795</v>
      </c>
      <c r="BE1005" s="2">
        <v>18.876240659358601</v>
      </c>
      <c r="BF1005" s="2">
        <v>18.7283106022733</v>
      </c>
      <c r="BG1005" s="2">
        <v>19.820637648859101</v>
      </c>
      <c r="BH1005" s="2">
        <v>18.268677182664401</v>
      </c>
      <c r="BI1005" s="2">
        <v>18.975057210505501</v>
      </c>
      <c r="BJ1005" s="2">
        <v>19.1815872821476</v>
      </c>
      <c r="BK1005" s="2">
        <v>16.891896409365899</v>
      </c>
      <c r="BL1005" s="2">
        <v>19.124048164261701</v>
      </c>
      <c r="BM1005" s="2">
        <v>19.3632545088557</v>
      </c>
      <c r="BN1005" s="2">
        <v>18.602169136915901</v>
      </c>
      <c r="BO1005" s="2">
        <v>20.2504035481264</v>
      </c>
      <c r="BP1005" s="2">
        <v>19.174433659958702</v>
      </c>
      <c r="BQ1005" s="2">
        <v>19.7549128911655</v>
      </c>
      <c r="BR1005" s="2">
        <v>19.0846906129266</v>
      </c>
      <c r="BS1005" s="2">
        <v>19.050123839968499</v>
      </c>
      <c r="BT1005" s="2">
        <v>20.868828408780299</v>
      </c>
      <c r="BU1005" s="2">
        <v>19.709222775137999</v>
      </c>
      <c r="BV1005" s="2">
        <v>19.350698594367401</v>
      </c>
      <c r="BW1005" s="2">
        <v>18.004841118800002</v>
      </c>
      <c r="BX1005" s="2">
        <v>18.618466770585702</v>
      </c>
      <c r="BY1005" s="2">
        <v>18.7711854155841</v>
      </c>
      <c r="BZ1005" s="2">
        <v>19.029348434509199</v>
      </c>
      <c r="CA1005" s="2">
        <v>19.199919572837</v>
      </c>
      <c r="CB1005" s="2">
        <v>19.033865414021101</v>
      </c>
      <c r="CC1005" s="2">
        <v>19.166675118493099</v>
      </c>
      <c r="CD1005" s="2">
        <v>18.453805507996499</v>
      </c>
      <c r="CE1005" s="2">
        <v>18.745740885365802</v>
      </c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</row>
    <row r="1006" spans="1:97">
      <c r="A1006" s="2" t="s">
        <v>9254</v>
      </c>
      <c r="B1006" s="2">
        <v>165.04044999999999</v>
      </c>
      <c r="C1006" s="2">
        <v>11.314</v>
      </c>
      <c r="D1006" s="2" t="s">
        <v>146</v>
      </c>
      <c r="E1006" s="2" t="s">
        <v>9255</v>
      </c>
      <c r="F1006" s="2" t="s">
        <v>9256</v>
      </c>
      <c r="G1006" s="2">
        <v>1885</v>
      </c>
      <c r="H1006" s="3" t="str">
        <f>HYPERLINK("https://cloud.oebiotech.com/#/lm/network/1885", "https://cloud.oebiotech.com/#/lm/network/1885")</f>
        <v>https://cloud.oebiotech.com/#/lm/network/1885</v>
      </c>
      <c r="I1006" s="2" t="s">
        <v>9257</v>
      </c>
      <c r="J1006" s="2">
        <v>3781</v>
      </c>
      <c r="K1006" s="2" t="s">
        <v>9258</v>
      </c>
      <c r="L1006" s="2">
        <v>560781</v>
      </c>
      <c r="M1006" s="2"/>
      <c r="N1006" s="2"/>
      <c r="O1006" s="2"/>
      <c r="P1006" s="2">
        <v>36532</v>
      </c>
      <c r="Q1006" s="2"/>
      <c r="R1006" s="2"/>
      <c r="S1006" s="2" t="s">
        <v>9259</v>
      </c>
      <c r="T1006" s="2" t="s">
        <v>9260</v>
      </c>
      <c r="U1006" s="2" t="s">
        <v>9261</v>
      </c>
      <c r="V1006" s="2" t="s">
        <v>115</v>
      </c>
      <c r="W1006" s="2" t="s">
        <v>832</v>
      </c>
      <c r="X1006" s="2" t="s">
        <v>833</v>
      </c>
      <c r="Y1006" s="2" t="s">
        <v>118</v>
      </c>
      <c r="Z1006" s="2" t="s">
        <v>834</v>
      </c>
      <c r="AA1006" s="2" t="s">
        <v>835</v>
      </c>
      <c r="AB1006" s="2" t="s">
        <v>5118</v>
      </c>
      <c r="AC1006" s="2">
        <v>50.78</v>
      </c>
      <c r="AD1006" s="2">
        <v>97.9</v>
      </c>
      <c r="AE1006" s="2">
        <v>70</v>
      </c>
      <c r="AF1006" s="2" t="s">
        <v>9262</v>
      </c>
      <c r="AG1006" s="2" t="s">
        <v>157</v>
      </c>
      <c r="AH1006" s="2" t="s">
        <v>2904</v>
      </c>
      <c r="AI1006" s="2">
        <v>0.61</v>
      </c>
      <c r="AJ1006" s="2">
        <v>22.006634783772899</v>
      </c>
      <c r="AK1006" s="2">
        <v>23.008619239402201</v>
      </c>
      <c r="AL1006" s="2">
        <v>22.929544370671302</v>
      </c>
      <c r="AM1006" s="2">
        <v>22.9897007466849</v>
      </c>
      <c r="AN1006" s="2">
        <v>22.964215136529901</v>
      </c>
      <c r="AO1006" s="2">
        <v>23.479456956997801</v>
      </c>
      <c r="AP1006" s="2">
        <v>23.319348570994901</v>
      </c>
      <c r="AQ1006" s="2">
        <v>22.754508146721498</v>
      </c>
      <c r="AR1006" s="2">
        <v>20.498378200906998</v>
      </c>
      <c r="AS1006" s="2">
        <v>19.850512873766998</v>
      </c>
      <c r="AT1006" s="2">
        <v>20.0968555211874</v>
      </c>
      <c r="AU1006" s="2">
        <v>19.8611786621906</v>
      </c>
      <c r="AV1006" s="2">
        <v>19.9402355723767</v>
      </c>
      <c r="AW1006" s="2">
        <v>20.4011537253431</v>
      </c>
      <c r="AX1006" s="2">
        <v>20.874558118381501</v>
      </c>
      <c r="AY1006" s="2">
        <v>20.571612794554099</v>
      </c>
      <c r="AZ1006" s="2">
        <v>19.792702216640699</v>
      </c>
      <c r="BA1006" s="2">
        <v>20.7898409395249</v>
      </c>
      <c r="BB1006" s="2">
        <v>19.727600313772999</v>
      </c>
      <c r="BC1006" s="2">
        <v>20.174392548904301</v>
      </c>
      <c r="BD1006" s="2">
        <v>20.088026685231402</v>
      </c>
      <c r="BE1006" s="2">
        <v>20.994368043575001</v>
      </c>
      <c r="BF1006" s="2">
        <v>20.4513151640699</v>
      </c>
      <c r="BG1006" s="2">
        <v>20.049798307316401</v>
      </c>
      <c r="BH1006" s="2">
        <v>20.583339153873801</v>
      </c>
      <c r="BI1006" s="2">
        <v>19.439061179666801</v>
      </c>
      <c r="BJ1006" s="2">
        <v>20.681015942302398</v>
      </c>
      <c r="BK1006" s="2">
        <v>20.114835237468601</v>
      </c>
      <c r="BL1006" s="2">
        <v>20.009902544193199</v>
      </c>
      <c r="BM1006" s="2">
        <v>20.446802785036599</v>
      </c>
      <c r="BN1006" s="2">
        <v>20.5024944097459</v>
      </c>
      <c r="BO1006" s="2">
        <v>19.753244028661701</v>
      </c>
      <c r="BP1006" s="2">
        <v>19.903579992837301</v>
      </c>
      <c r="BQ1006" s="2">
        <v>20.173910150206702</v>
      </c>
      <c r="BR1006" s="2">
        <v>20.01292732804</v>
      </c>
      <c r="BS1006" s="2">
        <v>20.201315379951801</v>
      </c>
      <c r="BT1006" s="2">
        <v>20.4632118909404</v>
      </c>
      <c r="BU1006" s="2">
        <v>20.308988669506999</v>
      </c>
      <c r="BV1006" s="2">
        <v>20.0137438451302</v>
      </c>
      <c r="BW1006" s="2">
        <v>19.862206608209799</v>
      </c>
      <c r="BX1006" s="2">
        <v>20.084492262869102</v>
      </c>
      <c r="BY1006" s="2">
        <v>20.679733152013402</v>
      </c>
      <c r="BZ1006" s="2">
        <v>20.1513637610853</v>
      </c>
      <c r="CA1006" s="2">
        <v>20.212165031324201</v>
      </c>
      <c r="CB1006" s="2">
        <v>19.516647308111001</v>
      </c>
      <c r="CC1006" s="2">
        <v>19.9025170409443</v>
      </c>
      <c r="CD1006" s="2">
        <v>20.595340818913002</v>
      </c>
      <c r="CE1006" s="2">
        <v>20.2684598179424</v>
      </c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</row>
    <row r="1007" spans="1:97">
      <c r="A1007" s="2" t="s">
        <v>9263</v>
      </c>
      <c r="B1007" s="2">
        <v>259.00097</v>
      </c>
      <c r="C1007" s="2">
        <v>6.1669999999999998</v>
      </c>
      <c r="D1007" s="2" t="s">
        <v>84</v>
      </c>
      <c r="E1007" s="2" t="s">
        <v>9264</v>
      </c>
      <c r="F1007" s="2" t="s">
        <v>9265</v>
      </c>
      <c r="G1007" s="2">
        <v>58998</v>
      </c>
      <c r="H1007" s="3" t="str">
        <f>HYPERLINK("https://cloud.oebiotech.com/#/lm/network/58998", "https://cloud.oebiotech.com/#/lm/network/58998")</f>
        <v>https://cloud.oebiotech.com/#/lm/network/58998</v>
      </c>
      <c r="I1007" s="2" t="s">
        <v>9266</v>
      </c>
      <c r="J1007" s="2">
        <v>90433</v>
      </c>
      <c r="K1007" s="2"/>
      <c r="L1007" s="2">
        <v>15627934</v>
      </c>
      <c r="M1007" s="2"/>
      <c r="N1007" s="2"/>
      <c r="O1007" s="2"/>
      <c r="P1007" s="2"/>
      <c r="Q1007" s="2"/>
      <c r="R1007" s="2"/>
      <c r="S1007" s="2" t="s">
        <v>9267</v>
      </c>
      <c r="T1007" s="2" t="s">
        <v>9268</v>
      </c>
      <c r="U1007" s="2" t="s">
        <v>9269</v>
      </c>
      <c r="V1007" s="2" t="s">
        <v>845</v>
      </c>
      <c r="W1007" s="2" t="s">
        <v>846</v>
      </c>
      <c r="X1007" s="2" t="s">
        <v>375</v>
      </c>
      <c r="Y1007" s="2" t="s">
        <v>847</v>
      </c>
      <c r="Z1007" s="2" t="s">
        <v>848</v>
      </c>
      <c r="AA1007" s="2"/>
      <c r="AB1007" s="2" t="s">
        <v>3086</v>
      </c>
      <c r="AC1007" s="2">
        <v>50.78</v>
      </c>
      <c r="AD1007" s="2">
        <v>76.08</v>
      </c>
      <c r="AE1007" s="2">
        <v>0</v>
      </c>
      <c r="AF1007" s="2" t="s">
        <v>5614</v>
      </c>
      <c r="AG1007" s="2" t="s">
        <v>3544</v>
      </c>
      <c r="AH1007" s="2" t="s">
        <v>9270</v>
      </c>
      <c r="AI1007" s="2">
        <v>-2.7</v>
      </c>
      <c r="AJ1007" s="2">
        <v>16.510765094940599</v>
      </c>
      <c r="AK1007" s="2">
        <v>16.390961911442702</v>
      </c>
      <c r="AL1007" s="2">
        <v>16.720617818335</v>
      </c>
      <c r="AM1007" s="2">
        <v>16.7511822154651</v>
      </c>
      <c r="AN1007" s="2">
        <v>16.3854692922109</v>
      </c>
      <c r="AO1007" s="2">
        <v>17.021019316547399</v>
      </c>
      <c r="AP1007" s="2">
        <v>16.777848994588101</v>
      </c>
      <c r="AQ1007" s="2">
        <v>15.212439387582499</v>
      </c>
      <c r="AR1007" s="2">
        <v>9.6233145402724691</v>
      </c>
      <c r="AS1007" s="2">
        <v>13.7627090374421</v>
      </c>
      <c r="AT1007" s="2">
        <v>9.6233145402724691</v>
      </c>
      <c r="AU1007" s="2">
        <v>14.122244005651901</v>
      </c>
      <c r="AV1007" s="2">
        <v>18.234096417903601</v>
      </c>
      <c r="AW1007" s="2">
        <v>15.4954547084015</v>
      </c>
      <c r="AX1007" s="2">
        <v>9.6233145402724691</v>
      </c>
      <c r="AY1007" s="2">
        <v>14.306164959222</v>
      </c>
      <c r="AZ1007" s="2">
        <v>9.6233145402724691</v>
      </c>
      <c r="BA1007" s="2">
        <v>17.207719494626399</v>
      </c>
      <c r="BB1007" s="2">
        <v>18.239899898273201</v>
      </c>
      <c r="BC1007" s="2">
        <v>9.6233145402724691</v>
      </c>
      <c r="BD1007" s="2">
        <v>16.160903490691901</v>
      </c>
      <c r="BE1007" s="2">
        <v>16.8344551247474</v>
      </c>
      <c r="BF1007" s="2">
        <v>14.1747431500632</v>
      </c>
      <c r="BG1007" s="2">
        <v>9.6233145402724691</v>
      </c>
      <c r="BH1007" s="2">
        <v>17.2351316769306</v>
      </c>
      <c r="BI1007" s="2">
        <v>18.452432859774898</v>
      </c>
      <c r="BJ1007" s="2">
        <v>16.5103726020584</v>
      </c>
      <c r="BK1007" s="2">
        <v>9.6233145402724691</v>
      </c>
      <c r="BL1007" s="2">
        <v>15.6552086970046</v>
      </c>
      <c r="BM1007" s="2">
        <v>16.479119319427401</v>
      </c>
      <c r="BN1007" s="2">
        <v>9.6233145402724691</v>
      </c>
      <c r="BO1007" s="2">
        <v>14.1259275892187</v>
      </c>
      <c r="BP1007" s="2">
        <v>13.7359462603299</v>
      </c>
      <c r="BQ1007" s="2">
        <v>9.6233145402724691</v>
      </c>
      <c r="BR1007" s="2">
        <v>17.6139618646299</v>
      </c>
      <c r="BS1007" s="2">
        <v>17.4492954518626</v>
      </c>
      <c r="BT1007" s="2">
        <v>9.6233145402724691</v>
      </c>
      <c r="BU1007" s="2">
        <v>9.6233145402724691</v>
      </c>
      <c r="BV1007" s="2">
        <v>15.513801603717701</v>
      </c>
      <c r="BW1007" s="2">
        <v>15.734559067058401</v>
      </c>
      <c r="BX1007" s="2">
        <v>18.5157342130525</v>
      </c>
      <c r="BY1007" s="2">
        <v>17.851690794257902</v>
      </c>
      <c r="BZ1007" s="2">
        <v>9.6233145402724691</v>
      </c>
      <c r="CA1007" s="2">
        <v>9.6233145402724691</v>
      </c>
      <c r="CB1007" s="2">
        <v>19.187417416773702</v>
      </c>
      <c r="CC1007" s="2">
        <v>17.8698084652716</v>
      </c>
      <c r="CD1007" s="2">
        <v>19.0174691956238</v>
      </c>
      <c r="CE1007" s="2">
        <v>9.6233145402724691</v>
      </c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</row>
    <row r="1008" spans="1:97">
      <c r="A1008" s="2" t="s">
        <v>9271</v>
      </c>
      <c r="B1008" s="2">
        <v>261.18455</v>
      </c>
      <c r="C1008" s="2">
        <v>8.8089999999999993</v>
      </c>
      <c r="D1008" s="2" t="s">
        <v>84</v>
      </c>
      <c r="E1008" s="2" t="s">
        <v>9272</v>
      </c>
      <c r="F1008" s="2" t="s">
        <v>9273</v>
      </c>
      <c r="G1008" s="2">
        <v>6007</v>
      </c>
      <c r="H1008" s="3" t="str">
        <f>HYPERLINK("https://cloud.oebiotech.com/#/lm/network/6007", "https://cloud.oebiotech.com/#/lm/network/6007")</f>
        <v>https://cloud.oebiotech.com/#/lm/network/6007</v>
      </c>
      <c r="I1008" s="2" t="s">
        <v>9274</v>
      </c>
      <c r="J1008" s="2">
        <v>36484</v>
      </c>
      <c r="K1008" s="2" t="s">
        <v>9275</v>
      </c>
      <c r="L1008" s="2">
        <v>93484</v>
      </c>
      <c r="M1008" s="2" t="s">
        <v>9276</v>
      </c>
      <c r="N1008" s="2"/>
      <c r="O1008" s="2"/>
      <c r="P1008" s="2"/>
      <c r="Q1008" s="2"/>
      <c r="R1008" s="2"/>
      <c r="S1008" s="2" t="s">
        <v>9277</v>
      </c>
      <c r="T1008" s="2" t="s">
        <v>9278</v>
      </c>
      <c r="U1008" s="2" t="s">
        <v>9279</v>
      </c>
      <c r="V1008" s="2" t="s">
        <v>95</v>
      </c>
      <c r="W1008" s="2" t="s">
        <v>96</v>
      </c>
      <c r="X1008" s="2" t="s">
        <v>353</v>
      </c>
      <c r="Y1008" s="2" t="s">
        <v>98</v>
      </c>
      <c r="Z1008" s="2" t="s">
        <v>99</v>
      </c>
      <c r="AA1008" s="2" t="s">
        <v>354</v>
      </c>
      <c r="AB1008" s="2" t="s">
        <v>3086</v>
      </c>
      <c r="AC1008" s="2">
        <v>50.78</v>
      </c>
      <c r="AD1008" s="2">
        <v>89.64</v>
      </c>
      <c r="AE1008" s="2">
        <v>0</v>
      </c>
      <c r="AF1008" s="2" t="s">
        <v>5614</v>
      </c>
      <c r="AG1008" s="2" t="s">
        <v>1088</v>
      </c>
      <c r="AH1008" s="2" t="s">
        <v>9280</v>
      </c>
      <c r="AI1008" s="2">
        <v>3.45</v>
      </c>
      <c r="AJ1008" s="2">
        <v>18.3672126089307</v>
      </c>
      <c r="AK1008" s="2">
        <v>18.122568383385602</v>
      </c>
      <c r="AL1008" s="2">
        <v>18.5608433376003</v>
      </c>
      <c r="AM1008" s="2">
        <v>17.779388302049401</v>
      </c>
      <c r="AN1008" s="2">
        <v>18.061496081303002</v>
      </c>
      <c r="AO1008" s="2">
        <v>18.619139755926099</v>
      </c>
      <c r="AP1008" s="2">
        <v>18.090117744969401</v>
      </c>
      <c r="AQ1008" s="2">
        <v>18.150993342339302</v>
      </c>
      <c r="AR1008" s="2">
        <v>17.849245036978601</v>
      </c>
      <c r="AS1008" s="2">
        <v>18.5576745977625</v>
      </c>
      <c r="AT1008" s="2">
        <v>18.367990219631299</v>
      </c>
      <c r="AU1008" s="2">
        <v>17.828846299218402</v>
      </c>
      <c r="AV1008" s="2">
        <v>18.438263120485999</v>
      </c>
      <c r="AW1008" s="2">
        <v>17.953254779234101</v>
      </c>
      <c r="AX1008" s="2">
        <v>18.170296937445301</v>
      </c>
      <c r="AY1008" s="2">
        <v>18.063746021361101</v>
      </c>
      <c r="AZ1008" s="2">
        <v>18.4435966157472</v>
      </c>
      <c r="BA1008" s="2">
        <v>18.171485130208598</v>
      </c>
      <c r="BB1008" s="2">
        <v>18.160950451887601</v>
      </c>
      <c r="BC1008" s="2">
        <v>17.947065111077201</v>
      </c>
      <c r="BD1008" s="2">
        <v>17.996565232093499</v>
      </c>
      <c r="BE1008" s="2">
        <v>17.985490813142</v>
      </c>
      <c r="BF1008" s="2">
        <v>17.911871249930101</v>
      </c>
      <c r="BG1008" s="2">
        <v>18.322384984564</v>
      </c>
      <c r="BH1008" s="2">
        <v>18.527807234610901</v>
      </c>
      <c r="BI1008" s="2">
        <v>18.108063842230202</v>
      </c>
      <c r="BJ1008" s="2">
        <v>18.577198667716502</v>
      </c>
      <c r="BK1008" s="2">
        <v>18.355127034543699</v>
      </c>
      <c r="BL1008" s="2">
        <v>18.073055300082299</v>
      </c>
      <c r="BM1008" s="2">
        <v>18.042082342274</v>
      </c>
      <c r="BN1008" s="2">
        <v>17.834430002020301</v>
      </c>
      <c r="BO1008" s="2">
        <v>18.498826344881</v>
      </c>
      <c r="BP1008" s="2">
        <v>18.165012171712799</v>
      </c>
      <c r="BQ1008" s="2">
        <v>18.280087277889599</v>
      </c>
      <c r="BR1008" s="2">
        <v>18.159962123058101</v>
      </c>
      <c r="BS1008" s="2">
        <v>18.032247181627401</v>
      </c>
      <c r="BT1008" s="2">
        <v>18.404371941944699</v>
      </c>
      <c r="BU1008" s="2">
        <v>18.293842288710302</v>
      </c>
      <c r="BV1008" s="2">
        <v>17.1433591967761</v>
      </c>
      <c r="BW1008" s="2">
        <v>18.1095699174465</v>
      </c>
      <c r="BX1008" s="2">
        <v>18.271435533928098</v>
      </c>
      <c r="BY1008" s="2">
        <v>17.297739350351101</v>
      </c>
      <c r="BZ1008" s="2">
        <v>18.134788773475599</v>
      </c>
      <c r="CA1008" s="2">
        <v>17.840282502099502</v>
      </c>
      <c r="CB1008" s="2">
        <v>18.103218899634602</v>
      </c>
      <c r="CC1008" s="2">
        <v>17.953533642879801</v>
      </c>
      <c r="CD1008" s="2">
        <v>18.474374011188299</v>
      </c>
      <c r="CE1008" s="2">
        <v>18.1699132607122</v>
      </c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</row>
    <row r="1009" spans="1:97">
      <c r="A1009" s="2" t="s">
        <v>9281</v>
      </c>
      <c r="B1009" s="2">
        <v>347.1232</v>
      </c>
      <c r="C1009" s="2">
        <v>4.4649999999999999</v>
      </c>
      <c r="D1009" s="2" t="s">
        <v>84</v>
      </c>
      <c r="E1009" s="2" t="s">
        <v>9282</v>
      </c>
      <c r="F1009" s="2" t="s">
        <v>9283</v>
      </c>
      <c r="G1009" s="2">
        <v>274441</v>
      </c>
      <c r="H1009" s="3" t="str">
        <f>HYPERLINK("https://cloud.oebiotech.com/#/lm/network/274441", "https://cloud.oebiotech.com/#/lm/network/274441")</f>
        <v>https://cloud.oebiotech.com/#/lm/network/274441</v>
      </c>
      <c r="I1009" s="2"/>
      <c r="J1009" s="2">
        <v>64471</v>
      </c>
      <c r="K1009" s="2"/>
      <c r="L1009" s="2">
        <v>135438594</v>
      </c>
      <c r="M1009" s="2" t="s">
        <v>9284</v>
      </c>
      <c r="N1009" s="2"/>
      <c r="O1009" s="2"/>
      <c r="P1009" s="2"/>
      <c r="Q1009" s="2"/>
      <c r="R1009" s="2"/>
      <c r="S1009" s="2" t="s">
        <v>9285</v>
      </c>
      <c r="T1009" s="2" t="s">
        <v>9286</v>
      </c>
      <c r="U1009" s="2" t="s">
        <v>9287</v>
      </c>
      <c r="V1009" s="2" t="s">
        <v>115</v>
      </c>
      <c r="W1009" s="2" t="s">
        <v>116</v>
      </c>
      <c r="X1009" s="2" t="s">
        <v>117</v>
      </c>
      <c r="Y1009" s="2" t="s">
        <v>118</v>
      </c>
      <c r="Z1009" s="2" t="s">
        <v>119</v>
      </c>
      <c r="AA1009" s="2" t="s">
        <v>120</v>
      </c>
      <c r="AB1009" s="2" t="s">
        <v>3086</v>
      </c>
      <c r="AC1009" s="2">
        <v>50.74</v>
      </c>
      <c r="AD1009" s="2">
        <v>88.82</v>
      </c>
      <c r="AE1009" s="2">
        <v>0</v>
      </c>
      <c r="AF1009" s="2" t="s">
        <v>5614</v>
      </c>
      <c r="AG1009" s="2" t="s">
        <v>103</v>
      </c>
      <c r="AH1009" s="2" t="s">
        <v>9288</v>
      </c>
      <c r="AI1009" s="2">
        <v>1.44</v>
      </c>
      <c r="AJ1009" s="2">
        <v>16.605401674785799</v>
      </c>
      <c r="AK1009" s="2">
        <v>16.9439490187352</v>
      </c>
      <c r="AL1009" s="2">
        <v>17.411992203312501</v>
      </c>
      <c r="AM1009" s="2">
        <v>16.4343760727531</v>
      </c>
      <c r="AN1009" s="2">
        <v>17.372292468705801</v>
      </c>
      <c r="AO1009" s="2">
        <v>16.584765243773901</v>
      </c>
      <c r="AP1009" s="2">
        <v>17.237646916428101</v>
      </c>
      <c r="AQ1009" s="2">
        <v>17.379238064384399</v>
      </c>
      <c r="AR1009" s="2">
        <v>16.225957327434099</v>
      </c>
      <c r="AS1009" s="2">
        <v>9.6233145402724691</v>
      </c>
      <c r="AT1009" s="2">
        <v>15.832083760181799</v>
      </c>
      <c r="AU1009" s="2">
        <v>14.3327386979789</v>
      </c>
      <c r="AV1009" s="2">
        <v>14.8797268227871</v>
      </c>
      <c r="AW1009" s="2">
        <v>16.834445618902102</v>
      </c>
      <c r="AX1009" s="2">
        <v>14.260905571082199</v>
      </c>
      <c r="AY1009" s="2">
        <v>16.8567450221841</v>
      </c>
      <c r="AZ1009" s="2">
        <v>15.1998552003647</v>
      </c>
      <c r="BA1009" s="2">
        <v>16.431455816685698</v>
      </c>
      <c r="BB1009" s="2">
        <v>17.5997499401014</v>
      </c>
      <c r="BC1009" s="2">
        <v>17.3118872677403</v>
      </c>
      <c r="BD1009" s="2">
        <v>14.0999493558793</v>
      </c>
      <c r="BE1009" s="2">
        <v>17.349196553017801</v>
      </c>
      <c r="BF1009" s="2">
        <v>16.509244595194399</v>
      </c>
      <c r="BG1009" s="2">
        <v>16.761416181224899</v>
      </c>
      <c r="BH1009" s="2">
        <v>14.4882613025572</v>
      </c>
      <c r="BI1009" s="2">
        <v>16.979026438520901</v>
      </c>
      <c r="BJ1009" s="2">
        <v>16.754167879797102</v>
      </c>
      <c r="BK1009" s="2">
        <v>16.825191971622601</v>
      </c>
      <c r="BL1009" s="2">
        <v>14.139223575269099</v>
      </c>
      <c r="BM1009" s="2">
        <v>15.199962142856901</v>
      </c>
      <c r="BN1009" s="2">
        <v>17.302181048189201</v>
      </c>
      <c r="BO1009" s="2">
        <v>16.473094668799799</v>
      </c>
      <c r="BP1009" s="2">
        <v>17.650543563107298</v>
      </c>
      <c r="BQ1009" s="2">
        <v>16.791812926762699</v>
      </c>
      <c r="BR1009" s="2">
        <v>15.906279950914399</v>
      </c>
      <c r="BS1009" s="2">
        <v>17.158727324438701</v>
      </c>
      <c r="BT1009" s="2">
        <v>14.579794399233799</v>
      </c>
      <c r="BU1009" s="2">
        <v>17.923383317268399</v>
      </c>
      <c r="BV1009" s="2">
        <v>16.255949882629402</v>
      </c>
      <c r="BW1009" s="2">
        <v>15.582631560852199</v>
      </c>
      <c r="BX1009" s="2">
        <v>16.4450481573537</v>
      </c>
      <c r="BY1009" s="2">
        <v>17.528134258171299</v>
      </c>
      <c r="BZ1009" s="2">
        <v>16.810850873833399</v>
      </c>
      <c r="CA1009" s="2">
        <v>16.347662369367502</v>
      </c>
      <c r="CB1009" s="2">
        <v>16.619228434119101</v>
      </c>
      <c r="CC1009" s="2">
        <v>15.737937835262899</v>
      </c>
      <c r="CD1009" s="2">
        <v>17.640150089577901</v>
      </c>
      <c r="CE1009" s="2">
        <v>16.736094157728299</v>
      </c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</row>
    <row r="1010" spans="1:97">
      <c r="A1010" s="2" t="s">
        <v>9289</v>
      </c>
      <c r="B1010" s="2">
        <v>132.04435000000001</v>
      </c>
      <c r="C1010" s="2">
        <v>3.9510000000000001</v>
      </c>
      <c r="D1010" s="2" t="s">
        <v>84</v>
      </c>
      <c r="E1010" s="2" t="s">
        <v>9290</v>
      </c>
      <c r="F1010" s="2" t="s">
        <v>9291</v>
      </c>
      <c r="G1010" s="2">
        <v>203421</v>
      </c>
      <c r="H1010" s="3" t="str">
        <f>HYPERLINK("https://cloud.oebiotech.com/#/lm/network/203421", "https://cloud.oebiotech.com/#/lm/network/203421")</f>
        <v>https://cloud.oebiotech.com/#/lm/network/203421</v>
      </c>
      <c r="I1010" s="2" t="s">
        <v>9292</v>
      </c>
      <c r="J1010" s="2"/>
      <c r="K1010" s="2"/>
      <c r="L1010" s="2">
        <v>170262</v>
      </c>
      <c r="M1010" s="2"/>
      <c r="N1010" s="2"/>
      <c r="O1010" s="2"/>
      <c r="P1010" s="2"/>
      <c r="Q1010" s="2"/>
      <c r="R1010" s="2"/>
      <c r="S1010" s="2"/>
      <c r="T1010" s="2" t="s">
        <v>9293</v>
      </c>
      <c r="U1010" s="2" t="s">
        <v>9294</v>
      </c>
      <c r="V1010" s="2" t="s">
        <v>553</v>
      </c>
      <c r="W1010" s="2" t="s">
        <v>933</v>
      </c>
      <c r="X1010" s="2" t="s">
        <v>2286</v>
      </c>
      <c r="Y1010" s="2" t="s">
        <v>556</v>
      </c>
      <c r="Z1010" s="2" t="s">
        <v>935</v>
      </c>
      <c r="AA1010" s="2" t="s">
        <v>2287</v>
      </c>
      <c r="AB1010" s="2" t="s">
        <v>3086</v>
      </c>
      <c r="AC1010" s="2">
        <v>50.71</v>
      </c>
      <c r="AD1010" s="2">
        <v>95.32</v>
      </c>
      <c r="AE1010" s="2">
        <v>0</v>
      </c>
      <c r="AF1010" s="2" t="s">
        <v>5614</v>
      </c>
      <c r="AG1010" s="2" t="s">
        <v>1088</v>
      </c>
      <c r="AH1010" s="2" t="s">
        <v>9295</v>
      </c>
      <c r="AI1010" s="2">
        <v>4.54</v>
      </c>
      <c r="AJ1010" s="2">
        <v>20.3118857492641</v>
      </c>
      <c r="AK1010" s="2">
        <v>20.147644270156398</v>
      </c>
      <c r="AL1010" s="2">
        <v>20.039283565067102</v>
      </c>
      <c r="AM1010" s="2">
        <v>20.115792995923201</v>
      </c>
      <c r="AN1010" s="2">
        <v>20.3047683439016</v>
      </c>
      <c r="AO1010" s="2">
        <v>19.949162146691801</v>
      </c>
      <c r="AP1010" s="2">
        <v>19.608087840407698</v>
      </c>
      <c r="AQ1010" s="2">
        <v>19.658942068025102</v>
      </c>
      <c r="AR1010" s="2">
        <v>19.062387233956599</v>
      </c>
      <c r="AS1010" s="2">
        <v>19.343686838945398</v>
      </c>
      <c r="AT1010" s="2">
        <v>19.710053544660799</v>
      </c>
      <c r="AU1010" s="2">
        <v>20.5544345034095</v>
      </c>
      <c r="AV1010" s="2">
        <v>21.6129029002288</v>
      </c>
      <c r="AW1010" s="2">
        <v>19.8998880400021</v>
      </c>
      <c r="AX1010" s="2">
        <v>19.8955013825998</v>
      </c>
      <c r="AY1010" s="2">
        <v>20.551255874852998</v>
      </c>
      <c r="AZ1010" s="2">
        <v>19.784679986576698</v>
      </c>
      <c r="BA1010" s="2">
        <v>18.843409746602401</v>
      </c>
      <c r="BB1010" s="2">
        <v>20.2771379101322</v>
      </c>
      <c r="BC1010" s="2">
        <v>20.395889188574099</v>
      </c>
      <c r="BD1010" s="2">
        <v>20.189925794588198</v>
      </c>
      <c r="BE1010" s="2">
        <v>21.488375873555299</v>
      </c>
      <c r="BF1010" s="2">
        <v>18.980988618489501</v>
      </c>
      <c r="BG1010" s="2">
        <v>20.241020274765699</v>
      </c>
      <c r="BH1010" s="2">
        <v>20.3966068506063</v>
      </c>
      <c r="BI1010" s="2">
        <v>20.600215765375001</v>
      </c>
      <c r="BJ1010" s="2">
        <v>20.550322696575702</v>
      </c>
      <c r="BK1010" s="2">
        <v>19.965602118823998</v>
      </c>
      <c r="BL1010" s="2">
        <v>20.616744162606398</v>
      </c>
      <c r="BM1010" s="2">
        <v>19.195613685767501</v>
      </c>
      <c r="BN1010" s="2">
        <v>20.74001344373</v>
      </c>
      <c r="BO1010" s="2">
        <v>18.5896902399429</v>
      </c>
      <c r="BP1010" s="2">
        <v>20.0159221335119</v>
      </c>
      <c r="BQ1010" s="2">
        <v>19.255599780229701</v>
      </c>
      <c r="BR1010" s="2">
        <v>20.014249606618499</v>
      </c>
      <c r="BS1010" s="2">
        <v>19.642274645803699</v>
      </c>
      <c r="BT1010" s="2">
        <v>19.259466769985501</v>
      </c>
      <c r="BU1010" s="2">
        <v>19.499242335188502</v>
      </c>
      <c r="BV1010" s="2">
        <v>19.225447103505701</v>
      </c>
      <c r="BW1010" s="2">
        <v>18.460779033023002</v>
      </c>
      <c r="BX1010" s="2">
        <v>20.134123880300201</v>
      </c>
      <c r="BY1010" s="2">
        <v>20.748057246527399</v>
      </c>
      <c r="BZ1010" s="2">
        <v>18.2782650439887</v>
      </c>
      <c r="CA1010" s="2">
        <v>18.7486106699982</v>
      </c>
      <c r="CB1010" s="2">
        <v>19.219560684742099</v>
      </c>
      <c r="CC1010" s="2">
        <v>20.022145328007099</v>
      </c>
      <c r="CD1010" s="2">
        <v>18.5419367450842</v>
      </c>
      <c r="CE1010" s="2">
        <v>17.360476077345599</v>
      </c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</row>
    <row r="1011" spans="1:97">
      <c r="A1011" s="2" t="s">
        <v>9296</v>
      </c>
      <c r="B1011" s="2">
        <v>349.17682000000002</v>
      </c>
      <c r="C1011" s="2">
        <v>8.9809999999999999</v>
      </c>
      <c r="D1011" s="2" t="s">
        <v>84</v>
      </c>
      <c r="E1011" s="2" t="s">
        <v>9297</v>
      </c>
      <c r="F1011" s="2" t="s">
        <v>9298</v>
      </c>
      <c r="G1011" s="2">
        <v>2016</v>
      </c>
      <c r="H1011" s="3" t="str">
        <f>HYPERLINK("https://cloud.oebiotech.com/#/lm/network/2016", "https://cloud.oebiotech.com/#/lm/network/2016")</f>
        <v>https://cloud.oebiotech.com/#/lm/network/2016</v>
      </c>
      <c r="I1011" s="2"/>
      <c r="J1011" s="2"/>
      <c r="K1011" s="2" t="s">
        <v>9299</v>
      </c>
      <c r="L1011" s="2"/>
      <c r="M1011" s="2"/>
      <c r="N1011" s="2"/>
      <c r="O1011" s="2"/>
      <c r="P1011" s="2"/>
      <c r="Q1011" s="2"/>
      <c r="R1011" s="2"/>
      <c r="S1011" s="2"/>
      <c r="T1011" s="2" t="s">
        <v>9300</v>
      </c>
      <c r="U1011" s="2" t="s">
        <v>9301</v>
      </c>
      <c r="V1011" s="2" t="s">
        <v>95</v>
      </c>
      <c r="W1011" s="2" t="s">
        <v>96</v>
      </c>
      <c r="X1011" s="2" t="s">
        <v>141</v>
      </c>
      <c r="Y1011" s="2" t="s">
        <v>98</v>
      </c>
      <c r="Z1011" s="2" t="s">
        <v>99</v>
      </c>
      <c r="AA1011" s="2" t="s">
        <v>142</v>
      </c>
      <c r="AB1011" s="2" t="s">
        <v>3086</v>
      </c>
      <c r="AC1011" s="2">
        <v>50.71</v>
      </c>
      <c r="AD1011" s="2">
        <v>75.209999999999994</v>
      </c>
      <c r="AE1011" s="2">
        <v>0</v>
      </c>
      <c r="AF1011" s="2" t="s">
        <v>5614</v>
      </c>
      <c r="AG1011" s="2" t="s">
        <v>3544</v>
      </c>
      <c r="AH1011" s="2" t="s">
        <v>1024</v>
      </c>
      <c r="AI1011" s="2">
        <v>2.29</v>
      </c>
      <c r="AJ1011" s="2">
        <v>18.1641048192296</v>
      </c>
      <c r="AK1011" s="2">
        <v>17.7342564579426</v>
      </c>
      <c r="AL1011" s="2">
        <v>17.847346313853301</v>
      </c>
      <c r="AM1011" s="2">
        <v>17.822084618654898</v>
      </c>
      <c r="AN1011" s="2">
        <v>18.0416211888557</v>
      </c>
      <c r="AO1011" s="2">
        <v>17.574242714674899</v>
      </c>
      <c r="AP1011" s="2">
        <v>17.7557429485563</v>
      </c>
      <c r="AQ1011" s="2">
        <v>17.341666403538301</v>
      </c>
      <c r="AR1011" s="2">
        <v>14.2896709507041</v>
      </c>
      <c r="AS1011" s="2">
        <v>15.5438948704788</v>
      </c>
      <c r="AT1011" s="2">
        <v>17.410129249914899</v>
      </c>
      <c r="AU1011" s="2">
        <v>16.0962370590284</v>
      </c>
      <c r="AV1011" s="2">
        <v>17.6588122248552</v>
      </c>
      <c r="AW1011" s="2">
        <v>16.982426792150701</v>
      </c>
      <c r="AX1011" s="2">
        <v>16.8906889278236</v>
      </c>
      <c r="AY1011" s="2">
        <v>16.0641585722082</v>
      </c>
      <c r="AZ1011" s="2">
        <v>16.836052081476801</v>
      </c>
      <c r="BA1011" s="2">
        <v>15.6833732523998</v>
      </c>
      <c r="BB1011" s="2">
        <v>17.932995900285299</v>
      </c>
      <c r="BC1011" s="2">
        <v>18.098386008260601</v>
      </c>
      <c r="BD1011" s="2">
        <v>16.963175270080502</v>
      </c>
      <c r="BE1011" s="2">
        <v>17.606023869524499</v>
      </c>
      <c r="BF1011" s="2">
        <v>15.669225844947301</v>
      </c>
      <c r="BG1011" s="2">
        <v>15.513019087851999</v>
      </c>
      <c r="BH1011" s="2">
        <v>14.681044553081801</v>
      </c>
      <c r="BI1011" s="2">
        <v>17.690718129411799</v>
      </c>
      <c r="BJ1011" s="2">
        <v>14.533732452794499</v>
      </c>
      <c r="BK1011" s="2">
        <v>18.163090092774802</v>
      </c>
      <c r="BL1011" s="2">
        <v>16.6683747888226</v>
      </c>
      <c r="BM1011" s="2">
        <v>17.428151667658199</v>
      </c>
      <c r="BN1011" s="2">
        <v>18.4122739409306</v>
      </c>
      <c r="BO1011" s="2">
        <v>17.171894818780999</v>
      </c>
      <c r="BP1011" s="2">
        <v>18.7992081870219</v>
      </c>
      <c r="BQ1011" s="2">
        <v>17.6558211698975</v>
      </c>
      <c r="BR1011" s="2">
        <v>17.803636472471801</v>
      </c>
      <c r="BS1011" s="2">
        <v>17.5898102197994</v>
      </c>
      <c r="BT1011" s="2">
        <v>14.2947959062469</v>
      </c>
      <c r="BU1011" s="2">
        <v>16.687866085771699</v>
      </c>
      <c r="BV1011" s="2">
        <v>19.590278853782099</v>
      </c>
      <c r="BW1011" s="2">
        <v>16.421879915600901</v>
      </c>
      <c r="BX1011" s="2">
        <v>17.739403672275301</v>
      </c>
      <c r="BY1011" s="2">
        <v>19.1029353912066</v>
      </c>
      <c r="BZ1011" s="2">
        <v>14.320439547962399</v>
      </c>
      <c r="CA1011" s="2">
        <v>17.312023901891401</v>
      </c>
      <c r="CB1011" s="2">
        <v>17.262586447610399</v>
      </c>
      <c r="CC1011" s="2">
        <v>17.214909876352898</v>
      </c>
      <c r="CD1011" s="2">
        <v>18.4582072531914</v>
      </c>
      <c r="CE1011" s="2">
        <v>18.6273876810796</v>
      </c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</row>
    <row r="1012" spans="1:97">
      <c r="A1012" s="2" t="s">
        <v>9302</v>
      </c>
      <c r="B1012" s="2">
        <v>490.20668000000001</v>
      </c>
      <c r="C1012" s="2">
        <v>6.4429999999999996</v>
      </c>
      <c r="D1012" s="2" t="s">
        <v>84</v>
      </c>
      <c r="E1012" s="2" t="s">
        <v>9303</v>
      </c>
      <c r="F1012" s="2" t="s">
        <v>9304</v>
      </c>
      <c r="G1012" s="2">
        <v>29422</v>
      </c>
      <c r="H1012" s="3" t="str">
        <f>HYPERLINK("https://cloud.oebiotech.com/#/lm/network/29422", "https://cloud.oebiotech.com/#/lm/network/29422")</f>
        <v>https://cloud.oebiotech.com/#/lm/network/29422</v>
      </c>
      <c r="I1012" s="2"/>
      <c r="J1012" s="2">
        <v>47791</v>
      </c>
      <c r="K1012" s="2" t="s">
        <v>9305</v>
      </c>
      <c r="L1012" s="2">
        <v>14728999</v>
      </c>
      <c r="M1012" s="2"/>
      <c r="N1012" s="2"/>
      <c r="O1012" s="2"/>
      <c r="P1012" s="2"/>
      <c r="Q1012" s="2"/>
      <c r="R1012" s="2"/>
      <c r="S1012" s="2"/>
      <c r="T1012" s="2" t="s">
        <v>9306</v>
      </c>
      <c r="U1012" s="2" t="s">
        <v>9307</v>
      </c>
      <c r="V1012" s="2" t="s">
        <v>845</v>
      </c>
      <c r="W1012" s="2" t="s">
        <v>3853</v>
      </c>
      <c r="X1012" s="2" t="s">
        <v>5630</v>
      </c>
      <c r="Y1012" s="2" t="s">
        <v>847</v>
      </c>
      <c r="Z1012" s="2" t="s">
        <v>3855</v>
      </c>
      <c r="AA1012" s="2" t="s">
        <v>5631</v>
      </c>
      <c r="AB1012" s="2" t="s">
        <v>3086</v>
      </c>
      <c r="AC1012" s="2">
        <v>50.71</v>
      </c>
      <c r="AD1012" s="2">
        <v>81.94</v>
      </c>
      <c r="AE1012" s="2">
        <v>0</v>
      </c>
      <c r="AF1012" s="2" t="s">
        <v>9308</v>
      </c>
      <c r="AG1012" s="2" t="s">
        <v>132</v>
      </c>
      <c r="AH1012" s="2" t="s">
        <v>9309</v>
      </c>
      <c r="AI1012" s="2">
        <v>1.02</v>
      </c>
      <c r="AJ1012" s="2">
        <v>17.385873183075301</v>
      </c>
      <c r="AK1012" s="2">
        <v>17.6460192439725</v>
      </c>
      <c r="AL1012" s="2">
        <v>16.511661401655399</v>
      </c>
      <c r="AM1012" s="2">
        <v>17.607470472625199</v>
      </c>
      <c r="AN1012" s="2">
        <v>17.7038061985143</v>
      </c>
      <c r="AO1012" s="2">
        <v>17.6555309327847</v>
      </c>
      <c r="AP1012" s="2">
        <v>17.621202879312701</v>
      </c>
      <c r="AQ1012" s="2">
        <v>17.466820103559701</v>
      </c>
      <c r="AR1012" s="2">
        <v>9.6233145402724691</v>
      </c>
      <c r="AS1012" s="2">
        <v>14.3892952269088</v>
      </c>
      <c r="AT1012" s="2">
        <v>13.9007479618363</v>
      </c>
      <c r="AU1012" s="2">
        <v>9.6233145402724691</v>
      </c>
      <c r="AV1012" s="2">
        <v>9.6233145402724691</v>
      </c>
      <c r="AW1012" s="2">
        <v>9.6233145402724691</v>
      </c>
      <c r="AX1012" s="2">
        <v>9.6233145402724691</v>
      </c>
      <c r="AY1012" s="2">
        <v>19.010012730492502</v>
      </c>
      <c r="AZ1012" s="2">
        <v>16.765992948680498</v>
      </c>
      <c r="BA1012" s="2">
        <v>17.904446111687999</v>
      </c>
      <c r="BB1012" s="2">
        <v>16.0359095236666</v>
      </c>
      <c r="BC1012" s="2">
        <v>16.3820344341602</v>
      </c>
      <c r="BD1012" s="2">
        <v>9.6233145402724691</v>
      </c>
      <c r="BE1012" s="2">
        <v>17.512391951475401</v>
      </c>
      <c r="BF1012" s="2">
        <v>9.6233145402724691</v>
      </c>
      <c r="BG1012" s="2">
        <v>9.6233145402724691</v>
      </c>
      <c r="BH1012" s="2">
        <v>9.6233145402724691</v>
      </c>
      <c r="BI1012" s="2">
        <v>19.289450928763198</v>
      </c>
      <c r="BJ1012" s="2">
        <v>9.6233145402724691</v>
      </c>
      <c r="BK1012" s="2">
        <v>17.8741104288404</v>
      </c>
      <c r="BL1012" s="2">
        <v>17.072799604276199</v>
      </c>
      <c r="BM1012" s="2">
        <v>15.920639430454701</v>
      </c>
      <c r="BN1012" s="2">
        <v>16.017598568162899</v>
      </c>
      <c r="BO1012" s="2">
        <v>9.6233145402724691</v>
      </c>
      <c r="BP1012" s="2">
        <v>9.6233145402724691</v>
      </c>
      <c r="BQ1012" s="2">
        <v>13.694702847732801</v>
      </c>
      <c r="BR1012" s="2">
        <v>9.6233145402724691</v>
      </c>
      <c r="BS1012" s="2">
        <v>18.362830411639901</v>
      </c>
      <c r="BT1012" s="2">
        <v>9.6233145402724691</v>
      </c>
      <c r="BU1012" s="2">
        <v>17.121259809117401</v>
      </c>
      <c r="BV1012" s="2">
        <v>14.8516987843214</v>
      </c>
      <c r="BW1012" s="2">
        <v>9.6233145402724691</v>
      </c>
      <c r="BX1012" s="2">
        <v>15.0429225818436</v>
      </c>
      <c r="BY1012" s="2">
        <v>18.638095125851201</v>
      </c>
      <c r="BZ1012" s="2">
        <v>9.6233145402724691</v>
      </c>
      <c r="CA1012" s="2">
        <v>16.612481227718799</v>
      </c>
      <c r="CB1012" s="2">
        <v>18.908264628220401</v>
      </c>
      <c r="CC1012" s="2">
        <v>20.688783101097702</v>
      </c>
      <c r="CD1012" s="2">
        <v>14.7692929085136</v>
      </c>
      <c r="CE1012" s="2">
        <v>19.989638015577501</v>
      </c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</row>
    <row r="1013" spans="1:97">
      <c r="A1013" s="2" t="s">
        <v>9310</v>
      </c>
      <c r="B1013" s="2">
        <v>264.07145000000003</v>
      </c>
      <c r="C1013" s="2">
        <v>1.2689999999999999</v>
      </c>
      <c r="D1013" s="2" t="s">
        <v>146</v>
      </c>
      <c r="E1013" s="2" t="s">
        <v>9311</v>
      </c>
      <c r="F1013" s="2" t="s">
        <v>9312</v>
      </c>
      <c r="G1013" s="2">
        <v>209790</v>
      </c>
      <c r="H1013" s="3" t="str">
        <f>HYPERLINK("https://cloud.oebiotech.com/#/lm/network/209790", "https://cloud.oebiotech.com/#/lm/network/209790")</f>
        <v>https://cloud.oebiotech.com/#/lm/network/209790</v>
      </c>
      <c r="I1013" s="2" t="s">
        <v>9313</v>
      </c>
      <c r="J1013" s="2"/>
      <c r="K1013" s="2"/>
      <c r="L1013" s="2">
        <v>954</v>
      </c>
      <c r="M1013" s="2"/>
      <c r="N1013" s="2"/>
      <c r="O1013" s="2"/>
      <c r="P1013" s="2"/>
      <c r="Q1013" s="2"/>
      <c r="R1013" s="2"/>
      <c r="S1013" s="2"/>
      <c r="T1013" s="2" t="s">
        <v>9314</v>
      </c>
      <c r="U1013" s="2" t="s">
        <v>9315</v>
      </c>
      <c r="V1013" s="2" t="s">
        <v>115</v>
      </c>
      <c r="W1013" s="2" t="s">
        <v>116</v>
      </c>
      <c r="X1013" s="2" t="s">
        <v>117</v>
      </c>
      <c r="Y1013" s="2" t="s">
        <v>118</v>
      </c>
      <c r="Z1013" s="2" t="s">
        <v>119</v>
      </c>
      <c r="AA1013" s="2" t="s">
        <v>120</v>
      </c>
      <c r="AB1013" s="2" t="s">
        <v>3086</v>
      </c>
      <c r="AC1013" s="2">
        <v>50.67</v>
      </c>
      <c r="AD1013" s="2">
        <v>93.65</v>
      </c>
      <c r="AE1013" s="2">
        <v>0</v>
      </c>
      <c r="AF1013" s="2" t="s">
        <v>5614</v>
      </c>
      <c r="AG1013" s="2" t="s">
        <v>157</v>
      </c>
      <c r="AH1013" s="2" t="s">
        <v>9316</v>
      </c>
      <c r="AI1013" s="2">
        <v>3.79</v>
      </c>
      <c r="AJ1013" s="2">
        <v>17.092300549661601</v>
      </c>
      <c r="AK1013" s="2">
        <v>17.780615055386001</v>
      </c>
      <c r="AL1013" s="2">
        <v>18.014178463541999</v>
      </c>
      <c r="AM1013" s="2">
        <v>18.0444440163953</v>
      </c>
      <c r="AN1013" s="2">
        <v>16.743287639872399</v>
      </c>
      <c r="AO1013" s="2">
        <v>18.0045311276753</v>
      </c>
      <c r="AP1013" s="2">
        <v>17.950454972297301</v>
      </c>
      <c r="AQ1013" s="2">
        <v>17.7340095734552</v>
      </c>
      <c r="AR1013" s="2">
        <v>17.447498241681298</v>
      </c>
      <c r="AS1013" s="2">
        <v>17.806280375348202</v>
      </c>
      <c r="AT1013" s="2">
        <v>17.184880668568798</v>
      </c>
      <c r="AU1013" s="2">
        <v>17.693121146333201</v>
      </c>
      <c r="AV1013" s="2">
        <v>17.7252405598514</v>
      </c>
      <c r="AW1013" s="2">
        <v>17.879582830836799</v>
      </c>
      <c r="AX1013" s="2">
        <v>16.903548499306901</v>
      </c>
      <c r="AY1013" s="2">
        <v>17.818656691833802</v>
      </c>
      <c r="AZ1013" s="2">
        <v>17.8061916224577</v>
      </c>
      <c r="BA1013" s="2">
        <v>18.007957896667001</v>
      </c>
      <c r="BB1013" s="2">
        <v>17.789875556798201</v>
      </c>
      <c r="BC1013" s="2">
        <v>17.457822354697299</v>
      </c>
      <c r="BD1013" s="2">
        <v>17.8274918193468</v>
      </c>
      <c r="BE1013" s="2">
        <v>17.4114974163402</v>
      </c>
      <c r="BF1013" s="2">
        <v>17.6235816116445</v>
      </c>
      <c r="BG1013" s="2">
        <v>17.3184108520061</v>
      </c>
      <c r="BH1013" s="2">
        <v>17.939238632159299</v>
      </c>
      <c r="BI1013" s="2">
        <v>17.679481886378898</v>
      </c>
      <c r="BJ1013" s="2">
        <v>17.776568034603301</v>
      </c>
      <c r="BK1013" s="2">
        <v>18.008211610584102</v>
      </c>
      <c r="BL1013" s="2">
        <v>17.9626580286678</v>
      </c>
      <c r="BM1013" s="2">
        <v>18.011613171907499</v>
      </c>
      <c r="BN1013" s="2">
        <v>16.629882080009299</v>
      </c>
      <c r="BO1013" s="2">
        <v>17.370590016156601</v>
      </c>
      <c r="BP1013" s="2">
        <v>17.808461539047901</v>
      </c>
      <c r="BQ1013" s="2">
        <v>17.5251270330929</v>
      </c>
      <c r="BR1013" s="2">
        <v>17.086364324023101</v>
      </c>
      <c r="BS1013" s="2">
        <v>17.511598633527399</v>
      </c>
      <c r="BT1013" s="2">
        <v>17.506040600162699</v>
      </c>
      <c r="BU1013" s="2">
        <v>17.424352323058599</v>
      </c>
      <c r="BV1013" s="2">
        <v>17.338499453376802</v>
      </c>
      <c r="BW1013" s="2">
        <v>17.664183227413499</v>
      </c>
      <c r="BX1013" s="2">
        <v>17.4612823902076</v>
      </c>
      <c r="BY1013" s="2">
        <v>15.7214808049988</v>
      </c>
      <c r="BZ1013" s="2">
        <v>16.547164608411599</v>
      </c>
      <c r="CA1013" s="2">
        <v>17.375520492781799</v>
      </c>
      <c r="CB1013" s="2">
        <v>17.631859553476701</v>
      </c>
      <c r="CC1013" s="2">
        <v>17.546486956716599</v>
      </c>
      <c r="CD1013" s="2">
        <v>17.108436552122299</v>
      </c>
      <c r="CE1013" s="2">
        <v>17.466397943474899</v>
      </c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</row>
    <row r="1014" spans="1:97">
      <c r="A1014" s="2" t="s">
        <v>9317</v>
      </c>
      <c r="B1014" s="2">
        <v>651.13369999999998</v>
      </c>
      <c r="C1014" s="2">
        <v>0.76400000000000001</v>
      </c>
      <c r="D1014" s="2" t="s">
        <v>84</v>
      </c>
      <c r="E1014" s="2" t="s">
        <v>9318</v>
      </c>
      <c r="F1014" s="2" t="s">
        <v>9319</v>
      </c>
      <c r="G1014" s="2">
        <v>34784</v>
      </c>
      <c r="H1014" s="3" t="str">
        <f>HYPERLINK("https://cloud.oebiotech.com/#/lm/network/34784", "https://cloud.oebiotech.com/#/lm/network/34784")</f>
        <v>https://cloud.oebiotech.com/#/lm/network/34784</v>
      </c>
      <c r="I1014" s="2" t="s">
        <v>9320</v>
      </c>
      <c r="J1014" s="2"/>
      <c r="K1014" s="2" t="s">
        <v>9321</v>
      </c>
      <c r="L1014" s="2">
        <v>42608099</v>
      </c>
      <c r="M1014" s="2"/>
      <c r="N1014" s="2"/>
      <c r="O1014" s="2"/>
      <c r="P1014" s="2"/>
      <c r="Q1014" s="2"/>
      <c r="R1014" s="2"/>
      <c r="S1014" s="2"/>
      <c r="T1014" s="2" t="s">
        <v>9322</v>
      </c>
      <c r="U1014" s="2" t="s">
        <v>9323</v>
      </c>
      <c r="V1014" s="2" t="s">
        <v>845</v>
      </c>
      <c r="W1014" s="2" t="s">
        <v>1853</v>
      </c>
      <c r="X1014" s="2" t="s">
        <v>6175</v>
      </c>
      <c r="Y1014" s="2" t="s">
        <v>847</v>
      </c>
      <c r="Z1014" s="2" t="s">
        <v>1855</v>
      </c>
      <c r="AA1014" s="2" t="s">
        <v>6176</v>
      </c>
      <c r="AB1014" s="2" t="s">
        <v>5118</v>
      </c>
      <c r="AC1014" s="2">
        <v>50.67</v>
      </c>
      <c r="AD1014" s="2">
        <v>90.9</v>
      </c>
      <c r="AE1014" s="2">
        <v>86.2</v>
      </c>
      <c r="AF1014" s="2" t="s">
        <v>9324</v>
      </c>
      <c r="AG1014" s="2" t="s">
        <v>3544</v>
      </c>
      <c r="AH1014" s="2" t="s">
        <v>9325</v>
      </c>
      <c r="AI1014" s="2">
        <v>-2.2999999999999998</v>
      </c>
      <c r="AJ1014" s="2">
        <v>24.919074997018701</v>
      </c>
      <c r="AK1014" s="2">
        <v>24.590263273979499</v>
      </c>
      <c r="AL1014" s="2">
        <v>24.666567023673998</v>
      </c>
      <c r="AM1014" s="2">
        <v>24.794221987290101</v>
      </c>
      <c r="AN1014" s="2">
        <v>24.558253725293302</v>
      </c>
      <c r="AO1014" s="2">
        <v>24.872869906589699</v>
      </c>
      <c r="AP1014" s="2">
        <v>24.613647252101799</v>
      </c>
      <c r="AQ1014" s="2">
        <v>24.599900137684099</v>
      </c>
      <c r="AR1014" s="2">
        <v>24.946446367433801</v>
      </c>
      <c r="AS1014" s="2">
        <v>24.814499504941999</v>
      </c>
      <c r="AT1014" s="2">
        <v>24.8818821593382</v>
      </c>
      <c r="AU1014" s="2">
        <v>24.911522757481499</v>
      </c>
      <c r="AV1014" s="2">
        <v>24.874872254585799</v>
      </c>
      <c r="AW1014" s="2">
        <v>24.765140694463199</v>
      </c>
      <c r="AX1014" s="2">
        <v>24.670598968397702</v>
      </c>
      <c r="AY1014" s="2">
        <v>24.9750229670131</v>
      </c>
      <c r="AZ1014" s="2">
        <v>24.5991552087131</v>
      </c>
      <c r="BA1014" s="2">
        <v>24.767580180081499</v>
      </c>
      <c r="BB1014" s="2">
        <v>24.3230285264146</v>
      </c>
      <c r="BC1014" s="2">
        <v>24.686379048218001</v>
      </c>
      <c r="BD1014" s="2">
        <v>24.933521081263098</v>
      </c>
      <c r="BE1014" s="2">
        <v>24.070384365773901</v>
      </c>
      <c r="BF1014" s="2">
        <v>24.8787057374292</v>
      </c>
      <c r="BG1014" s="2">
        <v>24.545451086853902</v>
      </c>
      <c r="BH1014" s="2">
        <v>24.732297237706799</v>
      </c>
      <c r="BI1014" s="2">
        <v>24.539745059762801</v>
      </c>
      <c r="BJ1014" s="2">
        <v>24.418291861683201</v>
      </c>
      <c r="BK1014" s="2">
        <v>24.850427839539599</v>
      </c>
      <c r="BL1014" s="2">
        <v>24.872168180858999</v>
      </c>
      <c r="BM1014" s="2">
        <v>25.093409072383899</v>
      </c>
      <c r="BN1014" s="2">
        <v>24.485168755792198</v>
      </c>
      <c r="BO1014" s="2">
        <v>24.129227957073599</v>
      </c>
      <c r="BP1014" s="2">
        <v>24.318307567517898</v>
      </c>
      <c r="BQ1014" s="2">
        <v>24.741086539679099</v>
      </c>
      <c r="BR1014" s="2">
        <v>24.523871061606201</v>
      </c>
      <c r="BS1014" s="2">
        <v>24.3349020609676</v>
      </c>
      <c r="BT1014" s="2">
        <v>24.726813161339098</v>
      </c>
      <c r="BU1014" s="2">
        <v>24.919212779655101</v>
      </c>
      <c r="BV1014" s="2">
        <v>24.563923557412199</v>
      </c>
      <c r="BW1014" s="2">
        <v>25.012300757198499</v>
      </c>
      <c r="BX1014" s="2">
        <v>24.874497950988498</v>
      </c>
      <c r="BY1014" s="2">
        <v>24.191759529390598</v>
      </c>
      <c r="BZ1014" s="2">
        <v>24.715326449904499</v>
      </c>
      <c r="CA1014" s="2">
        <v>24.6326971435908</v>
      </c>
      <c r="CB1014" s="2">
        <v>24.3415268890036</v>
      </c>
      <c r="CC1014" s="2">
        <v>24.290169027949101</v>
      </c>
      <c r="CD1014" s="2">
        <v>23.9999653708776</v>
      </c>
      <c r="CE1014" s="2">
        <v>24.451952919419998</v>
      </c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</row>
    <row r="1015" spans="1:97">
      <c r="A1015" s="2" t="s">
        <v>9326</v>
      </c>
      <c r="B1015" s="2">
        <v>169.04940999999999</v>
      </c>
      <c r="C1015" s="2">
        <v>6.1120000000000001</v>
      </c>
      <c r="D1015" s="2" t="s">
        <v>84</v>
      </c>
      <c r="E1015" s="2" t="s">
        <v>9327</v>
      </c>
      <c r="F1015" s="2" t="s">
        <v>9328</v>
      </c>
      <c r="G1015" s="2">
        <v>81767</v>
      </c>
      <c r="H1015" s="3" t="str">
        <f>HYPERLINK("https://cloud.oebiotech.com/#/lm/network/81767", "https://cloud.oebiotech.com/#/lm/network/81767")</f>
        <v>https://cloud.oebiotech.com/#/lm/network/81767</v>
      </c>
      <c r="I1015" s="2" t="s">
        <v>9329</v>
      </c>
      <c r="J1015" s="2">
        <v>96279</v>
      </c>
      <c r="K1015" s="2"/>
      <c r="L1015" s="2">
        <v>70140</v>
      </c>
      <c r="M1015" s="2"/>
      <c r="N1015" s="2"/>
      <c r="O1015" s="2"/>
      <c r="P1015" s="2">
        <v>68496</v>
      </c>
      <c r="Q1015" s="2"/>
      <c r="R1015" s="2"/>
      <c r="S1015" s="2" t="s">
        <v>9330</v>
      </c>
      <c r="T1015" s="2" t="s">
        <v>9331</v>
      </c>
      <c r="U1015" s="2" t="s">
        <v>9332</v>
      </c>
      <c r="V1015" s="2" t="s">
        <v>385</v>
      </c>
      <c r="W1015" s="2" t="s">
        <v>386</v>
      </c>
      <c r="X1015" s="2" t="s">
        <v>1059</v>
      </c>
      <c r="Y1015" s="2" t="s">
        <v>388</v>
      </c>
      <c r="Z1015" s="2" t="s">
        <v>389</v>
      </c>
      <c r="AA1015" s="2" t="s">
        <v>1060</v>
      </c>
      <c r="AB1015" s="2" t="s">
        <v>5118</v>
      </c>
      <c r="AC1015" s="2">
        <v>50.65</v>
      </c>
      <c r="AD1015" s="2">
        <v>99.4</v>
      </c>
      <c r="AE1015" s="2">
        <v>67.319999999999993</v>
      </c>
      <c r="AF1015" s="2" t="s">
        <v>9333</v>
      </c>
      <c r="AG1015" s="2" t="s">
        <v>103</v>
      </c>
      <c r="AH1015" s="2" t="s">
        <v>3870</v>
      </c>
      <c r="AI1015" s="2">
        <v>0.59</v>
      </c>
      <c r="AJ1015" s="2">
        <v>25.507829276408401</v>
      </c>
      <c r="AK1015" s="2">
        <v>25.458168974710301</v>
      </c>
      <c r="AL1015" s="2">
        <v>25.326902106234101</v>
      </c>
      <c r="AM1015" s="2">
        <v>25.5112112433088</v>
      </c>
      <c r="AN1015" s="2">
        <v>25.410184748577201</v>
      </c>
      <c r="AO1015" s="2">
        <v>25.531180568711498</v>
      </c>
      <c r="AP1015" s="2">
        <v>25.2875975148253</v>
      </c>
      <c r="AQ1015" s="2">
        <v>25.3715891937184</v>
      </c>
      <c r="AR1015" s="2">
        <v>20.353543519845601</v>
      </c>
      <c r="AS1015" s="2">
        <v>24.340454747510499</v>
      </c>
      <c r="AT1015" s="2">
        <v>25.206430550494101</v>
      </c>
      <c r="AU1015" s="2">
        <v>23.663341175908201</v>
      </c>
      <c r="AV1015" s="2">
        <v>24.947672816733601</v>
      </c>
      <c r="AW1015" s="2">
        <v>21.216820408615099</v>
      </c>
      <c r="AX1015" s="2">
        <v>25.3543683866558</v>
      </c>
      <c r="AY1015" s="2">
        <v>25.378542937316499</v>
      </c>
      <c r="AZ1015" s="2">
        <v>23.072421641388999</v>
      </c>
      <c r="BA1015" s="2">
        <v>26.8390961834466</v>
      </c>
      <c r="BB1015" s="2">
        <v>23.595610832331101</v>
      </c>
      <c r="BC1015" s="2">
        <v>23.860884771255702</v>
      </c>
      <c r="BD1015" s="2">
        <v>23.441332369586501</v>
      </c>
      <c r="BE1015" s="2">
        <v>26.784763122283199</v>
      </c>
      <c r="BF1015" s="2">
        <v>26.495519793698101</v>
      </c>
      <c r="BG1015" s="2">
        <v>23.553176909110199</v>
      </c>
      <c r="BH1015" s="2">
        <v>19.499888600480102</v>
      </c>
      <c r="BI1015" s="2">
        <v>28.874929817170798</v>
      </c>
      <c r="BJ1015" s="2">
        <v>22.985744131720399</v>
      </c>
      <c r="BK1015" s="2">
        <v>18.794607512326198</v>
      </c>
      <c r="BL1015" s="2">
        <v>21.106872714239898</v>
      </c>
      <c r="BM1015" s="2">
        <v>24.6502461179339</v>
      </c>
      <c r="BN1015" s="2">
        <v>23.234490428237802</v>
      </c>
      <c r="BO1015" s="2">
        <v>26.346999916514701</v>
      </c>
      <c r="BP1015" s="2">
        <v>23.594045872872201</v>
      </c>
      <c r="BQ1015" s="2">
        <v>25.0902849614268</v>
      </c>
      <c r="BR1015" s="2">
        <v>26.718378580882199</v>
      </c>
      <c r="BS1015" s="2">
        <v>24.643100579190801</v>
      </c>
      <c r="BT1015" s="2">
        <v>21.3760992256042</v>
      </c>
      <c r="BU1015" s="2">
        <v>25.913818349200501</v>
      </c>
      <c r="BV1015" s="2">
        <v>27.0237161413345</v>
      </c>
      <c r="BW1015" s="2">
        <v>22.379407818959699</v>
      </c>
      <c r="BX1015" s="2">
        <v>24.5083429838885</v>
      </c>
      <c r="BY1015" s="2">
        <v>27.3349747972042</v>
      </c>
      <c r="BZ1015" s="2">
        <v>24.313134614518901</v>
      </c>
      <c r="CA1015" s="2">
        <v>25.9050595984098</v>
      </c>
      <c r="CB1015" s="2">
        <v>22.440873546287499</v>
      </c>
      <c r="CC1015" s="2">
        <v>25.9594454554415</v>
      </c>
      <c r="CD1015" s="2">
        <v>20.899405045394602</v>
      </c>
      <c r="CE1015" s="2">
        <v>19.021089607850399</v>
      </c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</row>
    <row r="1016" spans="1:97">
      <c r="A1016" s="2" t="s">
        <v>9334</v>
      </c>
      <c r="B1016" s="2">
        <v>258.16975000000002</v>
      </c>
      <c r="C1016" s="2">
        <v>4.32</v>
      </c>
      <c r="D1016" s="2" t="s">
        <v>84</v>
      </c>
      <c r="E1016" s="2" t="s">
        <v>9335</v>
      </c>
      <c r="F1016" s="2" t="s">
        <v>9336</v>
      </c>
      <c r="G1016" s="2">
        <v>198199</v>
      </c>
      <c r="H1016" s="3" t="str">
        <f>HYPERLINK("https://cloud.oebiotech.com/#/lm/network/198199", "https://cloud.oebiotech.com/#/lm/network/198199")</f>
        <v>https://cloud.oebiotech.com/#/lm/network/198199</v>
      </c>
      <c r="I1016" s="2" t="s">
        <v>9337</v>
      </c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 t="s">
        <v>9338</v>
      </c>
      <c r="U1016" s="2" t="s">
        <v>9339</v>
      </c>
      <c r="V1016" s="2" t="s">
        <v>95</v>
      </c>
      <c r="W1016" s="2" t="s">
        <v>96</v>
      </c>
      <c r="X1016" s="2" t="s">
        <v>97</v>
      </c>
      <c r="Y1016" s="2" t="s">
        <v>98</v>
      </c>
      <c r="Z1016" s="2" t="s">
        <v>99</v>
      </c>
      <c r="AA1016" s="2" t="s">
        <v>100</v>
      </c>
      <c r="AB1016" s="2" t="s">
        <v>8443</v>
      </c>
      <c r="AC1016" s="2">
        <v>50.59</v>
      </c>
      <c r="AD1016" s="2">
        <v>91.82</v>
      </c>
      <c r="AE1016" s="2">
        <v>31.15</v>
      </c>
      <c r="AF1016" s="2" t="s">
        <v>9340</v>
      </c>
      <c r="AG1016" s="2" t="s">
        <v>103</v>
      </c>
      <c r="AH1016" s="2" t="s">
        <v>9341</v>
      </c>
      <c r="AI1016" s="2">
        <v>0.77</v>
      </c>
      <c r="AJ1016" s="2">
        <v>18.8172592504426</v>
      </c>
      <c r="AK1016" s="2">
        <v>18.515317310790699</v>
      </c>
      <c r="AL1016" s="2">
        <v>18.8201048071912</v>
      </c>
      <c r="AM1016" s="2">
        <v>18.930203624843301</v>
      </c>
      <c r="AN1016" s="2">
        <v>18.499119585253801</v>
      </c>
      <c r="AO1016" s="2">
        <v>18.771759839869102</v>
      </c>
      <c r="AP1016" s="2">
        <v>19.021495261680901</v>
      </c>
      <c r="AQ1016" s="2">
        <v>18.755059558125001</v>
      </c>
      <c r="AR1016" s="2">
        <v>17.6514791288756</v>
      </c>
      <c r="AS1016" s="2">
        <v>16.9722693664906</v>
      </c>
      <c r="AT1016" s="2">
        <v>17.929984082042498</v>
      </c>
      <c r="AU1016" s="2">
        <v>19.279639302461501</v>
      </c>
      <c r="AV1016" s="2">
        <v>18.464642823316801</v>
      </c>
      <c r="AW1016" s="2">
        <v>18.593627102604199</v>
      </c>
      <c r="AX1016" s="2">
        <v>18.5369359518061</v>
      </c>
      <c r="AY1016" s="2">
        <v>19.485557095689899</v>
      </c>
      <c r="AZ1016" s="2">
        <v>18.339240097731501</v>
      </c>
      <c r="BA1016" s="2">
        <v>17.755285065154101</v>
      </c>
      <c r="BB1016" s="2">
        <v>19.282610814560101</v>
      </c>
      <c r="BC1016" s="2">
        <v>18.441000278890101</v>
      </c>
      <c r="BD1016" s="2">
        <v>17.728467422354999</v>
      </c>
      <c r="BE1016" s="2">
        <v>18.942574553384102</v>
      </c>
      <c r="BF1016" s="2">
        <v>18.287482972799602</v>
      </c>
      <c r="BG1016" s="2">
        <v>18.740274111880499</v>
      </c>
      <c r="BH1016" s="2">
        <v>16.479173646410398</v>
      </c>
      <c r="BI1016" s="2">
        <v>18.512934935182798</v>
      </c>
      <c r="BJ1016" s="2">
        <v>17.974492510352899</v>
      </c>
      <c r="BK1016" s="2">
        <v>17.124047886511001</v>
      </c>
      <c r="BL1016" s="2">
        <v>18.250774398020098</v>
      </c>
      <c r="BM1016" s="2">
        <v>19.450853030259101</v>
      </c>
      <c r="BN1016" s="2">
        <v>17.7900623324987</v>
      </c>
      <c r="BO1016" s="2">
        <v>18.842026601901701</v>
      </c>
      <c r="BP1016" s="2">
        <v>17.916481659488699</v>
      </c>
      <c r="BQ1016" s="2">
        <v>18.382650367676501</v>
      </c>
      <c r="BR1016" s="2">
        <v>18.870530163404201</v>
      </c>
      <c r="BS1016" s="2">
        <v>20.3554874934031</v>
      </c>
      <c r="BT1016" s="2">
        <v>20.6593509627989</v>
      </c>
      <c r="BU1016" s="2">
        <v>19.403452122771501</v>
      </c>
      <c r="BV1016" s="2">
        <v>19.5544805772908</v>
      </c>
      <c r="BW1016" s="2">
        <v>15.9165650467343</v>
      </c>
      <c r="BX1016" s="2">
        <v>18.012417924432199</v>
      </c>
      <c r="BY1016" s="2">
        <v>19.413759184569901</v>
      </c>
      <c r="BZ1016" s="2">
        <v>19.2857301304599</v>
      </c>
      <c r="CA1016" s="2">
        <v>17.099336508480601</v>
      </c>
      <c r="CB1016" s="2">
        <v>18.5806945096185</v>
      </c>
      <c r="CC1016" s="2">
        <v>18.898836206539499</v>
      </c>
      <c r="CD1016" s="2">
        <v>18.290991367760299</v>
      </c>
      <c r="CE1016" s="2">
        <v>17.764850732655901</v>
      </c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</row>
    <row r="1017" spans="1:97">
      <c r="A1017" s="2" t="s">
        <v>9342</v>
      </c>
      <c r="B1017" s="2">
        <v>440.33636000000001</v>
      </c>
      <c r="C1017" s="2">
        <v>9.3409999999999993</v>
      </c>
      <c r="D1017" s="2" t="s">
        <v>84</v>
      </c>
      <c r="E1017" s="2" t="s">
        <v>9343</v>
      </c>
      <c r="F1017" s="2" t="s">
        <v>9344</v>
      </c>
      <c r="G1017" s="2">
        <v>199815</v>
      </c>
      <c r="H1017" s="3" t="str">
        <f>HYPERLINK("https://cloud.oebiotech.com/#/lm/network/199815", "https://cloud.oebiotech.com/#/lm/network/199815")</f>
        <v>https://cloud.oebiotech.com/#/lm/network/199815</v>
      </c>
      <c r="I1017" s="2" t="s">
        <v>9345</v>
      </c>
      <c r="J1017" s="2"/>
      <c r="K1017" s="2"/>
      <c r="L1017" s="2">
        <v>13799243</v>
      </c>
      <c r="M1017" s="2"/>
      <c r="N1017" s="2"/>
      <c r="O1017" s="2"/>
      <c r="P1017" s="2"/>
      <c r="Q1017" s="2"/>
      <c r="R1017" s="2"/>
      <c r="S1017" s="2"/>
      <c r="T1017" s="2" t="s">
        <v>9346</v>
      </c>
      <c r="U1017" s="2" t="s">
        <v>9347</v>
      </c>
      <c r="V1017" s="2" t="s">
        <v>95</v>
      </c>
      <c r="W1017" s="2" t="s">
        <v>152</v>
      </c>
      <c r="X1017" s="2" t="s">
        <v>278</v>
      </c>
      <c r="Y1017" s="2" t="s">
        <v>98</v>
      </c>
      <c r="Z1017" s="2" t="s">
        <v>154</v>
      </c>
      <c r="AA1017" s="2" t="s">
        <v>279</v>
      </c>
      <c r="AB1017" s="2" t="s">
        <v>3086</v>
      </c>
      <c r="AC1017" s="2">
        <v>50.56</v>
      </c>
      <c r="AD1017" s="2">
        <v>82.7</v>
      </c>
      <c r="AE1017" s="2">
        <v>0</v>
      </c>
      <c r="AF1017" s="2" t="s">
        <v>9348</v>
      </c>
      <c r="AG1017" s="2" t="s">
        <v>132</v>
      </c>
      <c r="AH1017" s="2" t="s">
        <v>7508</v>
      </c>
      <c r="AI1017" s="2">
        <v>1.36</v>
      </c>
      <c r="AJ1017" s="2">
        <v>16.898848868861201</v>
      </c>
      <c r="AK1017" s="2">
        <v>17.170655184907201</v>
      </c>
      <c r="AL1017" s="2">
        <v>16.8272934506819</v>
      </c>
      <c r="AM1017" s="2">
        <v>16.334421346720099</v>
      </c>
      <c r="AN1017" s="2">
        <v>16.879588753514501</v>
      </c>
      <c r="AO1017" s="2">
        <v>16.342200050866602</v>
      </c>
      <c r="AP1017" s="2">
        <v>16.597263892547499</v>
      </c>
      <c r="AQ1017" s="2">
        <v>16.8920438631663</v>
      </c>
      <c r="AR1017" s="2">
        <v>9.6233145402724691</v>
      </c>
      <c r="AS1017" s="2">
        <v>14.0888205300834</v>
      </c>
      <c r="AT1017" s="2">
        <v>18.193950152241801</v>
      </c>
      <c r="AU1017" s="2">
        <v>9.6233145402724691</v>
      </c>
      <c r="AV1017" s="2">
        <v>9.6233145402724691</v>
      </c>
      <c r="AW1017" s="2">
        <v>16.483917307636801</v>
      </c>
      <c r="AX1017" s="2">
        <v>16.114893429362699</v>
      </c>
      <c r="AY1017" s="2">
        <v>17.2658719414042</v>
      </c>
      <c r="AZ1017" s="2">
        <v>9.6233145402724691</v>
      </c>
      <c r="BA1017" s="2">
        <v>16.809906514302799</v>
      </c>
      <c r="BB1017" s="2">
        <v>15.942796712284199</v>
      </c>
      <c r="BC1017" s="2">
        <v>18.598320362820001</v>
      </c>
      <c r="BD1017" s="2">
        <v>9.6233145402724691</v>
      </c>
      <c r="BE1017" s="2">
        <v>16.5331824861786</v>
      </c>
      <c r="BF1017" s="2">
        <v>16.6528054887659</v>
      </c>
      <c r="BG1017" s="2">
        <v>16.968249411327498</v>
      </c>
      <c r="BH1017" s="2">
        <v>9.6233145402724691</v>
      </c>
      <c r="BI1017" s="2">
        <v>17.9484449176353</v>
      </c>
      <c r="BJ1017" s="2">
        <v>17.1163579738324</v>
      </c>
      <c r="BK1017" s="2">
        <v>14.3721454371556</v>
      </c>
      <c r="BL1017" s="2">
        <v>16.8496074159439</v>
      </c>
      <c r="BM1017" s="2">
        <v>9.6233145402724691</v>
      </c>
      <c r="BN1017" s="2">
        <v>16.3331176048885</v>
      </c>
      <c r="BO1017" s="2">
        <v>17.5240264294514</v>
      </c>
      <c r="BP1017" s="2">
        <v>16.691132954012399</v>
      </c>
      <c r="BQ1017" s="2">
        <v>17.418208810892502</v>
      </c>
      <c r="BR1017" s="2">
        <v>16.8630829251961</v>
      </c>
      <c r="BS1017" s="2">
        <v>14.5719475410925</v>
      </c>
      <c r="BT1017" s="2">
        <v>15.3637946019249</v>
      </c>
      <c r="BU1017" s="2">
        <v>17.443735814780901</v>
      </c>
      <c r="BV1017" s="2">
        <v>16.361161096737899</v>
      </c>
      <c r="BW1017" s="2">
        <v>17.287912088820899</v>
      </c>
      <c r="BX1017" s="2">
        <v>16.098712504980998</v>
      </c>
      <c r="BY1017" s="2">
        <v>9.6233145402724691</v>
      </c>
      <c r="BZ1017" s="2">
        <v>16.3111247694418</v>
      </c>
      <c r="CA1017" s="2">
        <v>15.0602327731799</v>
      </c>
      <c r="CB1017" s="2">
        <v>15.769447112458501</v>
      </c>
      <c r="CC1017" s="2">
        <v>16.886243380456399</v>
      </c>
      <c r="CD1017" s="2">
        <v>16.770213109331301</v>
      </c>
      <c r="CE1017" s="2">
        <v>16.555757150936401</v>
      </c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</row>
    <row r="1018" spans="1:97">
      <c r="A1018" s="2" t="s">
        <v>9349</v>
      </c>
      <c r="B1018" s="2">
        <v>472.23858999999999</v>
      </c>
      <c r="C1018" s="2">
        <v>4.585</v>
      </c>
      <c r="D1018" s="2" t="s">
        <v>84</v>
      </c>
      <c r="E1018" s="2" t="s">
        <v>9350</v>
      </c>
      <c r="F1018" s="2" t="s">
        <v>9351</v>
      </c>
      <c r="G1018" s="2">
        <v>62510</v>
      </c>
      <c r="H1018" s="3" t="str">
        <f>HYPERLINK("https://cloud.oebiotech.com/#/lm/network/62510", "https://cloud.oebiotech.com/#/lm/network/62510")</f>
        <v>https://cloud.oebiotech.com/#/lm/network/62510</v>
      </c>
      <c r="I1018" s="2" t="s">
        <v>9352</v>
      </c>
      <c r="J1018" s="2">
        <v>93805</v>
      </c>
      <c r="K1018" s="2"/>
      <c r="L1018" s="2">
        <v>73981662</v>
      </c>
      <c r="M1018" s="2"/>
      <c r="N1018" s="2"/>
      <c r="O1018" s="2"/>
      <c r="P1018" s="2">
        <v>167973</v>
      </c>
      <c r="Q1018" s="2"/>
      <c r="R1018" s="2"/>
      <c r="S1018" s="2"/>
      <c r="T1018" s="2" t="s">
        <v>9353</v>
      </c>
      <c r="U1018" s="2" t="s">
        <v>9354</v>
      </c>
      <c r="V1018" s="2" t="s">
        <v>95</v>
      </c>
      <c r="W1018" s="2" t="s">
        <v>96</v>
      </c>
      <c r="X1018" s="2" t="s">
        <v>2173</v>
      </c>
      <c r="Y1018" s="2" t="s">
        <v>98</v>
      </c>
      <c r="Z1018" s="2" t="s">
        <v>99</v>
      </c>
      <c r="AA1018" s="2" t="s">
        <v>2174</v>
      </c>
      <c r="AB1018" s="2" t="s">
        <v>3086</v>
      </c>
      <c r="AC1018" s="2">
        <v>50.53</v>
      </c>
      <c r="AD1018" s="2">
        <v>86.82</v>
      </c>
      <c r="AE1018" s="2">
        <v>0</v>
      </c>
      <c r="AF1018" s="2" t="s">
        <v>5614</v>
      </c>
      <c r="AG1018" s="2" t="s">
        <v>132</v>
      </c>
      <c r="AH1018" s="2" t="s">
        <v>9355</v>
      </c>
      <c r="AI1018" s="2">
        <v>0.64</v>
      </c>
      <c r="AJ1018" s="2">
        <v>17.615638760100399</v>
      </c>
      <c r="AK1018" s="2">
        <v>17.9546013638689</v>
      </c>
      <c r="AL1018" s="2">
        <v>17.692978241043502</v>
      </c>
      <c r="AM1018" s="2">
        <v>17.7885596754254</v>
      </c>
      <c r="AN1018" s="2">
        <v>17.6652394437228</v>
      </c>
      <c r="AO1018" s="2">
        <v>17.461111612283698</v>
      </c>
      <c r="AP1018" s="2">
        <v>17.374824433533</v>
      </c>
      <c r="AQ1018" s="2">
        <v>17.693920038589201</v>
      </c>
      <c r="AR1018" s="2">
        <v>17.2892797373542</v>
      </c>
      <c r="AS1018" s="2">
        <v>15.3510389433313</v>
      </c>
      <c r="AT1018" s="2">
        <v>16.154598801155998</v>
      </c>
      <c r="AU1018" s="2">
        <v>15.5590950251569</v>
      </c>
      <c r="AV1018" s="2">
        <v>16.563103895774798</v>
      </c>
      <c r="AW1018" s="2">
        <v>17.6053536355756</v>
      </c>
      <c r="AX1018" s="2">
        <v>15.2286834314954</v>
      </c>
      <c r="AY1018" s="2">
        <v>16.990198828222201</v>
      </c>
      <c r="AZ1018" s="2">
        <v>16.6347943207101</v>
      </c>
      <c r="BA1018" s="2">
        <v>18.723556228442899</v>
      </c>
      <c r="BB1018" s="2">
        <v>14.4585527210072</v>
      </c>
      <c r="BC1018" s="2">
        <v>9.6233145402724691</v>
      </c>
      <c r="BD1018" s="2">
        <v>16.477592115518899</v>
      </c>
      <c r="BE1018" s="2">
        <v>17.314579350068499</v>
      </c>
      <c r="BF1018" s="2">
        <v>16.684796141584101</v>
      </c>
      <c r="BG1018" s="2">
        <v>17.092365697338298</v>
      </c>
      <c r="BH1018" s="2">
        <v>14.8335384484276</v>
      </c>
      <c r="BI1018" s="2">
        <v>18.483803616752098</v>
      </c>
      <c r="BJ1018" s="2">
        <v>15.9430168045462</v>
      </c>
      <c r="BK1018" s="2">
        <v>17.485740725236301</v>
      </c>
      <c r="BL1018" s="2">
        <v>17.928825535190398</v>
      </c>
      <c r="BM1018" s="2">
        <v>9.6233145402724691</v>
      </c>
      <c r="BN1018" s="2">
        <v>14.7353074443342</v>
      </c>
      <c r="BO1018" s="2">
        <v>13.8758952259277</v>
      </c>
      <c r="BP1018" s="2">
        <v>14.451131890242101</v>
      </c>
      <c r="BQ1018" s="2">
        <v>15.939363418304501</v>
      </c>
      <c r="BR1018" s="2">
        <v>15.657655076369499</v>
      </c>
      <c r="BS1018" s="2">
        <v>14.4616258836326</v>
      </c>
      <c r="BT1018" s="2">
        <v>15.450249853716601</v>
      </c>
      <c r="BU1018" s="2">
        <v>9.6233145402724691</v>
      </c>
      <c r="BV1018" s="2">
        <v>9.6233145402724691</v>
      </c>
      <c r="BW1018" s="2">
        <v>16.162699332039502</v>
      </c>
      <c r="BX1018" s="2">
        <v>16.3132283115268</v>
      </c>
      <c r="BY1018" s="2">
        <v>17.713749438876199</v>
      </c>
      <c r="BZ1018" s="2">
        <v>13.698558176308</v>
      </c>
      <c r="CA1018" s="2">
        <v>14.379678220434601</v>
      </c>
      <c r="CB1018" s="2">
        <v>16.168552254149301</v>
      </c>
      <c r="CC1018" s="2">
        <v>17.850466694120001</v>
      </c>
      <c r="CD1018" s="2">
        <v>14.247351981642099</v>
      </c>
      <c r="CE1018" s="2">
        <v>17.926884911715199</v>
      </c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</row>
    <row r="1019" spans="1:97">
      <c r="A1019" s="2" t="s">
        <v>9356</v>
      </c>
      <c r="B1019" s="2">
        <v>474.96035999999998</v>
      </c>
      <c r="C1019" s="2">
        <v>0.72199999999999998</v>
      </c>
      <c r="D1019" s="2" t="s">
        <v>84</v>
      </c>
      <c r="E1019" s="2" t="s">
        <v>9357</v>
      </c>
      <c r="F1019" s="2" t="s">
        <v>9358</v>
      </c>
      <c r="G1019" s="2">
        <v>200104</v>
      </c>
      <c r="H1019" s="3" t="str">
        <f>HYPERLINK("https://cloud.oebiotech.com/#/lm/network/200104", "https://cloud.oebiotech.com/#/lm/network/200104")</f>
        <v>https://cloud.oebiotech.com/#/lm/network/200104</v>
      </c>
      <c r="I1019" s="2" t="s">
        <v>9359</v>
      </c>
      <c r="J1019" s="2">
        <v>343344</v>
      </c>
      <c r="K1019" s="2"/>
      <c r="L1019" s="2">
        <v>15025</v>
      </c>
      <c r="M1019" s="2"/>
      <c r="N1019" s="2"/>
      <c r="O1019" s="2"/>
      <c r="P1019" s="2"/>
      <c r="Q1019" s="2"/>
      <c r="R1019" s="2"/>
      <c r="S1019" s="2"/>
      <c r="T1019" s="2" t="s">
        <v>9360</v>
      </c>
      <c r="U1019" s="2" t="s">
        <v>9361</v>
      </c>
      <c r="V1019" s="2" t="s">
        <v>115</v>
      </c>
      <c r="W1019" s="2" t="s">
        <v>5349</v>
      </c>
      <c r="X1019" s="2" t="s">
        <v>5350</v>
      </c>
      <c r="Y1019" s="2" t="s">
        <v>118</v>
      </c>
      <c r="Z1019" s="2" t="s">
        <v>5351</v>
      </c>
      <c r="AA1019" s="2" t="s">
        <v>5352</v>
      </c>
      <c r="AB1019" s="2" t="s">
        <v>5118</v>
      </c>
      <c r="AC1019" s="2">
        <v>50.51</v>
      </c>
      <c r="AD1019" s="2">
        <v>72.77</v>
      </c>
      <c r="AE1019" s="2">
        <v>48.75</v>
      </c>
      <c r="AF1019" s="2" t="s">
        <v>9362</v>
      </c>
      <c r="AG1019" s="2" t="s">
        <v>3544</v>
      </c>
      <c r="AH1019" s="2" t="s">
        <v>9363</v>
      </c>
      <c r="AI1019" s="2">
        <v>-1.26</v>
      </c>
      <c r="AJ1019" s="2">
        <v>21.877437540693801</v>
      </c>
      <c r="AK1019" s="2">
        <v>21.836354149833902</v>
      </c>
      <c r="AL1019" s="2">
        <v>21.879153570137799</v>
      </c>
      <c r="AM1019" s="2">
        <v>21.9582657741215</v>
      </c>
      <c r="AN1019" s="2">
        <v>21.732829833195002</v>
      </c>
      <c r="AO1019" s="2">
        <v>22.031233322239299</v>
      </c>
      <c r="AP1019" s="2">
        <v>21.900656318790201</v>
      </c>
      <c r="AQ1019" s="2">
        <v>21.828589471663701</v>
      </c>
      <c r="AR1019" s="2">
        <v>21.857892713376</v>
      </c>
      <c r="AS1019" s="2">
        <v>21.531114214663202</v>
      </c>
      <c r="AT1019" s="2">
        <v>21.876045010112598</v>
      </c>
      <c r="AU1019" s="2">
        <v>21.250031457518201</v>
      </c>
      <c r="AV1019" s="2">
        <v>22.188302712903202</v>
      </c>
      <c r="AW1019" s="2">
        <v>21.9047154518884</v>
      </c>
      <c r="AX1019" s="2">
        <v>21.968132651465702</v>
      </c>
      <c r="AY1019" s="2">
        <v>21.767260306516999</v>
      </c>
      <c r="AZ1019" s="2">
        <v>21.514824338506099</v>
      </c>
      <c r="BA1019" s="2">
        <v>21.240397699746101</v>
      </c>
      <c r="BB1019" s="2">
        <v>21.695273369913</v>
      </c>
      <c r="BC1019" s="2">
        <v>21.513503015037301</v>
      </c>
      <c r="BD1019" s="2">
        <v>21.217818263870001</v>
      </c>
      <c r="BE1019" s="2">
        <v>21.913401229278801</v>
      </c>
      <c r="BF1019" s="2">
        <v>21.719711469783601</v>
      </c>
      <c r="BG1019" s="2">
        <v>21.968010754707301</v>
      </c>
      <c r="BH1019" s="2">
        <v>22.189361408111399</v>
      </c>
      <c r="BI1019" s="2">
        <v>22.007089299491899</v>
      </c>
      <c r="BJ1019" s="2">
        <v>21.7452329860023</v>
      </c>
      <c r="BK1019" s="2">
        <v>21.567809003111801</v>
      </c>
      <c r="BL1019" s="2">
        <v>21.879040511148801</v>
      </c>
      <c r="BM1019" s="2">
        <v>21.6637962785342</v>
      </c>
      <c r="BN1019" s="2">
        <v>21.8862552642724</v>
      </c>
      <c r="BO1019" s="2">
        <v>22.103140931404099</v>
      </c>
      <c r="BP1019" s="2">
        <v>21.930251339427699</v>
      </c>
      <c r="BQ1019" s="2">
        <v>21.702465235478002</v>
      </c>
      <c r="BR1019" s="2">
        <v>21.7599575409556</v>
      </c>
      <c r="BS1019" s="2">
        <v>21.704010920675099</v>
      </c>
      <c r="BT1019" s="2">
        <v>22.033595196149999</v>
      </c>
      <c r="BU1019" s="2">
        <v>22.017582757416601</v>
      </c>
      <c r="BV1019" s="2">
        <v>21.8803136791086</v>
      </c>
      <c r="BW1019" s="2">
        <v>21.255040594840601</v>
      </c>
      <c r="BX1019" s="2">
        <v>21.668865668262601</v>
      </c>
      <c r="BY1019" s="2">
        <v>21.927910751043601</v>
      </c>
      <c r="BZ1019" s="2">
        <v>21.4415779043395</v>
      </c>
      <c r="CA1019" s="2">
        <v>21.595061230983202</v>
      </c>
      <c r="CB1019" s="2">
        <v>21.902081129501902</v>
      </c>
      <c r="CC1019" s="2">
        <v>21.678604045969202</v>
      </c>
      <c r="CD1019" s="2">
        <v>22.2974289605108</v>
      </c>
      <c r="CE1019" s="2">
        <v>21.606166957335802</v>
      </c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</row>
    <row r="1020" spans="1:97">
      <c r="A1020" s="2" t="s">
        <v>9364</v>
      </c>
      <c r="B1020" s="2">
        <v>239.05923999999999</v>
      </c>
      <c r="C1020" s="2">
        <v>12.343</v>
      </c>
      <c r="D1020" s="2" t="s">
        <v>146</v>
      </c>
      <c r="E1020" s="2" t="s">
        <v>9365</v>
      </c>
      <c r="F1020" s="2"/>
      <c r="G1020" s="2">
        <v>596388</v>
      </c>
      <c r="H1020" s="3" t="str">
        <f>HYPERLINK("https://cloud.oebiotech.com/#/lm/network/596388", "https://cloud.oebiotech.com/#/lm/network/596388")</f>
        <v>https://cloud.oebiotech.com/#/lm/network/596388</v>
      </c>
      <c r="I1020" s="2"/>
      <c r="J1020" s="2"/>
      <c r="K1020" s="2"/>
      <c r="L1020" s="2">
        <v>90237502</v>
      </c>
      <c r="M1020" s="2"/>
      <c r="N1020" s="2"/>
      <c r="O1020" s="2"/>
      <c r="P1020" s="2"/>
      <c r="Q1020" s="2"/>
      <c r="R1020" s="2"/>
      <c r="S1020" s="2"/>
      <c r="T1020" s="2" t="s">
        <v>9366</v>
      </c>
      <c r="U1020" s="2" t="s">
        <v>9367</v>
      </c>
      <c r="V1020" s="2" t="s">
        <v>115</v>
      </c>
      <c r="W1020" s="2" t="s">
        <v>613</v>
      </c>
      <c r="X1020" s="2" t="s">
        <v>7162</v>
      </c>
      <c r="Y1020" s="2" t="s">
        <v>118</v>
      </c>
      <c r="Z1020" s="2" t="s">
        <v>615</v>
      </c>
      <c r="AA1020" s="2" t="s">
        <v>7163</v>
      </c>
      <c r="AB1020" s="2" t="s">
        <v>5118</v>
      </c>
      <c r="AC1020" s="2">
        <v>50.49</v>
      </c>
      <c r="AD1020" s="2">
        <v>95.25</v>
      </c>
      <c r="AE1020" s="2">
        <v>73.069999999999993</v>
      </c>
      <c r="AF1020" s="2" t="s">
        <v>9368</v>
      </c>
      <c r="AG1020" s="2" t="s">
        <v>157</v>
      </c>
      <c r="AH1020" s="2" t="s">
        <v>9369</v>
      </c>
      <c r="AI1020" s="2">
        <v>1.25</v>
      </c>
      <c r="AJ1020" s="2">
        <v>21.513711131599401</v>
      </c>
      <c r="AK1020" s="2">
        <v>22.625990023579799</v>
      </c>
      <c r="AL1020" s="2">
        <v>22.677809938854001</v>
      </c>
      <c r="AM1020" s="2">
        <v>22.786985644189599</v>
      </c>
      <c r="AN1020" s="2">
        <v>22.781778104776599</v>
      </c>
      <c r="AO1020" s="2">
        <v>23.150639869391799</v>
      </c>
      <c r="AP1020" s="2">
        <v>22.881262668112399</v>
      </c>
      <c r="AQ1020" s="2">
        <v>22.660109097045801</v>
      </c>
      <c r="AR1020" s="2">
        <v>19.3409038441951</v>
      </c>
      <c r="AS1020" s="2">
        <v>19.615352144062498</v>
      </c>
      <c r="AT1020" s="2">
        <v>19.973488758240698</v>
      </c>
      <c r="AU1020" s="2">
        <v>19.981405913400501</v>
      </c>
      <c r="AV1020" s="2">
        <v>20.132840281133699</v>
      </c>
      <c r="AW1020" s="2">
        <v>19.9899071364216</v>
      </c>
      <c r="AX1020" s="2">
        <v>20.371647701959901</v>
      </c>
      <c r="AY1020" s="2">
        <v>19.405136434375201</v>
      </c>
      <c r="AZ1020" s="2">
        <v>20.075255199538201</v>
      </c>
      <c r="BA1020" s="2">
        <v>20.442221546675398</v>
      </c>
      <c r="BB1020" s="2">
        <v>20.0312245201557</v>
      </c>
      <c r="BC1020" s="2">
        <v>19.974031255789601</v>
      </c>
      <c r="BD1020" s="2">
        <v>20.044641172857901</v>
      </c>
      <c r="BE1020" s="2">
        <v>20.2848683480366</v>
      </c>
      <c r="BF1020" s="2">
        <v>18.9510491705372</v>
      </c>
      <c r="BG1020" s="2">
        <v>20.362787154077701</v>
      </c>
      <c r="BH1020" s="2">
        <v>19.840740434866099</v>
      </c>
      <c r="BI1020" s="2">
        <v>20.005851884797401</v>
      </c>
      <c r="BJ1020" s="2">
        <v>20.176065013066601</v>
      </c>
      <c r="BK1020" s="2">
        <v>19.976402222267001</v>
      </c>
      <c r="BL1020" s="2">
        <v>19.361509460141399</v>
      </c>
      <c r="BM1020" s="2">
        <v>19.887251545077898</v>
      </c>
      <c r="BN1020" s="2">
        <v>19.750557995201699</v>
      </c>
      <c r="BO1020" s="2">
        <v>20.153932948518499</v>
      </c>
      <c r="BP1020" s="2">
        <v>19.851990802975301</v>
      </c>
      <c r="BQ1020" s="2">
        <v>20.272706035703099</v>
      </c>
      <c r="BR1020" s="2">
        <v>20.1506340579291</v>
      </c>
      <c r="BS1020" s="2">
        <v>19.304332536449301</v>
      </c>
      <c r="BT1020" s="2">
        <v>20.201808872063602</v>
      </c>
      <c r="BU1020" s="2">
        <v>19.8097182086895</v>
      </c>
      <c r="BV1020" s="2">
        <v>19.7424712386976</v>
      </c>
      <c r="BW1020" s="2">
        <v>19.778322908741799</v>
      </c>
      <c r="BX1020" s="2">
        <v>19.885634968015999</v>
      </c>
      <c r="BY1020" s="2">
        <v>19.426375126545601</v>
      </c>
      <c r="BZ1020" s="2">
        <v>19.9513492943898</v>
      </c>
      <c r="CA1020" s="2">
        <v>20.3458472603578</v>
      </c>
      <c r="CB1020" s="2">
        <v>20.143042712709601</v>
      </c>
      <c r="CC1020" s="2">
        <v>20.258653243917401</v>
      </c>
      <c r="CD1020" s="2">
        <v>20.252802457027599</v>
      </c>
      <c r="CE1020" s="2">
        <v>19.9279406831015</v>
      </c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</row>
    <row r="1021" spans="1:97">
      <c r="A1021" s="2" t="s">
        <v>9370</v>
      </c>
      <c r="B1021" s="2">
        <v>269.13071000000002</v>
      </c>
      <c r="C1021" s="2">
        <v>10.872</v>
      </c>
      <c r="D1021" s="2" t="s">
        <v>146</v>
      </c>
      <c r="E1021" s="2" t="s">
        <v>9371</v>
      </c>
      <c r="F1021" s="2" t="s">
        <v>9372</v>
      </c>
      <c r="G1021" s="2">
        <v>280526</v>
      </c>
      <c r="H1021" s="3" t="str">
        <f>HYPERLINK("https://cloud.oebiotech.com/#/lm/network/280526", "https://cloud.oebiotech.com/#/lm/network/280526")</f>
        <v>https://cloud.oebiotech.com/#/lm/network/280526</v>
      </c>
      <c r="I1021" s="2"/>
      <c r="J1021" s="2">
        <v>85121</v>
      </c>
      <c r="K1021" s="2"/>
      <c r="L1021" s="2">
        <v>442187</v>
      </c>
      <c r="M1021" s="2" t="s">
        <v>9373</v>
      </c>
      <c r="N1021" s="2"/>
      <c r="O1021" s="2"/>
      <c r="P1021" s="2"/>
      <c r="Q1021" s="2"/>
      <c r="R1021" s="2"/>
      <c r="S1021" s="2" t="s">
        <v>9374</v>
      </c>
      <c r="T1021" s="2" t="s">
        <v>9375</v>
      </c>
      <c r="U1021" s="2" t="s">
        <v>9376</v>
      </c>
      <c r="V1021" s="2" t="s">
        <v>553</v>
      </c>
      <c r="W1021" s="2" t="s">
        <v>9377</v>
      </c>
      <c r="X1021" s="2" t="s">
        <v>375</v>
      </c>
      <c r="Y1021" s="2" t="s">
        <v>556</v>
      </c>
      <c r="Z1021" s="2" t="s">
        <v>9378</v>
      </c>
      <c r="AA1021" s="2"/>
      <c r="AB1021" s="2" t="s">
        <v>3086</v>
      </c>
      <c r="AC1021" s="2">
        <v>50.48</v>
      </c>
      <c r="AD1021" s="2">
        <v>71.31</v>
      </c>
      <c r="AE1021" s="2">
        <v>0</v>
      </c>
      <c r="AF1021" s="2" t="s">
        <v>9379</v>
      </c>
      <c r="AG1021" s="2" t="s">
        <v>4062</v>
      </c>
      <c r="AH1021" s="2" t="s">
        <v>9380</v>
      </c>
      <c r="AI1021" s="2">
        <v>2.6</v>
      </c>
      <c r="AJ1021" s="2">
        <v>22.6183222132154</v>
      </c>
      <c r="AK1021" s="2">
        <v>23.100354109963099</v>
      </c>
      <c r="AL1021" s="2">
        <v>23.035618537150501</v>
      </c>
      <c r="AM1021" s="2">
        <v>22.778875003139699</v>
      </c>
      <c r="AN1021" s="2">
        <v>23.209288840433199</v>
      </c>
      <c r="AO1021" s="2">
        <v>23.204794661564701</v>
      </c>
      <c r="AP1021" s="2">
        <v>23.203758374067</v>
      </c>
      <c r="AQ1021" s="2">
        <v>23.350808855435002</v>
      </c>
      <c r="AR1021" s="2">
        <v>22.669923057472701</v>
      </c>
      <c r="AS1021" s="2">
        <v>22.773144647006198</v>
      </c>
      <c r="AT1021" s="2">
        <v>21.5186484065716</v>
      </c>
      <c r="AU1021" s="2">
        <v>21.897266376484598</v>
      </c>
      <c r="AV1021" s="2">
        <v>23.055682453168</v>
      </c>
      <c r="AW1021" s="2">
        <v>22.936209483647499</v>
      </c>
      <c r="AX1021" s="2">
        <v>21.831982135200999</v>
      </c>
      <c r="AY1021" s="2">
        <v>23.105084240256001</v>
      </c>
      <c r="AZ1021" s="2">
        <v>21.564866403856499</v>
      </c>
      <c r="BA1021" s="2">
        <v>23.0714391947092</v>
      </c>
      <c r="BB1021" s="2">
        <v>23.104956345782099</v>
      </c>
      <c r="BC1021" s="2">
        <v>23.0678997205891</v>
      </c>
      <c r="BD1021" s="2">
        <v>23.1059745579857</v>
      </c>
      <c r="BE1021" s="2">
        <v>23.122505912468899</v>
      </c>
      <c r="BF1021" s="2">
        <v>23.137989191355999</v>
      </c>
      <c r="BG1021" s="2">
        <v>23.1455100614751</v>
      </c>
      <c r="BH1021" s="2">
        <v>21.561654921073998</v>
      </c>
      <c r="BI1021" s="2">
        <v>22.082802989925302</v>
      </c>
      <c r="BJ1021" s="2">
        <v>23.147580711387999</v>
      </c>
      <c r="BK1021" s="2">
        <v>23.159112234384999</v>
      </c>
      <c r="BL1021" s="2">
        <v>22.998286641178101</v>
      </c>
      <c r="BM1021" s="2">
        <v>23.179537347811699</v>
      </c>
      <c r="BN1021" s="2">
        <v>23.214040587734999</v>
      </c>
      <c r="BO1021" s="2">
        <v>23.216502269778498</v>
      </c>
      <c r="BP1021" s="2">
        <v>23.178840534200202</v>
      </c>
      <c r="BQ1021" s="2">
        <v>23.185298742673201</v>
      </c>
      <c r="BR1021" s="2">
        <v>22.527255987491401</v>
      </c>
      <c r="BS1021" s="2">
        <v>22.017666406632401</v>
      </c>
      <c r="BT1021" s="2">
        <v>23.2810658774819</v>
      </c>
      <c r="BU1021" s="2">
        <v>23.066029387308301</v>
      </c>
      <c r="BV1021" s="2">
        <v>21.682558342816002</v>
      </c>
      <c r="BW1021" s="2">
        <v>21.3362241783014</v>
      </c>
      <c r="BX1021" s="2">
        <v>22.848614908481402</v>
      </c>
      <c r="BY1021" s="2">
        <v>22.538603772483199</v>
      </c>
      <c r="BZ1021" s="2">
        <v>23.0842997336274</v>
      </c>
      <c r="CA1021" s="2">
        <v>23.241832332698898</v>
      </c>
      <c r="CB1021" s="2">
        <v>23.3030227149601</v>
      </c>
      <c r="CC1021" s="2">
        <v>23.330925530461101</v>
      </c>
      <c r="CD1021" s="2">
        <v>23.302488124829999</v>
      </c>
      <c r="CE1021" s="2">
        <v>23.290558251064301</v>
      </c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</row>
    <row r="1022" spans="1:97">
      <c r="A1022" s="2" t="s">
        <v>9381</v>
      </c>
      <c r="B1022" s="2">
        <v>593.47819000000004</v>
      </c>
      <c r="C1022" s="2">
        <v>13.667</v>
      </c>
      <c r="D1022" s="2" t="s">
        <v>146</v>
      </c>
      <c r="E1022" s="2" t="s">
        <v>9382</v>
      </c>
      <c r="F1022" s="2" t="s">
        <v>9383</v>
      </c>
      <c r="G1022" s="2">
        <v>250690</v>
      </c>
      <c r="H1022" s="3" t="str">
        <f>HYPERLINK("https://cloud.oebiotech.com/#/lm/network/250690", "https://cloud.oebiotech.com/#/lm/network/250690")</f>
        <v>https://cloud.oebiotech.com/#/lm/network/250690</v>
      </c>
      <c r="I1022" s="2" t="s">
        <v>9384</v>
      </c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 t="s">
        <v>9385</v>
      </c>
      <c r="U1022" s="2" t="s">
        <v>9386</v>
      </c>
      <c r="V1022" s="2" t="s">
        <v>95</v>
      </c>
      <c r="W1022" s="2" t="s">
        <v>7709</v>
      </c>
      <c r="X1022" s="2" t="s">
        <v>9387</v>
      </c>
      <c r="Y1022" s="2" t="s">
        <v>98</v>
      </c>
      <c r="Z1022" s="2" t="s">
        <v>7711</v>
      </c>
      <c r="AA1022" s="2" t="s">
        <v>9388</v>
      </c>
      <c r="AB1022" s="2" t="s">
        <v>3086</v>
      </c>
      <c r="AC1022" s="2">
        <v>50.48</v>
      </c>
      <c r="AD1022" s="2">
        <v>75.040000000000006</v>
      </c>
      <c r="AE1022" s="2">
        <v>0</v>
      </c>
      <c r="AF1022" s="2" t="s">
        <v>9389</v>
      </c>
      <c r="AG1022" s="2" t="s">
        <v>194</v>
      </c>
      <c r="AH1022" s="2" t="s">
        <v>9390</v>
      </c>
      <c r="AI1022" s="2">
        <v>0.67</v>
      </c>
      <c r="AJ1022" s="2">
        <v>19.0859925559907</v>
      </c>
      <c r="AK1022" s="2">
        <v>19.0826077908077</v>
      </c>
      <c r="AL1022" s="2">
        <v>18.6051605944279</v>
      </c>
      <c r="AM1022" s="2">
        <v>18.878610613850999</v>
      </c>
      <c r="AN1022" s="2">
        <v>18.548037988514899</v>
      </c>
      <c r="AO1022" s="2">
        <v>18.220284556650402</v>
      </c>
      <c r="AP1022" s="2">
        <v>18.1746229605154</v>
      </c>
      <c r="AQ1022" s="2">
        <v>19.2687112617885</v>
      </c>
      <c r="AR1022" s="2">
        <v>18.535700295091999</v>
      </c>
      <c r="AS1022" s="2">
        <v>18.922878953075902</v>
      </c>
      <c r="AT1022" s="2">
        <v>18.358498866216099</v>
      </c>
      <c r="AU1022" s="2">
        <v>17.919190736026898</v>
      </c>
      <c r="AV1022" s="2">
        <v>18.6419034265009</v>
      </c>
      <c r="AW1022" s="2">
        <v>17.596506228382601</v>
      </c>
      <c r="AX1022" s="2">
        <v>18.039139090206401</v>
      </c>
      <c r="AY1022" s="2">
        <v>18.884596669021001</v>
      </c>
      <c r="AZ1022" s="2">
        <v>18.270422314187101</v>
      </c>
      <c r="BA1022" s="2">
        <v>18.883750119072801</v>
      </c>
      <c r="BB1022" s="2">
        <v>18.101957415621801</v>
      </c>
      <c r="BC1022" s="2">
        <v>19.894720011416599</v>
      </c>
      <c r="BD1022" s="2">
        <v>18.3150416692771</v>
      </c>
      <c r="BE1022" s="2">
        <v>19.2309845113408</v>
      </c>
      <c r="BF1022" s="2">
        <v>18.454565942298601</v>
      </c>
      <c r="BG1022" s="2">
        <v>17.363169280074899</v>
      </c>
      <c r="BH1022" s="2">
        <v>17.295913289955202</v>
      </c>
      <c r="BI1022" s="2">
        <v>17.955275803018299</v>
      </c>
      <c r="BJ1022" s="2">
        <v>19.7012413049891</v>
      </c>
      <c r="BK1022" s="2">
        <v>16.650234869250301</v>
      </c>
      <c r="BL1022" s="2">
        <v>19.034875220154699</v>
      </c>
      <c r="BM1022" s="2">
        <v>17.804207168135999</v>
      </c>
      <c r="BN1022" s="2">
        <v>18.801181427700001</v>
      </c>
      <c r="BO1022" s="2">
        <v>18.6024739700098</v>
      </c>
      <c r="BP1022" s="2">
        <v>18.479001498650302</v>
      </c>
      <c r="BQ1022" s="2">
        <v>17.728716120459101</v>
      </c>
      <c r="BR1022" s="2">
        <v>17.536866269833901</v>
      </c>
      <c r="BS1022" s="2">
        <v>19.077379639605802</v>
      </c>
      <c r="BT1022" s="2">
        <v>17.7648239794595</v>
      </c>
      <c r="BU1022" s="2">
        <v>19.867181864515</v>
      </c>
      <c r="BV1022" s="2">
        <v>18.8826803305213</v>
      </c>
      <c r="BW1022" s="2">
        <v>17.2767014769369</v>
      </c>
      <c r="BX1022" s="2">
        <v>18.5087216884607</v>
      </c>
      <c r="BY1022" s="2">
        <v>20.906934629833</v>
      </c>
      <c r="BZ1022" s="2">
        <v>18.719932784104099</v>
      </c>
      <c r="CA1022" s="2">
        <v>16.282789268189401</v>
      </c>
      <c r="CB1022" s="2">
        <v>18.656499512881801</v>
      </c>
      <c r="CC1022" s="2">
        <v>16.958436941758499</v>
      </c>
      <c r="CD1022" s="2">
        <v>19.3512937748939</v>
      </c>
      <c r="CE1022" s="2">
        <v>18.621649051877299</v>
      </c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</row>
    <row r="1023" spans="1:97">
      <c r="A1023" s="2" t="s">
        <v>9391</v>
      </c>
      <c r="B1023" s="2">
        <v>203.04118</v>
      </c>
      <c r="C1023" s="2">
        <v>0.71599999999999997</v>
      </c>
      <c r="D1023" s="2" t="s">
        <v>84</v>
      </c>
      <c r="E1023" s="2" t="s">
        <v>9392</v>
      </c>
      <c r="F1023" s="2" t="s">
        <v>9393</v>
      </c>
      <c r="G1023" s="2">
        <v>47663</v>
      </c>
      <c r="H1023" s="3" t="str">
        <f>HYPERLINK("https://cloud.oebiotech.com/#/lm/network/47663", "https://cloud.oebiotech.com/#/lm/network/47663")</f>
        <v>https://cloud.oebiotech.com/#/lm/network/47663</v>
      </c>
      <c r="I1023" s="2" t="s">
        <v>9394</v>
      </c>
      <c r="J1023" s="2">
        <v>6338</v>
      </c>
      <c r="K1023" s="2"/>
      <c r="L1023" s="2">
        <v>106</v>
      </c>
      <c r="M1023" s="2" t="s">
        <v>9395</v>
      </c>
      <c r="N1023" s="2" t="s">
        <v>9396</v>
      </c>
      <c r="O1023" s="2" t="s">
        <v>9397</v>
      </c>
      <c r="P1023" s="2">
        <v>37712</v>
      </c>
      <c r="Q1023" s="2"/>
      <c r="R1023" s="2"/>
      <c r="S1023" s="2" t="s">
        <v>9398</v>
      </c>
      <c r="T1023" s="2" t="s">
        <v>9399</v>
      </c>
      <c r="U1023" s="2" t="s">
        <v>9400</v>
      </c>
      <c r="V1023" s="2" t="s">
        <v>115</v>
      </c>
      <c r="W1023" s="2" t="s">
        <v>116</v>
      </c>
      <c r="X1023" s="2" t="s">
        <v>117</v>
      </c>
      <c r="Y1023" s="2" t="s">
        <v>118</v>
      </c>
      <c r="Z1023" s="2" t="s">
        <v>119</v>
      </c>
      <c r="AA1023" s="2" t="s">
        <v>120</v>
      </c>
      <c r="AB1023" s="2" t="s">
        <v>3086</v>
      </c>
      <c r="AC1023" s="2">
        <v>50.47</v>
      </c>
      <c r="AD1023" s="2">
        <v>97.25</v>
      </c>
      <c r="AE1023" s="2">
        <v>0</v>
      </c>
      <c r="AF1023" s="2" t="s">
        <v>5614</v>
      </c>
      <c r="AG1023" s="2" t="s">
        <v>132</v>
      </c>
      <c r="AH1023" s="2" t="s">
        <v>9401</v>
      </c>
      <c r="AI1023" s="2">
        <v>7.39</v>
      </c>
      <c r="AJ1023" s="2">
        <v>21.063780767103601</v>
      </c>
      <c r="AK1023" s="2">
        <v>21.098141183624598</v>
      </c>
      <c r="AL1023" s="2">
        <v>19.760091717357302</v>
      </c>
      <c r="AM1023" s="2">
        <v>20.833544045896801</v>
      </c>
      <c r="AN1023" s="2">
        <v>20.475415883120199</v>
      </c>
      <c r="AO1023" s="2">
        <v>20.8626174877989</v>
      </c>
      <c r="AP1023" s="2">
        <v>20.303839509838401</v>
      </c>
      <c r="AQ1023" s="2">
        <v>21.120215535061899</v>
      </c>
      <c r="AR1023" s="2">
        <v>19.6098973234235</v>
      </c>
      <c r="AS1023" s="2">
        <v>19.255547249473501</v>
      </c>
      <c r="AT1023" s="2">
        <v>19.9494958776217</v>
      </c>
      <c r="AU1023" s="2">
        <v>19.534203563788999</v>
      </c>
      <c r="AV1023" s="2">
        <v>19.196391313098601</v>
      </c>
      <c r="AW1023" s="2">
        <v>19.166331427464002</v>
      </c>
      <c r="AX1023" s="2">
        <v>19.231984306825201</v>
      </c>
      <c r="AY1023" s="2">
        <v>20.600422763668401</v>
      </c>
      <c r="AZ1023" s="2">
        <v>20.817472666034099</v>
      </c>
      <c r="BA1023" s="2">
        <v>20.013345738825301</v>
      </c>
      <c r="BB1023" s="2">
        <v>18.491339506615098</v>
      </c>
      <c r="BC1023" s="2">
        <v>19.963601092737701</v>
      </c>
      <c r="BD1023" s="2">
        <v>20.130602874979701</v>
      </c>
      <c r="BE1023" s="2">
        <v>20.4912285231818</v>
      </c>
      <c r="BF1023" s="2">
        <v>21.126579098331799</v>
      </c>
      <c r="BG1023" s="2">
        <v>19.739525983399801</v>
      </c>
      <c r="BH1023" s="2">
        <v>19.8373864783462</v>
      </c>
      <c r="BI1023" s="2">
        <v>19.851309125699601</v>
      </c>
      <c r="BJ1023" s="2">
        <v>20.572386787916599</v>
      </c>
      <c r="BK1023" s="2">
        <v>21.115798392341102</v>
      </c>
      <c r="BL1023" s="2">
        <v>21.019669985966001</v>
      </c>
      <c r="BM1023" s="2">
        <v>19.512896308929601</v>
      </c>
      <c r="BN1023" s="2">
        <v>18.762087968524298</v>
      </c>
      <c r="BO1023" s="2">
        <v>20.1372456518069</v>
      </c>
      <c r="BP1023" s="2">
        <v>20.688873062729002</v>
      </c>
      <c r="BQ1023" s="2">
        <v>19.5253279495243</v>
      </c>
      <c r="BR1023" s="2">
        <v>19.376064177413699</v>
      </c>
      <c r="BS1023" s="2">
        <v>21.4741971695159</v>
      </c>
      <c r="BT1023" s="2">
        <v>19.826005950252501</v>
      </c>
      <c r="BU1023" s="2">
        <v>19.086646287478501</v>
      </c>
      <c r="BV1023" s="2">
        <v>20.1732447094417</v>
      </c>
      <c r="BW1023" s="2">
        <v>20.1702441781628</v>
      </c>
      <c r="BX1023" s="2">
        <v>20.4121255516384</v>
      </c>
      <c r="BY1023" s="2">
        <v>20.8679890319804</v>
      </c>
      <c r="BZ1023" s="2">
        <v>20.432195306439599</v>
      </c>
      <c r="CA1023" s="2">
        <v>22.163480836762801</v>
      </c>
      <c r="CB1023" s="2">
        <v>20.5401748649303</v>
      </c>
      <c r="CC1023" s="2">
        <v>20.8772504952336</v>
      </c>
      <c r="CD1023" s="2">
        <v>21.347424306274299</v>
      </c>
      <c r="CE1023" s="2">
        <v>20.947675794034001</v>
      </c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</row>
    <row r="1024" spans="1:97">
      <c r="A1024" s="2" t="s">
        <v>9402</v>
      </c>
      <c r="B1024" s="2">
        <v>228.09925000000001</v>
      </c>
      <c r="C1024" s="2">
        <v>4.8639999999999999</v>
      </c>
      <c r="D1024" s="2" t="s">
        <v>84</v>
      </c>
      <c r="E1024" s="2" t="s">
        <v>9403</v>
      </c>
      <c r="F1024" s="2" t="s">
        <v>9404</v>
      </c>
      <c r="G1024" s="2">
        <v>63279</v>
      </c>
      <c r="H1024" s="3" t="str">
        <f>HYPERLINK("https://cloud.oebiotech.com/#/lm/network/63279", "https://cloud.oebiotech.com/#/lm/network/63279")</f>
        <v>https://cloud.oebiotech.com/#/lm/network/63279</v>
      </c>
      <c r="I1024" s="2" t="s">
        <v>9405</v>
      </c>
      <c r="J1024" s="2">
        <v>94587</v>
      </c>
      <c r="K1024" s="2"/>
      <c r="L1024" s="2">
        <v>86127012</v>
      </c>
      <c r="M1024" s="2"/>
      <c r="N1024" s="2"/>
      <c r="O1024" s="2"/>
      <c r="P1024" s="2">
        <v>172447</v>
      </c>
      <c r="Q1024" s="2"/>
      <c r="R1024" s="2"/>
      <c r="S1024" s="2" t="s">
        <v>9406</v>
      </c>
      <c r="T1024" s="2" t="s">
        <v>9407</v>
      </c>
      <c r="U1024" s="2" t="s">
        <v>9408</v>
      </c>
      <c r="V1024" s="2" t="s">
        <v>553</v>
      </c>
      <c r="W1024" s="2" t="s">
        <v>9409</v>
      </c>
      <c r="X1024" s="2" t="s">
        <v>375</v>
      </c>
      <c r="Y1024" s="2" t="s">
        <v>556</v>
      </c>
      <c r="Z1024" s="2" t="s">
        <v>9410</v>
      </c>
      <c r="AA1024" s="2"/>
      <c r="AB1024" s="2" t="s">
        <v>3086</v>
      </c>
      <c r="AC1024" s="2">
        <v>50.47</v>
      </c>
      <c r="AD1024" s="2">
        <v>74.37</v>
      </c>
      <c r="AE1024" s="2">
        <v>0</v>
      </c>
      <c r="AF1024" s="2" t="s">
        <v>5614</v>
      </c>
      <c r="AG1024" s="2" t="s">
        <v>1578</v>
      </c>
      <c r="AH1024" s="2" t="s">
        <v>9411</v>
      </c>
      <c r="AI1024" s="2">
        <v>0.88</v>
      </c>
      <c r="AJ1024" s="2">
        <v>18.394197892628501</v>
      </c>
      <c r="AK1024" s="2">
        <v>18.722114695145098</v>
      </c>
      <c r="AL1024" s="2">
        <v>18.906749671186599</v>
      </c>
      <c r="AM1024" s="2">
        <v>18.849477582090501</v>
      </c>
      <c r="AN1024" s="2">
        <v>19.1957087617395</v>
      </c>
      <c r="AO1024" s="2">
        <v>18.874615292011601</v>
      </c>
      <c r="AP1024" s="2">
        <v>18.891643698057699</v>
      </c>
      <c r="AQ1024" s="2">
        <v>19.073010097491601</v>
      </c>
      <c r="AR1024" s="2">
        <v>18.712098764421299</v>
      </c>
      <c r="AS1024" s="2">
        <v>18.723974946757</v>
      </c>
      <c r="AT1024" s="2">
        <v>18.018859879212901</v>
      </c>
      <c r="AU1024" s="2">
        <v>17.654858915300899</v>
      </c>
      <c r="AV1024" s="2">
        <v>18.626561553071401</v>
      </c>
      <c r="AW1024" s="2">
        <v>18.8141823849869</v>
      </c>
      <c r="AX1024" s="2">
        <v>18.0284010715175</v>
      </c>
      <c r="AY1024" s="2">
        <v>18.972163749630699</v>
      </c>
      <c r="AZ1024" s="2">
        <v>18.864296402076199</v>
      </c>
      <c r="BA1024" s="2">
        <v>18.304368747348899</v>
      </c>
      <c r="BB1024" s="2">
        <v>18.7942085490834</v>
      </c>
      <c r="BC1024" s="2">
        <v>18.1472468677647</v>
      </c>
      <c r="BD1024" s="2">
        <v>18.946196263116001</v>
      </c>
      <c r="BE1024" s="2">
        <v>18.7762765529273</v>
      </c>
      <c r="BF1024" s="2">
        <v>18.658124436334699</v>
      </c>
      <c r="BG1024" s="2">
        <v>18.877874200270899</v>
      </c>
      <c r="BH1024" s="2">
        <v>19.0459730172335</v>
      </c>
      <c r="BI1024" s="2">
        <v>18.924367361617001</v>
      </c>
      <c r="BJ1024" s="2">
        <v>18.283243841784</v>
      </c>
      <c r="BK1024" s="2">
        <v>18.362653564227202</v>
      </c>
      <c r="BL1024" s="2">
        <v>18.970463306215301</v>
      </c>
      <c r="BM1024" s="2">
        <v>18.8733052603746</v>
      </c>
      <c r="BN1024" s="2">
        <v>19.036609038934699</v>
      </c>
      <c r="BO1024" s="2">
        <v>18.015948450373401</v>
      </c>
      <c r="BP1024" s="2">
        <v>18.940683286267198</v>
      </c>
      <c r="BQ1024" s="2">
        <v>19.1488617575414</v>
      </c>
      <c r="BR1024" s="2">
        <v>18.8543754033917</v>
      </c>
      <c r="BS1024" s="2">
        <v>18.870400603478899</v>
      </c>
      <c r="BT1024" s="2">
        <v>18.168735620463298</v>
      </c>
      <c r="BU1024" s="2">
        <v>18.518363628768899</v>
      </c>
      <c r="BV1024" s="2">
        <v>19.1284376414545</v>
      </c>
      <c r="BW1024" s="2">
        <v>18.503023539080601</v>
      </c>
      <c r="BX1024" s="2">
        <v>19.222246077316299</v>
      </c>
      <c r="BY1024" s="2">
        <v>19.045996632645799</v>
      </c>
      <c r="BZ1024" s="2">
        <v>18.4244671060294</v>
      </c>
      <c r="CA1024" s="2">
        <v>18.5544213873548</v>
      </c>
      <c r="CB1024" s="2">
        <v>19.129051262421498</v>
      </c>
      <c r="CC1024" s="2">
        <v>18.989403120817801</v>
      </c>
      <c r="CD1024" s="2">
        <v>19.122673047387998</v>
      </c>
      <c r="CE1024" s="2">
        <v>19.062193107321999</v>
      </c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</row>
    <row r="1025" spans="1:97">
      <c r="A1025" s="2" t="s">
        <v>9412</v>
      </c>
      <c r="B1025" s="2">
        <v>189.06773999999999</v>
      </c>
      <c r="C1025" s="2">
        <v>3.6789999999999998</v>
      </c>
      <c r="D1025" s="2" t="s">
        <v>84</v>
      </c>
      <c r="E1025" s="2" t="s">
        <v>9413</v>
      </c>
      <c r="F1025" s="2" t="s">
        <v>9414</v>
      </c>
      <c r="G1025" s="2">
        <v>203409</v>
      </c>
      <c r="H1025" s="3" t="str">
        <f>HYPERLINK("https://cloud.oebiotech.com/#/lm/network/203409", "https://cloud.oebiotech.com/#/lm/network/203409")</f>
        <v>https://cloud.oebiotech.com/#/lm/network/203409</v>
      </c>
      <c r="I1025" s="2" t="s">
        <v>9415</v>
      </c>
      <c r="J1025" s="2"/>
      <c r="K1025" s="2"/>
      <c r="L1025" s="2">
        <v>151496</v>
      </c>
      <c r="M1025" s="2"/>
      <c r="N1025" s="2"/>
      <c r="O1025" s="2"/>
      <c r="P1025" s="2"/>
      <c r="Q1025" s="2"/>
      <c r="R1025" s="2"/>
      <c r="S1025" s="2"/>
      <c r="T1025" s="2" t="s">
        <v>9416</v>
      </c>
      <c r="U1025" s="2" t="s">
        <v>9417</v>
      </c>
      <c r="V1025" s="2" t="s">
        <v>385</v>
      </c>
      <c r="W1025" s="2" t="s">
        <v>386</v>
      </c>
      <c r="X1025" s="2" t="s">
        <v>1742</v>
      </c>
      <c r="Y1025" s="2" t="s">
        <v>388</v>
      </c>
      <c r="Z1025" s="2" t="s">
        <v>389</v>
      </c>
      <c r="AA1025" s="2" t="s">
        <v>1743</v>
      </c>
      <c r="AB1025" s="2" t="s">
        <v>3086</v>
      </c>
      <c r="AC1025" s="2">
        <v>50.46</v>
      </c>
      <c r="AD1025" s="2">
        <v>93.74</v>
      </c>
      <c r="AE1025" s="2">
        <v>0</v>
      </c>
      <c r="AF1025" s="2" t="s">
        <v>5614</v>
      </c>
      <c r="AG1025" s="2" t="s">
        <v>1088</v>
      </c>
      <c r="AH1025" s="2" t="s">
        <v>9418</v>
      </c>
      <c r="AI1025" s="2">
        <v>-6.88</v>
      </c>
      <c r="AJ1025" s="2">
        <v>20.6714551404988</v>
      </c>
      <c r="AK1025" s="2">
        <v>20.657867835066401</v>
      </c>
      <c r="AL1025" s="2">
        <v>20.5442730285755</v>
      </c>
      <c r="AM1025" s="2">
        <v>20.392860452917098</v>
      </c>
      <c r="AN1025" s="2">
        <v>21.254635787649701</v>
      </c>
      <c r="AO1025" s="2">
        <v>21.536678985226001</v>
      </c>
      <c r="AP1025" s="2">
        <v>21.3290343282024</v>
      </c>
      <c r="AQ1025" s="2">
        <v>21.0068602999382</v>
      </c>
      <c r="AR1025" s="2">
        <v>19.627248428521501</v>
      </c>
      <c r="AS1025" s="2">
        <v>19.162308858863799</v>
      </c>
      <c r="AT1025" s="2">
        <v>20.488476529441101</v>
      </c>
      <c r="AU1025" s="2">
        <v>19.676431048979499</v>
      </c>
      <c r="AV1025" s="2">
        <v>20.785184548185601</v>
      </c>
      <c r="AW1025" s="2">
        <v>20.366323484373599</v>
      </c>
      <c r="AX1025" s="2">
        <v>20.169119610469401</v>
      </c>
      <c r="AY1025" s="2">
        <v>20.780845676259599</v>
      </c>
      <c r="AZ1025" s="2">
        <v>20.2940502857406</v>
      </c>
      <c r="BA1025" s="2">
        <v>19.884670592949799</v>
      </c>
      <c r="BB1025" s="2">
        <v>21.240911431431901</v>
      </c>
      <c r="BC1025" s="2">
        <v>20.330866964766699</v>
      </c>
      <c r="BD1025" s="2">
        <v>20.094990939798699</v>
      </c>
      <c r="BE1025" s="2">
        <v>21.717540033674801</v>
      </c>
      <c r="BF1025" s="2">
        <v>20.6600507141343</v>
      </c>
      <c r="BG1025" s="2">
        <v>20.652943040098599</v>
      </c>
      <c r="BH1025" s="2">
        <v>21.3046053047191</v>
      </c>
      <c r="BI1025" s="2">
        <v>20.624472956289701</v>
      </c>
      <c r="BJ1025" s="2">
        <v>20.6447214416152</v>
      </c>
      <c r="BK1025" s="2">
        <v>20.3446023613613</v>
      </c>
      <c r="BL1025" s="2">
        <v>20.543795322817999</v>
      </c>
      <c r="BM1025" s="2">
        <v>21.382661970905801</v>
      </c>
      <c r="BN1025" s="2">
        <v>20.648374620162802</v>
      </c>
      <c r="BO1025" s="2">
        <v>20.128494330728099</v>
      </c>
      <c r="BP1025" s="2">
        <v>20.066051260546001</v>
      </c>
      <c r="BQ1025" s="2">
        <v>20.741350222236601</v>
      </c>
      <c r="BR1025" s="2">
        <v>19.305570611638199</v>
      </c>
      <c r="BS1025" s="2">
        <v>21.095893336464801</v>
      </c>
      <c r="BT1025" s="2">
        <v>20.8235714279398</v>
      </c>
      <c r="BU1025" s="2">
        <v>20.433760007658201</v>
      </c>
      <c r="BV1025" s="2">
        <v>20.931528101160701</v>
      </c>
      <c r="BW1025" s="2">
        <v>20.311537078108199</v>
      </c>
      <c r="BX1025" s="2">
        <v>21.244206636920399</v>
      </c>
      <c r="BY1025" s="2">
        <v>21.697858411333101</v>
      </c>
      <c r="BZ1025" s="2">
        <v>21.104728535051301</v>
      </c>
      <c r="CA1025" s="2">
        <v>21.109944718201199</v>
      </c>
      <c r="CB1025" s="2">
        <v>21.025839135048798</v>
      </c>
      <c r="CC1025" s="2">
        <v>20.051936369957101</v>
      </c>
      <c r="CD1025" s="2">
        <v>21.239489875776702</v>
      </c>
      <c r="CE1025" s="2">
        <v>21.093766782968501</v>
      </c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</row>
    <row r="1026" spans="1:97">
      <c r="A1026" s="2" t="s">
        <v>9419</v>
      </c>
      <c r="B1026" s="2">
        <v>209.07817</v>
      </c>
      <c r="C1026" s="2">
        <v>0.66800000000000004</v>
      </c>
      <c r="D1026" s="2" t="s">
        <v>84</v>
      </c>
      <c r="E1026" s="2" t="s">
        <v>9420</v>
      </c>
      <c r="F1026" s="2" t="s">
        <v>9421</v>
      </c>
      <c r="G1026" s="2">
        <v>198975</v>
      </c>
      <c r="H1026" s="3" t="str">
        <f>HYPERLINK("https://cloud.oebiotech.com/#/lm/network/198975", "https://cloud.oebiotech.com/#/lm/network/198975")</f>
        <v>https://cloud.oebiotech.com/#/lm/network/198975</v>
      </c>
      <c r="I1026" s="2" t="s">
        <v>9422</v>
      </c>
      <c r="J1026" s="2"/>
      <c r="K1026" s="2"/>
      <c r="L1026" s="2">
        <v>451784</v>
      </c>
      <c r="M1026" s="2"/>
      <c r="N1026" s="2"/>
      <c r="O1026" s="2"/>
      <c r="P1026" s="2"/>
      <c r="Q1026" s="2"/>
      <c r="R1026" s="2"/>
      <c r="S1026" s="2"/>
      <c r="T1026" s="2" t="s">
        <v>9423</v>
      </c>
      <c r="U1026" s="2" t="s">
        <v>9424</v>
      </c>
      <c r="V1026" s="2" t="s">
        <v>115</v>
      </c>
      <c r="W1026" s="2" t="s">
        <v>116</v>
      </c>
      <c r="X1026" s="2" t="s">
        <v>117</v>
      </c>
      <c r="Y1026" s="2" t="s">
        <v>118</v>
      </c>
      <c r="Z1026" s="2" t="s">
        <v>119</v>
      </c>
      <c r="AA1026" s="2" t="s">
        <v>120</v>
      </c>
      <c r="AB1026" s="2" t="s">
        <v>3086</v>
      </c>
      <c r="AC1026" s="2">
        <v>50.45</v>
      </c>
      <c r="AD1026" s="2">
        <v>95.39</v>
      </c>
      <c r="AE1026" s="2">
        <v>0</v>
      </c>
      <c r="AF1026" s="2" t="s">
        <v>5614</v>
      </c>
      <c r="AG1026" s="2" t="s">
        <v>132</v>
      </c>
      <c r="AH1026" s="2" t="s">
        <v>9425</v>
      </c>
      <c r="AI1026" s="2">
        <v>-6.7</v>
      </c>
      <c r="AJ1026" s="2">
        <v>21.193552003883799</v>
      </c>
      <c r="AK1026" s="2">
        <v>21.237489404727899</v>
      </c>
      <c r="AL1026" s="2">
        <v>21.277833303840101</v>
      </c>
      <c r="AM1026" s="2">
        <v>20.6748476976706</v>
      </c>
      <c r="AN1026" s="2">
        <v>20.978969843195699</v>
      </c>
      <c r="AO1026" s="2">
        <v>21.041609706254199</v>
      </c>
      <c r="AP1026" s="2">
        <v>21.0709995636035</v>
      </c>
      <c r="AQ1026" s="2">
        <v>20.829524990382101</v>
      </c>
      <c r="AR1026" s="2">
        <v>20.9811036141936</v>
      </c>
      <c r="AS1026" s="2">
        <v>20.6673640876067</v>
      </c>
      <c r="AT1026" s="2">
        <v>20.860591303488999</v>
      </c>
      <c r="AU1026" s="2">
        <v>21.031857473497499</v>
      </c>
      <c r="AV1026" s="2">
        <v>20.9269702905071</v>
      </c>
      <c r="AW1026" s="2">
        <v>20.7746266697491</v>
      </c>
      <c r="AX1026" s="2">
        <v>20.876748531670199</v>
      </c>
      <c r="AY1026" s="2">
        <v>21.254783579970599</v>
      </c>
      <c r="AZ1026" s="2">
        <v>20.9301099311472</v>
      </c>
      <c r="BA1026" s="2">
        <v>21.073455508807299</v>
      </c>
      <c r="BB1026" s="2">
        <v>21.086051547056599</v>
      </c>
      <c r="BC1026" s="2">
        <v>19.847317055671201</v>
      </c>
      <c r="BD1026" s="2">
        <v>21.146546215490499</v>
      </c>
      <c r="BE1026" s="2">
        <v>21.322456103315499</v>
      </c>
      <c r="BF1026" s="2">
        <v>21.314001652139002</v>
      </c>
      <c r="BG1026" s="2">
        <v>21.091763788881</v>
      </c>
      <c r="BH1026" s="2">
        <v>20.9755295843356</v>
      </c>
      <c r="BI1026" s="2">
        <v>21.213948476778</v>
      </c>
      <c r="BJ1026" s="2">
        <v>21.022609984915</v>
      </c>
      <c r="BK1026" s="2">
        <v>20.442342774172001</v>
      </c>
      <c r="BL1026" s="2">
        <v>20.469824870848399</v>
      </c>
      <c r="BM1026" s="2">
        <v>20.594244807606199</v>
      </c>
      <c r="BN1026" s="2">
        <v>20.4395336289856</v>
      </c>
      <c r="BO1026" s="2">
        <v>20.895128253675502</v>
      </c>
      <c r="BP1026" s="2">
        <v>20.251735131952898</v>
      </c>
      <c r="BQ1026" s="2">
        <v>21.151684878066401</v>
      </c>
      <c r="BR1026" s="2">
        <v>20.961122470265199</v>
      </c>
      <c r="BS1026" s="2">
        <v>20.581232971130401</v>
      </c>
      <c r="BT1026" s="2">
        <v>21.084816703556498</v>
      </c>
      <c r="BU1026" s="2">
        <v>21.152980610155101</v>
      </c>
      <c r="BV1026" s="2">
        <v>21.0932774947414</v>
      </c>
      <c r="BW1026" s="2">
        <v>20.771823306861599</v>
      </c>
      <c r="BX1026" s="2">
        <v>21.287877451612498</v>
      </c>
      <c r="BY1026" s="2">
        <v>20.528470441110901</v>
      </c>
      <c r="BZ1026" s="2">
        <v>20.313888205495701</v>
      </c>
      <c r="CA1026" s="2">
        <v>21.3114647593627</v>
      </c>
      <c r="CB1026" s="2">
        <v>21.020776389252401</v>
      </c>
      <c r="CC1026" s="2">
        <v>20.7705542911309</v>
      </c>
      <c r="CD1026" s="2">
        <v>20.7355577674534</v>
      </c>
      <c r="CE1026" s="2">
        <v>21.284022876199899</v>
      </c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</row>
    <row r="1027" spans="1:97">
      <c r="A1027" s="2" t="s">
        <v>9426</v>
      </c>
      <c r="B1027" s="2">
        <v>140.99549999999999</v>
      </c>
      <c r="C1027" s="2">
        <v>0.95599999999999996</v>
      </c>
      <c r="D1027" s="2" t="s">
        <v>84</v>
      </c>
      <c r="E1027" s="2" t="s">
        <v>9427</v>
      </c>
      <c r="F1027" s="2" t="s">
        <v>9428</v>
      </c>
      <c r="G1027" s="2">
        <v>47613</v>
      </c>
      <c r="H1027" s="3" t="str">
        <f>HYPERLINK("https://cloud.oebiotech.com/#/lm/network/47613", "https://cloud.oebiotech.com/#/lm/network/47613")</f>
        <v>https://cloud.oebiotech.com/#/lm/network/47613</v>
      </c>
      <c r="I1027" s="2" t="s">
        <v>9429</v>
      </c>
      <c r="J1027" s="2">
        <v>63131</v>
      </c>
      <c r="K1027" s="2"/>
      <c r="L1027" s="2">
        <v>186</v>
      </c>
      <c r="M1027" s="2" t="s">
        <v>9430</v>
      </c>
      <c r="N1027" s="2" t="s">
        <v>9431</v>
      </c>
      <c r="O1027" s="2" t="s">
        <v>9432</v>
      </c>
      <c r="P1027" s="2">
        <v>15350</v>
      </c>
      <c r="Q1027" s="2"/>
      <c r="R1027" s="2"/>
      <c r="S1027" s="2" t="s">
        <v>9433</v>
      </c>
      <c r="T1027" s="2" t="s">
        <v>9434</v>
      </c>
      <c r="U1027" s="2" t="s">
        <v>9435</v>
      </c>
      <c r="V1027" s="2" t="s">
        <v>115</v>
      </c>
      <c r="W1027" s="2" t="s">
        <v>4566</v>
      </c>
      <c r="X1027" s="2" t="s">
        <v>4567</v>
      </c>
      <c r="Y1027" s="2" t="s">
        <v>118</v>
      </c>
      <c r="Z1027" s="2" t="s">
        <v>4568</v>
      </c>
      <c r="AA1027" s="2" t="s">
        <v>4569</v>
      </c>
      <c r="AB1027" s="2" t="s">
        <v>3086</v>
      </c>
      <c r="AC1027" s="2">
        <v>50.43</v>
      </c>
      <c r="AD1027" s="2">
        <v>98.26</v>
      </c>
      <c r="AE1027" s="2">
        <v>0</v>
      </c>
      <c r="AF1027" s="2" t="s">
        <v>5614</v>
      </c>
      <c r="AG1027" s="2" t="s">
        <v>103</v>
      </c>
      <c r="AH1027" s="2" t="s">
        <v>5354</v>
      </c>
      <c r="AI1027" s="2">
        <v>-5.67</v>
      </c>
      <c r="AJ1027" s="2">
        <v>20.6194252175362</v>
      </c>
      <c r="AK1027" s="2">
        <v>19.8776051820529</v>
      </c>
      <c r="AL1027" s="2">
        <v>21.1086921601249</v>
      </c>
      <c r="AM1027" s="2">
        <v>20.949319637864999</v>
      </c>
      <c r="AN1027" s="2">
        <v>21.2383226066381</v>
      </c>
      <c r="AO1027" s="2">
        <v>20.964785591287299</v>
      </c>
      <c r="AP1027" s="2">
        <v>20.889170873308</v>
      </c>
      <c r="AQ1027" s="2">
        <v>20.624816762922102</v>
      </c>
      <c r="AR1027" s="2">
        <v>20.817807021833101</v>
      </c>
      <c r="AS1027" s="2">
        <v>21.247809619045402</v>
      </c>
      <c r="AT1027" s="2">
        <v>21.127618784309799</v>
      </c>
      <c r="AU1027" s="2">
        <v>20.850577844776101</v>
      </c>
      <c r="AV1027" s="2">
        <v>20.674749832739501</v>
      </c>
      <c r="AW1027" s="2">
        <v>20.882951269044</v>
      </c>
      <c r="AX1027" s="2">
        <v>20.969471093936999</v>
      </c>
      <c r="AY1027" s="2">
        <v>20.373600508714599</v>
      </c>
      <c r="AZ1027" s="2">
        <v>21.1841695795089</v>
      </c>
      <c r="BA1027" s="2">
        <v>21.242798436192</v>
      </c>
      <c r="BB1027" s="2">
        <v>21.128685338554298</v>
      </c>
      <c r="BC1027" s="2">
        <v>20.562928625017999</v>
      </c>
      <c r="BD1027" s="2">
        <v>21.050664725712299</v>
      </c>
      <c r="BE1027" s="2">
        <v>21.2175670795095</v>
      </c>
      <c r="BF1027" s="2">
        <v>20.681135667853901</v>
      </c>
      <c r="BG1027" s="2">
        <v>20.904425831873901</v>
      </c>
      <c r="BH1027" s="2">
        <v>20.9852672029795</v>
      </c>
      <c r="BI1027" s="2">
        <v>20.554435524582999</v>
      </c>
      <c r="BJ1027" s="2">
        <v>21.209152251152702</v>
      </c>
      <c r="BK1027" s="2">
        <v>21.126420658565099</v>
      </c>
      <c r="BL1027" s="2">
        <v>20.807127289484299</v>
      </c>
      <c r="BM1027" s="2">
        <v>20.812467108011699</v>
      </c>
      <c r="BN1027" s="2">
        <v>20.855168066647099</v>
      </c>
      <c r="BO1027" s="2">
        <v>21.251412398240799</v>
      </c>
      <c r="BP1027" s="2">
        <v>20.9049214700151</v>
      </c>
      <c r="BQ1027" s="2">
        <v>20.950814377730001</v>
      </c>
      <c r="BR1027" s="2">
        <v>20.710537586255299</v>
      </c>
      <c r="BS1027" s="2">
        <v>21.129775129661098</v>
      </c>
      <c r="BT1027" s="2">
        <v>21.0712340689686</v>
      </c>
      <c r="BU1027" s="2">
        <v>21.0494547996324</v>
      </c>
      <c r="BV1027" s="2">
        <v>20.982624962995299</v>
      </c>
      <c r="BW1027" s="2">
        <v>21.297971200123101</v>
      </c>
      <c r="BX1027" s="2">
        <v>20.907921807349499</v>
      </c>
      <c r="BY1027" s="2">
        <v>20.387483272864401</v>
      </c>
      <c r="BZ1027" s="2">
        <v>20.791770646937898</v>
      </c>
      <c r="CA1027" s="2">
        <v>21.1547384308742</v>
      </c>
      <c r="CB1027" s="2">
        <v>21.206367084627999</v>
      </c>
      <c r="CC1027" s="2">
        <v>21.069547061568699</v>
      </c>
      <c r="CD1027" s="2">
        <v>20.8128255432825</v>
      </c>
      <c r="CE1027" s="2">
        <v>21.186594793805298</v>
      </c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</row>
    <row r="1028" spans="1:97">
      <c r="A1028" s="2" t="s">
        <v>9436</v>
      </c>
      <c r="B1028" s="2">
        <v>244.19044</v>
      </c>
      <c r="C1028" s="2">
        <v>7.0359999999999996</v>
      </c>
      <c r="D1028" s="2" t="s">
        <v>84</v>
      </c>
      <c r="E1028" s="2" t="s">
        <v>9437</v>
      </c>
      <c r="F1028" s="2" t="s">
        <v>9438</v>
      </c>
      <c r="G1028" s="2">
        <v>52235</v>
      </c>
      <c r="H1028" s="3" t="str">
        <f>HYPERLINK("https://cloud.oebiotech.com/#/lm/network/52235", "https://cloud.oebiotech.com/#/lm/network/52235")</f>
        <v>https://cloud.oebiotech.com/#/lm/network/52235</v>
      </c>
      <c r="I1028" s="2" t="s">
        <v>9439</v>
      </c>
      <c r="J1028" s="2">
        <v>331610</v>
      </c>
      <c r="K1028" s="2"/>
      <c r="L1028" s="2">
        <v>454092</v>
      </c>
      <c r="M1028" s="2"/>
      <c r="N1028" s="2"/>
      <c r="O1028" s="2"/>
      <c r="P1028" s="2">
        <v>74438</v>
      </c>
      <c r="Q1028" s="2"/>
      <c r="R1028" s="2"/>
      <c r="S1028" s="2"/>
      <c r="T1028" s="2" t="s">
        <v>9440</v>
      </c>
      <c r="U1028" s="2" t="s">
        <v>9441</v>
      </c>
      <c r="V1028" s="2" t="s">
        <v>115</v>
      </c>
      <c r="W1028" s="2" t="s">
        <v>116</v>
      </c>
      <c r="X1028" s="2" t="s">
        <v>117</v>
      </c>
      <c r="Y1028" s="2" t="s">
        <v>118</v>
      </c>
      <c r="Z1028" s="2" t="s">
        <v>119</v>
      </c>
      <c r="AA1028" s="2" t="s">
        <v>120</v>
      </c>
      <c r="AB1028" s="2" t="s">
        <v>5118</v>
      </c>
      <c r="AC1028" s="2">
        <v>50.42</v>
      </c>
      <c r="AD1028" s="2">
        <v>97.09</v>
      </c>
      <c r="AE1028" s="2">
        <v>70.2</v>
      </c>
      <c r="AF1028" s="2" t="s">
        <v>9442</v>
      </c>
      <c r="AG1028" s="2" t="s">
        <v>103</v>
      </c>
      <c r="AH1028" s="2" t="s">
        <v>9443</v>
      </c>
      <c r="AI1028" s="2">
        <v>1.23</v>
      </c>
      <c r="AJ1028" s="2">
        <v>22.6391218184942</v>
      </c>
      <c r="AK1028" s="2">
        <v>22.581828384052201</v>
      </c>
      <c r="AL1028" s="2">
        <v>22.624471251687002</v>
      </c>
      <c r="AM1028" s="2">
        <v>22.741566789721102</v>
      </c>
      <c r="AN1028" s="2">
        <v>22.675046287916299</v>
      </c>
      <c r="AO1028" s="2">
        <v>22.5061653927763</v>
      </c>
      <c r="AP1028" s="2">
        <v>22.6645637534915</v>
      </c>
      <c r="AQ1028" s="2">
        <v>22.6922513385169</v>
      </c>
      <c r="AR1028" s="2">
        <v>23.078536416431302</v>
      </c>
      <c r="AS1028" s="2">
        <v>22.532587889362201</v>
      </c>
      <c r="AT1028" s="2">
        <v>22.454885944004999</v>
      </c>
      <c r="AU1028" s="2">
        <v>22.376183346798499</v>
      </c>
      <c r="AV1028" s="2">
        <v>22.282873425992999</v>
      </c>
      <c r="AW1028" s="2">
        <v>22.321629799355399</v>
      </c>
      <c r="AX1028" s="2">
        <v>22.4419322814468</v>
      </c>
      <c r="AY1028" s="2">
        <v>22.435679103296199</v>
      </c>
      <c r="AZ1028" s="2">
        <v>22.614275885018301</v>
      </c>
      <c r="BA1028" s="2">
        <v>22.1710141591604</v>
      </c>
      <c r="BB1028" s="2">
        <v>23.1392353013938</v>
      </c>
      <c r="BC1028" s="2">
        <v>22.4094892230193</v>
      </c>
      <c r="BD1028" s="2">
        <v>22.585869946583099</v>
      </c>
      <c r="BE1028" s="2">
        <v>22.300260002422998</v>
      </c>
      <c r="BF1028" s="2">
        <v>22.362889087599498</v>
      </c>
      <c r="BG1028" s="2">
        <v>22.406497861159</v>
      </c>
      <c r="BH1028" s="2">
        <v>22.331831021686401</v>
      </c>
      <c r="BI1028" s="2">
        <v>23.0680075620045</v>
      </c>
      <c r="BJ1028" s="2">
        <v>22.257196295709299</v>
      </c>
      <c r="BK1028" s="2">
        <v>22.2032967344228</v>
      </c>
      <c r="BL1028" s="2">
        <v>22.216288473297901</v>
      </c>
      <c r="BM1028" s="2">
        <v>22.173678505540799</v>
      </c>
      <c r="BN1028" s="2">
        <v>22.367334866179402</v>
      </c>
      <c r="BO1028" s="2">
        <v>22.828518391359399</v>
      </c>
      <c r="BP1028" s="2">
        <v>22.294917480944701</v>
      </c>
      <c r="BQ1028" s="2">
        <v>22.396587645606498</v>
      </c>
      <c r="BR1028" s="2">
        <v>22.47287348411</v>
      </c>
      <c r="BS1028" s="2">
        <v>22.364692698924902</v>
      </c>
      <c r="BT1028" s="2">
        <v>21.8882986246572</v>
      </c>
      <c r="BU1028" s="2">
        <v>22.246747668975601</v>
      </c>
      <c r="BV1028" s="2">
        <v>22.457912263348501</v>
      </c>
      <c r="BW1028" s="2">
        <v>22.1172105408817</v>
      </c>
      <c r="BX1028" s="2">
        <v>22.0048331997974</v>
      </c>
      <c r="BY1028" s="2">
        <v>22.259218701716499</v>
      </c>
      <c r="BZ1028" s="2">
        <v>22.6509422292587</v>
      </c>
      <c r="CA1028" s="2">
        <v>22.190810056542801</v>
      </c>
      <c r="CB1028" s="2">
        <v>22.446305861019901</v>
      </c>
      <c r="CC1028" s="2">
        <v>22.270760196846901</v>
      </c>
      <c r="CD1028" s="2">
        <v>22.4330177884721</v>
      </c>
      <c r="CE1028" s="2">
        <v>22.3792240190845</v>
      </c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</row>
    <row r="1029" spans="1:97">
      <c r="A1029" s="2" t="s">
        <v>9444</v>
      </c>
      <c r="B1029" s="2">
        <v>239.09097</v>
      </c>
      <c r="C1029" s="2">
        <v>4.9550000000000001</v>
      </c>
      <c r="D1029" s="2" t="s">
        <v>84</v>
      </c>
      <c r="E1029" s="2" t="s">
        <v>9445</v>
      </c>
      <c r="F1029" s="2"/>
      <c r="G1029" s="2">
        <v>595766</v>
      </c>
      <c r="H1029" s="3" t="str">
        <f>HYPERLINK("https://cloud.oebiotech.com/#/lm/network/595766", "https://cloud.oebiotech.com/#/lm/network/595766")</f>
        <v>https://cloud.oebiotech.com/#/lm/network/595766</v>
      </c>
      <c r="I1029" s="2"/>
      <c r="J1029" s="2"/>
      <c r="K1029" s="2"/>
      <c r="L1029" s="2">
        <v>71469983</v>
      </c>
      <c r="M1029" s="2"/>
      <c r="N1029" s="2"/>
      <c r="O1029" s="2"/>
      <c r="P1029" s="2"/>
      <c r="Q1029" s="2"/>
      <c r="R1029" s="2"/>
      <c r="S1029" s="2"/>
      <c r="T1029" s="2" t="s">
        <v>9446</v>
      </c>
      <c r="U1029" s="2" t="s">
        <v>9447</v>
      </c>
      <c r="V1029" s="2" t="s">
        <v>338</v>
      </c>
      <c r="W1029" s="2" t="s">
        <v>339</v>
      </c>
      <c r="X1029" s="2" t="s">
        <v>340</v>
      </c>
      <c r="Y1029" s="2" t="s">
        <v>341</v>
      </c>
      <c r="Z1029" s="2" t="s">
        <v>341</v>
      </c>
      <c r="AA1029" s="2" t="s">
        <v>342</v>
      </c>
      <c r="AB1029" s="2" t="s">
        <v>5118</v>
      </c>
      <c r="AC1029" s="2">
        <v>50.4</v>
      </c>
      <c r="AD1029" s="2">
        <v>98.67</v>
      </c>
      <c r="AE1029" s="2">
        <v>70.86</v>
      </c>
      <c r="AF1029" s="2" t="s">
        <v>9448</v>
      </c>
      <c r="AG1029" s="2" t="s">
        <v>103</v>
      </c>
      <c r="AH1029" s="2" t="s">
        <v>9449</v>
      </c>
      <c r="AI1029" s="2">
        <v>1.67</v>
      </c>
      <c r="AJ1029" s="2">
        <v>25.7625414930517</v>
      </c>
      <c r="AK1029" s="2">
        <v>25.7914940769178</v>
      </c>
      <c r="AL1029" s="2">
        <v>25.831488833245601</v>
      </c>
      <c r="AM1029" s="2">
        <v>25.9198240484175</v>
      </c>
      <c r="AN1029" s="2">
        <v>25.8807523013215</v>
      </c>
      <c r="AO1029" s="2">
        <v>25.775171434316899</v>
      </c>
      <c r="AP1029" s="2">
        <v>25.666637251302198</v>
      </c>
      <c r="AQ1029" s="2">
        <v>25.770449453949599</v>
      </c>
      <c r="AR1029" s="2">
        <v>24.723488435631999</v>
      </c>
      <c r="AS1029" s="2">
        <v>24.568383690752299</v>
      </c>
      <c r="AT1029" s="2">
        <v>24.7421548183314</v>
      </c>
      <c r="AU1029" s="2">
        <v>26.342823328384199</v>
      </c>
      <c r="AV1029" s="2">
        <v>24.972257837376599</v>
      </c>
      <c r="AW1029" s="2">
        <v>25.3166093116232</v>
      </c>
      <c r="AX1029" s="2">
        <v>24.254891971995001</v>
      </c>
      <c r="AY1029" s="2">
        <v>23.858669621982202</v>
      </c>
      <c r="AZ1029" s="2">
        <v>24.6361221149884</v>
      </c>
      <c r="BA1029" s="2">
        <v>26.348206685750998</v>
      </c>
      <c r="BB1029" s="2">
        <v>26.7062907113263</v>
      </c>
      <c r="BC1029" s="2">
        <v>26.2234725768689</v>
      </c>
      <c r="BD1029" s="2">
        <v>26.428714696042402</v>
      </c>
      <c r="BE1029" s="2">
        <v>25.229412816540901</v>
      </c>
      <c r="BF1029" s="2">
        <v>25.326929872292499</v>
      </c>
      <c r="BG1029" s="2">
        <v>25.715410984591301</v>
      </c>
      <c r="BH1029" s="2">
        <v>26.125279739149001</v>
      </c>
      <c r="BI1029" s="2">
        <v>24.208334494299901</v>
      </c>
      <c r="BJ1029" s="2">
        <v>26.7205397068441</v>
      </c>
      <c r="BK1029" s="2">
        <v>27.050295221911</v>
      </c>
      <c r="BL1029" s="2">
        <v>25.737314187796599</v>
      </c>
      <c r="BM1029" s="2">
        <v>25.588937654808301</v>
      </c>
      <c r="BN1029" s="2">
        <v>25.8699361174925</v>
      </c>
      <c r="BO1029" s="2">
        <v>26.181853484110299</v>
      </c>
      <c r="BP1029" s="2">
        <v>24.372489128678101</v>
      </c>
      <c r="BQ1029" s="2">
        <v>24.801880349166598</v>
      </c>
      <c r="BR1029" s="2">
        <v>24.567595988885301</v>
      </c>
      <c r="BS1029" s="2">
        <v>24.840839215184399</v>
      </c>
      <c r="BT1029" s="2">
        <v>27.294245297538101</v>
      </c>
      <c r="BU1029" s="2">
        <v>26.527075980673999</v>
      </c>
      <c r="BV1029" s="2">
        <v>26.139633558642</v>
      </c>
      <c r="BW1029" s="2">
        <v>25.049242466300999</v>
      </c>
      <c r="BX1029" s="2">
        <v>26.2172160571217</v>
      </c>
      <c r="BY1029" s="2">
        <v>25.4221041048377</v>
      </c>
      <c r="BZ1029" s="2">
        <v>24.564958074030098</v>
      </c>
      <c r="CA1029" s="2">
        <v>25.259929249104101</v>
      </c>
      <c r="CB1029" s="2">
        <v>25.528196472291501</v>
      </c>
      <c r="CC1029" s="2">
        <v>24.381055924850202</v>
      </c>
      <c r="CD1029" s="2">
        <v>26.559234997786501</v>
      </c>
      <c r="CE1029" s="2">
        <v>26.746177582241099</v>
      </c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</row>
    <row r="1030" spans="1:97">
      <c r="A1030" s="2" t="s">
        <v>9450</v>
      </c>
      <c r="B1030" s="2">
        <v>307.11362000000003</v>
      </c>
      <c r="C1030" s="2">
        <v>0.78800000000000003</v>
      </c>
      <c r="D1030" s="2" t="s">
        <v>84</v>
      </c>
      <c r="E1030" s="2" t="s">
        <v>9451</v>
      </c>
      <c r="F1030" s="2" t="s">
        <v>9452</v>
      </c>
      <c r="G1030" s="2">
        <v>202005</v>
      </c>
      <c r="H1030" s="3" t="str">
        <f>HYPERLINK("https://cloud.oebiotech.com/#/lm/network/202005", "https://cloud.oebiotech.com/#/lm/network/202005")</f>
        <v>https://cloud.oebiotech.com/#/lm/network/202005</v>
      </c>
      <c r="I1030" s="2" t="s">
        <v>9453</v>
      </c>
      <c r="J1030" s="2"/>
      <c r="K1030" s="2"/>
      <c r="L1030" s="2">
        <v>20442</v>
      </c>
      <c r="M1030" s="2"/>
      <c r="N1030" s="2"/>
      <c r="O1030" s="2"/>
      <c r="P1030" s="2"/>
      <c r="Q1030" s="2"/>
      <c r="R1030" s="2"/>
      <c r="S1030" s="2"/>
      <c r="T1030" s="2" t="s">
        <v>9454</v>
      </c>
      <c r="U1030" s="2" t="s">
        <v>9455</v>
      </c>
      <c r="V1030" s="2" t="s">
        <v>115</v>
      </c>
      <c r="W1030" s="2" t="s">
        <v>116</v>
      </c>
      <c r="X1030" s="2" t="s">
        <v>769</v>
      </c>
      <c r="Y1030" s="2" t="s">
        <v>118</v>
      </c>
      <c r="Z1030" s="2" t="s">
        <v>119</v>
      </c>
      <c r="AA1030" s="2" t="s">
        <v>770</v>
      </c>
      <c r="AB1030" s="2" t="s">
        <v>5118</v>
      </c>
      <c r="AC1030" s="2">
        <v>50.4</v>
      </c>
      <c r="AD1030" s="2">
        <v>92.24</v>
      </c>
      <c r="AE1030" s="2">
        <v>74.73</v>
      </c>
      <c r="AF1030" s="2" t="s">
        <v>9456</v>
      </c>
      <c r="AG1030" s="2" t="s">
        <v>103</v>
      </c>
      <c r="AH1030" s="2" t="s">
        <v>9457</v>
      </c>
      <c r="AI1030" s="2">
        <v>0</v>
      </c>
      <c r="AJ1030" s="2">
        <v>21.292592794608201</v>
      </c>
      <c r="AK1030" s="2">
        <v>21.108474143248699</v>
      </c>
      <c r="AL1030" s="2">
        <v>20.966329623154</v>
      </c>
      <c r="AM1030" s="2">
        <v>20.720370150211799</v>
      </c>
      <c r="AN1030" s="2">
        <v>21.366818076787698</v>
      </c>
      <c r="AO1030" s="2">
        <v>21.218224047768601</v>
      </c>
      <c r="AP1030" s="2">
        <v>20.929553875096001</v>
      </c>
      <c r="AQ1030" s="2">
        <v>21.046639504350701</v>
      </c>
      <c r="AR1030" s="2">
        <v>20.725990241795301</v>
      </c>
      <c r="AS1030" s="2">
        <v>21.494822065796399</v>
      </c>
      <c r="AT1030" s="2">
        <v>21.4465353436687</v>
      </c>
      <c r="AU1030" s="2">
        <v>22.1217789947538</v>
      </c>
      <c r="AV1030" s="2">
        <v>20.811139641191701</v>
      </c>
      <c r="AW1030" s="2">
        <v>21.047460240126501</v>
      </c>
      <c r="AX1030" s="2">
        <v>20.798931841196001</v>
      </c>
      <c r="AY1030" s="2">
        <v>21.440516027174599</v>
      </c>
      <c r="AZ1030" s="2">
        <v>20.9792141895479</v>
      </c>
      <c r="BA1030" s="2">
        <v>21.606558310903502</v>
      </c>
      <c r="BB1030" s="2">
        <v>21.585828831322999</v>
      </c>
      <c r="BC1030" s="2">
        <v>21.322081313661801</v>
      </c>
      <c r="BD1030" s="2">
        <v>21.4432420983083</v>
      </c>
      <c r="BE1030" s="2">
        <v>21.004787858385502</v>
      </c>
      <c r="BF1030" s="2">
        <v>21.295739170503101</v>
      </c>
      <c r="BG1030" s="2">
        <v>21.199933671151001</v>
      </c>
      <c r="BH1030" s="2">
        <v>20.993140860817501</v>
      </c>
      <c r="BI1030" s="2">
        <v>20.9965990482286</v>
      </c>
      <c r="BJ1030" s="2">
        <v>20.984282320731499</v>
      </c>
      <c r="BK1030" s="2">
        <v>21.849052936771201</v>
      </c>
      <c r="BL1030" s="2">
        <v>21.481889848506601</v>
      </c>
      <c r="BM1030" s="2">
        <v>21.457941722476701</v>
      </c>
      <c r="BN1030" s="2">
        <v>20.705029479304098</v>
      </c>
      <c r="BO1030" s="2">
        <v>20.533098512649801</v>
      </c>
      <c r="BP1030" s="2">
        <v>20.183857684209201</v>
      </c>
      <c r="BQ1030" s="2">
        <v>21.443566897644001</v>
      </c>
      <c r="BR1030" s="2">
        <v>20.701140415886002</v>
      </c>
      <c r="BS1030" s="2">
        <v>21.104806193627098</v>
      </c>
      <c r="BT1030" s="2">
        <v>21.564874849203001</v>
      </c>
      <c r="BU1030" s="2">
        <v>21.2140449379574</v>
      </c>
      <c r="BV1030" s="2">
        <v>21.511841183837099</v>
      </c>
      <c r="BW1030" s="2">
        <v>21.893960306779402</v>
      </c>
      <c r="BX1030" s="2">
        <v>21.679087608087801</v>
      </c>
      <c r="BY1030" s="2">
        <v>21.2804149949181</v>
      </c>
      <c r="BZ1030" s="2">
        <v>21.217809562477001</v>
      </c>
      <c r="CA1030" s="2">
        <v>21.0678260502714</v>
      </c>
      <c r="CB1030" s="2">
        <v>20.840493952945501</v>
      </c>
      <c r="CC1030" s="2">
        <v>20.843023395580101</v>
      </c>
      <c r="CD1030" s="2">
        <v>20.021115328947001</v>
      </c>
      <c r="CE1030" s="2">
        <v>20.911391673295601</v>
      </c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</row>
    <row r="1031" spans="1:97">
      <c r="A1031" s="2" t="s">
        <v>9458</v>
      </c>
      <c r="B1031" s="2">
        <v>253.00966</v>
      </c>
      <c r="C1031" s="2">
        <v>5.18</v>
      </c>
      <c r="D1031" s="2" t="s">
        <v>84</v>
      </c>
      <c r="E1031" s="2" t="s">
        <v>9459</v>
      </c>
      <c r="F1031" s="2" t="s">
        <v>9460</v>
      </c>
      <c r="G1031" s="2">
        <v>205669</v>
      </c>
      <c r="H1031" s="3" t="str">
        <f>HYPERLINK("https://cloud.oebiotech.com/#/lm/network/205669", "https://cloud.oebiotech.com/#/lm/network/205669")</f>
        <v>https://cloud.oebiotech.com/#/lm/network/205669</v>
      </c>
      <c r="I1031" s="2" t="s">
        <v>9461</v>
      </c>
      <c r="J1031" s="2">
        <v>72441</v>
      </c>
      <c r="K1031" s="2"/>
      <c r="L1031" s="2">
        <v>13526</v>
      </c>
      <c r="M1031" s="2" t="s">
        <v>9462</v>
      </c>
      <c r="N1031" s="2"/>
      <c r="O1031" s="2"/>
      <c r="P1031" s="2">
        <v>38624</v>
      </c>
      <c r="Q1031" s="2"/>
      <c r="R1031" s="2"/>
      <c r="S1031" s="2" t="s">
        <v>9463</v>
      </c>
      <c r="T1031" s="2" t="s">
        <v>9464</v>
      </c>
      <c r="U1031" s="2" t="s">
        <v>9465</v>
      </c>
      <c r="V1031" s="2" t="s">
        <v>9466</v>
      </c>
      <c r="W1031" s="2" t="s">
        <v>9467</v>
      </c>
      <c r="X1031" s="2" t="s">
        <v>375</v>
      </c>
      <c r="Y1031" s="2" t="s">
        <v>9468</v>
      </c>
      <c r="Z1031" s="2" t="s">
        <v>9469</v>
      </c>
      <c r="AA1031" s="2"/>
      <c r="AB1031" s="2" t="s">
        <v>8443</v>
      </c>
      <c r="AC1031" s="2">
        <v>50.39</v>
      </c>
      <c r="AD1031" s="2">
        <v>90.24</v>
      </c>
      <c r="AE1031" s="2">
        <v>31.24</v>
      </c>
      <c r="AF1031" s="2" t="s">
        <v>9470</v>
      </c>
      <c r="AG1031" s="2" t="s">
        <v>1578</v>
      </c>
      <c r="AH1031" s="2" t="s">
        <v>9471</v>
      </c>
      <c r="AI1031" s="2">
        <v>-1.98</v>
      </c>
      <c r="AJ1031" s="2">
        <v>22.883954185477201</v>
      </c>
      <c r="AK1031" s="2">
        <v>23.087614215270602</v>
      </c>
      <c r="AL1031" s="2">
        <v>23.074324398320801</v>
      </c>
      <c r="AM1031" s="2">
        <v>23.102708321394999</v>
      </c>
      <c r="AN1031" s="2">
        <v>22.932757402896101</v>
      </c>
      <c r="AO1031" s="2">
        <v>23.093595275669699</v>
      </c>
      <c r="AP1031" s="2">
        <v>23.0288434199059</v>
      </c>
      <c r="AQ1031" s="2">
        <v>23.026226461057298</v>
      </c>
      <c r="AR1031" s="2">
        <v>22.718395733504401</v>
      </c>
      <c r="AS1031" s="2">
        <v>22.7592742017831</v>
      </c>
      <c r="AT1031" s="2">
        <v>22.902405708024201</v>
      </c>
      <c r="AU1031" s="2">
        <v>22.526005900475401</v>
      </c>
      <c r="AV1031" s="2">
        <v>23.176715886636199</v>
      </c>
      <c r="AW1031" s="2">
        <v>23.137208311906999</v>
      </c>
      <c r="AX1031" s="2">
        <v>23.169132671565102</v>
      </c>
      <c r="AY1031" s="2">
        <v>22.815318995576298</v>
      </c>
      <c r="AZ1031" s="2">
        <v>23.015726376583299</v>
      </c>
      <c r="BA1031" s="2">
        <v>23.2094758611562</v>
      </c>
      <c r="BB1031" s="2">
        <v>22.506433120622599</v>
      </c>
      <c r="BC1031" s="2">
        <v>22.241590790802402</v>
      </c>
      <c r="BD1031" s="2">
        <v>23.193229386744999</v>
      </c>
      <c r="BE1031" s="2">
        <v>23.0227669539902</v>
      </c>
      <c r="BF1031" s="2">
        <v>22.8766158009721</v>
      </c>
      <c r="BG1031" s="2">
        <v>23.181582895118499</v>
      </c>
      <c r="BH1031" s="2">
        <v>23.157685246324299</v>
      </c>
      <c r="BI1031" s="2">
        <v>22.950957263978299</v>
      </c>
      <c r="BJ1031" s="2">
        <v>22.3707504752389</v>
      </c>
      <c r="BK1031" s="2">
        <v>22.974008011979301</v>
      </c>
      <c r="BL1031" s="2">
        <v>22.9052309967052</v>
      </c>
      <c r="BM1031" s="2">
        <v>22.949215758468998</v>
      </c>
      <c r="BN1031" s="2">
        <v>23.035543028637001</v>
      </c>
      <c r="BO1031" s="2">
        <v>23.177250501802899</v>
      </c>
      <c r="BP1031" s="2">
        <v>23.175834958033999</v>
      </c>
      <c r="BQ1031" s="2">
        <v>22.841598720967699</v>
      </c>
      <c r="BR1031" s="2">
        <v>22.565450218490898</v>
      </c>
      <c r="BS1031" s="2">
        <v>22.9688832167909</v>
      </c>
      <c r="BT1031" s="2">
        <v>22.800647426177999</v>
      </c>
      <c r="BU1031" s="2">
        <v>22.765522045894102</v>
      </c>
      <c r="BV1031" s="2">
        <v>22.709301829804499</v>
      </c>
      <c r="BW1031" s="2">
        <v>22.955206855758099</v>
      </c>
      <c r="BX1031" s="2">
        <v>22.832450992613499</v>
      </c>
      <c r="BY1031" s="2">
        <v>22.957534430146598</v>
      </c>
      <c r="BZ1031" s="2">
        <v>22.793173718913501</v>
      </c>
      <c r="CA1031" s="2">
        <v>22.929039749856699</v>
      </c>
      <c r="CB1031" s="2">
        <v>22.850583752300199</v>
      </c>
      <c r="CC1031" s="2">
        <v>22.8035637638053</v>
      </c>
      <c r="CD1031" s="2">
        <v>22.952455113431999</v>
      </c>
      <c r="CE1031" s="2">
        <v>23.0759256414301</v>
      </c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</row>
    <row r="1032" spans="1:97">
      <c r="A1032" s="2" t="s">
        <v>9472</v>
      </c>
      <c r="B1032" s="2">
        <v>567.41869999999994</v>
      </c>
      <c r="C1032" s="2">
        <v>14.956</v>
      </c>
      <c r="D1032" s="2" t="s">
        <v>84</v>
      </c>
      <c r="E1032" s="2" t="s">
        <v>9473</v>
      </c>
      <c r="F1032" s="2" t="s">
        <v>9474</v>
      </c>
      <c r="G1032" s="2">
        <v>37094</v>
      </c>
      <c r="H1032" s="3" t="str">
        <f>HYPERLINK("https://cloud.oebiotech.com/#/lm/network/37094", "https://cloud.oebiotech.com/#/lm/network/37094")</f>
        <v>https://cloud.oebiotech.com/#/lm/network/37094</v>
      </c>
      <c r="I1032" s="2"/>
      <c r="J1032" s="2"/>
      <c r="K1032" s="2" t="s">
        <v>9475</v>
      </c>
      <c r="L1032" s="2">
        <v>11757672</v>
      </c>
      <c r="M1032" s="2"/>
      <c r="N1032" s="2"/>
      <c r="O1032" s="2"/>
      <c r="P1032" s="2">
        <v>140610</v>
      </c>
      <c r="Q1032" s="2"/>
      <c r="R1032" s="2"/>
      <c r="S1032" s="2"/>
      <c r="T1032" s="2" t="s">
        <v>9476</v>
      </c>
      <c r="U1032" s="2" t="s">
        <v>9477</v>
      </c>
      <c r="V1032" s="2" t="s">
        <v>95</v>
      </c>
      <c r="W1032" s="2" t="s">
        <v>180</v>
      </c>
      <c r="X1032" s="2" t="s">
        <v>9478</v>
      </c>
      <c r="Y1032" s="2" t="s">
        <v>98</v>
      </c>
      <c r="Z1032" s="2" t="s">
        <v>182</v>
      </c>
      <c r="AA1032" s="2" t="s">
        <v>9479</v>
      </c>
      <c r="AB1032" s="2" t="s">
        <v>3086</v>
      </c>
      <c r="AC1032" s="2">
        <v>50.38</v>
      </c>
      <c r="AD1032" s="2">
        <v>71.45</v>
      </c>
      <c r="AE1032" s="2">
        <v>0</v>
      </c>
      <c r="AF1032" s="2" t="s">
        <v>5614</v>
      </c>
      <c r="AG1032" s="2" t="s">
        <v>103</v>
      </c>
      <c r="AH1032" s="2" t="s">
        <v>9480</v>
      </c>
      <c r="AI1032" s="2">
        <v>1.76</v>
      </c>
      <c r="AJ1032" s="2">
        <v>22.656320040054901</v>
      </c>
      <c r="AK1032" s="2">
        <v>22.698504794300302</v>
      </c>
      <c r="AL1032" s="2">
        <v>21.599068214500701</v>
      </c>
      <c r="AM1032" s="2">
        <v>22.605091663960401</v>
      </c>
      <c r="AN1032" s="2">
        <v>22.0010611347363</v>
      </c>
      <c r="AO1032" s="2">
        <v>22.7521695601876</v>
      </c>
      <c r="AP1032" s="2">
        <v>22.7992265618103</v>
      </c>
      <c r="AQ1032" s="2">
        <v>22.421896280966902</v>
      </c>
      <c r="AR1032" s="2">
        <v>23.3064248745466</v>
      </c>
      <c r="AS1032" s="2">
        <v>21.5670378661084</v>
      </c>
      <c r="AT1032" s="2">
        <v>22.305085221472901</v>
      </c>
      <c r="AU1032" s="2">
        <v>22.506831748297099</v>
      </c>
      <c r="AV1032" s="2">
        <v>21.997851483062</v>
      </c>
      <c r="AW1032" s="2">
        <v>22.144379186914101</v>
      </c>
      <c r="AX1032" s="2">
        <v>22.935965015835201</v>
      </c>
      <c r="AY1032" s="2">
        <v>23.375561326081499</v>
      </c>
      <c r="AZ1032" s="2">
        <v>22.9911167183595</v>
      </c>
      <c r="BA1032" s="2">
        <v>20.222350464821599</v>
      </c>
      <c r="BB1032" s="2">
        <v>22.1931178972801</v>
      </c>
      <c r="BC1032" s="2">
        <v>23.012099860009599</v>
      </c>
      <c r="BD1032" s="2">
        <v>22.413955503349101</v>
      </c>
      <c r="BE1032" s="2">
        <v>23.511936299721999</v>
      </c>
      <c r="BF1032" s="2">
        <v>21.4877685283525</v>
      </c>
      <c r="BG1032" s="2">
        <v>22.500119882749999</v>
      </c>
      <c r="BH1032" s="2">
        <v>22.7556007129362</v>
      </c>
      <c r="BI1032" s="2">
        <v>21.6010586196074</v>
      </c>
      <c r="BJ1032" s="2">
        <v>22.161703545039501</v>
      </c>
      <c r="BK1032" s="2">
        <v>21.492151450026</v>
      </c>
      <c r="BL1032" s="2">
        <v>23.3376004052237</v>
      </c>
      <c r="BM1032" s="2">
        <v>22.921936966607699</v>
      </c>
      <c r="BN1032" s="2">
        <v>21.105774837587401</v>
      </c>
      <c r="BO1032" s="2">
        <v>22.817125494355</v>
      </c>
      <c r="BP1032" s="2">
        <v>21.486276308908401</v>
      </c>
      <c r="BQ1032" s="2">
        <v>21.900085249000501</v>
      </c>
      <c r="BR1032" s="2">
        <v>22.129597697902</v>
      </c>
      <c r="BS1032" s="2">
        <v>22.2986109454515</v>
      </c>
      <c r="BT1032" s="2">
        <v>21.4809059534997</v>
      </c>
      <c r="BU1032" s="2">
        <v>21.082628800227599</v>
      </c>
      <c r="BV1032" s="2">
        <v>21.8872444115399</v>
      </c>
      <c r="BW1032" s="2">
        <v>19.986527527182499</v>
      </c>
      <c r="BX1032" s="2">
        <v>22.663036649864502</v>
      </c>
      <c r="BY1032" s="2">
        <v>22.497773410959098</v>
      </c>
      <c r="BZ1032" s="2">
        <v>21.817052456895201</v>
      </c>
      <c r="CA1032" s="2">
        <v>23.098381375248302</v>
      </c>
      <c r="CB1032" s="2">
        <v>22.0588211419205</v>
      </c>
      <c r="CC1032" s="2">
        <v>21.1671386701065</v>
      </c>
      <c r="CD1032" s="2">
        <v>21.668736230518501</v>
      </c>
      <c r="CE1032" s="2">
        <v>20.940048287106499</v>
      </c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</row>
    <row r="1033" spans="1:97">
      <c r="A1033" s="2" t="s">
        <v>9481</v>
      </c>
      <c r="B1033" s="2">
        <v>325.12475999999998</v>
      </c>
      <c r="C1033" s="2">
        <v>0.69299999999999995</v>
      </c>
      <c r="D1033" s="2" t="s">
        <v>146</v>
      </c>
      <c r="E1033" s="2" t="s">
        <v>9482</v>
      </c>
      <c r="F1033" s="2" t="s">
        <v>9483</v>
      </c>
      <c r="G1033" s="2">
        <v>211095</v>
      </c>
      <c r="H1033" s="3" t="str">
        <f>HYPERLINK("https://cloud.oebiotech.com/#/lm/network/211095", "https://cloud.oebiotech.com/#/lm/network/211095")</f>
        <v>https://cloud.oebiotech.com/#/lm/network/211095</v>
      </c>
      <c r="I1033" s="2" t="s">
        <v>9484</v>
      </c>
      <c r="J1033" s="2">
        <v>320571</v>
      </c>
      <c r="K1033" s="2"/>
      <c r="L1033" s="2">
        <v>10176270</v>
      </c>
      <c r="M1033" s="2"/>
      <c r="N1033" s="2"/>
      <c r="O1033" s="2"/>
      <c r="P1033" s="2"/>
      <c r="Q1033" s="2"/>
      <c r="R1033" s="2"/>
      <c r="S1033" s="2"/>
      <c r="T1033" s="2" t="s">
        <v>9485</v>
      </c>
      <c r="U1033" s="2" t="s">
        <v>9486</v>
      </c>
      <c r="V1033" s="2" t="s">
        <v>115</v>
      </c>
      <c r="W1033" s="2" t="s">
        <v>116</v>
      </c>
      <c r="X1033" s="2" t="s">
        <v>117</v>
      </c>
      <c r="Y1033" s="2" t="s">
        <v>118</v>
      </c>
      <c r="Z1033" s="2" t="s">
        <v>119</v>
      </c>
      <c r="AA1033" s="2" t="s">
        <v>120</v>
      </c>
      <c r="AB1033" s="2" t="s">
        <v>3086</v>
      </c>
      <c r="AC1033" s="2">
        <v>50.37</v>
      </c>
      <c r="AD1033" s="2">
        <v>85.32</v>
      </c>
      <c r="AE1033" s="2">
        <v>0</v>
      </c>
      <c r="AF1033" s="2" t="s">
        <v>5614</v>
      </c>
      <c r="AG1033" s="2" t="s">
        <v>3880</v>
      </c>
      <c r="AH1033" s="2" t="s">
        <v>9487</v>
      </c>
      <c r="AI1033" s="2">
        <v>4</v>
      </c>
      <c r="AJ1033" s="2">
        <v>19.445727681201099</v>
      </c>
      <c r="AK1033" s="2">
        <v>20.259068727362301</v>
      </c>
      <c r="AL1033" s="2">
        <v>19.673091575429901</v>
      </c>
      <c r="AM1033" s="2">
        <v>19.711864673947801</v>
      </c>
      <c r="AN1033" s="2">
        <v>19.157132725002501</v>
      </c>
      <c r="AO1033" s="2">
        <v>20.253151553366699</v>
      </c>
      <c r="AP1033" s="2">
        <v>19.883105294516099</v>
      </c>
      <c r="AQ1033" s="2">
        <v>19.4290636446242</v>
      </c>
      <c r="AR1033" s="2">
        <v>18.636120910447801</v>
      </c>
      <c r="AS1033" s="2">
        <v>18.817483923856699</v>
      </c>
      <c r="AT1033" s="2">
        <v>19.069880824812</v>
      </c>
      <c r="AU1033" s="2">
        <v>19.423340246625099</v>
      </c>
      <c r="AV1033" s="2">
        <v>19.501349512761902</v>
      </c>
      <c r="AW1033" s="2">
        <v>20.1875431537437</v>
      </c>
      <c r="AX1033" s="2">
        <v>18.789818736284701</v>
      </c>
      <c r="AY1033" s="2">
        <v>20.031533500045999</v>
      </c>
      <c r="AZ1033" s="2">
        <v>19.316087236615299</v>
      </c>
      <c r="BA1033" s="2">
        <v>18.119127914849901</v>
      </c>
      <c r="BB1033" s="2">
        <v>19.869445387193998</v>
      </c>
      <c r="BC1033" s="2">
        <v>20.328996973171499</v>
      </c>
      <c r="BD1033" s="2">
        <v>20.159949857638399</v>
      </c>
      <c r="BE1033" s="2">
        <v>19.604772824203401</v>
      </c>
      <c r="BF1033" s="2">
        <v>19.009683349003801</v>
      </c>
      <c r="BG1033" s="2">
        <v>19.332154653516</v>
      </c>
      <c r="BH1033" s="2">
        <v>19.2595780036437</v>
      </c>
      <c r="BI1033" s="2">
        <v>19.739585890805898</v>
      </c>
      <c r="BJ1033" s="2">
        <v>20.249379113043499</v>
      </c>
      <c r="BK1033" s="2">
        <v>19.274483624988399</v>
      </c>
      <c r="BL1033" s="2">
        <v>19.896102130179699</v>
      </c>
      <c r="BM1033" s="2">
        <v>20.300980465443001</v>
      </c>
      <c r="BN1033" s="2">
        <v>20.225823011693901</v>
      </c>
      <c r="BO1033" s="2">
        <v>18.436681331164799</v>
      </c>
      <c r="BP1033" s="2">
        <v>19.534085805213</v>
      </c>
      <c r="BQ1033" s="2">
        <v>19.623271524155399</v>
      </c>
      <c r="BR1033" s="2">
        <v>19.5887933295522</v>
      </c>
      <c r="BS1033" s="2">
        <v>20.1676391150936</v>
      </c>
      <c r="BT1033" s="2">
        <v>19.7022238980739</v>
      </c>
      <c r="BU1033" s="2">
        <v>18.7416143518689</v>
      </c>
      <c r="BV1033" s="2">
        <v>19.3965278132079</v>
      </c>
      <c r="BW1033" s="2">
        <v>20.4200508987612</v>
      </c>
      <c r="BX1033" s="2">
        <v>20.127906864406899</v>
      </c>
      <c r="BY1033" s="2">
        <v>19.870976369767099</v>
      </c>
      <c r="BZ1033" s="2">
        <v>20.001630766814401</v>
      </c>
      <c r="CA1033" s="2">
        <v>20.746970110166899</v>
      </c>
      <c r="CB1033" s="2">
        <v>18.879024793575901</v>
      </c>
      <c r="CC1033" s="2">
        <v>18.718749819204699</v>
      </c>
      <c r="CD1033" s="2">
        <v>19.486823279196599</v>
      </c>
      <c r="CE1033" s="2">
        <v>19.334994613984101</v>
      </c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</row>
    <row r="1034" spans="1:97">
      <c r="A1034" s="2" t="s">
        <v>9488</v>
      </c>
      <c r="B1034" s="2">
        <v>301.10440999999997</v>
      </c>
      <c r="C1034" s="2">
        <v>6.7720000000000002</v>
      </c>
      <c r="D1034" s="2" t="s">
        <v>84</v>
      </c>
      <c r="E1034" s="2" t="s">
        <v>9489</v>
      </c>
      <c r="F1034" s="2" t="s">
        <v>9490</v>
      </c>
      <c r="G1034" s="2">
        <v>60342</v>
      </c>
      <c r="H1034" s="3" t="str">
        <f>HYPERLINK("https://cloud.oebiotech.com/#/lm/network/60342", "https://cloud.oebiotech.com/#/lm/network/60342")</f>
        <v>https://cloud.oebiotech.com/#/lm/network/60342</v>
      </c>
      <c r="I1034" s="2" t="s">
        <v>9491</v>
      </c>
      <c r="J1034" s="2">
        <v>91704</v>
      </c>
      <c r="K1034" s="2"/>
      <c r="L1034" s="2">
        <v>131752027</v>
      </c>
      <c r="M1034" s="2"/>
      <c r="N1034" s="2"/>
      <c r="O1034" s="2"/>
      <c r="P1034" s="2">
        <v>168308</v>
      </c>
      <c r="Q1034" s="2"/>
      <c r="R1034" s="2"/>
      <c r="S1034" s="2"/>
      <c r="T1034" s="2" t="s">
        <v>9492</v>
      </c>
      <c r="U1034" s="2" t="s">
        <v>9493</v>
      </c>
      <c r="V1034" s="2" t="s">
        <v>95</v>
      </c>
      <c r="W1034" s="2" t="s">
        <v>180</v>
      </c>
      <c r="X1034" s="2" t="s">
        <v>2949</v>
      </c>
      <c r="Y1034" s="2" t="s">
        <v>98</v>
      </c>
      <c r="Z1034" s="2" t="s">
        <v>182</v>
      </c>
      <c r="AA1034" s="2" t="s">
        <v>2950</v>
      </c>
      <c r="AB1034" s="2" t="s">
        <v>3086</v>
      </c>
      <c r="AC1034" s="2">
        <v>50.37</v>
      </c>
      <c r="AD1034" s="2">
        <v>75.09</v>
      </c>
      <c r="AE1034" s="2">
        <v>0</v>
      </c>
      <c r="AF1034" s="2" t="s">
        <v>5614</v>
      </c>
      <c r="AG1034" s="2" t="s">
        <v>1578</v>
      </c>
      <c r="AH1034" s="2" t="s">
        <v>9494</v>
      </c>
      <c r="AI1034" s="2">
        <v>0.66</v>
      </c>
      <c r="AJ1034" s="2">
        <v>18.133539705712199</v>
      </c>
      <c r="AK1034" s="2">
        <v>17.964825644782799</v>
      </c>
      <c r="AL1034" s="2">
        <v>17.552556007330299</v>
      </c>
      <c r="AM1034" s="2">
        <v>17.5960345887679</v>
      </c>
      <c r="AN1034" s="2">
        <v>17.697491331496799</v>
      </c>
      <c r="AO1034" s="2">
        <v>17.920539124035798</v>
      </c>
      <c r="AP1034" s="2">
        <v>17.507087161609601</v>
      </c>
      <c r="AQ1034" s="2">
        <v>18.110158650591998</v>
      </c>
      <c r="AR1034" s="2">
        <v>17.956380865332399</v>
      </c>
      <c r="AS1034" s="2">
        <v>18.084767911072198</v>
      </c>
      <c r="AT1034" s="2">
        <v>18.032231628152601</v>
      </c>
      <c r="AU1034" s="2">
        <v>18.063410407735201</v>
      </c>
      <c r="AV1034" s="2">
        <v>18.2169619810612</v>
      </c>
      <c r="AW1034" s="2">
        <v>17.303303878779101</v>
      </c>
      <c r="AX1034" s="2">
        <v>17.668466828456101</v>
      </c>
      <c r="AY1034" s="2">
        <v>18.105528955475499</v>
      </c>
      <c r="AZ1034" s="2">
        <v>17.9172606467496</v>
      </c>
      <c r="BA1034" s="2">
        <v>17.723162425708701</v>
      </c>
      <c r="BB1034" s="2">
        <v>17.802955591724398</v>
      </c>
      <c r="BC1034" s="2">
        <v>17.541693706398899</v>
      </c>
      <c r="BD1034" s="2">
        <v>17.397809645347401</v>
      </c>
      <c r="BE1034" s="2">
        <v>18.067978063061801</v>
      </c>
      <c r="BF1034" s="2">
        <v>17.937965529804099</v>
      </c>
      <c r="BG1034" s="2">
        <v>17.6511558465468</v>
      </c>
      <c r="BH1034" s="2">
        <v>17.913109537599599</v>
      </c>
      <c r="BI1034" s="2">
        <v>17.7628655034734</v>
      </c>
      <c r="BJ1034" s="2">
        <v>18.175990287300898</v>
      </c>
      <c r="BK1034" s="2">
        <v>17.602097858525099</v>
      </c>
      <c r="BL1034" s="2">
        <v>17.836831410212898</v>
      </c>
      <c r="BM1034" s="2">
        <v>18.062688676707602</v>
      </c>
      <c r="BN1034" s="2">
        <v>18.0281676146273</v>
      </c>
      <c r="BO1034" s="2">
        <v>18.011150037892801</v>
      </c>
      <c r="BP1034" s="2">
        <v>17.742888795403701</v>
      </c>
      <c r="BQ1034" s="2">
        <v>17.586979093820901</v>
      </c>
      <c r="BR1034" s="2">
        <v>17.769556491696701</v>
      </c>
      <c r="BS1034" s="2">
        <v>18.033007859401401</v>
      </c>
      <c r="BT1034" s="2">
        <v>17.6119645864947</v>
      </c>
      <c r="BU1034" s="2">
        <v>17.7621248644312</v>
      </c>
      <c r="BV1034" s="2">
        <v>17.349075665381601</v>
      </c>
      <c r="BW1034" s="2">
        <v>17.499006463061399</v>
      </c>
      <c r="BX1034" s="2">
        <v>17.666678726872799</v>
      </c>
      <c r="BY1034" s="2">
        <v>17.7555582609772</v>
      </c>
      <c r="BZ1034" s="2">
        <v>17.8140272549327</v>
      </c>
      <c r="CA1034" s="2">
        <v>18.067542550424399</v>
      </c>
      <c r="CB1034" s="2">
        <v>18.095974265542999</v>
      </c>
      <c r="CC1034" s="2">
        <v>17.860550522227001</v>
      </c>
      <c r="CD1034" s="2">
        <v>17.887421385761801</v>
      </c>
      <c r="CE1034" s="2">
        <v>17.956657253912699</v>
      </c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</row>
    <row r="1035" spans="1:97">
      <c r="A1035" s="2" t="s">
        <v>9495</v>
      </c>
      <c r="B1035" s="2">
        <v>171.06262000000001</v>
      </c>
      <c r="C1035" s="2">
        <v>0.67400000000000004</v>
      </c>
      <c r="D1035" s="2" t="s">
        <v>84</v>
      </c>
      <c r="E1035" s="2" t="s">
        <v>9496</v>
      </c>
      <c r="F1035" s="2" t="s">
        <v>9497</v>
      </c>
      <c r="G1035" s="2">
        <v>1849</v>
      </c>
      <c r="H1035" s="3" t="str">
        <f>HYPERLINK("https://cloud.oebiotech.com/#/lm/network/1849", "https://cloud.oebiotech.com/#/lm/network/1849")</f>
        <v>https://cloud.oebiotech.com/#/lm/network/1849</v>
      </c>
      <c r="I1035" s="2" t="s">
        <v>9498</v>
      </c>
      <c r="J1035" s="2">
        <v>127</v>
      </c>
      <c r="K1035" s="2" t="s">
        <v>9499</v>
      </c>
      <c r="L1035" s="2">
        <v>439230</v>
      </c>
      <c r="M1035" s="2" t="s">
        <v>9500</v>
      </c>
      <c r="N1035" s="2" t="s">
        <v>9501</v>
      </c>
      <c r="O1035" s="2" t="s">
        <v>9502</v>
      </c>
      <c r="P1035" s="2">
        <v>17710</v>
      </c>
      <c r="Q1035" s="2"/>
      <c r="R1035" s="2"/>
      <c r="S1035" s="2" t="s">
        <v>9503</v>
      </c>
      <c r="T1035" s="2" t="s">
        <v>9504</v>
      </c>
      <c r="U1035" s="2" t="s">
        <v>9505</v>
      </c>
      <c r="V1035" s="2" t="s">
        <v>95</v>
      </c>
      <c r="W1035" s="2" t="s">
        <v>96</v>
      </c>
      <c r="X1035" s="2" t="s">
        <v>141</v>
      </c>
      <c r="Y1035" s="2" t="s">
        <v>98</v>
      </c>
      <c r="Z1035" s="2" t="s">
        <v>99</v>
      </c>
      <c r="AA1035" s="2" t="s">
        <v>142</v>
      </c>
      <c r="AB1035" s="2" t="s">
        <v>3086</v>
      </c>
      <c r="AC1035" s="2">
        <v>50.35</v>
      </c>
      <c r="AD1035" s="2">
        <v>73.77</v>
      </c>
      <c r="AE1035" s="2">
        <v>0</v>
      </c>
      <c r="AF1035" s="2" t="s">
        <v>5614</v>
      </c>
      <c r="AG1035" s="2" t="s">
        <v>1578</v>
      </c>
      <c r="AH1035" s="2" t="s">
        <v>9506</v>
      </c>
      <c r="AI1035" s="2">
        <v>1.17</v>
      </c>
      <c r="AJ1035" s="2">
        <v>20.381855406079499</v>
      </c>
      <c r="AK1035" s="2">
        <v>20.249860094212501</v>
      </c>
      <c r="AL1035" s="2">
        <v>20.266709942145201</v>
      </c>
      <c r="AM1035" s="2">
        <v>19.894866289001001</v>
      </c>
      <c r="AN1035" s="2">
        <v>19.768822865791801</v>
      </c>
      <c r="AO1035" s="2">
        <v>19.4695762202747</v>
      </c>
      <c r="AP1035" s="2">
        <v>19.7655188510318</v>
      </c>
      <c r="AQ1035" s="2">
        <v>19.7556558719278</v>
      </c>
      <c r="AR1035" s="2">
        <v>19.786190549393201</v>
      </c>
      <c r="AS1035" s="2">
        <v>20.285612677819199</v>
      </c>
      <c r="AT1035" s="2">
        <v>20.046286209859399</v>
      </c>
      <c r="AU1035" s="2">
        <v>19.084121400836601</v>
      </c>
      <c r="AV1035" s="2">
        <v>19.988120815838698</v>
      </c>
      <c r="AW1035" s="2">
        <v>20.274409185853699</v>
      </c>
      <c r="AX1035" s="2">
        <v>20.338743214818901</v>
      </c>
      <c r="AY1035" s="2">
        <v>20.304210872311799</v>
      </c>
      <c r="AZ1035" s="2">
        <v>18.810632915094502</v>
      </c>
      <c r="BA1035" s="2">
        <v>20.009825652017199</v>
      </c>
      <c r="BB1035" s="2">
        <v>19.756386595209399</v>
      </c>
      <c r="BC1035" s="2">
        <v>20.0131260027403</v>
      </c>
      <c r="BD1035" s="2">
        <v>20.0871665312524</v>
      </c>
      <c r="BE1035" s="2">
        <v>19.215118356825801</v>
      </c>
      <c r="BF1035" s="2">
        <v>19.752961103442999</v>
      </c>
      <c r="BG1035" s="2">
        <v>19.6727443597388</v>
      </c>
      <c r="BH1035" s="2">
        <v>19.7633875990281</v>
      </c>
      <c r="BI1035" s="2">
        <v>19.9424711214341</v>
      </c>
      <c r="BJ1035" s="2">
        <v>20.065110487356002</v>
      </c>
      <c r="BK1035" s="2">
        <v>18.744428127569901</v>
      </c>
      <c r="BL1035" s="2">
        <v>20.059101378514001</v>
      </c>
      <c r="BM1035" s="2">
        <v>19.832272893892299</v>
      </c>
      <c r="BN1035" s="2">
        <v>19.766665147998701</v>
      </c>
      <c r="BO1035" s="2">
        <v>20.263873207967201</v>
      </c>
      <c r="BP1035" s="2">
        <v>19.272575068752602</v>
      </c>
      <c r="BQ1035" s="2">
        <v>20.226268769011501</v>
      </c>
      <c r="BR1035" s="2">
        <v>20.1054121822804</v>
      </c>
      <c r="BS1035" s="2">
        <v>19.882068308093601</v>
      </c>
      <c r="BT1035" s="2">
        <v>19.486411587971698</v>
      </c>
      <c r="BU1035" s="2">
        <v>20.020133982124801</v>
      </c>
      <c r="BV1035" s="2">
        <v>19.954515986054801</v>
      </c>
      <c r="BW1035" s="2">
        <v>19.607178543901199</v>
      </c>
      <c r="BX1035" s="2">
        <v>19.2596264573687</v>
      </c>
      <c r="BY1035" s="2">
        <v>20.016194844894098</v>
      </c>
      <c r="BZ1035" s="2">
        <v>20.0173129082374</v>
      </c>
      <c r="CA1035" s="2">
        <v>20.123724346412601</v>
      </c>
      <c r="CB1035" s="2">
        <v>20.324527527221701</v>
      </c>
      <c r="CC1035" s="2">
        <v>20.1154324313841</v>
      </c>
      <c r="CD1035" s="2">
        <v>20.114848121203799</v>
      </c>
      <c r="CE1035" s="2">
        <v>19.782195738697801</v>
      </c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</row>
    <row r="1036" spans="1:97">
      <c r="A1036" s="2" t="s">
        <v>9507</v>
      </c>
      <c r="B1036" s="2">
        <v>253.07123000000001</v>
      </c>
      <c r="C1036" s="2">
        <v>4.8099999999999996</v>
      </c>
      <c r="D1036" s="2" t="s">
        <v>146</v>
      </c>
      <c r="E1036" s="2" t="s">
        <v>9508</v>
      </c>
      <c r="F1036" s="2" t="s">
        <v>9509</v>
      </c>
      <c r="G1036" s="2">
        <v>545742</v>
      </c>
      <c r="H1036" s="3" t="str">
        <f>HYPERLINK("https://cloud.oebiotech.com/#/lm/network/545742", "https://cloud.oebiotech.com/#/lm/network/545742")</f>
        <v>https://cloud.oebiotech.com/#/lm/network/545742</v>
      </c>
      <c r="I1036" s="2"/>
      <c r="J1036" s="2"/>
      <c r="K1036" s="2"/>
      <c r="L1036" s="2">
        <v>100503</v>
      </c>
      <c r="M1036" s="2"/>
      <c r="N1036" s="2"/>
      <c r="O1036" s="2"/>
      <c r="P1036" s="2"/>
      <c r="Q1036" s="2"/>
      <c r="R1036" s="2"/>
      <c r="S1036" s="2"/>
      <c r="T1036" s="2" t="s">
        <v>9510</v>
      </c>
      <c r="U1036" s="2" t="s">
        <v>9511</v>
      </c>
      <c r="V1036" s="2" t="s">
        <v>385</v>
      </c>
      <c r="W1036" s="2" t="s">
        <v>386</v>
      </c>
      <c r="X1036" s="2" t="s">
        <v>1059</v>
      </c>
      <c r="Y1036" s="2" t="s">
        <v>388</v>
      </c>
      <c r="Z1036" s="2" t="s">
        <v>389</v>
      </c>
      <c r="AA1036" s="2" t="s">
        <v>1060</v>
      </c>
      <c r="AB1036" s="2" t="s">
        <v>5118</v>
      </c>
      <c r="AC1036" s="2">
        <v>50.33</v>
      </c>
      <c r="AD1036" s="2">
        <v>92.11</v>
      </c>
      <c r="AE1036" s="2">
        <v>83.01</v>
      </c>
      <c r="AF1036" s="2" t="s">
        <v>9512</v>
      </c>
      <c r="AG1036" s="2" t="s">
        <v>157</v>
      </c>
      <c r="AH1036" s="2" t="s">
        <v>9513</v>
      </c>
      <c r="AI1036" s="2">
        <v>2.37</v>
      </c>
      <c r="AJ1036" s="2">
        <v>18.926500897971501</v>
      </c>
      <c r="AK1036" s="2">
        <v>19.115442985586999</v>
      </c>
      <c r="AL1036" s="2">
        <v>19.224818358888001</v>
      </c>
      <c r="AM1036" s="2">
        <v>19.1860325341726</v>
      </c>
      <c r="AN1036" s="2">
        <v>18.893271812183901</v>
      </c>
      <c r="AO1036" s="2">
        <v>18.831173834614599</v>
      </c>
      <c r="AP1036" s="2">
        <v>18.806258974441501</v>
      </c>
      <c r="AQ1036" s="2">
        <v>18.927952976832799</v>
      </c>
      <c r="AR1036" s="2">
        <v>17.536523235255601</v>
      </c>
      <c r="AS1036" s="2">
        <v>17.084543088858499</v>
      </c>
      <c r="AT1036" s="2">
        <v>16.649765741324401</v>
      </c>
      <c r="AU1036" s="2">
        <v>16.751060970360498</v>
      </c>
      <c r="AV1036" s="2">
        <v>16.7950959040671</v>
      </c>
      <c r="AW1036" s="2">
        <v>17.016282390603401</v>
      </c>
      <c r="AX1036" s="2">
        <v>16.891163424584001</v>
      </c>
      <c r="AY1036" s="2">
        <v>16.4160282193744</v>
      </c>
      <c r="AZ1036" s="2">
        <v>16.824714410092199</v>
      </c>
      <c r="BA1036" s="2">
        <v>17.267337911939499</v>
      </c>
      <c r="BB1036" s="2">
        <v>17.011809148253001</v>
      </c>
      <c r="BC1036" s="2">
        <v>17.793826871588699</v>
      </c>
      <c r="BD1036" s="2">
        <v>17.0387868804793</v>
      </c>
      <c r="BE1036" s="2">
        <v>16.424822223364401</v>
      </c>
      <c r="BF1036" s="2">
        <v>17.002542660998699</v>
      </c>
      <c r="BG1036" s="2">
        <v>15.990747279061701</v>
      </c>
      <c r="BH1036" s="2">
        <v>16.9290787541748</v>
      </c>
      <c r="BI1036" s="2">
        <v>16.053411329208899</v>
      </c>
      <c r="BJ1036" s="2">
        <v>16.629030832730901</v>
      </c>
      <c r="BK1036" s="2">
        <v>17.055057102735699</v>
      </c>
      <c r="BL1036" s="2">
        <v>16.244251770649999</v>
      </c>
      <c r="BM1036" s="2">
        <v>17.6615827195895</v>
      </c>
      <c r="BN1036" s="2">
        <v>16.973676628760199</v>
      </c>
      <c r="BO1036" s="2">
        <v>16.770074348558801</v>
      </c>
      <c r="BP1036" s="2">
        <v>16.171681511854899</v>
      </c>
      <c r="BQ1036" s="2">
        <v>16.874075658018899</v>
      </c>
      <c r="BR1036" s="2">
        <v>16.690884100839501</v>
      </c>
      <c r="BS1036" s="2">
        <v>16.9277183654374</v>
      </c>
      <c r="BT1036" s="2">
        <v>17.896674338784798</v>
      </c>
      <c r="BU1036" s="2">
        <v>16.6949337728331</v>
      </c>
      <c r="BV1036" s="2">
        <v>16.875105455956302</v>
      </c>
      <c r="BW1036" s="2">
        <v>16.7112680964822</v>
      </c>
      <c r="BX1036" s="2">
        <v>16.9254406238055</v>
      </c>
      <c r="BY1036" s="2">
        <v>16.632395179710699</v>
      </c>
      <c r="BZ1036" s="2">
        <v>17.012885942556199</v>
      </c>
      <c r="CA1036" s="2">
        <v>19.814424421538298</v>
      </c>
      <c r="CB1036" s="2">
        <v>16.904420590976699</v>
      </c>
      <c r="CC1036" s="2">
        <v>16.606086204405301</v>
      </c>
      <c r="CD1036" s="2">
        <v>16.753577430090701</v>
      </c>
      <c r="CE1036" s="2">
        <v>16.989716018953899</v>
      </c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</row>
    <row r="1037" spans="1:97">
      <c r="A1037" s="2" t="s">
        <v>9514</v>
      </c>
      <c r="B1037" s="2">
        <v>183.08038999999999</v>
      </c>
      <c r="C1037" s="2">
        <v>1.4410000000000001</v>
      </c>
      <c r="D1037" s="2" t="s">
        <v>84</v>
      </c>
      <c r="E1037" s="2" t="s">
        <v>9515</v>
      </c>
      <c r="F1037" s="2" t="s">
        <v>9516</v>
      </c>
      <c r="G1037" s="2">
        <v>202216</v>
      </c>
      <c r="H1037" s="3" t="str">
        <f>HYPERLINK("https://cloud.oebiotech.com/#/lm/network/202216", "https://cloud.oebiotech.com/#/lm/network/202216")</f>
        <v>https://cloud.oebiotech.com/#/lm/network/202216</v>
      </c>
      <c r="I1037" s="2" t="s">
        <v>9517</v>
      </c>
      <c r="J1037" s="2">
        <v>814132</v>
      </c>
      <c r="K1037" s="2"/>
      <c r="L1037" s="2">
        <v>11693958</v>
      </c>
      <c r="M1037" s="2"/>
      <c r="N1037" s="2"/>
      <c r="O1037" s="2"/>
      <c r="P1037" s="2"/>
      <c r="Q1037" s="2"/>
      <c r="R1037" s="2"/>
      <c r="S1037" s="2"/>
      <c r="T1037" s="2" t="s">
        <v>9518</v>
      </c>
      <c r="U1037" s="2" t="s">
        <v>9519</v>
      </c>
      <c r="V1037" s="2" t="s">
        <v>115</v>
      </c>
      <c r="W1037" s="2" t="s">
        <v>116</v>
      </c>
      <c r="X1037" s="2" t="s">
        <v>117</v>
      </c>
      <c r="Y1037" s="2" t="s">
        <v>118</v>
      </c>
      <c r="Z1037" s="2" t="s">
        <v>119</v>
      </c>
      <c r="AA1037" s="2" t="s">
        <v>120</v>
      </c>
      <c r="AB1037" s="2" t="s">
        <v>3086</v>
      </c>
      <c r="AC1037" s="2">
        <v>50.33</v>
      </c>
      <c r="AD1037" s="2">
        <v>93.58</v>
      </c>
      <c r="AE1037" s="2">
        <v>0</v>
      </c>
      <c r="AF1037" s="2" t="s">
        <v>5614</v>
      </c>
      <c r="AG1037" s="2" t="s">
        <v>132</v>
      </c>
      <c r="AH1037" s="2" t="s">
        <v>1591</v>
      </c>
      <c r="AI1037" s="2">
        <v>-3.28</v>
      </c>
      <c r="AJ1037" s="2">
        <v>24.491433975037602</v>
      </c>
      <c r="AK1037" s="2">
        <v>24.511372393120901</v>
      </c>
      <c r="AL1037" s="2">
        <v>24.509782813912899</v>
      </c>
      <c r="AM1037" s="2">
        <v>24.4994946661756</v>
      </c>
      <c r="AN1037" s="2">
        <v>24.441474870419501</v>
      </c>
      <c r="AO1037" s="2">
        <v>24.447346853397899</v>
      </c>
      <c r="AP1037" s="2">
        <v>24.349158416908502</v>
      </c>
      <c r="AQ1037" s="2">
        <v>24.273914738985301</v>
      </c>
      <c r="AR1037" s="2">
        <v>24.5213352879904</v>
      </c>
      <c r="AS1037" s="2">
        <v>24.555940348098702</v>
      </c>
      <c r="AT1037" s="2">
        <v>24.569551622207999</v>
      </c>
      <c r="AU1037" s="2">
        <v>20.9154955095524</v>
      </c>
      <c r="AV1037" s="2">
        <v>24.484510614440602</v>
      </c>
      <c r="AW1037" s="2">
        <v>24.567282595913799</v>
      </c>
      <c r="AX1037" s="2">
        <v>24.591348007449501</v>
      </c>
      <c r="AY1037" s="2">
        <v>24.530621282143301</v>
      </c>
      <c r="AZ1037" s="2">
        <v>20.3385525416946</v>
      </c>
      <c r="BA1037" s="2">
        <v>24.544515156202401</v>
      </c>
      <c r="BB1037" s="2">
        <v>22.590375140163101</v>
      </c>
      <c r="BC1037" s="2">
        <v>24.5006899944119</v>
      </c>
      <c r="BD1037" s="2">
        <v>24.527405773319899</v>
      </c>
      <c r="BE1037" s="2">
        <v>24.465144997042302</v>
      </c>
      <c r="BF1037" s="2">
        <v>24.5556856154939</v>
      </c>
      <c r="BG1037" s="2">
        <v>24.510181783961698</v>
      </c>
      <c r="BH1037" s="2">
        <v>24.491120138723598</v>
      </c>
      <c r="BI1037" s="2">
        <v>24.528639928480899</v>
      </c>
      <c r="BJ1037" s="2">
        <v>24.5036446168994</v>
      </c>
      <c r="BK1037" s="2">
        <v>24.497859434881999</v>
      </c>
      <c r="BL1037" s="2">
        <v>24.501896675534699</v>
      </c>
      <c r="BM1037" s="2">
        <v>24.418691551985901</v>
      </c>
      <c r="BN1037" s="2">
        <v>24.443886089264002</v>
      </c>
      <c r="BO1037" s="2">
        <v>24.489654054694601</v>
      </c>
      <c r="BP1037" s="2">
        <v>24.495011996194801</v>
      </c>
      <c r="BQ1037" s="2">
        <v>24.443825945566999</v>
      </c>
      <c r="BR1037" s="2">
        <v>24.458719437210299</v>
      </c>
      <c r="BS1037" s="2">
        <v>24.4103384502037</v>
      </c>
      <c r="BT1037" s="2">
        <v>24.4587027146483</v>
      </c>
      <c r="BU1037" s="2">
        <v>24.482893700541101</v>
      </c>
      <c r="BV1037" s="2">
        <v>24.436398651427901</v>
      </c>
      <c r="BW1037" s="2">
        <v>24.456639624075301</v>
      </c>
      <c r="BX1037" s="2">
        <v>24.412168758463899</v>
      </c>
      <c r="BY1037" s="2">
        <v>22.7472452640372</v>
      </c>
      <c r="BZ1037" s="2">
        <v>20.544410684990801</v>
      </c>
      <c r="CA1037" s="2">
        <v>24.428172641457198</v>
      </c>
      <c r="CB1037" s="2">
        <v>24.4568749813733</v>
      </c>
      <c r="CC1037" s="2">
        <v>24.424944160109501</v>
      </c>
      <c r="CD1037" s="2">
        <v>24.323160713359101</v>
      </c>
      <c r="CE1037" s="2">
        <v>24.430394002119598</v>
      </c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</row>
    <row r="1038" spans="1:97">
      <c r="A1038" s="2" t="s">
        <v>9520</v>
      </c>
      <c r="B1038" s="2">
        <v>494.3596</v>
      </c>
      <c r="C1038" s="2">
        <v>11.353999999999999</v>
      </c>
      <c r="D1038" s="2" t="s">
        <v>84</v>
      </c>
      <c r="E1038" s="2" t="s">
        <v>9521</v>
      </c>
      <c r="F1038" s="2" t="s">
        <v>9522</v>
      </c>
      <c r="G1038" s="2">
        <v>197462</v>
      </c>
      <c r="H1038" s="3" t="str">
        <f>HYPERLINK("https://cloud.oebiotech.com/#/lm/network/197462", "https://cloud.oebiotech.com/#/lm/network/197462")</f>
        <v>https://cloud.oebiotech.com/#/lm/network/197462</v>
      </c>
      <c r="I1038" s="2" t="s">
        <v>9523</v>
      </c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 t="s">
        <v>9524</v>
      </c>
      <c r="U1038" s="2" t="s">
        <v>9525</v>
      </c>
      <c r="V1038" s="2" t="s">
        <v>95</v>
      </c>
      <c r="W1038" s="2" t="s">
        <v>96</v>
      </c>
      <c r="X1038" s="2" t="s">
        <v>97</v>
      </c>
      <c r="Y1038" s="2" t="s">
        <v>98</v>
      </c>
      <c r="Z1038" s="2" t="s">
        <v>99</v>
      </c>
      <c r="AA1038" s="2" t="s">
        <v>100</v>
      </c>
      <c r="AB1038" s="2" t="s">
        <v>3086</v>
      </c>
      <c r="AC1038" s="2">
        <v>50.32</v>
      </c>
      <c r="AD1038" s="2">
        <v>73.83</v>
      </c>
      <c r="AE1038" s="2">
        <v>0</v>
      </c>
      <c r="AF1038" s="2" t="s">
        <v>5614</v>
      </c>
      <c r="AG1038" s="2" t="s">
        <v>3544</v>
      </c>
      <c r="AH1038" s="2" t="s">
        <v>9526</v>
      </c>
      <c r="AI1038" s="2">
        <v>2.02</v>
      </c>
      <c r="AJ1038" s="2">
        <v>19.913766887456301</v>
      </c>
      <c r="AK1038" s="2">
        <v>19.660565201726399</v>
      </c>
      <c r="AL1038" s="2">
        <v>19.608193429162899</v>
      </c>
      <c r="AM1038" s="2">
        <v>19.789414147734998</v>
      </c>
      <c r="AN1038" s="2">
        <v>20.200749282166399</v>
      </c>
      <c r="AO1038" s="2">
        <v>20.079820037923302</v>
      </c>
      <c r="AP1038" s="2">
        <v>20.053373700937499</v>
      </c>
      <c r="AQ1038" s="2">
        <v>20.711353465385901</v>
      </c>
      <c r="AR1038" s="2">
        <v>19.9637988330098</v>
      </c>
      <c r="AS1038" s="2">
        <v>18.930068916578801</v>
      </c>
      <c r="AT1038" s="2">
        <v>19.508837416421201</v>
      </c>
      <c r="AU1038" s="2">
        <v>19.739119288909599</v>
      </c>
      <c r="AV1038" s="2">
        <v>19.240782832271101</v>
      </c>
      <c r="AW1038" s="2">
        <v>19.758022020175499</v>
      </c>
      <c r="AX1038" s="2">
        <v>20.553404502096399</v>
      </c>
      <c r="AY1038" s="2">
        <v>19.521142931037801</v>
      </c>
      <c r="AZ1038" s="2">
        <v>20.0564537153132</v>
      </c>
      <c r="BA1038" s="2">
        <v>18.157866770924802</v>
      </c>
      <c r="BB1038" s="2">
        <v>19.852784822839901</v>
      </c>
      <c r="BC1038" s="2">
        <v>20.929130057401299</v>
      </c>
      <c r="BD1038" s="2">
        <v>19.684187064014299</v>
      </c>
      <c r="BE1038" s="2">
        <v>20.5350850510881</v>
      </c>
      <c r="BF1038" s="2">
        <v>19.265169720729901</v>
      </c>
      <c r="BG1038" s="2">
        <v>20.090242379932299</v>
      </c>
      <c r="BH1038" s="2">
        <v>20.902903370547602</v>
      </c>
      <c r="BI1038" s="2">
        <v>18.974640105317299</v>
      </c>
      <c r="BJ1038" s="2">
        <v>19.503989981761901</v>
      </c>
      <c r="BK1038" s="2">
        <v>19.990888166795699</v>
      </c>
      <c r="BL1038" s="2">
        <v>19.675656761734299</v>
      </c>
      <c r="BM1038" s="2">
        <v>19.593519111069099</v>
      </c>
      <c r="BN1038" s="2">
        <v>20.160421434744801</v>
      </c>
      <c r="BO1038" s="2">
        <v>19.984945420669899</v>
      </c>
      <c r="BP1038" s="2">
        <v>19.961524503096999</v>
      </c>
      <c r="BQ1038" s="2">
        <v>20.071649459364799</v>
      </c>
      <c r="BR1038" s="2">
        <v>19.7906947648823</v>
      </c>
      <c r="BS1038" s="2">
        <v>20.483953412161402</v>
      </c>
      <c r="BT1038" s="2">
        <v>19.846316077703499</v>
      </c>
      <c r="BU1038" s="2">
        <v>19.545069519856199</v>
      </c>
      <c r="BV1038" s="2">
        <v>19.627548436314601</v>
      </c>
      <c r="BW1038" s="2">
        <v>19.182728396753301</v>
      </c>
      <c r="BX1038" s="2">
        <v>19.745829678301501</v>
      </c>
      <c r="BY1038" s="2">
        <v>21.0177933051047</v>
      </c>
      <c r="BZ1038" s="2">
        <v>20.119252817503401</v>
      </c>
      <c r="CA1038" s="2">
        <v>20.299640748577399</v>
      </c>
      <c r="CB1038" s="2">
        <v>19.743006290065999</v>
      </c>
      <c r="CC1038" s="2">
        <v>19.0931091636158</v>
      </c>
      <c r="CD1038" s="2">
        <v>19.5562459961705</v>
      </c>
      <c r="CE1038" s="2">
        <v>19.764722856964401</v>
      </c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</row>
    <row r="1039" spans="1:97">
      <c r="A1039" s="2" t="s">
        <v>9527</v>
      </c>
      <c r="B1039" s="2">
        <v>414.35707000000002</v>
      </c>
      <c r="C1039" s="2">
        <v>10.253</v>
      </c>
      <c r="D1039" s="2" t="s">
        <v>84</v>
      </c>
      <c r="E1039" s="2" t="s">
        <v>9528</v>
      </c>
      <c r="F1039" s="2" t="s">
        <v>9529</v>
      </c>
      <c r="G1039" s="2">
        <v>197418</v>
      </c>
      <c r="H1039" s="3" t="str">
        <f>HYPERLINK("https://cloud.oebiotech.com/#/lm/network/197418", "https://cloud.oebiotech.com/#/lm/network/197418")</f>
        <v>https://cloud.oebiotech.com/#/lm/network/197418</v>
      </c>
      <c r="I1039" s="2" t="s">
        <v>9530</v>
      </c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 t="s">
        <v>9531</v>
      </c>
      <c r="U1039" s="2" t="s">
        <v>9532</v>
      </c>
      <c r="V1039" s="2" t="s">
        <v>95</v>
      </c>
      <c r="W1039" s="2" t="s">
        <v>96</v>
      </c>
      <c r="X1039" s="2" t="s">
        <v>97</v>
      </c>
      <c r="Y1039" s="2" t="s">
        <v>98</v>
      </c>
      <c r="Z1039" s="2" t="s">
        <v>99</v>
      </c>
      <c r="AA1039" s="2" t="s">
        <v>100</v>
      </c>
      <c r="AB1039" s="2" t="s">
        <v>3086</v>
      </c>
      <c r="AC1039" s="2">
        <v>50.32</v>
      </c>
      <c r="AD1039" s="2">
        <v>84.18</v>
      </c>
      <c r="AE1039" s="2">
        <v>0</v>
      </c>
      <c r="AF1039" s="2" t="s">
        <v>5614</v>
      </c>
      <c r="AG1039" s="2" t="s">
        <v>103</v>
      </c>
      <c r="AH1039" s="2" t="s">
        <v>9533</v>
      </c>
      <c r="AI1039" s="2">
        <v>1.69</v>
      </c>
      <c r="AJ1039" s="2">
        <v>18.977899614554101</v>
      </c>
      <c r="AK1039" s="2">
        <v>18.865760602599199</v>
      </c>
      <c r="AL1039" s="2">
        <v>19.030233900638699</v>
      </c>
      <c r="AM1039" s="2">
        <v>19.002337839315</v>
      </c>
      <c r="AN1039" s="2">
        <v>18.410517725807999</v>
      </c>
      <c r="AO1039" s="2">
        <v>19.060610578359999</v>
      </c>
      <c r="AP1039" s="2">
        <v>18.434061468922302</v>
      </c>
      <c r="AQ1039" s="2">
        <v>19.091549073833399</v>
      </c>
      <c r="AR1039" s="2">
        <v>19.013078419293901</v>
      </c>
      <c r="AS1039" s="2">
        <v>17.7313733299682</v>
      </c>
      <c r="AT1039" s="2">
        <v>18.650951523910599</v>
      </c>
      <c r="AU1039" s="2">
        <v>17.6431714516002</v>
      </c>
      <c r="AV1039" s="2">
        <v>19.073445270560001</v>
      </c>
      <c r="AW1039" s="2">
        <v>17.7515124814838</v>
      </c>
      <c r="AX1039" s="2">
        <v>18.429783933349899</v>
      </c>
      <c r="AY1039" s="2">
        <v>17.9293150518014</v>
      </c>
      <c r="AZ1039" s="2">
        <v>18.0561566836653</v>
      </c>
      <c r="BA1039" s="2">
        <v>18.315334319643501</v>
      </c>
      <c r="BB1039" s="2">
        <v>18.3245583236654</v>
      </c>
      <c r="BC1039" s="2">
        <v>20.2880033688417</v>
      </c>
      <c r="BD1039" s="2">
        <v>18.804799187043798</v>
      </c>
      <c r="BE1039" s="2">
        <v>19.477308757176601</v>
      </c>
      <c r="BF1039" s="2">
        <v>18.0232798298989</v>
      </c>
      <c r="BG1039" s="2">
        <v>18.727871375461199</v>
      </c>
      <c r="BH1039" s="2">
        <v>18.897127426932101</v>
      </c>
      <c r="BI1039" s="2">
        <v>17.937867167788699</v>
      </c>
      <c r="BJ1039" s="2">
        <v>18.546083786050499</v>
      </c>
      <c r="BK1039" s="2">
        <v>17.8473323042594</v>
      </c>
      <c r="BL1039" s="2">
        <v>18.816988871408899</v>
      </c>
      <c r="BM1039" s="2">
        <v>17.9673455514341</v>
      </c>
      <c r="BN1039" s="2">
        <v>17.992597343691699</v>
      </c>
      <c r="BO1039" s="2">
        <v>18.329544271941199</v>
      </c>
      <c r="BP1039" s="2">
        <v>19.244545503239301</v>
      </c>
      <c r="BQ1039" s="2">
        <v>18.218905016577601</v>
      </c>
      <c r="BR1039" s="2">
        <v>18.7728950550101</v>
      </c>
      <c r="BS1039" s="2">
        <v>19.1645713332193</v>
      </c>
      <c r="BT1039" s="2">
        <v>18.163522760515999</v>
      </c>
      <c r="BU1039" s="2">
        <v>19.351064206304599</v>
      </c>
      <c r="BV1039" s="2">
        <v>18.484051017745202</v>
      </c>
      <c r="BW1039" s="2">
        <v>18.3138206202599</v>
      </c>
      <c r="BX1039" s="2">
        <v>18.702764734002301</v>
      </c>
      <c r="BY1039" s="2">
        <v>19.145889070448298</v>
      </c>
      <c r="BZ1039" s="2">
        <v>19.117939050356899</v>
      </c>
      <c r="CA1039" s="2">
        <v>19.247866151625399</v>
      </c>
      <c r="CB1039" s="2">
        <v>17.880064462542101</v>
      </c>
      <c r="CC1039" s="2">
        <v>17.546373908446501</v>
      </c>
      <c r="CD1039" s="2">
        <v>18.380576688120399</v>
      </c>
      <c r="CE1039" s="2">
        <v>18.562553462862301</v>
      </c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</row>
    <row r="1040" spans="1:97">
      <c r="A1040" s="2" t="s">
        <v>9534</v>
      </c>
      <c r="B1040" s="2">
        <v>319.11259999999999</v>
      </c>
      <c r="C1040" s="2">
        <v>0.66</v>
      </c>
      <c r="D1040" s="2" t="s">
        <v>84</v>
      </c>
      <c r="E1040" s="2" t="s">
        <v>9535</v>
      </c>
      <c r="F1040" s="2" t="s">
        <v>9536</v>
      </c>
      <c r="G1040" s="2">
        <v>58078</v>
      </c>
      <c r="H1040" s="3" t="str">
        <f>HYPERLINK("https://cloud.oebiotech.com/#/lm/network/58078", "https://cloud.oebiotech.com/#/lm/network/58078")</f>
        <v>https://cloud.oebiotech.com/#/lm/network/58078</v>
      </c>
      <c r="I1040" s="2" t="s">
        <v>9537</v>
      </c>
      <c r="J1040" s="2"/>
      <c r="K1040" s="2"/>
      <c r="L1040" s="2">
        <v>13751493</v>
      </c>
      <c r="M1040" s="2"/>
      <c r="N1040" s="2"/>
      <c r="O1040" s="2"/>
      <c r="P1040" s="2">
        <v>38158</v>
      </c>
      <c r="Q1040" s="2"/>
      <c r="R1040" s="2"/>
      <c r="S1040" s="2" t="s">
        <v>9538</v>
      </c>
      <c r="T1040" s="2" t="s">
        <v>9539</v>
      </c>
      <c r="U1040" s="2" t="s">
        <v>9540</v>
      </c>
      <c r="V1040" s="2" t="s">
        <v>115</v>
      </c>
      <c r="W1040" s="2" t="s">
        <v>116</v>
      </c>
      <c r="X1040" s="2" t="s">
        <v>117</v>
      </c>
      <c r="Y1040" s="2" t="s">
        <v>118</v>
      </c>
      <c r="Z1040" s="2" t="s">
        <v>119</v>
      </c>
      <c r="AA1040" s="2" t="s">
        <v>120</v>
      </c>
      <c r="AB1040" s="2" t="s">
        <v>3086</v>
      </c>
      <c r="AC1040" s="2">
        <v>50.31</v>
      </c>
      <c r="AD1040" s="2">
        <v>91.56</v>
      </c>
      <c r="AE1040" s="2">
        <v>0</v>
      </c>
      <c r="AF1040" s="2" t="s">
        <v>5614</v>
      </c>
      <c r="AG1040" s="2" t="s">
        <v>1088</v>
      </c>
      <c r="AH1040" s="2" t="s">
        <v>9541</v>
      </c>
      <c r="AI1040" s="2">
        <v>5.01</v>
      </c>
      <c r="AJ1040" s="2">
        <v>18.9699719352651</v>
      </c>
      <c r="AK1040" s="2">
        <v>19.4683594630554</v>
      </c>
      <c r="AL1040" s="2">
        <v>19.145980367820599</v>
      </c>
      <c r="AM1040" s="2">
        <v>18.311853572709499</v>
      </c>
      <c r="AN1040" s="2">
        <v>19.066214775245399</v>
      </c>
      <c r="AO1040" s="2">
        <v>18.486228574194399</v>
      </c>
      <c r="AP1040" s="2">
        <v>19.133717819634601</v>
      </c>
      <c r="AQ1040" s="2">
        <v>18.482733365776099</v>
      </c>
      <c r="AR1040" s="2">
        <v>19.326563434408101</v>
      </c>
      <c r="AS1040" s="2">
        <v>18.544626223778099</v>
      </c>
      <c r="AT1040" s="2">
        <v>19.391214614216601</v>
      </c>
      <c r="AU1040" s="2">
        <v>19.2502655436213</v>
      </c>
      <c r="AV1040" s="2">
        <v>18.4368181903499</v>
      </c>
      <c r="AW1040" s="2">
        <v>18.7905983030535</v>
      </c>
      <c r="AX1040" s="2">
        <v>18.942843808210199</v>
      </c>
      <c r="AY1040" s="2">
        <v>19.1756768743161</v>
      </c>
      <c r="AZ1040" s="2">
        <v>19.0050116650545</v>
      </c>
      <c r="BA1040" s="2">
        <v>18.882633169245398</v>
      </c>
      <c r="BB1040" s="2">
        <v>19.535124018311599</v>
      </c>
      <c r="BC1040" s="2">
        <v>20.006316133442098</v>
      </c>
      <c r="BD1040" s="2">
        <v>19.186563560556301</v>
      </c>
      <c r="BE1040" s="2">
        <v>18.550374266495499</v>
      </c>
      <c r="BF1040" s="2">
        <v>18.765870029056099</v>
      </c>
      <c r="BG1040" s="2">
        <v>19.134680673676701</v>
      </c>
      <c r="BH1040" s="2">
        <v>19.177458567625902</v>
      </c>
      <c r="BI1040" s="2">
        <v>19.061927017046099</v>
      </c>
      <c r="BJ1040" s="2">
        <v>18.9790351216723</v>
      </c>
      <c r="BK1040" s="2">
        <v>18.6008946947514</v>
      </c>
      <c r="BL1040" s="2">
        <v>19.230146185543202</v>
      </c>
      <c r="BM1040" s="2">
        <v>19.285991435618602</v>
      </c>
      <c r="BN1040" s="2">
        <v>18.7489244962577</v>
      </c>
      <c r="BO1040" s="2">
        <v>18.693171694243599</v>
      </c>
      <c r="BP1040" s="2">
        <v>18.253084802555399</v>
      </c>
      <c r="BQ1040" s="2">
        <v>19.593471641107701</v>
      </c>
      <c r="BR1040" s="2">
        <v>19.301060358196299</v>
      </c>
      <c r="BS1040" s="2">
        <v>18.680858152328302</v>
      </c>
      <c r="BT1040" s="2">
        <v>18.279812865532602</v>
      </c>
      <c r="BU1040" s="2">
        <v>17.8921544732803</v>
      </c>
      <c r="BV1040" s="2">
        <v>19.172097470229598</v>
      </c>
      <c r="BW1040" s="2">
        <v>19.3276743181024</v>
      </c>
      <c r="BX1040" s="2">
        <v>19.733845991694601</v>
      </c>
      <c r="BY1040" s="2">
        <v>18.8871832431652</v>
      </c>
      <c r="BZ1040" s="2">
        <v>19.4298614148368</v>
      </c>
      <c r="CA1040" s="2">
        <v>19.1958978138384</v>
      </c>
      <c r="CB1040" s="2">
        <v>18.147781730597099</v>
      </c>
      <c r="CC1040" s="2">
        <v>19.0198569254656</v>
      </c>
      <c r="CD1040" s="2">
        <v>18.048448984018101</v>
      </c>
      <c r="CE1040" s="2">
        <v>19.1937733793925</v>
      </c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</row>
    <row r="1041" spans="1:97">
      <c r="A1041" s="2" t="s">
        <v>9542</v>
      </c>
      <c r="B1041" s="2">
        <v>585.27044000000001</v>
      </c>
      <c r="C1041" s="2">
        <v>5.0640000000000001</v>
      </c>
      <c r="D1041" s="2" t="s">
        <v>84</v>
      </c>
      <c r="E1041" s="2" t="s">
        <v>9543</v>
      </c>
      <c r="F1041" s="2" t="s">
        <v>9544</v>
      </c>
      <c r="G1041" s="2">
        <v>197232</v>
      </c>
      <c r="H1041" s="3" t="str">
        <f>HYPERLINK("https://cloud.oebiotech.com/#/lm/network/197232", "https://cloud.oebiotech.com/#/lm/network/197232")</f>
        <v>https://cloud.oebiotech.com/#/lm/network/197232</v>
      </c>
      <c r="I1041" s="2" t="s">
        <v>9545</v>
      </c>
      <c r="J1041" s="2"/>
      <c r="K1041" s="2"/>
      <c r="L1041" s="2">
        <v>5315454</v>
      </c>
      <c r="M1041" s="2"/>
      <c r="N1041" s="2"/>
      <c r="O1041" s="2"/>
      <c r="P1041" s="2">
        <v>132996</v>
      </c>
      <c r="Q1041" s="2"/>
      <c r="R1041" s="2"/>
      <c r="S1041" s="2" t="s">
        <v>9546</v>
      </c>
      <c r="T1041" s="2" t="s">
        <v>9547</v>
      </c>
      <c r="U1041" s="2" t="s">
        <v>9548</v>
      </c>
      <c r="V1041" s="2" t="s">
        <v>553</v>
      </c>
      <c r="W1041" s="2" t="s">
        <v>1045</v>
      </c>
      <c r="X1041" s="2" t="s">
        <v>1046</v>
      </c>
      <c r="Y1041" s="2" t="s">
        <v>556</v>
      </c>
      <c r="Z1041" s="2" t="s">
        <v>1047</v>
      </c>
      <c r="AA1041" s="2" t="s">
        <v>1048</v>
      </c>
      <c r="AB1041" s="2" t="s">
        <v>5118</v>
      </c>
      <c r="AC1041" s="2">
        <v>50.31</v>
      </c>
      <c r="AD1041" s="2">
        <v>98.56</v>
      </c>
      <c r="AE1041" s="2">
        <v>66.209999999999994</v>
      </c>
      <c r="AF1041" s="2" t="s">
        <v>9549</v>
      </c>
      <c r="AG1041" s="2" t="s">
        <v>103</v>
      </c>
      <c r="AH1041" s="2" t="s">
        <v>2211</v>
      </c>
      <c r="AI1041" s="2">
        <v>0.68</v>
      </c>
      <c r="AJ1041" s="2">
        <v>23.1868882744314</v>
      </c>
      <c r="AK1041" s="2">
        <v>23.099643845894899</v>
      </c>
      <c r="AL1041" s="2">
        <v>22.967704813998299</v>
      </c>
      <c r="AM1041" s="2">
        <v>23.0364568370975</v>
      </c>
      <c r="AN1041" s="2">
        <v>22.877013613702601</v>
      </c>
      <c r="AO1041" s="2">
        <v>22.744786518900298</v>
      </c>
      <c r="AP1041" s="2">
        <v>22.6526150728549</v>
      </c>
      <c r="AQ1041" s="2">
        <v>22.820588123013302</v>
      </c>
      <c r="AR1041" s="2">
        <v>21.7699044129726</v>
      </c>
      <c r="AS1041" s="2">
        <v>22.520176687661301</v>
      </c>
      <c r="AT1041" s="2">
        <v>23.9045398662895</v>
      </c>
      <c r="AU1041" s="2">
        <v>21.8483859438238</v>
      </c>
      <c r="AV1041" s="2">
        <v>22.786921289756499</v>
      </c>
      <c r="AW1041" s="2">
        <v>22.898683008360202</v>
      </c>
      <c r="AX1041" s="2">
        <v>23.079489984115</v>
      </c>
      <c r="AY1041" s="2">
        <v>23.068961088175101</v>
      </c>
      <c r="AZ1041" s="2">
        <v>21.580216926203299</v>
      </c>
      <c r="BA1041" s="2">
        <v>22.3487998012262</v>
      </c>
      <c r="BB1041" s="2">
        <v>22.795988577560099</v>
      </c>
      <c r="BC1041" s="2">
        <v>23.799990492642198</v>
      </c>
      <c r="BD1041" s="2">
        <v>21.9240858187962</v>
      </c>
      <c r="BE1041" s="2">
        <v>24.324979801083899</v>
      </c>
      <c r="BF1041" s="2">
        <v>21.779944478183999</v>
      </c>
      <c r="BG1041" s="2">
        <v>23.413832359929401</v>
      </c>
      <c r="BH1041" s="2">
        <v>22.657213180891599</v>
      </c>
      <c r="BI1041" s="2">
        <v>23.213734842779999</v>
      </c>
      <c r="BJ1041" s="2">
        <v>23.479411244931701</v>
      </c>
      <c r="BK1041" s="2">
        <v>22.237210582320401</v>
      </c>
      <c r="BL1041" s="2">
        <v>22.69921807767</v>
      </c>
      <c r="BM1041" s="2">
        <v>21.611531549948999</v>
      </c>
      <c r="BN1041" s="2">
        <v>22.9595426409212</v>
      </c>
      <c r="BO1041" s="2">
        <v>23.043481975300399</v>
      </c>
      <c r="BP1041" s="2">
        <v>23.1628126071368</v>
      </c>
      <c r="BQ1041" s="2">
        <v>22.764151632400601</v>
      </c>
      <c r="BR1041" s="2">
        <v>23.224833546342101</v>
      </c>
      <c r="BS1041" s="2">
        <v>22.354716892986701</v>
      </c>
      <c r="BT1041" s="2">
        <v>22.194739661032202</v>
      </c>
      <c r="BU1041" s="2">
        <v>22.5468974947253</v>
      </c>
      <c r="BV1041" s="2">
        <v>23.120105456305499</v>
      </c>
      <c r="BW1041" s="2">
        <v>22.423413627575901</v>
      </c>
      <c r="BX1041" s="2">
        <v>21.774741941705301</v>
      </c>
      <c r="BY1041" s="2">
        <v>23.3470614875481</v>
      </c>
      <c r="BZ1041" s="2">
        <v>21.6423510228224</v>
      </c>
      <c r="CA1041" s="2">
        <v>22.255260515157001</v>
      </c>
      <c r="CB1041" s="2">
        <v>22.926663238327802</v>
      </c>
      <c r="CC1041" s="2">
        <v>22.196597723385398</v>
      </c>
      <c r="CD1041" s="2">
        <v>23.4669443720678</v>
      </c>
      <c r="CE1041" s="2">
        <v>22.162509944726999</v>
      </c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</row>
    <row r="1042" spans="1:97">
      <c r="A1042" s="2" t="s">
        <v>9550</v>
      </c>
      <c r="B1042" s="2">
        <v>593.33286999999996</v>
      </c>
      <c r="C1042" s="2">
        <v>9.1750000000000007</v>
      </c>
      <c r="D1042" s="2" t="s">
        <v>84</v>
      </c>
      <c r="E1042" s="2" t="s">
        <v>9551</v>
      </c>
      <c r="F1042" s="2" t="s">
        <v>9552</v>
      </c>
      <c r="G1042" s="2">
        <v>47704</v>
      </c>
      <c r="H1042" s="3" t="str">
        <f>HYPERLINK("https://cloud.oebiotech.com/#/lm/network/47704", "https://cloud.oebiotech.com/#/lm/network/47704")</f>
        <v>https://cloud.oebiotech.com/#/lm/network/47704</v>
      </c>
      <c r="I1042" s="2" t="s">
        <v>9553</v>
      </c>
      <c r="J1042" s="2">
        <v>58064</v>
      </c>
      <c r="K1042" s="2"/>
      <c r="L1042" s="2">
        <v>26818</v>
      </c>
      <c r="M1042" s="2" t="s">
        <v>9554</v>
      </c>
      <c r="N1042" s="2" t="s">
        <v>2226</v>
      </c>
      <c r="O1042" s="2" t="s">
        <v>2227</v>
      </c>
      <c r="P1042" s="2">
        <v>29026</v>
      </c>
      <c r="Q1042" s="2"/>
      <c r="R1042" s="2"/>
      <c r="S1042" s="2" t="s">
        <v>9555</v>
      </c>
      <c r="T1042" s="2" t="s">
        <v>9556</v>
      </c>
      <c r="U1042" s="2" t="s">
        <v>9557</v>
      </c>
      <c r="V1042" s="2" t="s">
        <v>553</v>
      </c>
      <c r="W1042" s="2" t="s">
        <v>1045</v>
      </c>
      <c r="X1042" s="2" t="s">
        <v>1046</v>
      </c>
      <c r="Y1042" s="2" t="s">
        <v>556</v>
      </c>
      <c r="Z1042" s="2" t="s">
        <v>1047</v>
      </c>
      <c r="AA1042" s="2" t="s">
        <v>1048</v>
      </c>
      <c r="AB1042" s="2" t="s">
        <v>5118</v>
      </c>
      <c r="AC1042" s="2">
        <v>50.29</v>
      </c>
      <c r="AD1042" s="2">
        <v>93.28</v>
      </c>
      <c r="AE1042" s="2">
        <v>72.7</v>
      </c>
      <c r="AF1042" s="2" t="s">
        <v>9558</v>
      </c>
      <c r="AG1042" s="2" t="s">
        <v>103</v>
      </c>
      <c r="AH1042" s="2" t="s">
        <v>9559</v>
      </c>
      <c r="AI1042" s="2">
        <v>0.84</v>
      </c>
      <c r="AJ1042" s="2">
        <v>19.874584240385499</v>
      </c>
      <c r="AK1042" s="2">
        <v>19.880604551735399</v>
      </c>
      <c r="AL1042" s="2">
        <v>19.903096408274401</v>
      </c>
      <c r="AM1042" s="2">
        <v>20.062919775293501</v>
      </c>
      <c r="AN1042" s="2">
        <v>19.636381691865001</v>
      </c>
      <c r="AO1042" s="2">
        <v>19.909906879615999</v>
      </c>
      <c r="AP1042" s="2">
        <v>19.848675734331898</v>
      </c>
      <c r="AQ1042" s="2">
        <v>19.827016973055098</v>
      </c>
      <c r="AR1042" s="2">
        <v>16.077489198394002</v>
      </c>
      <c r="AS1042" s="2">
        <v>17.3792193619703</v>
      </c>
      <c r="AT1042" s="2">
        <v>18.191113833281001</v>
      </c>
      <c r="AU1042" s="2">
        <v>18.690480424255899</v>
      </c>
      <c r="AV1042" s="2">
        <v>19.130198851633502</v>
      </c>
      <c r="AW1042" s="2">
        <v>22.369940327775801</v>
      </c>
      <c r="AX1042" s="2">
        <v>19.679011260843001</v>
      </c>
      <c r="AY1042" s="2">
        <v>19.56555171594</v>
      </c>
      <c r="AZ1042" s="2">
        <v>19.9316190771934</v>
      </c>
      <c r="BA1042" s="2">
        <v>16.654752510039199</v>
      </c>
      <c r="BB1042" s="2">
        <v>20.367016700540901</v>
      </c>
      <c r="BC1042" s="2">
        <v>20.382789294255002</v>
      </c>
      <c r="BD1042" s="2">
        <v>21.095569941733</v>
      </c>
      <c r="BE1042" s="2">
        <v>21.126268920202602</v>
      </c>
      <c r="BF1042" s="2">
        <v>17.530965285329</v>
      </c>
      <c r="BG1042" s="2">
        <v>19.252569763889301</v>
      </c>
      <c r="BH1042" s="2">
        <v>19.5044282681718</v>
      </c>
      <c r="BI1042" s="2">
        <v>18.918827578150101</v>
      </c>
      <c r="BJ1042" s="2">
        <v>19.658811998272999</v>
      </c>
      <c r="BK1042" s="2">
        <v>18.4451267031145</v>
      </c>
      <c r="BL1042" s="2">
        <v>14.275811690504201</v>
      </c>
      <c r="BM1042" s="2">
        <v>20.458644661588998</v>
      </c>
      <c r="BN1042" s="2">
        <v>20.9540323126126</v>
      </c>
      <c r="BO1042" s="2">
        <v>17.330988895558299</v>
      </c>
      <c r="BP1042" s="2">
        <v>19.974222277216601</v>
      </c>
      <c r="BQ1042" s="2">
        <v>18.356476816193101</v>
      </c>
      <c r="BR1042" s="2">
        <v>20.394595590221599</v>
      </c>
      <c r="BS1042" s="2">
        <v>19.6805586763838</v>
      </c>
      <c r="BT1042" s="2">
        <v>19.242108326501299</v>
      </c>
      <c r="BU1042" s="2">
        <v>18.756304623774401</v>
      </c>
      <c r="BV1042" s="2">
        <v>18.9978221022402</v>
      </c>
      <c r="BW1042" s="2">
        <v>20.027504814311499</v>
      </c>
      <c r="BX1042" s="2">
        <v>13.9626538493248</v>
      </c>
      <c r="BY1042" s="2">
        <v>21.7088148627363</v>
      </c>
      <c r="BZ1042" s="2">
        <v>21.659865160032201</v>
      </c>
      <c r="CA1042" s="2">
        <v>20.6820419027596</v>
      </c>
      <c r="CB1042" s="2">
        <v>19.352616587793701</v>
      </c>
      <c r="CC1042" s="2">
        <v>17.8758387252986</v>
      </c>
      <c r="CD1042" s="2">
        <v>20.8373186003973</v>
      </c>
      <c r="CE1042" s="2">
        <v>18.535470176515201</v>
      </c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</row>
    <row r="1043" spans="1:97">
      <c r="A1043" s="2" t="s">
        <v>9560</v>
      </c>
      <c r="B1043" s="2">
        <v>517.33015</v>
      </c>
      <c r="C1043" s="2">
        <v>8.3149999999999995</v>
      </c>
      <c r="D1043" s="2" t="s">
        <v>84</v>
      </c>
      <c r="E1043" s="2" t="s">
        <v>9561</v>
      </c>
      <c r="F1043" s="2" t="s">
        <v>9562</v>
      </c>
      <c r="G1043" s="2">
        <v>203963</v>
      </c>
      <c r="H1043" s="3" t="str">
        <f>HYPERLINK("https://cloud.oebiotech.com/#/lm/network/203963", "https://cloud.oebiotech.com/#/lm/network/203963")</f>
        <v>https://cloud.oebiotech.com/#/lm/network/203963</v>
      </c>
      <c r="I1043" s="2" t="s">
        <v>9563</v>
      </c>
      <c r="J1043" s="2"/>
      <c r="K1043" s="2"/>
      <c r="L1043" s="2">
        <v>74332265</v>
      </c>
      <c r="M1043" s="2"/>
      <c r="N1043" s="2"/>
      <c r="O1043" s="2"/>
      <c r="P1043" s="2"/>
      <c r="Q1043" s="2"/>
      <c r="R1043" s="2"/>
      <c r="S1043" s="2"/>
      <c r="T1043" s="2" t="s">
        <v>9564</v>
      </c>
      <c r="U1043" s="2" t="s">
        <v>9565</v>
      </c>
      <c r="V1043" s="2" t="s">
        <v>845</v>
      </c>
      <c r="W1043" s="2" t="s">
        <v>970</v>
      </c>
      <c r="X1043" s="2" t="s">
        <v>9566</v>
      </c>
      <c r="Y1043" s="2" t="s">
        <v>847</v>
      </c>
      <c r="Z1043" s="2" t="s">
        <v>972</v>
      </c>
      <c r="AA1043" s="2" t="s">
        <v>9567</v>
      </c>
      <c r="AB1043" s="2" t="s">
        <v>5118</v>
      </c>
      <c r="AC1043" s="2">
        <v>50.29</v>
      </c>
      <c r="AD1043" s="2">
        <v>93</v>
      </c>
      <c r="AE1043" s="2">
        <v>50.57</v>
      </c>
      <c r="AF1043" s="2" t="s">
        <v>9568</v>
      </c>
      <c r="AG1043" s="2" t="s">
        <v>132</v>
      </c>
      <c r="AH1043" s="2" t="s">
        <v>9569</v>
      </c>
      <c r="AI1043" s="2">
        <v>-5.8</v>
      </c>
      <c r="AJ1043" s="2">
        <v>19.0409422349599</v>
      </c>
      <c r="AK1043" s="2">
        <v>19.181368778844099</v>
      </c>
      <c r="AL1043" s="2">
        <v>18.5807157053029</v>
      </c>
      <c r="AM1043" s="2">
        <v>19.070026788777501</v>
      </c>
      <c r="AN1043" s="2">
        <v>19.397526802438499</v>
      </c>
      <c r="AO1043" s="2">
        <v>19.248921961729501</v>
      </c>
      <c r="AP1043" s="2">
        <v>19.0841141324054</v>
      </c>
      <c r="AQ1043" s="2">
        <v>19.099113225985199</v>
      </c>
      <c r="AR1043" s="2">
        <v>18.264659437196102</v>
      </c>
      <c r="AS1043" s="2">
        <v>9.6233145402724691</v>
      </c>
      <c r="AT1043" s="2">
        <v>18.060154914598801</v>
      </c>
      <c r="AU1043" s="2">
        <v>18.0010702430862</v>
      </c>
      <c r="AV1043" s="2">
        <v>16.876666220368602</v>
      </c>
      <c r="AW1043" s="2">
        <v>21.520333423309999</v>
      </c>
      <c r="AX1043" s="2">
        <v>14.910572936066799</v>
      </c>
      <c r="AY1043" s="2">
        <v>19.324528329277999</v>
      </c>
      <c r="AZ1043" s="2">
        <v>18.335469171412502</v>
      </c>
      <c r="BA1043" s="2">
        <v>15.4265697617668</v>
      </c>
      <c r="BB1043" s="2">
        <v>21.795701029368399</v>
      </c>
      <c r="BC1043" s="2">
        <v>16.810932188135801</v>
      </c>
      <c r="BD1043" s="2">
        <v>16.921989777040402</v>
      </c>
      <c r="BE1043" s="2">
        <v>17.898469246092599</v>
      </c>
      <c r="BF1043" s="2">
        <v>16.996884329973302</v>
      </c>
      <c r="BG1043" s="2">
        <v>9.6233145402724691</v>
      </c>
      <c r="BH1043" s="2">
        <v>18.983313878779001</v>
      </c>
      <c r="BI1043" s="2">
        <v>9.6233145402724691</v>
      </c>
      <c r="BJ1043" s="2">
        <v>13.900515900667299</v>
      </c>
      <c r="BK1043" s="2">
        <v>19.179527548362799</v>
      </c>
      <c r="BL1043" s="2">
        <v>9.6233145402724691</v>
      </c>
      <c r="BM1043" s="2">
        <v>20.251271929811999</v>
      </c>
      <c r="BN1043" s="2">
        <v>19.851954260045201</v>
      </c>
      <c r="BO1043" s="2">
        <v>17.802750980883701</v>
      </c>
      <c r="BP1043" s="2">
        <v>9.6233145402724691</v>
      </c>
      <c r="BQ1043" s="2">
        <v>17.451682325984098</v>
      </c>
      <c r="BR1043" s="2">
        <v>18.3822400419762</v>
      </c>
      <c r="BS1043" s="2">
        <v>17.779564001123401</v>
      </c>
      <c r="BT1043" s="2">
        <v>17.219203032927499</v>
      </c>
      <c r="BU1043" s="2">
        <v>9.6233145402724691</v>
      </c>
      <c r="BV1043" s="2">
        <v>20.994470707696099</v>
      </c>
      <c r="BW1043" s="2">
        <v>9.6233145402724691</v>
      </c>
      <c r="BX1043" s="2">
        <v>16.449205080169399</v>
      </c>
      <c r="BY1043" s="2">
        <v>18.145245771297301</v>
      </c>
      <c r="BZ1043" s="2">
        <v>17.991247849276501</v>
      </c>
      <c r="CA1043" s="2">
        <v>18.468371515778699</v>
      </c>
      <c r="CB1043" s="2">
        <v>17.413893815481899</v>
      </c>
      <c r="CC1043" s="2">
        <v>9.6233145402724691</v>
      </c>
      <c r="CD1043" s="2">
        <v>16.879062557355901</v>
      </c>
      <c r="CE1043" s="2">
        <v>15.044385580655099</v>
      </c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</row>
    <row r="1044" spans="1:97">
      <c r="A1044" s="2" t="s">
        <v>9570</v>
      </c>
      <c r="B1044" s="2">
        <v>263.12601999999998</v>
      </c>
      <c r="C1044" s="2">
        <v>7.6660000000000004</v>
      </c>
      <c r="D1044" s="2" t="s">
        <v>146</v>
      </c>
      <c r="E1044" s="2" t="s">
        <v>9571</v>
      </c>
      <c r="F1044" s="2" t="s">
        <v>9572</v>
      </c>
      <c r="G1044" s="2">
        <v>2670</v>
      </c>
      <c r="H1044" s="3" t="str">
        <f>HYPERLINK("https://cloud.oebiotech.com/#/lm/network/2670", "https://cloud.oebiotech.com/#/lm/network/2670")</f>
        <v>https://cloud.oebiotech.com/#/lm/network/2670</v>
      </c>
      <c r="I1044" s="2"/>
      <c r="J1044" s="2"/>
      <c r="K1044" s="2" t="s">
        <v>9573</v>
      </c>
      <c r="L1044" s="2">
        <v>86139707</v>
      </c>
      <c r="M1044" s="2"/>
      <c r="N1044" s="2"/>
      <c r="O1044" s="2"/>
      <c r="P1044" s="2"/>
      <c r="Q1044" s="2"/>
      <c r="R1044" s="2"/>
      <c r="S1044" s="2"/>
      <c r="T1044" s="2" t="s">
        <v>9574</v>
      </c>
      <c r="U1044" s="2" t="s">
        <v>9575</v>
      </c>
      <c r="V1044" s="2" t="s">
        <v>95</v>
      </c>
      <c r="W1044" s="2" t="s">
        <v>96</v>
      </c>
      <c r="X1044" s="2" t="s">
        <v>141</v>
      </c>
      <c r="Y1044" s="2" t="s">
        <v>98</v>
      </c>
      <c r="Z1044" s="2" t="s">
        <v>99</v>
      </c>
      <c r="AA1044" s="2" t="s">
        <v>142</v>
      </c>
      <c r="AB1044" s="2" t="s">
        <v>3086</v>
      </c>
      <c r="AC1044" s="2">
        <v>50.25</v>
      </c>
      <c r="AD1044" s="2">
        <v>90.55</v>
      </c>
      <c r="AE1044" s="2">
        <v>31.29</v>
      </c>
      <c r="AF1044" s="2" t="s">
        <v>9576</v>
      </c>
      <c r="AG1044" s="2" t="s">
        <v>993</v>
      </c>
      <c r="AH1044" s="2" t="s">
        <v>7016</v>
      </c>
      <c r="AI1044" s="2">
        <v>8.74</v>
      </c>
      <c r="AJ1044" s="2">
        <v>16.248211301076601</v>
      </c>
      <c r="AK1044" s="2">
        <v>17.1385790962096</v>
      </c>
      <c r="AL1044" s="2">
        <v>16.740545256939001</v>
      </c>
      <c r="AM1044" s="2">
        <v>17.118513986539501</v>
      </c>
      <c r="AN1044" s="2">
        <v>16.8310210469179</v>
      </c>
      <c r="AO1044" s="2">
        <v>16.911531728112699</v>
      </c>
      <c r="AP1044" s="2">
        <v>16.9661791683823</v>
      </c>
      <c r="AQ1044" s="2">
        <v>16.612576255156501</v>
      </c>
      <c r="AR1044" s="2">
        <v>15.686667668340901</v>
      </c>
      <c r="AS1044" s="2">
        <v>15.659499267530199</v>
      </c>
      <c r="AT1044" s="2">
        <v>17.0313441027245</v>
      </c>
      <c r="AU1044" s="2">
        <v>16.642964937639199</v>
      </c>
      <c r="AV1044" s="2">
        <v>16.0598997729366</v>
      </c>
      <c r="AW1044" s="2">
        <v>15.8244653145002</v>
      </c>
      <c r="AX1044" s="2">
        <v>15.924735737793799</v>
      </c>
      <c r="AY1044" s="2">
        <v>16.3545026786067</v>
      </c>
      <c r="AZ1044" s="2">
        <v>13.8028979906821</v>
      </c>
      <c r="BA1044" s="2">
        <v>17.0520625690034</v>
      </c>
      <c r="BB1044" s="2">
        <v>17.524299133581</v>
      </c>
      <c r="BC1044" s="2">
        <v>17.6611371054721</v>
      </c>
      <c r="BD1044" s="2">
        <v>16.136997918740398</v>
      </c>
      <c r="BE1044" s="2">
        <v>17.463704363664998</v>
      </c>
      <c r="BF1044" s="2">
        <v>15.936743745026799</v>
      </c>
      <c r="BG1044" s="2">
        <v>16.491722847148001</v>
      </c>
      <c r="BH1044" s="2">
        <v>15.9411182350276</v>
      </c>
      <c r="BI1044" s="2">
        <v>15.530483761606201</v>
      </c>
      <c r="BJ1044" s="2">
        <v>16.0759261619285</v>
      </c>
      <c r="BK1044" s="2">
        <v>15.8273489073331</v>
      </c>
      <c r="BL1044" s="2">
        <v>15.191962929815</v>
      </c>
      <c r="BM1044" s="2">
        <v>15.678105475735499</v>
      </c>
      <c r="BN1044" s="2">
        <v>15.9464217775562</v>
      </c>
      <c r="BO1044" s="2">
        <v>16.952848039607701</v>
      </c>
      <c r="BP1044" s="2">
        <v>16.644766181302099</v>
      </c>
      <c r="BQ1044" s="2">
        <v>16.798436107931099</v>
      </c>
      <c r="BR1044" s="2">
        <v>17.356676943915001</v>
      </c>
      <c r="BS1044" s="2">
        <v>16.667124573740299</v>
      </c>
      <c r="BT1044" s="2">
        <v>15.387527331827</v>
      </c>
      <c r="BU1044" s="2">
        <v>17.2659226558069</v>
      </c>
      <c r="BV1044" s="2">
        <v>16.5474324469651</v>
      </c>
      <c r="BW1044" s="2">
        <v>16.1032335013976</v>
      </c>
      <c r="BX1044" s="2">
        <v>15.7101878725818</v>
      </c>
      <c r="BY1044" s="2">
        <v>17.820918311238</v>
      </c>
      <c r="BZ1044" s="2">
        <v>17.790493530310599</v>
      </c>
      <c r="CA1044" s="2">
        <v>16.312349962778502</v>
      </c>
      <c r="CB1044" s="2">
        <v>15.1305617148493</v>
      </c>
      <c r="CC1044" s="2">
        <v>15.190929625324801</v>
      </c>
      <c r="CD1044" s="2">
        <v>15.2705690913056</v>
      </c>
      <c r="CE1044" s="2">
        <v>17.4115356484062</v>
      </c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</row>
    <row r="1045" spans="1:97">
      <c r="A1045" s="2" t="s">
        <v>9577</v>
      </c>
      <c r="B1045" s="2">
        <v>395.21967999999998</v>
      </c>
      <c r="C1045" s="2">
        <v>10.515000000000001</v>
      </c>
      <c r="D1045" s="2" t="s">
        <v>84</v>
      </c>
      <c r="E1045" s="2" t="s">
        <v>9578</v>
      </c>
      <c r="F1045" s="2" t="s">
        <v>9579</v>
      </c>
      <c r="G1045" s="2">
        <v>205677</v>
      </c>
      <c r="H1045" s="3" t="str">
        <f>HYPERLINK("https://cloud.oebiotech.com/#/lm/network/205677", "https://cloud.oebiotech.com/#/lm/network/205677")</f>
        <v>https://cloud.oebiotech.com/#/lm/network/205677</v>
      </c>
      <c r="I1045" s="2" t="s">
        <v>9580</v>
      </c>
      <c r="J1045" s="2"/>
      <c r="K1045" s="2"/>
      <c r="L1045" s="2">
        <v>3001</v>
      </c>
      <c r="M1045" s="2"/>
      <c r="N1045" s="2"/>
      <c r="O1045" s="2"/>
      <c r="P1045" s="2"/>
      <c r="Q1045" s="2"/>
      <c r="R1045" s="2"/>
      <c r="S1045" s="2"/>
      <c r="T1045" s="2" t="s">
        <v>9581</v>
      </c>
      <c r="U1045" s="2" t="s">
        <v>9582</v>
      </c>
      <c r="V1045" s="2" t="s">
        <v>95</v>
      </c>
      <c r="W1045" s="2" t="s">
        <v>152</v>
      </c>
      <c r="X1045" s="2" t="s">
        <v>4609</v>
      </c>
      <c r="Y1045" s="2" t="s">
        <v>98</v>
      </c>
      <c r="Z1045" s="2" t="s">
        <v>154</v>
      </c>
      <c r="AA1045" s="2" t="s">
        <v>4610</v>
      </c>
      <c r="AB1045" s="2" t="s">
        <v>3086</v>
      </c>
      <c r="AC1045" s="2">
        <v>50.22</v>
      </c>
      <c r="AD1045" s="2">
        <v>74.14</v>
      </c>
      <c r="AE1045" s="2">
        <v>0</v>
      </c>
      <c r="AF1045" s="2" t="s">
        <v>5614</v>
      </c>
      <c r="AG1045" s="2" t="s">
        <v>1578</v>
      </c>
      <c r="AH1045" s="2" t="s">
        <v>9583</v>
      </c>
      <c r="AI1045" s="2">
        <v>-1.01</v>
      </c>
      <c r="AJ1045" s="2">
        <v>19.517162293757</v>
      </c>
      <c r="AK1045" s="2">
        <v>19.259111495828002</v>
      </c>
      <c r="AL1045" s="2">
        <v>19.0547619557451</v>
      </c>
      <c r="AM1045" s="2">
        <v>19.2287608312533</v>
      </c>
      <c r="AN1045" s="2">
        <v>19.192739710012098</v>
      </c>
      <c r="AO1045" s="2">
        <v>19.4951758132819</v>
      </c>
      <c r="AP1045" s="2">
        <v>19.1527269505258</v>
      </c>
      <c r="AQ1045" s="2">
        <v>19.471376262341501</v>
      </c>
      <c r="AR1045" s="2">
        <v>19.427829198499602</v>
      </c>
      <c r="AS1045" s="2">
        <v>18.8932193659669</v>
      </c>
      <c r="AT1045" s="2">
        <v>19.1309692175214</v>
      </c>
      <c r="AU1045" s="2">
        <v>19.4624355713323</v>
      </c>
      <c r="AV1045" s="2">
        <v>18.277048290451201</v>
      </c>
      <c r="AW1045" s="2">
        <v>19.271149643038399</v>
      </c>
      <c r="AX1045" s="2">
        <v>19.130622618857601</v>
      </c>
      <c r="AY1045" s="2">
        <v>19.090634645471201</v>
      </c>
      <c r="AZ1045" s="2">
        <v>19.398998562245598</v>
      </c>
      <c r="BA1045" s="2">
        <v>18.2831199224876</v>
      </c>
      <c r="BB1045" s="2">
        <v>19.536319716730301</v>
      </c>
      <c r="BC1045" s="2">
        <v>19.5971014914725</v>
      </c>
      <c r="BD1045" s="2">
        <v>18.850760259183399</v>
      </c>
      <c r="BE1045" s="2">
        <v>19.5852099510677</v>
      </c>
      <c r="BF1045" s="2">
        <v>19.3552390913454</v>
      </c>
      <c r="BG1045" s="2">
        <v>19.686756941414401</v>
      </c>
      <c r="BH1045" s="2">
        <v>19.713077232635499</v>
      </c>
      <c r="BI1045" s="2">
        <v>19.0940434235265</v>
      </c>
      <c r="BJ1045" s="2">
        <v>19.341635003816201</v>
      </c>
      <c r="BK1045" s="2">
        <v>18.9612990760744</v>
      </c>
      <c r="BL1045" s="2">
        <v>19.270175811833301</v>
      </c>
      <c r="BM1045" s="2">
        <v>19.165576775475401</v>
      </c>
      <c r="BN1045" s="2">
        <v>18.176786156453399</v>
      </c>
      <c r="BO1045" s="2">
        <v>19.315622709725499</v>
      </c>
      <c r="BP1045" s="2">
        <v>19.584578694465101</v>
      </c>
      <c r="BQ1045" s="2">
        <v>19.287199590677702</v>
      </c>
      <c r="BR1045" s="2">
        <v>19.3105753736967</v>
      </c>
      <c r="BS1045" s="2">
        <v>19.753104328106001</v>
      </c>
      <c r="BT1045" s="2">
        <v>19.489639160401399</v>
      </c>
      <c r="BU1045" s="2">
        <v>19.2709572464119</v>
      </c>
      <c r="BV1045" s="2">
        <v>19.647850154859</v>
      </c>
      <c r="BW1045" s="2">
        <v>19.104779990162701</v>
      </c>
      <c r="BX1045" s="2">
        <v>18.666081217480802</v>
      </c>
      <c r="BY1045" s="2">
        <v>19.413988801412199</v>
      </c>
      <c r="BZ1045" s="2">
        <v>18.6880915492962</v>
      </c>
      <c r="CA1045" s="2">
        <v>18.927931947257001</v>
      </c>
      <c r="CB1045" s="2">
        <v>19.048518936009302</v>
      </c>
      <c r="CC1045" s="2">
        <v>18.359732404885499</v>
      </c>
      <c r="CD1045" s="2">
        <v>19.6008124849252</v>
      </c>
      <c r="CE1045" s="2">
        <v>18.536203231338298</v>
      </c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</row>
    <row r="1046" spans="1:97">
      <c r="A1046" s="2" t="s">
        <v>9584</v>
      </c>
      <c r="B1046" s="2">
        <v>534.35414000000003</v>
      </c>
      <c r="C1046" s="2">
        <v>10.752000000000001</v>
      </c>
      <c r="D1046" s="2" t="s">
        <v>84</v>
      </c>
      <c r="E1046" s="2" t="s">
        <v>9585</v>
      </c>
      <c r="F1046" s="2" t="s">
        <v>9586</v>
      </c>
      <c r="G1046" s="2">
        <v>19886</v>
      </c>
      <c r="H1046" s="3" t="str">
        <f>HYPERLINK("https://cloud.oebiotech.com/#/lm/network/19886", "https://cloud.oebiotech.com/#/lm/network/19886")</f>
        <v>https://cloud.oebiotech.com/#/lm/network/19886</v>
      </c>
      <c r="I1046" s="2"/>
      <c r="J1046" s="2"/>
      <c r="K1046" s="2" t="s">
        <v>9587</v>
      </c>
      <c r="L1046" s="2">
        <v>56955896</v>
      </c>
      <c r="M1046" s="2"/>
      <c r="N1046" s="2"/>
      <c r="O1046" s="2"/>
      <c r="P1046" s="2">
        <v>28733</v>
      </c>
      <c r="Q1046" s="2"/>
      <c r="R1046" s="2"/>
      <c r="S1046" s="2"/>
      <c r="T1046" s="2" t="s">
        <v>9588</v>
      </c>
      <c r="U1046" s="2" t="s">
        <v>9589</v>
      </c>
      <c r="V1046" s="2" t="s">
        <v>95</v>
      </c>
      <c r="W1046" s="2" t="s">
        <v>202</v>
      </c>
      <c r="X1046" s="2" t="s">
        <v>203</v>
      </c>
      <c r="Y1046" s="2" t="s">
        <v>98</v>
      </c>
      <c r="Z1046" s="2" t="s">
        <v>204</v>
      </c>
      <c r="AA1046" s="2" t="s">
        <v>205</v>
      </c>
      <c r="AB1046" s="2" t="s">
        <v>3086</v>
      </c>
      <c r="AC1046" s="2">
        <v>50.16</v>
      </c>
      <c r="AD1046" s="2">
        <v>81.72</v>
      </c>
      <c r="AE1046" s="2">
        <v>0</v>
      </c>
      <c r="AF1046" s="2" t="s">
        <v>5614</v>
      </c>
      <c r="AG1046" s="2" t="s">
        <v>103</v>
      </c>
      <c r="AH1046" s="2" t="s">
        <v>9590</v>
      </c>
      <c r="AI1046" s="2">
        <v>2.4300000000000002</v>
      </c>
      <c r="AJ1046" s="2">
        <v>19.410308095990601</v>
      </c>
      <c r="AK1046" s="2">
        <v>19.451540168982302</v>
      </c>
      <c r="AL1046" s="2">
        <v>18.895295342565301</v>
      </c>
      <c r="AM1046" s="2">
        <v>19.0844861771251</v>
      </c>
      <c r="AN1046" s="2">
        <v>19.176635826239899</v>
      </c>
      <c r="AO1046" s="2">
        <v>19.1515847131929</v>
      </c>
      <c r="AP1046" s="2">
        <v>19.2724204990161</v>
      </c>
      <c r="AQ1046" s="2">
        <v>19.642973678078299</v>
      </c>
      <c r="AR1046" s="2">
        <v>19.9121266284927</v>
      </c>
      <c r="AS1046" s="2">
        <v>16.327923620214602</v>
      </c>
      <c r="AT1046" s="2">
        <v>17.668594316848701</v>
      </c>
      <c r="AU1046" s="2">
        <v>17.678837506282001</v>
      </c>
      <c r="AV1046" s="2">
        <v>19.786617242925999</v>
      </c>
      <c r="AW1046" s="2">
        <v>19.173379496078802</v>
      </c>
      <c r="AX1046" s="2">
        <v>19.049493307989</v>
      </c>
      <c r="AY1046" s="2">
        <v>18.620988079157598</v>
      </c>
      <c r="AZ1046" s="2">
        <v>18.086837358956799</v>
      </c>
      <c r="BA1046" s="2">
        <v>16.1875181328755</v>
      </c>
      <c r="BB1046" s="2">
        <v>17.879723772005701</v>
      </c>
      <c r="BC1046" s="2">
        <v>18.8797019078837</v>
      </c>
      <c r="BD1046" s="2">
        <v>18.774608268489501</v>
      </c>
      <c r="BE1046" s="2">
        <v>19.782848853314</v>
      </c>
      <c r="BF1046" s="2">
        <v>16.199712598042701</v>
      </c>
      <c r="BG1046" s="2">
        <v>19.668294517712201</v>
      </c>
      <c r="BH1046" s="2">
        <v>19.985645374865801</v>
      </c>
      <c r="BI1046" s="2">
        <v>19.1999060373677</v>
      </c>
      <c r="BJ1046" s="2">
        <v>17.921030994846902</v>
      </c>
      <c r="BK1046" s="2">
        <v>18.911871717938901</v>
      </c>
      <c r="BL1046" s="2">
        <v>19.329302192556501</v>
      </c>
      <c r="BM1046" s="2">
        <v>19.144551676646898</v>
      </c>
      <c r="BN1046" s="2">
        <v>18.139038418230701</v>
      </c>
      <c r="BO1046" s="2">
        <v>19.126591127750501</v>
      </c>
      <c r="BP1046" s="2">
        <v>19.073913357461699</v>
      </c>
      <c r="BQ1046" s="2">
        <v>18.7114049666353</v>
      </c>
      <c r="BR1046" s="2">
        <v>18.213690916842101</v>
      </c>
      <c r="BS1046" s="2">
        <v>19.2990232193943</v>
      </c>
      <c r="BT1046" s="2">
        <v>18.018650896256499</v>
      </c>
      <c r="BU1046" s="2">
        <v>18.188119963171498</v>
      </c>
      <c r="BV1046" s="2">
        <v>18.923714694598299</v>
      </c>
      <c r="BW1046" s="2">
        <v>18.3861525716414</v>
      </c>
      <c r="BX1046" s="2">
        <v>18.7988008138379</v>
      </c>
      <c r="BY1046" s="2">
        <v>19.9838152533878</v>
      </c>
      <c r="BZ1046" s="2">
        <v>18.6984346651527</v>
      </c>
      <c r="CA1046" s="2">
        <v>19.6400505751145</v>
      </c>
      <c r="CB1046" s="2">
        <v>19.347824760875302</v>
      </c>
      <c r="CC1046" s="2">
        <v>18.814047320110198</v>
      </c>
      <c r="CD1046" s="2">
        <v>18.521242826935602</v>
      </c>
      <c r="CE1046" s="2">
        <v>19.012280583390702</v>
      </c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</row>
    <row r="1047" spans="1:97">
      <c r="A1047" s="2" t="s">
        <v>9591</v>
      </c>
      <c r="B1047" s="2">
        <v>430.29471000000001</v>
      </c>
      <c r="C1047" s="2">
        <v>7.5039999999999996</v>
      </c>
      <c r="D1047" s="2" t="s">
        <v>84</v>
      </c>
      <c r="E1047" s="2" t="s">
        <v>9592</v>
      </c>
      <c r="F1047" s="2" t="s">
        <v>9593</v>
      </c>
      <c r="G1047" s="2">
        <v>54907</v>
      </c>
      <c r="H1047" s="3" t="str">
        <f>HYPERLINK("https://cloud.oebiotech.com/#/lm/network/54907", "https://cloud.oebiotech.com/#/lm/network/54907")</f>
        <v>https://cloud.oebiotech.com/#/lm/network/54907</v>
      </c>
      <c r="I1047" s="2" t="s">
        <v>9594</v>
      </c>
      <c r="J1047" s="2">
        <v>86694</v>
      </c>
      <c r="K1047" s="2"/>
      <c r="L1047" s="2">
        <v>15379535</v>
      </c>
      <c r="M1047" s="2"/>
      <c r="N1047" s="2"/>
      <c r="O1047" s="2"/>
      <c r="P1047" s="2">
        <v>176033</v>
      </c>
      <c r="Q1047" s="2"/>
      <c r="R1047" s="2"/>
      <c r="S1047" s="2" t="s">
        <v>9595</v>
      </c>
      <c r="T1047" s="2" t="s">
        <v>9596</v>
      </c>
      <c r="U1047" s="2" t="s">
        <v>9597</v>
      </c>
      <c r="V1047" s="2" t="s">
        <v>95</v>
      </c>
      <c r="W1047" s="2" t="s">
        <v>180</v>
      </c>
      <c r="X1047" s="2" t="s">
        <v>3643</v>
      </c>
      <c r="Y1047" s="2" t="s">
        <v>98</v>
      </c>
      <c r="Z1047" s="2" t="s">
        <v>182</v>
      </c>
      <c r="AA1047" s="2" t="s">
        <v>3644</v>
      </c>
      <c r="AB1047" s="2" t="s">
        <v>5118</v>
      </c>
      <c r="AC1047" s="2">
        <v>50.12</v>
      </c>
      <c r="AD1047" s="2">
        <v>96.35</v>
      </c>
      <c r="AE1047" s="2">
        <v>68.83</v>
      </c>
      <c r="AF1047" s="2" t="s">
        <v>9598</v>
      </c>
      <c r="AG1047" s="2" t="s">
        <v>132</v>
      </c>
      <c r="AH1047" s="2" t="s">
        <v>9599</v>
      </c>
      <c r="AI1047" s="2">
        <v>1.1599999999999999</v>
      </c>
      <c r="AJ1047" s="2">
        <v>21.812714688368899</v>
      </c>
      <c r="AK1047" s="2">
        <v>21.912413336246502</v>
      </c>
      <c r="AL1047" s="2">
        <v>21.7712644177263</v>
      </c>
      <c r="AM1047" s="2">
        <v>21.849493212554901</v>
      </c>
      <c r="AN1047" s="2">
        <v>21.775822622128</v>
      </c>
      <c r="AO1047" s="2">
        <v>21.8998853523115</v>
      </c>
      <c r="AP1047" s="2">
        <v>21.577535260156399</v>
      </c>
      <c r="AQ1047" s="2">
        <v>21.7559508119611</v>
      </c>
      <c r="AR1047" s="2">
        <v>21.043820372893801</v>
      </c>
      <c r="AS1047" s="2">
        <v>13.8524056383008</v>
      </c>
      <c r="AT1047" s="2">
        <v>19.172968764468202</v>
      </c>
      <c r="AU1047" s="2">
        <v>20.959727230532799</v>
      </c>
      <c r="AV1047" s="2">
        <v>18.937413535601699</v>
      </c>
      <c r="AW1047" s="2">
        <v>22.774935680138</v>
      </c>
      <c r="AX1047" s="2">
        <v>19.021657778618099</v>
      </c>
      <c r="AY1047" s="2">
        <v>21.1242552693198</v>
      </c>
      <c r="AZ1047" s="2">
        <v>18.044223816047001</v>
      </c>
      <c r="BA1047" s="2">
        <v>14.508895315596501</v>
      </c>
      <c r="BB1047" s="2">
        <v>23.3243750419043</v>
      </c>
      <c r="BC1047" s="2">
        <v>19.158896982761199</v>
      </c>
      <c r="BD1047" s="2">
        <v>18.610905271609901</v>
      </c>
      <c r="BE1047" s="2">
        <v>20.034882552918202</v>
      </c>
      <c r="BF1047" s="2">
        <v>17.2607265257523</v>
      </c>
      <c r="BG1047" s="2">
        <v>14.758391880239801</v>
      </c>
      <c r="BH1047" s="2">
        <v>19.3162844047574</v>
      </c>
      <c r="BI1047" s="2">
        <v>16.5208186147573</v>
      </c>
      <c r="BJ1047" s="2">
        <v>19.245569023197302</v>
      </c>
      <c r="BK1047" s="2">
        <v>21.1152911233651</v>
      </c>
      <c r="BL1047" s="2">
        <v>17.951865740378398</v>
      </c>
      <c r="BM1047" s="2">
        <v>21.341285092798099</v>
      </c>
      <c r="BN1047" s="2">
        <v>20.490399523361901</v>
      </c>
      <c r="BO1047" s="2">
        <v>17.571252246301299</v>
      </c>
      <c r="BP1047" s="2">
        <v>14.270432580402201</v>
      </c>
      <c r="BQ1047" s="2">
        <v>20.689863481747199</v>
      </c>
      <c r="BR1047" s="2">
        <v>19.9655535899889</v>
      </c>
      <c r="BS1047" s="2">
        <v>20.172181055354599</v>
      </c>
      <c r="BT1047" s="2">
        <v>18.345973149318599</v>
      </c>
      <c r="BU1047" s="2">
        <v>16.815439212172599</v>
      </c>
      <c r="BV1047" s="2">
        <v>22.780504931465799</v>
      </c>
      <c r="BW1047" s="2">
        <v>17.928656582190701</v>
      </c>
      <c r="BX1047" s="2">
        <v>18.797212608413599</v>
      </c>
      <c r="BY1047" s="2">
        <v>18.8715488081668</v>
      </c>
      <c r="BZ1047" s="2">
        <v>20.0314949737262</v>
      </c>
      <c r="CA1047" s="2">
        <v>19.3517127156641</v>
      </c>
      <c r="CB1047" s="2">
        <v>20.089739392586001</v>
      </c>
      <c r="CC1047" s="2">
        <v>17.515298905642599</v>
      </c>
      <c r="CD1047" s="2">
        <v>19.663627139514698</v>
      </c>
      <c r="CE1047" s="2">
        <v>17.5307530385085</v>
      </c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</row>
    <row r="1048" spans="1:97">
      <c r="A1048" s="2" t="s">
        <v>9600</v>
      </c>
      <c r="B1048" s="2">
        <v>249.07900000000001</v>
      </c>
      <c r="C1048" s="2">
        <v>5.23</v>
      </c>
      <c r="D1048" s="2" t="s">
        <v>84</v>
      </c>
      <c r="E1048" s="2" t="s">
        <v>9601</v>
      </c>
      <c r="F1048" s="2" t="s">
        <v>9602</v>
      </c>
      <c r="G1048" s="2">
        <v>53682</v>
      </c>
      <c r="H1048" s="3" t="str">
        <f>HYPERLINK("https://cloud.oebiotech.com/#/lm/network/53682", "https://cloud.oebiotech.com/#/lm/network/53682")</f>
        <v>https://cloud.oebiotech.com/#/lm/network/53682</v>
      </c>
      <c r="I1048" s="2" t="s">
        <v>9603</v>
      </c>
      <c r="J1048" s="2">
        <v>43269</v>
      </c>
      <c r="K1048" s="2"/>
      <c r="L1048" s="2">
        <v>4436</v>
      </c>
      <c r="M1048" s="2"/>
      <c r="N1048" s="2"/>
      <c r="O1048" s="2"/>
      <c r="P1048" s="2">
        <v>142468</v>
      </c>
      <c r="Q1048" s="2"/>
      <c r="R1048" s="2"/>
      <c r="S1048" s="2" t="s">
        <v>9604</v>
      </c>
      <c r="T1048" s="2" t="s">
        <v>9605</v>
      </c>
      <c r="U1048" s="2" t="s">
        <v>9606</v>
      </c>
      <c r="V1048" s="2" t="s">
        <v>385</v>
      </c>
      <c r="W1048" s="2" t="s">
        <v>4381</v>
      </c>
      <c r="X1048" s="2" t="s">
        <v>375</v>
      </c>
      <c r="Y1048" s="2" t="s">
        <v>388</v>
      </c>
      <c r="Z1048" s="2" t="s">
        <v>4382</v>
      </c>
      <c r="AA1048" s="2"/>
      <c r="AB1048" s="2" t="s">
        <v>3086</v>
      </c>
      <c r="AC1048" s="2">
        <v>50.12</v>
      </c>
      <c r="AD1048" s="2">
        <v>74.260000000000005</v>
      </c>
      <c r="AE1048" s="2">
        <v>0</v>
      </c>
      <c r="AF1048" s="2" t="s">
        <v>5614</v>
      </c>
      <c r="AG1048" s="2" t="s">
        <v>3544</v>
      </c>
      <c r="AH1048" s="2" t="s">
        <v>9607</v>
      </c>
      <c r="AI1048" s="2">
        <v>-0.4</v>
      </c>
      <c r="AJ1048" s="2">
        <v>18.7408715451121</v>
      </c>
      <c r="AK1048" s="2">
        <v>19.658663230670101</v>
      </c>
      <c r="AL1048" s="2">
        <v>19.399208673251302</v>
      </c>
      <c r="AM1048" s="2">
        <v>19.3555530793796</v>
      </c>
      <c r="AN1048" s="2">
        <v>19.282982807402199</v>
      </c>
      <c r="AO1048" s="2">
        <v>19.302923260111299</v>
      </c>
      <c r="AP1048" s="2">
        <v>19.0866902356412</v>
      </c>
      <c r="AQ1048" s="2">
        <v>19.107001039378201</v>
      </c>
      <c r="AR1048" s="2">
        <v>18.0994785980301</v>
      </c>
      <c r="AS1048" s="2">
        <v>17.5876694888521</v>
      </c>
      <c r="AT1048" s="2">
        <v>17.430258480448401</v>
      </c>
      <c r="AU1048" s="2">
        <v>18.4469326415776</v>
      </c>
      <c r="AV1048" s="2">
        <v>17.142248786351001</v>
      </c>
      <c r="AW1048" s="2">
        <v>16.481593069900502</v>
      </c>
      <c r="AX1048" s="2">
        <v>17.271771763413199</v>
      </c>
      <c r="AY1048" s="2">
        <v>19.980088536154199</v>
      </c>
      <c r="AZ1048" s="2">
        <v>17.860132004403901</v>
      </c>
      <c r="BA1048" s="2">
        <v>18.446765001805101</v>
      </c>
      <c r="BB1048" s="2">
        <v>18.442567826078498</v>
      </c>
      <c r="BC1048" s="2">
        <v>20.469951439954201</v>
      </c>
      <c r="BD1048" s="2">
        <v>20.650007452796</v>
      </c>
      <c r="BE1048" s="2">
        <v>18.5611912316465</v>
      </c>
      <c r="BF1048" s="2">
        <v>20.3437499062324</v>
      </c>
      <c r="BG1048" s="2">
        <v>19.2505401516039</v>
      </c>
      <c r="BH1048" s="2">
        <v>19.759103090812498</v>
      </c>
      <c r="BI1048" s="2">
        <v>18.985362059283801</v>
      </c>
      <c r="BJ1048" s="2">
        <v>19.683262246406901</v>
      </c>
      <c r="BK1048" s="2">
        <v>18.798217816119699</v>
      </c>
      <c r="BL1048" s="2">
        <v>17.631863531280501</v>
      </c>
      <c r="BM1048" s="2">
        <v>19.671826684702701</v>
      </c>
      <c r="BN1048" s="2">
        <v>20.420355279113899</v>
      </c>
      <c r="BO1048" s="2">
        <v>18.7741483859675</v>
      </c>
      <c r="BP1048" s="2">
        <v>18.7972250230473</v>
      </c>
      <c r="BQ1048" s="2">
        <v>18.0349661921327</v>
      </c>
      <c r="BR1048" s="2">
        <v>20.629637995446899</v>
      </c>
      <c r="BS1048" s="2">
        <v>19.6404828199083</v>
      </c>
      <c r="BT1048" s="2">
        <v>19.035098516977701</v>
      </c>
      <c r="BU1048" s="2">
        <v>17.841191156910199</v>
      </c>
      <c r="BV1048" s="2">
        <v>9.6233145402724691</v>
      </c>
      <c r="BW1048" s="2">
        <v>9.6233145402724691</v>
      </c>
      <c r="BX1048" s="2">
        <v>18.4756027472962</v>
      </c>
      <c r="BY1048" s="2">
        <v>18.839039973207601</v>
      </c>
      <c r="BZ1048" s="2">
        <v>19.0337514702254</v>
      </c>
      <c r="CA1048" s="2">
        <v>9.6233145402724691</v>
      </c>
      <c r="CB1048" s="2">
        <v>9.6233145402724691</v>
      </c>
      <c r="CC1048" s="2">
        <v>17.781052608631601</v>
      </c>
      <c r="CD1048" s="2">
        <v>18.385799684028299</v>
      </c>
      <c r="CE1048" s="2">
        <v>18.209956096544499</v>
      </c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</row>
    <row r="1049" spans="1:97">
      <c r="A1049" s="2" t="s">
        <v>9608</v>
      </c>
      <c r="B1049" s="2">
        <v>305.20648999999997</v>
      </c>
      <c r="C1049" s="2">
        <v>0.748</v>
      </c>
      <c r="D1049" s="2" t="s">
        <v>84</v>
      </c>
      <c r="E1049" s="2" t="s">
        <v>9609</v>
      </c>
      <c r="F1049" s="2" t="s">
        <v>9610</v>
      </c>
      <c r="G1049" s="2">
        <v>198215</v>
      </c>
      <c r="H1049" s="3" t="str">
        <f>HYPERLINK("https://cloud.oebiotech.com/#/lm/network/198215", "https://cloud.oebiotech.com/#/lm/network/198215")</f>
        <v>https://cloud.oebiotech.com/#/lm/network/198215</v>
      </c>
      <c r="I1049" s="2" t="s">
        <v>9611</v>
      </c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 t="s">
        <v>9612</v>
      </c>
      <c r="U1049" s="2" t="s">
        <v>9613</v>
      </c>
      <c r="V1049" s="2" t="s">
        <v>95</v>
      </c>
      <c r="W1049" s="2" t="s">
        <v>96</v>
      </c>
      <c r="X1049" s="2" t="s">
        <v>97</v>
      </c>
      <c r="Y1049" s="2" t="s">
        <v>98</v>
      </c>
      <c r="Z1049" s="2" t="s">
        <v>99</v>
      </c>
      <c r="AA1049" s="2" t="s">
        <v>100</v>
      </c>
      <c r="AB1049" s="2" t="s">
        <v>5118</v>
      </c>
      <c r="AC1049" s="2">
        <v>50.11</v>
      </c>
      <c r="AD1049" s="2">
        <v>90.5</v>
      </c>
      <c r="AE1049" s="2">
        <v>81.11</v>
      </c>
      <c r="AF1049" s="2" t="s">
        <v>9614</v>
      </c>
      <c r="AG1049" s="2" t="s">
        <v>132</v>
      </c>
      <c r="AH1049" s="2" t="s">
        <v>9615</v>
      </c>
      <c r="AI1049" s="2">
        <v>1.97</v>
      </c>
      <c r="AJ1049" s="2">
        <v>21.605918035975801</v>
      </c>
      <c r="AK1049" s="2">
        <v>21.700352405463601</v>
      </c>
      <c r="AL1049" s="2">
        <v>21.429228934568702</v>
      </c>
      <c r="AM1049" s="2">
        <v>21.773185811779399</v>
      </c>
      <c r="AN1049" s="2">
        <v>21.222776823086601</v>
      </c>
      <c r="AO1049" s="2">
        <v>21.771067738709</v>
      </c>
      <c r="AP1049" s="2">
        <v>21.555574666530099</v>
      </c>
      <c r="AQ1049" s="2">
        <v>21.507973366500998</v>
      </c>
      <c r="AR1049" s="2">
        <v>22.5779017033237</v>
      </c>
      <c r="AS1049" s="2">
        <v>9.6233145402724691</v>
      </c>
      <c r="AT1049" s="2">
        <v>9.6233145402724691</v>
      </c>
      <c r="AU1049" s="2">
        <v>21.2024842875079</v>
      </c>
      <c r="AV1049" s="2">
        <v>21.207746812366601</v>
      </c>
      <c r="AW1049" s="2">
        <v>16.6783283428495</v>
      </c>
      <c r="AX1049" s="2">
        <v>20.9122290202159</v>
      </c>
      <c r="AY1049" s="2">
        <v>9.6233145402724691</v>
      </c>
      <c r="AZ1049" s="2">
        <v>19.088889819534501</v>
      </c>
      <c r="BA1049" s="2">
        <v>9.6233145402724691</v>
      </c>
      <c r="BB1049" s="2">
        <v>20.521503022316502</v>
      </c>
      <c r="BC1049" s="2">
        <v>9.6233145402724691</v>
      </c>
      <c r="BD1049" s="2">
        <v>20.441053405161099</v>
      </c>
      <c r="BE1049" s="2">
        <v>17.092951068474701</v>
      </c>
      <c r="BF1049" s="2">
        <v>19.389550721448799</v>
      </c>
      <c r="BG1049" s="2">
        <v>22.774740126264401</v>
      </c>
      <c r="BH1049" s="2">
        <v>17.285134145149598</v>
      </c>
      <c r="BI1049" s="2">
        <v>20.980577729158998</v>
      </c>
      <c r="BJ1049" s="2">
        <v>17.832030154650099</v>
      </c>
      <c r="BK1049" s="2">
        <v>19.6628198940667</v>
      </c>
      <c r="BL1049" s="2">
        <v>22.309319100620002</v>
      </c>
      <c r="BM1049" s="2">
        <v>20.868333891379599</v>
      </c>
      <c r="BN1049" s="2">
        <v>9.6233145402724691</v>
      </c>
      <c r="BO1049" s="2">
        <v>22.198353665075</v>
      </c>
      <c r="BP1049" s="2">
        <v>23.208809908128298</v>
      </c>
      <c r="BQ1049" s="2">
        <v>19.836147647864902</v>
      </c>
      <c r="BR1049" s="2">
        <v>16.4845359375424</v>
      </c>
      <c r="BS1049" s="2">
        <v>21.6406091956603</v>
      </c>
      <c r="BT1049" s="2">
        <v>20.8199647465952</v>
      </c>
      <c r="BU1049" s="2">
        <v>18.062745005789399</v>
      </c>
      <c r="BV1049" s="2">
        <v>20.823982064187799</v>
      </c>
      <c r="BW1049" s="2">
        <v>21.424242396168101</v>
      </c>
      <c r="BX1049" s="2">
        <v>19.789944948003502</v>
      </c>
      <c r="BY1049" s="2">
        <v>21.791117460940299</v>
      </c>
      <c r="BZ1049" s="2">
        <v>9.6233145402724691</v>
      </c>
      <c r="CA1049" s="2">
        <v>21.109368313947598</v>
      </c>
      <c r="CB1049" s="2">
        <v>19.836142191502798</v>
      </c>
      <c r="CC1049" s="2">
        <v>22.133492292123499</v>
      </c>
      <c r="CD1049" s="2">
        <v>22.3089535239721</v>
      </c>
      <c r="CE1049" s="2">
        <v>19.306127101908</v>
      </c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</row>
    <row r="1050" spans="1:97">
      <c r="A1050" s="2" t="s">
        <v>9616</v>
      </c>
      <c r="B1050" s="2">
        <v>413.19972999999999</v>
      </c>
      <c r="C1050" s="2">
        <v>6.556</v>
      </c>
      <c r="D1050" s="2" t="s">
        <v>146</v>
      </c>
      <c r="E1050" s="2" t="s">
        <v>9617</v>
      </c>
      <c r="F1050" s="2" t="s">
        <v>9618</v>
      </c>
      <c r="G1050" s="2">
        <v>44717</v>
      </c>
      <c r="H1050" s="3" t="str">
        <f>HYPERLINK("https://cloud.oebiotech.com/#/lm/network/44717", "https://cloud.oebiotech.com/#/lm/network/44717")</f>
        <v>https://cloud.oebiotech.com/#/lm/network/44717</v>
      </c>
      <c r="I1050" s="2"/>
      <c r="J1050" s="2"/>
      <c r="K1050" s="2" t="s">
        <v>9619</v>
      </c>
      <c r="L1050" s="2">
        <v>11144140</v>
      </c>
      <c r="M1050" s="2"/>
      <c r="N1050" s="2"/>
      <c r="O1050" s="2"/>
      <c r="P1050" s="2"/>
      <c r="Q1050" s="2"/>
      <c r="R1050" s="2"/>
      <c r="S1050" s="2"/>
      <c r="T1050" s="2" t="s">
        <v>9620</v>
      </c>
      <c r="U1050" s="2" t="s">
        <v>9621</v>
      </c>
      <c r="V1050" s="2" t="s">
        <v>95</v>
      </c>
      <c r="W1050" s="2" t="s">
        <v>152</v>
      </c>
      <c r="X1050" s="2" t="s">
        <v>9622</v>
      </c>
      <c r="Y1050" s="2" t="s">
        <v>98</v>
      </c>
      <c r="Z1050" s="2" t="s">
        <v>154</v>
      </c>
      <c r="AA1050" s="2" t="s">
        <v>9623</v>
      </c>
      <c r="AB1050" s="2" t="s">
        <v>101</v>
      </c>
      <c r="AC1050" s="2">
        <v>50.1</v>
      </c>
      <c r="AD1050" s="2">
        <v>95.21</v>
      </c>
      <c r="AE1050" s="2">
        <v>49.4</v>
      </c>
      <c r="AF1050" s="2" t="s">
        <v>9624</v>
      </c>
      <c r="AG1050" s="2" t="s">
        <v>194</v>
      </c>
      <c r="AH1050" s="2" t="s">
        <v>185</v>
      </c>
      <c r="AI1050" s="2">
        <v>-6.53</v>
      </c>
      <c r="AJ1050" s="2">
        <v>22.322906138195201</v>
      </c>
      <c r="AK1050" s="2">
        <v>22.212280022779801</v>
      </c>
      <c r="AL1050" s="2">
        <v>22.0926602738135</v>
      </c>
      <c r="AM1050" s="2">
        <v>22.245245226220899</v>
      </c>
      <c r="AN1050" s="2">
        <v>22.224879693441402</v>
      </c>
      <c r="AO1050" s="2">
        <v>22.148602485416401</v>
      </c>
      <c r="AP1050" s="2">
        <v>22.274740350247601</v>
      </c>
      <c r="AQ1050" s="2">
        <v>22.1766658326715</v>
      </c>
      <c r="AR1050" s="2">
        <v>20.796179927591499</v>
      </c>
      <c r="AS1050" s="2">
        <v>20.356350765752001</v>
      </c>
      <c r="AT1050" s="2">
        <v>22.251261257582399</v>
      </c>
      <c r="AU1050" s="2">
        <v>21.037793024826101</v>
      </c>
      <c r="AV1050" s="2">
        <v>22.066738083005198</v>
      </c>
      <c r="AW1050" s="2">
        <v>22.5218827108237</v>
      </c>
      <c r="AX1050" s="2">
        <v>21.5952146952486</v>
      </c>
      <c r="AY1050" s="2">
        <v>22.729512486666898</v>
      </c>
      <c r="AZ1050" s="2">
        <v>22.024404363199501</v>
      </c>
      <c r="BA1050" s="2">
        <v>22.59698275777</v>
      </c>
      <c r="BB1050" s="2">
        <v>21.967790626598902</v>
      </c>
      <c r="BC1050" s="2">
        <v>23.784874411459999</v>
      </c>
      <c r="BD1050" s="2">
        <v>21.105430393945099</v>
      </c>
      <c r="BE1050" s="2">
        <v>23.192265836237901</v>
      </c>
      <c r="BF1050" s="2">
        <v>20.981901772440199</v>
      </c>
      <c r="BG1050" s="2">
        <v>22.4066997423208</v>
      </c>
      <c r="BH1050" s="2">
        <v>21.336728084845902</v>
      </c>
      <c r="BI1050" s="2">
        <v>19.169702498355601</v>
      </c>
      <c r="BJ1050" s="2">
        <v>22.365164289186399</v>
      </c>
      <c r="BK1050" s="2">
        <v>22.8517856734045</v>
      </c>
      <c r="BL1050" s="2">
        <v>22.4846749294985</v>
      </c>
      <c r="BM1050" s="2">
        <v>21.3071637184865</v>
      </c>
      <c r="BN1050" s="2">
        <v>21.5499997625163</v>
      </c>
      <c r="BO1050" s="2">
        <v>21.613873828585799</v>
      </c>
      <c r="BP1050" s="2">
        <v>22.346577123341699</v>
      </c>
      <c r="BQ1050" s="2">
        <v>21.603169427297399</v>
      </c>
      <c r="BR1050" s="2">
        <v>22.271746323839199</v>
      </c>
      <c r="BS1050" s="2">
        <v>21.891098857472901</v>
      </c>
      <c r="BT1050" s="2">
        <v>21.221432513564199</v>
      </c>
      <c r="BU1050" s="2">
        <v>22.542525298747599</v>
      </c>
      <c r="BV1050" s="2">
        <v>20.7769564648105</v>
      </c>
      <c r="BW1050" s="2">
        <v>22.607168265170699</v>
      </c>
      <c r="BX1050" s="2">
        <v>21.703138989110599</v>
      </c>
      <c r="BY1050" s="2">
        <v>23.3660608189637</v>
      </c>
      <c r="BZ1050" s="2">
        <v>21.960505469945701</v>
      </c>
      <c r="CA1050" s="2">
        <v>19.640164903156101</v>
      </c>
      <c r="CB1050" s="2">
        <v>22.622344421073802</v>
      </c>
      <c r="CC1050" s="2">
        <v>20.282782177063801</v>
      </c>
      <c r="CD1050" s="2">
        <v>21.744096252033401</v>
      </c>
      <c r="CE1050" s="2">
        <v>23.203272481230101</v>
      </c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</row>
    <row r="1051" spans="1:97">
      <c r="A1051" s="2" t="s">
        <v>9625</v>
      </c>
      <c r="B1051" s="2">
        <v>217.03470999999999</v>
      </c>
      <c r="C1051" s="2">
        <v>0.71099999999999997</v>
      </c>
      <c r="D1051" s="2" t="s">
        <v>146</v>
      </c>
      <c r="E1051" s="2" t="s">
        <v>9626</v>
      </c>
      <c r="F1051" s="2" t="s">
        <v>9627</v>
      </c>
      <c r="G1051" s="2">
        <v>560615</v>
      </c>
      <c r="H1051" s="3" t="str">
        <f>HYPERLINK("https://cloud.oebiotech.com/#/lm/network/560615", "https://cloud.oebiotech.com/#/lm/network/560615")</f>
        <v>https://cloud.oebiotech.com/#/lm/network/560615</v>
      </c>
      <c r="I1051" s="2"/>
      <c r="J1051" s="2"/>
      <c r="K1051" s="2"/>
      <c r="L1051" s="2">
        <v>439774</v>
      </c>
      <c r="M1051" s="2"/>
      <c r="N1051" s="2"/>
      <c r="O1051" s="2"/>
      <c r="P1051" s="2"/>
      <c r="Q1051" s="2"/>
      <c r="R1051" s="2"/>
      <c r="S1051" s="2" t="s">
        <v>9628</v>
      </c>
      <c r="T1051" s="2" t="s">
        <v>9629</v>
      </c>
      <c r="U1051" s="2" t="s">
        <v>9630</v>
      </c>
      <c r="V1051" s="2" t="s">
        <v>375</v>
      </c>
      <c r="W1051" s="2" t="s">
        <v>375</v>
      </c>
      <c r="X1051" s="2" t="s">
        <v>375</v>
      </c>
      <c r="Y1051" s="2"/>
      <c r="Z1051" s="2"/>
      <c r="AA1051" s="2"/>
      <c r="AB1051" s="2" t="s">
        <v>3086</v>
      </c>
      <c r="AC1051" s="2">
        <v>50.06</v>
      </c>
      <c r="AD1051" s="2">
        <v>94.8</v>
      </c>
      <c r="AE1051" s="2">
        <v>0</v>
      </c>
      <c r="AF1051" s="2" t="s">
        <v>5614</v>
      </c>
      <c r="AG1051" s="2" t="s">
        <v>157</v>
      </c>
      <c r="AH1051" s="2" t="s">
        <v>9631</v>
      </c>
      <c r="AI1051" s="2">
        <v>3.23</v>
      </c>
      <c r="AJ1051" s="2">
        <v>24.449485325580099</v>
      </c>
      <c r="AK1051" s="2">
        <v>24.539848574012801</v>
      </c>
      <c r="AL1051" s="2">
        <v>24.417045994271302</v>
      </c>
      <c r="AM1051" s="2">
        <v>24.617347241789101</v>
      </c>
      <c r="AN1051" s="2">
        <v>24.563130545402299</v>
      </c>
      <c r="AO1051" s="2">
        <v>24.138792551804102</v>
      </c>
      <c r="AP1051" s="2">
        <v>24.4356545794111</v>
      </c>
      <c r="AQ1051" s="2">
        <v>23.976002927072098</v>
      </c>
      <c r="AR1051" s="2">
        <v>23.8665929960226</v>
      </c>
      <c r="AS1051" s="2">
        <v>23.383720670896501</v>
      </c>
      <c r="AT1051" s="2">
        <v>23.9392662592081</v>
      </c>
      <c r="AU1051" s="2">
        <v>24.0548818921547</v>
      </c>
      <c r="AV1051" s="2">
        <v>24.3034681374535</v>
      </c>
      <c r="AW1051" s="2">
        <v>23.654040054167101</v>
      </c>
      <c r="AX1051" s="2">
        <v>23.707047100942699</v>
      </c>
      <c r="AY1051" s="2">
        <v>24.232970716730101</v>
      </c>
      <c r="AZ1051" s="2">
        <v>24.2569746625901</v>
      </c>
      <c r="BA1051" s="2">
        <v>24.360624644493502</v>
      </c>
      <c r="BB1051" s="2">
        <v>24.0621572130391</v>
      </c>
      <c r="BC1051" s="2">
        <v>23.808548505688599</v>
      </c>
      <c r="BD1051" s="2">
        <v>24.285871371922099</v>
      </c>
      <c r="BE1051" s="2">
        <v>23.935961839873901</v>
      </c>
      <c r="BF1051" s="2">
        <v>24.424132157123001</v>
      </c>
      <c r="BG1051" s="2">
        <v>24.056487179310601</v>
      </c>
      <c r="BH1051" s="2">
        <v>24.209369319628699</v>
      </c>
      <c r="BI1051" s="2">
        <v>23.772768968459399</v>
      </c>
      <c r="BJ1051" s="2">
        <v>24.295292193064501</v>
      </c>
      <c r="BK1051" s="2">
        <v>24.8559113304776</v>
      </c>
      <c r="BL1051" s="2">
        <v>24.047428890984001</v>
      </c>
      <c r="BM1051" s="2">
        <v>23.660761559755301</v>
      </c>
      <c r="BN1051" s="2">
        <v>24.1524816583761</v>
      </c>
      <c r="BO1051" s="2">
        <v>24.5420455178824</v>
      </c>
      <c r="BP1051" s="2">
        <v>24.495520660425001</v>
      </c>
      <c r="BQ1051" s="2">
        <v>24.222589853982999</v>
      </c>
      <c r="BR1051" s="2">
        <v>23.870413473636201</v>
      </c>
      <c r="BS1051" s="2">
        <v>24.835873697392199</v>
      </c>
      <c r="BT1051" s="2">
        <v>24.023368237042</v>
      </c>
      <c r="BU1051" s="2">
        <v>23.598558961098298</v>
      </c>
      <c r="BV1051" s="2">
        <v>24.0926502274021</v>
      </c>
      <c r="BW1051" s="2">
        <v>23.941500701931002</v>
      </c>
      <c r="BX1051" s="2">
        <v>23.892209222890401</v>
      </c>
      <c r="BY1051" s="2">
        <v>24.289302184445301</v>
      </c>
      <c r="BZ1051" s="2">
        <v>24.326821629531999</v>
      </c>
      <c r="CA1051" s="2">
        <v>25.347017188701098</v>
      </c>
      <c r="CB1051" s="2">
        <v>24.499260900085201</v>
      </c>
      <c r="CC1051" s="2">
        <v>24.4686728061106</v>
      </c>
      <c r="CD1051" s="2">
        <v>24.399788695249899</v>
      </c>
      <c r="CE1051" s="2">
        <v>24.725267355554202</v>
      </c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</row>
    <row r="1052" spans="1:97">
      <c r="A1052" s="2" t="s">
        <v>9632</v>
      </c>
      <c r="B1052" s="2">
        <v>414.98712999999998</v>
      </c>
      <c r="C1052" s="2">
        <v>0.71299999999999997</v>
      </c>
      <c r="D1052" s="2" t="s">
        <v>146</v>
      </c>
      <c r="E1052" s="2" t="s">
        <v>9633</v>
      </c>
      <c r="F1052" s="2" t="s">
        <v>9634</v>
      </c>
      <c r="G1052" s="2">
        <v>82319</v>
      </c>
      <c r="H1052" s="3" t="str">
        <f>HYPERLINK("https://cloud.oebiotech.com/#/lm/network/82319", "https://cloud.oebiotech.com/#/lm/network/82319")</f>
        <v>https://cloud.oebiotech.com/#/lm/network/82319</v>
      </c>
      <c r="I1052" s="2" t="s">
        <v>9635</v>
      </c>
      <c r="J1052" s="2">
        <v>71265</v>
      </c>
      <c r="K1052" s="2"/>
      <c r="L1052" s="2">
        <v>3081384</v>
      </c>
      <c r="M1052" s="2" t="s">
        <v>9636</v>
      </c>
      <c r="N1052" s="2" t="s">
        <v>9637</v>
      </c>
      <c r="O1052" s="2" t="s">
        <v>9638</v>
      </c>
      <c r="P1052" s="2"/>
      <c r="Q1052" s="2"/>
      <c r="R1052" s="2"/>
      <c r="S1052" s="2" t="s">
        <v>9639</v>
      </c>
      <c r="T1052" s="2" t="s">
        <v>9640</v>
      </c>
      <c r="U1052" s="2" t="s">
        <v>9641</v>
      </c>
      <c r="V1052" s="2" t="s">
        <v>818</v>
      </c>
      <c r="W1052" s="2" t="s">
        <v>9642</v>
      </c>
      <c r="X1052" s="2" t="s">
        <v>9643</v>
      </c>
      <c r="Y1052" s="2" t="s">
        <v>820</v>
      </c>
      <c r="Z1052" s="2" t="s">
        <v>9644</v>
      </c>
      <c r="AA1052" s="2" t="s">
        <v>9645</v>
      </c>
      <c r="AB1052" s="2" t="s">
        <v>5118</v>
      </c>
      <c r="AC1052" s="2">
        <v>50.05</v>
      </c>
      <c r="AD1052" s="2">
        <v>87.75</v>
      </c>
      <c r="AE1052" s="2">
        <v>53.68</v>
      </c>
      <c r="AF1052" s="2" t="s">
        <v>9646</v>
      </c>
      <c r="AG1052" s="2" t="s">
        <v>4062</v>
      </c>
      <c r="AH1052" s="2" t="s">
        <v>9647</v>
      </c>
      <c r="AI1052" s="2">
        <v>3.61</v>
      </c>
      <c r="AJ1052" s="2">
        <v>23.729253853478799</v>
      </c>
      <c r="AK1052" s="2">
        <v>23.9536405453828</v>
      </c>
      <c r="AL1052" s="2">
        <v>23.8664890067102</v>
      </c>
      <c r="AM1052" s="2">
        <v>23.442836803513899</v>
      </c>
      <c r="AN1052" s="2">
        <v>23.562152898740901</v>
      </c>
      <c r="AO1052" s="2">
        <v>23.572999529645301</v>
      </c>
      <c r="AP1052" s="2">
        <v>23.766935896329201</v>
      </c>
      <c r="AQ1052" s="2">
        <v>23.746531042288002</v>
      </c>
      <c r="AR1052" s="2">
        <v>23.530501754969599</v>
      </c>
      <c r="AS1052" s="2">
        <v>23.322534469071801</v>
      </c>
      <c r="AT1052" s="2">
        <v>23.362538104971399</v>
      </c>
      <c r="AU1052" s="2">
        <v>23.214458033660701</v>
      </c>
      <c r="AV1052" s="2">
        <v>23.877272806622699</v>
      </c>
      <c r="AW1052" s="2">
        <v>23.567383511900001</v>
      </c>
      <c r="AX1052" s="2">
        <v>23.521515665912801</v>
      </c>
      <c r="AY1052" s="2">
        <v>23.639768100763099</v>
      </c>
      <c r="AZ1052" s="2">
        <v>23.4474809383007</v>
      </c>
      <c r="BA1052" s="2">
        <v>23.810172483929001</v>
      </c>
      <c r="BB1052" s="2">
        <v>23.2774764075305</v>
      </c>
      <c r="BC1052" s="2">
        <v>23.489070093046099</v>
      </c>
      <c r="BD1052" s="2">
        <v>23.666524441588201</v>
      </c>
      <c r="BE1052" s="2">
        <v>23.568112671608201</v>
      </c>
      <c r="BF1052" s="2">
        <v>23.310138904909699</v>
      </c>
      <c r="BG1052" s="2">
        <v>23.7065991974738</v>
      </c>
      <c r="BH1052" s="2">
        <v>23.629691570877299</v>
      </c>
      <c r="BI1052" s="2">
        <v>23.592264535026899</v>
      </c>
      <c r="BJ1052" s="2">
        <v>23.590815372128301</v>
      </c>
      <c r="BK1052" s="2">
        <v>23.499581410460401</v>
      </c>
      <c r="BL1052" s="2">
        <v>23.768441588388299</v>
      </c>
      <c r="BM1052" s="2">
        <v>23.185802655554699</v>
      </c>
      <c r="BN1052" s="2">
        <v>23.8803130232337</v>
      </c>
      <c r="BO1052" s="2">
        <v>24.045477938309901</v>
      </c>
      <c r="BP1052" s="2">
        <v>23.937462085450299</v>
      </c>
      <c r="BQ1052" s="2">
        <v>23.4609021648584</v>
      </c>
      <c r="BR1052" s="2">
        <v>23.576438365953901</v>
      </c>
      <c r="BS1052" s="2">
        <v>23.8501917851328</v>
      </c>
      <c r="BT1052" s="2">
        <v>23.380180223182901</v>
      </c>
      <c r="BU1052" s="2">
        <v>23.5470576433956</v>
      </c>
      <c r="BV1052" s="2">
        <v>23.664179534169001</v>
      </c>
      <c r="BW1052" s="2">
        <v>23.008331330709101</v>
      </c>
      <c r="BX1052" s="2">
        <v>23.429326101461701</v>
      </c>
      <c r="BY1052" s="2">
        <v>24.1129415030316</v>
      </c>
      <c r="BZ1052" s="2">
        <v>23.3830180006278</v>
      </c>
      <c r="CA1052" s="2">
        <v>23.347741173967499</v>
      </c>
      <c r="CB1052" s="2">
        <v>23.599543854275801</v>
      </c>
      <c r="CC1052" s="2">
        <v>23.730803049732099</v>
      </c>
      <c r="CD1052" s="2">
        <v>23.94573428811</v>
      </c>
      <c r="CE1052" s="2">
        <v>23.823872284772101</v>
      </c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</row>
    <row r="1053" spans="1:97">
      <c r="A1053" s="2" t="s">
        <v>9648</v>
      </c>
      <c r="B1053" s="2">
        <v>301.14064999999999</v>
      </c>
      <c r="C1053" s="2">
        <v>7.4630000000000001</v>
      </c>
      <c r="D1053" s="2" t="s">
        <v>84</v>
      </c>
      <c r="E1053" s="2" t="s">
        <v>9649</v>
      </c>
      <c r="F1053" s="2" t="s">
        <v>9650</v>
      </c>
      <c r="G1053" s="2">
        <v>35607</v>
      </c>
      <c r="H1053" s="3" t="str">
        <f>HYPERLINK("https://cloud.oebiotech.com/#/lm/network/35607", "https://cloud.oebiotech.com/#/lm/network/35607")</f>
        <v>https://cloud.oebiotech.com/#/lm/network/35607</v>
      </c>
      <c r="I1053" s="2"/>
      <c r="J1053" s="2">
        <v>53414</v>
      </c>
      <c r="K1053" s="2" t="s">
        <v>9651</v>
      </c>
      <c r="L1053" s="2">
        <v>42608142</v>
      </c>
      <c r="M1053" s="2"/>
      <c r="N1053" s="2"/>
      <c r="O1053" s="2"/>
      <c r="P1053" s="2"/>
      <c r="Q1053" s="2"/>
      <c r="R1053" s="2"/>
      <c r="S1053" s="2"/>
      <c r="T1053" s="2" t="s">
        <v>9652</v>
      </c>
      <c r="U1053" s="2" t="s">
        <v>9653</v>
      </c>
      <c r="V1053" s="2" t="s">
        <v>385</v>
      </c>
      <c r="W1053" s="2" t="s">
        <v>9654</v>
      </c>
      <c r="X1053" s="2" t="s">
        <v>375</v>
      </c>
      <c r="Y1053" s="2" t="s">
        <v>388</v>
      </c>
      <c r="Z1053" s="2" t="s">
        <v>9655</v>
      </c>
      <c r="AA1053" s="2"/>
      <c r="AB1053" s="2" t="s">
        <v>3086</v>
      </c>
      <c r="AC1053" s="2">
        <v>50.03</v>
      </c>
      <c r="AD1053" s="2">
        <v>71.47</v>
      </c>
      <c r="AE1053" s="2">
        <v>0</v>
      </c>
      <c r="AF1053" s="2" t="s">
        <v>9656</v>
      </c>
      <c r="AG1053" s="2" t="s">
        <v>1578</v>
      </c>
      <c r="AH1053" s="2" t="s">
        <v>4808</v>
      </c>
      <c r="AI1053" s="2">
        <v>1.33</v>
      </c>
      <c r="AJ1053" s="2">
        <v>25.1231373427017</v>
      </c>
      <c r="AK1053" s="2">
        <v>24.588723212353901</v>
      </c>
      <c r="AL1053" s="2">
        <v>25.130390933323</v>
      </c>
      <c r="AM1053" s="2">
        <v>25.061757227878601</v>
      </c>
      <c r="AN1053" s="2">
        <v>25.015928401499799</v>
      </c>
      <c r="AO1053" s="2">
        <v>25.1060227447758</v>
      </c>
      <c r="AP1053" s="2">
        <v>24.043179828724799</v>
      </c>
      <c r="AQ1053" s="2">
        <v>24.372745508716498</v>
      </c>
      <c r="AR1053" s="2">
        <v>24.761636018509499</v>
      </c>
      <c r="AS1053" s="2">
        <v>25.144296498254398</v>
      </c>
      <c r="AT1053" s="2">
        <v>24.4341603704252</v>
      </c>
      <c r="AU1053" s="2">
        <v>24.2042806293775</v>
      </c>
      <c r="AV1053" s="2">
        <v>24.976266168320599</v>
      </c>
      <c r="AW1053" s="2">
        <v>24.301846638994601</v>
      </c>
      <c r="AX1053" s="2">
        <v>24.5282775896979</v>
      </c>
      <c r="AY1053" s="2">
        <v>25.301608642636602</v>
      </c>
      <c r="AZ1053" s="2">
        <v>24.829125240622901</v>
      </c>
      <c r="BA1053" s="2">
        <v>24.107736008490299</v>
      </c>
      <c r="BB1053" s="2">
        <v>25.190398881680501</v>
      </c>
      <c r="BC1053" s="2">
        <v>25.118958668594299</v>
      </c>
      <c r="BD1053" s="2">
        <v>24.0442934945331</v>
      </c>
      <c r="BE1053" s="2">
        <v>25.205962837238499</v>
      </c>
      <c r="BF1053" s="2">
        <v>24.664711920970799</v>
      </c>
      <c r="BG1053" s="2">
        <v>25.144889358500301</v>
      </c>
      <c r="BH1053" s="2">
        <v>25.1767989010877</v>
      </c>
      <c r="BI1053" s="2">
        <v>25.039795682359699</v>
      </c>
      <c r="BJ1053" s="2">
        <v>25.022082640785801</v>
      </c>
      <c r="BK1053" s="2">
        <v>25.193629028705601</v>
      </c>
      <c r="BL1053" s="2">
        <v>25.0878041742905</v>
      </c>
      <c r="BM1053" s="2">
        <v>24.962344633927099</v>
      </c>
      <c r="BN1053" s="2">
        <v>24.920425453624102</v>
      </c>
      <c r="BO1053" s="2">
        <v>24.8485326357433</v>
      </c>
      <c r="BP1053" s="2">
        <v>25.083782132925599</v>
      </c>
      <c r="BQ1053" s="2">
        <v>24.681544701671701</v>
      </c>
      <c r="BR1053" s="2">
        <v>24.9382262584068</v>
      </c>
      <c r="BS1053" s="2">
        <v>25.068089064464001</v>
      </c>
      <c r="BT1053" s="2">
        <v>23.6457878489379</v>
      </c>
      <c r="BU1053" s="2">
        <v>25.025186293690702</v>
      </c>
      <c r="BV1053" s="2">
        <v>25.050380292307501</v>
      </c>
      <c r="BW1053" s="2">
        <v>25.035405077930498</v>
      </c>
      <c r="BX1053" s="2">
        <v>25.0713009479243</v>
      </c>
      <c r="BY1053" s="2">
        <v>25.0809194345949</v>
      </c>
      <c r="BZ1053" s="2">
        <v>25.031706859960298</v>
      </c>
      <c r="CA1053" s="2">
        <v>25.093085604752201</v>
      </c>
      <c r="CB1053" s="2">
        <v>24.149004298885199</v>
      </c>
      <c r="CC1053" s="2">
        <v>25.117630166502</v>
      </c>
      <c r="CD1053" s="2">
        <v>23.9634164169087</v>
      </c>
      <c r="CE1053" s="2">
        <v>24.422173191834801</v>
      </c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</row>
    <row r="1054" spans="1:97">
      <c r="A1054" s="2" t="s">
        <v>9657</v>
      </c>
      <c r="B1054" s="2">
        <v>334.29464000000002</v>
      </c>
      <c r="C1054" s="2">
        <v>8.0429999999999993</v>
      </c>
      <c r="D1054" s="2" t="s">
        <v>84</v>
      </c>
      <c r="E1054" s="2" t="s">
        <v>9658</v>
      </c>
      <c r="F1054" s="2" t="s">
        <v>9659</v>
      </c>
      <c r="G1054" s="2">
        <v>10474</v>
      </c>
      <c r="H1054" s="3" t="str">
        <f>HYPERLINK("https://cloud.oebiotech.com/#/lm/network/10474", "https://cloud.oebiotech.com/#/lm/network/10474")</f>
        <v>https://cloud.oebiotech.com/#/lm/network/10474</v>
      </c>
      <c r="I1054" s="2"/>
      <c r="J1054" s="2"/>
      <c r="K1054" s="2" t="s">
        <v>9660</v>
      </c>
      <c r="L1054" s="2">
        <v>137323847</v>
      </c>
      <c r="M1054" s="2"/>
      <c r="N1054" s="2"/>
      <c r="O1054" s="2"/>
      <c r="P1054" s="2"/>
      <c r="Q1054" s="2"/>
      <c r="R1054" s="2"/>
      <c r="S1054" s="2"/>
      <c r="T1054" s="2" t="s">
        <v>9661</v>
      </c>
      <c r="U1054" s="2" t="s">
        <v>9662</v>
      </c>
      <c r="V1054" s="2" t="s">
        <v>95</v>
      </c>
      <c r="W1054" s="2" t="s">
        <v>7709</v>
      </c>
      <c r="X1054" s="2" t="s">
        <v>7710</v>
      </c>
      <c r="Y1054" s="2" t="s">
        <v>98</v>
      </c>
      <c r="Z1054" s="2" t="s">
        <v>7711</v>
      </c>
      <c r="AA1054" s="2" t="s">
        <v>7712</v>
      </c>
      <c r="AB1054" s="2" t="s">
        <v>5118</v>
      </c>
      <c r="AC1054" s="2">
        <v>49.95</v>
      </c>
      <c r="AD1054" s="2">
        <v>88.04</v>
      </c>
      <c r="AE1054" s="2">
        <v>65.680000000000007</v>
      </c>
      <c r="AF1054" s="2" t="s">
        <v>9663</v>
      </c>
      <c r="AG1054" s="2" t="s">
        <v>132</v>
      </c>
      <c r="AH1054" s="2" t="s">
        <v>3924</v>
      </c>
      <c r="AI1054" s="2">
        <v>1.79</v>
      </c>
      <c r="AJ1054" s="2">
        <v>21.694737465903401</v>
      </c>
      <c r="AK1054" s="2">
        <v>21.740334379435499</v>
      </c>
      <c r="AL1054" s="2">
        <v>21.683343998060199</v>
      </c>
      <c r="AM1054" s="2">
        <v>21.747682227953401</v>
      </c>
      <c r="AN1054" s="2">
        <v>21.799405565387399</v>
      </c>
      <c r="AO1054" s="2">
        <v>21.8203480417096</v>
      </c>
      <c r="AP1054" s="2">
        <v>21.715409195581898</v>
      </c>
      <c r="AQ1054" s="2">
        <v>21.767837050958398</v>
      </c>
      <c r="AR1054" s="2">
        <v>9.6233145402724691</v>
      </c>
      <c r="AS1054" s="2">
        <v>14.328901382385601</v>
      </c>
      <c r="AT1054" s="2">
        <v>9.6233145402724691</v>
      </c>
      <c r="AU1054" s="2">
        <v>9.6233145402724691</v>
      </c>
      <c r="AV1054" s="2">
        <v>9.6233145402724691</v>
      </c>
      <c r="AW1054" s="2">
        <v>9.6233145402724691</v>
      </c>
      <c r="AX1054" s="2">
        <v>9.6233145402724691</v>
      </c>
      <c r="AY1054" s="2">
        <v>9.6233145402724691</v>
      </c>
      <c r="AZ1054" s="2">
        <v>9.6233145402724691</v>
      </c>
      <c r="BA1054" s="2">
        <v>9.6233145402724691</v>
      </c>
      <c r="BB1054" s="2">
        <v>9.6233145402724691</v>
      </c>
      <c r="BC1054" s="2">
        <v>14.358257647476799</v>
      </c>
      <c r="BD1054" s="2">
        <v>9.6233145402724691</v>
      </c>
      <c r="BE1054" s="2">
        <v>14.561659073928601</v>
      </c>
      <c r="BF1054" s="2">
        <v>9.6233145402724691</v>
      </c>
      <c r="BG1054" s="2">
        <v>9.6233145402724691</v>
      </c>
      <c r="BH1054" s="2">
        <v>9.6233145402724691</v>
      </c>
      <c r="BI1054" s="2">
        <v>9.6233145402724691</v>
      </c>
      <c r="BJ1054" s="2">
        <v>9.6233145402724691</v>
      </c>
      <c r="BK1054" s="2">
        <v>9.6233145402724691</v>
      </c>
      <c r="BL1054" s="2">
        <v>9.6233145402724691</v>
      </c>
      <c r="BM1054" s="2">
        <v>9.6233145402724691</v>
      </c>
      <c r="BN1054" s="2">
        <v>9.6233145402724691</v>
      </c>
      <c r="BO1054" s="2">
        <v>9.6233145402724691</v>
      </c>
      <c r="BP1054" s="2">
        <v>9.6233145402724691</v>
      </c>
      <c r="BQ1054" s="2">
        <v>9.6233145402724691</v>
      </c>
      <c r="BR1054" s="2">
        <v>16.276839212991302</v>
      </c>
      <c r="BS1054" s="2">
        <v>15.1390760512614</v>
      </c>
      <c r="BT1054" s="2">
        <v>9.6233145402724691</v>
      </c>
      <c r="BU1054" s="2">
        <v>9.6233145402724691</v>
      </c>
      <c r="BV1054" s="2">
        <v>18.206021133848299</v>
      </c>
      <c r="BW1054" s="2">
        <v>14.245252608737999</v>
      </c>
      <c r="BX1054" s="2">
        <v>14.2317446927972</v>
      </c>
      <c r="BY1054" s="2">
        <v>18.234555273427301</v>
      </c>
      <c r="BZ1054" s="2">
        <v>9.6233145402724691</v>
      </c>
      <c r="CA1054" s="2">
        <v>13.634696492007899</v>
      </c>
      <c r="CB1054" s="2">
        <v>14.440996305996</v>
      </c>
      <c r="CC1054" s="2">
        <v>9.6233145402724691</v>
      </c>
      <c r="CD1054" s="2">
        <v>9.6233145402724691</v>
      </c>
      <c r="CE1054" s="2">
        <v>13.9533389101047</v>
      </c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</row>
    <row r="1055" spans="1:97">
      <c r="A1055" s="2" t="s">
        <v>9664</v>
      </c>
      <c r="B1055" s="2">
        <v>540.49764000000005</v>
      </c>
      <c r="C1055" s="2">
        <v>12.813000000000001</v>
      </c>
      <c r="D1055" s="2" t="s">
        <v>84</v>
      </c>
      <c r="E1055" s="2" t="s">
        <v>9665</v>
      </c>
      <c r="F1055" s="2" t="s">
        <v>9666</v>
      </c>
      <c r="G1055" s="2">
        <v>197583</v>
      </c>
      <c r="H1055" s="3" t="str">
        <f>HYPERLINK("https://cloud.oebiotech.com/#/lm/network/197583", "https://cloud.oebiotech.com/#/lm/network/197583")</f>
        <v>https://cloud.oebiotech.com/#/lm/network/197583</v>
      </c>
      <c r="I1055" s="2" t="s">
        <v>9667</v>
      </c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 t="s">
        <v>9668</v>
      </c>
      <c r="U1055" s="2" t="s">
        <v>9669</v>
      </c>
      <c r="V1055" s="2" t="s">
        <v>95</v>
      </c>
      <c r="W1055" s="2" t="s">
        <v>96</v>
      </c>
      <c r="X1055" s="2" t="s">
        <v>97</v>
      </c>
      <c r="Y1055" s="2" t="s">
        <v>98</v>
      </c>
      <c r="Z1055" s="2" t="s">
        <v>99</v>
      </c>
      <c r="AA1055" s="2" t="s">
        <v>100</v>
      </c>
      <c r="AB1055" s="2" t="s">
        <v>8443</v>
      </c>
      <c r="AC1055" s="2">
        <v>49.95</v>
      </c>
      <c r="AD1055" s="2">
        <v>93.11</v>
      </c>
      <c r="AE1055" s="2">
        <v>32.39</v>
      </c>
      <c r="AF1055" s="2" t="s">
        <v>9670</v>
      </c>
      <c r="AG1055" s="2" t="s">
        <v>103</v>
      </c>
      <c r="AH1055" s="2" t="s">
        <v>9671</v>
      </c>
      <c r="AI1055" s="2">
        <v>2.04</v>
      </c>
      <c r="AJ1055" s="2">
        <v>22.612141637957698</v>
      </c>
      <c r="AK1055" s="2">
        <v>21.677735304400301</v>
      </c>
      <c r="AL1055" s="2">
        <v>21.691733438049599</v>
      </c>
      <c r="AM1055" s="2">
        <v>22.4829702397642</v>
      </c>
      <c r="AN1055" s="2">
        <v>22.525924238674001</v>
      </c>
      <c r="AO1055" s="2">
        <v>22.062237902265998</v>
      </c>
      <c r="AP1055" s="2">
        <v>22.028813073790602</v>
      </c>
      <c r="AQ1055" s="2">
        <v>22.243321405780499</v>
      </c>
      <c r="AR1055" s="2">
        <v>22.276188953912101</v>
      </c>
      <c r="AS1055" s="2">
        <v>20.3934371750011</v>
      </c>
      <c r="AT1055" s="2">
        <v>21.955692208834801</v>
      </c>
      <c r="AU1055" s="2">
        <v>21.537778957397801</v>
      </c>
      <c r="AV1055" s="2">
        <v>21.409488290734199</v>
      </c>
      <c r="AW1055" s="2">
        <v>21.506391888763002</v>
      </c>
      <c r="AX1055" s="2">
        <v>22.075790440930199</v>
      </c>
      <c r="AY1055" s="2">
        <v>21.913436222912001</v>
      </c>
      <c r="AZ1055" s="2">
        <v>22.052127472474702</v>
      </c>
      <c r="BA1055" s="2">
        <v>20.443763359625802</v>
      </c>
      <c r="BB1055" s="2">
        <v>21.033314703122102</v>
      </c>
      <c r="BC1055" s="2">
        <v>23.297922783415199</v>
      </c>
      <c r="BD1055" s="2">
        <v>22.127356176077601</v>
      </c>
      <c r="BE1055" s="2">
        <v>22.0100725307746</v>
      </c>
      <c r="BF1055" s="2">
        <v>21.920730946709199</v>
      </c>
      <c r="BG1055" s="2">
        <v>21.628571123629801</v>
      </c>
      <c r="BH1055" s="2">
        <v>20.196691422979001</v>
      </c>
      <c r="BI1055" s="2">
        <v>22.2852094104286</v>
      </c>
      <c r="BJ1055" s="2">
        <v>22.367921598380001</v>
      </c>
      <c r="BK1055" s="2">
        <v>21.362184971064099</v>
      </c>
      <c r="BL1055" s="2">
        <v>22.444948094250002</v>
      </c>
      <c r="BM1055" s="2">
        <v>22.041541584075599</v>
      </c>
      <c r="BN1055" s="2">
        <v>21.668216038687799</v>
      </c>
      <c r="BO1055" s="2">
        <v>21.237797579429699</v>
      </c>
      <c r="BP1055" s="2">
        <v>23.0043078688776</v>
      </c>
      <c r="BQ1055" s="2">
        <v>22.494105836235899</v>
      </c>
      <c r="BR1055" s="2">
        <v>21.000352514484</v>
      </c>
      <c r="BS1055" s="2">
        <v>20.9786576145958</v>
      </c>
      <c r="BT1055" s="2">
        <v>21.563622589210301</v>
      </c>
      <c r="BU1055" s="2">
        <v>21.4133368736309</v>
      </c>
      <c r="BV1055" s="2">
        <v>20.8648466335707</v>
      </c>
      <c r="BW1055" s="2">
        <v>21.139120205099601</v>
      </c>
      <c r="BX1055" s="2">
        <v>21.9373045059932</v>
      </c>
      <c r="BY1055" s="2">
        <v>21.320441955448601</v>
      </c>
      <c r="BZ1055" s="2">
        <v>20.6711904448882</v>
      </c>
      <c r="CA1055" s="2">
        <v>21.909948017401099</v>
      </c>
      <c r="CB1055" s="2">
        <v>20.260767407736498</v>
      </c>
      <c r="CC1055" s="2">
        <v>21.912631815970201</v>
      </c>
      <c r="CD1055" s="2">
        <v>21.9894069946948</v>
      </c>
      <c r="CE1055" s="2">
        <v>20.666579500095398</v>
      </c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</row>
    <row r="1056" spans="1:97">
      <c r="A1056" s="2" t="s">
        <v>9672</v>
      </c>
      <c r="B1056" s="2">
        <v>125.99496000000001</v>
      </c>
      <c r="C1056" s="2">
        <v>0.58099999999999996</v>
      </c>
      <c r="D1056" s="2" t="s">
        <v>84</v>
      </c>
      <c r="E1056" s="2" t="s">
        <v>9673</v>
      </c>
      <c r="F1056" s="2" t="s">
        <v>9674</v>
      </c>
      <c r="G1056" s="2">
        <v>48144</v>
      </c>
      <c r="H1056" s="3" t="str">
        <f>HYPERLINK("https://cloud.oebiotech.com/#/lm/network/48144", "https://cloud.oebiotech.com/#/lm/network/48144")</f>
        <v>https://cloud.oebiotech.com/#/lm/network/48144</v>
      </c>
      <c r="I1056" s="2" t="s">
        <v>9675</v>
      </c>
      <c r="J1056" s="2">
        <v>58164</v>
      </c>
      <c r="K1056" s="2"/>
      <c r="L1056" s="2">
        <v>123991</v>
      </c>
      <c r="M1056" s="2" t="s">
        <v>9676</v>
      </c>
      <c r="N1056" s="2" t="s">
        <v>1585</v>
      </c>
      <c r="O1056" s="2" t="s">
        <v>1586</v>
      </c>
      <c r="P1056" s="2">
        <v>17123</v>
      </c>
      <c r="Q1056" s="2"/>
      <c r="R1056" s="2"/>
      <c r="S1056" s="2" t="s">
        <v>9677</v>
      </c>
      <c r="T1056" s="2" t="s">
        <v>9678</v>
      </c>
      <c r="U1056" s="2" t="s">
        <v>9679</v>
      </c>
      <c r="V1056" s="2" t="s">
        <v>115</v>
      </c>
      <c r="W1056" s="2" t="s">
        <v>116</v>
      </c>
      <c r="X1056" s="2" t="s">
        <v>117</v>
      </c>
      <c r="Y1056" s="2" t="s">
        <v>118</v>
      </c>
      <c r="Z1056" s="2" t="s">
        <v>119</v>
      </c>
      <c r="AA1056" s="2" t="s">
        <v>120</v>
      </c>
      <c r="AB1056" s="2" t="s">
        <v>3086</v>
      </c>
      <c r="AC1056" s="2">
        <v>49.93</v>
      </c>
      <c r="AD1056" s="2">
        <v>73.11</v>
      </c>
      <c r="AE1056" s="2">
        <v>0</v>
      </c>
      <c r="AF1056" s="2" t="s">
        <v>5614</v>
      </c>
      <c r="AG1056" s="2" t="s">
        <v>3544</v>
      </c>
      <c r="AH1056" s="2" t="s">
        <v>7576</v>
      </c>
      <c r="AI1056" s="2">
        <v>1.59</v>
      </c>
      <c r="AJ1056" s="2">
        <v>21.609503952959301</v>
      </c>
      <c r="AK1056" s="2">
        <v>20.948509438937499</v>
      </c>
      <c r="AL1056" s="2">
        <v>21.522609114810301</v>
      </c>
      <c r="AM1056" s="2">
        <v>21.3925221206797</v>
      </c>
      <c r="AN1056" s="2">
        <v>21.131406883242999</v>
      </c>
      <c r="AO1056" s="2">
        <v>20.4112714478638</v>
      </c>
      <c r="AP1056" s="2">
        <v>21.341048158215301</v>
      </c>
      <c r="AQ1056" s="2">
        <v>20.888708234489201</v>
      </c>
      <c r="AR1056" s="2">
        <v>21.3548838043355</v>
      </c>
      <c r="AS1056" s="2">
        <v>20.837572185025099</v>
      </c>
      <c r="AT1056" s="2">
        <v>20.8920366791465</v>
      </c>
      <c r="AU1056" s="2">
        <v>19.991978912931</v>
      </c>
      <c r="AV1056" s="2">
        <v>21.905705029821299</v>
      </c>
      <c r="AW1056" s="2">
        <v>21.309728576049199</v>
      </c>
      <c r="AX1056" s="2">
        <v>21.226793851679201</v>
      </c>
      <c r="AY1056" s="2">
        <v>20.622743489720101</v>
      </c>
      <c r="AZ1056" s="2">
        <v>20.5244152353232</v>
      </c>
      <c r="BA1056" s="2">
        <v>21.1177599920013</v>
      </c>
      <c r="BB1056" s="2">
        <v>21.7349616590826</v>
      </c>
      <c r="BC1056" s="2">
        <v>19.871232320858301</v>
      </c>
      <c r="BD1056" s="2">
        <v>21.042026824288602</v>
      </c>
      <c r="BE1056" s="2">
        <v>21.661411420108902</v>
      </c>
      <c r="BF1056" s="2">
        <v>21.033730066119901</v>
      </c>
      <c r="BG1056" s="2">
        <v>21.129012637241701</v>
      </c>
      <c r="BH1056" s="2">
        <v>22.049058435532601</v>
      </c>
      <c r="BI1056" s="2">
        <v>19.763175822971299</v>
      </c>
      <c r="BJ1056" s="2">
        <v>21.130547035166</v>
      </c>
      <c r="BK1056" s="2">
        <v>20.353693772974498</v>
      </c>
      <c r="BL1056" s="2">
        <v>21.283779144671499</v>
      </c>
      <c r="BM1056" s="2">
        <v>19.313201513494398</v>
      </c>
      <c r="BN1056" s="2">
        <v>21.7926086768842</v>
      </c>
      <c r="BO1056" s="2">
        <v>21.026292565986601</v>
      </c>
      <c r="BP1056" s="2">
        <v>20.980068225074799</v>
      </c>
      <c r="BQ1056" s="2">
        <v>20.327370651113402</v>
      </c>
      <c r="BR1056" s="2">
        <v>20.5968814623341</v>
      </c>
      <c r="BS1056" s="2">
        <v>20.977889723051899</v>
      </c>
      <c r="BT1056" s="2">
        <v>21.154732405705101</v>
      </c>
      <c r="BU1056" s="2">
        <v>21.7496040349323</v>
      </c>
      <c r="BV1056" s="2">
        <v>21.379691132443401</v>
      </c>
      <c r="BW1056" s="2">
        <v>21.4803907736413</v>
      </c>
      <c r="BX1056" s="2">
        <v>20.303870940548801</v>
      </c>
      <c r="BY1056" s="2">
        <v>21.934446600024401</v>
      </c>
      <c r="BZ1056" s="2">
        <v>21.867305502937501</v>
      </c>
      <c r="CA1056" s="2">
        <v>20.906279165423701</v>
      </c>
      <c r="CB1056" s="2">
        <v>21.548678713621499</v>
      </c>
      <c r="CC1056" s="2">
        <v>20.963167591869801</v>
      </c>
      <c r="CD1056" s="2">
        <v>20.689352026767502</v>
      </c>
      <c r="CE1056" s="2">
        <v>21.573405873179698</v>
      </c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</row>
    <row r="1057" spans="1:97">
      <c r="A1057" s="2" t="s">
        <v>9680</v>
      </c>
      <c r="B1057" s="2">
        <v>302.14393999999999</v>
      </c>
      <c r="C1057" s="2">
        <v>0.66100000000000003</v>
      </c>
      <c r="D1057" s="2" t="s">
        <v>84</v>
      </c>
      <c r="E1057" s="2" t="s">
        <v>9681</v>
      </c>
      <c r="F1057" s="2" t="s">
        <v>9682</v>
      </c>
      <c r="G1057" s="2">
        <v>53855</v>
      </c>
      <c r="H1057" s="3" t="str">
        <f>HYPERLINK("https://cloud.oebiotech.com/#/lm/network/53855", "https://cloud.oebiotech.com/#/lm/network/53855")</f>
        <v>https://cloud.oebiotech.com/#/lm/network/53855</v>
      </c>
      <c r="I1057" s="2" t="s">
        <v>9683</v>
      </c>
      <c r="J1057" s="2">
        <v>23863</v>
      </c>
      <c r="K1057" s="2"/>
      <c r="L1057" s="2">
        <v>9921875</v>
      </c>
      <c r="M1057" s="2"/>
      <c r="N1057" s="2"/>
      <c r="O1057" s="2"/>
      <c r="P1057" s="2"/>
      <c r="Q1057" s="2"/>
      <c r="R1057" s="2"/>
      <c r="S1057" s="2" t="s">
        <v>9684</v>
      </c>
      <c r="T1057" s="2" t="s">
        <v>9685</v>
      </c>
      <c r="U1057" s="2" t="s">
        <v>9686</v>
      </c>
      <c r="V1057" s="2" t="s">
        <v>115</v>
      </c>
      <c r="W1057" s="2" t="s">
        <v>116</v>
      </c>
      <c r="X1057" s="2" t="s">
        <v>117</v>
      </c>
      <c r="Y1057" s="2" t="s">
        <v>118</v>
      </c>
      <c r="Z1057" s="2" t="s">
        <v>119</v>
      </c>
      <c r="AA1057" s="2" t="s">
        <v>120</v>
      </c>
      <c r="AB1057" s="2" t="s">
        <v>3086</v>
      </c>
      <c r="AC1057" s="2">
        <v>49.93</v>
      </c>
      <c r="AD1057" s="2">
        <v>94.76</v>
      </c>
      <c r="AE1057" s="2">
        <v>0</v>
      </c>
      <c r="AF1057" s="2" t="s">
        <v>5614</v>
      </c>
      <c r="AG1057" s="2" t="s">
        <v>132</v>
      </c>
      <c r="AH1057" s="2" t="s">
        <v>9687</v>
      </c>
      <c r="AI1057" s="2">
        <v>6.62</v>
      </c>
      <c r="AJ1057" s="2">
        <v>22.889590554688599</v>
      </c>
      <c r="AK1057" s="2">
        <v>23.5897243395457</v>
      </c>
      <c r="AL1057" s="2">
        <v>23.284330023247399</v>
      </c>
      <c r="AM1057" s="2">
        <v>23.395198926191402</v>
      </c>
      <c r="AN1057" s="2">
        <v>23.391459573838699</v>
      </c>
      <c r="AO1057" s="2">
        <v>23.186177119350901</v>
      </c>
      <c r="AP1057" s="2">
        <v>23.249873302094201</v>
      </c>
      <c r="AQ1057" s="2">
        <v>23.1000321598104</v>
      </c>
      <c r="AR1057" s="2">
        <v>23.3654188528728</v>
      </c>
      <c r="AS1057" s="2">
        <v>23.1765815802707</v>
      </c>
      <c r="AT1057" s="2">
        <v>23.386883133972798</v>
      </c>
      <c r="AU1057" s="2">
        <v>23.4078776407097</v>
      </c>
      <c r="AV1057" s="2">
        <v>23.417004569171901</v>
      </c>
      <c r="AW1057" s="2">
        <v>23.450651355120399</v>
      </c>
      <c r="AX1057" s="2">
        <v>23.444459003630499</v>
      </c>
      <c r="AY1057" s="2">
        <v>23.488157232839701</v>
      </c>
      <c r="AZ1057" s="2">
        <v>23.372050171430701</v>
      </c>
      <c r="BA1057" s="2">
        <v>23.1929374220516</v>
      </c>
      <c r="BB1057" s="2">
        <v>23.250750546949501</v>
      </c>
      <c r="BC1057" s="2">
        <v>23.306008150088999</v>
      </c>
      <c r="BD1057" s="2">
        <v>23.543401456845402</v>
      </c>
      <c r="BE1057" s="2">
        <v>23.4867341479851</v>
      </c>
      <c r="BF1057" s="2">
        <v>23.1305789582591</v>
      </c>
      <c r="BG1057" s="2">
        <v>23.508469601352399</v>
      </c>
      <c r="BH1057" s="2">
        <v>23.313014042076802</v>
      </c>
      <c r="BI1057" s="2">
        <v>23.357287480783501</v>
      </c>
      <c r="BJ1057" s="2">
        <v>23.438228291274498</v>
      </c>
      <c r="BK1057" s="2">
        <v>23.278806533537399</v>
      </c>
      <c r="BL1057" s="2">
        <v>23.4444782440717</v>
      </c>
      <c r="BM1057" s="2">
        <v>23.146721155685</v>
      </c>
      <c r="BN1057" s="2">
        <v>23.337939072415999</v>
      </c>
      <c r="BO1057" s="2">
        <v>23.0956044782886</v>
      </c>
      <c r="BP1057" s="2">
        <v>22.8950635271447</v>
      </c>
      <c r="BQ1057" s="2">
        <v>23.383377847878901</v>
      </c>
      <c r="BR1057" s="2">
        <v>23.189967486062699</v>
      </c>
      <c r="BS1057" s="2">
        <v>22.7902224754753</v>
      </c>
      <c r="BT1057" s="2">
        <v>23.2882026843298</v>
      </c>
      <c r="BU1057" s="2">
        <v>22.843039195836699</v>
      </c>
      <c r="BV1057" s="2">
        <v>23.884823867772699</v>
      </c>
      <c r="BW1057" s="2">
        <v>22.832426580580901</v>
      </c>
      <c r="BX1057" s="2">
        <v>23.1914159480649</v>
      </c>
      <c r="BY1057" s="2">
        <v>23.5298716535682</v>
      </c>
      <c r="BZ1057" s="2">
        <v>23.325061567785099</v>
      </c>
      <c r="CA1057" s="2">
        <v>23.285742930763899</v>
      </c>
      <c r="CB1057" s="2">
        <v>23.301007608703699</v>
      </c>
      <c r="CC1057" s="2">
        <v>22.9092467590777</v>
      </c>
      <c r="CD1057" s="2">
        <v>23.5285727006926</v>
      </c>
      <c r="CE1057" s="2">
        <v>23.250311280547201</v>
      </c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</row>
    <row r="1058" spans="1:97">
      <c r="A1058" s="2" t="s">
        <v>9688</v>
      </c>
      <c r="B1058" s="2">
        <v>590.32061999999996</v>
      </c>
      <c r="C1058" s="2">
        <v>10.366</v>
      </c>
      <c r="D1058" s="2" t="s">
        <v>84</v>
      </c>
      <c r="E1058" s="2" t="s">
        <v>9689</v>
      </c>
      <c r="F1058" s="2" t="s">
        <v>9690</v>
      </c>
      <c r="G1058" s="2">
        <v>595047</v>
      </c>
      <c r="H1058" s="3" t="str">
        <f>HYPERLINK("https://cloud.oebiotech.com/#/lm/network/595047", "https://cloud.oebiotech.com/#/lm/network/595047")</f>
        <v>https://cloud.oebiotech.com/#/lm/network/595047</v>
      </c>
      <c r="I1058" s="2"/>
      <c r="J1058" s="2"/>
      <c r="K1058" s="2"/>
      <c r="L1058" s="2">
        <v>71768157</v>
      </c>
      <c r="M1058" s="2"/>
      <c r="N1058" s="2"/>
      <c r="O1058" s="2"/>
      <c r="P1058" s="2"/>
      <c r="Q1058" s="2"/>
      <c r="R1058" s="2"/>
      <c r="S1058" s="2"/>
      <c r="T1058" s="2" t="s">
        <v>9691</v>
      </c>
      <c r="U1058" s="2" t="s">
        <v>9692</v>
      </c>
      <c r="V1058" s="2" t="s">
        <v>95</v>
      </c>
      <c r="W1058" s="2" t="s">
        <v>202</v>
      </c>
      <c r="X1058" s="2" t="s">
        <v>203</v>
      </c>
      <c r="Y1058" s="2" t="s">
        <v>98</v>
      </c>
      <c r="Z1058" s="2" t="s">
        <v>204</v>
      </c>
      <c r="AA1058" s="2" t="s">
        <v>205</v>
      </c>
      <c r="AB1058" s="2" t="s">
        <v>8443</v>
      </c>
      <c r="AC1058" s="2">
        <v>49.93</v>
      </c>
      <c r="AD1058" s="2">
        <v>90.73</v>
      </c>
      <c r="AE1058" s="2">
        <v>34.35</v>
      </c>
      <c r="AF1058" s="2" t="s">
        <v>9693</v>
      </c>
      <c r="AG1058" s="2" t="s">
        <v>1578</v>
      </c>
      <c r="AH1058" s="2" t="s">
        <v>795</v>
      </c>
      <c r="AI1058" s="2">
        <v>1.86</v>
      </c>
      <c r="AJ1058" s="2">
        <v>24.357627586412601</v>
      </c>
      <c r="AK1058" s="2">
        <v>24.359201565124</v>
      </c>
      <c r="AL1058" s="2">
        <v>24.407643606239802</v>
      </c>
      <c r="AM1058" s="2">
        <v>24.461584555662501</v>
      </c>
      <c r="AN1058" s="2">
        <v>24.410686508728599</v>
      </c>
      <c r="AO1058" s="2">
        <v>24.379836014495702</v>
      </c>
      <c r="AP1058" s="2">
        <v>24.4129347287152</v>
      </c>
      <c r="AQ1058" s="2">
        <v>24.247621209880201</v>
      </c>
      <c r="AR1058" s="2">
        <v>24.656418720683799</v>
      </c>
      <c r="AS1058" s="2">
        <v>23.116140864870399</v>
      </c>
      <c r="AT1058" s="2">
        <v>23.9004614534146</v>
      </c>
      <c r="AU1058" s="2">
        <v>24.0369296653036</v>
      </c>
      <c r="AV1058" s="2">
        <v>23.3223042228169</v>
      </c>
      <c r="AW1058" s="2">
        <v>24.357681864634898</v>
      </c>
      <c r="AX1058" s="2">
        <v>24.669038421343298</v>
      </c>
      <c r="AY1058" s="2">
        <v>24.052175873640799</v>
      </c>
      <c r="AZ1058" s="2">
        <v>24.118675829021299</v>
      </c>
      <c r="BA1058" s="2">
        <v>23.621128756879799</v>
      </c>
      <c r="BB1058" s="2">
        <v>24.367624696431498</v>
      </c>
      <c r="BC1058" s="2">
        <v>24.6775446013181</v>
      </c>
      <c r="BD1058" s="2">
        <v>24.825240335542102</v>
      </c>
      <c r="BE1058" s="2">
        <v>24.2474504980974</v>
      </c>
      <c r="BF1058" s="2">
        <v>24.293634102435099</v>
      </c>
      <c r="BG1058" s="2">
        <v>25.031165721954199</v>
      </c>
      <c r="BH1058" s="2">
        <v>24.6635955114136</v>
      </c>
      <c r="BI1058" s="2">
        <v>23.9630973825113</v>
      </c>
      <c r="BJ1058" s="2">
        <v>24.303481883652299</v>
      </c>
      <c r="BK1058" s="2">
        <v>23.703014414764699</v>
      </c>
      <c r="BL1058" s="2">
        <v>23.266441716532899</v>
      </c>
      <c r="BM1058" s="2">
        <v>23.387836717684898</v>
      </c>
      <c r="BN1058" s="2">
        <v>24.1800098625407</v>
      </c>
      <c r="BO1058" s="2">
        <v>24.4556103304926</v>
      </c>
      <c r="BP1058" s="2">
        <v>23.943014898242701</v>
      </c>
      <c r="BQ1058" s="2">
        <v>24.199050624129001</v>
      </c>
      <c r="BR1058" s="2">
        <v>23.361028052544999</v>
      </c>
      <c r="BS1058" s="2">
        <v>24.158378882914601</v>
      </c>
      <c r="BT1058" s="2">
        <v>25.167207139238201</v>
      </c>
      <c r="BU1058" s="2">
        <v>23.9733489972954</v>
      </c>
      <c r="BV1058" s="2">
        <v>24.436306496546202</v>
      </c>
      <c r="BW1058" s="2">
        <v>23.9466128221238</v>
      </c>
      <c r="BX1058" s="2">
        <v>24.615443042337901</v>
      </c>
      <c r="BY1058" s="2">
        <v>24.6106069338461</v>
      </c>
      <c r="BZ1058" s="2">
        <v>24.0259465273313</v>
      </c>
      <c r="CA1058" s="2">
        <v>24.821685306282799</v>
      </c>
      <c r="CB1058" s="2">
        <v>24.0595891581989</v>
      </c>
      <c r="CC1058" s="2">
        <v>23.749890780349102</v>
      </c>
      <c r="CD1058" s="2">
        <v>25.058973709811401</v>
      </c>
      <c r="CE1058" s="2">
        <v>24.056947841665899</v>
      </c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</row>
    <row r="1059" spans="1:97">
      <c r="A1059" s="2" t="s">
        <v>9694</v>
      </c>
      <c r="B1059" s="2">
        <v>188.20068000000001</v>
      </c>
      <c r="C1059" s="2">
        <v>6.2130000000000001</v>
      </c>
      <c r="D1059" s="2" t="s">
        <v>84</v>
      </c>
      <c r="E1059" s="2" t="s">
        <v>9695</v>
      </c>
      <c r="F1059" s="2" t="s">
        <v>9696</v>
      </c>
      <c r="G1059" s="2">
        <v>6297</v>
      </c>
      <c r="H1059" s="3" t="str">
        <f>HYPERLINK("https://cloud.oebiotech.com/#/lm/network/6297", "https://cloud.oebiotech.com/#/lm/network/6297")</f>
        <v>https://cloud.oebiotech.com/#/lm/network/6297</v>
      </c>
      <c r="I1059" s="2" t="s">
        <v>9697</v>
      </c>
      <c r="J1059" s="2">
        <v>87385</v>
      </c>
      <c r="K1059" s="2" t="s">
        <v>9698</v>
      </c>
      <c r="L1059" s="2">
        <v>6428572</v>
      </c>
      <c r="M1059" s="2"/>
      <c r="N1059" s="2"/>
      <c r="O1059" s="2"/>
      <c r="P1059" s="2"/>
      <c r="Q1059" s="2"/>
      <c r="R1059" s="2"/>
      <c r="S1059" s="2" t="s">
        <v>9699</v>
      </c>
      <c r="T1059" s="2" t="s">
        <v>9700</v>
      </c>
      <c r="U1059" s="2" t="s">
        <v>9701</v>
      </c>
      <c r="V1059" s="2" t="s">
        <v>95</v>
      </c>
      <c r="W1059" s="2" t="s">
        <v>96</v>
      </c>
      <c r="X1059" s="2" t="s">
        <v>353</v>
      </c>
      <c r="Y1059" s="2" t="s">
        <v>98</v>
      </c>
      <c r="Z1059" s="2" t="s">
        <v>99</v>
      </c>
      <c r="AA1059" s="2" t="s">
        <v>354</v>
      </c>
      <c r="AB1059" s="2" t="s">
        <v>5118</v>
      </c>
      <c r="AC1059" s="2">
        <v>49.93</v>
      </c>
      <c r="AD1059" s="2">
        <v>93.31</v>
      </c>
      <c r="AE1059" s="2">
        <v>70.8</v>
      </c>
      <c r="AF1059" s="2" t="s">
        <v>9702</v>
      </c>
      <c r="AG1059" s="2" t="s">
        <v>132</v>
      </c>
      <c r="AH1059" s="2" t="s">
        <v>9703</v>
      </c>
      <c r="AI1059" s="2">
        <v>1.06</v>
      </c>
      <c r="AJ1059" s="2">
        <v>18.756400799642801</v>
      </c>
      <c r="AK1059" s="2">
        <v>18.497140751245102</v>
      </c>
      <c r="AL1059" s="2">
        <v>18.729191244466001</v>
      </c>
      <c r="AM1059" s="2">
        <v>18.704506597501599</v>
      </c>
      <c r="AN1059" s="2">
        <v>18.935783875083501</v>
      </c>
      <c r="AO1059" s="2">
        <v>18.828280713010201</v>
      </c>
      <c r="AP1059" s="2">
        <v>18.453346201159199</v>
      </c>
      <c r="AQ1059" s="2">
        <v>18.865479287345401</v>
      </c>
      <c r="AR1059" s="2">
        <v>13.961332117920101</v>
      </c>
      <c r="AS1059" s="2">
        <v>13.5665832940591</v>
      </c>
      <c r="AT1059" s="2">
        <v>9.6233145402724691</v>
      </c>
      <c r="AU1059" s="2">
        <v>9.6233145402724691</v>
      </c>
      <c r="AV1059" s="2">
        <v>13.749523792672999</v>
      </c>
      <c r="AW1059" s="2">
        <v>9.6233145402724691</v>
      </c>
      <c r="AX1059" s="2">
        <v>20.623911720837601</v>
      </c>
      <c r="AY1059" s="2">
        <v>9.6233145402724691</v>
      </c>
      <c r="AZ1059" s="2">
        <v>9.6233145402724691</v>
      </c>
      <c r="BA1059" s="2">
        <v>18.0901901775079</v>
      </c>
      <c r="BB1059" s="2">
        <v>9.6233145402724691</v>
      </c>
      <c r="BC1059" s="2">
        <v>9.6233145402724691</v>
      </c>
      <c r="BD1059" s="2">
        <v>9.6233145402724691</v>
      </c>
      <c r="BE1059" s="2">
        <v>9.6233145402724691</v>
      </c>
      <c r="BF1059" s="2">
        <v>9.6233145402724691</v>
      </c>
      <c r="BG1059" s="2">
        <v>14.7612504664942</v>
      </c>
      <c r="BH1059" s="2">
        <v>9.6233145402724691</v>
      </c>
      <c r="BI1059" s="2">
        <v>9.6233145402724691</v>
      </c>
      <c r="BJ1059" s="2">
        <v>9.6233145402724691</v>
      </c>
      <c r="BK1059" s="2">
        <v>9.6233145402724691</v>
      </c>
      <c r="BL1059" s="2">
        <v>9.6233145402724691</v>
      </c>
      <c r="BM1059" s="2">
        <v>9.6233145402724691</v>
      </c>
      <c r="BN1059" s="2">
        <v>9.6233145402724691</v>
      </c>
      <c r="BO1059" s="2">
        <v>9.6233145402724691</v>
      </c>
      <c r="BP1059" s="2">
        <v>9.6233145402724691</v>
      </c>
      <c r="BQ1059" s="2">
        <v>9.6233145402724691</v>
      </c>
      <c r="BR1059" s="2">
        <v>14.186670622442699</v>
      </c>
      <c r="BS1059" s="2">
        <v>13.697627886061699</v>
      </c>
      <c r="BT1059" s="2">
        <v>16.177465283342201</v>
      </c>
      <c r="BU1059" s="2">
        <v>9.6233145402724691</v>
      </c>
      <c r="BV1059" s="2">
        <v>9.6233145402724691</v>
      </c>
      <c r="BW1059" s="2">
        <v>15.617290963120899</v>
      </c>
      <c r="BX1059" s="2">
        <v>14.6263769620278</v>
      </c>
      <c r="BY1059" s="2">
        <v>15.5425984390055</v>
      </c>
      <c r="BZ1059" s="2">
        <v>9.6233145402724691</v>
      </c>
      <c r="CA1059" s="2">
        <v>17.7305640043061</v>
      </c>
      <c r="CB1059" s="2">
        <v>9.6233145402724691</v>
      </c>
      <c r="CC1059" s="2">
        <v>9.6233145402724691</v>
      </c>
      <c r="CD1059" s="2">
        <v>9.6233145402724691</v>
      </c>
      <c r="CE1059" s="2">
        <v>13.824967687755001</v>
      </c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</row>
    <row r="1060" spans="1:97">
      <c r="A1060" s="2" t="s">
        <v>9704</v>
      </c>
      <c r="B1060" s="2">
        <v>235.13023999999999</v>
      </c>
      <c r="C1060" s="2">
        <v>0.66500000000000004</v>
      </c>
      <c r="D1060" s="2" t="s">
        <v>84</v>
      </c>
      <c r="E1060" s="2" t="s">
        <v>9705</v>
      </c>
      <c r="F1060" s="2" t="s">
        <v>9706</v>
      </c>
      <c r="G1060" s="2">
        <v>198315</v>
      </c>
      <c r="H1060" s="3" t="str">
        <f>HYPERLINK("https://cloud.oebiotech.com/#/lm/network/198315", "https://cloud.oebiotech.com/#/lm/network/198315")</f>
        <v>https://cloud.oebiotech.com/#/lm/network/198315</v>
      </c>
      <c r="I1060" s="2" t="s">
        <v>9707</v>
      </c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 t="s">
        <v>9708</v>
      </c>
      <c r="U1060" s="2" t="s">
        <v>9709</v>
      </c>
      <c r="V1060" s="2" t="s">
        <v>95</v>
      </c>
      <c r="W1060" s="2" t="s">
        <v>96</v>
      </c>
      <c r="X1060" s="2" t="s">
        <v>97</v>
      </c>
      <c r="Y1060" s="2" t="s">
        <v>98</v>
      </c>
      <c r="Z1060" s="2" t="s">
        <v>99</v>
      </c>
      <c r="AA1060" s="2" t="s">
        <v>100</v>
      </c>
      <c r="AB1060" s="2" t="s">
        <v>3086</v>
      </c>
      <c r="AC1060" s="2">
        <v>49.93</v>
      </c>
      <c r="AD1060" s="2">
        <v>93.83</v>
      </c>
      <c r="AE1060" s="2">
        <v>0</v>
      </c>
      <c r="AF1060" s="2" t="s">
        <v>5614</v>
      </c>
      <c r="AG1060" s="2" t="s">
        <v>132</v>
      </c>
      <c r="AH1060" s="2" t="s">
        <v>9710</v>
      </c>
      <c r="AI1060" s="2">
        <v>-5.95</v>
      </c>
      <c r="AJ1060" s="2">
        <v>18.7165181987103</v>
      </c>
      <c r="AK1060" s="2">
        <v>18.341466397771001</v>
      </c>
      <c r="AL1060" s="2">
        <v>18.0755042715003</v>
      </c>
      <c r="AM1060" s="2">
        <v>18.597717492785499</v>
      </c>
      <c r="AN1060" s="2">
        <v>18.4899043146137</v>
      </c>
      <c r="AO1060" s="2">
        <v>18.323574314325398</v>
      </c>
      <c r="AP1060" s="2">
        <v>18.8423172542618</v>
      </c>
      <c r="AQ1060" s="2">
        <v>18.238172348403101</v>
      </c>
      <c r="AR1060" s="2">
        <v>19.0595718446258</v>
      </c>
      <c r="AS1060" s="2">
        <v>17.885076928070202</v>
      </c>
      <c r="AT1060" s="2">
        <v>18.094803212720201</v>
      </c>
      <c r="AU1060" s="2">
        <v>18.5452445222469</v>
      </c>
      <c r="AV1060" s="2">
        <v>18.1147605247833</v>
      </c>
      <c r="AW1060" s="2">
        <v>17.921789170630198</v>
      </c>
      <c r="AX1060" s="2">
        <v>18.828683039219001</v>
      </c>
      <c r="AY1060" s="2">
        <v>18.958216413656199</v>
      </c>
      <c r="AZ1060" s="2">
        <v>18.4526998938241</v>
      </c>
      <c r="BA1060" s="2">
        <v>17.6465181394111</v>
      </c>
      <c r="BB1060" s="2">
        <v>18.587769972977298</v>
      </c>
      <c r="BC1060" s="2">
        <v>18.321353420806499</v>
      </c>
      <c r="BD1060" s="2">
        <v>18.826141467834599</v>
      </c>
      <c r="BE1060" s="2">
        <v>19.160752160884201</v>
      </c>
      <c r="BF1060" s="2">
        <v>18.379599455735899</v>
      </c>
      <c r="BG1060" s="2">
        <v>18.193570983008499</v>
      </c>
      <c r="BH1060" s="2">
        <v>18.909185393765998</v>
      </c>
      <c r="BI1060" s="2">
        <v>19.107466565337301</v>
      </c>
      <c r="BJ1060" s="2">
        <v>18.8978017416079</v>
      </c>
      <c r="BK1060" s="2">
        <v>18.7501819984045</v>
      </c>
      <c r="BL1060" s="2">
        <v>18.984483880618299</v>
      </c>
      <c r="BM1060" s="2">
        <v>18.7729543817821</v>
      </c>
      <c r="BN1060" s="2">
        <v>17.938483428482201</v>
      </c>
      <c r="BO1060" s="2">
        <v>17.9011296967122</v>
      </c>
      <c r="BP1060" s="2">
        <v>18.478792406257099</v>
      </c>
      <c r="BQ1060" s="2">
        <v>18.2159927741438</v>
      </c>
      <c r="BR1060" s="2">
        <v>19.087358388561</v>
      </c>
      <c r="BS1060" s="2">
        <v>18.6816407364567</v>
      </c>
      <c r="BT1060" s="2">
        <v>18.052150579303401</v>
      </c>
      <c r="BU1060" s="2">
        <v>18.8400330673676</v>
      </c>
      <c r="BV1060" s="2">
        <v>18.765751080270501</v>
      </c>
      <c r="BW1060" s="2">
        <v>18.339706759449601</v>
      </c>
      <c r="BX1060" s="2">
        <v>18.842581976920499</v>
      </c>
      <c r="BY1060" s="2">
        <v>18.174908181059099</v>
      </c>
      <c r="BZ1060" s="2">
        <v>17.749034263655101</v>
      </c>
      <c r="CA1060" s="2">
        <v>18.4219655248991</v>
      </c>
      <c r="CB1060" s="2">
        <v>17.944104863166999</v>
      </c>
      <c r="CC1060" s="2">
        <v>17.118465015102299</v>
      </c>
      <c r="CD1060" s="2">
        <v>18.123596243675799</v>
      </c>
      <c r="CE1060" s="2">
        <v>18.514844092986198</v>
      </c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</row>
    <row r="1061" spans="1:97">
      <c r="A1061" s="2" t="s">
        <v>9711</v>
      </c>
      <c r="B1061" s="2">
        <v>584.35636999999997</v>
      </c>
      <c r="C1061" s="2">
        <v>9.2530000000000001</v>
      </c>
      <c r="D1061" s="2" t="s">
        <v>146</v>
      </c>
      <c r="E1061" s="2" t="s">
        <v>9712</v>
      </c>
      <c r="F1061" s="2" t="s">
        <v>9713</v>
      </c>
      <c r="G1061" s="2">
        <v>22464</v>
      </c>
      <c r="H1061" s="3" t="str">
        <f>HYPERLINK("https://cloud.oebiotech.com/#/lm/network/22464", "https://cloud.oebiotech.com/#/lm/network/22464")</f>
        <v>https://cloud.oebiotech.com/#/lm/network/22464</v>
      </c>
      <c r="I1061" s="2"/>
      <c r="J1061" s="2">
        <v>78861</v>
      </c>
      <c r="K1061" s="2" t="s">
        <v>9714</v>
      </c>
      <c r="L1061" s="2">
        <v>52926301</v>
      </c>
      <c r="M1061" s="2"/>
      <c r="N1061" s="2"/>
      <c r="O1061" s="2"/>
      <c r="P1061" s="2"/>
      <c r="Q1061" s="2"/>
      <c r="R1061" s="2"/>
      <c r="S1061" s="2"/>
      <c r="T1061" s="2" t="s">
        <v>9715</v>
      </c>
      <c r="U1061" s="2" t="s">
        <v>9716</v>
      </c>
      <c r="V1061" s="2" t="s">
        <v>95</v>
      </c>
      <c r="W1061" s="2" t="s">
        <v>202</v>
      </c>
      <c r="X1061" s="2" t="s">
        <v>8933</v>
      </c>
      <c r="Y1061" s="2" t="s">
        <v>98</v>
      </c>
      <c r="Z1061" s="2" t="s">
        <v>204</v>
      </c>
      <c r="AA1061" s="2" t="s">
        <v>8934</v>
      </c>
      <c r="AB1061" s="2" t="s">
        <v>5118</v>
      </c>
      <c r="AC1061" s="2">
        <v>49.93</v>
      </c>
      <c r="AD1061" s="2">
        <v>94.94</v>
      </c>
      <c r="AE1061" s="2">
        <v>68.39</v>
      </c>
      <c r="AF1061" s="2" t="s">
        <v>9717</v>
      </c>
      <c r="AG1061" s="2" t="s">
        <v>157</v>
      </c>
      <c r="AH1061" s="2" t="s">
        <v>9718</v>
      </c>
      <c r="AI1061" s="2">
        <v>0.86</v>
      </c>
      <c r="AJ1061" s="2">
        <v>19.274904388682401</v>
      </c>
      <c r="AK1061" s="2">
        <v>19.136932853763501</v>
      </c>
      <c r="AL1061" s="2">
        <v>19.013128729537801</v>
      </c>
      <c r="AM1061" s="2">
        <v>19.010292694822098</v>
      </c>
      <c r="AN1061" s="2">
        <v>19.189460133544301</v>
      </c>
      <c r="AO1061" s="2">
        <v>19.4449506463218</v>
      </c>
      <c r="AP1061" s="2">
        <v>19.0122350184167</v>
      </c>
      <c r="AQ1061" s="2">
        <v>19.109810815045599</v>
      </c>
      <c r="AR1061" s="2">
        <v>18.959468155670699</v>
      </c>
      <c r="AS1061" s="2">
        <v>17.795552868185101</v>
      </c>
      <c r="AT1061" s="2">
        <v>19.156002541809599</v>
      </c>
      <c r="AU1061" s="2">
        <v>19.3657992321696</v>
      </c>
      <c r="AV1061" s="2">
        <v>19.240470211082499</v>
      </c>
      <c r="AW1061" s="2">
        <v>19.2027619611837</v>
      </c>
      <c r="AX1061" s="2">
        <v>18.984668809156599</v>
      </c>
      <c r="AY1061" s="2">
        <v>19.005268803778499</v>
      </c>
      <c r="AZ1061" s="2">
        <v>18.464829014468801</v>
      </c>
      <c r="BA1061" s="2">
        <v>17.422291237453599</v>
      </c>
      <c r="BB1061" s="2">
        <v>19.1229922244429</v>
      </c>
      <c r="BC1061" s="2">
        <v>20.012311632231199</v>
      </c>
      <c r="BD1061" s="2">
        <v>19.466260137222399</v>
      </c>
      <c r="BE1061" s="2">
        <v>19.343066080256001</v>
      </c>
      <c r="BF1061" s="2">
        <v>18.139584925363501</v>
      </c>
      <c r="BG1061" s="2">
        <v>18.683565085166201</v>
      </c>
      <c r="BH1061" s="2">
        <v>19.2582905568079</v>
      </c>
      <c r="BI1061" s="2">
        <v>18.849357144713402</v>
      </c>
      <c r="BJ1061" s="2">
        <v>19.281305434585001</v>
      </c>
      <c r="BK1061" s="2">
        <v>17.531842814594398</v>
      </c>
      <c r="BL1061" s="2">
        <v>19.5344630281893</v>
      </c>
      <c r="BM1061" s="2">
        <v>18.6366461076022</v>
      </c>
      <c r="BN1061" s="2">
        <v>19.285181431985102</v>
      </c>
      <c r="BO1061" s="2">
        <v>19.678530062931099</v>
      </c>
      <c r="BP1061" s="2">
        <v>20.0673489324539</v>
      </c>
      <c r="BQ1061" s="2">
        <v>19.136616471028699</v>
      </c>
      <c r="BR1061" s="2">
        <v>19.012179219826699</v>
      </c>
      <c r="BS1061" s="2">
        <v>18.891960084446701</v>
      </c>
      <c r="BT1061" s="2">
        <v>18.673651411355898</v>
      </c>
      <c r="BU1061" s="2">
        <v>18.254783435829701</v>
      </c>
      <c r="BV1061" s="2">
        <v>19.5821627333378</v>
      </c>
      <c r="BW1061" s="2">
        <v>18.231096462315801</v>
      </c>
      <c r="BX1061" s="2">
        <v>18.963942546301901</v>
      </c>
      <c r="BY1061" s="2">
        <v>19.337588802687801</v>
      </c>
      <c r="BZ1061" s="2">
        <v>19.055199780495599</v>
      </c>
      <c r="CA1061" s="2">
        <v>17.976725712767099</v>
      </c>
      <c r="CB1061" s="2">
        <v>18.953012705079999</v>
      </c>
      <c r="CC1061" s="2">
        <v>18.4766241154516</v>
      </c>
      <c r="CD1061" s="2">
        <v>19.756653181937502</v>
      </c>
      <c r="CE1061" s="2">
        <v>17.020492890714898</v>
      </c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</row>
    <row r="1062" spans="1:97">
      <c r="A1062" s="2" t="s">
        <v>9719</v>
      </c>
      <c r="B1062" s="2">
        <v>132.08065999999999</v>
      </c>
      <c r="C1062" s="2">
        <v>5.49</v>
      </c>
      <c r="D1062" s="2" t="s">
        <v>84</v>
      </c>
      <c r="E1062" s="2" t="s">
        <v>9720</v>
      </c>
      <c r="F1062" s="2" t="s">
        <v>9721</v>
      </c>
      <c r="G1062" s="2">
        <v>63283</v>
      </c>
      <c r="H1062" s="3" t="str">
        <f>HYPERLINK("https://cloud.oebiotech.com/#/lm/network/63283", "https://cloud.oebiotech.com/#/lm/network/63283")</f>
        <v>https://cloud.oebiotech.com/#/lm/network/63283</v>
      </c>
      <c r="I1062" s="2" t="s">
        <v>9722</v>
      </c>
      <c r="J1062" s="2">
        <v>94591</v>
      </c>
      <c r="K1062" s="2"/>
      <c r="L1062" s="2">
        <v>85575719</v>
      </c>
      <c r="M1062" s="2"/>
      <c r="N1062" s="2"/>
      <c r="O1062" s="2"/>
      <c r="P1062" s="2">
        <v>173400</v>
      </c>
      <c r="Q1062" s="2"/>
      <c r="R1062" s="2"/>
      <c r="S1062" s="2" t="s">
        <v>9723</v>
      </c>
      <c r="T1062" s="2" t="s">
        <v>9724</v>
      </c>
      <c r="U1062" s="2" t="s">
        <v>9725</v>
      </c>
      <c r="V1062" s="2" t="s">
        <v>553</v>
      </c>
      <c r="W1062" s="2" t="s">
        <v>9726</v>
      </c>
      <c r="X1062" s="2" t="s">
        <v>375</v>
      </c>
      <c r="Y1062" s="2" t="s">
        <v>556</v>
      </c>
      <c r="Z1062" s="2" t="s">
        <v>9727</v>
      </c>
      <c r="AA1062" s="2"/>
      <c r="AB1062" s="2" t="s">
        <v>3086</v>
      </c>
      <c r="AC1062" s="2">
        <v>49.92</v>
      </c>
      <c r="AD1062" s="2">
        <v>94.52</v>
      </c>
      <c r="AE1062" s="2">
        <v>0</v>
      </c>
      <c r="AF1062" s="2" t="s">
        <v>5614</v>
      </c>
      <c r="AG1062" s="2" t="s">
        <v>1088</v>
      </c>
      <c r="AH1062" s="2" t="s">
        <v>9728</v>
      </c>
      <c r="AI1062" s="2">
        <v>5.3</v>
      </c>
      <c r="AJ1062" s="2">
        <v>18.121641316805398</v>
      </c>
      <c r="AK1062" s="2">
        <v>18.461887905250698</v>
      </c>
      <c r="AL1062" s="2">
        <v>18.587797509679099</v>
      </c>
      <c r="AM1062" s="2">
        <v>18.8643777217289</v>
      </c>
      <c r="AN1062" s="2">
        <v>18.4292640276966</v>
      </c>
      <c r="AO1062" s="2">
        <v>18.1728072463373</v>
      </c>
      <c r="AP1062" s="2">
        <v>18.183574518430699</v>
      </c>
      <c r="AQ1062" s="2">
        <v>18.344477837282302</v>
      </c>
      <c r="AR1062" s="2">
        <v>17.519872173280199</v>
      </c>
      <c r="AS1062" s="2">
        <v>15.6656920496682</v>
      </c>
      <c r="AT1062" s="2">
        <v>16.467314351775801</v>
      </c>
      <c r="AU1062" s="2">
        <v>19.194071364326799</v>
      </c>
      <c r="AV1062" s="2">
        <v>19.056943853166299</v>
      </c>
      <c r="AW1062" s="2">
        <v>18.1899352387105</v>
      </c>
      <c r="AX1062" s="2">
        <v>17.327068302129501</v>
      </c>
      <c r="AY1062" s="2">
        <v>17.954784682625</v>
      </c>
      <c r="AZ1062" s="2">
        <v>19.449832526651601</v>
      </c>
      <c r="BA1062" s="2">
        <v>15.804936664019801</v>
      </c>
      <c r="BB1062" s="2">
        <v>17.664406866520199</v>
      </c>
      <c r="BC1062" s="2">
        <v>15.556905351000401</v>
      </c>
      <c r="BD1062" s="2">
        <v>17.407061915860201</v>
      </c>
      <c r="BE1062" s="2">
        <v>19.584504266173798</v>
      </c>
      <c r="BF1062" s="2">
        <v>16.336247119162199</v>
      </c>
      <c r="BG1062" s="2">
        <v>16.003265348097798</v>
      </c>
      <c r="BH1062" s="2">
        <v>17.755467636116201</v>
      </c>
      <c r="BI1062" s="2">
        <v>19.458619481886</v>
      </c>
      <c r="BJ1062" s="2">
        <v>19.601709481704599</v>
      </c>
      <c r="BK1062" s="2">
        <v>19.572509279367502</v>
      </c>
      <c r="BL1062" s="2">
        <v>17.8535085824136</v>
      </c>
      <c r="BM1062" s="2">
        <v>17.393152698202499</v>
      </c>
      <c r="BN1062" s="2">
        <v>18.099252357746</v>
      </c>
      <c r="BO1062" s="2">
        <v>19.3205823374449</v>
      </c>
      <c r="BP1062" s="2">
        <v>17.150467453741499</v>
      </c>
      <c r="BQ1062" s="2">
        <v>18.353442617282202</v>
      </c>
      <c r="BR1062" s="2">
        <v>18.907653450179801</v>
      </c>
      <c r="BS1062" s="2">
        <v>18.5178569321418</v>
      </c>
      <c r="BT1062" s="2">
        <v>17.372839644764699</v>
      </c>
      <c r="BU1062" s="2">
        <v>17.487272994614901</v>
      </c>
      <c r="BV1062" s="2">
        <v>16.892674909025999</v>
      </c>
      <c r="BW1062" s="2">
        <v>16.3775569254381</v>
      </c>
      <c r="BX1062" s="2">
        <v>17.337176391362402</v>
      </c>
      <c r="BY1062" s="2">
        <v>19.640906923492501</v>
      </c>
      <c r="BZ1062" s="2">
        <v>16.2840899170447</v>
      </c>
      <c r="CA1062" s="2">
        <v>16.745151966701599</v>
      </c>
      <c r="CB1062" s="2">
        <v>18.176221466736401</v>
      </c>
      <c r="CC1062" s="2">
        <v>18.724579466221201</v>
      </c>
      <c r="CD1062" s="2">
        <v>19.916924897800602</v>
      </c>
      <c r="CE1062" s="2">
        <v>18.971259448242499</v>
      </c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</row>
    <row r="1063" spans="1:97">
      <c r="A1063" s="2" t="s">
        <v>9729</v>
      </c>
      <c r="B1063" s="2">
        <v>276.07664</v>
      </c>
      <c r="C1063" s="2">
        <v>0.83299999999999996</v>
      </c>
      <c r="D1063" s="2" t="s">
        <v>146</v>
      </c>
      <c r="E1063" s="2" t="s">
        <v>9730</v>
      </c>
      <c r="F1063" s="2" t="s">
        <v>9731</v>
      </c>
      <c r="G1063" s="2">
        <v>273260</v>
      </c>
      <c r="H1063" s="3" t="str">
        <f>HYPERLINK("https://cloud.oebiotech.com/#/lm/network/273260", "https://cloud.oebiotech.com/#/lm/network/273260")</f>
        <v>https://cloud.oebiotech.com/#/lm/network/273260</v>
      </c>
      <c r="I1063" s="2" t="s">
        <v>9732</v>
      </c>
      <c r="J1063" s="2">
        <v>58109</v>
      </c>
      <c r="K1063" s="2"/>
      <c r="L1063" s="2">
        <v>440055</v>
      </c>
      <c r="M1063" s="2" t="s">
        <v>9733</v>
      </c>
      <c r="N1063" s="2"/>
      <c r="O1063" s="2"/>
      <c r="P1063" s="2"/>
      <c r="Q1063" s="2"/>
      <c r="R1063" s="2"/>
      <c r="S1063" s="2" t="s">
        <v>9734</v>
      </c>
      <c r="T1063" s="2" t="s">
        <v>9735</v>
      </c>
      <c r="U1063" s="2" t="s">
        <v>9736</v>
      </c>
      <c r="V1063" s="2" t="s">
        <v>818</v>
      </c>
      <c r="W1063" s="2" t="s">
        <v>1873</v>
      </c>
      <c r="X1063" s="2" t="s">
        <v>9737</v>
      </c>
      <c r="Y1063" s="2" t="s">
        <v>820</v>
      </c>
      <c r="Z1063" s="2" t="s">
        <v>1874</v>
      </c>
      <c r="AA1063" s="2" t="s">
        <v>9738</v>
      </c>
      <c r="AB1063" s="2" t="s">
        <v>3086</v>
      </c>
      <c r="AC1063" s="2">
        <v>49.91</v>
      </c>
      <c r="AD1063" s="2">
        <v>75.010000000000005</v>
      </c>
      <c r="AE1063" s="2">
        <v>0</v>
      </c>
      <c r="AF1063" s="2" t="s">
        <v>5614</v>
      </c>
      <c r="AG1063" s="2" t="s">
        <v>4062</v>
      </c>
      <c r="AH1063" s="2" t="s">
        <v>9739</v>
      </c>
      <c r="AI1063" s="2">
        <v>-3.26</v>
      </c>
      <c r="AJ1063" s="2">
        <v>19.5899768622502</v>
      </c>
      <c r="AK1063" s="2">
        <v>20.468375931107499</v>
      </c>
      <c r="AL1063" s="2">
        <v>20.451646712593799</v>
      </c>
      <c r="AM1063" s="2">
        <v>20.036562411556801</v>
      </c>
      <c r="AN1063" s="2">
        <v>20.0218520565357</v>
      </c>
      <c r="AO1063" s="2">
        <v>20.120265940780801</v>
      </c>
      <c r="AP1063" s="2">
        <v>20.546765564040498</v>
      </c>
      <c r="AQ1063" s="2">
        <v>19.890455895983798</v>
      </c>
      <c r="AR1063" s="2">
        <v>19.7101875698282</v>
      </c>
      <c r="AS1063" s="2">
        <v>19.643222141677601</v>
      </c>
      <c r="AT1063" s="2">
        <v>20.062142489370999</v>
      </c>
      <c r="AU1063" s="2">
        <v>20.0113665805601</v>
      </c>
      <c r="AV1063" s="2">
        <v>20.335977603682299</v>
      </c>
      <c r="AW1063" s="2">
        <v>19.744145570844001</v>
      </c>
      <c r="AX1063" s="2">
        <v>19.758811050967498</v>
      </c>
      <c r="AY1063" s="2">
        <v>20.456142265018901</v>
      </c>
      <c r="AZ1063" s="2">
        <v>20.019781091300999</v>
      </c>
      <c r="BA1063" s="2">
        <v>19.943275516022499</v>
      </c>
      <c r="BB1063" s="2">
        <v>20.437260718559099</v>
      </c>
      <c r="BC1063" s="2">
        <v>20.537724409465</v>
      </c>
      <c r="BD1063" s="2">
        <v>20.928099936663301</v>
      </c>
      <c r="BE1063" s="2">
        <v>20.502951248224999</v>
      </c>
      <c r="BF1063" s="2">
        <v>20.359597159288999</v>
      </c>
      <c r="BG1063" s="2">
        <v>20.585228586084</v>
      </c>
      <c r="BH1063" s="2">
        <v>19.4839469783422</v>
      </c>
      <c r="BI1063" s="2">
        <v>19.925125858822099</v>
      </c>
      <c r="BJ1063" s="2">
        <v>20.416723268241299</v>
      </c>
      <c r="BK1063" s="2">
        <v>20.2908407943453</v>
      </c>
      <c r="BL1063" s="2">
        <v>20.396127689182801</v>
      </c>
      <c r="BM1063" s="2">
        <v>20.0834114397028</v>
      </c>
      <c r="BN1063" s="2">
        <v>20.124871699727802</v>
      </c>
      <c r="BO1063" s="2">
        <v>19.943079350655498</v>
      </c>
      <c r="BP1063" s="2">
        <v>20.3634253470216</v>
      </c>
      <c r="BQ1063" s="2">
        <v>19.8814787447394</v>
      </c>
      <c r="BR1063" s="2">
        <v>19.8431213850596</v>
      </c>
      <c r="BS1063" s="2">
        <v>20.584441230335401</v>
      </c>
      <c r="BT1063" s="2">
        <v>19.650452371353399</v>
      </c>
      <c r="BU1063" s="2">
        <v>19.754367899719199</v>
      </c>
      <c r="BV1063" s="2">
        <v>19.251752719561999</v>
      </c>
      <c r="BW1063" s="2">
        <v>20.8959307945061</v>
      </c>
      <c r="BX1063" s="2">
        <v>19.990729803869598</v>
      </c>
      <c r="BY1063" s="2">
        <v>20.698769650195199</v>
      </c>
      <c r="BZ1063" s="2">
        <v>20.464173220993999</v>
      </c>
      <c r="CA1063" s="2">
        <v>21.410828154903101</v>
      </c>
      <c r="CB1063" s="2">
        <v>19.781593665006</v>
      </c>
      <c r="CC1063" s="2">
        <v>20.581423438420799</v>
      </c>
      <c r="CD1063" s="2">
        <v>20.665716906959201</v>
      </c>
      <c r="CE1063" s="2">
        <v>20.205377778192702</v>
      </c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</row>
    <row r="1064" spans="1:97">
      <c r="A1064" s="2" t="s">
        <v>9740</v>
      </c>
      <c r="B1064" s="2">
        <v>223.06347</v>
      </c>
      <c r="C1064" s="2">
        <v>8.4209999999999994</v>
      </c>
      <c r="D1064" s="2" t="s">
        <v>84</v>
      </c>
      <c r="E1064" s="2" t="s">
        <v>9741</v>
      </c>
      <c r="F1064" s="2" t="s">
        <v>9742</v>
      </c>
      <c r="G1064" s="2">
        <v>57333</v>
      </c>
      <c r="H1064" s="3" t="str">
        <f>HYPERLINK("https://cloud.oebiotech.com/#/lm/network/57333", "https://cloud.oebiotech.com/#/lm/network/57333")</f>
        <v>https://cloud.oebiotech.com/#/lm/network/57333</v>
      </c>
      <c r="I1064" s="2" t="s">
        <v>9743</v>
      </c>
      <c r="J1064" s="2">
        <v>88963</v>
      </c>
      <c r="K1064" s="2"/>
      <c r="L1064" s="2">
        <v>85752107</v>
      </c>
      <c r="M1064" s="2"/>
      <c r="N1064" s="2"/>
      <c r="O1064" s="2"/>
      <c r="P1064" s="2">
        <v>174238</v>
      </c>
      <c r="Q1064" s="2"/>
      <c r="R1064" s="2"/>
      <c r="S1064" s="2"/>
      <c r="T1064" s="2" t="s">
        <v>9744</v>
      </c>
      <c r="U1064" s="2" t="s">
        <v>9745</v>
      </c>
      <c r="V1064" s="2" t="s">
        <v>9746</v>
      </c>
      <c r="W1064" s="2" t="s">
        <v>9747</v>
      </c>
      <c r="X1064" s="2" t="s">
        <v>375</v>
      </c>
      <c r="Y1064" s="2" t="s">
        <v>9748</v>
      </c>
      <c r="Z1064" s="2" t="s">
        <v>9749</v>
      </c>
      <c r="AA1064" s="2"/>
      <c r="AB1064" s="2" t="s">
        <v>3086</v>
      </c>
      <c r="AC1064" s="2">
        <v>49.91</v>
      </c>
      <c r="AD1064" s="2">
        <v>93.54</v>
      </c>
      <c r="AE1064" s="2">
        <v>0</v>
      </c>
      <c r="AF1064" s="2" t="s">
        <v>9750</v>
      </c>
      <c r="AG1064" s="2" t="s">
        <v>1088</v>
      </c>
      <c r="AH1064" s="2" t="s">
        <v>9751</v>
      </c>
      <c r="AI1064" s="2">
        <v>6.28</v>
      </c>
      <c r="AJ1064" s="2">
        <v>21.2654478765702</v>
      </c>
      <c r="AK1064" s="2">
        <v>22.244149118553899</v>
      </c>
      <c r="AL1064" s="2">
        <v>21.918134084026502</v>
      </c>
      <c r="AM1064" s="2">
        <v>22.0048623867632</v>
      </c>
      <c r="AN1064" s="2">
        <v>22.041423442084501</v>
      </c>
      <c r="AO1064" s="2">
        <v>22.1291681067305</v>
      </c>
      <c r="AP1064" s="2">
        <v>21.788894921920502</v>
      </c>
      <c r="AQ1064" s="2">
        <v>21.829882580135799</v>
      </c>
      <c r="AR1064" s="2">
        <v>22.685334520543499</v>
      </c>
      <c r="AS1064" s="2">
        <v>22.721700525722898</v>
      </c>
      <c r="AT1064" s="2">
        <v>21.8349836152344</v>
      </c>
      <c r="AU1064" s="2">
        <v>22.7892690912037</v>
      </c>
      <c r="AV1064" s="2">
        <v>22.5239321037675</v>
      </c>
      <c r="AW1064" s="2">
        <v>22.420212993430901</v>
      </c>
      <c r="AX1064" s="2">
        <v>21.974483288667301</v>
      </c>
      <c r="AY1064" s="2">
        <v>22.239409086875099</v>
      </c>
      <c r="AZ1064" s="2">
        <v>21.796320010878802</v>
      </c>
      <c r="BA1064" s="2">
        <v>22.859893788584898</v>
      </c>
      <c r="BB1064" s="2">
        <v>22.295534491214699</v>
      </c>
      <c r="BC1064" s="2">
        <v>22.849376623307698</v>
      </c>
      <c r="BD1064" s="2">
        <v>21.8968097739982</v>
      </c>
      <c r="BE1064" s="2">
        <v>22.266847411798899</v>
      </c>
      <c r="BF1064" s="2">
        <v>21.874958987669899</v>
      </c>
      <c r="BG1064" s="2">
        <v>22.567696107255401</v>
      </c>
      <c r="BH1064" s="2">
        <v>21.959612180718999</v>
      </c>
      <c r="BI1064" s="2">
        <v>22.5601005669374</v>
      </c>
      <c r="BJ1064" s="2">
        <v>22.430752002420402</v>
      </c>
      <c r="BK1064" s="2">
        <v>22.186508457943699</v>
      </c>
      <c r="BL1064" s="2">
        <v>22.430244313084799</v>
      </c>
      <c r="BM1064" s="2">
        <v>21.128431599837501</v>
      </c>
      <c r="BN1064" s="2">
        <v>21.863728786448402</v>
      </c>
      <c r="BO1064" s="2">
        <v>22.1300840143447</v>
      </c>
      <c r="BP1064" s="2">
        <v>22.372674933532299</v>
      </c>
      <c r="BQ1064" s="2">
        <v>22.1326211268366</v>
      </c>
      <c r="BR1064" s="2">
        <v>21.957181916149999</v>
      </c>
      <c r="BS1064" s="2">
        <v>21.5144590316844</v>
      </c>
      <c r="BT1064" s="2">
        <v>22.479315018747801</v>
      </c>
      <c r="BU1064" s="2">
        <v>22.156370655239598</v>
      </c>
      <c r="BV1064" s="2">
        <v>22.416361950395199</v>
      </c>
      <c r="BW1064" s="2">
        <v>21.690353090456099</v>
      </c>
      <c r="BX1064" s="2">
        <v>22.379311932847699</v>
      </c>
      <c r="BY1064" s="2">
        <v>21.878184540707501</v>
      </c>
      <c r="BZ1064" s="2">
        <v>21.915611082945698</v>
      </c>
      <c r="CA1064" s="2">
        <v>20.8413906877893</v>
      </c>
      <c r="CB1064" s="2">
        <v>21.999014825690899</v>
      </c>
      <c r="CC1064" s="2">
        <v>21.609399722648799</v>
      </c>
      <c r="CD1064" s="2">
        <v>21.556316820819202</v>
      </c>
      <c r="CE1064" s="2">
        <v>22.0367360627247</v>
      </c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</row>
    <row r="1065" spans="1:97">
      <c r="A1065" s="2" t="s">
        <v>9752</v>
      </c>
      <c r="B1065" s="2">
        <v>189.03432000000001</v>
      </c>
      <c r="C1065" s="2">
        <v>0.71799999999999997</v>
      </c>
      <c r="D1065" s="2" t="s">
        <v>146</v>
      </c>
      <c r="E1065" s="2" t="s">
        <v>9753</v>
      </c>
      <c r="F1065" s="2" t="s">
        <v>9754</v>
      </c>
      <c r="G1065" s="2">
        <v>53820</v>
      </c>
      <c r="H1065" s="3" t="str">
        <f>HYPERLINK("https://cloud.oebiotech.com/#/lm/network/53820", "https://cloud.oebiotech.com/#/lm/network/53820")</f>
        <v>https://cloud.oebiotech.com/#/lm/network/53820</v>
      </c>
      <c r="I1065" s="2" t="s">
        <v>9755</v>
      </c>
      <c r="J1065" s="2">
        <v>85698</v>
      </c>
      <c r="K1065" s="2"/>
      <c r="L1065" s="2">
        <v>21759496</v>
      </c>
      <c r="M1065" s="2"/>
      <c r="N1065" s="2"/>
      <c r="O1065" s="2"/>
      <c r="P1065" s="2"/>
      <c r="Q1065" s="2"/>
      <c r="R1065" s="2"/>
      <c r="S1065" s="2"/>
      <c r="T1065" s="2" t="s">
        <v>9756</v>
      </c>
      <c r="U1065" s="2" t="s">
        <v>9757</v>
      </c>
      <c r="V1065" s="2" t="s">
        <v>115</v>
      </c>
      <c r="W1065" s="2" t="s">
        <v>116</v>
      </c>
      <c r="X1065" s="2" t="s">
        <v>117</v>
      </c>
      <c r="Y1065" s="2" t="s">
        <v>118</v>
      </c>
      <c r="Z1065" s="2" t="s">
        <v>119</v>
      </c>
      <c r="AA1065" s="2" t="s">
        <v>120</v>
      </c>
      <c r="AB1065" s="2" t="s">
        <v>3086</v>
      </c>
      <c r="AC1065" s="2">
        <v>49.89</v>
      </c>
      <c r="AD1065" s="2">
        <v>92.82</v>
      </c>
      <c r="AE1065" s="2">
        <v>0</v>
      </c>
      <c r="AF1065" s="2" t="s">
        <v>5614</v>
      </c>
      <c r="AG1065" s="2" t="s">
        <v>993</v>
      </c>
      <c r="AH1065" s="2" t="s">
        <v>9758</v>
      </c>
      <c r="AI1065" s="2">
        <v>-4.76</v>
      </c>
      <c r="AJ1065" s="2">
        <v>19.093676826939799</v>
      </c>
      <c r="AK1065" s="2">
        <v>18.843729743414499</v>
      </c>
      <c r="AL1065" s="2">
        <v>19.251406728909799</v>
      </c>
      <c r="AM1065" s="2">
        <v>18.9312790779484</v>
      </c>
      <c r="AN1065" s="2">
        <v>18.323210971698199</v>
      </c>
      <c r="AO1065" s="2">
        <v>19.317406077244801</v>
      </c>
      <c r="AP1065" s="2">
        <v>19.358934108394699</v>
      </c>
      <c r="AQ1065" s="2">
        <v>19.0654376194721</v>
      </c>
      <c r="AR1065" s="2">
        <v>18.657456696579398</v>
      </c>
      <c r="AS1065" s="2">
        <v>17.2592608076171</v>
      </c>
      <c r="AT1065" s="2">
        <v>18.058024605105899</v>
      </c>
      <c r="AU1065" s="2">
        <v>16.412370212107302</v>
      </c>
      <c r="AV1065" s="2">
        <v>16.2702807242216</v>
      </c>
      <c r="AW1065" s="2">
        <v>18.252940715561401</v>
      </c>
      <c r="AX1065" s="2">
        <v>18.1514949589642</v>
      </c>
      <c r="AY1065" s="2">
        <v>19.421246314614802</v>
      </c>
      <c r="AZ1065" s="2">
        <v>18.998864247426798</v>
      </c>
      <c r="BA1065" s="2">
        <v>17.805796889212701</v>
      </c>
      <c r="BB1065" s="2">
        <v>19.347173635803902</v>
      </c>
      <c r="BC1065" s="2">
        <v>19.583132270391001</v>
      </c>
      <c r="BD1065" s="2">
        <v>15.815573177451601</v>
      </c>
      <c r="BE1065" s="2">
        <v>16.053810091446501</v>
      </c>
      <c r="BF1065" s="2">
        <v>15.991659793650699</v>
      </c>
      <c r="BG1065" s="2">
        <v>19.666766125379802</v>
      </c>
      <c r="BH1065" s="2">
        <v>17.8403760674274</v>
      </c>
      <c r="BI1065" s="2">
        <v>17.628650227341598</v>
      </c>
      <c r="BJ1065" s="2">
        <v>16.7407249600497</v>
      </c>
      <c r="BK1065" s="2">
        <v>16.588240734314098</v>
      </c>
      <c r="BL1065" s="2">
        <v>9.6233145402724691</v>
      </c>
      <c r="BM1065" s="2">
        <v>17.594721806541902</v>
      </c>
      <c r="BN1065" s="2">
        <v>17.8374830651256</v>
      </c>
      <c r="BO1065" s="2">
        <v>17.9662654221172</v>
      </c>
      <c r="BP1065" s="2">
        <v>17.6906093579924</v>
      </c>
      <c r="BQ1065" s="2">
        <v>18.669543615989198</v>
      </c>
      <c r="BR1065" s="2">
        <v>19.040095648877699</v>
      </c>
      <c r="BS1065" s="2">
        <v>18.2734538764409</v>
      </c>
      <c r="BT1065" s="2">
        <v>17.7912934029948</v>
      </c>
      <c r="BU1065" s="2">
        <v>18.384304545301799</v>
      </c>
      <c r="BV1065" s="2">
        <v>18.993206538009598</v>
      </c>
      <c r="BW1065" s="2">
        <v>16.200537158221699</v>
      </c>
      <c r="BX1065" s="2">
        <v>16.503372185281499</v>
      </c>
      <c r="BY1065" s="2">
        <v>18.883929900782402</v>
      </c>
      <c r="BZ1065" s="2">
        <v>23.749608922319499</v>
      </c>
      <c r="CA1065" s="2">
        <v>16.8501219940411</v>
      </c>
      <c r="CB1065" s="2">
        <v>17.3212792469518</v>
      </c>
      <c r="CC1065" s="2">
        <v>16.235557669987202</v>
      </c>
      <c r="CD1065" s="2">
        <v>18.248715437887</v>
      </c>
      <c r="CE1065" s="2">
        <v>16.832627616951001</v>
      </c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</row>
    <row r="1066" spans="1:97">
      <c r="A1066" s="2" t="s">
        <v>9759</v>
      </c>
      <c r="B1066" s="2">
        <v>395.12664000000001</v>
      </c>
      <c r="C1066" s="2">
        <v>7.766</v>
      </c>
      <c r="D1066" s="2" t="s">
        <v>84</v>
      </c>
      <c r="E1066" s="2" t="s">
        <v>9760</v>
      </c>
      <c r="F1066" s="2" t="s">
        <v>9761</v>
      </c>
      <c r="G1066" s="2">
        <v>201043</v>
      </c>
      <c r="H1066" s="3" t="str">
        <f>HYPERLINK("https://cloud.oebiotech.com/#/lm/network/201043", "https://cloud.oebiotech.com/#/lm/network/201043")</f>
        <v>https://cloud.oebiotech.com/#/lm/network/201043</v>
      </c>
      <c r="I1066" s="2" t="s">
        <v>9762</v>
      </c>
      <c r="J1066" s="2"/>
      <c r="K1066" s="2"/>
      <c r="L1066" s="2">
        <v>9930560</v>
      </c>
      <c r="M1066" s="2"/>
      <c r="N1066" s="2"/>
      <c r="O1066" s="2"/>
      <c r="P1066" s="2"/>
      <c r="Q1066" s="2"/>
      <c r="R1066" s="2"/>
      <c r="S1066" s="2"/>
      <c r="T1066" s="2" t="s">
        <v>9763</v>
      </c>
      <c r="U1066" s="2" t="s">
        <v>9764</v>
      </c>
      <c r="V1066" s="2" t="s">
        <v>553</v>
      </c>
      <c r="W1066" s="2" t="s">
        <v>933</v>
      </c>
      <c r="X1066" s="2" t="s">
        <v>9765</v>
      </c>
      <c r="Y1066" s="2" t="s">
        <v>556</v>
      </c>
      <c r="Z1066" s="2" t="s">
        <v>935</v>
      </c>
      <c r="AA1066" s="2" t="s">
        <v>9766</v>
      </c>
      <c r="AB1066" s="2" t="s">
        <v>5118</v>
      </c>
      <c r="AC1066" s="2">
        <v>49.89</v>
      </c>
      <c r="AD1066" s="2">
        <v>64.239999999999995</v>
      </c>
      <c r="AE1066" s="2">
        <v>51.25</v>
      </c>
      <c r="AF1066" s="2" t="s">
        <v>9767</v>
      </c>
      <c r="AG1066" s="2" t="s">
        <v>103</v>
      </c>
      <c r="AH1066" s="2" t="s">
        <v>9768</v>
      </c>
      <c r="AI1066" s="2">
        <v>0.76</v>
      </c>
      <c r="AJ1066" s="2">
        <v>17.804683814723699</v>
      </c>
      <c r="AK1066" s="2">
        <v>17.6344473533124</v>
      </c>
      <c r="AL1066" s="2">
        <v>17.107190200567999</v>
      </c>
      <c r="AM1066" s="2">
        <v>17.949999470075099</v>
      </c>
      <c r="AN1066" s="2">
        <v>18.065786985187898</v>
      </c>
      <c r="AO1066" s="2">
        <v>17.652334604975</v>
      </c>
      <c r="AP1066" s="2">
        <v>17.594865964990198</v>
      </c>
      <c r="AQ1066" s="2">
        <v>17.565445228152999</v>
      </c>
      <c r="AR1066" s="2">
        <v>9.6233145402724691</v>
      </c>
      <c r="AS1066" s="2">
        <v>9.6233145402724691</v>
      </c>
      <c r="AT1066" s="2">
        <v>17.903826254127701</v>
      </c>
      <c r="AU1066" s="2">
        <v>19.388895025055099</v>
      </c>
      <c r="AV1066" s="2">
        <v>17.773156531837401</v>
      </c>
      <c r="AW1066" s="2">
        <v>19.028525825407002</v>
      </c>
      <c r="AX1066" s="2">
        <v>18.5096353076021</v>
      </c>
      <c r="AY1066" s="2">
        <v>18.323135001686801</v>
      </c>
      <c r="AZ1066" s="2">
        <v>16.562358708197401</v>
      </c>
      <c r="BA1066" s="2">
        <v>16.722811799491801</v>
      </c>
      <c r="BB1066" s="2">
        <v>9.6233145402724691</v>
      </c>
      <c r="BC1066" s="2">
        <v>9.6233145402724691</v>
      </c>
      <c r="BD1066" s="2">
        <v>19.483592562411701</v>
      </c>
      <c r="BE1066" s="2">
        <v>16.3487202022378</v>
      </c>
      <c r="BF1066" s="2">
        <v>17.2412017823596</v>
      </c>
      <c r="BG1066" s="2">
        <v>9.6233145402724691</v>
      </c>
      <c r="BH1066" s="2">
        <v>19.509926610603902</v>
      </c>
      <c r="BI1066" s="2">
        <v>20.034420663791199</v>
      </c>
      <c r="BJ1066" s="2">
        <v>9.6233145402724691</v>
      </c>
      <c r="BK1066" s="2">
        <v>18.8394448159614</v>
      </c>
      <c r="BL1066" s="2">
        <v>14.3311044834778</v>
      </c>
      <c r="BM1066" s="2">
        <v>19.0165854332318</v>
      </c>
      <c r="BN1066" s="2">
        <v>18.3168534133764</v>
      </c>
      <c r="BO1066" s="2">
        <v>13.756975310381</v>
      </c>
      <c r="BP1066" s="2">
        <v>18.250548571071601</v>
      </c>
      <c r="BQ1066" s="2">
        <v>16.700000052914199</v>
      </c>
      <c r="BR1066" s="2">
        <v>9.6233145402724691</v>
      </c>
      <c r="BS1066" s="2">
        <v>15.4415828785845</v>
      </c>
      <c r="BT1066" s="2">
        <v>9.6233145402724691</v>
      </c>
      <c r="BU1066" s="2">
        <v>18.529028575988601</v>
      </c>
      <c r="BV1066" s="2">
        <v>9.6233145402724691</v>
      </c>
      <c r="BW1066" s="2">
        <v>9.6233145402724691</v>
      </c>
      <c r="BX1066" s="2">
        <v>20.026505949585101</v>
      </c>
      <c r="BY1066" s="2">
        <v>19.869196861949899</v>
      </c>
      <c r="BZ1066" s="2">
        <v>9.6233145402724691</v>
      </c>
      <c r="CA1066" s="2">
        <v>9.6233145402724691</v>
      </c>
      <c r="CB1066" s="2">
        <v>9.6233145402724691</v>
      </c>
      <c r="CC1066" s="2">
        <v>16.113212288478501</v>
      </c>
      <c r="CD1066" s="2">
        <v>17.348779408961899</v>
      </c>
      <c r="CE1066" s="2">
        <v>17.428053580519801</v>
      </c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</row>
    <row r="1067" spans="1:97">
      <c r="A1067" s="2" t="s">
        <v>9769</v>
      </c>
      <c r="B1067" s="2">
        <v>315.09629999999999</v>
      </c>
      <c r="C1067" s="2">
        <v>0.78700000000000003</v>
      </c>
      <c r="D1067" s="2" t="s">
        <v>84</v>
      </c>
      <c r="E1067" s="2" t="s">
        <v>9770</v>
      </c>
      <c r="F1067" s="2" t="s">
        <v>9771</v>
      </c>
      <c r="G1067" s="2">
        <v>46970</v>
      </c>
      <c r="H1067" s="3" t="str">
        <f>HYPERLINK("https://cloud.oebiotech.com/#/lm/network/46970", "https://cloud.oebiotech.com/#/lm/network/46970")</f>
        <v>https://cloud.oebiotech.com/#/lm/network/46970</v>
      </c>
      <c r="I1067" s="2" t="s">
        <v>9772</v>
      </c>
      <c r="J1067" s="2">
        <v>383</v>
      </c>
      <c r="K1067" s="2"/>
      <c r="L1067" s="2">
        <v>160556</v>
      </c>
      <c r="M1067" s="2" t="s">
        <v>9773</v>
      </c>
      <c r="N1067" s="2" t="s">
        <v>1030</v>
      </c>
      <c r="O1067" s="2" t="s">
        <v>1031</v>
      </c>
      <c r="P1067" s="2">
        <v>16927</v>
      </c>
      <c r="Q1067" s="2" t="s">
        <v>5434</v>
      </c>
      <c r="R1067" s="2" t="s">
        <v>5435</v>
      </c>
      <c r="S1067" s="2" t="s">
        <v>9774</v>
      </c>
      <c r="T1067" s="2" t="s">
        <v>9775</v>
      </c>
      <c r="U1067" s="2" t="s">
        <v>9776</v>
      </c>
      <c r="V1067" s="2" t="s">
        <v>115</v>
      </c>
      <c r="W1067" s="2" t="s">
        <v>116</v>
      </c>
      <c r="X1067" s="2" t="s">
        <v>117</v>
      </c>
      <c r="Y1067" s="2" t="s">
        <v>118</v>
      </c>
      <c r="Z1067" s="2" t="s">
        <v>119</v>
      </c>
      <c r="AA1067" s="2" t="s">
        <v>120</v>
      </c>
      <c r="AB1067" s="2" t="s">
        <v>3086</v>
      </c>
      <c r="AC1067" s="2">
        <v>49.88</v>
      </c>
      <c r="AD1067" s="2">
        <v>72.36</v>
      </c>
      <c r="AE1067" s="2">
        <v>0</v>
      </c>
      <c r="AF1067" s="2" t="s">
        <v>5614</v>
      </c>
      <c r="AG1067" s="2" t="s">
        <v>3544</v>
      </c>
      <c r="AH1067" s="2" t="s">
        <v>9777</v>
      </c>
      <c r="AI1067" s="2">
        <v>-3.17</v>
      </c>
      <c r="AJ1067" s="2">
        <v>22.613493256437099</v>
      </c>
      <c r="AK1067" s="2">
        <v>23.287922303173101</v>
      </c>
      <c r="AL1067" s="2">
        <v>22.503000789599099</v>
      </c>
      <c r="AM1067" s="2">
        <v>22.416776775564699</v>
      </c>
      <c r="AN1067" s="2">
        <v>22.933947247073199</v>
      </c>
      <c r="AO1067" s="2">
        <v>22.477638842460301</v>
      </c>
      <c r="AP1067" s="2">
        <v>22.9083947960359</v>
      </c>
      <c r="AQ1067" s="2">
        <v>23.102850985704102</v>
      </c>
      <c r="AR1067" s="2">
        <v>22.868223165764199</v>
      </c>
      <c r="AS1067" s="2">
        <v>22.329808639885499</v>
      </c>
      <c r="AT1067" s="2">
        <v>23.159524518032999</v>
      </c>
      <c r="AU1067" s="2">
        <v>22.7207321358012</v>
      </c>
      <c r="AV1067" s="2">
        <v>23.3014962061464</v>
      </c>
      <c r="AW1067" s="2">
        <v>23.009790545625201</v>
      </c>
      <c r="AX1067" s="2">
        <v>22.416975296520999</v>
      </c>
      <c r="AY1067" s="2">
        <v>23.241407838032298</v>
      </c>
      <c r="AZ1067" s="2">
        <v>22.4719698688113</v>
      </c>
      <c r="BA1067" s="2">
        <v>23.248190723542599</v>
      </c>
      <c r="BB1067" s="2">
        <v>23.167350450532201</v>
      </c>
      <c r="BC1067" s="2">
        <v>21.858617728413201</v>
      </c>
      <c r="BD1067" s="2">
        <v>23.800998405751798</v>
      </c>
      <c r="BE1067" s="2">
        <v>23.081690877297401</v>
      </c>
      <c r="BF1067" s="2">
        <v>23.649624444341001</v>
      </c>
      <c r="BG1067" s="2">
        <v>22.748881294749399</v>
      </c>
      <c r="BH1067" s="2">
        <v>22.955076651494998</v>
      </c>
      <c r="BI1067" s="2">
        <v>21.866514701714401</v>
      </c>
      <c r="BJ1067" s="2">
        <v>21.924239817897</v>
      </c>
      <c r="BK1067" s="2">
        <v>22.9203641326053</v>
      </c>
      <c r="BL1067" s="2">
        <v>22.665455743077899</v>
      </c>
      <c r="BM1067" s="2">
        <v>22.847049345578199</v>
      </c>
      <c r="BN1067" s="2">
        <v>22.506835023516398</v>
      </c>
      <c r="BO1067" s="2">
        <v>22.434895763138201</v>
      </c>
      <c r="BP1067" s="2">
        <v>22.479609200039601</v>
      </c>
      <c r="BQ1067" s="2">
        <v>23.182688165380899</v>
      </c>
      <c r="BR1067" s="2">
        <v>22.535846840820799</v>
      </c>
      <c r="BS1067" s="2">
        <v>21.060281808732999</v>
      </c>
      <c r="BT1067" s="2">
        <v>22.2137529309379</v>
      </c>
      <c r="BU1067" s="2">
        <v>23.370485984623201</v>
      </c>
      <c r="BV1067" s="2">
        <v>22.215566775782499</v>
      </c>
      <c r="BW1067" s="2">
        <v>23.348539583758999</v>
      </c>
      <c r="BX1067" s="2">
        <v>22.8297796369224</v>
      </c>
      <c r="BY1067" s="2">
        <v>21.308574220908099</v>
      </c>
      <c r="BZ1067" s="2">
        <v>23.035851638733</v>
      </c>
      <c r="CA1067" s="2">
        <v>22.317709331755299</v>
      </c>
      <c r="CB1067" s="2">
        <v>22.951195390513998</v>
      </c>
      <c r="CC1067" s="2">
        <v>22.2529391857144</v>
      </c>
      <c r="CD1067" s="2">
        <v>22.098149773143898</v>
      </c>
      <c r="CE1067" s="2">
        <v>22.4909706047025</v>
      </c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</row>
    <row r="1068" spans="1:97">
      <c r="A1068" s="2" t="s">
        <v>9778</v>
      </c>
      <c r="B1068" s="2">
        <v>572.37036000000001</v>
      </c>
      <c r="C1068" s="2">
        <v>11.574</v>
      </c>
      <c r="D1068" s="2" t="s">
        <v>146</v>
      </c>
      <c r="E1068" s="2" t="s">
        <v>9779</v>
      </c>
      <c r="F1068" s="2" t="s">
        <v>9780</v>
      </c>
      <c r="G1068" s="2">
        <v>18546</v>
      </c>
      <c r="H1068" s="3" t="str">
        <f>HYPERLINK("https://cloud.oebiotech.com/#/lm/network/18546", "https://cloud.oebiotech.com/#/lm/network/18546")</f>
        <v>https://cloud.oebiotech.com/#/lm/network/18546</v>
      </c>
      <c r="I1068" s="2"/>
      <c r="J1068" s="2">
        <v>39955</v>
      </c>
      <c r="K1068" s="2" t="s">
        <v>9781</v>
      </c>
      <c r="L1068" s="2">
        <v>24779222</v>
      </c>
      <c r="M1068" s="2"/>
      <c r="N1068" s="2"/>
      <c r="O1068" s="2"/>
      <c r="P1068" s="2"/>
      <c r="Q1068" s="2"/>
      <c r="R1068" s="2"/>
      <c r="S1068" s="2"/>
      <c r="T1068" s="2" t="s">
        <v>9782</v>
      </c>
      <c r="U1068" s="2" t="s">
        <v>9783</v>
      </c>
      <c r="V1068" s="2" t="s">
        <v>95</v>
      </c>
      <c r="W1068" s="2" t="s">
        <v>202</v>
      </c>
      <c r="X1068" s="2" t="s">
        <v>203</v>
      </c>
      <c r="Y1068" s="2" t="s">
        <v>98</v>
      </c>
      <c r="Z1068" s="2" t="s">
        <v>204</v>
      </c>
      <c r="AA1068" s="2" t="s">
        <v>205</v>
      </c>
      <c r="AB1068" s="2" t="s">
        <v>3086</v>
      </c>
      <c r="AC1068" s="2">
        <v>49.88</v>
      </c>
      <c r="AD1068" s="2">
        <v>78.760000000000005</v>
      </c>
      <c r="AE1068" s="2">
        <v>0</v>
      </c>
      <c r="AF1068" s="2" t="s">
        <v>5614</v>
      </c>
      <c r="AG1068" s="2" t="s">
        <v>993</v>
      </c>
      <c r="AH1068" s="2" t="s">
        <v>9784</v>
      </c>
      <c r="AI1068" s="2">
        <v>2.1</v>
      </c>
      <c r="AJ1068" s="2">
        <v>17.892146051789801</v>
      </c>
      <c r="AK1068" s="2">
        <v>17.736546875354001</v>
      </c>
      <c r="AL1068" s="2">
        <v>17.387067260061599</v>
      </c>
      <c r="AM1068" s="2">
        <v>17.628350128177999</v>
      </c>
      <c r="AN1068" s="2">
        <v>17.7756323983477</v>
      </c>
      <c r="AO1068" s="2">
        <v>17.2055146432462</v>
      </c>
      <c r="AP1068" s="2">
        <v>17.777770865803099</v>
      </c>
      <c r="AQ1068" s="2">
        <v>17.5252156783936</v>
      </c>
      <c r="AR1068" s="2">
        <v>17.548581343924901</v>
      </c>
      <c r="AS1068" s="2">
        <v>16.775382141198101</v>
      </c>
      <c r="AT1068" s="2">
        <v>17.068422786674301</v>
      </c>
      <c r="AU1068" s="2">
        <v>17.2544240305443</v>
      </c>
      <c r="AV1068" s="2">
        <v>17.393459841898501</v>
      </c>
      <c r="AW1068" s="2">
        <v>17.108054650906801</v>
      </c>
      <c r="AX1068" s="2">
        <v>17.5326399948781</v>
      </c>
      <c r="AY1068" s="2">
        <v>16.9666921078779</v>
      </c>
      <c r="AZ1068" s="2">
        <v>17.584449855489002</v>
      </c>
      <c r="BA1068" s="2">
        <v>15.7264071067946</v>
      </c>
      <c r="BB1068" s="2">
        <v>17.414966695723699</v>
      </c>
      <c r="BC1068" s="2">
        <v>18.268828659578201</v>
      </c>
      <c r="BD1068" s="2">
        <v>17.498696451113499</v>
      </c>
      <c r="BE1068" s="2">
        <v>17.894765136466301</v>
      </c>
      <c r="BF1068" s="2">
        <v>16.388324767330499</v>
      </c>
      <c r="BG1068" s="2">
        <v>17.434034502014999</v>
      </c>
      <c r="BH1068" s="2">
        <v>17.180890406787501</v>
      </c>
      <c r="BI1068" s="2">
        <v>17.0985693119584</v>
      </c>
      <c r="BJ1068" s="2">
        <v>17.5863294956124</v>
      </c>
      <c r="BK1068" s="2">
        <v>17.092270194588899</v>
      </c>
      <c r="BL1068" s="2">
        <v>17.456710552529799</v>
      </c>
      <c r="BM1068" s="2">
        <v>17.162585461092601</v>
      </c>
      <c r="BN1068" s="2">
        <v>17.049001589463</v>
      </c>
      <c r="BO1068" s="2">
        <v>17.400158475535601</v>
      </c>
      <c r="BP1068" s="2">
        <v>17.378426020980001</v>
      </c>
      <c r="BQ1068" s="2">
        <v>17.343455102349601</v>
      </c>
      <c r="BR1068" s="2">
        <v>17.186610467600101</v>
      </c>
      <c r="BS1068" s="2">
        <v>17.778719231364001</v>
      </c>
      <c r="BT1068" s="2">
        <v>17.672009040194698</v>
      </c>
      <c r="BU1068" s="2">
        <v>17.075816823784098</v>
      </c>
      <c r="BV1068" s="2">
        <v>18.067418131606502</v>
      </c>
      <c r="BW1068" s="2">
        <v>16.465779694156701</v>
      </c>
      <c r="BX1068" s="2">
        <v>16.956395897059998</v>
      </c>
      <c r="BY1068" s="2">
        <v>17.793426708026001</v>
      </c>
      <c r="BZ1068" s="2">
        <v>17.348400703296999</v>
      </c>
      <c r="CA1068" s="2">
        <v>17.721939799186501</v>
      </c>
      <c r="CB1068" s="2">
        <v>16.791484955439401</v>
      </c>
      <c r="CC1068" s="2">
        <v>17.341783484167099</v>
      </c>
      <c r="CD1068" s="2">
        <v>17.776591743816301</v>
      </c>
      <c r="CE1068" s="2">
        <v>16.493921729650602</v>
      </c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</row>
    <row r="1069" spans="1:97">
      <c r="A1069" s="2" t="s">
        <v>9785</v>
      </c>
      <c r="B1069" s="2">
        <v>655.25630000000001</v>
      </c>
      <c r="C1069" s="2">
        <v>10.042</v>
      </c>
      <c r="D1069" s="2" t="s">
        <v>146</v>
      </c>
      <c r="E1069" s="2" t="s">
        <v>9786</v>
      </c>
      <c r="F1069" s="2" t="s">
        <v>9787</v>
      </c>
      <c r="G1069" s="2">
        <v>33905</v>
      </c>
      <c r="H1069" s="3" t="str">
        <f>HYPERLINK("https://cloud.oebiotech.com/#/lm/network/33905", "https://cloud.oebiotech.com/#/lm/network/33905")</f>
        <v>https://cloud.oebiotech.com/#/lm/network/33905</v>
      </c>
      <c r="I1069" s="2"/>
      <c r="J1069" s="2"/>
      <c r="K1069" s="2" t="s">
        <v>9788</v>
      </c>
      <c r="L1069" s="2">
        <v>21638390</v>
      </c>
      <c r="M1069" s="2"/>
      <c r="N1069" s="2"/>
      <c r="O1069" s="2"/>
      <c r="P1069" s="2"/>
      <c r="Q1069" s="2"/>
      <c r="R1069" s="2"/>
      <c r="S1069" s="2"/>
      <c r="T1069" s="2" t="s">
        <v>9789</v>
      </c>
      <c r="U1069" s="2" t="s">
        <v>9790</v>
      </c>
      <c r="V1069" s="2" t="s">
        <v>845</v>
      </c>
      <c r="W1069" s="2" t="s">
        <v>970</v>
      </c>
      <c r="X1069" s="2" t="s">
        <v>971</v>
      </c>
      <c r="Y1069" s="2" t="s">
        <v>847</v>
      </c>
      <c r="Z1069" s="2" t="s">
        <v>972</v>
      </c>
      <c r="AA1069" s="2" t="s">
        <v>973</v>
      </c>
      <c r="AB1069" s="2" t="s">
        <v>3086</v>
      </c>
      <c r="AC1069" s="2">
        <v>49.83</v>
      </c>
      <c r="AD1069" s="2">
        <v>73.02</v>
      </c>
      <c r="AE1069" s="2">
        <v>0</v>
      </c>
      <c r="AF1069" s="2" t="s">
        <v>5614</v>
      </c>
      <c r="AG1069" s="2" t="s">
        <v>3880</v>
      </c>
      <c r="AH1069" s="2" t="s">
        <v>9791</v>
      </c>
      <c r="AI1069" s="2">
        <v>-2.14</v>
      </c>
      <c r="AJ1069" s="2">
        <v>18.1147358738307</v>
      </c>
      <c r="AK1069" s="2">
        <v>18.346309203557301</v>
      </c>
      <c r="AL1069" s="2">
        <v>18.029806087540599</v>
      </c>
      <c r="AM1069" s="2">
        <v>17.872567635953299</v>
      </c>
      <c r="AN1069" s="2">
        <v>17.8538788445818</v>
      </c>
      <c r="AO1069" s="2">
        <v>18.0982655065473</v>
      </c>
      <c r="AP1069" s="2">
        <v>17.896616458568701</v>
      </c>
      <c r="AQ1069" s="2">
        <v>18.048500071390102</v>
      </c>
      <c r="AR1069" s="2">
        <v>18.206558208993702</v>
      </c>
      <c r="AS1069" s="2">
        <v>18.228282558298901</v>
      </c>
      <c r="AT1069" s="2">
        <v>18.146302908920699</v>
      </c>
      <c r="AU1069" s="2">
        <v>18.163254938562201</v>
      </c>
      <c r="AV1069" s="2">
        <v>17.495305809673301</v>
      </c>
      <c r="AW1069" s="2">
        <v>18.313630532262099</v>
      </c>
      <c r="AX1069" s="2">
        <v>18.341567902534301</v>
      </c>
      <c r="AY1069" s="2">
        <v>18.3777068375271</v>
      </c>
      <c r="AZ1069" s="2">
        <v>18.3999871047263</v>
      </c>
      <c r="BA1069" s="2">
        <v>18.179146975151799</v>
      </c>
      <c r="BB1069" s="2">
        <v>18.3634145987069</v>
      </c>
      <c r="BC1069" s="2">
        <v>18.1847472790609</v>
      </c>
      <c r="BD1069" s="2">
        <v>18.205495504398002</v>
      </c>
      <c r="BE1069" s="2">
        <v>18.268584808657899</v>
      </c>
      <c r="BF1069" s="2">
        <v>18.057557891090902</v>
      </c>
      <c r="BG1069" s="2">
        <v>18.256229285933902</v>
      </c>
      <c r="BH1069" s="2">
        <v>18.238871927277099</v>
      </c>
      <c r="BI1069" s="2">
        <v>17.663230567148901</v>
      </c>
      <c r="BJ1069" s="2">
        <v>18.1787293736792</v>
      </c>
      <c r="BK1069" s="2">
        <v>18.139382176734301</v>
      </c>
      <c r="BL1069" s="2">
        <v>17.953684022709702</v>
      </c>
      <c r="BM1069" s="2">
        <v>18.1697462874052</v>
      </c>
      <c r="BN1069" s="2">
        <v>18.1591031438874</v>
      </c>
      <c r="BO1069" s="2">
        <v>18.1113135401602</v>
      </c>
      <c r="BP1069" s="2">
        <v>18.257016328882202</v>
      </c>
      <c r="BQ1069" s="2">
        <v>18.2240306054623</v>
      </c>
      <c r="BR1069" s="2">
        <v>18.131900256079501</v>
      </c>
      <c r="BS1069" s="2">
        <v>18.130154499336399</v>
      </c>
      <c r="BT1069" s="2">
        <v>17.723556095126799</v>
      </c>
      <c r="BU1069" s="2">
        <v>18.020559084239999</v>
      </c>
      <c r="BV1069" s="2">
        <v>18.183981515428702</v>
      </c>
      <c r="BW1069" s="2">
        <v>18.1496951784526</v>
      </c>
      <c r="BX1069" s="2">
        <v>18.198598319657702</v>
      </c>
      <c r="BY1069" s="2">
        <v>18.003706592493099</v>
      </c>
      <c r="BZ1069" s="2">
        <v>18.2104258326608</v>
      </c>
      <c r="CA1069" s="2">
        <v>17.970598507801899</v>
      </c>
      <c r="CB1069" s="2">
        <v>18.002247066759399</v>
      </c>
      <c r="CC1069" s="2">
        <v>18.344084950363499</v>
      </c>
      <c r="CD1069" s="2">
        <v>18.190139014062002</v>
      </c>
      <c r="CE1069" s="2">
        <v>18.288447605971601</v>
      </c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</row>
    <row r="1070" spans="1:97">
      <c r="A1070" s="2" t="s">
        <v>9792</v>
      </c>
      <c r="B1070" s="2">
        <v>233.07831999999999</v>
      </c>
      <c r="C1070" s="2">
        <v>5.819</v>
      </c>
      <c r="D1070" s="2" t="s">
        <v>84</v>
      </c>
      <c r="E1070" s="2" t="s">
        <v>9793</v>
      </c>
      <c r="F1070" s="2" t="s">
        <v>9794</v>
      </c>
      <c r="G1070" s="2">
        <v>197109</v>
      </c>
      <c r="H1070" s="3" t="str">
        <f>HYPERLINK("https://cloud.oebiotech.com/#/lm/network/197109", "https://cloud.oebiotech.com/#/lm/network/197109")</f>
        <v>https://cloud.oebiotech.com/#/lm/network/197109</v>
      </c>
      <c r="I1070" s="2" t="s">
        <v>9795</v>
      </c>
      <c r="J1070" s="2"/>
      <c r="K1070" s="2"/>
      <c r="L1070" s="2">
        <v>14080911</v>
      </c>
      <c r="M1070" s="2"/>
      <c r="N1070" s="2"/>
      <c r="O1070" s="2"/>
      <c r="P1070" s="2"/>
      <c r="Q1070" s="2"/>
      <c r="R1070" s="2"/>
      <c r="S1070" s="2"/>
      <c r="T1070" s="2" t="s">
        <v>9796</v>
      </c>
      <c r="U1070" s="2" t="s">
        <v>9797</v>
      </c>
      <c r="V1070" s="2" t="s">
        <v>385</v>
      </c>
      <c r="W1070" s="2" t="s">
        <v>3319</v>
      </c>
      <c r="X1070" s="2" t="s">
        <v>4101</v>
      </c>
      <c r="Y1070" s="2" t="s">
        <v>388</v>
      </c>
      <c r="Z1070" s="2" t="s">
        <v>3321</v>
      </c>
      <c r="AA1070" s="2" t="s">
        <v>4102</v>
      </c>
      <c r="AB1070" s="2" t="s">
        <v>3086</v>
      </c>
      <c r="AC1070" s="2">
        <v>49.83</v>
      </c>
      <c r="AD1070" s="2">
        <v>75.349999999999994</v>
      </c>
      <c r="AE1070" s="2">
        <v>0</v>
      </c>
      <c r="AF1070" s="2" t="s">
        <v>5614</v>
      </c>
      <c r="AG1070" s="2" t="s">
        <v>1578</v>
      </c>
      <c r="AH1070" s="2" t="s">
        <v>4679</v>
      </c>
      <c r="AI1070" s="2">
        <v>0.43</v>
      </c>
      <c r="AJ1070" s="2">
        <v>17.332492914552802</v>
      </c>
      <c r="AK1070" s="2">
        <v>17.733969535940101</v>
      </c>
      <c r="AL1070" s="2">
        <v>17.510668681385901</v>
      </c>
      <c r="AM1070" s="2">
        <v>16.935321960865799</v>
      </c>
      <c r="AN1070" s="2">
        <v>16.8706786132154</v>
      </c>
      <c r="AO1070" s="2">
        <v>17.318843045720101</v>
      </c>
      <c r="AP1070" s="2">
        <v>17.3039159231685</v>
      </c>
      <c r="AQ1070" s="2">
        <v>17.7522085321771</v>
      </c>
      <c r="AR1070" s="2">
        <v>17.450391070580299</v>
      </c>
      <c r="AS1070" s="2">
        <v>17.6939586856424</v>
      </c>
      <c r="AT1070" s="2">
        <v>17.675734488225199</v>
      </c>
      <c r="AU1070" s="2">
        <v>17.494273715138501</v>
      </c>
      <c r="AV1070" s="2">
        <v>17.643259898197002</v>
      </c>
      <c r="AW1070" s="2">
        <v>17.510937974266099</v>
      </c>
      <c r="AX1070" s="2">
        <v>17.404491901347399</v>
      </c>
      <c r="AY1070" s="2">
        <v>17.693325709784901</v>
      </c>
      <c r="AZ1070" s="2">
        <v>17.371475569425201</v>
      </c>
      <c r="BA1070" s="2">
        <v>17.1109250104548</v>
      </c>
      <c r="BB1070" s="2">
        <v>16.987753192856498</v>
      </c>
      <c r="BC1070" s="2">
        <v>17.476804179499599</v>
      </c>
      <c r="BD1070" s="2">
        <v>17.287107853857702</v>
      </c>
      <c r="BE1070" s="2">
        <v>16.857280756672399</v>
      </c>
      <c r="BF1070" s="2">
        <v>17.0834898192435</v>
      </c>
      <c r="BG1070" s="2">
        <v>17.688994007045501</v>
      </c>
      <c r="BH1070" s="2">
        <v>17.217689192752999</v>
      </c>
      <c r="BI1070" s="2">
        <v>17.846546692844498</v>
      </c>
      <c r="BJ1070" s="2">
        <v>17.441776161831001</v>
      </c>
      <c r="BK1070" s="2">
        <v>17.731674622134602</v>
      </c>
      <c r="BL1070" s="2">
        <v>17.559042654726799</v>
      </c>
      <c r="BM1070" s="2">
        <v>17.879428593355399</v>
      </c>
      <c r="BN1070" s="2">
        <v>17.8124659485416</v>
      </c>
      <c r="BO1070" s="2">
        <v>17.205237701802101</v>
      </c>
      <c r="BP1070" s="2">
        <v>17.7095539018874</v>
      </c>
      <c r="BQ1070" s="2">
        <v>17.460146369056499</v>
      </c>
      <c r="BR1070" s="2">
        <v>17.617325691271098</v>
      </c>
      <c r="BS1070" s="2">
        <v>17.475261378318098</v>
      </c>
      <c r="BT1070" s="2">
        <v>16.038475793054001</v>
      </c>
      <c r="BU1070" s="2">
        <v>17.070893460173401</v>
      </c>
      <c r="BV1070" s="2">
        <v>17.8079943120878</v>
      </c>
      <c r="BW1070" s="2">
        <v>17.7408131565765</v>
      </c>
      <c r="BX1070" s="2">
        <v>17.488537242232901</v>
      </c>
      <c r="BY1070" s="2">
        <v>17.847960644512799</v>
      </c>
      <c r="BZ1070" s="2">
        <v>17.287148806905201</v>
      </c>
      <c r="CA1070" s="2">
        <v>16.788697561687702</v>
      </c>
      <c r="CB1070" s="2">
        <v>17.6250175049659</v>
      </c>
      <c r="CC1070" s="2">
        <v>17.512026529846398</v>
      </c>
      <c r="CD1070" s="2">
        <v>16.959288488022601</v>
      </c>
      <c r="CE1070" s="2">
        <v>17.485127487339899</v>
      </c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</row>
    <row r="1071" spans="1:97">
      <c r="A1071" s="2" t="s">
        <v>9798</v>
      </c>
      <c r="B1071" s="2">
        <v>190.08944</v>
      </c>
      <c r="C1071" s="2">
        <v>4.141</v>
      </c>
      <c r="D1071" s="2" t="s">
        <v>84</v>
      </c>
      <c r="E1071" s="2" t="s">
        <v>9799</v>
      </c>
      <c r="F1071" s="2" t="s">
        <v>9800</v>
      </c>
      <c r="G1071" s="2">
        <v>210566</v>
      </c>
      <c r="H1071" s="3" t="str">
        <f>HYPERLINK("https://cloud.oebiotech.com/#/lm/network/210566", "https://cloud.oebiotech.com/#/lm/network/210566")</f>
        <v>https://cloud.oebiotech.com/#/lm/network/210566</v>
      </c>
      <c r="I1071" s="2" t="s">
        <v>9801</v>
      </c>
      <c r="J1071" s="2"/>
      <c r="K1071" s="2"/>
      <c r="L1071" s="2">
        <v>22395667</v>
      </c>
      <c r="M1071" s="2"/>
      <c r="N1071" s="2"/>
      <c r="O1071" s="2"/>
      <c r="P1071" s="2"/>
      <c r="Q1071" s="2"/>
      <c r="R1071" s="2"/>
      <c r="S1071" s="2"/>
      <c r="T1071" s="2" t="s">
        <v>9802</v>
      </c>
      <c r="U1071" s="2" t="s">
        <v>9803</v>
      </c>
      <c r="V1071" s="2" t="s">
        <v>115</v>
      </c>
      <c r="W1071" s="2" t="s">
        <v>116</v>
      </c>
      <c r="X1071" s="2" t="s">
        <v>117</v>
      </c>
      <c r="Y1071" s="2" t="s">
        <v>118</v>
      </c>
      <c r="Z1071" s="2" t="s">
        <v>119</v>
      </c>
      <c r="AA1071" s="2" t="s">
        <v>120</v>
      </c>
      <c r="AB1071" s="2" t="s">
        <v>5118</v>
      </c>
      <c r="AC1071" s="2">
        <v>49.82</v>
      </c>
      <c r="AD1071" s="2">
        <v>98.19</v>
      </c>
      <c r="AE1071" s="2">
        <v>63.95</v>
      </c>
      <c r="AF1071" s="2" t="s">
        <v>9804</v>
      </c>
      <c r="AG1071" s="2" t="s">
        <v>103</v>
      </c>
      <c r="AH1071" s="2" t="s">
        <v>9805</v>
      </c>
      <c r="AI1071" s="2">
        <v>1.05</v>
      </c>
      <c r="AJ1071" s="2">
        <v>21.4149664480565</v>
      </c>
      <c r="AK1071" s="2">
        <v>21.3582866213995</v>
      </c>
      <c r="AL1071" s="2">
        <v>21.488396851670501</v>
      </c>
      <c r="AM1071" s="2">
        <v>21.5013265206006</v>
      </c>
      <c r="AN1071" s="2">
        <v>21.4428842851583</v>
      </c>
      <c r="AO1071" s="2">
        <v>21.306427852087801</v>
      </c>
      <c r="AP1071" s="2">
        <v>21.309072373405201</v>
      </c>
      <c r="AQ1071" s="2">
        <v>21.376400407758599</v>
      </c>
      <c r="AR1071" s="2">
        <v>20.948575689687502</v>
      </c>
      <c r="AS1071" s="2">
        <v>20.700930364174798</v>
      </c>
      <c r="AT1071" s="2">
        <v>21.5286803249275</v>
      </c>
      <c r="AU1071" s="2">
        <v>21.9003568971718</v>
      </c>
      <c r="AV1071" s="2">
        <v>21.380658353192299</v>
      </c>
      <c r="AW1071" s="2">
        <v>21.482290333618799</v>
      </c>
      <c r="AX1071" s="2">
        <v>21.4092481295684</v>
      </c>
      <c r="AY1071" s="2">
        <v>21.666330861452199</v>
      </c>
      <c r="AZ1071" s="2">
        <v>21.5176022676706</v>
      </c>
      <c r="BA1071" s="2">
        <v>21.465046763626098</v>
      </c>
      <c r="BB1071" s="2">
        <v>21.1768784648315</v>
      </c>
      <c r="BC1071" s="2">
        <v>21.844844194396298</v>
      </c>
      <c r="BD1071" s="2">
        <v>21.310845117524401</v>
      </c>
      <c r="BE1071" s="2">
        <v>21.601491120008799</v>
      </c>
      <c r="BF1071" s="2">
        <v>21.438191775548098</v>
      </c>
      <c r="BG1071" s="2">
        <v>20.958285930664001</v>
      </c>
      <c r="BH1071" s="2">
        <v>21.117988229823101</v>
      </c>
      <c r="BI1071" s="2">
        <v>21.149510560502499</v>
      </c>
      <c r="BJ1071" s="2">
        <v>21.013164088817899</v>
      </c>
      <c r="BK1071" s="2">
        <v>21.437650922842099</v>
      </c>
      <c r="BL1071" s="2">
        <v>21.556256466404999</v>
      </c>
      <c r="BM1071" s="2">
        <v>21.624870243332001</v>
      </c>
      <c r="BN1071" s="2">
        <v>21.651938383378099</v>
      </c>
      <c r="BO1071" s="2">
        <v>21.6829877792118</v>
      </c>
      <c r="BP1071" s="2">
        <v>21.112622980661001</v>
      </c>
      <c r="BQ1071" s="2">
        <v>21.671429967217701</v>
      </c>
      <c r="BR1071" s="2">
        <v>21.505196921837499</v>
      </c>
      <c r="BS1071" s="2">
        <v>21.3103185837853</v>
      </c>
      <c r="BT1071" s="2">
        <v>21.727137685620399</v>
      </c>
      <c r="BU1071" s="2">
        <v>21.215868029447499</v>
      </c>
      <c r="BV1071" s="2">
        <v>21.8441743441741</v>
      </c>
      <c r="BW1071" s="2">
        <v>21.626492124762599</v>
      </c>
      <c r="BX1071" s="2">
        <v>21.654344490750301</v>
      </c>
      <c r="BY1071" s="2">
        <v>21.086757690615901</v>
      </c>
      <c r="BZ1071" s="2">
        <v>21.722775072333501</v>
      </c>
      <c r="CA1071" s="2">
        <v>21.552372822008898</v>
      </c>
      <c r="CB1071" s="2">
        <v>21.086739863582601</v>
      </c>
      <c r="CC1071" s="2">
        <v>21.625224199933701</v>
      </c>
      <c r="CD1071" s="2">
        <v>21.2367629421171</v>
      </c>
      <c r="CE1071" s="2">
        <v>21.661099000399702</v>
      </c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</row>
    <row r="1072" spans="1:97">
      <c r="A1072" s="2" t="s">
        <v>9806</v>
      </c>
      <c r="B1072" s="2">
        <v>424.91064999999998</v>
      </c>
      <c r="C1072" s="2">
        <v>0.61799999999999999</v>
      </c>
      <c r="D1072" s="2" t="s">
        <v>146</v>
      </c>
      <c r="E1072" s="2" t="s">
        <v>9807</v>
      </c>
      <c r="F1072" s="2" t="s">
        <v>9808</v>
      </c>
      <c r="G1072" s="2">
        <v>212584</v>
      </c>
      <c r="H1072" s="3" t="str">
        <f>HYPERLINK("https://cloud.oebiotech.com/#/lm/network/212584", "https://cloud.oebiotech.com/#/lm/network/212584")</f>
        <v>https://cloud.oebiotech.com/#/lm/network/212584</v>
      </c>
      <c r="I1072" s="2" t="s">
        <v>9809</v>
      </c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 t="s">
        <v>9810</v>
      </c>
      <c r="U1072" s="2" t="s">
        <v>9811</v>
      </c>
      <c r="V1072" s="2" t="s">
        <v>553</v>
      </c>
      <c r="W1072" s="2" t="s">
        <v>9812</v>
      </c>
      <c r="X1072" s="2" t="s">
        <v>9813</v>
      </c>
      <c r="Y1072" s="2" t="s">
        <v>556</v>
      </c>
      <c r="Z1072" s="2" t="s">
        <v>9814</v>
      </c>
      <c r="AA1072" s="2" t="s">
        <v>9815</v>
      </c>
      <c r="AB1072" s="2" t="s">
        <v>5118</v>
      </c>
      <c r="AC1072" s="2">
        <v>49.82</v>
      </c>
      <c r="AD1072" s="2">
        <v>89.74</v>
      </c>
      <c r="AE1072" s="2">
        <v>85.6</v>
      </c>
      <c r="AF1072" s="2" t="s">
        <v>9816</v>
      </c>
      <c r="AG1072" s="2" t="s">
        <v>4062</v>
      </c>
      <c r="AH1072" s="2" t="s">
        <v>9817</v>
      </c>
      <c r="AI1072" s="2">
        <v>-2.82</v>
      </c>
      <c r="AJ1072" s="2">
        <v>21.857088348733999</v>
      </c>
      <c r="AK1072" s="2">
        <v>22.092590452307501</v>
      </c>
      <c r="AL1072" s="2">
        <v>21.6274310867583</v>
      </c>
      <c r="AM1072" s="2">
        <v>21.574850720048801</v>
      </c>
      <c r="AN1072" s="2">
        <v>21.727815212398902</v>
      </c>
      <c r="AO1072" s="2">
        <v>21.790329137423601</v>
      </c>
      <c r="AP1072" s="2">
        <v>21.454624183555801</v>
      </c>
      <c r="AQ1072" s="2">
        <v>22.179889857434599</v>
      </c>
      <c r="AR1072" s="2">
        <v>21.518701586975698</v>
      </c>
      <c r="AS1072" s="2">
        <v>21.9017833400355</v>
      </c>
      <c r="AT1072" s="2">
        <v>22.1135663852471</v>
      </c>
      <c r="AU1072" s="2">
        <v>22.2068921791329</v>
      </c>
      <c r="AV1072" s="2">
        <v>21.9337448015307</v>
      </c>
      <c r="AW1072" s="2">
        <v>21.9000509953921</v>
      </c>
      <c r="AX1072" s="2">
        <v>21.624817962996499</v>
      </c>
      <c r="AY1072" s="2">
        <v>21.8712579916929</v>
      </c>
      <c r="AZ1072" s="2">
        <v>21.789636744376399</v>
      </c>
      <c r="BA1072" s="2">
        <v>21.916507714876101</v>
      </c>
      <c r="BB1072" s="2">
        <v>21.833539332443099</v>
      </c>
      <c r="BC1072" s="2">
        <v>22.0475427373302</v>
      </c>
      <c r="BD1072" s="2">
        <v>21.463116827561901</v>
      </c>
      <c r="BE1072" s="2">
        <v>21.841280716152799</v>
      </c>
      <c r="BF1072" s="2">
        <v>21.487260058371</v>
      </c>
      <c r="BG1072" s="2">
        <v>21.660384862925898</v>
      </c>
      <c r="BH1072" s="2">
        <v>21.782344781951501</v>
      </c>
      <c r="BI1072" s="2">
        <v>21.931462574232601</v>
      </c>
      <c r="BJ1072" s="2">
        <v>21.652161315190799</v>
      </c>
      <c r="BK1072" s="2">
        <v>22.101392738889501</v>
      </c>
      <c r="BL1072" s="2">
        <v>22.140019161469301</v>
      </c>
      <c r="BM1072" s="2">
        <v>21.6978225829167</v>
      </c>
      <c r="BN1072" s="2">
        <v>21.5432558311342</v>
      </c>
      <c r="BO1072" s="2">
        <v>21.952320312534699</v>
      </c>
      <c r="BP1072" s="2">
        <v>21.878362386479001</v>
      </c>
      <c r="BQ1072" s="2">
        <v>21.786587085764801</v>
      </c>
      <c r="BR1072" s="2">
        <v>21.4314157113124</v>
      </c>
      <c r="BS1072" s="2">
        <v>22.166237749000999</v>
      </c>
      <c r="BT1072" s="2">
        <v>22.261170274474399</v>
      </c>
      <c r="BU1072" s="2">
        <v>21.978284104621999</v>
      </c>
      <c r="BV1072" s="2">
        <v>21.8041732594425</v>
      </c>
      <c r="BW1072" s="2">
        <v>21.478965975811899</v>
      </c>
      <c r="BX1072" s="2">
        <v>21.918787205863101</v>
      </c>
      <c r="BY1072" s="2">
        <v>21.848046314413601</v>
      </c>
      <c r="BZ1072" s="2">
        <v>21.480096497697101</v>
      </c>
      <c r="CA1072" s="2">
        <v>21.5989954383605</v>
      </c>
      <c r="CB1072" s="2">
        <v>22.205520361584099</v>
      </c>
      <c r="CC1072" s="2">
        <v>22.0699127524144</v>
      </c>
      <c r="CD1072" s="2">
        <v>22.0960704469992</v>
      </c>
      <c r="CE1072" s="2">
        <v>22.214671508731801</v>
      </c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</row>
    <row r="1073" spans="1:97">
      <c r="A1073" s="2" t="s">
        <v>9818</v>
      </c>
      <c r="B1073" s="2">
        <v>600.46756000000005</v>
      </c>
      <c r="C1073" s="2">
        <v>11.978999999999999</v>
      </c>
      <c r="D1073" s="2" t="s">
        <v>84</v>
      </c>
      <c r="E1073" s="2" t="s">
        <v>9819</v>
      </c>
      <c r="F1073" s="2" t="s">
        <v>9820</v>
      </c>
      <c r="G1073" s="2">
        <v>210487</v>
      </c>
      <c r="H1073" s="3" t="str">
        <f>HYPERLINK("https://cloud.oebiotech.com/#/lm/network/210487", "https://cloud.oebiotech.com/#/lm/network/210487")</f>
        <v>https://cloud.oebiotech.com/#/lm/network/210487</v>
      </c>
      <c r="I1073" s="2" t="s">
        <v>9821</v>
      </c>
      <c r="J1073" s="2">
        <v>69582</v>
      </c>
      <c r="K1073" s="2"/>
      <c r="L1073" s="2">
        <v>656641</v>
      </c>
      <c r="M1073" s="2" t="s">
        <v>9822</v>
      </c>
      <c r="N1073" s="2"/>
      <c r="O1073" s="2"/>
      <c r="P1073" s="2">
        <v>46859</v>
      </c>
      <c r="Q1073" s="2"/>
      <c r="R1073" s="2"/>
      <c r="S1073" s="2" t="s">
        <v>9823</v>
      </c>
      <c r="T1073" s="2" t="s">
        <v>9824</v>
      </c>
      <c r="U1073" s="2" t="s">
        <v>9825</v>
      </c>
      <c r="V1073" s="2" t="s">
        <v>338</v>
      </c>
      <c r="W1073" s="2" t="s">
        <v>339</v>
      </c>
      <c r="X1073" s="2" t="s">
        <v>1663</v>
      </c>
      <c r="Y1073" s="2" t="s">
        <v>341</v>
      </c>
      <c r="Z1073" s="2" t="s">
        <v>341</v>
      </c>
      <c r="AA1073" s="2" t="s">
        <v>1664</v>
      </c>
      <c r="AB1073" s="2" t="s">
        <v>5118</v>
      </c>
      <c r="AC1073" s="2">
        <v>49.82</v>
      </c>
      <c r="AD1073" s="2">
        <v>87.81</v>
      </c>
      <c r="AE1073" s="2">
        <v>61.27</v>
      </c>
      <c r="AF1073" s="2" t="s">
        <v>9826</v>
      </c>
      <c r="AG1073" s="2" t="s">
        <v>132</v>
      </c>
      <c r="AH1073" s="2" t="s">
        <v>9827</v>
      </c>
      <c r="AI1073" s="2">
        <v>0.83</v>
      </c>
      <c r="AJ1073" s="2">
        <v>20.335522567619599</v>
      </c>
      <c r="AK1073" s="2">
        <v>19.926351031347</v>
      </c>
      <c r="AL1073" s="2">
        <v>20.269048971626798</v>
      </c>
      <c r="AM1073" s="2">
        <v>20.2421379322527</v>
      </c>
      <c r="AN1073" s="2">
        <v>19.842950758193801</v>
      </c>
      <c r="AO1073" s="2">
        <v>19.799852429898898</v>
      </c>
      <c r="AP1073" s="2">
        <v>20.0992994812209</v>
      </c>
      <c r="AQ1073" s="2">
        <v>20.037757091285201</v>
      </c>
      <c r="AR1073" s="2">
        <v>19.727922464876698</v>
      </c>
      <c r="AS1073" s="2">
        <v>19.4251201371391</v>
      </c>
      <c r="AT1073" s="2">
        <v>19.806356298798001</v>
      </c>
      <c r="AU1073" s="2">
        <v>20.571699758551599</v>
      </c>
      <c r="AV1073" s="2">
        <v>19.301026789037699</v>
      </c>
      <c r="AW1073" s="2">
        <v>20.002564471036798</v>
      </c>
      <c r="AX1073" s="2">
        <v>20.080014696918301</v>
      </c>
      <c r="AY1073" s="2">
        <v>20.135467100899199</v>
      </c>
      <c r="AZ1073" s="2">
        <v>19.700263393927901</v>
      </c>
      <c r="BA1073" s="2">
        <v>20.085162692356999</v>
      </c>
      <c r="BB1073" s="2">
        <v>19.983663612489899</v>
      </c>
      <c r="BC1073" s="2">
        <v>20.9228411215554</v>
      </c>
      <c r="BD1073" s="2">
        <v>19.2090528734504</v>
      </c>
      <c r="BE1073" s="2">
        <v>19.474631272360199</v>
      </c>
      <c r="BF1073" s="2">
        <v>19.361298348637298</v>
      </c>
      <c r="BG1073" s="2">
        <v>20.4923737114269</v>
      </c>
      <c r="BH1073" s="2">
        <v>19.907003580575498</v>
      </c>
      <c r="BI1073" s="2">
        <v>19.984391490908799</v>
      </c>
      <c r="BJ1073" s="2">
        <v>19.550303633371399</v>
      </c>
      <c r="BK1073" s="2">
        <v>19.770720440633401</v>
      </c>
      <c r="BL1073" s="2">
        <v>21.197608828604199</v>
      </c>
      <c r="BM1073" s="2">
        <v>19.3428655741588</v>
      </c>
      <c r="BN1073" s="2">
        <v>19.778397012952802</v>
      </c>
      <c r="BO1073" s="2">
        <v>20.520481727668699</v>
      </c>
      <c r="BP1073" s="2">
        <v>19.569592642517399</v>
      </c>
      <c r="BQ1073" s="2">
        <v>19.156246378804902</v>
      </c>
      <c r="BR1073" s="2">
        <v>19.960715150719999</v>
      </c>
      <c r="BS1073" s="2">
        <v>19.594564950451598</v>
      </c>
      <c r="BT1073" s="2">
        <v>20.4599487697005</v>
      </c>
      <c r="BU1073" s="2">
        <v>19.817048208578601</v>
      </c>
      <c r="BV1073" s="2">
        <v>20.714924480868898</v>
      </c>
      <c r="BW1073" s="2">
        <v>19.765106806251499</v>
      </c>
      <c r="BX1073" s="2">
        <v>19.533720287659101</v>
      </c>
      <c r="BY1073" s="2">
        <v>19.477583775850601</v>
      </c>
      <c r="BZ1073" s="2">
        <v>19.989873758852401</v>
      </c>
      <c r="CA1073" s="2">
        <v>18.121872165711501</v>
      </c>
      <c r="CB1073" s="2">
        <v>19.863176823637701</v>
      </c>
      <c r="CC1073" s="2">
        <v>19.286855953519499</v>
      </c>
      <c r="CD1073" s="2">
        <v>18.646012526624801</v>
      </c>
      <c r="CE1073" s="2">
        <v>20.8504027711747</v>
      </c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</row>
    <row r="1074" spans="1:97">
      <c r="A1074" s="2" t="s">
        <v>9828</v>
      </c>
      <c r="B1074" s="2">
        <v>188.12795</v>
      </c>
      <c r="C1074" s="2">
        <v>4.5970000000000004</v>
      </c>
      <c r="D1074" s="2" t="s">
        <v>84</v>
      </c>
      <c r="E1074" s="2" t="s">
        <v>9829</v>
      </c>
      <c r="F1074" s="2" t="s">
        <v>9830</v>
      </c>
      <c r="G1074" s="2">
        <v>2162</v>
      </c>
      <c r="H1074" s="3" t="str">
        <f>HYPERLINK("https://cloud.oebiotech.com/#/lm/network/2162", "https://cloud.oebiotech.com/#/lm/network/2162")</f>
        <v>https://cloud.oebiotech.com/#/lm/network/2162</v>
      </c>
      <c r="I1074" s="2"/>
      <c r="J1074" s="2"/>
      <c r="K1074" s="2" t="s">
        <v>9831</v>
      </c>
      <c r="L1074" s="2">
        <v>173</v>
      </c>
      <c r="M1074" s="2" t="s">
        <v>9832</v>
      </c>
      <c r="N1074" s="2" t="s">
        <v>9833</v>
      </c>
      <c r="O1074" s="2" t="s">
        <v>9834</v>
      </c>
      <c r="P1074" s="2">
        <v>15830</v>
      </c>
      <c r="Q1074" s="2"/>
      <c r="R1074" s="2"/>
      <c r="S1074" s="2"/>
      <c r="T1074" s="2" t="s">
        <v>9835</v>
      </c>
      <c r="U1074" s="2" t="s">
        <v>9836</v>
      </c>
      <c r="V1074" s="2" t="s">
        <v>95</v>
      </c>
      <c r="W1074" s="2" t="s">
        <v>96</v>
      </c>
      <c r="X1074" s="2" t="s">
        <v>141</v>
      </c>
      <c r="Y1074" s="2" t="s">
        <v>98</v>
      </c>
      <c r="Z1074" s="2" t="s">
        <v>99</v>
      </c>
      <c r="AA1074" s="2" t="s">
        <v>142</v>
      </c>
      <c r="AB1074" s="2" t="s">
        <v>5118</v>
      </c>
      <c r="AC1074" s="2">
        <v>49.8</v>
      </c>
      <c r="AD1074" s="2">
        <v>97.78</v>
      </c>
      <c r="AE1074" s="2">
        <v>64.39</v>
      </c>
      <c r="AF1074" s="2" t="s">
        <v>9837</v>
      </c>
      <c r="AG1074" s="2" t="s">
        <v>103</v>
      </c>
      <c r="AH1074" s="2" t="s">
        <v>9838</v>
      </c>
      <c r="AI1074" s="2">
        <v>1.06</v>
      </c>
      <c r="AJ1074" s="2">
        <v>23.522975647081001</v>
      </c>
      <c r="AK1074" s="2">
        <v>23.366320104924</v>
      </c>
      <c r="AL1074" s="2">
        <v>23.440166488989099</v>
      </c>
      <c r="AM1074" s="2">
        <v>23.399891076406298</v>
      </c>
      <c r="AN1074" s="2">
        <v>23.584257043470501</v>
      </c>
      <c r="AO1074" s="2">
        <v>23.526639523519599</v>
      </c>
      <c r="AP1074" s="2">
        <v>23.726718080226501</v>
      </c>
      <c r="AQ1074" s="2">
        <v>23.634810157436501</v>
      </c>
      <c r="AR1074" s="2">
        <v>23.073907489992902</v>
      </c>
      <c r="AS1074" s="2">
        <v>22.927927971634801</v>
      </c>
      <c r="AT1074" s="2">
        <v>22.905845863557101</v>
      </c>
      <c r="AU1074" s="2">
        <v>22.971551375398999</v>
      </c>
      <c r="AV1074" s="2">
        <v>23.110479685652599</v>
      </c>
      <c r="AW1074" s="2">
        <v>23.071629101161498</v>
      </c>
      <c r="AX1074" s="2">
        <v>23.1213438322511</v>
      </c>
      <c r="AY1074" s="2">
        <v>23.075087834649</v>
      </c>
      <c r="AZ1074" s="2">
        <v>22.957341978004699</v>
      </c>
      <c r="BA1074" s="2">
        <v>23.048744281285298</v>
      </c>
      <c r="BB1074" s="2">
        <v>23.0937485878577</v>
      </c>
      <c r="BC1074" s="2">
        <v>23.012310133348699</v>
      </c>
      <c r="BD1074" s="2">
        <v>23.022179076553499</v>
      </c>
      <c r="BE1074" s="2">
        <v>22.885012272368101</v>
      </c>
      <c r="BF1074" s="2">
        <v>23.1094868780207</v>
      </c>
      <c r="BG1074" s="2">
        <v>23.035641067624699</v>
      </c>
      <c r="BH1074" s="2">
        <v>23.045302173760199</v>
      </c>
      <c r="BI1074" s="2">
        <v>23.043705610897799</v>
      </c>
      <c r="BJ1074" s="2">
        <v>23.102334351208</v>
      </c>
      <c r="BK1074" s="2">
        <v>22.977144086845598</v>
      </c>
      <c r="BL1074" s="2">
        <v>22.937976978962599</v>
      </c>
      <c r="BM1074" s="2">
        <v>22.935709062887099</v>
      </c>
      <c r="BN1074" s="2">
        <v>22.950985182627001</v>
      </c>
      <c r="BO1074" s="2">
        <v>23.0404298966243</v>
      </c>
      <c r="BP1074" s="2">
        <v>22.874068372705</v>
      </c>
      <c r="BQ1074" s="2">
        <v>23.019427335295699</v>
      </c>
      <c r="BR1074" s="2">
        <v>23.013715200150902</v>
      </c>
      <c r="BS1074" s="2">
        <v>22.994566340148701</v>
      </c>
      <c r="BT1074" s="2">
        <v>23.024086290515001</v>
      </c>
      <c r="BU1074" s="2">
        <v>23.039877181105801</v>
      </c>
      <c r="BV1074" s="2">
        <v>23.017484820712699</v>
      </c>
      <c r="BW1074" s="2">
        <v>23.084533811335099</v>
      </c>
      <c r="BX1074" s="2">
        <v>23.0061285424343</v>
      </c>
      <c r="BY1074" s="2">
        <v>22.997870398221199</v>
      </c>
      <c r="BZ1074" s="2">
        <v>23.293378510881499</v>
      </c>
      <c r="CA1074" s="2">
        <v>22.952302466949501</v>
      </c>
      <c r="CB1074" s="2">
        <v>23.1327859568487</v>
      </c>
      <c r="CC1074" s="2">
        <v>22.934272191299801</v>
      </c>
      <c r="CD1074" s="2">
        <v>23.0138694623632</v>
      </c>
      <c r="CE1074" s="2">
        <v>22.984111196303001</v>
      </c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</row>
    <row r="1075" spans="1:97">
      <c r="A1075" s="2" t="s">
        <v>9839</v>
      </c>
      <c r="B1075" s="2">
        <v>269.00965000000002</v>
      </c>
      <c r="C1075" s="2">
        <v>5.6319999999999997</v>
      </c>
      <c r="D1075" s="2" t="s">
        <v>146</v>
      </c>
      <c r="E1075" s="2" t="s">
        <v>9840</v>
      </c>
      <c r="F1075" s="2" t="s">
        <v>9841</v>
      </c>
      <c r="G1075" s="2">
        <v>209457</v>
      </c>
      <c r="H1075" s="3" t="str">
        <f>HYPERLINK("https://cloud.oebiotech.com/#/lm/network/209457", "https://cloud.oebiotech.com/#/lm/network/209457")</f>
        <v>https://cloud.oebiotech.com/#/lm/network/209457</v>
      </c>
      <c r="I1075" s="2" t="s">
        <v>9842</v>
      </c>
      <c r="J1075" s="2"/>
      <c r="K1075" s="2"/>
      <c r="L1075" s="2">
        <v>5909486</v>
      </c>
      <c r="M1075" s="2"/>
      <c r="N1075" s="2"/>
      <c r="O1075" s="2"/>
      <c r="P1075" s="2"/>
      <c r="Q1075" s="2"/>
      <c r="R1075" s="2"/>
      <c r="S1075" s="2"/>
      <c r="T1075" s="2" t="s">
        <v>9843</v>
      </c>
      <c r="U1075" s="2" t="s">
        <v>9844</v>
      </c>
      <c r="V1075" s="2" t="s">
        <v>845</v>
      </c>
      <c r="W1075" s="2" t="s">
        <v>846</v>
      </c>
      <c r="X1075" s="2" t="s">
        <v>375</v>
      </c>
      <c r="Y1075" s="2" t="s">
        <v>847</v>
      </c>
      <c r="Z1075" s="2" t="s">
        <v>848</v>
      </c>
      <c r="AA1075" s="2"/>
      <c r="AB1075" s="2" t="s">
        <v>5118</v>
      </c>
      <c r="AC1075" s="2">
        <v>49.78</v>
      </c>
      <c r="AD1075" s="2">
        <v>91.48</v>
      </c>
      <c r="AE1075" s="2">
        <v>77.14</v>
      </c>
      <c r="AF1075" s="2" t="s">
        <v>9845</v>
      </c>
      <c r="AG1075" s="2" t="s">
        <v>194</v>
      </c>
      <c r="AH1075" s="2" t="s">
        <v>9846</v>
      </c>
      <c r="AI1075" s="2">
        <v>-1.86</v>
      </c>
      <c r="AJ1075" s="2">
        <v>18.365535929317701</v>
      </c>
      <c r="AK1075" s="2">
        <v>18.172548271871001</v>
      </c>
      <c r="AL1075" s="2">
        <v>18.159050996408801</v>
      </c>
      <c r="AM1075" s="2">
        <v>18.397681066375299</v>
      </c>
      <c r="AN1075" s="2">
        <v>18.209656306500602</v>
      </c>
      <c r="AO1075" s="2">
        <v>18.237615969756</v>
      </c>
      <c r="AP1075" s="2">
        <v>18.3620089491085</v>
      </c>
      <c r="AQ1075" s="2">
        <v>18.177873472060998</v>
      </c>
      <c r="AR1075" s="2">
        <v>9.6233145402724691</v>
      </c>
      <c r="AS1075" s="2">
        <v>15.6475989564558</v>
      </c>
      <c r="AT1075" s="2">
        <v>9.6233145402724691</v>
      </c>
      <c r="AU1075" s="2">
        <v>13.8406864739691</v>
      </c>
      <c r="AV1075" s="2">
        <v>14.9487235719445</v>
      </c>
      <c r="AW1075" s="2">
        <v>17.367186496460398</v>
      </c>
      <c r="AX1075" s="2">
        <v>9.6233145402724691</v>
      </c>
      <c r="AY1075" s="2">
        <v>9.6233145402724691</v>
      </c>
      <c r="AZ1075" s="2">
        <v>11.697154369215401</v>
      </c>
      <c r="BA1075" s="2">
        <v>12.334141972850199</v>
      </c>
      <c r="BB1075" s="2">
        <v>13.1356563863164</v>
      </c>
      <c r="BC1075" s="2">
        <v>9.6233145402724691</v>
      </c>
      <c r="BD1075" s="2">
        <v>14.849631359561</v>
      </c>
      <c r="BE1075" s="2">
        <v>15.298718091580501</v>
      </c>
      <c r="BF1075" s="2">
        <v>9.6233145402724691</v>
      </c>
      <c r="BG1075" s="2">
        <v>12.1195247790574</v>
      </c>
      <c r="BH1075" s="2">
        <v>9.6233145402724691</v>
      </c>
      <c r="BI1075" s="2">
        <v>14.275680766518301</v>
      </c>
      <c r="BJ1075" s="2">
        <v>9.6233145402724691</v>
      </c>
      <c r="BK1075" s="2">
        <v>9.6233145402724691</v>
      </c>
      <c r="BL1075" s="2">
        <v>13.2374340571193</v>
      </c>
      <c r="BM1075" s="2">
        <v>9.6233145402724691</v>
      </c>
      <c r="BN1075" s="2">
        <v>14.415729226505301</v>
      </c>
      <c r="BO1075" s="2">
        <v>9.6233145402724691</v>
      </c>
      <c r="BP1075" s="2">
        <v>12.1636999870842</v>
      </c>
      <c r="BQ1075" s="2">
        <v>15.762651428758501</v>
      </c>
      <c r="BR1075" s="2">
        <v>15.8060153593945</v>
      </c>
      <c r="BS1075" s="2">
        <v>16.349549393657199</v>
      </c>
      <c r="BT1075" s="2">
        <v>9.6233145402724691</v>
      </c>
      <c r="BU1075" s="2">
        <v>15.949222346234601</v>
      </c>
      <c r="BV1075" s="2">
        <v>11.9456413520965</v>
      </c>
      <c r="BW1075" s="2">
        <v>9.6233145402724691</v>
      </c>
      <c r="BX1075" s="2">
        <v>20.1129609915365</v>
      </c>
      <c r="BY1075" s="2">
        <v>21.775637204377599</v>
      </c>
      <c r="BZ1075" s="2">
        <v>15.051211490444301</v>
      </c>
      <c r="CA1075" s="2">
        <v>13.9664919333357</v>
      </c>
      <c r="CB1075" s="2">
        <v>9.6233145402724691</v>
      </c>
      <c r="CC1075" s="2">
        <v>9.6233145402724691</v>
      </c>
      <c r="CD1075" s="2">
        <v>15.304162344189001</v>
      </c>
      <c r="CE1075" s="2">
        <v>12.4174358870868</v>
      </c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</row>
    <row r="1076" spans="1:97">
      <c r="A1076" s="2" t="s">
        <v>9847</v>
      </c>
      <c r="B1076" s="2">
        <v>124.03721</v>
      </c>
      <c r="C1076" s="2">
        <v>0.58399999999999996</v>
      </c>
      <c r="D1076" s="2" t="s">
        <v>84</v>
      </c>
      <c r="E1076" s="2" t="s">
        <v>9848</v>
      </c>
      <c r="F1076" s="2" t="s">
        <v>9849</v>
      </c>
      <c r="G1076" s="2">
        <v>275578</v>
      </c>
      <c r="H1076" s="3" t="str">
        <f>HYPERLINK("https://cloud.oebiotech.com/#/lm/network/275578", "https://cloud.oebiotech.com/#/lm/network/275578")</f>
        <v>https://cloud.oebiotech.com/#/lm/network/275578</v>
      </c>
      <c r="I1076" s="2"/>
      <c r="J1076" s="2">
        <v>66875</v>
      </c>
      <c r="K1076" s="2"/>
      <c r="L1076" s="2">
        <v>16486</v>
      </c>
      <c r="M1076" s="2" t="s">
        <v>9850</v>
      </c>
      <c r="N1076" s="2"/>
      <c r="O1076" s="2"/>
      <c r="P1076" s="2"/>
      <c r="Q1076" s="2"/>
      <c r="R1076" s="2"/>
      <c r="S1076" s="2" t="s">
        <v>9851</v>
      </c>
      <c r="T1076" s="2" t="s">
        <v>9852</v>
      </c>
      <c r="U1076" s="2" t="s">
        <v>9853</v>
      </c>
      <c r="V1076" s="2" t="s">
        <v>115</v>
      </c>
      <c r="W1076" s="2" t="s">
        <v>116</v>
      </c>
      <c r="X1076" s="2" t="s">
        <v>117</v>
      </c>
      <c r="Y1076" s="2" t="s">
        <v>118</v>
      </c>
      <c r="Z1076" s="2" t="s">
        <v>119</v>
      </c>
      <c r="AA1076" s="2" t="s">
        <v>120</v>
      </c>
      <c r="AB1076" s="2" t="s">
        <v>3086</v>
      </c>
      <c r="AC1076" s="2">
        <v>49.77</v>
      </c>
      <c r="AD1076" s="2">
        <v>73</v>
      </c>
      <c r="AE1076" s="2">
        <v>0</v>
      </c>
      <c r="AF1076" s="2" t="s">
        <v>5614</v>
      </c>
      <c r="AG1076" s="2" t="s">
        <v>1578</v>
      </c>
      <c r="AH1076" s="2" t="s">
        <v>9854</v>
      </c>
      <c r="AI1076" s="2">
        <v>-2.42</v>
      </c>
      <c r="AJ1076" s="2">
        <v>21.800833655679899</v>
      </c>
      <c r="AK1076" s="2">
        <v>21.504183832875601</v>
      </c>
      <c r="AL1076" s="2">
        <v>21.729217417561099</v>
      </c>
      <c r="AM1076" s="2">
        <v>21.7075515849791</v>
      </c>
      <c r="AN1076" s="2">
        <v>21.520649663156899</v>
      </c>
      <c r="AO1076" s="2">
        <v>21.495820531309501</v>
      </c>
      <c r="AP1076" s="2">
        <v>21.1962544984187</v>
      </c>
      <c r="AQ1076" s="2">
        <v>21.286483192718201</v>
      </c>
      <c r="AR1076" s="2">
        <v>21.3467561551812</v>
      </c>
      <c r="AS1076" s="2">
        <v>21.437290328062499</v>
      </c>
      <c r="AT1076" s="2">
        <v>20.878938729160598</v>
      </c>
      <c r="AU1076" s="2">
        <v>21.267667691838799</v>
      </c>
      <c r="AV1076" s="2">
        <v>21.247032572760101</v>
      </c>
      <c r="AW1076" s="2">
        <v>21.158423285908</v>
      </c>
      <c r="AX1076" s="2">
        <v>21.7445981712643</v>
      </c>
      <c r="AY1076" s="2">
        <v>21.377810843388001</v>
      </c>
      <c r="AZ1076" s="2">
        <v>21.292254653182599</v>
      </c>
      <c r="BA1076" s="2">
        <v>21.201451129247399</v>
      </c>
      <c r="BB1076" s="2">
        <v>21.7096207499443</v>
      </c>
      <c r="BC1076" s="2">
        <v>21.686370148424398</v>
      </c>
      <c r="BD1076" s="2">
        <v>21.337900319832698</v>
      </c>
      <c r="BE1076" s="2">
        <v>21.5965260328902</v>
      </c>
      <c r="BF1076" s="2">
        <v>21.216843115123801</v>
      </c>
      <c r="BG1076" s="2">
        <v>21.312588494399002</v>
      </c>
      <c r="BH1076" s="2">
        <v>21.2873357926333</v>
      </c>
      <c r="BI1076" s="2">
        <v>21.173700562586301</v>
      </c>
      <c r="BJ1076" s="2">
        <v>21.548525001668501</v>
      </c>
      <c r="BK1076" s="2">
        <v>21.2244902237444</v>
      </c>
      <c r="BL1076" s="2">
        <v>21.3756124979787</v>
      </c>
      <c r="BM1076" s="2">
        <v>21.4619086078051</v>
      </c>
      <c r="BN1076" s="2">
        <v>21.336931847601601</v>
      </c>
      <c r="BO1076" s="2">
        <v>21.574945760235799</v>
      </c>
      <c r="BP1076" s="2">
        <v>21.341775374381701</v>
      </c>
      <c r="BQ1076" s="2">
        <v>21.169894242972799</v>
      </c>
      <c r="BR1076" s="2">
        <v>20.938919033692301</v>
      </c>
      <c r="BS1076" s="2">
        <v>21.360504278029701</v>
      </c>
      <c r="BT1076" s="2">
        <v>21.060267696007099</v>
      </c>
      <c r="BU1076" s="2">
        <v>21.769230512739401</v>
      </c>
      <c r="BV1076" s="2">
        <v>21.249398280367402</v>
      </c>
      <c r="BW1076" s="2">
        <v>21.767558500901899</v>
      </c>
      <c r="BX1076" s="2">
        <v>21.547257276686601</v>
      </c>
      <c r="BY1076" s="2">
        <v>20.6281246834561</v>
      </c>
      <c r="BZ1076" s="2">
        <v>21.310604317249901</v>
      </c>
      <c r="CA1076" s="2">
        <v>20.640972066151299</v>
      </c>
      <c r="CB1076" s="2">
        <v>21.046271200071899</v>
      </c>
      <c r="CC1076" s="2">
        <v>21.3177686989393</v>
      </c>
      <c r="CD1076" s="2">
        <v>21.751701916320499</v>
      </c>
      <c r="CE1076" s="2">
        <v>21.622108039541899</v>
      </c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</row>
    <row r="1077" spans="1:97">
      <c r="A1077" s="2" t="s">
        <v>9855</v>
      </c>
      <c r="B1077" s="2">
        <v>276.07670000000002</v>
      </c>
      <c r="C1077" s="2">
        <v>1.046</v>
      </c>
      <c r="D1077" s="2" t="s">
        <v>146</v>
      </c>
      <c r="E1077" s="2" t="s">
        <v>9856</v>
      </c>
      <c r="F1077" s="2" t="s">
        <v>9857</v>
      </c>
      <c r="G1077" s="2">
        <v>47869</v>
      </c>
      <c r="H1077" s="3" t="str">
        <f>HYPERLINK("https://cloud.oebiotech.com/#/lm/network/47869", "https://cloud.oebiotech.com/#/lm/network/47869")</f>
        <v>https://cloud.oebiotech.com/#/lm/network/47869</v>
      </c>
      <c r="I1077" s="2" t="s">
        <v>9732</v>
      </c>
      <c r="J1077" s="2"/>
      <c r="K1077" s="2"/>
      <c r="L1077" s="2">
        <v>13279</v>
      </c>
      <c r="M1077" s="2" t="s">
        <v>9733</v>
      </c>
      <c r="N1077" s="2"/>
      <c r="O1077" s="2"/>
      <c r="P1077" s="2">
        <v>27964</v>
      </c>
      <c r="Q1077" s="2"/>
      <c r="R1077" s="2"/>
      <c r="S1077" s="2" t="s">
        <v>9734</v>
      </c>
      <c r="T1077" s="2" t="s">
        <v>9858</v>
      </c>
      <c r="U1077" s="2" t="s">
        <v>9859</v>
      </c>
      <c r="V1077" s="2" t="s">
        <v>818</v>
      </c>
      <c r="W1077" s="2" t="s">
        <v>1873</v>
      </c>
      <c r="X1077" s="2" t="s">
        <v>9737</v>
      </c>
      <c r="Y1077" s="2" t="s">
        <v>820</v>
      </c>
      <c r="Z1077" s="2" t="s">
        <v>1874</v>
      </c>
      <c r="AA1077" s="2" t="s">
        <v>9738</v>
      </c>
      <c r="AB1077" s="2" t="s">
        <v>3086</v>
      </c>
      <c r="AC1077" s="2">
        <v>49.77</v>
      </c>
      <c r="AD1077" s="2">
        <v>75.010000000000005</v>
      </c>
      <c r="AE1077" s="2">
        <v>0</v>
      </c>
      <c r="AF1077" s="2" t="s">
        <v>5614</v>
      </c>
      <c r="AG1077" s="2" t="s">
        <v>4062</v>
      </c>
      <c r="AH1077" s="2" t="s">
        <v>9739</v>
      </c>
      <c r="AI1077" s="2">
        <v>-3.62</v>
      </c>
      <c r="AJ1077" s="2">
        <v>18.288815934668602</v>
      </c>
      <c r="AK1077" s="2">
        <v>18.7972842761151</v>
      </c>
      <c r="AL1077" s="2">
        <v>17.640416322348401</v>
      </c>
      <c r="AM1077" s="2">
        <v>18.710348087602899</v>
      </c>
      <c r="AN1077" s="2">
        <v>18.9739326324964</v>
      </c>
      <c r="AO1077" s="2">
        <v>18.772837175238301</v>
      </c>
      <c r="AP1077" s="2">
        <v>18.070849971295999</v>
      </c>
      <c r="AQ1077" s="2">
        <v>18.389215010525199</v>
      </c>
      <c r="AR1077" s="2">
        <v>17.443227187614799</v>
      </c>
      <c r="AS1077" s="2">
        <v>17.6406869537423</v>
      </c>
      <c r="AT1077" s="2">
        <v>17.6761338040623</v>
      </c>
      <c r="AU1077" s="2">
        <v>18.068468867991601</v>
      </c>
      <c r="AV1077" s="2">
        <v>18.4125970525435</v>
      </c>
      <c r="AW1077" s="2">
        <v>18.472756949088701</v>
      </c>
      <c r="AX1077" s="2">
        <v>18.165436461069699</v>
      </c>
      <c r="AY1077" s="2">
        <v>18.6140634106923</v>
      </c>
      <c r="AZ1077" s="2">
        <v>18.6841558096</v>
      </c>
      <c r="BA1077" s="2">
        <v>17.900917915886598</v>
      </c>
      <c r="BB1077" s="2">
        <v>18.319534665735301</v>
      </c>
      <c r="BC1077" s="2">
        <v>19.080762003845098</v>
      </c>
      <c r="BD1077" s="2">
        <v>18.700012689231801</v>
      </c>
      <c r="BE1077" s="2">
        <v>18.7787993617331</v>
      </c>
      <c r="BF1077" s="2">
        <v>18.531192391411299</v>
      </c>
      <c r="BG1077" s="2">
        <v>18.281178246386801</v>
      </c>
      <c r="BH1077" s="2">
        <v>18.484120268256799</v>
      </c>
      <c r="BI1077" s="2">
        <v>18.539413182755901</v>
      </c>
      <c r="BJ1077" s="2">
        <v>18.985385993027101</v>
      </c>
      <c r="BK1077" s="2">
        <v>18.980743596465601</v>
      </c>
      <c r="BL1077" s="2">
        <v>18.516000753306901</v>
      </c>
      <c r="BM1077" s="2">
        <v>17.879996342832399</v>
      </c>
      <c r="BN1077" s="2">
        <v>18.509634843727699</v>
      </c>
      <c r="BO1077" s="2">
        <v>18.5548670040919</v>
      </c>
      <c r="BP1077" s="2">
        <v>18.365273496977998</v>
      </c>
      <c r="BQ1077" s="2">
        <v>18.102102067371199</v>
      </c>
      <c r="BR1077" s="2">
        <v>18.512571579959399</v>
      </c>
      <c r="BS1077" s="2">
        <v>18.796659858943801</v>
      </c>
      <c r="BT1077" s="2">
        <v>17.811095430329001</v>
      </c>
      <c r="BU1077" s="2">
        <v>17.375189902268701</v>
      </c>
      <c r="BV1077" s="2">
        <v>17.792622298784998</v>
      </c>
      <c r="BW1077" s="2">
        <v>18.835279981205399</v>
      </c>
      <c r="BX1077" s="2">
        <v>17.228889602474201</v>
      </c>
      <c r="BY1077" s="2">
        <v>18.996253429841801</v>
      </c>
      <c r="BZ1077" s="2">
        <v>18.999214334463399</v>
      </c>
      <c r="CA1077" s="2">
        <v>20.0058783585905</v>
      </c>
      <c r="CB1077" s="2">
        <v>18.051738562028699</v>
      </c>
      <c r="CC1077" s="2">
        <v>18.806056342478101</v>
      </c>
      <c r="CD1077" s="2">
        <v>18.2369171824372</v>
      </c>
      <c r="CE1077" s="2">
        <v>19.0528993785883</v>
      </c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</row>
    <row r="1078" spans="1:97">
      <c r="A1078" s="2" t="s">
        <v>9860</v>
      </c>
      <c r="B1078" s="2">
        <v>116.00196</v>
      </c>
      <c r="C1078" s="2">
        <v>0.58199999999999996</v>
      </c>
      <c r="D1078" s="2" t="s">
        <v>84</v>
      </c>
      <c r="E1078" s="2" t="s">
        <v>9861</v>
      </c>
      <c r="F1078" s="2" t="s">
        <v>9862</v>
      </c>
      <c r="G1078" s="2">
        <v>47594</v>
      </c>
      <c r="H1078" s="3" t="str">
        <f>HYPERLINK("https://cloud.oebiotech.com/#/lm/network/47594", "https://cloud.oebiotech.com/#/lm/network/47594")</f>
        <v>https://cloud.oebiotech.com/#/lm/network/47594</v>
      </c>
      <c r="I1078" s="2" t="s">
        <v>9863</v>
      </c>
      <c r="J1078" s="2">
        <v>3235</v>
      </c>
      <c r="K1078" s="2"/>
      <c r="L1078" s="2">
        <v>1117</v>
      </c>
      <c r="M1078" s="2" t="s">
        <v>9864</v>
      </c>
      <c r="N1078" s="2" t="s">
        <v>9865</v>
      </c>
      <c r="O1078" s="2" t="s">
        <v>9866</v>
      </c>
      <c r="P1078" s="2">
        <v>26836</v>
      </c>
      <c r="Q1078" s="2"/>
      <c r="R1078" s="2"/>
      <c r="S1078" s="2" t="s">
        <v>9867</v>
      </c>
      <c r="T1078" s="2" t="s">
        <v>9868</v>
      </c>
      <c r="U1078" s="2" t="s">
        <v>9869</v>
      </c>
      <c r="V1078" s="2" t="s">
        <v>2756</v>
      </c>
      <c r="W1078" s="2" t="s">
        <v>2757</v>
      </c>
      <c r="X1078" s="2" t="s">
        <v>9870</v>
      </c>
      <c r="Y1078" s="2" t="s">
        <v>2759</v>
      </c>
      <c r="Z1078" s="2" t="s">
        <v>2760</v>
      </c>
      <c r="AA1078" s="2" t="s">
        <v>9871</v>
      </c>
      <c r="AB1078" s="2" t="s">
        <v>3086</v>
      </c>
      <c r="AC1078" s="2">
        <v>49.76</v>
      </c>
      <c r="AD1078" s="2">
        <v>96.66</v>
      </c>
      <c r="AE1078" s="2">
        <v>0</v>
      </c>
      <c r="AF1078" s="2" t="s">
        <v>5614</v>
      </c>
      <c r="AG1078" s="2" t="s">
        <v>132</v>
      </c>
      <c r="AH1078" s="2" t="s">
        <v>9872</v>
      </c>
      <c r="AI1078" s="2">
        <v>-6.9</v>
      </c>
      <c r="AJ1078" s="2">
        <v>24.994616974270699</v>
      </c>
      <c r="AK1078" s="2">
        <v>24.781714962674901</v>
      </c>
      <c r="AL1078" s="2">
        <v>25.163384646458901</v>
      </c>
      <c r="AM1078" s="2">
        <v>25.066496149762699</v>
      </c>
      <c r="AN1078" s="2">
        <v>25.119673984179101</v>
      </c>
      <c r="AO1078" s="2">
        <v>25.058826440756299</v>
      </c>
      <c r="AP1078" s="2">
        <v>24.834065853229198</v>
      </c>
      <c r="AQ1078" s="2">
        <v>25.1174342097801</v>
      </c>
      <c r="AR1078" s="2">
        <v>24.914935236698199</v>
      </c>
      <c r="AS1078" s="2">
        <v>24.401761442417801</v>
      </c>
      <c r="AT1078" s="2">
        <v>24.804128725247701</v>
      </c>
      <c r="AU1078" s="2">
        <v>24.631202903480201</v>
      </c>
      <c r="AV1078" s="2">
        <v>24.8448225876107</v>
      </c>
      <c r="AW1078" s="2">
        <v>24.811799394275301</v>
      </c>
      <c r="AX1078" s="2">
        <v>24.982289919741099</v>
      </c>
      <c r="AY1078" s="2">
        <v>24.7940810127837</v>
      </c>
      <c r="AZ1078" s="2">
        <v>24.556424670387099</v>
      </c>
      <c r="BA1078" s="2">
        <v>24.87606355166</v>
      </c>
      <c r="BB1078" s="2">
        <v>25.0647337442111</v>
      </c>
      <c r="BC1078" s="2">
        <v>24.720551001979</v>
      </c>
      <c r="BD1078" s="2">
        <v>24.776017577384501</v>
      </c>
      <c r="BE1078" s="2">
        <v>24.9270672080015</v>
      </c>
      <c r="BF1078" s="2">
        <v>24.873023226053</v>
      </c>
      <c r="BG1078" s="2">
        <v>24.6817339863325</v>
      </c>
      <c r="BH1078" s="2">
        <v>24.956528056073701</v>
      </c>
      <c r="BI1078" s="2">
        <v>24.608134357999599</v>
      </c>
      <c r="BJ1078" s="2">
        <v>24.772014192639102</v>
      </c>
      <c r="BK1078" s="2">
        <v>24.753565029406399</v>
      </c>
      <c r="BL1078" s="2">
        <v>24.732919012455199</v>
      </c>
      <c r="BM1078" s="2">
        <v>24.804312760816501</v>
      </c>
      <c r="BN1078" s="2">
        <v>24.9757746814652</v>
      </c>
      <c r="BO1078" s="2">
        <v>24.760103240038699</v>
      </c>
      <c r="BP1078" s="2">
        <v>24.690098716921</v>
      </c>
      <c r="BQ1078" s="2">
        <v>24.712114230000601</v>
      </c>
      <c r="BR1078" s="2">
        <v>24.419325734936098</v>
      </c>
      <c r="BS1078" s="2">
        <v>24.664123694805301</v>
      </c>
      <c r="BT1078" s="2">
        <v>24.969727073946601</v>
      </c>
      <c r="BU1078" s="2">
        <v>24.807618586185502</v>
      </c>
      <c r="BV1078" s="2">
        <v>24.942586344087601</v>
      </c>
      <c r="BW1078" s="2">
        <v>24.897556434131001</v>
      </c>
      <c r="BX1078" s="2">
        <v>24.666002459168201</v>
      </c>
      <c r="BY1078" s="2">
        <v>25.031278050046801</v>
      </c>
      <c r="BZ1078" s="2">
        <v>24.840706773401902</v>
      </c>
      <c r="CA1078" s="2">
        <v>24.6460119941374</v>
      </c>
      <c r="CB1078" s="2">
        <v>25.0356411368364</v>
      </c>
      <c r="CC1078" s="2">
        <v>24.6680811124481</v>
      </c>
      <c r="CD1078" s="2">
        <v>24.908350104002999</v>
      </c>
      <c r="CE1078" s="2">
        <v>24.9043401329135</v>
      </c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</row>
    <row r="1079" spans="1:97">
      <c r="A1079" s="2" t="s">
        <v>9873</v>
      </c>
      <c r="B1079" s="2">
        <v>267.07697000000002</v>
      </c>
      <c r="C1079" s="2">
        <v>4.3410000000000002</v>
      </c>
      <c r="D1079" s="2" t="s">
        <v>84</v>
      </c>
      <c r="E1079" s="2" t="s">
        <v>9874</v>
      </c>
      <c r="F1079" s="2" t="s">
        <v>9875</v>
      </c>
      <c r="G1079" s="2">
        <v>46835</v>
      </c>
      <c r="H1079" s="3" t="str">
        <f>HYPERLINK("https://cloud.oebiotech.com/#/lm/network/46835", "https://cloud.oebiotech.com/#/lm/network/46835")</f>
        <v>https://cloud.oebiotech.com/#/lm/network/46835</v>
      </c>
      <c r="I1079" s="2" t="s">
        <v>9876</v>
      </c>
      <c r="J1079" s="2">
        <v>243</v>
      </c>
      <c r="K1079" s="2"/>
      <c r="L1079" s="2">
        <v>171548</v>
      </c>
      <c r="M1079" s="2" t="s">
        <v>9877</v>
      </c>
      <c r="N1079" s="2" t="s">
        <v>9878</v>
      </c>
      <c r="O1079" s="2" t="s">
        <v>9879</v>
      </c>
      <c r="P1079" s="2">
        <v>15956</v>
      </c>
      <c r="Q1079" s="2" t="s">
        <v>9880</v>
      </c>
      <c r="R1079" s="2" t="s">
        <v>9881</v>
      </c>
      <c r="S1079" s="2" t="s">
        <v>9882</v>
      </c>
      <c r="T1079" s="2" t="s">
        <v>9883</v>
      </c>
      <c r="U1079" s="2" t="s">
        <v>9884</v>
      </c>
      <c r="V1079" s="2" t="s">
        <v>553</v>
      </c>
      <c r="W1079" s="2" t="s">
        <v>7358</v>
      </c>
      <c r="X1079" s="2" t="s">
        <v>375</v>
      </c>
      <c r="Y1079" s="2" t="s">
        <v>556</v>
      </c>
      <c r="Z1079" s="2" t="s">
        <v>7359</v>
      </c>
      <c r="AA1079" s="2"/>
      <c r="AB1079" s="2" t="s">
        <v>3086</v>
      </c>
      <c r="AC1079" s="2">
        <v>49.75</v>
      </c>
      <c r="AD1079" s="2">
        <v>75.83</v>
      </c>
      <c r="AE1079" s="2">
        <v>0</v>
      </c>
      <c r="AF1079" s="2" t="s">
        <v>5614</v>
      </c>
      <c r="AG1079" s="2" t="s">
        <v>1578</v>
      </c>
      <c r="AH1079" s="2" t="s">
        <v>9885</v>
      </c>
      <c r="AI1079" s="2">
        <v>1.5</v>
      </c>
      <c r="AJ1079" s="2">
        <v>17.139432042149199</v>
      </c>
      <c r="AK1079" s="2">
        <v>17.387844508231101</v>
      </c>
      <c r="AL1079" s="2">
        <v>17.3267382669382</v>
      </c>
      <c r="AM1079" s="2">
        <v>17.098080827393201</v>
      </c>
      <c r="AN1079" s="2">
        <v>17.092403483707599</v>
      </c>
      <c r="AO1079" s="2">
        <v>17.128074092457801</v>
      </c>
      <c r="AP1079" s="2">
        <v>16.728809105533301</v>
      </c>
      <c r="AQ1079" s="2">
        <v>16.7108336023351</v>
      </c>
      <c r="AR1079" s="2">
        <v>15.988749915419</v>
      </c>
      <c r="AS1079" s="2">
        <v>14.261740883481901</v>
      </c>
      <c r="AT1079" s="2">
        <v>16.414217803524899</v>
      </c>
      <c r="AU1079" s="2">
        <v>16.3621118020192</v>
      </c>
      <c r="AV1079" s="2">
        <v>16.748042255192701</v>
      </c>
      <c r="AW1079" s="2">
        <v>17.089485654241098</v>
      </c>
      <c r="AX1079" s="2">
        <v>17.362726197552199</v>
      </c>
      <c r="AY1079" s="2">
        <v>16.398757885048798</v>
      </c>
      <c r="AZ1079" s="2">
        <v>16.456094956961099</v>
      </c>
      <c r="BA1079" s="2">
        <v>15.221696240585199</v>
      </c>
      <c r="BB1079" s="2">
        <v>16.797241522943501</v>
      </c>
      <c r="BC1079" s="2">
        <v>18.115056557443801</v>
      </c>
      <c r="BD1079" s="2">
        <v>15.8181225248121</v>
      </c>
      <c r="BE1079" s="2">
        <v>17.7408572857499</v>
      </c>
      <c r="BF1079" s="2">
        <v>17.932652433965401</v>
      </c>
      <c r="BG1079" s="2">
        <v>17.425065724044799</v>
      </c>
      <c r="BH1079" s="2">
        <v>16.402809230223799</v>
      </c>
      <c r="BI1079" s="2">
        <v>17.831417723129601</v>
      </c>
      <c r="BJ1079" s="2">
        <v>17.256468645859002</v>
      </c>
      <c r="BK1079" s="2">
        <v>15.9428984032045</v>
      </c>
      <c r="BL1079" s="2">
        <v>9.6233145402724691</v>
      </c>
      <c r="BM1079" s="2">
        <v>16.115766280182601</v>
      </c>
      <c r="BN1079" s="2">
        <v>17.772549771162801</v>
      </c>
      <c r="BO1079" s="2">
        <v>16.825868463962799</v>
      </c>
      <c r="BP1079" s="2">
        <v>16.775948179948902</v>
      </c>
      <c r="BQ1079" s="2">
        <v>16.980564355756101</v>
      </c>
      <c r="BR1079" s="2">
        <v>17.1704435528796</v>
      </c>
      <c r="BS1079" s="2">
        <v>16.7107005787385</v>
      </c>
      <c r="BT1079" s="2">
        <v>17.0121870508593</v>
      </c>
      <c r="BU1079" s="2">
        <v>16.710327670679501</v>
      </c>
      <c r="BV1079" s="2">
        <v>16.843950117808401</v>
      </c>
      <c r="BW1079" s="2">
        <v>15.2179198432785</v>
      </c>
      <c r="BX1079" s="2">
        <v>16.567856874840999</v>
      </c>
      <c r="BY1079" s="2">
        <v>18.112514645191599</v>
      </c>
      <c r="BZ1079" s="2">
        <v>17.304856536560401</v>
      </c>
      <c r="CA1079" s="2">
        <v>16.858543466574101</v>
      </c>
      <c r="CB1079" s="2">
        <v>15.159765321911401</v>
      </c>
      <c r="CC1079" s="2">
        <v>17.132918781311599</v>
      </c>
      <c r="CD1079" s="2">
        <v>17.2414749785443</v>
      </c>
      <c r="CE1079" s="2">
        <v>17.8475836609678</v>
      </c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</row>
    <row r="1080" spans="1:97">
      <c r="A1080" s="2" t="s">
        <v>9886</v>
      </c>
      <c r="B1080" s="2">
        <v>278.24750999999998</v>
      </c>
      <c r="C1080" s="2">
        <v>7.67</v>
      </c>
      <c r="D1080" s="2" t="s">
        <v>84</v>
      </c>
      <c r="E1080" s="2" t="s">
        <v>9887</v>
      </c>
      <c r="F1080" s="2" t="s">
        <v>9888</v>
      </c>
      <c r="G1080" s="2">
        <v>38956</v>
      </c>
      <c r="H1080" s="3" t="str">
        <f>HYPERLINK("https://cloud.oebiotech.com/#/lm/network/38956", "https://cloud.oebiotech.com/#/lm/network/38956")</f>
        <v>https://cloud.oebiotech.com/#/lm/network/38956</v>
      </c>
      <c r="I1080" s="2"/>
      <c r="J1080" s="2">
        <v>53913</v>
      </c>
      <c r="K1080" s="2" t="s">
        <v>9889</v>
      </c>
      <c r="L1080" s="2">
        <v>42608349</v>
      </c>
      <c r="M1080" s="2"/>
      <c r="N1080" s="2"/>
      <c r="O1080" s="2"/>
      <c r="P1080" s="2"/>
      <c r="Q1080" s="2"/>
      <c r="R1080" s="2"/>
      <c r="S1080" s="2"/>
      <c r="T1080" s="2" t="s">
        <v>9890</v>
      </c>
      <c r="U1080" s="2" t="s">
        <v>9891</v>
      </c>
      <c r="V1080" s="2" t="s">
        <v>166</v>
      </c>
      <c r="W1080" s="2" t="s">
        <v>167</v>
      </c>
      <c r="X1080" s="2" t="s">
        <v>482</v>
      </c>
      <c r="Y1080" s="2" t="s">
        <v>169</v>
      </c>
      <c r="Z1080" s="2" t="s">
        <v>169</v>
      </c>
      <c r="AA1080" s="2" t="s">
        <v>483</v>
      </c>
      <c r="AB1080" s="2" t="s">
        <v>3086</v>
      </c>
      <c r="AC1080" s="2">
        <v>49.72</v>
      </c>
      <c r="AD1080" s="2">
        <v>88.98</v>
      </c>
      <c r="AE1080" s="2">
        <v>0</v>
      </c>
      <c r="AF1080" s="2" t="s">
        <v>5614</v>
      </c>
      <c r="AG1080" s="2" t="s">
        <v>1088</v>
      </c>
      <c r="AH1080" s="2" t="s">
        <v>5273</v>
      </c>
      <c r="AI1080" s="2">
        <v>3.23</v>
      </c>
      <c r="AJ1080" s="2">
        <v>17.3756769368315</v>
      </c>
      <c r="AK1080" s="2">
        <v>17.145547008328101</v>
      </c>
      <c r="AL1080" s="2">
        <v>17.353151306338699</v>
      </c>
      <c r="AM1080" s="2">
        <v>16.7559680229127</v>
      </c>
      <c r="AN1080" s="2">
        <v>17.001118196740599</v>
      </c>
      <c r="AO1080" s="2">
        <v>17.084275041711301</v>
      </c>
      <c r="AP1080" s="2">
        <v>17.435951074116801</v>
      </c>
      <c r="AQ1080" s="2">
        <v>17.489303978544299</v>
      </c>
      <c r="AR1080" s="2">
        <v>14.9478136116212</v>
      </c>
      <c r="AS1080" s="2">
        <v>9.6233145402724691</v>
      </c>
      <c r="AT1080" s="2">
        <v>17.250121475552199</v>
      </c>
      <c r="AU1080" s="2">
        <v>17.805824089609001</v>
      </c>
      <c r="AV1080" s="2">
        <v>17.6191984812058</v>
      </c>
      <c r="AW1080" s="2">
        <v>17.7447763644834</v>
      </c>
      <c r="AX1080" s="2">
        <v>17.923000343974699</v>
      </c>
      <c r="AY1080" s="2">
        <v>17.704635600838699</v>
      </c>
      <c r="AZ1080" s="2">
        <v>16.373996991468999</v>
      </c>
      <c r="BA1080" s="2">
        <v>17.491808559320699</v>
      </c>
      <c r="BB1080" s="2">
        <v>15.9814484348256</v>
      </c>
      <c r="BC1080" s="2">
        <v>17.055277986393701</v>
      </c>
      <c r="BD1080" s="2">
        <v>16.719774097850099</v>
      </c>
      <c r="BE1080" s="2">
        <v>17.5701816905556</v>
      </c>
      <c r="BF1080" s="2">
        <v>16.453591525935501</v>
      </c>
      <c r="BG1080" s="2">
        <v>18.397345445497201</v>
      </c>
      <c r="BH1080" s="2">
        <v>17.532949873606501</v>
      </c>
      <c r="BI1080" s="2">
        <v>17.560317308437199</v>
      </c>
      <c r="BJ1080" s="2">
        <v>9.6233145402724691</v>
      </c>
      <c r="BK1080" s="2">
        <v>17.716488524488799</v>
      </c>
      <c r="BL1080" s="2">
        <v>17.557968305306701</v>
      </c>
      <c r="BM1080" s="2">
        <v>17.502394644618199</v>
      </c>
      <c r="BN1080" s="2">
        <v>17.452479755175201</v>
      </c>
      <c r="BO1080" s="2">
        <v>18.149411726949001</v>
      </c>
      <c r="BP1080" s="2">
        <v>17.189374128865499</v>
      </c>
      <c r="BQ1080" s="2">
        <v>17.2510759851519</v>
      </c>
      <c r="BR1080" s="2">
        <v>14.702129927788601</v>
      </c>
      <c r="BS1080" s="2">
        <v>17.151257899694802</v>
      </c>
      <c r="BT1080" s="2">
        <v>17.708617745808599</v>
      </c>
      <c r="BU1080" s="2">
        <v>17.5770044044896</v>
      </c>
      <c r="BV1080" s="2">
        <v>14.000912842711401</v>
      </c>
      <c r="BW1080" s="2">
        <v>14.7591188944008</v>
      </c>
      <c r="BX1080" s="2">
        <v>17.3631756125069</v>
      </c>
      <c r="BY1080" s="2">
        <v>17.632508145741902</v>
      </c>
      <c r="BZ1080" s="2">
        <v>17.9089479153604</v>
      </c>
      <c r="CA1080" s="2">
        <v>9.6233145402724691</v>
      </c>
      <c r="CB1080" s="2">
        <v>13.509027736237799</v>
      </c>
      <c r="CC1080" s="2">
        <v>17.761005820656901</v>
      </c>
      <c r="CD1080" s="2">
        <v>17.800660117361801</v>
      </c>
      <c r="CE1080" s="2">
        <v>17.348161119117599</v>
      </c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</row>
    <row r="1081" spans="1:97">
      <c r="A1081" s="2" t="s">
        <v>9892</v>
      </c>
      <c r="B1081" s="2">
        <v>194.04544999999999</v>
      </c>
      <c r="C1081" s="2">
        <v>5.3840000000000003</v>
      </c>
      <c r="D1081" s="2" t="s">
        <v>146</v>
      </c>
      <c r="E1081" s="2" t="s">
        <v>9893</v>
      </c>
      <c r="F1081" s="2" t="s">
        <v>9894</v>
      </c>
      <c r="G1081" s="2">
        <v>47762</v>
      </c>
      <c r="H1081" s="3" t="str">
        <f>HYPERLINK("https://cloud.oebiotech.com/#/lm/network/47762", "https://cloud.oebiotech.com/#/lm/network/47762")</f>
        <v>https://cloud.oebiotech.com/#/lm/network/47762</v>
      </c>
      <c r="I1081" s="2" t="s">
        <v>9895</v>
      </c>
      <c r="J1081" s="2">
        <v>6439</v>
      </c>
      <c r="K1081" s="2"/>
      <c r="L1081" s="2">
        <v>5115</v>
      </c>
      <c r="M1081" s="2"/>
      <c r="N1081" s="2"/>
      <c r="O1081" s="2"/>
      <c r="P1081" s="2">
        <v>242989</v>
      </c>
      <c r="Q1081" s="2"/>
      <c r="R1081" s="2"/>
      <c r="S1081" s="2" t="s">
        <v>9896</v>
      </c>
      <c r="T1081" s="2" t="s">
        <v>9897</v>
      </c>
      <c r="U1081" s="2" t="s">
        <v>9898</v>
      </c>
      <c r="V1081" s="2" t="s">
        <v>115</v>
      </c>
      <c r="W1081" s="2" t="s">
        <v>116</v>
      </c>
      <c r="X1081" s="2" t="s">
        <v>117</v>
      </c>
      <c r="Y1081" s="2" t="s">
        <v>118</v>
      </c>
      <c r="Z1081" s="2" t="s">
        <v>119</v>
      </c>
      <c r="AA1081" s="2" t="s">
        <v>120</v>
      </c>
      <c r="AB1081" s="2" t="s">
        <v>5118</v>
      </c>
      <c r="AC1081" s="2">
        <v>49.71</v>
      </c>
      <c r="AD1081" s="2">
        <v>94.08</v>
      </c>
      <c r="AE1081" s="2">
        <v>77.98</v>
      </c>
      <c r="AF1081" s="2" t="s">
        <v>9899</v>
      </c>
      <c r="AG1081" s="2" t="s">
        <v>194</v>
      </c>
      <c r="AH1081" s="2" t="s">
        <v>2772</v>
      </c>
      <c r="AI1081" s="2">
        <v>2.58</v>
      </c>
      <c r="AJ1081" s="2">
        <v>19.647849961673199</v>
      </c>
      <c r="AK1081" s="2">
        <v>19.468139751710499</v>
      </c>
      <c r="AL1081" s="2">
        <v>19.6699836494595</v>
      </c>
      <c r="AM1081" s="2">
        <v>19.4049677321382</v>
      </c>
      <c r="AN1081" s="2">
        <v>19.2613032909771</v>
      </c>
      <c r="AO1081" s="2">
        <v>19.5477963143944</v>
      </c>
      <c r="AP1081" s="2">
        <v>19.6324059370708</v>
      </c>
      <c r="AQ1081" s="2">
        <v>19.7311964033652</v>
      </c>
      <c r="AR1081" s="2">
        <v>18.803148945327798</v>
      </c>
      <c r="AS1081" s="2">
        <v>18.335973766799601</v>
      </c>
      <c r="AT1081" s="2">
        <v>19.594126800118001</v>
      </c>
      <c r="AU1081" s="2">
        <v>19.245751908863902</v>
      </c>
      <c r="AV1081" s="2">
        <v>19.329441917657299</v>
      </c>
      <c r="AW1081" s="2">
        <v>19.1468611615384</v>
      </c>
      <c r="AX1081" s="2">
        <v>18.775227251942098</v>
      </c>
      <c r="AY1081" s="2">
        <v>18.915157810060698</v>
      </c>
      <c r="AZ1081" s="2">
        <v>19.018372549356801</v>
      </c>
      <c r="BA1081" s="2">
        <v>19.4395382044763</v>
      </c>
      <c r="BB1081" s="2">
        <v>19.3362778735112</v>
      </c>
      <c r="BC1081" s="2">
        <v>19.238618621595901</v>
      </c>
      <c r="BD1081" s="2">
        <v>18.6761705884709</v>
      </c>
      <c r="BE1081" s="2">
        <v>19.746356383232001</v>
      </c>
      <c r="BF1081" s="2">
        <v>18.845959652845998</v>
      </c>
      <c r="BG1081" s="2">
        <v>19.649007364717999</v>
      </c>
      <c r="BH1081" s="2">
        <v>19.0768955097484</v>
      </c>
      <c r="BI1081" s="2">
        <v>20.257836727334499</v>
      </c>
      <c r="BJ1081" s="2">
        <v>18.957929529394502</v>
      </c>
      <c r="BK1081" s="2">
        <v>19.6634141687225</v>
      </c>
      <c r="BL1081" s="2">
        <v>19.3362819057478</v>
      </c>
      <c r="BM1081" s="2">
        <v>19.3474071766734</v>
      </c>
      <c r="BN1081" s="2">
        <v>19.7726658413685</v>
      </c>
      <c r="BO1081" s="2">
        <v>19.438796460873299</v>
      </c>
      <c r="BP1081" s="2">
        <v>18.837526705691701</v>
      </c>
      <c r="BQ1081" s="2">
        <v>19.642380847062899</v>
      </c>
      <c r="BR1081" s="2">
        <v>19.275960533915999</v>
      </c>
      <c r="BS1081" s="2">
        <v>19.500455274912301</v>
      </c>
      <c r="BT1081" s="2">
        <v>19.287748514099299</v>
      </c>
      <c r="BU1081" s="2">
        <v>19.7599147518569</v>
      </c>
      <c r="BV1081" s="2">
        <v>19.554866404683199</v>
      </c>
      <c r="BW1081" s="2">
        <v>17.8840869677576</v>
      </c>
      <c r="BX1081" s="2">
        <v>19.5737954083042</v>
      </c>
      <c r="BY1081" s="2">
        <v>20.1325366801419</v>
      </c>
      <c r="BZ1081" s="2">
        <v>19.608748956140001</v>
      </c>
      <c r="CA1081" s="2">
        <v>19.474203131936999</v>
      </c>
      <c r="CB1081" s="2">
        <v>18.7624813464593</v>
      </c>
      <c r="CC1081" s="2">
        <v>20.041318747541801</v>
      </c>
      <c r="CD1081" s="2">
        <v>19.312930936218301</v>
      </c>
      <c r="CE1081" s="2">
        <v>19.680641804572701</v>
      </c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</row>
    <row r="1082" spans="1:97">
      <c r="A1082" s="2" t="s">
        <v>9900</v>
      </c>
      <c r="B1082" s="2">
        <v>519.04871000000003</v>
      </c>
      <c r="C1082" s="2">
        <v>0.78700000000000003</v>
      </c>
      <c r="D1082" s="2" t="s">
        <v>146</v>
      </c>
      <c r="E1082" s="2" t="s">
        <v>9901</v>
      </c>
      <c r="F1082" s="2" t="s">
        <v>9902</v>
      </c>
      <c r="G1082" s="2">
        <v>48704</v>
      </c>
      <c r="H1082" s="3" t="str">
        <f>HYPERLINK("https://cloud.oebiotech.com/#/lm/network/48704", "https://cloud.oebiotech.com/#/lm/network/48704")</f>
        <v>https://cloud.oebiotech.com/#/lm/network/48704</v>
      </c>
      <c r="I1082" s="2" t="s">
        <v>9903</v>
      </c>
      <c r="J1082" s="2"/>
      <c r="K1082" s="2"/>
      <c r="L1082" s="2">
        <v>439279</v>
      </c>
      <c r="M1082" s="2" t="s">
        <v>9904</v>
      </c>
      <c r="N1082" s="2" t="s">
        <v>9905</v>
      </c>
      <c r="O1082" s="2" t="s">
        <v>9906</v>
      </c>
      <c r="P1082" s="2">
        <v>18205</v>
      </c>
      <c r="Q1082" s="2" t="s">
        <v>9907</v>
      </c>
      <c r="R1082" s="2" t="s">
        <v>9908</v>
      </c>
      <c r="S1082" s="2" t="s">
        <v>9909</v>
      </c>
      <c r="T1082" s="2" t="s">
        <v>9910</v>
      </c>
      <c r="U1082" s="2" t="s">
        <v>9911</v>
      </c>
      <c r="V1082" s="2" t="s">
        <v>338</v>
      </c>
      <c r="W1082" s="2" t="s">
        <v>339</v>
      </c>
      <c r="X1082" s="2" t="s">
        <v>663</v>
      </c>
      <c r="Y1082" s="2" t="s">
        <v>341</v>
      </c>
      <c r="Z1082" s="2" t="s">
        <v>341</v>
      </c>
      <c r="AA1082" s="2" t="s">
        <v>664</v>
      </c>
      <c r="AB1082" s="2" t="s">
        <v>3086</v>
      </c>
      <c r="AC1082" s="2">
        <v>49.7</v>
      </c>
      <c r="AD1082" s="2">
        <v>89.87</v>
      </c>
      <c r="AE1082" s="2">
        <v>0</v>
      </c>
      <c r="AF1082" s="2" t="s">
        <v>5614</v>
      </c>
      <c r="AG1082" s="2" t="s">
        <v>3880</v>
      </c>
      <c r="AH1082" s="2" t="s">
        <v>4975</v>
      </c>
      <c r="AI1082" s="2">
        <v>6.74</v>
      </c>
      <c r="AJ1082" s="2">
        <v>20.154502200679001</v>
      </c>
      <c r="AK1082" s="2">
        <v>19.8132464057847</v>
      </c>
      <c r="AL1082" s="2">
        <v>20.483922019967999</v>
      </c>
      <c r="AM1082" s="2">
        <v>20.0953885875062</v>
      </c>
      <c r="AN1082" s="2">
        <v>20.5477242842877</v>
      </c>
      <c r="AO1082" s="2">
        <v>20.032480746129799</v>
      </c>
      <c r="AP1082" s="2">
        <v>20.4250954311843</v>
      </c>
      <c r="AQ1082" s="2">
        <v>20.319803235810699</v>
      </c>
      <c r="AR1082" s="2">
        <v>20.1890284899007</v>
      </c>
      <c r="AS1082" s="2">
        <v>19.332115329923202</v>
      </c>
      <c r="AT1082" s="2">
        <v>20.114598303615999</v>
      </c>
      <c r="AU1082" s="2">
        <v>19.623544461819002</v>
      </c>
      <c r="AV1082" s="2">
        <v>20.204936511791999</v>
      </c>
      <c r="AW1082" s="2">
        <v>20.682208798102</v>
      </c>
      <c r="AX1082" s="2">
        <v>20.432004427045701</v>
      </c>
      <c r="AY1082" s="2">
        <v>20.410256517210399</v>
      </c>
      <c r="AZ1082" s="2">
        <v>19.618823246780501</v>
      </c>
      <c r="BA1082" s="2">
        <v>20.475606754656098</v>
      </c>
      <c r="BB1082" s="2">
        <v>20.251753898224599</v>
      </c>
      <c r="BC1082" s="2">
        <v>20.671652373588199</v>
      </c>
      <c r="BD1082" s="2">
        <v>20.178823867201199</v>
      </c>
      <c r="BE1082" s="2">
        <v>19.628558495467299</v>
      </c>
      <c r="BF1082" s="2">
        <v>20.3858715509738</v>
      </c>
      <c r="BG1082" s="2">
        <v>20.338372899661501</v>
      </c>
      <c r="BH1082" s="2">
        <v>20.015370961197</v>
      </c>
      <c r="BI1082" s="2">
        <v>21.6244245126612</v>
      </c>
      <c r="BJ1082" s="2">
        <v>20.308850325869599</v>
      </c>
      <c r="BK1082" s="2">
        <v>20.1031641417072</v>
      </c>
      <c r="BL1082" s="2">
        <v>20.447445190776101</v>
      </c>
      <c r="BM1082" s="2">
        <v>19.869052372568301</v>
      </c>
      <c r="BN1082" s="2">
        <v>20.328091251715801</v>
      </c>
      <c r="BO1082" s="2">
        <v>20.288416006424001</v>
      </c>
      <c r="BP1082" s="2">
        <v>19.543551445436901</v>
      </c>
      <c r="BQ1082" s="2">
        <v>20.431376727127201</v>
      </c>
      <c r="BR1082" s="2">
        <v>20.7272208698204</v>
      </c>
      <c r="BS1082" s="2">
        <v>20.246393739943699</v>
      </c>
      <c r="BT1082" s="2">
        <v>18.712167464067601</v>
      </c>
      <c r="BU1082" s="2">
        <v>20.360991157924399</v>
      </c>
      <c r="BV1082" s="2">
        <v>19.860446086024801</v>
      </c>
      <c r="BW1082" s="2">
        <v>19.9674912197091</v>
      </c>
      <c r="BX1082" s="2">
        <v>20.064513576321101</v>
      </c>
      <c r="BY1082" s="2">
        <v>20.204083779844701</v>
      </c>
      <c r="BZ1082" s="2">
        <v>20.1387273083986</v>
      </c>
      <c r="CA1082" s="2">
        <v>19.680801918422102</v>
      </c>
      <c r="CB1082" s="2">
        <v>20.029536462932299</v>
      </c>
      <c r="CC1082" s="2">
        <v>21.227698018142998</v>
      </c>
      <c r="CD1082" s="2">
        <v>19.859415837878</v>
      </c>
      <c r="CE1082" s="2">
        <v>20.201079366305901</v>
      </c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</row>
    <row r="1083" spans="1:97">
      <c r="A1083" s="2" t="s">
        <v>9912</v>
      </c>
      <c r="B1083" s="2">
        <v>264.02728999999999</v>
      </c>
      <c r="C1083" s="2">
        <v>1.145</v>
      </c>
      <c r="D1083" s="2" t="s">
        <v>146</v>
      </c>
      <c r="E1083" s="2" t="s">
        <v>9913</v>
      </c>
      <c r="F1083" s="2" t="s">
        <v>9914</v>
      </c>
      <c r="G1083" s="2">
        <v>2885</v>
      </c>
      <c r="H1083" s="3" t="str">
        <f>HYPERLINK("https://cloud.oebiotech.com/#/lm/network/2885", "https://cloud.oebiotech.com/#/lm/network/2885")</f>
        <v>https://cloud.oebiotech.com/#/lm/network/2885</v>
      </c>
      <c r="I1083" s="2"/>
      <c r="J1083" s="2"/>
      <c r="K1083" s="2" t="s">
        <v>9915</v>
      </c>
      <c r="L1083" s="2">
        <v>5280732</v>
      </c>
      <c r="M1083" s="2" t="s">
        <v>9916</v>
      </c>
      <c r="N1083" s="2" t="s">
        <v>1390</v>
      </c>
      <c r="O1083" s="2" t="s">
        <v>1391</v>
      </c>
      <c r="P1083" s="2">
        <v>17671</v>
      </c>
      <c r="Q1083" s="2"/>
      <c r="R1083" s="2"/>
      <c r="S1083" s="2"/>
      <c r="T1083" s="2" t="s">
        <v>9917</v>
      </c>
      <c r="U1083" s="2" t="s">
        <v>9918</v>
      </c>
      <c r="V1083" s="2" t="s">
        <v>115</v>
      </c>
      <c r="W1083" s="2" t="s">
        <v>116</v>
      </c>
      <c r="X1083" s="2" t="s">
        <v>117</v>
      </c>
      <c r="Y1083" s="2" t="s">
        <v>118</v>
      </c>
      <c r="Z1083" s="2" t="s">
        <v>119</v>
      </c>
      <c r="AA1083" s="2" t="s">
        <v>120</v>
      </c>
      <c r="AB1083" s="2" t="s">
        <v>3086</v>
      </c>
      <c r="AC1083" s="2">
        <v>49.7</v>
      </c>
      <c r="AD1083" s="2">
        <v>75.78</v>
      </c>
      <c r="AE1083" s="2">
        <v>0</v>
      </c>
      <c r="AF1083" s="2" t="s">
        <v>5614</v>
      </c>
      <c r="AG1083" s="2" t="s">
        <v>4062</v>
      </c>
      <c r="AH1083" s="2" t="s">
        <v>9919</v>
      </c>
      <c r="AI1083" s="2">
        <v>2.65</v>
      </c>
      <c r="AJ1083" s="2">
        <v>16.967061631237399</v>
      </c>
      <c r="AK1083" s="2">
        <v>16.7918044073188</v>
      </c>
      <c r="AL1083" s="2">
        <v>17.2457134073234</v>
      </c>
      <c r="AM1083" s="2">
        <v>16.949223600364999</v>
      </c>
      <c r="AN1083" s="2">
        <v>16.630773060451499</v>
      </c>
      <c r="AO1083" s="2">
        <v>16.788675643495498</v>
      </c>
      <c r="AP1083" s="2">
        <v>16.808389450262698</v>
      </c>
      <c r="AQ1083" s="2">
        <v>16.1771201134374</v>
      </c>
      <c r="AR1083" s="2">
        <v>13.957339689304799</v>
      </c>
      <c r="AS1083" s="2">
        <v>15.373925475478901</v>
      </c>
      <c r="AT1083" s="2">
        <v>14.738330858945901</v>
      </c>
      <c r="AU1083" s="2">
        <v>17.0065441407944</v>
      </c>
      <c r="AV1083" s="2">
        <v>16.829825781051699</v>
      </c>
      <c r="AW1083" s="2">
        <v>16.4023614188186</v>
      </c>
      <c r="AX1083" s="2">
        <v>16.420963364229301</v>
      </c>
      <c r="AY1083" s="2">
        <v>17.128487383139401</v>
      </c>
      <c r="AZ1083" s="2">
        <v>16.326155409425301</v>
      </c>
      <c r="BA1083" s="2">
        <v>16.212945447603399</v>
      </c>
      <c r="BB1083" s="2">
        <v>17.422162029141401</v>
      </c>
      <c r="BC1083" s="2">
        <v>17.7944017774626</v>
      </c>
      <c r="BD1083" s="2">
        <v>14.906521421326699</v>
      </c>
      <c r="BE1083" s="2">
        <v>17.598963640792899</v>
      </c>
      <c r="BF1083" s="2">
        <v>16.5929501346465</v>
      </c>
      <c r="BG1083" s="2">
        <v>17.245696511808301</v>
      </c>
      <c r="BH1083" s="2">
        <v>16.694814642944799</v>
      </c>
      <c r="BI1083" s="2">
        <v>15.921230544245899</v>
      </c>
      <c r="BJ1083" s="2">
        <v>16.454693043956901</v>
      </c>
      <c r="BK1083" s="2">
        <v>16.084028128509502</v>
      </c>
      <c r="BL1083" s="2">
        <v>16.225803163856401</v>
      </c>
      <c r="BM1083" s="2">
        <v>18.547197526009398</v>
      </c>
      <c r="BN1083" s="2">
        <v>17.7295485220289</v>
      </c>
      <c r="BO1083" s="2">
        <v>15.979964809904001</v>
      </c>
      <c r="BP1083" s="2">
        <v>16.397704209764999</v>
      </c>
      <c r="BQ1083" s="2">
        <v>16.964952466467999</v>
      </c>
      <c r="BR1083" s="2">
        <v>16.699040589189899</v>
      </c>
      <c r="BS1083" s="2">
        <v>17.0754021616365</v>
      </c>
      <c r="BT1083" s="2">
        <v>15.2508146842004</v>
      </c>
      <c r="BU1083" s="2">
        <v>14.0140352948372</v>
      </c>
      <c r="BV1083" s="2">
        <v>16.731249016184499</v>
      </c>
      <c r="BW1083" s="2">
        <v>16.427358189569599</v>
      </c>
      <c r="BX1083" s="2">
        <v>16.621445229093599</v>
      </c>
      <c r="BY1083" s="2">
        <v>16.952473264623901</v>
      </c>
      <c r="BZ1083" s="2">
        <v>17.9605185427456</v>
      </c>
      <c r="CA1083" s="2">
        <v>17.543176629424799</v>
      </c>
      <c r="CB1083" s="2">
        <v>15.2886386530217</v>
      </c>
      <c r="CC1083" s="2">
        <v>16.427101649869101</v>
      </c>
      <c r="CD1083" s="2">
        <v>17.3714170316014</v>
      </c>
      <c r="CE1083" s="2">
        <v>16.1122827012891</v>
      </c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</row>
    <row r="1084" spans="1:97">
      <c r="A1084" s="2" t="s">
        <v>9920</v>
      </c>
      <c r="B1084" s="2">
        <v>253.03008</v>
      </c>
      <c r="C1084" s="2">
        <v>3.5249999999999999</v>
      </c>
      <c r="D1084" s="2" t="s">
        <v>146</v>
      </c>
      <c r="E1084" s="2" t="s">
        <v>9921</v>
      </c>
      <c r="F1084" s="2" t="s">
        <v>9922</v>
      </c>
      <c r="G1084" s="2">
        <v>207993</v>
      </c>
      <c r="H1084" s="3" t="str">
        <f>HYPERLINK("https://cloud.oebiotech.com/#/lm/network/207993", "https://cloud.oebiotech.com/#/lm/network/207993")</f>
        <v>https://cloud.oebiotech.com/#/lm/network/207993</v>
      </c>
      <c r="I1084" s="2" t="s">
        <v>9923</v>
      </c>
      <c r="J1084" s="2"/>
      <c r="K1084" s="2"/>
      <c r="L1084" s="2">
        <v>10104496</v>
      </c>
      <c r="M1084" s="2"/>
      <c r="N1084" s="2"/>
      <c r="O1084" s="2"/>
      <c r="P1084" s="2"/>
      <c r="Q1084" s="2"/>
      <c r="R1084" s="2"/>
      <c r="S1084" s="2"/>
      <c r="T1084" s="2" t="s">
        <v>9924</v>
      </c>
      <c r="U1084" s="2" t="s">
        <v>9925</v>
      </c>
      <c r="V1084" s="2" t="s">
        <v>553</v>
      </c>
      <c r="W1084" s="2" t="s">
        <v>9926</v>
      </c>
      <c r="X1084" s="2" t="s">
        <v>375</v>
      </c>
      <c r="Y1084" s="2" t="s">
        <v>556</v>
      </c>
      <c r="Z1084" s="2" t="s">
        <v>9927</v>
      </c>
      <c r="AA1084" s="2"/>
      <c r="AB1084" s="2" t="s">
        <v>5118</v>
      </c>
      <c r="AC1084" s="2">
        <v>49.7</v>
      </c>
      <c r="AD1084" s="2">
        <v>93.1</v>
      </c>
      <c r="AE1084" s="2">
        <v>92.63</v>
      </c>
      <c r="AF1084" s="2" t="s">
        <v>9928</v>
      </c>
      <c r="AG1084" s="2" t="s">
        <v>157</v>
      </c>
      <c r="AH1084" s="2" t="s">
        <v>9929</v>
      </c>
      <c r="AI1084" s="2">
        <v>-4.74</v>
      </c>
      <c r="AJ1084" s="2">
        <v>21.606087447278998</v>
      </c>
      <c r="AK1084" s="2">
        <v>21.581637016386399</v>
      </c>
      <c r="AL1084" s="2">
        <v>21.475302905831199</v>
      </c>
      <c r="AM1084" s="2">
        <v>21.635570667241801</v>
      </c>
      <c r="AN1084" s="2">
        <v>21.528423276239899</v>
      </c>
      <c r="AO1084" s="2">
        <v>21.477831568923001</v>
      </c>
      <c r="AP1084" s="2">
        <v>21.557916450045699</v>
      </c>
      <c r="AQ1084" s="2">
        <v>21.471848198840501</v>
      </c>
      <c r="AR1084" s="2">
        <v>21.620756228710501</v>
      </c>
      <c r="AS1084" s="2">
        <v>20.535119365847599</v>
      </c>
      <c r="AT1084" s="2">
        <v>21.147776980307999</v>
      </c>
      <c r="AU1084" s="2">
        <v>20.229460950686398</v>
      </c>
      <c r="AV1084" s="2">
        <v>21.4425291876444</v>
      </c>
      <c r="AW1084" s="2">
        <v>21.361639365325999</v>
      </c>
      <c r="AX1084" s="2">
        <v>21.5730211346402</v>
      </c>
      <c r="AY1084" s="2">
        <v>20.6687141342417</v>
      </c>
      <c r="AZ1084" s="2">
        <v>20.982424849301001</v>
      </c>
      <c r="BA1084" s="2">
        <v>20.3355210192992</v>
      </c>
      <c r="BB1084" s="2">
        <v>20.4917414576895</v>
      </c>
      <c r="BC1084" s="2">
        <v>20.946561599653599</v>
      </c>
      <c r="BD1084" s="2">
        <v>21.612145472474602</v>
      </c>
      <c r="BE1084" s="2">
        <v>20.900534157086</v>
      </c>
      <c r="BF1084" s="2">
        <v>20.951559484805401</v>
      </c>
      <c r="BG1084" s="2">
        <v>23.538110290234801</v>
      </c>
      <c r="BH1084" s="2">
        <v>20.673265652357799</v>
      </c>
      <c r="BI1084" s="2">
        <v>22.372670146307701</v>
      </c>
      <c r="BJ1084" s="2">
        <v>21.711150240607399</v>
      </c>
      <c r="BK1084" s="2">
        <v>21.244387511807499</v>
      </c>
      <c r="BL1084" s="2">
        <v>21.472915796640901</v>
      </c>
      <c r="BM1084" s="2">
        <v>20.844052811754299</v>
      </c>
      <c r="BN1084" s="2">
        <v>20.780961777599</v>
      </c>
      <c r="BO1084" s="2">
        <v>20.768207978287901</v>
      </c>
      <c r="BP1084" s="2">
        <v>21.312481318205801</v>
      </c>
      <c r="BQ1084" s="2">
        <v>21.435808319668201</v>
      </c>
      <c r="BR1084" s="2">
        <v>21.703708014481901</v>
      </c>
      <c r="BS1084" s="2">
        <v>20.789689170778299</v>
      </c>
      <c r="BT1084" s="2">
        <v>20.4268886643424</v>
      </c>
      <c r="BU1084" s="2">
        <v>20.939932940899102</v>
      </c>
      <c r="BV1084" s="2">
        <v>21.308368568578899</v>
      </c>
      <c r="BW1084" s="2">
        <v>20.306380956143201</v>
      </c>
      <c r="BX1084" s="2">
        <v>20.9385520148615</v>
      </c>
      <c r="BY1084" s="2">
        <v>21.5903431109077</v>
      </c>
      <c r="BZ1084" s="2">
        <v>20.723241268195402</v>
      </c>
      <c r="CA1084" s="2">
        <v>22.508810677879001</v>
      </c>
      <c r="CB1084" s="2">
        <v>20.998970640026201</v>
      </c>
      <c r="CC1084" s="2">
        <v>21.9926768259254</v>
      </c>
      <c r="CD1084" s="2">
        <v>21.929777473770098</v>
      </c>
      <c r="CE1084" s="2">
        <v>21.605875207680199</v>
      </c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</row>
    <row r="1085" spans="1:97">
      <c r="A1085" s="2" t="s">
        <v>9930</v>
      </c>
      <c r="B1085" s="2">
        <v>171.13871</v>
      </c>
      <c r="C1085" s="2">
        <v>7.24</v>
      </c>
      <c r="D1085" s="2" t="s">
        <v>146</v>
      </c>
      <c r="E1085" s="2" t="s">
        <v>9931</v>
      </c>
      <c r="F1085" s="2" t="s">
        <v>9932</v>
      </c>
      <c r="G1085" s="2">
        <v>57</v>
      </c>
      <c r="H1085" s="3" t="str">
        <f>HYPERLINK("https://cloud.oebiotech.com/#/lm/network/57", "https://cloud.oebiotech.com/#/lm/network/57")</f>
        <v>https://cloud.oebiotech.com/#/lm/network/57</v>
      </c>
      <c r="I1085" s="2" t="s">
        <v>9933</v>
      </c>
      <c r="J1085" s="2">
        <v>336</v>
      </c>
      <c r="K1085" s="2" t="s">
        <v>9934</v>
      </c>
      <c r="L1085" s="2">
        <v>2969</v>
      </c>
      <c r="M1085" s="2" t="s">
        <v>9935</v>
      </c>
      <c r="N1085" s="2" t="s">
        <v>3779</v>
      </c>
      <c r="O1085" s="2" t="s">
        <v>3780</v>
      </c>
      <c r="P1085" s="2">
        <v>30813</v>
      </c>
      <c r="Q1085" s="2" t="s">
        <v>9936</v>
      </c>
      <c r="R1085" s="2" t="s">
        <v>9937</v>
      </c>
      <c r="S1085" s="2" t="s">
        <v>9938</v>
      </c>
      <c r="T1085" s="2" t="s">
        <v>9939</v>
      </c>
      <c r="U1085" s="2" t="s">
        <v>9940</v>
      </c>
      <c r="V1085" s="2" t="s">
        <v>95</v>
      </c>
      <c r="W1085" s="2" t="s">
        <v>96</v>
      </c>
      <c r="X1085" s="2" t="s">
        <v>141</v>
      </c>
      <c r="Y1085" s="2" t="s">
        <v>98</v>
      </c>
      <c r="Z1085" s="2" t="s">
        <v>99</v>
      </c>
      <c r="AA1085" s="2" t="s">
        <v>142</v>
      </c>
      <c r="AB1085" s="2" t="s">
        <v>5118</v>
      </c>
      <c r="AC1085" s="2">
        <v>49.69</v>
      </c>
      <c r="AD1085" s="2">
        <v>93.92</v>
      </c>
      <c r="AE1085" s="2">
        <v>61.24</v>
      </c>
      <c r="AF1085" s="2" t="s">
        <v>9941</v>
      </c>
      <c r="AG1085" s="2" t="s">
        <v>194</v>
      </c>
      <c r="AH1085" s="2" t="s">
        <v>9942</v>
      </c>
      <c r="AI1085" s="2">
        <v>2.34</v>
      </c>
      <c r="AJ1085" s="2">
        <v>18.656538581925201</v>
      </c>
      <c r="AK1085" s="2">
        <v>18.857968788814901</v>
      </c>
      <c r="AL1085" s="2">
        <v>18.59069891555</v>
      </c>
      <c r="AM1085" s="2">
        <v>18.627647837320499</v>
      </c>
      <c r="AN1085" s="2">
        <v>18.621585704636701</v>
      </c>
      <c r="AO1085" s="2">
        <v>18.715188288250602</v>
      </c>
      <c r="AP1085" s="2">
        <v>18.720097199268899</v>
      </c>
      <c r="AQ1085" s="2">
        <v>18.7467044666571</v>
      </c>
      <c r="AR1085" s="2">
        <v>15.2352412727633</v>
      </c>
      <c r="AS1085" s="2">
        <v>17.9948105604118</v>
      </c>
      <c r="AT1085" s="2">
        <v>17.800067787902901</v>
      </c>
      <c r="AU1085" s="2">
        <v>16.967014671768901</v>
      </c>
      <c r="AV1085" s="2">
        <v>16.074074545846202</v>
      </c>
      <c r="AW1085" s="2">
        <v>17.492498376441201</v>
      </c>
      <c r="AX1085" s="2">
        <v>17.6438929611231</v>
      </c>
      <c r="AY1085" s="2">
        <v>18.224166207140399</v>
      </c>
      <c r="AZ1085" s="2">
        <v>15.067853629292699</v>
      </c>
      <c r="BA1085" s="2">
        <v>18.734140035102701</v>
      </c>
      <c r="BB1085" s="2">
        <v>20.724063648453601</v>
      </c>
      <c r="BC1085" s="2">
        <v>19.4064107892425</v>
      </c>
      <c r="BD1085" s="2">
        <v>16.446858756506298</v>
      </c>
      <c r="BE1085" s="2">
        <v>18.375558332756999</v>
      </c>
      <c r="BF1085" s="2">
        <v>18.088903842610701</v>
      </c>
      <c r="BG1085" s="2">
        <v>19.622302339096599</v>
      </c>
      <c r="BH1085" s="2">
        <v>17.168525420488201</v>
      </c>
      <c r="BI1085" s="2">
        <v>18.779795198758901</v>
      </c>
      <c r="BJ1085" s="2">
        <v>17.9188350593619</v>
      </c>
      <c r="BK1085" s="2">
        <v>16.714656718388301</v>
      </c>
      <c r="BL1085" s="2">
        <v>18.893316375154701</v>
      </c>
      <c r="BM1085" s="2">
        <v>17.591645205334899</v>
      </c>
      <c r="BN1085" s="2">
        <v>17.545331864636498</v>
      </c>
      <c r="BO1085" s="2">
        <v>19.231760463651099</v>
      </c>
      <c r="BP1085" s="2">
        <v>18.957482984672598</v>
      </c>
      <c r="BQ1085" s="2">
        <v>19.610856406278302</v>
      </c>
      <c r="BR1085" s="2">
        <v>19.0474073118937</v>
      </c>
      <c r="BS1085" s="2">
        <v>16.825907210437101</v>
      </c>
      <c r="BT1085" s="2">
        <v>18.160916880203299</v>
      </c>
      <c r="BU1085" s="2">
        <v>18.456779523940199</v>
      </c>
      <c r="BV1085" s="2">
        <v>19.943319262113398</v>
      </c>
      <c r="BW1085" s="2">
        <v>18.235634608350399</v>
      </c>
      <c r="BX1085" s="2">
        <v>18.019299747263101</v>
      </c>
      <c r="BY1085" s="2">
        <v>17.212257170112</v>
      </c>
      <c r="BZ1085" s="2">
        <v>19.273208938981799</v>
      </c>
      <c r="CA1085" s="2">
        <v>17.808375497178499</v>
      </c>
      <c r="CB1085" s="2">
        <v>17.983333503966101</v>
      </c>
      <c r="CC1085" s="2">
        <v>19.426623196887199</v>
      </c>
      <c r="CD1085" s="2">
        <v>17.453543460998599</v>
      </c>
      <c r="CE1085" s="2">
        <v>19.047423927480601</v>
      </c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</row>
    <row r="1086" spans="1:97">
      <c r="A1086" s="2" t="s">
        <v>9943</v>
      </c>
      <c r="B1086" s="2">
        <v>244.0941</v>
      </c>
      <c r="C1086" s="2">
        <v>3.6709999999999998</v>
      </c>
      <c r="D1086" s="2" t="s">
        <v>84</v>
      </c>
      <c r="E1086" s="2" t="s">
        <v>9944</v>
      </c>
      <c r="F1086" s="2" t="s">
        <v>9945</v>
      </c>
      <c r="G1086" s="2">
        <v>57902</v>
      </c>
      <c r="H1086" s="3" t="str">
        <f>HYPERLINK("https://cloud.oebiotech.com/#/lm/network/57902", "https://cloud.oebiotech.com/#/lm/network/57902")</f>
        <v>https://cloud.oebiotech.com/#/lm/network/57902</v>
      </c>
      <c r="I1086" s="2" t="s">
        <v>9946</v>
      </c>
      <c r="J1086" s="2">
        <v>43460</v>
      </c>
      <c r="K1086" s="2"/>
      <c r="L1086" s="2">
        <v>3646</v>
      </c>
      <c r="M1086" s="2" t="s">
        <v>9947</v>
      </c>
      <c r="N1086" s="2"/>
      <c r="O1086" s="2"/>
      <c r="P1086" s="2"/>
      <c r="Q1086" s="2"/>
      <c r="R1086" s="2"/>
      <c r="S1086" s="2" t="s">
        <v>9948</v>
      </c>
      <c r="T1086" s="2" t="s">
        <v>9949</v>
      </c>
      <c r="U1086" s="2" t="s">
        <v>9950</v>
      </c>
      <c r="V1086" s="2" t="s">
        <v>553</v>
      </c>
      <c r="W1086" s="2" t="s">
        <v>7397</v>
      </c>
      <c r="X1086" s="2" t="s">
        <v>375</v>
      </c>
      <c r="Y1086" s="2" t="s">
        <v>556</v>
      </c>
      <c r="Z1086" s="2" t="s">
        <v>7398</v>
      </c>
      <c r="AA1086" s="2"/>
      <c r="AB1086" s="2" t="s">
        <v>3086</v>
      </c>
      <c r="AC1086" s="2">
        <v>49.69</v>
      </c>
      <c r="AD1086" s="2">
        <v>74.45</v>
      </c>
      <c r="AE1086" s="2">
        <v>0</v>
      </c>
      <c r="AF1086" s="2" t="s">
        <v>5614</v>
      </c>
      <c r="AG1086" s="2" t="s">
        <v>1578</v>
      </c>
      <c r="AH1086" s="2" t="s">
        <v>9951</v>
      </c>
      <c r="AI1086" s="2">
        <v>1.23</v>
      </c>
      <c r="AJ1086" s="2">
        <v>18.763187723330599</v>
      </c>
      <c r="AK1086" s="2">
        <v>18.988925951485601</v>
      </c>
      <c r="AL1086" s="2">
        <v>18.8075071864785</v>
      </c>
      <c r="AM1086" s="2">
        <v>19.036742473977501</v>
      </c>
      <c r="AN1086" s="2">
        <v>19.248567624808601</v>
      </c>
      <c r="AO1086" s="2">
        <v>18.2376839302033</v>
      </c>
      <c r="AP1086" s="2">
        <v>18.587762869008898</v>
      </c>
      <c r="AQ1086" s="2">
        <v>19.115753658600799</v>
      </c>
      <c r="AR1086" s="2">
        <v>18.222346065862201</v>
      </c>
      <c r="AS1086" s="2">
        <v>17.678457438697901</v>
      </c>
      <c r="AT1086" s="2">
        <v>18.762973307257798</v>
      </c>
      <c r="AU1086" s="2">
        <v>18.0667433836317</v>
      </c>
      <c r="AV1086" s="2">
        <v>18.552385117022499</v>
      </c>
      <c r="AW1086" s="2">
        <v>18.7567508165505</v>
      </c>
      <c r="AX1086" s="2">
        <v>18.842628501704599</v>
      </c>
      <c r="AY1086" s="2">
        <v>18.812379643747299</v>
      </c>
      <c r="AZ1086" s="2">
        <v>18.287961899128401</v>
      </c>
      <c r="BA1086" s="2">
        <v>17.8753829806205</v>
      </c>
      <c r="BB1086" s="2">
        <v>19.090752582113399</v>
      </c>
      <c r="BC1086" s="2">
        <v>19.620449864866501</v>
      </c>
      <c r="BD1086" s="2">
        <v>18.1956571999606</v>
      </c>
      <c r="BE1086" s="2">
        <v>18.9382253352939</v>
      </c>
      <c r="BF1086" s="2">
        <v>18.599925442183899</v>
      </c>
      <c r="BG1086" s="2">
        <v>18.682970279407598</v>
      </c>
      <c r="BH1086" s="2">
        <v>18.575636000353299</v>
      </c>
      <c r="BI1086" s="2">
        <v>18.730571864985802</v>
      </c>
      <c r="BJ1086" s="2">
        <v>18.923882167728099</v>
      </c>
      <c r="BK1086" s="2">
        <v>19.3068653962202</v>
      </c>
      <c r="BL1086" s="2">
        <v>18.403759806589299</v>
      </c>
      <c r="BM1086" s="2">
        <v>18.998658847723799</v>
      </c>
      <c r="BN1086" s="2">
        <v>18.666563412371801</v>
      </c>
      <c r="BO1086" s="2">
        <v>18.182101538152899</v>
      </c>
      <c r="BP1086" s="2">
        <v>18.7575006971684</v>
      </c>
      <c r="BQ1086" s="2">
        <v>18.733568206006598</v>
      </c>
      <c r="BR1086" s="2">
        <v>18.951909326345099</v>
      </c>
      <c r="BS1086" s="2">
        <v>18.1261757554281</v>
      </c>
      <c r="BT1086" s="2">
        <v>18.4720521105105</v>
      </c>
      <c r="BU1086" s="2">
        <v>18.6656794907624</v>
      </c>
      <c r="BV1086" s="2">
        <v>19.008273609379799</v>
      </c>
      <c r="BW1086" s="2">
        <v>18.7114279899309</v>
      </c>
      <c r="BX1086" s="2">
        <v>19.124521398999899</v>
      </c>
      <c r="BY1086" s="2">
        <v>18.701343253191599</v>
      </c>
      <c r="BZ1086" s="2">
        <v>19.1078765574565</v>
      </c>
      <c r="CA1086" s="2">
        <v>18.814388166369401</v>
      </c>
      <c r="CB1086" s="2">
        <v>18.8662990079483</v>
      </c>
      <c r="CC1086" s="2">
        <v>18.843804963337199</v>
      </c>
      <c r="CD1086" s="2">
        <v>18.011159103248399</v>
      </c>
      <c r="CE1086" s="2">
        <v>18.817335082412399</v>
      </c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</row>
    <row r="1087" spans="1:97">
      <c r="A1087" s="2" t="s">
        <v>9952</v>
      </c>
      <c r="B1087" s="2">
        <v>262.12833999999998</v>
      </c>
      <c r="C1087" s="2">
        <v>0.79200000000000004</v>
      </c>
      <c r="D1087" s="2" t="s">
        <v>84</v>
      </c>
      <c r="E1087" s="2" t="s">
        <v>9953</v>
      </c>
      <c r="F1087" s="2" t="s">
        <v>9954</v>
      </c>
      <c r="G1087" s="2">
        <v>206978</v>
      </c>
      <c r="H1087" s="3" t="str">
        <f>HYPERLINK("https://cloud.oebiotech.com/#/lm/network/206978", "https://cloud.oebiotech.com/#/lm/network/206978")</f>
        <v>https://cloud.oebiotech.com/#/lm/network/206978</v>
      </c>
      <c r="I1087" s="2" t="s">
        <v>9955</v>
      </c>
      <c r="J1087" s="2"/>
      <c r="K1087" s="2"/>
      <c r="L1087" s="2">
        <v>101683884</v>
      </c>
      <c r="M1087" s="2"/>
      <c r="N1087" s="2"/>
      <c r="O1087" s="2"/>
      <c r="P1087" s="2"/>
      <c r="Q1087" s="2"/>
      <c r="R1087" s="2"/>
      <c r="S1087" s="2"/>
      <c r="T1087" s="2" t="s">
        <v>9956</v>
      </c>
      <c r="U1087" s="2" t="s">
        <v>9957</v>
      </c>
      <c r="V1087" s="2" t="s">
        <v>115</v>
      </c>
      <c r="W1087" s="2" t="s">
        <v>116</v>
      </c>
      <c r="X1087" s="2" t="s">
        <v>117</v>
      </c>
      <c r="Y1087" s="2" t="s">
        <v>118</v>
      </c>
      <c r="Z1087" s="2" t="s">
        <v>119</v>
      </c>
      <c r="AA1087" s="2" t="s">
        <v>120</v>
      </c>
      <c r="AB1087" s="2" t="s">
        <v>3086</v>
      </c>
      <c r="AC1087" s="2">
        <v>49.66</v>
      </c>
      <c r="AD1087" s="2">
        <v>92.47</v>
      </c>
      <c r="AE1087" s="2">
        <v>0</v>
      </c>
      <c r="AF1087" s="2" t="s">
        <v>5614</v>
      </c>
      <c r="AG1087" s="2" t="s">
        <v>1088</v>
      </c>
      <c r="AH1087" s="2" t="s">
        <v>9958</v>
      </c>
      <c r="AI1087" s="2">
        <v>3.05</v>
      </c>
      <c r="AJ1087" s="2">
        <v>20.184343791514198</v>
      </c>
      <c r="AK1087" s="2">
        <v>20.434017474312299</v>
      </c>
      <c r="AL1087" s="2">
        <v>20.4120173208089</v>
      </c>
      <c r="AM1087" s="2">
        <v>19.854737043930498</v>
      </c>
      <c r="AN1087" s="2">
        <v>20.669491740312999</v>
      </c>
      <c r="AO1087" s="2">
        <v>20.307783537085701</v>
      </c>
      <c r="AP1087" s="2">
        <v>20.094323297453698</v>
      </c>
      <c r="AQ1087" s="2">
        <v>20.881843653118398</v>
      </c>
      <c r="AR1087" s="2">
        <v>19.9505830635085</v>
      </c>
      <c r="AS1087" s="2">
        <v>19.907096835302699</v>
      </c>
      <c r="AT1087" s="2">
        <v>19.447822054073502</v>
      </c>
      <c r="AU1087" s="2">
        <v>20.6054771849948</v>
      </c>
      <c r="AV1087" s="2">
        <v>20.109467856645502</v>
      </c>
      <c r="AW1087" s="2">
        <v>20.381440777227301</v>
      </c>
      <c r="AX1087" s="2">
        <v>17.935286274550499</v>
      </c>
      <c r="AY1087" s="2">
        <v>20.457231956780898</v>
      </c>
      <c r="AZ1087" s="2">
        <v>20.375622535422</v>
      </c>
      <c r="BA1087" s="2">
        <v>19.8243956215629</v>
      </c>
      <c r="BB1087" s="2">
        <v>20.381779431740899</v>
      </c>
      <c r="BC1087" s="2">
        <v>19.361770243866001</v>
      </c>
      <c r="BD1087" s="2">
        <v>20.6198379178492</v>
      </c>
      <c r="BE1087" s="2">
        <v>19.6900863734901</v>
      </c>
      <c r="BF1087" s="2">
        <v>20.038826203669501</v>
      </c>
      <c r="BG1087" s="2">
        <v>20.208723418263801</v>
      </c>
      <c r="BH1087" s="2">
        <v>20.022543235250399</v>
      </c>
      <c r="BI1087" s="2">
        <v>20.655634197582302</v>
      </c>
      <c r="BJ1087" s="2">
        <v>20.555582614138899</v>
      </c>
      <c r="BK1087" s="2">
        <v>20.4066098178724</v>
      </c>
      <c r="BL1087" s="2">
        <v>19.471666899980701</v>
      </c>
      <c r="BM1087" s="2">
        <v>19.820966863903799</v>
      </c>
      <c r="BN1087" s="2">
        <v>20.450420190308002</v>
      </c>
      <c r="BO1087" s="2">
        <v>20.0186969788667</v>
      </c>
      <c r="BP1087" s="2">
        <v>20.4016524676979</v>
      </c>
      <c r="BQ1087" s="2">
        <v>20.667813949081602</v>
      </c>
      <c r="BR1087" s="2">
        <v>19.924294197088699</v>
      </c>
      <c r="BS1087" s="2">
        <v>20.767973922332502</v>
      </c>
      <c r="BT1087" s="2">
        <v>20.1047639838085</v>
      </c>
      <c r="BU1087" s="2">
        <v>20.609939919798201</v>
      </c>
      <c r="BV1087" s="2">
        <v>19.698661433285199</v>
      </c>
      <c r="BW1087" s="2">
        <v>19.564247773364301</v>
      </c>
      <c r="BX1087" s="2">
        <v>20.2576157320552</v>
      </c>
      <c r="BY1087" s="2">
        <v>19.691267759963399</v>
      </c>
      <c r="BZ1087" s="2">
        <v>20.050457004929701</v>
      </c>
      <c r="CA1087" s="2">
        <v>20.178466621444901</v>
      </c>
      <c r="CB1087" s="2">
        <v>20.129399282752601</v>
      </c>
      <c r="CC1087" s="2">
        <v>20.944274962679899</v>
      </c>
      <c r="CD1087" s="2">
        <v>20.440416298121701</v>
      </c>
      <c r="CE1087" s="2">
        <v>20.733291103405499</v>
      </c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</row>
    <row r="1088" spans="1:97">
      <c r="A1088" s="2" t="s">
        <v>9959</v>
      </c>
      <c r="B1088" s="2">
        <v>269.13799999999998</v>
      </c>
      <c r="C1088" s="2">
        <v>9.2249999999999996</v>
      </c>
      <c r="D1088" s="2" t="s">
        <v>84</v>
      </c>
      <c r="E1088" s="2" t="s">
        <v>9960</v>
      </c>
      <c r="F1088" s="2" t="s">
        <v>9961</v>
      </c>
      <c r="G1088" s="2">
        <v>2657</v>
      </c>
      <c r="H1088" s="3" t="str">
        <f>HYPERLINK("https://cloud.oebiotech.com/#/lm/network/2657", "https://cloud.oebiotech.com/#/lm/network/2657")</f>
        <v>https://cloud.oebiotech.com/#/lm/network/2657</v>
      </c>
      <c r="I1088" s="2" t="s">
        <v>9962</v>
      </c>
      <c r="J1088" s="2"/>
      <c r="K1088" s="2" t="s">
        <v>9963</v>
      </c>
      <c r="L1088" s="2">
        <v>194501</v>
      </c>
      <c r="M1088" s="2"/>
      <c r="N1088" s="2"/>
      <c r="O1088" s="2"/>
      <c r="P1088" s="2"/>
      <c r="Q1088" s="2"/>
      <c r="R1088" s="2"/>
      <c r="S1088" s="2"/>
      <c r="T1088" s="2" t="s">
        <v>9964</v>
      </c>
      <c r="U1088" s="2" t="s">
        <v>9965</v>
      </c>
      <c r="V1088" s="2" t="s">
        <v>95</v>
      </c>
      <c r="W1088" s="2" t="s">
        <v>96</v>
      </c>
      <c r="X1088" s="2" t="s">
        <v>141</v>
      </c>
      <c r="Y1088" s="2" t="s">
        <v>98</v>
      </c>
      <c r="Z1088" s="2" t="s">
        <v>99</v>
      </c>
      <c r="AA1088" s="2" t="s">
        <v>142</v>
      </c>
      <c r="AB1088" s="2" t="s">
        <v>5118</v>
      </c>
      <c r="AC1088" s="2">
        <v>49.65</v>
      </c>
      <c r="AD1088" s="2">
        <v>96.55</v>
      </c>
      <c r="AE1088" s="2">
        <v>65.31</v>
      </c>
      <c r="AF1088" s="2" t="s">
        <v>9966</v>
      </c>
      <c r="AG1088" s="2" t="s">
        <v>103</v>
      </c>
      <c r="AH1088" s="2" t="s">
        <v>6742</v>
      </c>
      <c r="AI1088" s="2">
        <v>1.1100000000000001</v>
      </c>
      <c r="AJ1088" s="2">
        <v>21.645102890050701</v>
      </c>
      <c r="AK1088" s="2">
        <v>21.6251741937159</v>
      </c>
      <c r="AL1088" s="2">
        <v>21.6998639979888</v>
      </c>
      <c r="AM1088" s="2">
        <v>21.7298529539006</v>
      </c>
      <c r="AN1088" s="2">
        <v>21.5984542346098</v>
      </c>
      <c r="AO1088" s="2">
        <v>21.603423238013299</v>
      </c>
      <c r="AP1088" s="2">
        <v>21.625648759243202</v>
      </c>
      <c r="AQ1088" s="2">
        <v>21.644742557617899</v>
      </c>
      <c r="AR1088" s="2">
        <v>22.1268284787329</v>
      </c>
      <c r="AS1088" s="2">
        <v>20.819018498224001</v>
      </c>
      <c r="AT1088" s="2">
        <v>20.851316248501199</v>
      </c>
      <c r="AU1088" s="2">
        <v>21.6284806327062</v>
      </c>
      <c r="AV1088" s="2">
        <v>21.574283581606799</v>
      </c>
      <c r="AW1088" s="2">
        <v>21.552970507653701</v>
      </c>
      <c r="AX1088" s="2">
        <v>20.938281871616699</v>
      </c>
      <c r="AY1088" s="2">
        <v>21.5541700372885</v>
      </c>
      <c r="AZ1088" s="2">
        <v>20.715653779083102</v>
      </c>
      <c r="BA1088" s="2">
        <v>21.237644973528699</v>
      </c>
      <c r="BB1088" s="2">
        <v>21.5532079926619</v>
      </c>
      <c r="BC1088" s="2">
        <v>22.0590748433785</v>
      </c>
      <c r="BD1088" s="2">
        <v>21.478853221900799</v>
      </c>
      <c r="BE1088" s="2">
        <v>22.167233910512198</v>
      </c>
      <c r="BF1088" s="2">
        <v>21.111428161911601</v>
      </c>
      <c r="BG1088" s="2">
        <v>21.1677448407974</v>
      </c>
      <c r="BH1088" s="2">
        <v>22.9072783565747</v>
      </c>
      <c r="BI1088" s="2">
        <v>20.7001188654991</v>
      </c>
      <c r="BJ1088" s="2">
        <v>21.046897354642802</v>
      </c>
      <c r="BK1088" s="2">
        <v>21.994874145732599</v>
      </c>
      <c r="BL1088" s="2">
        <v>20.548031533104801</v>
      </c>
      <c r="BM1088" s="2">
        <v>21.6674696404271</v>
      </c>
      <c r="BN1088" s="2">
        <v>22.2296985330476</v>
      </c>
      <c r="BO1088" s="2">
        <v>22.571648561146201</v>
      </c>
      <c r="BP1088" s="2">
        <v>20.156180818016502</v>
      </c>
      <c r="BQ1088" s="2">
        <v>22.190874309534198</v>
      </c>
      <c r="BR1088" s="2">
        <v>21.291916977539699</v>
      </c>
      <c r="BS1088" s="2">
        <v>21.6252826200935</v>
      </c>
      <c r="BT1088" s="2">
        <v>21.532367174419999</v>
      </c>
      <c r="BU1088" s="2">
        <v>21.359917790737999</v>
      </c>
      <c r="BV1088" s="2">
        <v>21.665881426101201</v>
      </c>
      <c r="BW1088" s="2">
        <v>20.018872752920402</v>
      </c>
      <c r="BX1088" s="2">
        <v>21.123204287772801</v>
      </c>
      <c r="BY1088" s="2">
        <v>22.768367994847701</v>
      </c>
      <c r="BZ1088" s="2">
        <v>21.343886260707301</v>
      </c>
      <c r="CA1088" s="2">
        <v>20.8099728062823</v>
      </c>
      <c r="CB1088" s="2">
        <v>20.977185813270999</v>
      </c>
      <c r="CC1088" s="2">
        <v>21.1634286967906</v>
      </c>
      <c r="CD1088" s="2">
        <v>21.867438791276602</v>
      </c>
      <c r="CE1088" s="2">
        <v>22.126470576972402</v>
      </c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</row>
    <row r="1089" spans="1:97">
      <c r="A1089" s="2" t="s">
        <v>9967</v>
      </c>
      <c r="B1089" s="2">
        <v>173.04187999999999</v>
      </c>
      <c r="C1089" s="2">
        <v>0.97799999999999998</v>
      </c>
      <c r="D1089" s="2" t="s">
        <v>84</v>
      </c>
      <c r="E1089" s="2" t="s">
        <v>9968</v>
      </c>
      <c r="F1089" s="2" t="s">
        <v>9969</v>
      </c>
      <c r="G1089" s="2">
        <v>46870</v>
      </c>
      <c r="H1089" s="3" t="str">
        <f>HYPERLINK("https://cloud.oebiotech.com/#/lm/network/46870", "https://cloud.oebiotech.com/#/lm/network/46870")</f>
        <v>https://cloud.oebiotech.com/#/lm/network/46870</v>
      </c>
      <c r="I1089" s="2" t="s">
        <v>9970</v>
      </c>
      <c r="J1089" s="2">
        <v>314</v>
      </c>
      <c r="K1089" s="2"/>
      <c r="L1089" s="2">
        <v>135191</v>
      </c>
      <c r="M1089" s="2" t="s">
        <v>9971</v>
      </c>
      <c r="N1089" s="2" t="s">
        <v>9972</v>
      </c>
      <c r="O1089" s="2" t="s">
        <v>9973</v>
      </c>
      <c r="P1089" s="2">
        <v>53455</v>
      </c>
      <c r="Q1089" s="2"/>
      <c r="R1089" s="2"/>
      <c r="S1089" s="2" t="s">
        <v>9974</v>
      </c>
      <c r="T1089" s="2" t="s">
        <v>9975</v>
      </c>
      <c r="U1089" s="2" t="s">
        <v>9976</v>
      </c>
      <c r="V1089" s="2" t="s">
        <v>338</v>
      </c>
      <c r="W1089" s="2" t="s">
        <v>339</v>
      </c>
      <c r="X1089" s="2" t="s">
        <v>663</v>
      </c>
      <c r="Y1089" s="2" t="s">
        <v>341</v>
      </c>
      <c r="Z1089" s="2" t="s">
        <v>341</v>
      </c>
      <c r="AA1089" s="2" t="s">
        <v>664</v>
      </c>
      <c r="AB1089" s="2" t="s">
        <v>3086</v>
      </c>
      <c r="AC1089" s="2">
        <v>49.64</v>
      </c>
      <c r="AD1089" s="2">
        <v>73.959999999999994</v>
      </c>
      <c r="AE1089" s="2">
        <v>0</v>
      </c>
      <c r="AF1089" s="2" t="s">
        <v>5614</v>
      </c>
      <c r="AG1089" s="2" t="s">
        <v>1578</v>
      </c>
      <c r="AH1089" s="2" t="s">
        <v>837</v>
      </c>
      <c r="AI1089" s="2">
        <v>0.57999999999999996</v>
      </c>
      <c r="AJ1089" s="2">
        <v>20.1544955873579</v>
      </c>
      <c r="AK1089" s="2">
        <v>19.583086184083399</v>
      </c>
      <c r="AL1089" s="2">
        <v>20.002079284591399</v>
      </c>
      <c r="AM1089" s="2">
        <v>20.149229709120601</v>
      </c>
      <c r="AN1089" s="2">
        <v>20.073785931128</v>
      </c>
      <c r="AO1089" s="2">
        <v>20.204051232865101</v>
      </c>
      <c r="AP1089" s="2">
        <v>18.944144736956002</v>
      </c>
      <c r="AQ1089" s="2">
        <v>20.2389097607333</v>
      </c>
      <c r="AR1089" s="2">
        <v>19.722673856266798</v>
      </c>
      <c r="AS1089" s="2">
        <v>18.289097468116498</v>
      </c>
      <c r="AT1089" s="2">
        <v>19.357336403809601</v>
      </c>
      <c r="AU1089" s="2">
        <v>17.6800265734357</v>
      </c>
      <c r="AV1089" s="2">
        <v>19.562380752644302</v>
      </c>
      <c r="AW1089" s="2">
        <v>18.601250405551401</v>
      </c>
      <c r="AX1089" s="2">
        <v>19.540921033399201</v>
      </c>
      <c r="AY1089" s="2">
        <v>19.295865322482399</v>
      </c>
      <c r="AZ1089" s="2">
        <v>19.509833349023499</v>
      </c>
      <c r="BA1089" s="2">
        <v>17.7608066053089</v>
      </c>
      <c r="BB1089" s="2">
        <v>18.9265333566462</v>
      </c>
      <c r="BC1089" s="2">
        <v>19.102779112381999</v>
      </c>
      <c r="BD1089" s="2">
        <v>19.360561229621101</v>
      </c>
      <c r="BE1089" s="2">
        <v>19.757915847257799</v>
      </c>
      <c r="BF1089" s="2">
        <v>18.279294993268099</v>
      </c>
      <c r="BG1089" s="2">
        <v>20.467982147983601</v>
      </c>
      <c r="BH1089" s="2">
        <v>20.075914374797801</v>
      </c>
      <c r="BI1089" s="2">
        <v>20.1951686171173</v>
      </c>
      <c r="BJ1089" s="2">
        <v>20.1724457360922</v>
      </c>
      <c r="BK1089" s="2">
        <v>18.237062458340102</v>
      </c>
      <c r="BL1089" s="2">
        <v>19.6785763967946</v>
      </c>
      <c r="BM1089" s="2">
        <v>19.662899896810998</v>
      </c>
      <c r="BN1089" s="2">
        <v>20.317226234036799</v>
      </c>
      <c r="BO1089" s="2">
        <v>19.9885664800684</v>
      </c>
      <c r="BP1089" s="2">
        <v>19.663911792705498</v>
      </c>
      <c r="BQ1089" s="2">
        <v>19.724920922579201</v>
      </c>
      <c r="BR1089" s="2">
        <v>18.526436807603101</v>
      </c>
      <c r="BS1089" s="2">
        <v>19.130168856153301</v>
      </c>
      <c r="BT1089" s="2">
        <v>20.616029186870101</v>
      </c>
      <c r="BU1089" s="2">
        <v>17.633961217566199</v>
      </c>
      <c r="BV1089" s="2">
        <v>20.374542555795799</v>
      </c>
      <c r="BW1089" s="2">
        <v>19.3023745250524</v>
      </c>
      <c r="BX1089" s="2">
        <v>19.170746590758799</v>
      </c>
      <c r="BY1089" s="2">
        <v>20.145482738262199</v>
      </c>
      <c r="BZ1089" s="2">
        <v>18.732234845007898</v>
      </c>
      <c r="CA1089" s="2">
        <v>19.479449296685601</v>
      </c>
      <c r="CB1089" s="2">
        <v>19.716238044381299</v>
      </c>
      <c r="CC1089" s="2">
        <v>18.897704413242199</v>
      </c>
      <c r="CD1089" s="2">
        <v>19.686366711395401</v>
      </c>
      <c r="CE1089" s="2">
        <v>9.6233145402724691</v>
      </c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</row>
    <row r="1090" spans="1:97">
      <c r="A1090" s="2" t="s">
        <v>9977</v>
      </c>
      <c r="B1090" s="2">
        <v>281.10007999999999</v>
      </c>
      <c r="C1090" s="2">
        <v>4.3289999999999997</v>
      </c>
      <c r="D1090" s="2" t="s">
        <v>146</v>
      </c>
      <c r="E1090" s="2" t="s">
        <v>9978</v>
      </c>
      <c r="F1090" s="2" t="s">
        <v>9979</v>
      </c>
      <c r="G1090" s="2">
        <v>8588</v>
      </c>
      <c r="H1090" s="3" t="str">
        <f>HYPERLINK("https://cloud.oebiotech.com/#/lm/network/8588", "https://cloud.oebiotech.com/#/lm/network/8588")</f>
        <v>https://cloud.oebiotech.com/#/lm/network/8588</v>
      </c>
      <c r="I1090" s="2" t="s">
        <v>9980</v>
      </c>
      <c r="J1090" s="2">
        <v>58373</v>
      </c>
      <c r="K1090" s="2" t="s">
        <v>9981</v>
      </c>
      <c r="L1090" s="2">
        <v>24906333</v>
      </c>
      <c r="M1090" s="2"/>
      <c r="N1090" s="2"/>
      <c r="O1090" s="2"/>
      <c r="P1090" s="2">
        <v>50622</v>
      </c>
      <c r="Q1090" s="2"/>
      <c r="R1090" s="2"/>
      <c r="S1090" s="2"/>
      <c r="T1090" s="2" t="s">
        <v>9982</v>
      </c>
      <c r="U1090" s="2" t="s">
        <v>9983</v>
      </c>
      <c r="V1090" s="2" t="s">
        <v>95</v>
      </c>
      <c r="W1090" s="2" t="s">
        <v>96</v>
      </c>
      <c r="X1090" s="2" t="s">
        <v>315</v>
      </c>
      <c r="Y1090" s="2" t="s">
        <v>98</v>
      </c>
      <c r="Z1090" s="2" t="s">
        <v>99</v>
      </c>
      <c r="AA1090" s="2" t="s">
        <v>316</v>
      </c>
      <c r="AB1090" s="2" t="s">
        <v>5118</v>
      </c>
      <c r="AC1090" s="2">
        <v>49.63</v>
      </c>
      <c r="AD1090" s="2">
        <v>93.69</v>
      </c>
      <c r="AE1090" s="2">
        <v>68.06</v>
      </c>
      <c r="AF1090" s="2" t="s">
        <v>9984</v>
      </c>
      <c r="AG1090" s="2" t="s">
        <v>157</v>
      </c>
      <c r="AH1090" s="2" t="s">
        <v>9985</v>
      </c>
      <c r="AI1090" s="2">
        <v>-0.71</v>
      </c>
      <c r="AJ1090" s="2">
        <v>22.191002023520198</v>
      </c>
      <c r="AK1090" s="2">
        <v>22.322951600874202</v>
      </c>
      <c r="AL1090" s="2">
        <v>22.258413996023499</v>
      </c>
      <c r="AM1090" s="2">
        <v>22.6265666483297</v>
      </c>
      <c r="AN1090" s="2">
        <v>22.380005640582802</v>
      </c>
      <c r="AO1090" s="2">
        <v>22.331631847941399</v>
      </c>
      <c r="AP1090" s="2">
        <v>22.185670288796899</v>
      </c>
      <c r="AQ1090" s="2">
        <v>22.413773297858199</v>
      </c>
      <c r="AR1090" s="2">
        <v>20.123749955492901</v>
      </c>
      <c r="AS1090" s="2">
        <v>19.774050457394999</v>
      </c>
      <c r="AT1090" s="2">
        <v>21.4035128284868</v>
      </c>
      <c r="AU1090" s="2">
        <v>20.4764895372094</v>
      </c>
      <c r="AV1090" s="2">
        <v>22.003784562794799</v>
      </c>
      <c r="AW1090" s="2">
        <v>21.696938699034899</v>
      </c>
      <c r="AX1090" s="2">
        <v>22.006654402419102</v>
      </c>
      <c r="AY1090" s="2">
        <v>21.974659040210302</v>
      </c>
      <c r="AZ1090" s="2">
        <v>20.591028623856101</v>
      </c>
      <c r="BA1090" s="2">
        <v>20.673780865994601</v>
      </c>
      <c r="BB1090" s="2">
        <v>23.0961491441936</v>
      </c>
      <c r="BC1090" s="2">
        <v>23.843744889098801</v>
      </c>
      <c r="BD1090" s="2">
        <v>21.6583159637756</v>
      </c>
      <c r="BE1090" s="2">
        <v>23.169282133841701</v>
      </c>
      <c r="BF1090" s="2">
        <v>22.2859969227002</v>
      </c>
      <c r="BG1090" s="2">
        <v>22.945439722965698</v>
      </c>
      <c r="BH1090" s="2">
        <v>21.975079992971001</v>
      </c>
      <c r="BI1090" s="2">
        <v>22.738568542679999</v>
      </c>
      <c r="BJ1090" s="2">
        <v>22.2775315809265</v>
      </c>
      <c r="BK1090" s="2">
        <v>21.3765954011443</v>
      </c>
      <c r="BL1090" s="2">
        <v>21.7108351280338</v>
      </c>
      <c r="BM1090" s="2">
        <v>22.7710385890915</v>
      </c>
      <c r="BN1090" s="2">
        <v>22.081553048312099</v>
      </c>
      <c r="BO1090" s="2">
        <v>21.5801825125607</v>
      </c>
      <c r="BP1090" s="2">
        <v>21.7176618698456</v>
      </c>
      <c r="BQ1090" s="2">
        <v>21.836647091178602</v>
      </c>
      <c r="BR1090" s="2">
        <v>21.733281457439201</v>
      </c>
      <c r="BS1090" s="2">
        <v>21.609009896950401</v>
      </c>
      <c r="BT1090" s="2">
        <v>20.300323209255001</v>
      </c>
      <c r="BU1090" s="2">
        <v>21.259149647218599</v>
      </c>
      <c r="BV1090" s="2">
        <v>22.8777834081123</v>
      </c>
      <c r="BW1090" s="2">
        <v>21.711031122773399</v>
      </c>
      <c r="BX1090" s="2">
        <v>21.650980864212499</v>
      </c>
      <c r="BY1090" s="2">
        <v>22.6805479395018</v>
      </c>
      <c r="BZ1090" s="2">
        <v>22.126327100226</v>
      </c>
      <c r="CA1090" s="2">
        <v>23.326169153780899</v>
      </c>
      <c r="CB1090" s="2">
        <v>21.819250734367898</v>
      </c>
      <c r="CC1090" s="2">
        <v>22.4367328861331</v>
      </c>
      <c r="CD1090" s="2">
        <v>22.7169715296824</v>
      </c>
      <c r="CE1090" s="2">
        <v>22.5778355668952</v>
      </c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</row>
    <row r="1091" spans="1:97">
      <c r="A1091" s="2" t="s">
        <v>9986</v>
      </c>
      <c r="B1091" s="2">
        <v>465.28507999999999</v>
      </c>
      <c r="C1091" s="2">
        <v>11.212999999999999</v>
      </c>
      <c r="D1091" s="2" t="s">
        <v>146</v>
      </c>
      <c r="E1091" s="2" t="s">
        <v>9987</v>
      </c>
      <c r="F1091" s="2" t="s">
        <v>9988</v>
      </c>
      <c r="G1091" s="2">
        <v>203479</v>
      </c>
      <c r="H1091" s="3" t="str">
        <f>HYPERLINK("https://cloud.oebiotech.com/#/lm/network/203479", "https://cloud.oebiotech.com/#/lm/network/203479")</f>
        <v>https://cloud.oebiotech.com/#/lm/network/203479</v>
      </c>
      <c r="I1091" s="2" t="s">
        <v>9989</v>
      </c>
      <c r="J1091" s="2">
        <v>411237</v>
      </c>
      <c r="K1091" s="2"/>
      <c r="L1091" s="2">
        <v>3035926</v>
      </c>
      <c r="M1091" s="2"/>
      <c r="N1091" s="2"/>
      <c r="O1091" s="2"/>
      <c r="P1091" s="2"/>
      <c r="Q1091" s="2"/>
      <c r="R1091" s="2"/>
      <c r="S1091" s="2"/>
      <c r="T1091" s="2" t="s">
        <v>9990</v>
      </c>
      <c r="U1091" s="2" t="s">
        <v>9991</v>
      </c>
      <c r="V1091" s="2" t="s">
        <v>115</v>
      </c>
      <c r="W1091" s="2" t="s">
        <v>4566</v>
      </c>
      <c r="X1091" s="2" t="s">
        <v>4567</v>
      </c>
      <c r="Y1091" s="2" t="s">
        <v>118</v>
      </c>
      <c r="Z1091" s="2" t="s">
        <v>4568</v>
      </c>
      <c r="AA1091" s="2" t="s">
        <v>4569</v>
      </c>
      <c r="AB1091" s="2" t="s">
        <v>3086</v>
      </c>
      <c r="AC1091" s="2">
        <v>49.59</v>
      </c>
      <c r="AD1091" s="2">
        <v>85.11</v>
      </c>
      <c r="AE1091" s="2">
        <v>0</v>
      </c>
      <c r="AF1091" s="2" t="s">
        <v>9992</v>
      </c>
      <c r="AG1091" s="2" t="s">
        <v>157</v>
      </c>
      <c r="AH1091" s="2" t="s">
        <v>9993</v>
      </c>
      <c r="AI1091" s="2">
        <v>2.15</v>
      </c>
      <c r="AJ1091" s="2">
        <v>17.9295491725536</v>
      </c>
      <c r="AK1091" s="2">
        <v>17.427019865180799</v>
      </c>
      <c r="AL1091" s="2">
        <v>17.2923945243068</v>
      </c>
      <c r="AM1091" s="2">
        <v>17.9551423937863</v>
      </c>
      <c r="AN1091" s="2">
        <v>17.294299900942502</v>
      </c>
      <c r="AO1091" s="2">
        <v>17.509070275336299</v>
      </c>
      <c r="AP1091" s="2">
        <v>17.652461005975201</v>
      </c>
      <c r="AQ1091" s="2">
        <v>16.733949549855701</v>
      </c>
      <c r="AR1091" s="2">
        <v>16.474494349376101</v>
      </c>
      <c r="AS1091" s="2">
        <v>14.3423143099733</v>
      </c>
      <c r="AT1091" s="2">
        <v>11.9423825454897</v>
      </c>
      <c r="AU1091" s="2">
        <v>15.126734716859801</v>
      </c>
      <c r="AV1091" s="2">
        <v>17.9713385498797</v>
      </c>
      <c r="AW1091" s="2">
        <v>18.982800132825201</v>
      </c>
      <c r="AX1091" s="2">
        <v>14.5838038172454</v>
      </c>
      <c r="AY1091" s="2">
        <v>19.5022004946468</v>
      </c>
      <c r="AZ1091" s="2">
        <v>17.231413113447601</v>
      </c>
      <c r="BA1091" s="2">
        <v>15.635420550794899</v>
      </c>
      <c r="BB1091" s="2">
        <v>13.3971638776984</v>
      </c>
      <c r="BC1091" s="2">
        <v>17.068319387018001</v>
      </c>
      <c r="BD1091" s="2">
        <v>15.0505977736996</v>
      </c>
      <c r="BE1091" s="2">
        <v>16.0373890862103</v>
      </c>
      <c r="BF1091" s="2">
        <v>14.742611545049</v>
      </c>
      <c r="BG1091" s="2">
        <v>15.1690829488304</v>
      </c>
      <c r="BH1091" s="2">
        <v>17.786770611168301</v>
      </c>
      <c r="BI1091" s="2">
        <v>16.386593065160501</v>
      </c>
      <c r="BJ1091" s="2">
        <v>16.672885917568198</v>
      </c>
      <c r="BK1091" s="2">
        <v>15.9866060321998</v>
      </c>
      <c r="BL1091" s="2">
        <v>13.388922722952101</v>
      </c>
      <c r="BM1091" s="2">
        <v>17.801266352199299</v>
      </c>
      <c r="BN1091" s="2">
        <v>17.189762894855399</v>
      </c>
      <c r="BO1091" s="2">
        <v>13.9662972518794</v>
      </c>
      <c r="BP1091" s="2">
        <v>13.9646206426291</v>
      </c>
      <c r="BQ1091" s="2">
        <v>13.8373312829974</v>
      </c>
      <c r="BR1091" s="2">
        <v>17.8489525994584</v>
      </c>
      <c r="BS1091" s="2">
        <v>20.253854892848501</v>
      </c>
      <c r="BT1091" s="2">
        <v>14.6851227216378</v>
      </c>
      <c r="BU1091" s="2">
        <v>15.641877326646799</v>
      </c>
      <c r="BV1091" s="2">
        <v>19.917791084492301</v>
      </c>
      <c r="BW1091" s="2">
        <v>13.7348461364048</v>
      </c>
      <c r="BX1091" s="2">
        <v>15.6795430510978</v>
      </c>
      <c r="BY1091" s="2">
        <v>19.908451848306999</v>
      </c>
      <c r="BZ1091" s="2">
        <v>14.202533274341899</v>
      </c>
      <c r="CA1091" s="2">
        <v>16.285189245228899</v>
      </c>
      <c r="CB1091" s="2">
        <v>17.2327876817216</v>
      </c>
      <c r="CC1091" s="2">
        <v>16.167402072237699</v>
      </c>
      <c r="CD1091" s="2">
        <v>17.753213745302499</v>
      </c>
      <c r="CE1091" s="2">
        <v>17.6238254193537</v>
      </c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</row>
    <row r="1092" spans="1:97">
      <c r="A1092" s="2" t="s">
        <v>9994</v>
      </c>
      <c r="B1092" s="2">
        <v>458.95616000000001</v>
      </c>
      <c r="C1092" s="2">
        <v>4.8120000000000003</v>
      </c>
      <c r="D1092" s="2" t="s">
        <v>146</v>
      </c>
      <c r="E1092" s="2" t="s">
        <v>9995</v>
      </c>
      <c r="F1092" s="2" t="s">
        <v>9996</v>
      </c>
      <c r="G1092" s="2">
        <v>207436</v>
      </c>
      <c r="H1092" s="3" t="str">
        <f>HYPERLINK("https://cloud.oebiotech.com/#/lm/network/207436", "https://cloud.oebiotech.com/#/lm/network/207436")</f>
        <v>https://cloud.oebiotech.com/#/lm/network/207436</v>
      </c>
      <c r="I1092" s="2" t="s">
        <v>9997</v>
      </c>
      <c r="J1092" s="2">
        <v>314424</v>
      </c>
      <c r="K1092" s="2"/>
      <c r="L1092" s="2">
        <v>9454</v>
      </c>
      <c r="M1092" s="2"/>
      <c r="N1092" s="2"/>
      <c r="O1092" s="2"/>
      <c r="P1092" s="2"/>
      <c r="Q1092" s="2"/>
      <c r="R1092" s="2"/>
      <c r="S1092" s="2"/>
      <c r="T1092" s="2" t="s">
        <v>9998</v>
      </c>
      <c r="U1092" s="2" t="s">
        <v>9999</v>
      </c>
      <c r="V1092" s="2" t="s">
        <v>845</v>
      </c>
      <c r="W1092" s="2" t="s">
        <v>846</v>
      </c>
      <c r="X1092" s="2" t="s">
        <v>375</v>
      </c>
      <c r="Y1092" s="2" t="s">
        <v>847</v>
      </c>
      <c r="Z1092" s="2" t="s">
        <v>848</v>
      </c>
      <c r="AA1092" s="2"/>
      <c r="AB1092" s="2" t="s">
        <v>5118</v>
      </c>
      <c r="AC1092" s="2">
        <v>49.58</v>
      </c>
      <c r="AD1092" s="2">
        <v>88.56</v>
      </c>
      <c r="AE1092" s="2">
        <v>86.96</v>
      </c>
      <c r="AF1092" s="2" t="s">
        <v>10000</v>
      </c>
      <c r="AG1092" s="2" t="s">
        <v>157</v>
      </c>
      <c r="AH1092" s="2" t="s">
        <v>10001</v>
      </c>
      <c r="AI1092" s="2">
        <v>3.05</v>
      </c>
      <c r="AJ1092" s="2">
        <v>20.156754614593599</v>
      </c>
      <c r="AK1092" s="2">
        <v>20.322656236994799</v>
      </c>
      <c r="AL1092" s="2">
        <v>20.4778733337148</v>
      </c>
      <c r="AM1092" s="2">
        <v>20.287989372946701</v>
      </c>
      <c r="AN1092" s="2">
        <v>20.198603463019701</v>
      </c>
      <c r="AO1092" s="2">
        <v>19.463597549458399</v>
      </c>
      <c r="AP1092" s="2">
        <v>20.241049984344301</v>
      </c>
      <c r="AQ1092" s="2">
        <v>20.367469548352101</v>
      </c>
      <c r="AR1092" s="2">
        <v>18.919194432042499</v>
      </c>
      <c r="AS1092" s="2">
        <v>17.4504071811523</v>
      </c>
      <c r="AT1092" s="2">
        <v>13.2969276749978</v>
      </c>
      <c r="AU1092" s="2">
        <v>18.407072873046499</v>
      </c>
      <c r="AV1092" s="2">
        <v>21.682142618515499</v>
      </c>
      <c r="AW1092" s="2">
        <v>19.3394056583485</v>
      </c>
      <c r="AX1092" s="2">
        <v>19.503399245618201</v>
      </c>
      <c r="AY1092" s="2">
        <v>18.608548843081898</v>
      </c>
      <c r="AZ1092" s="2">
        <v>19.579298901979602</v>
      </c>
      <c r="BA1092" s="2">
        <v>18.411962462969498</v>
      </c>
      <c r="BB1092" s="2">
        <v>18.252368150844099</v>
      </c>
      <c r="BC1092" s="2">
        <v>16.069240799836901</v>
      </c>
      <c r="BD1092" s="2">
        <v>19.7470242331331</v>
      </c>
      <c r="BE1092" s="2">
        <v>22.336481874201599</v>
      </c>
      <c r="BF1092" s="2">
        <v>19.8962462274385</v>
      </c>
      <c r="BG1092" s="2">
        <v>19.015321613948402</v>
      </c>
      <c r="BH1092" s="2">
        <v>21.061566866950699</v>
      </c>
      <c r="BI1092" s="2">
        <v>21.072151770853701</v>
      </c>
      <c r="BJ1092" s="2">
        <v>21.353634175372399</v>
      </c>
      <c r="BK1092" s="2">
        <v>17.9353704813268</v>
      </c>
      <c r="BL1092" s="2">
        <v>19.8094783330267</v>
      </c>
      <c r="BM1092" s="2">
        <v>14.1493684576158</v>
      </c>
      <c r="BN1092" s="2">
        <v>18.459523833412899</v>
      </c>
      <c r="BO1092" s="2">
        <v>16.400187667852101</v>
      </c>
      <c r="BP1092" s="2">
        <v>21.209492490128898</v>
      </c>
      <c r="BQ1092" s="2">
        <v>20.133755993000399</v>
      </c>
      <c r="BR1092" s="2">
        <v>19.845412943229</v>
      </c>
      <c r="BS1092" s="2">
        <v>19.4896168774678</v>
      </c>
      <c r="BT1092" s="2">
        <v>20.0272667029991</v>
      </c>
      <c r="BU1092" s="2">
        <v>18.907080371255599</v>
      </c>
      <c r="BV1092" s="2">
        <v>18.302703800056399</v>
      </c>
      <c r="BW1092" s="2">
        <v>15.683948331626</v>
      </c>
      <c r="BX1092" s="2">
        <v>19.848869718141799</v>
      </c>
      <c r="BY1092" s="2">
        <v>21.85727736566</v>
      </c>
      <c r="BZ1092" s="2">
        <v>18.165839187386101</v>
      </c>
      <c r="CA1092" s="2">
        <v>16.7746336827548</v>
      </c>
      <c r="CB1092" s="2">
        <v>20.4016345327124</v>
      </c>
      <c r="CC1092" s="2">
        <v>18.3061824965475</v>
      </c>
      <c r="CD1092" s="2">
        <v>20.7766579219427</v>
      </c>
      <c r="CE1092" s="2">
        <v>14.5607149544745</v>
      </c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</row>
    <row r="1093" spans="1:97">
      <c r="A1093" s="2" t="s">
        <v>10002</v>
      </c>
      <c r="B1093" s="2">
        <v>334.00702999999999</v>
      </c>
      <c r="C1093" s="2">
        <v>3.7450000000000001</v>
      </c>
      <c r="D1093" s="2" t="s">
        <v>146</v>
      </c>
      <c r="E1093" s="2" t="s">
        <v>10003</v>
      </c>
      <c r="F1093" s="2" t="s">
        <v>10004</v>
      </c>
      <c r="G1093" s="2">
        <v>205292</v>
      </c>
      <c r="H1093" s="3" t="str">
        <f>HYPERLINK("https://cloud.oebiotech.com/#/lm/network/205292", "https://cloud.oebiotech.com/#/lm/network/205292")</f>
        <v>https://cloud.oebiotech.com/#/lm/network/205292</v>
      </c>
      <c r="I1093" s="2" t="s">
        <v>10005</v>
      </c>
      <c r="J1093" s="2"/>
      <c r="K1093" s="2"/>
      <c r="L1093" s="2">
        <v>129718074</v>
      </c>
      <c r="M1093" s="2"/>
      <c r="N1093" s="2"/>
      <c r="O1093" s="2"/>
      <c r="P1093" s="2"/>
      <c r="Q1093" s="2"/>
      <c r="R1093" s="2"/>
      <c r="S1093" s="2"/>
      <c r="T1093" s="2" t="s">
        <v>10006</v>
      </c>
      <c r="U1093" s="2" t="s">
        <v>10007</v>
      </c>
      <c r="V1093" s="2" t="s">
        <v>115</v>
      </c>
      <c r="W1093" s="2" t="s">
        <v>116</v>
      </c>
      <c r="X1093" s="2" t="s">
        <v>117</v>
      </c>
      <c r="Y1093" s="2" t="s">
        <v>118</v>
      </c>
      <c r="Z1093" s="2" t="s">
        <v>119</v>
      </c>
      <c r="AA1093" s="2" t="s">
        <v>120</v>
      </c>
      <c r="AB1093" s="2" t="s">
        <v>5118</v>
      </c>
      <c r="AC1093" s="2">
        <v>49.51</v>
      </c>
      <c r="AD1093" s="2">
        <v>98.17</v>
      </c>
      <c r="AE1093" s="2">
        <v>81.67</v>
      </c>
      <c r="AF1093" s="2" t="s">
        <v>10008</v>
      </c>
      <c r="AG1093" s="2" t="s">
        <v>4062</v>
      </c>
      <c r="AH1093" s="2" t="s">
        <v>10009</v>
      </c>
      <c r="AI1093" s="2">
        <v>4.1900000000000004</v>
      </c>
      <c r="AJ1093" s="2">
        <v>22.623224936057401</v>
      </c>
      <c r="AK1093" s="2">
        <v>22.8761041075945</v>
      </c>
      <c r="AL1093" s="2">
        <v>22.838714785923202</v>
      </c>
      <c r="AM1093" s="2">
        <v>22.703430483644699</v>
      </c>
      <c r="AN1093" s="2">
        <v>22.941173260805801</v>
      </c>
      <c r="AO1093" s="2">
        <v>22.860790701729901</v>
      </c>
      <c r="AP1093" s="2">
        <v>22.737035023267602</v>
      </c>
      <c r="AQ1093" s="2">
        <v>22.781392001373799</v>
      </c>
      <c r="AR1093" s="2">
        <v>22.852824910030801</v>
      </c>
      <c r="AS1093" s="2">
        <v>22.8559984275395</v>
      </c>
      <c r="AT1093" s="2">
        <v>22.849984554278201</v>
      </c>
      <c r="AU1093" s="2">
        <v>22.820528224265601</v>
      </c>
      <c r="AV1093" s="2">
        <v>22.9746868329905</v>
      </c>
      <c r="AW1093" s="2">
        <v>22.965576859444901</v>
      </c>
      <c r="AX1093" s="2">
        <v>22.9513048394234</v>
      </c>
      <c r="AY1093" s="2">
        <v>22.862688212985301</v>
      </c>
      <c r="AZ1093" s="2">
        <v>22.916091122180099</v>
      </c>
      <c r="BA1093" s="2">
        <v>22.942041543206201</v>
      </c>
      <c r="BB1093" s="2">
        <v>22.665431106831701</v>
      </c>
      <c r="BC1093" s="2">
        <v>22.7601006414267</v>
      </c>
      <c r="BD1093" s="2">
        <v>22.7665105230585</v>
      </c>
      <c r="BE1093" s="2">
        <v>22.693195099708898</v>
      </c>
      <c r="BF1093" s="2">
        <v>22.919103496759199</v>
      </c>
      <c r="BG1093" s="2">
        <v>22.838969928974699</v>
      </c>
      <c r="BH1093" s="2">
        <v>23.0300856566347</v>
      </c>
      <c r="BI1093" s="2">
        <v>22.8825595121132</v>
      </c>
      <c r="BJ1093" s="2">
        <v>22.803176085305299</v>
      </c>
      <c r="BK1093" s="2">
        <v>22.978505472477799</v>
      </c>
      <c r="BL1093" s="2">
        <v>22.814371888800999</v>
      </c>
      <c r="BM1093" s="2">
        <v>22.7493359438485</v>
      </c>
      <c r="BN1093" s="2">
        <v>22.705356336105801</v>
      </c>
      <c r="BO1093" s="2">
        <v>22.932803310550199</v>
      </c>
      <c r="BP1093" s="2">
        <v>22.824851379191202</v>
      </c>
      <c r="BQ1093" s="2">
        <v>22.989645846938298</v>
      </c>
      <c r="BR1093" s="2">
        <v>22.652137050596</v>
      </c>
      <c r="BS1093" s="2">
        <v>22.867523114386699</v>
      </c>
      <c r="BT1093" s="2">
        <v>22.728795967604</v>
      </c>
      <c r="BU1093" s="2">
        <v>22.8068521281822</v>
      </c>
      <c r="BV1093" s="2">
        <v>22.5722835239578</v>
      </c>
      <c r="BW1093" s="2">
        <v>22.9935917921689</v>
      </c>
      <c r="BX1093" s="2">
        <v>22.987731686779799</v>
      </c>
      <c r="BY1093" s="2">
        <v>22.6710418703471</v>
      </c>
      <c r="BZ1093" s="2">
        <v>22.7701009944861</v>
      </c>
      <c r="CA1093" s="2">
        <v>22.791098831507501</v>
      </c>
      <c r="CB1093" s="2">
        <v>22.892549145856801</v>
      </c>
      <c r="CC1093" s="2">
        <v>22.854397890628999</v>
      </c>
      <c r="CD1093" s="2">
        <v>22.714165758490701</v>
      </c>
      <c r="CE1093" s="2">
        <v>22.732762594816201</v>
      </c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</row>
    <row r="1094" spans="1:97">
      <c r="A1094" s="2" t="s">
        <v>10010</v>
      </c>
      <c r="B1094" s="2">
        <v>144.01213999999999</v>
      </c>
      <c r="C1094" s="2">
        <v>5.0880000000000001</v>
      </c>
      <c r="D1094" s="2" t="s">
        <v>146</v>
      </c>
      <c r="E1094" s="2" t="s">
        <v>10011</v>
      </c>
      <c r="F1094" s="2" t="s">
        <v>10012</v>
      </c>
      <c r="G1094" s="2">
        <v>57378</v>
      </c>
      <c r="H1094" s="3" t="str">
        <f>HYPERLINK("https://cloud.oebiotech.com/#/lm/network/57378", "https://cloud.oebiotech.com/#/lm/network/57378")</f>
        <v>https://cloud.oebiotech.com/#/lm/network/57378</v>
      </c>
      <c r="I1094" s="2" t="s">
        <v>10013</v>
      </c>
      <c r="J1094" s="2">
        <v>89007</v>
      </c>
      <c r="K1094" s="2"/>
      <c r="L1094" s="2">
        <v>12748</v>
      </c>
      <c r="M1094" s="2"/>
      <c r="N1094" s="2"/>
      <c r="O1094" s="2"/>
      <c r="P1094" s="2">
        <v>35626</v>
      </c>
      <c r="Q1094" s="2"/>
      <c r="R1094" s="2"/>
      <c r="S1094" s="2" t="s">
        <v>10014</v>
      </c>
      <c r="T1094" s="2" t="s">
        <v>10015</v>
      </c>
      <c r="U1094" s="2" t="s">
        <v>10016</v>
      </c>
      <c r="V1094" s="2" t="s">
        <v>553</v>
      </c>
      <c r="W1094" s="2" t="s">
        <v>554</v>
      </c>
      <c r="X1094" s="2" t="s">
        <v>10017</v>
      </c>
      <c r="Y1094" s="2" t="s">
        <v>556</v>
      </c>
      <c r="Z1094" s="2" t="s">
        <v>557</v>
      </c>
      <c r="AA1094" s="2" t="s">
        <v>10018</v>
      </c>
      <c r="AB1094" s="2" t="s">
        <v>5118</v>
      </c>
      <c r="AC1094" s="2">
        <v>49.51</v>
      </c>
      <c r="AD1094" s="2">
        <v>97.92</v>
      </c>
      <c r="AE1094" s="2">
        <v>73.14</v>
      </c>
      <c r="AF1094" s="2" t="s">
        <v>10019</v>
      </c>
      <c r="AG1094" s="2" t="s">
        <v>157</v>
      </c>
      <c r="AH1094" s="2" t="s">
        <v>10020</v>
      </c>
      <c r="AI1094" s="2">
        <v>2.78</v>
      </c>
      <c r="AJ1094" s="2">
        <v>22.3863169566735</v>
      </c>
      <c r="AK1094" s="2">
        <v>22.2981382777463</v>
      </c>
      <c r="AL1094" s="2">
        <v>22.4786485981605</v>
      </c>
      <c r="AM1094" s="2">
        <v>22.430907793701099</v>
      </c>
      <c r="AN1094" s="2">
        <v>22.525741111673199</v>
      </c>
      <c r="AO1094" s="2">
        <v>22.370345696525899</v>
      </c>
      <c r="AP1094" s="2">
        <v>22.609423621075202</v>
      </c>
      <c r="AQ1094" s="2">
        <v>22.445716781356399</v>
      </c>
      <c r="AR1094" s="2">
        <v>23.3713397224586</v>
      </c>
      <c r="AS1094" s="2">
        <v>20.169463115112201</v>
      </c>
      <c r="AT1094" s="2">
        <v>22.92147360425</v>
      </c>
      <c r="AU1094" s="2">
        <v>22.4806012393237</v>
      </c>
      <c r="AV1094" s="2">
        <v>21.331337791267799</v>
      </c>
      <c r="AW1094" s="2">
        <v>23.122309252969099</v>
      </c>
      <c r="AX1094" s="2">
        <v>23.266283888564701</v>
      </c>
      <c r="AY1094" s="2">
        <v>24.023335009588099</v>
      </c>
      <c r="AZ1094" s="2">
        <v>19.820951006972901</v>
      </c>
      <c r="BA1094" s="2">
        <v>21.9651394820308</v>
      </c>
      <c r="BB1094" s="2">
        <v>22.504821062653502</v>
      </c>
      <c r="BC1094" s="2">
        <v>21.6040997684137</v>
      </c>
      <c r="BD1094" s="2">
        <v>22.121297475537901</v>
      </c>
      <c r="BE1094" s="2">
        <v>21.114543537464101</v>
      </c>
      <c r="BF1094" s="2">
        <v>20.089180977382298</v>
      </c>
      <c r="BG1094" s="2">
        <v>21.273672783415201</v>
      </c>
      <c r="BH1094" s="2">
        <v>22.478915488638901</v>
      </c>
      <c r="BI1094" s="2">
        <v>21.657558545819398</v>
      </c>
      <c r="BJ1094" s="2">
        <v>22.713653365964401</v>
      </c>
      <c r="BK1094" s="2">
        <v>22.015765055817599</v>
      </c>
      <c r="BL1094" s="2">
        <v>21.372373217007699</v>
      </c>
      <c r="BM1094" s="2">
        <v>25.521136259780299</v>
      </c>
      <c r="BN1094" s="2">
        <v>22.229033420399698</v>
      </c>
      <c r="BO1094" s="2">
        <v>22.221802101328901</v>
      </c>
      <c r="BP1094" s="2">
        <v>23.3242970219402</v>
      </c>
      <c r="BQ1094" s="2">
        <v>15.4106365128689</v>
      </c>
      <c r="BR1094" s="2">
        <v>20.3375618000609</v>
      </c>
      <c r="BS1094" s="2">
        <v>22.596871387436298</v>
      </c>
      <c r="BT1094" s="2">
        <v>15.418356658198499</v>
      </c>
      <c r="BU1094" s="2">
        <v>16.296958853484099</v>
      </c>
      <c r="BV1094" s="2">
        <v>21.5841250691056</v>
      </c>
      <c r="BW1094" s="2">
        <v>20.714257006716601</v>
      </c>
      <c r="BX1094" s="2">
        <v>21.122532099271801</v>
      </c>
      <c r="BY1094" s="2">
        <v>22.0055487992468</v>
      </c>
      <c r="BZ1094" s="2">
        <v>17.589937831433101</v>
      </c>
      <c r="CA1094" s="2">
        <v>21.526235357696901</v>
      </c>
      <c r="CB1094" s="2">
        <v>21.311866252773999</v>
      </c>
      <c r="CC1094" s="2">
        <v>19.971781753197099</v>
      </c>
      <c r="CD1094" s="2">
        <v>21.210169641111602</v>
      </c>
      <c r="CE1094" s="2">
        <v>18.473904564622099</v>
      </c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</row>
    <row r="1095" spans="1:97">
      <c r="A1095" s="2" t="s">
        <v>10021</v>
      </c>
      <c r="B1095" s="2">
        <v>207.09895</v>
      </c>
      <c r="C1095" s="2">
        <v>0.66400000000000003</v>
      </c>
      <c r="D1095" s="2" t="s">
        <v>84</v>
      </c>
      <c r="E1095" s="2" t="s">
        <v>10022</v>
      </c>
      <c r="F1095" s="2" t="s">
        <v>10023</v>
      </c>
      <c r="G1095" s="2">
        <v>54081</v>
      </c>
      <c r="H1095" s="3" t="str">
        <f>HYPERLINK("https://cloud.oebiotech.com/#/lm/network/54081", "https://cloud.oebiotech.com/#/lm/network/54081")</f>
        <v>https://cloud.oebiotech.com/#/lm/network/54081</v>
      </c>
      <c r="I1095" s="2" t="s">
        <v>10024</v>
      </c>
      <c r="J1095" s="2">
        <v>23808</v>
      </c>
      <c r="K1095" s="2"/>
      <c r="L1095" s="2">
        <v>7016064</v>
      </c>
      <c r="M1095" s="2"/>
      <c r="N1095" s="2"/>
      <c r="O1095" s="2"/>
      <c r="P1095" s="2">
        <v>73664</v>
      </c>
      <c r="Q1095" s="2"/>
      <c r="R1095" s="2"/>
      <c r="S1095" s="2" t="s">
        <v>10025</v>
      </c>
      <c r="T1095" s="2" t="s">
        <v>10026</v>
      </c>
      <c r="U1095" s="2" t="s">
        <v>10027</v>
      </c>
      <c r="V1095" s="2" t="s">
        <v>115</v>
      </c>
      <c r="W1095" s="2" t="s">
        <v>116</v>
      </c>
      <c r="X1095" s="2" t="s">
        <v>117</v>
      </c>
      <c r="Y1095" s="2" t="s">
        <v>118</v>
      </c>
      <c r="Z1095" s="2" t="s">
        <v>119</v>
      </c>
      <c r="AA1095" s="2" t="s">
        <v>120</v>
      </c>
      <c r="AB1095" s="2" t="s">
        <v>3086</v>
      </c>
      <c r="AC1095" s="2">
        <v>49.49</v>
      </c>
      <c r="AD1095" s="2">
        <v>94.76</v>
      </c>
      <c r="AE1095" s="2">
        <v>0</v>
      </c>
      <c r="AF1095" s="2" t="s">
        <v>5614</v>
      </c>
      <c r="AG1095" s="2" t="s">
        <v>103</v>
      </c>
      <c r="AH1095" s="2" t="s">
        <v>10028</v>
      </c>
      <c r="AI1095" s="2">
        <v>-7.24</v>
      </c>
      <c r="AJ1095" s="2">
        <v>19.637429547167201</v>
      </c>
      <c r="AK1095" s="2">
        <v>19.7396183402989</v>
      </c>
      <c r="AL1095" s="2">
        <v>20.474209332036502</v>
      </c>
      <c r="AM1095" s="2">
        <v>19.522794217471301</v>
      </c>
      <c r="AN1095" s="2">
        <v>19.581101938428699</v>
      </c>
      <c r="AO1095" s="2">
        <v>19.845138093826201</v>
      </c>
      <c r="AP1095" s="2">
        <v>19.358449393690201</v>
      </c>
      <c r="AQ1095" s="2">
        <v>20.0093504611994</v>
      </c>
      <c r="AR1095" s="2">
        <v>20.319704972435201</v>
      </c>
      <c r="AS1095" s="2">
        <v>20.034710639499899</v>
      </c>
      <c r="AT1095" s="2">
        <v>20.0014907044031</v>
      </c>
      <c r="AU1095" s="2">
        <v>20.0867371363899</v>
      </c>
      <c r="AV1095" s="2">
        <v>19.8326223172221</v>
      </c>
      <c r="AW1095" s="2">
        <v>19.782813251334002</v>
      </c>
      <c r="AX1095" s="2">
        <v>19.8545673440894</v>
      </c>
      <c r="AY1095" s="2">
        <v>20.170221545489898</v>
      </c>
      <c r="AZ1095" s="2">
        <v>20.454567106946001</v>
      </c>
      <c r="BA1095" s="2">
        <v>19.962802490948398</v>
      </c>
      <c r="BB1095" s="2">
        <v>19.863415649405798</v>
      </c>
      <c r="BC1095" s="2">
        <v>20.255451057220501</v>
      </c>
      <c r="BD1095" s="2">
        <v>19.7403192129213</v>
      </c>
      <c r="BE1095" s="2">
        <v>19.808370516146098</v>
      </c>
      <c r="BF1095" s="2">
        <v>19.783002590680301</v>
      </c>
      <c r="BG1095" s="2">
        <v>19.5280773931519</v>
      </c>
      <c r="BH1095" s="2">
        <v>20.0494500599691</v>
      </c>
      <c r="BI1095" s="2">
        <v>20.3547344443996</v>
      </c>
      <c r="BJ1095" s="2">
        <v>20.413912352583701</v>
      </c>
      <c r="BK1095" s="2">
        <v>19.703096585536699</v>
      </c>
      <c r="BL1095" s="2">
        <v>20.319009529754702</v>
      </c>
      <c r="BM1095" s="2">
        <v>20.030970216051202</v>
      </c>
      <c r="BN1095" s="2">
        <v>20.3703768341074</v>
      </c>
      <c r="BO1095" s="2">
        <v>20.193335058661599</v>
      </c>
      <c r="BP1095" s="2">
        <v>19.827085546804899</v>
      </c>
      <c r="BQ1095" s="2">
        <v>19.734566707547</v>
      </c>
      <c r="BR1095" s="2">
        <v>19.906540034950499</v>
      </c>
      <c r="BS1095" s="2">
        <v>20.0529570726214</v>
      </c>
      <c r="BT1095" s="2">
        <v>20.182050773261</v>
      </c>
      <c r="BU1095" s="2">
        <v>20.353382858530701</v>
      </c>
      <c r="BV1095" s="2">
        <v>19.2153368567845</v>
      </c>
      <c r="BW1095" s="2">
        <v>19.9332603343911</v>
      </c>
      <c r="BX1095" s="2">
        <v>19.623222254120002</v>
      </c>
      <c r="BY1095" s="2">
        <v>19.8311203654015</v>
      </c>
      <c r="BZ1095" s="2">
        <v>19.983002860476802</v>
      </c>
      <c r="CA1095" s="2">
        <v>19.8337608789986</v>
      </c>
      <c r="CB1095" s="2">
        <v>19.564080886787998</v>
      </c>
      <c r="CC1095" s="2">
        <v>20.0308748572882</v>
      </c>
      <c r="CD1095" s="2">
        <v>19.974637360804898</v>
      </c>
      <c r="CE1095" s="2">
        <v>20.143088988027699</v>
      </c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</row>
    <row r="1096" spans="1:97">
      <c r="A1096" s="2" t="s">
        <v>10029</v>
      </c>
      <c r="B1096" s="2">
        <v>105.04862</v>
      </c>
      <c r="C1096" s="2">
        <v>1.2649999999999999</v>
      </c>
      <c r="D1096" s="2" t="s">
        <v>84</v>
      </c>
      <c r="E1096" s="2" t="s">
        <v>10030</v>
      </c>
      <c r="F1096" s="2" t="s">
        <v>10031</v>
      </c>
      <c r="G1096" s="2">
        <v>209283</v>
      </c>
      <c r="H1096" s="3" t="str">
        <f>HYPERLINK("https://cloud.oebiotech.com/#/lm/network/209283", "https://cloud.oebiotech.com/#/lm/network/209283")</f>
        <v>https://cloud.oebiotech.com/#/lm/network/209283</v>
      </c>
      <c r="I1096" s="2" t="s">
        <v>10032</v>
      </c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 t="s">
        <v>10033</v>
      </c>
      <c r="U1096" s="2" t="s">
        <v>10034</v>
      </c>
      <c r="V1096" s="2" t="s">
        <v>9746</v>
      </c>
      <c r="W1096" s="2" t="s">
        <v>10035</v>
      </c>
      <c r="X1096" s="2" t="s">
        <v>375</v>
      </c>
      <c r="Y1096" s="2" t="s">
        <v>9748</v>
      </c>
      <c r="Z1096" s="2" t="s">
        <v>10036</v>
      </c>
      <c r="AA1096" s="2"/>
      <c r="AB1096" s="2" t="s">
        <v>3086</v>
      </c>
      <c r="AC1096" s="2">
        <v>49.48</v>
      </c>
      <c r="AD1096" s="2">
        <v>95.25</v>
      </c>
      <c r="AE1096" s="2">
        <v>0</v>
      </c>
      <c r="AF1096" s="2" t="s">
        <v>5614</v>
      </c>
      <c r="AG1096" s="2" t="s">
        <v>103</v>
      </c>
      <c r="AH1096" s="2" t="s">
        <v>10037</v>
      </c>
      <c r="AI1096" s="2">
        <v>-4.95</v>
      </c>
      <c r="AJ1096" s="2">
        <v>19.9702542580502</v>
      </c>
      <c r="AK1096" s="2">
        <v>19.3276927799064</v>
      </c>
      <c r="AL1096" s="2">
        <v>20.0097771669816</v>
      </c>
      <c r="AM1096" s="2">
        <v>19.843287344543501</v>
      </c>
      <c r="AN1096" s="2">
        <v>19.718156902281098</v>
      </c>
      <c r="AO1096" s="2">
        <v>20.007998985916402</v>
      </c>
      <c r="AP1096" s="2">
        <v>19.741275095779098</v>
      </c>
      <c r="AQ1096" s="2">
        <v>19.644076152299299</v>
      </c>
      <c r="AR1096" s="2">
        <v>19.119068069219399</v>
      </c>
      <c r="AS1096" s="2">
        <v>18.7950440464612</v>
      </c>
      <c r="AT1096" s="2">
        <v>19.727333738668001</v>
      </c>
      <c r="AU1096" s="2">
        <v>19.670153112774099</v>
      </c>
      <c r="AV1096" s="2">
        <v>19.9284226924518</v>
      </c>
      <c r="AW1096" s="2">
        <v>19.8884502073766</v>
      </c>
      <c r="AX1096" s="2">
        <v>19.854810018463301</v>
      </c>
      <c r="AY1096" s="2">
        <v>18.959244558312601</v>
      </c>
      <c r="AZ1096" s="2">
        <v>19.657404061695701</v>
      </c>
      <c r="BA1096" s="2">
        <v>20.083418153292801</v>
      </c>
      <c r="BB1096" s="2">
        <v>19.4405480487098</v>
      </c>
      <c r="BC1096" s="2">
        <v>18.900659970473999</v>
      </c>
      <c r="BD1096" s="2">
        <v>19.489716667837101</v>
      </c>
      <c r="BE1096" s="2">
        <v>19.667049622727301</v>
      </c>
      <c r="BF1096" s="2">
        <v>18.719960950844399</v>
      </c>
      <c r="BG1096" s="2">
        <v>19.625962027237801</v>
      </c>
      <c r="BH1096" s="2">
        <v>19.620853360993301</v>
      </c>
      <c r="BI1096" s="2">
        <v>19.789666599086001</v>
      </c>
      <c r="BJ1096" s="2">
        <v>19.750319299466</v>
      </c>
      <c r="BK1096" s="2">
        <v>19.803951464247</v>
      </c>
      <c r="BL1096" s="2">
        <v>19.1742306292069</v>
      </c>
      <c r="BM1096" s="2">
        <v>18.968142346357499</v>
      </c>
      <c r="BN1096" s="2">
        <v>19.495861368793001</v>
      </c>
      <c r="BO1096" s="2">
        <v>20.0967022750634</v>
      </c>
      <c r="BP1096" s="2">
        <v>19.705554803971602</v>
      </c>
      <c r="BQ1096" s="2">
        <v>19.610953396577901</v>
      </c>
      <c r="BR1096" s="2">
        <v>19.720871980267798</v>
      </c>
      <c r="BS1096" s="2">
        <v>19.868892725933598</v>
      </c>
      <c r="BT1096" s="2">
        <v>19.321865882605699</v>
      </c>
      <c r="BU1096" s="2">
        <v>19.567921159224699</v>
      </c>
      <c r="BV1096" s="2">
        <v>18.962431084116101</v>
      </c>
      <c r="BW1096" s="2">
        <v>20.0240035590537</v>
      </c>
      <c r="BX1096" s="2">
        <v>19.871012644678402</v>
      </c>
      <c r="BY1096" s="2">
        <v>18.239496023333199</v>
      </c>
      <c r="BZ1096" s="2">
        <v>19.939593891288499</v>
      </c>
      <c r="CA1096" s="2">
        <v>19.695261006415699</v>
      </c>
      <c r="CB1096" s="2">
        <v>19.902389468226801</v>
      </c>
      <c r="CC1096" s="2">
        <v>19.892374081874699</v>
      </c>
      <c r="CD1096" s="2">
        <v>19.0050129813003</v>
      </c>
      <c r="CE1096" s="2">
        <v>19.890739700022099</v>
      </c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</row>
    <row r="1097" spans="1:97">
      <c r="A1097" s="2" t="s">
        <v>10038</v>
      </c>
      <c r="B1097" s="2">
        <v>269.13069000000002</v>
      </c>
      <c r="C1097" s="2">
        <v>10.557</v>
      </c>
      <c r="D1097" s="2" t="s">
        <v>146</v>
      </c>
      <c r="E1097" s="2" t="s">
        <v>10039</v>
      </c>
      <c r="F1097" s="2" t="s">
        <v>10040</v>
      </c>
      <c r="G1097" s="2">
        <v>256432</v>
      </c>
      <c r="H1097" s="3" t="str">
        <f>HYPERLINK("https://cloud.oebiotech.com/#/lm/network/256432", "https://cloud.oebiotech.com/#/lm/network/256432")</f>
        <v>https://cloud.oebiotech.com/#/lm/network/256432</v>
      </c>
      <c r="I1097" s="2" t="s">
        <v>10041</v>
      </c>
      <c r="J1097" s="2"/>
      <c r="K1097" s="2"/>
      <c r="L1097" s="2">
        <v>325065</v>
      </c>
      <c r="M1097" s="2"/>
      <c r="N1097" s="2"/>
      <c r="O1097" s="2"/>
      <c r="P1097" s="2"/>
      <c r="Q1097" s="2"/>
      <c r="R1097" s="2"/>
      <c r="S1097" s="2"/>
      <c r="T1097" s="2" t="s">
        <v>10042</v>
      </c>
      <c r="U1097" s="2" t="s">
        <v>10043</v>
      </c>
      <c r="V1097" s="2" t="s">
        <v>95</v>
      </c>
      <c r="W1097" s="2" t="s">
        <v>180</v>
      </c>
      <c r="X1097" s="2" t="s">
        <v>2949</v>
      </c>
      <c r="Y1097" s="2" t="s">
        <v>98</v>
      </c>
      <c r="Z1097" s="2" t="s">
        <v>182</v>
      </c>
      <c r="AA1097" s="2" t="s">
        <v>2950</v>
      </c>
      <c r="AB1097" s="2" t="s">
        <v>3086</v>
      </c>
      <c r="AC1097" s="2">
        <v>49.48</v>
      </c>
      <c r="AD1097" s="2">
        <v>71.31</v>
      </c>
      <c r="AE1097" s="2">
        <v>0</v>
      </c>
      <c r="AF1097" s="2" t="s">
        <v>10044</v>
      </c>
      <c r="AG1097" s="2" t="s">
        <v>4062</v>
      </c>
      <c r="AH1097" s="2" t="s">
        <v>9380</v>
      </c>
      <c r="AI1097" s="2">
        <v>2.6</v>
      </c>
      <c r="AJ1097" s="2">
        <v>22.151457825018401</v>
      </c>
      <c r="AK1097" s="2">
        <v>22.3412502338699</v>
      </c>
      <c r="AL1097" s="2">
        <v>22.536307850887201</v>
      </c>
      <c r="AM1097" s="2">
        <v>21.4847309993993</v>
      </c>
      <c r="AN1097" s="2">
        <v>22.46818410294</v>
      </c>
      <c r="AO1097" s="2">
        <v>21.941427144734401</v>
      </c>
      <c r="AP1097" s="2">
        <v>22.563210486675398</v>
      </c>
      <c r="AQ1097" s="2">
        <v>22.749244446386999</v>
      </c>
      <c r="AR1097" s="2">
        <v>21.628765987347599</v>
      </c>
      <c r="AS1097" s="2">
        <v>22.112196489190701</v>
      </c>
      <c r="AT1097" s="2">
        <v>21.872259061188799</v>
      </c>
      <c r="AU1097" s="2">
        <v>22.2824876411965</v>
      </c>
      <c r="AV1097" s="2">
        <v>21.887702191925701</v>
      </c>
      <c r="AW1097" s="2">
        <v>22.261303767366901</v>
      </c>
      <c r="AX1097" s="2">
        <v>22.5131525669801</v>
      </c>
      <c r="AY1097" s="2">
        <v>22.189194516632899</v>
      </c>
      <c r="AZ1097" s="2">
        <v>22.338975151973202</v>
      </c>
      <c r="BA1097" s="2">
        <v>22.074387051911799</v>
      </c>
      <c r="BB1097" s="2">
        <v>22.474261922863199</v>
      </c>
      <c r="BC1097" s="2">
        <v>21.822362766648698</v>
      </c>
      <c r="BD1097" s="2">
        <v>22.398316909806798</v>
      </c>
      <c r="BE1097" s="2">
        <v>22.181489366186302</v>
      </c>
      <c r="BF1097" s="2">
        <v>22.4753807889632</v>
      </c>
      <c r="BG1097" s="2">
        <v>22.550803688999999</v>
      </c>
      <c r="BH1097" s="2">
        <v>22.6774573038544</v>
      </c>
      <c r="BI1097" s="2">
        <v>22.413703045055701</v>
      </c>
      <c r="BJ1097" s="2">
        <v>22.267840175607098</v>
      </c>
      <c r="BK1097" s="2">
        <v>22.294628642983199</v>
      </c>
      <c r="BL1097" s="2">
        <v>22.209641029816002</v>
      </c>
      <c r="BM1097" s="2">
        <v>21.8102971198409</v>
      </c>
      <c r="BN1097" s="2">
        <v>21.673538481613299</v>
      </c>
      <c r="BO1097" s="2">
        <v>22.596299964177</v>
      </c>
      <c r="BP1097" s="2">
        <v>22.5322382845638</v>
      </c>
      <c r="BQ1097" s="2">
        <v>22.6139627815969</v>
      </c>
      <c r="BR1097" s="2">
        <v>22.567227412260401</v>
      </c>
      <c r="BS1097" s="2">
        <v>21.995029911022598</v>
      </c>
      <c r="BT1097" s="2">
        <v>22.502671060235699</v>
      </c>
      <c r="BU1097" s="2">
        <v>22.3342496173162</v>
      </c>
      <c r="BV1097" s="2">
        <v>22.5083557203723</v>
      </c>
      <c r="BW1097" s="2">
        <v>22.100055664079601</v>
      </c>
      <c r="BX1097" s="2">
        <v>21.8558425182609</v>
      </c>
      <c r="BY1097" s="2">
        <v>22.5565553880819</v>
      </c>
      <c r="BZ1097" s="2">
        <v>22.222172499695599</v>
      </c>
      <c r="CA1097" s="2">
        <v>22.6552020004669</v>
      </c>
      <c r="CB1097" s="2">
        <v>21.7977094666163</v>
      </c>
      <c r="CC1097" s="2">
        <v>22.301556344723501</v>
      </c>
      <c r="CD1097" s="2">
        <v>22.473124230876699</v>
      </c>
      <c r="CE1097" s="2">
        <v>22.559548573656802</v>
      </c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</row>
    <row r="1098" spans="1:97">
      <c r="A1098" s="2" t="s">
        <v>10045</v>
      </c>
      <c r="B1098" s="2">
        <v>553.32809999999995</v>
      </c>
      <c r="C1098" s="2">
        <v>11.573</v>
      </c>
      <c r="D1098" s="2" t="s">
        <v>84</v>
      </c>
      <c r="E1098" s="2" t="s">
        <v>10046</v>
      </c>
      <c r="F1098" s="2" t="s">
        <v>10047</v>
      </c>
      <c r="G1098" s="2">
        <v>58527</v>
      </c>
      <c r="H1098" s="3" t="str">
        <f>HYPERLINK("https://cloud.oebiotech.com/#/lm/network/58527", "https://cloud.oebiotech.com/#/lm/network/58527")</f>
        <v>https://cloud.oebiotech.com/#/lm/network/58527</v>
      </c>
      <c r="I1098" s="2" t="s">
        <v>10048</v>
      </c>
      <c r="J1098" s="2">
        <v>89998</v>
      </c>
      <c r="K1098" s="2"/>
      <c r="L1098" s="2">
        <v>612545</v>
      </c>
      <c r="M1098" s="2"/>
      <c r="N1098" s="2"/>
      <c r="O1098" s="2"/>
      <c r="P1098" s="2">
        <v>175898</v>
      </c>
      <c r="Q1098" s="2"/>
      <c r="R1098" s="2"/>
      <c r="S1098" s="2" t="s">
        <v>10049</v>
      </c>
      <c r="T1098" s="2" t="s">
        <v>10050</v>
      </c>
      <c r="U1098" s="2" t="s">
        <v>10051</v>
      </c>
      <c r="V1098" s="2" t="s">
        <v>95</v>
      </c>
      <c r="W1098" s="2" t="s">
        <v>180</v>
      </c>
      <c r="X1098" s="2" t="s">
        <v>1790</v>
      </c>
      <c r="Y1098" s="2" t="s">
        <v>98</v>
      </c>
      <c r="Z1098" s="2" t="s">
        <v>182</v>
      </c>
      <c r="AA1098" s="2" t="s">
        <v>1791</v>
      </c>
      <c r="AB1098" s="2" t="s">
        <v>3086</v>
      </c>
      <c r="AC1098" s="2">
        <v>49.44</v>
      </c>
      <c r="AD1098" s="2">
        <v>73.56</v>
      </c>
      <c r="AE1098" s="2">
        <v>0</v>
      </c>
      <c r="AF1098" s="2" t="s">
        <v>5614</v>
      </c>
      <c r="AG1098" s="2" t="s">
        <v>3544</v>
      </c>
      <c r="AH1098" s="2" t="s">
        <v>10052</v>
      </c>
      <c r="AI1098" s="2">
        <v>1.63</v>
      </c>
      <c r="AJ1098" s="2">
        <v>20.933722203189198</v>
      </c>
      <c r="AK1098" s="2">
        <v>20.308941379155399</v>
      </c>
      <c r="AL1098" s="2">
        <v>20.700309018106498</v>
      </c>
      <c r="AM1098" s="2">
        <v>20.403439900184399</v>
      </c>
      <c r="AN1098" s="2">
        <v>20.449929718360799</v>
      </c>
      <c r="AO1098" s="2">
        <v>20.438522018345999</v>
      </c>
      <c r="AP1098" s="2">
        <v>20.642863766727501</v>
      </c>
      <c r="AQ1098" s="2">
        <v>20.527450613147</v>
      </c>
      <c r="AR1098" s="2">
        <v>21.311551113489401</v>
      </c>
      <c r="AS1098" s="2">
        <v>18.867628624920702</v>
      </c>
      <c r="AT1098" s="2">
        <v>20.1344978029103</v>
      </c>
      <c r="AU1098" s="2">
        <v>20.272652734648201</v>
      </c>
      <c r="AV1098" s="2">
        <v>19.744453964104299</v>
      </c>
      <c r="AW1098" s="2">
        <v>20.2708116149559</v>
      </c>
      <c r="AX1098" s="2">
        <v>20.5969589480009</v>
      </c>
      <c r="AY1098" s="2">
        <v>20.143435843674599</v>
      </c>
      <c r="AZ1098" s="2">
        <v>20.620547250449601</v>
      </c>
      <c r="BA1098" s="2">
        <v>18.6624528465567</v>
      </c>
      <c r="BB1098" s="2">
        <v>20.124450972719998</v>
      </c>
      <c r="BC1098" s="2">
        <v>20.875781045290601</v>
      </c>
      <c r="BD1098" s="2">
        <v>20.444032640187299</v>
      </c>
      <c r="BE1098" s="2">
        <v>21.0302719958331</v>
      </c>
      <c r="BF1098" s="2">
        <v>19.389725541704301</v>
      </c>
      <c r="BG1098" s="2">
        <v>20.183093883991798</v>
      </c>
      <c r="BH1098" s="2">
        <v>20.0429979037681</v>
      </c>
      <c r="BI1098" s="2">
        <v>19.672205446406601</v>
      </c>
      <c r="BJ1098" s="2">
        <v>20.123923474080499</v>
      </c>
      <c r="BK1098" s="2">
        <v>19.713366275229301</v>
      </c>
      <c r="BL1098" s="2">
        <v>20.488002889805902</v>
      </c>
      <c r="BM1098" s="2">
        <v>19.228619789627398</v>
      </c>
      <c r="BN1098" s="2">
        <v>20.346619254775401</v>
      </c>
      <c r="BO1098" s="2">
        <v>20.630408112991201</v>
      </c>
      <c r="BP1098" s="2">
        <v>20.317507268530498</v>
      </c>
      <c r="BQ1098" s="2">
        <v>20.393061642463</v>
      </c>
      <c r="BR1098" s="2">
        <v>20.579016809236801</v>
      </c>
      <c r="BS1098" s="2">
        <v>20.2521798754609</v>
      </c>
      <c r="BT1098" s="2">
        <v>20.3216578944727</v>
      </c>
      <c r="BU1098" s="2">
        <v>20.057390761034199</v>
      </c>
      <c r="BV1098" s="2">
        <v>20.555805279165401</v>
      </c>
      <c r="BW1098" s="2">
        <v>19.306983400174001</v>
      </c>
      <c r="BX1098" s="2">
        <v>20.601259148459999</v>
      </c>
      <c r="BY1098" s="2">
        <v>21.233134385123201</v>
      </c>
      <c r="BZ1098" s="2">
        <v>19.618916961507701</v>
      </c>
      <c r="CA1098" s="2">
        <v>20.618874226196901</v>
      </c>
      <c r="CB1098" s="2">
        <v>19.9849752004503</v>
      </c>
      <c r="CC1098" s="2">
        <v>19.7978527886773</v>
      </c>
      <c r="CD1098" s="2">
        <v>21.004733841760299</v>
      </c>
      <c r="CE1098" s="2">
        <v>18.638474768202101</v>
      </c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</row>
    <row r="1099" spans="1:97">
      <c r="A1099" s="2" t="s">
        <v>10053</v>
      </c>
      <c r="B1099" s="2">
        <v>213.11277999999999</v>
      </c>
      <c r="C1099" s="2">
        <v>12.83</v>
      </c>
      <c r="D1099" s="2" t="s">
        <v>146</v>
      </c>
      <c r="E1099" s="2" t="s">
        <v>10054</v>
      </c>
      <c r="F1099" s="2" t="s">
        <v>10055</v>
      </c>
      <c r="G1099" s="2">
        <v>256805</v>
      </c>
      <c r="H1099" s="3" t="str">
        <f>HYPERLINK("https://cloud.oebiotech.com/#/lm/network/256805", "https://cloud.oebiotech.com/#/lm/network/256805")</f>
        <v>https://cloud.oebiotech.com/#/lm/network/256805</v>
      </c>
      <c r="I1099" s="2" t="s">
        <v>10056</v>
      </c>
      <c r="J1099" s="2">
        <v>73322</v>
      </c>
      <c r="K1099" s="2"/>
      <c r="L1099" s="2">
        <v>25201359</v>
      </c>
      <c r="M1099" s="2" t="s">
        <v>10057</v>
      </c>
      <c r="N1099" s="2"/>
      <c r="O1099" s="2"/>
      <c r="P1099" s="2">
        <v>53167</v>
      </c>
      <c r="Q1099" s="2"/>
      <c r="R1099" s="2"/>
      <c r="S1099" s="2"/>
      <c r="T1099" s="2" t="s">
        <v>10058</v>
      </c>
      <c r="U1099" s="2" t="s">
        <v>10059</v>
      </c>
      <c r="V1099" s="2" t="s">
        <v>338</v>
      </c>
      <c r="W1099" s="2" t="s">
        <v>339</v>
      </c>
      <c r="X1099" s="2" t="s">
        <v>3877</v>
      </c>
      <c r="Y1099" s="2" t="s">
        <v>341</v>
      </c>
      <c r="Z1099" s="2" t="s">
        <v>341</v>
      </c>
      <c r="AA1099" s="2" t="s">
        <v>3878</v>
      </c>
      <c r="AB1099" s="2" t="s">
        <v>5118</v>
      </c>
      <c r="AC1099" s="2">
        <v>49.4</v>
      </c>
      <c r="AD1099" s="2">
        <v>92.81</v>
      </c>
      <c r="AE1099" s="2">
        <v>58.57</v>
      </c>
      <c r="AF1099" s="2" t="s">
        <v>10060</v>
      </c>
      <c r="AG1099" s="2" t="s">
        <v>157</v>
      </c>
      <c r="AH1099" s="2" t="s">
        <v>10061</v>
      </c>
      <c r="AI1099" s="2">
        <v>1.88</v>
      </c>
      <c r="AJ1099" s="2">
        <v>18.691064097566901</v>
      </c>
      <c r="AK1099" s="2">
        <v>19.125226507186099</v>
      </c>
      <c r="AL1099" s="2">
        <v>19.490512783803101</v>
      </c>
      <c r="AM1099" s="2">
        <v>18.617475931115901</v>
      </c>
      <c r="AN1099" s="2">
        <v>19.5229770175164</v>
      </c>
      <c r="AO1099" s="2">
        <v>19.2174722084706</v>
      </c>
      <c r="AP1099" s="2">
        <v>19.593311840231198</v>
      </c>
      <c r="AQ1099" s="2">
        <v>19.580762437742901</v>
      </c>
      <c r="AR1099" s="2">
        <v>18.629418915506498</v>
      </c>
      <c r="AS1099" s="2">
        <v>17.796029149151401</v>
      </c>
      <c r="AT1099" s="2">
        <v>19.190962409408598</v>
      </c>
      <c r="AU1099" s="2">
        <v>18.9892255904537</v>
      </c>
      <c r="AV1099" s="2">
        <v>19.2668695388322</v>
      </c>
      <c r="AW1099" s="2">
        <v>19.607120862836599</v>
      </c>
      <c r="AX1099" s="2">
        <v>19.591321108046401</v>
      </c>
      <c r="AY1099" s="2">
        <v>19.436530327810701</v>
      </c>
      <c r="AZ1099" s="2">
        <v>19.0540506476692</v>
      </c>
      <c r="BA1099" s="2">
        <v>19.198302107802199</v>
      </c>
      <c r="BB1099" s="2">
        <v>19.1131045697066</v>
      </c>
      <c r="BC1099" s="2">
        <v>19.791178281223001</v>
      </c>
      <c r="BD1099" s="2">
        <v>19.4397528405663</v>
      </c>
      <c r="BE1099" s="2">
        <v>19.370245861214499</v>
      </c>
      <c r="BF1099" s="2">
        <v>19.0828921521015</v>
      </c>
      <c r="BG1099" s="2">
        <v>19.7269454214624</v>
      </c>
      <c r="BH1099" s="2">
        <v>19.054681814318101</v>
      </c>
      <c r="BI1099" s="2">
        <v>19.968420442806199</v>
      </c>
      <c r="BJ1099" s="2">
        <v>19.300441626621801</v>
      </c>
      <c r="BK1099" s="2">
        <v>19.596323047686699</v>
      </c>
      <c r="BL1099" s="2">
        <v>19.9505259393088</v>
      </c>
      <c r="BM1099" s="2">
        <v>19.2411455118602</v>
      </c>
      <c r="BN1099" s="2">
        <v>19.103568225499298</v>
      </c>
      <c r="BO1099" s="2">
        <v>19.8540094095288</v>
      </c>
      <c r="BP1099" s="2">
        <v>19.6805865236588</v>
      </c>
      <c r="BQ1099" s="2">
        <v>19.370862208237099</v>
      </c>
      <c r="BR1099" s="2">
        <v>19.859410165474301</v>
      </c>
      <c r="BS1099" s="2">
        <v>19.040521304956801</v>
      </c>
      <c r="BT1099" s="2">
        <v>19.182891329081901</v>
      </c>
      <c r="BU1099" s="2">
        <v>18.6825202849985</v>
      </c>
      <c r="BV1099" s="2">
        <v>19.3993123715465</v>
      </c>
      <c r="BW1099" s="2">
        <v>17.7851508321362</v>
      </c>
      <c r="BX1099" s="2">
        <v>18.221199426066399</v>
      </c>
      <c r="BY1099" s="2">
        <v>19.839931424334999</v>
      </c>
      <c r="BZ1099" s="2">
        <v>19.415158831376498</v>
      </c>
      <c r="CA1099" s="2">
        <v>18.942185871986901</v>
      </c>
      <c r="CB1099" s="2">
        <v>18.6265424106019</v>
      </c>
      <c r="CC1099" s="2">
        <v>19.3410740583682</v>
      </c>
      <c r="CD1099" s="2">
        <v>19.413473584162801</v>
      </c>
      <c r="CE1099" s="2">
        <v>19.4539751239938</v>
      </c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</row>
    <row r="1100" spans="1:97">
      <c r="A1100" s="2" t="s">
        <v>10062</v>
      </c>
      <c r="B1100" s="2">
        <v>293.13639999999998</v>
      </c>
      <c r="C1100" s="2">
        <v>7.0209999999999999</v>
      </c>
      <c r="D1100" s="2" t="s">
        <v>84</v>
      </c>
      <c r="E1100" s="2" t="s">
        <v>10063</v>
      </c>
      <c r="F1100" s="2" t="s">
        <v>10064</v>
      </c>
      <c r="G1100" s="2">
        <v>61270</v>
      </c>
      <c r="H1100" s="3" t="str">
        <f>HYPERLINK("https://cloud.oebiotech.com/#/lm/network/61270", "https://cloud.oebiotech.com/#/lm/network/61270")</f>
        <v>https://cloud.oebiotech.com/#/lm/network/61270</v>
      </c>
      <c r="I1100" s="2" t="s">
        <v>10065</v>
      </c>
      <c r="J1100" s="2">
        <v>92590</v>
      </c>
      <c r="K1100" s="2"/>
      <c r="L1100" s="2">
        <v>131752232</v>
      </c>
      <c r="M1100" s="2"/>
      <c r="N1100" s="2"/>
      <c r="O1100" s="2"/>
      <c r="P1100" s="2"/>
      <c r="Q1100" s="2"/>
      <c r="R1100" s="2"/>
      <c r="S1100" s="2" t="s">
        <v>10066</v>
      </c>
      <c r="T1100" s="2" t="s">
        <v>10067</v>
      </c>
      <c r="U1100" s="2" t="s">
        <v>10068</v>
      </c>
      <c r="V1100" s="2" t="s">
        <v>553</v>
      </c>
      <c r="W1100" s="2" t="s">
        <v>2193</v>
      </c>
      <c r="X1100" s="2" t="s">
        <v>4866</v>
      </c>
      <c r="Y1100" s="2" t="s">
        <v>556</v>
      </c>
      <c r="Z1100" s="2" t="s">
        <v>2194</v>
      </c>
      <c r="AA1100" s="2" t="s">
        <v>4867</v>
      </c>
      <c r="AB1100" s="2" t="s">
        <v>3086</v>
      </c>
      <c r="AC1100" s="2">
        <v>49.4</v>
      </c>
      <c r="AD1100" s="2">
        <v>89.91</v>
      </c>
      <c r="AE1100" s="2">
        <v>0</v>
      </c>
      <c r="AF1100" s="2" t="s">
        <v>5614</v>
      </c>
      <c r="AG1100" s="2" t="s">
        <v>103</v>
      </c>
      <c r="AH1100" s="2" t="s">
        <v>10069</v>
      </c>
      <c r="AI1100" s="2">
        <v>6.48</v>
      </c>
      <c r="AJ1100" s="2">
        <v>19.193135224337901</v>
      </c>
      <c r="AK1100" s="2">
        <v>19.510752020002499</v>
      </c>
      <c r="AL1100" s="2">
        <v>19.6560206303899</v>
      </c>
      <c r="AM1100" s="2">
        <v>19.5018403330211</v>
      </c>
      <c r="AN1100" s="2">
        <v>19.570420663209401</v>
      </c>
      <c r="AO1100" s="2">
        <v>19.237192685215199</v>
      </c>
      <c r="AP1100" s="2">
        <v>19.465042592265998</v>
      </c>
      <c r="AQ1100" s="2">
        <v>19.459551948941701</v>
      </c>
      <c r="AR1100" s="2">
        <v>18.667587329494602</v>
      </c>
      <c r="AS1100" s="2">
        <v>18.856250828854598</v>
      </c>
      <c r="AT1100" s="2">
        <v>19.554549376215899</v>
      </c>
      <c r="AU1100" s="2">
        <v>18.066837280968802</v>
      </c>
      <c r="AV1100" s="2">
        <v>19.1246398285619</v>
      </c>
      <c r="AW1100" s="2">
        <v>18.952967901557201</v>
      </c>
      <c r="AX1100" s="2">
        <v>19.6296603693613</v>
      </c>
      <c r="AY1100" s="2">
        <v>19.3957971027782</v>
      </c>
      <c r="AZ1100" s="2">
        <v>18.693576626300601</v>
      </c>
      <c r="BA1100" s="2">
        <v>19.054064827968698</v>
      </c>
      <c r="BB1100" s="2">
        <v>19.3307634462201</v>
      </c>
      <c r="BC1100" s="2">
        <v>20.3629508155461</v>
      </c>
      <c r="BD1100" s="2">
        <v>18.811584168138801</v>
      </c>
      <c r="BE1100" s="2">
        <v>20.677848361943401</v>
      </c>
      <c r="BF1100" s="2">
        <v>18.400921452029301</v>
      </c>
      <c r="BG1100" s="2">
        <v>19.9354101224258</v>
      </c>
      <c r="BH1100" s="2">
        <v>19.301171981757399</v>
      </c>
      <c r="BI1100" s="2">
        <v>19.779231244875</v>
      </c>
      <c r="BJ1100" s="2">
        <v>20.108367365553701</v>
      </c>
      <c r="BK1100" s="2">
        <v>18.8616829974032</v>
      </c>
      <c r="BL1100" s="2">
        <v>19.196752527478701</v>
      </c>
      <c r="BM1100" s="2">
        <v>17.8460685566024</v>
      </c>
      <c r="BN1100" s="2">
        <v>19.043577750905499</v>
      </c>
      <c r="BO1100" s="2">
        <v>19.737884294327099</v>
      </c>
      <c r="BP1100" s="2">
        <v>19.510499092232699</v>
      </c>
      <c r="BQ1100" s="2">
        <v>19.305396067351701</v>
      </c>
      <c r="BR1100" s="2">
        <v>19.494624911682099</v>
      </c>
      <c r="BS1100" s="2">
        <v>18.882641527052201</v>
      </c>
      <c r="BT1100" s="2">
        <v>18.335129448053799</v>
      </c>
      <c r="BU1100" s="2">
        <v>19.2746773034429</v>
      </c>
      <c r="BV1100" s="2">
        <v>19.549307448953101</v>
      </c>
      <c r="BW1100" s="2">
        <v>18.896747882921002</v>
      </c>
      <c r="BX1100" s="2">
        <v>18.2916191330551</v>
      </c>
      <c r="BY1100" s="2">
        <v>19.716669156024601</v>
      </c>
      <c r="BZ1100" s="2">
        <v>18.741855857804101</v>
      </c>
      <c r="CA1100" s="2">
        <v>19.282806187225699</v>
      </c>
      <c r="CB1100" s="2">
        <v>19.217079665382499</v>
      </c>
      <c r="CC1100" s="2">
        <v>18.729652538463899</v>
      </c>
      <c r="CD1100" s="2">
        <v>19.4126214463104</v>
      </c>
      <c r="CE1100" s="2">
        <v>19.03256647517</v>
      </c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</row>
    <row r="1101" spans="1:97">
      <c r="A1101" s="2" t="s">
        <v>10070</v>
      </c>
      <c r="B1101" s="2">
        <v>409.33159000000001</v>
      </c>
      <c r="C1101" s="2">
        <v>13.477</v>
      </c>
      <c r="D1101" s="2" t="s">
        <v>146</v>
      </c>
      <c r="E1101" s="2" t="s">
        <v>10071</v>
      </c>
      <c r="F1101" s="2" t="s">
        <v>10072</v>
      </c>
      <c r="G1101" s="2">
        <v>51371</v>
      </c>
      <c r="H1101" s="3" t="str">
        <f>HYPERLINK("https://cloud.oebiotech.com/#/lm/network/51371", "https://cloud.oebiotech.com/#/lm/network/51371")</f>
        <v>https://cloud.oebiotech.com/#/lm/network/51371</v>
      </c>
      <c r="I1101" s="2" t="s">
        <v>10073</v>
      </c>
      <c r="J1101" s="2">
        <v>62336</v>
      </c>
      <c r="K1101" s="2"/>
      <c r="L1101" s="2">
        <v>53480968</v>
      </c>
      <c r="M1101" s="2"/>
      <c r="N1101" s="2"/>
      <c r="O1101" s="2"/>
      <c r="P1101" s="2"/>
      <c r="Q1101" s="2"/>
      <c r="R1101" s="2"/>
      <c r="S1101" s="2"/>
      <c r="T1101" s="2" t="s">
        <v>10074</v>
      </c>
      <c r="U1101" s="2" t="s">
        <v>10075</v>
      </c>
      <c r="V1101" s="2" t="s">
        <v>95</v>
      </c>
      <c r="W1101" s="2" t="s">
        <v>7709</v>
      </c>
      <c r="X1101" s="2" t="s">
        <v>7710</v>
      </c>
      <c r="Y1101" s="2" t="s">
        <v>98</v>
      </c>
      <c r="Z1101" s="2" t="s">
        <v>7711</v>
      </c>
      <c r="AA1101" s="2" t="s">
        <v>7712</v>
      </c>
      <c r="AB1101" s="2" t="s">
        <v>3086</v>
      </c>
      <c r="AC1101" s="2">
        <v>49.39</v>
      </c>
      <c r="AD1101" s="2">
        <v>83.22</v>
      </c>
      <c r="AE1101" s="2">
        <v>0</v>
      </c>
      <c r="AF1101" s="2" t="s">
        <v>5614</v>
      </c>
      <c r="AG1101" s="2" t="s">
        <v>194</v>
      </c>
      <c r="AH1101" s="2" t="s">
        <v>10076</v>
      </c>
      <c r="AI1101" s="2">
        <v>1.71</v>
      </c>
      <c r="AJ1101" s="2">
        <v>18.295473094937599</v>
      </c>
      <c r="AK1101" s="2">
        <v>18.202229545897101</v>
      </c>
      <c r="AL1101" s="2">
        <v>17.513360199127099</v>
      </c>
      <c r="AM1101" s="2">
        <v>17.726763178883601</v>
      </c>
      <c r="AN1101" s="2">
        <v>17.625341131539901</v>
      </c>
      <c r="AO1101" s="2">
        <v>17.898665977546202</v>
      </c>
      <c r="AP1101" s="2">
        <v>18.117748250109099</v>
      </c>
      <c r="AQ1101" s="2">
        <v>18.2989628073767</v>
      </c>
      <c r="AR1101" s="2">
        <v>17.389761141695299</v>
      </c>
      <c r="AS1101" s="2">
        <v>17.7106286817091</v>
      </c>
      <c r="AT1101" s="2">
        <v>17.767160454102399</v>
      </c>
      <c r="AU1101" s="2">
        <v>16.423760834805201</v>
      </c>
      <c r="AV1101" s="2">
        <v>16.9934149821201</v>
      </c>
      <c r="AW1101" s="2">
        <v>16.525196557779999</v>
      </c>
      <c r="AX1101" s="2">
        <v>17.424068094407701</v>
      </c>
      <c r="AY1101" s="2">
        <v>17.914707810315601</v>
      </c>
      <c r="AZ1101" s="2">
        <v>17.010195126070698</v>
      </c>
      <c r="BA1101" s="2">
        <v>17.5033035421508</v>
      </c>
      <c r="BB1101" s="2">
        <v>17.164569737423498</v>
      </c>
      <c r="BC1101" s="2">
        <v>18.826624360101601</v>
      </c>
      <c r="BD1101" s="2">
        <v>17.114646211968701</v>
      </c>
      <c r="BE1101" s="2">
        <v>18.607617263611299</v>
      </c>
      <c r="BF1101" s="2">
        <v>16.098076508332699</v>
      </c>
      <c r="BG1101" s="2">
        <v>17.508508039231899</v>
      </c>
      <c r="BH1101" s="2">
        <v>17.249226807104499</v>
      </c>
      <c r="BI1101" s="2">
        <v>16.5493205175644</v>
      </c>
      <c r="BJ1101" s="2">
        <v>18.4054049290805</v>
      </c>
      <c r="BK1101" s="2">
        <v>15.880074449972801</v>
      </c>
      <c r="BL1101" s="2">
        <v>17.1076297435939</v>
      </c>
      <c r="BM1101" s="2">
        <v>17.898294751421599</v>
      </c>
      <c r="BN1101" s="2">
        <v>16.665488318228899</v>
      </c>
      <c r="BO1101" s="2">
        <v>17.3167480337924</v>
      </c>
      <c r="BP1101" s="2">
        <v>16.7957994608551</v>
      </c>
      <c r="BQ1101" s="2">
        <v>16.1964851371613</v>
      </c>
      <c r="BR1101" s="2">
        <v>16.986130131546101</v>
      </c>
      <c r="BS1101" s="2">
        <v>18.004735144546</v>
      </c>
      <c r="BT1101" s="2">
        <v>16.857520241477602</v>
      </c>
      <c r="BU1101" s="2">
        <v>18.372921456785502</v>
      </c>
      <c r="BV1101" s="2">
        <v>17.707829985799901</v>
      </c>
      <c r="BW1101" s="2">
        <v>16.801452985355301</v>
      </c>
      <c r="BX1101" s="2">
        <v>17.6301958702885</v>
      </c>
      <c r="BY1101" s="2">
        <v>18.682773464837101</v>
      </c>
      <c r="BZ1101" s="2">
        <v>16.899834594943002</v>
      </c>
      <c r="CA1101" s="2">
        <v>16.1556303849922</v>
      </c>
      <c r="CB1101" s="2">
        <v>17.802542491518299</v>
      </c>
      <c r="CC1101" s="2">
        <v>15.902867329464501</v>
      </c>
      <c r="CD1101" s="2">
        <v>18.412619379058</v>
      </c>
      <c r="CE1101" s="2">
        <v>18.043178393285402</v>
      </c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</row>
    <row r="1102" spans="1:97">
      <c r="A1102" s="2" t="s">
        <v>10077</v>
      </c>
      <c r="B1102" s="2">
        <v>447.31419</v>
      </c>
      <c r="C1102" s="2">
        <v>10.031000000000001</v>
      </c>
      <c r="D1102" s="2" t="s">
        <v>146</v>
      </c>
      <c r="E1102" s="2" t="s">
        <v>10078</v>
      </c>
      <c r="F1102" s="2" t="s">
        <v>10079</v>
      </c>
      <c r="G1102" s="2">
        <v>46372</v>
      </c>
      <c r="H1102" s="3" t="str">
        <f>HYPERLINK("https://cloud.oebiotech.com/#/lm/network/46372", "https://cloud.oebiotech.com/#/lm/network/46372")</f>
        <v>https://cloud.oebiotech.com/#/lm/network/46372</v>
      </c>
      <c r="I1102" s="2"/>
      <c r="J1102" s="2">
        <v>84794</v>
      </c>
      <c r="K1102" s="2" t="s">
        <v>10080</v>
      </c>
      <c r="L1102" s="2">
        <v>5284222</v>
      </c>
      <c r="M1102" s="2"/>
      <c r="N1102" s="2"/>
      <c r="O1102" s="2"/>
      <c r="P1102" s="2"/>
      <c r="Q1102" s="2"/>
      <c r="R1102" s="2"/>
      <c r="S1102" s="2"/>
      <c r="T1102" s="2" t="s">
        <v>10081</v>
      </c>
      <c r="U1102" s="2" t="s">
        <v>10082</v>
      </c>
      <c r="V1102" s="2" t="s">
        <v>95</v>
      </c>
      <c r="W1102" s="2" t="s">
        <v>152</v>
      </c>
      <c r="X1102" s="2" t="s">
        <v>278</v>
      </c>
      <c r="Y1102" s="2" t="s">
        <v>98</v>
      </c>
      <c r="Z1102" s="2" t="s">
        <v>154</v>
      </c>
      <c r="AA1102" s="2" t="s">
        <v>279</v>
      </c>
      <c r="AB1102" s="2" t="s">
        <v>3086</v>
      </c>
      <c r="AC1102" s="2">
        <v>49.39</v>
      </c>
      <c r="AD1102" s="2">
        <v>81.94</v>
      </c>
      <c r="AE1102" s="2">
        <v>0</v>
      </c>
      <c r="AF1102" s="2" t="s">
        <v>5614</v>
      </c>
      <c r="AG1102" s="2" t="s">
        <v>194</v>
      </c>
      <c r="AH1102" s="2" t="s">
        <v>8840</v>
      </c>
      <c r="AI1102" s="2">
        <v>-5.81</v>
      </c>
      <c r="AJ1102" s="2">
        <v>19.8687054395409</v>
      </c>
      <c r="AK1102" s="2">
        <v>19.571012522258702</v>
      </c>
      <c r="AL1102" s="2">
        <v>19.9263146590873</v>
      </c>
      <c r="AM1102" s="2">
        <v>19.866361649326301</v>
      </c>
      <c r="AN1102" s="2">
        <v>19.910693961628201</v>
      </c>
      <c r="AO1102" s="2">
        <v>19.306478417893</v>
      </c>
      <c r="AP1102" s="2">
        <v>19.707639061209999</v>
      </c>
      <c r="AQ1102" s="2">
        <v>19.804372118404601</v>
      </c>
      <c r="AR1102" s="2">
        <v>19.5931010189822</v>
      </c>
      <c r="AS1102" s="2">
        <v>19.830653164035802</v>
      </c>
      <c r="AT1102" s="2">
        <v>19.573659797115901</v>
      </c>
      <c r="AU1102" s="2">
        <v>19.941508479311299</v>
      </c>
      <c r="AV1102" s="2">
        <v>19.774380179547599</v>
      </c>
      <c r="AW1102" s="2">
        <v>19.552379375297001</v>
      </c>
      <c r="AX1102" s="2">
        <v>19.628137493455899</v>
      </c>
      <c r="AY1102" s="2">
        <v>19.813959998554399</v>
      </c>
      <c r="AZ1102" s="2">
        <v>19.759356561440601</v>
      </c>
      <c r="BA1102" s="2">
        <v>19.706507147426301</v>
      </c>
      <c r="BB1102" s="2">
        <v>19.645104693620201</v>
      </c>
      <c r="BC1102" s="2">
        <v>19.3035364469938</v>
      </c>
      <c r="BD1102" s="2">
        <v>19.857329103363998</v>
      </c>
      <c r="BE1102" s="2">
        <v>19.7011308698984</v>
      </c>
      <c r="BF1102" s="2">
        <v>19.8633564042152</v>
      </c>
      <c r="BG1102" s="2">
        <v>19.751301897409199</v>
      </c>
      <c r="BH1102" s="2">
        <v>19.824998940478899</v>
      </c>
      <c r="BI1102" s="2">
        <v>19.810727999604101</v>
      </c>
      <c r="BJ1102" s="2">
        <v>19.650560952345302</v>
      </c>
      <c r="BK1102" s="2">
        <v>19.8779303068</v>
      </c>
      <c r="BL1102" s="2">
        <v>20.146489124857599</v>
      </c>
      <c r="BM1102" s="2">
        <v>20.022481602846199</v>
      </c>
      <c r="BN1102" s="2">
        <v>19.8644485779419</v>
      </c>
      <c r="BO1102" s="2">
        <v>20.004640476954702</v>
      </c>
      <c r="BP1102" s="2">
        <v>19.935011647455301</v>
      </c>
      <c r="BQ1102" s="2">
        <v>20.061065438829001</v>
      </c>
      <c r="BR1102" s="2">
        <v>19.8837139244086</v>
      </c>
      <c r="BS1102" s="2">
        <v>19.858405601213299</v>
      </c>
      <c r="BT1102" s="2">
        <v>19.792486344068202</v>
      </c>
      <c r="BU1102" s="2">
        <v>19.416188560124901</v>
      </c>
      <c r="BV1102" s="2">
        <v>19.799141232499601</v>
      </c>
      <c r="BW1102" s="2">
        <v>19.6215439962393</v>
      </c>
      <c r="BX1102" s="2">
        <v>19.6148465207473</v>
      </c>
      <c r="BY1102" s="2">
        <v>19.009735800360101</v>
      </c>
      <c r="BZ1102" s="2">
        <v>18.842639641651299</v>
      </c>
      <c r="CA1102" s="2">
        <v>19.283638254888601</v>
      </c>
      <c r="CB1102" s="2">
        <v>19.0665309755015</v>
      </c>
      <c r="CC1102" s="2">
        <v>19.302496199113399</v>
      </c>
      <c r="CD1102" s="2">
        <v>19.5614936216625</v>
      </c>
      <c r="CE1102" s="2">
        <v>19.700885885383499</v>
      </c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</row>
    <row r="1103" spans="1:97">
      <c r="A1103" s="2" t="s">
        <v>10083</v>
      </c>
      <c r="B1103" s="2">
        <v>884.61464999999998</v>
      </c>
      <c r="C1103" s="2">
        <v>8.9580000000000002</v>
      </c>
      <c r="D1103" s="2" t="s">
        <v>84</v>
      </c>
      <c r="E1103" s="2" t="s">
        <v>10084</v>
      </c>
      <c r="F1103" s="2" t="s">
        <v>10085</v>
      </c>
      <c r="G1103" s="2">
        <v>49813</v>
      </c>
      <c r="H1103" s="3" t="str">
        <f>HYPERLINK("https://cloud.oebiotech.com/#/lm/network/49813", "https://cloud.oebiotech.com/#/lm/network/49813")</f>
        <v>https://cloud.oebiotech.com/#/lm/network/49813</v>
      </c>
      <c r="I1103" s="2" t="s">
        <v>10086</v>
      </c>
      <c r="J1103" s="2">
        <v>60115</v>
      </c>
      <c r="K1103" s="2"/>
      <c r="L1103" s="2">
        <v>53479301</v>
      </c>
      <c r="M1103" s="2" t="s">
        <v>4595</v>
      </c>
      <c r="N1103" s="2" t="s">
        <v>4596</v>
      </c>
      <c r="O1103" s="2" t="s">
        <v>4597</v>
      </c>
      <c r="P1103" s="2"/>
      <c r="Q1103" s="2"/>
      <c r="R1103" s="2"/>
      <c r="S1103" s="2"/>
      <c r="T1103" s="2" t="s">
        <v>10087</v>
      </c>
      <c r="U1103" s="2" t="s">
        <v>10088</v>
      </c>
      <c r="V1103" s="2" t="s">
        <v>95</v>
      </c>
      <c r="W1103" s="2" t="s">
        <v>202</v>
      </c>
      <c r="X1103" s="2" t="s">
        <v>203</v>
      </c>
      <c r="Y1103" s="2" t="s">
        <v>98</v>
      </c>
      <c r="Z1103" s="2" t="s">
        <v>204</v>
      </c>
      <c r="AA1103" s="2" t="s">
        <v>205</v>
      </c>
      <c r="AB1103" s="2" t="s">
        <v>5118</v>
      </c>
      <c r="AC1103" s="2">
        <v>49.38</v>
      </c>
      <c r="AD1103" s="2">
        <v>87.47</v>
      </c>
      <c r="AE1103" s="2">
        <v>74.290000000000006</v>
      </c>
      <c r="AF1103" s="2" t="s">
        <v>10089</v>
      </c>
      <c r="AG1103" s="2" t="s">
        <v>1578</v>
      </c>
      <c r="AH1103" s="2" t="s">
        <v>10090</v>
      </c>
      <c r="AI1103" s="2">
        <v>-0.68</v>
      </c>
      <c r="AJ1103" s="2">
        <v>18.2759497842498</v>
      </c>
      <c r="AK1103" s="2">
        <v>18.5305133281366</v>
      </c>
      <c r="AL1103" s="2">
        <v>18.518727372163401</v>
      </c>
      <c r="AM1103" s="2">
        <v>18.7333109082631</v>
      </c>
      <c r="AN1103" s="2">
        <v>18.762507980926198</v>
      </c>
      <c r="AO1103" s="2">
        <v>18.6180736503741</v>
      </c>
      <c r="AP1103" s="2">
        <v>18.6161677671838</v>
      </c>
      <c r="AQ1103" s="2">
        <v>18.692017296693201</v>
      </c>
      <c r="AR1103" s="2">
        <v>17.946966054345499</v>
      </c>
      <c r="AS1103" s="2">
        <v>9.6233145402724691</v>
      </c>
      <c r="AT1103" s="2">
        <v>18.329485277868201</v>
      </c>
      <c r="AU1103" s="2">
        <v>18.581876061716301</v>
      </c>
      <c r="AV1103" s="2">
        <v>17.4974380379176</v>
      </c>
      <c r="AW1103" s="2">
        <v>20.609168004623001</v>
      </c>
      <c r="AX1103" s="2">
        <v>16.7532833552666</v>
      </c>
      <c r="AY1103" s="2">
        <v>18.438304873814399</v>
      </c>
      <c r="AZ1103" s="2">
        <v>14.957439906865201</v>
      </c>
      <c r="BA1103" s="2">
        <v>9.6233145402724691</v>
      </c>
      <c r="BB1103" s="2">
        <v>20.140023862454999</v>
      </c>
      <c r="BC1103" s="2">
        <v>16.633109890473602</v>
      </c>
      <c r="BD1103" s="2">
        <v>16.038923489136099</v>
      </c>
      <c r="BE1103" s="2">
        <v>14.968838211033299</v>
      </c>
      <c r="BF1103" s="2">
        <v>16.245125754198401</v>
      </c>
      <c r="BG1103" s="2">
        <v>9.6233145402724691</v>
      </c>
      <c r="BH1103" s="2">
        <v>17.6540708967919</v>
      </c>
      <c r="BI1103" s="2">
        <v>9.6233145402724691</v>
      </c>
      <c r="BJ1103" s="2">
        <v>17.6098802304294</v>
      </c>
      <c r="BK1103" s="2">
        <v>19.839273046206198</v>
      </c>
      <c r="BL1103" s="2">
        <v>9.6233145402724691</v>
      </c>
      <c r="BM1103" s="2">
        <v>19.301982724213001</v>
      </c>
      <c r="BN1103" s="2">
        <v>19.069644336038401</v>
      </c>
      <c r="BO1103" s="2">
        <v>9.6233145402724691</v>
      </c>
      <c r="BP1103" s="2">
        <v>9.6233145402724691</v>
      </c>
      <c r="BQ1103" s="2">
        <v>19.323074161207501</v>
      </c>
      <c r="BR1103" s="2">
        <v>18.567024576234701</v>
      </c>
      <c r="BS1103" s="2">
        <v>17.215068527185199</v>
      </c>
      <c r="BT1103" s="2">
        <v>16.291730275577301</v>
      </c>
      <c r="BU1103" s="2">
        <v>9.6233145402724691</v>
      </c>
      <c r="BV1103" s="2">
        <v>19.6905687115201</v>
      </c>
      <c r="BW1103" s="2">
        <v>15.692985390048401</v>
      </c>
      <c r="BX1103" s="2">
        <v>16.3275668534347</v>
      </c>
      <c r="BY1103" s="2">
        <v>16.783734157959099</v>
      </c>
      <c r="BZ1103" s="2">
        <v>14.2164988209834</v>
      </c>
      <c r="CA1103" s="2">
        <v>18.091433991646099</v>
      </c>
      <c r="CB1103" s="2">
        <v>17.652487545277001</v>
      </c>
      <c r="CC1103" s="2">
        <v>15.2547636480334</v>
      </c>
      <c r="CD1103" s="2">
        <v>17.430255621460098</v>
      </c>
      <c r="CE1103" s="2">
        <v>17.893270123267602</v>
      </c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</row>
    <row r="1104" spans="1:97">
      <c r="A1104" s="2" t="s">
        <v>10091</v>
      </c>
      <c r="B1104" s="2">
        <v>409.18283000000002</v>
      </c>
      <c r="C1104" s="2">
        <v>4.2770000000000001</v>
      </c>
      <c r="D1104" s="2" t="s">
        <v>84</v>
      </c>
      <c r="E1104" s="2" t="s">
        <v>10092</v>
      </c>
      <c r="F1104" s="2" t="s">
        <v>10093</v>
      </c>
      <c r="G1104" s="2">
        <v>54663</v>
      </c>
      <c r="H1104" s="3" t="str">
        <f>HYPERLINK("https://cloud.oebiotech.com/#/lm/network/54663", "https://cloud.oebiotech.com/#/lm/network/54663")</f>
        <v>https://cloud.oebiotech.com/#/lm/network/54663</v>
      </c>
      <c r="I1104" s="2" t="s">
        <v>10094</v>
      </c>
      <c r="J1104" s="2">
        <v>86479</v>
      </c>
      <c r="K1104" s="2"/>
      <c r="L1104" s="2">
        <v>13857517</v>
      </c>
      <c r="M1104" s="2"/>
      <c r="N1104" s="2"/>
      <c r="O1104" s="2"/>
      <c r="P1104" s="2">
        <v>168230</v>
      </c>
      <c r="Q1104" s="2"/>
      <c r="R1104" s="2"/>
      <c r="S1104" s="2"/>
      <c r="T1104" s="2" t="s">
        <v>10095</v>
      </c>
      <c r="U1104" s="2" t="s">
        <v>10096</v>
      </c>
      <c r="V1104" s="2" t="s">
        <v>95</v>
      </c>
      <c r="W1104" s="2" t="s">
        <v>96</v>
      </c>
      <c r="X1104" s="2" t="s">
        <v>2173</v>
      </c>
      <c r="Y1104" s="2" t="s">
        <v>98</v>
      </c>
      <c r="Z1104" s="2" t="s">
        <v>99</v>
      </c>
      <c r="AA1104" s="2" t="s">
        <v>2174</v>
      </c>
      <c r="AB1104" s="2" t="s">
        <v>3086</v>
      </c>
      <c r="AC1104" s="2">
        <v>49.36</v>
      </c>
      <c r="AD1104" s="2">
        <v>75.2</v>
      </c>
      <c r="AE1104" s="2">
        <v>0</v>
      </c>
      <c r="AF1104" s="2" t="s">
        <v>5614</v>
      </c>
      <c r="AG1104" s="2" t="s">
        <v>1578</v>
      </c>
      <c r="AH1104" s="2" t="s">
        <v>10097</v>
      </c>
      <c r="AI1104" s="2">
        <v>1.22</v>
      </c>
      <c r="AJ1104" s="2">
        <v>17.607771840334799</v>
      </c>
      <c r="AK1104" s="2">
        <v>17.452837654413901</v>
      </c>
      <c r="AL1104" s="2">
        <v>17.243686855496701</v>
      </c>
      <c r="AM1104" s="2">
        <v>18.1059841412998</v>
      </c>
      <c r="AN1104" s="2">
        <v>17.889630928011901</v>
      </c>
      <c r="AO1104" s="2">
        <v>17.512421505293201</v>
      </c>
      <c r="AP1104" s="2">
        <v>17.672670701366201</v>
      </c>
      <c r="AQ1104" s="2">
        <v>18.026432720101901</v>
      </c>
      <c r="AR1104" s="2">
        <v>15.4022013453952</v>
      </c>
      <c r="AS1104" s="2">
        <v>16.455184799802201</v>
      </c>
      <c r="AT1104" s="2">
        <v>17.6981289278683</v>
      </c>
      <c r="AU1104" s="2">
        <v>17.565832168683102</v>
      </c>
      <c r="AV1104" s="2">
        <v>17.557310745198599</v>
      </c>
      <c r="AW1104" s="2">
        <v>17.940225433579201</v>
      </c>
      <c r="AX1104" s="2">
        <v>17.4365405958076</v>
      </c>
      <c r="AY1104" s="2">
        <v>17.545291663657999</v>
      </c>
      <c r="AZ1104" s="2">
        <v>15.767398238932</v>
      </c>
      <c r="BA1104" s="2">
        <v>16.3576653979712</v>
      </c>
      <c r="BB1104" s="2">
        <v>14.3275259792378</v>
      </c>
      <c r="BC1104" s="2">
        <v>14.1063020213202</v>
      </c>
      <c r="BD1104" s="2">
        <v>18.1500677533245</v>
      </c>
      <c r="BE1104" s="2">
        <v>18.3465671874477</v>
      </c>
      <c r="BF1104" s="2">
        <v>17.725121576030499</v>
      </c>
      <c r="BG1104" s="2">
        <v>14.178041550544</v>
      </c>
      <c r="BH1104" s="2">
        <v>17.626488332644701</v>
      </c>
      <c r="BI1104" s="2">
        <v>17.6048379091424</v>
      </c>
      <c r="BJ1104" s="2">
        <v>9.6233145402724691</v>
      </c>
      <c r="BK1104" s="2">
        <v>17.6743773250682</v>
      </c>
      <c r="BL1104" s="2">
        <v>17.59291817163</v>
      </c>
      <c r="BM1104" s="2">
        <v>18.8127414688391</v>
      </c>
      <c r="BN1104" s="2">
        <v>17.9873873221384</v>
      </c>
      <c r="BO1104" s="2">
        <v>16.666436645929199</v>
      </c>
      <c r="BP1104" s="2">
        <v>17.905010979950202</v>
      </c>
      <c r="BQ1104" s="2">
        <v>17.658669924234498</v>
      </c>
      <c r="BR1104" s="2">
        <v>14.441772515217</v>
      </c>
      <c r="BS1104" s="2">
        <v>18.384590603380001</v>
      </c>
      <c r="BT1104" s="2">
        <v>16.052699434332801</v>
      </c>
      <c r="BU1104" s="2">
        <v>17.647139794242399</v>
      </c>
      <c r="BV1104" s="2">
        <v>9.6233145402724691</v>
      </c>
      <c r="BW1104" s="2">
        <v>13.9090614573648</v>
      </c>
      <c r="BX1104" s="2">
        <v>17.915443172073498</v>
      </c>
      <c r="BY1104" s="2">
        <v>18.546753790866202</v>
      </c>
      <c r="BZ1104" s="2">
        <v>14.9556349247793</v>
      </c>
      <c r="CA1104" s="2">
        <v>18.693197869536199</v>
      </c>
      <c r="CB1104" s="2">
        <v>16.0856784667019</v>
      </c>
      <c r="CC1104" s="2">
        <v>16.715055196226899</v>
      </c>
      <c r="CD1104" s="2">
        <v>18.0061213549019</v>
      </c>
      <c r="CE1104" s="2">
        <v>18.286761330112299</v>
      </c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</row>
    <row r="1105" spans="1:97">
      <c r="A1105" s="2" t="s">
        <v>10098</v>
      </c>
      <c r="B1105" s="2">
        <v>387.25119999999998</v>
      </c>
      <c r="C1105" s="2">
        <v>11.435</v>
      </c>
      <c r="D1105" s="2" t="s">
        <v>146</v>
      </c>
      <c r="E1105" s="2" t="s">
        <v>10099</v>
      </c>
      <c r="F1105" s="2" t="s">
        <v>10100</v>
      </c>
      <c r="G1105" s="2">
        <v>57636</v>
      </c>
      <c r="H1105" s="3" t="str">
        <f>HYPERLINK("https://cloud.oebiotech.com/#/lm/network/57636", "https://cloud.oebiotech.com/#/lm/network/57636")</f>
        <v>https://cloud.oebiotech.com/#/lm/network/57636</v>
      </c>
      <c r="I1105" s="2" t="s">
        <v>10101</v>
      </c>
      <c r="J1105" s="2">
        <v>89239</v>
      </c>
      <c r="K1105" s="2"/>
      <c r="L1105" s="2">
        <v>131751014</v>
      </c>
      <c r="M1105" s="2"/>
      <c r="N1105" s="2"/>
      <c r="O1105" s="2"/>
      <c r="P1105" s="2"/>
      <c r="Q1105" s="2"/>
      <c r="R1105" s="2"/>
      <c r="S1105" s="2" t="s">
        <v>10102</v>
      </c>
      <c r="T1105" s="2" t="s">
        <v>10103</v>
      </c>
      <c r="U1105" s="2" t="s">
        <v>10104</v>
      </c>
      <c r="V1105" s="2" t="s">
        <v>95</v>
      </c>
      <c r="W1105" s="2" t="s">
        <v>180</v>
      </c>
      <c r="X1105" s="2" t="s">
        <v>3643</v>
      </c>
      <c r="Y1105" s="2" t="s">
        <v>98</v>
      </c>
      <c r="Z1105" s="2" t="s">
        <v>182</v>
      </c>
      <c r="AA1105" s="2" t="s">
        <v>3644</v>
      </c>
      <c r="AB1105" s="2" t="s">
        <v>3086</v>
      </c>
      <c r="AC1105" s="2">
        <v>49.32</v>
      </c>
      <c r="AD1105" s="2">
        <v>96.06</v>
      </c>
      <c r="AE1105" s="2">
        <v>0</v>
      </c>
      <c r="AF1105" s="2" t="s">
        <v>10105</v>
      </c>
      <c r="AG1105" s="2" t="s">
        <v>993</v>
      </c>
      <c r="AH1105" s="2" t="s">
        <v>10106</v>
      </c>
      <c r="AI1105" s="2">
        <v>5.94</v>
      </c>
      <c r="AJ1105" s="2">
        <v>19.407445741318298</v>
      </c>
      <c r="AK1105" s="2">
        <v>19.181284110534001</v>
      </c>
      <c r="AL1105" s="2">
        <v>18.937353473524102</v>
      </c>
      <c r="AM1105" s="2">
        <v>19.315105791149101</v>
      </c>
      <c r="AN1105" s="2">
        <v>19.062709965038199</v>
      </c>
      <c r="AO1105" s="2">
        <v>18.9662362395235</v>
      </c>
      <c r="AP1105" s="2">
        <v>19.148295762271001</v>
      </c>
      <c r="AQ1105" s="2">
        <v>19.266592303189899</v>
      </c>
      <c r="AR1105" s="2">
        <v>18.885473943488101</v>
      </c>
      <c r="AS1105" s="2">
        <v>18.1344528430559</v>
      </c>
      <c r="AT1105" s="2">
        <v>18.212673680866398</v>
      </c>
      <c r="AU1105" s="2">
        <v>18.414619672283202</v>
      </c>
      <c r="AV1105" s="2">
        <v>18.466137496712701</v>
      </c>
      <c r="AW1105" s="2">
        <v>19.314145190862899</v>
      </c>
      <c r="AX1105" s="2">
        <v>18.260771266201001</v>
      </c>
      <c r="AY1105" s="2">
        <v>20.371769339399801</v>
      </c>
      <c r="AZ1105" s="2">
        <v>19.882020484771701</v>
      </c>
      <c r="BA1105" s="2">
        <v>18.4417628313861</v>
      </c>
      <c r="BB1105" s="2">
        <v>18.7383495638345</v>
      </c>
      <c r="BC1105" s="2">
        <v>19.0771297956735</v>
      </c>
      <c r="BD1105" s="2">
        <v>18.568444813377099</v>
      </c>
      <c r="BE1105" s="2">
        <v>20.2257718444252</v>
      </c>
      <c r="BF1105" s="2">
        <v>18.496697378147701</v>
      </c>
      <c r="BG1105" s="2">
        <v>18.538232439033099</v>
      </c>
      <c r="BH1105" s="2">
        <v>18.951745957539401</v>
      </c>
      <c r="BI1105" s="2">
        <v>18.945110181428799</v>
      </c>
      <c r="BJ1105" s="2">
        <v>19.522840661793801</v>
      </c>
      <c r="BK1105" s="2">
        <v>18.156698950940498</v>
      </c>
      <c r="BL1105" s="2">
        <v>18.8296890453854</v>
      </c>
      <c r="BM1105" s="2">
        <v>19.147535266192101</v>
      </c>
      <c r="BN1105" s="2">
        <v>18.246673944665201</v>
      </c>
      <c r="BO1105" s="2">
        <v>18.576528596265401</v>
      </c>
      <c r="BP1105" s="2">
        <v>18.860118755116599</v>
      </c>
      <c r="BQ1105" s="2">
        <v>18.727324281327199</v>
      </c>
      <c r="BR1105" s="2">
        <v>18.432405042737201</v>
      </c>
      <c r="BS1105" s="2">
        <v>20.2345603603477</v>
      </c>
      <c r="BT1105" s="2">
        <v>19.695534627047401</v>
      </c>
      <c r="BU1105" s="2">
        <v>18.241533261150199</v>
      </c>
      <c r="BV1105" s="2">
        <v>18.926645725775099</v>
      </c>
      <c r="BW1105" s="2">
        <v>18.257933520062899</v>
      </c>
      <c r="BX1105" s="2">
        <v>18.467951003171301</v>
      </c>
      <c r="BY1105" s="2">
        <v>20.441567986190801</v>
      </c>
      <c r="BZ1105" s="2">
        <v>18.259655648343401</v>
      </c>
      <c r="CA1105" s="2">
        <v>18.380724511457</v>
      </c>
      <c r="CB1105" s="2">
        <v>18.571964126905598</v>
      </c>
      <c r="CC1105" s="2">
        <v>18.536756334653301</v>
      </c>
      <c r="CD1105" s="2">
        <v>19.2871555496138</v>
      </c>
      <c r="CE1105" s="2">
        <v>18.403720535883298</v>
      </c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</row>
    <row r="1106" spans="1:97">
      <c r="A1106" s="2" t="s">
        <v>10107</v>
      </c>
      <c r="B1106" s="2">
        <v>259.16869000000003</v>
      </c>
      <c r="C1106" s="2">
        <v>8.8130000000000006</v>
      </c>
      <c r="D1106" s="2" t="s">
        <v>84</v>
      </c>
      <c r="E1106" s="2" t="s">
        <v>10108</v>
      </c>
      <c r="F1106" s="2" t="s">
        <v>10109</v>
      </c>
      <c r="G1106" s="2">
        <v>270022</v>
      </c>
      <c r="H1106" s="3" t="str">
        <f>HYPERLINK("https://cloud.oebiotech.com/#/lm/network/270022", "https://cloud.oebiotech.com/#/lm/network/270022")</f>
        <v>https://cloud.oebiotech.com/#/lm/network/270022</v>
      </c>
      <c r="I1106" s="2"/>
      <c r="J1106" s="2">
        <v>53457</v>
      </c>
      <c r="K1106" s="2"/>
      <c r="L1106" s="2">
        <v>46173924</v>
      </c>
      <c r="M1106" s="2" t="s">
        <v>10110</v>
      </c>
      <c r="N1106" s="2"/>
      <c r="O1106" s="2"/>
      <c r="P1106" s="2"/>
      <c r="Q1106" s="2"/>
      <c r="R1106" s="2"/>
      <c r="S1106" s="2"/>
      <c r="T1106" s="2" t="s">
        <v>10111</v>
      </c>
      <c r="U1106" s="2" t="s">
        <v>10112</v>
      </c>
      <c r="V1106" s="2" t="s">
        <v>95</v>
      </c>
      <c r="W1106" s="2" t="s">
        <v>180</v>
      </c>
      <c r="X1106" s="2" t="s">
        <v>181</v>
      </c>
      <c r="Y1106" s="2" t="s">
        <v>98</v>
      </c>
      <c r="Z1106" s="2" t="s">
        <v>182</v>
      </c>
      <c r="AA1106" s="2" t="s">
        <v>183</v>
      </c>
      <c r="AB1106" s="2" t="s">
        <v>3086</v>
      </c>
      <c r="AC1106" s="2">
        <v>49.31</v>
      </c>
      <c r="AD1106" s="2">
        <v>89.7</v>
      </c>
      <c r="AE1106" s="2">
        <v>0</v>
      </c>
      <c r="AF1106" s="2" t="s">
        <v>5614</v>
      </c>
      <c r="AG1106" s="2" t="s">
        <v>1088</v>
      </c>
      <c r="AH1106" s="2" t="s">
        <v>6283</v>
      </c>
      <c r="AI1106" s="2">
        <v>4.24</v>
      </c>
      <c r="AJ1106" s="2">
        <v>18.3381481660068</v>
      </c>
      <c r="AK1106" s="2">
        <v>18.887483592700601</v>
      </c>
      <c r="AL1106" s="2">
        <v>18.550762564774001</v>
      </c>
      <c r="AM1106" s="2">
        <v>18.983233315284199</v>
      </c>
      <c r="AN1106" s="2">
        <v>17.7625716940262</v>
      </c>
      <c r="AO1106" s="2">
        <v>18.8920519590468</v>
      </c>
      <c r="AP1106" s="2">
        <v>18.672877529087501</v>
      </c>
      <c r="AQ1106" s="2">
        <v>18.7051334387981</v>
      </c>
      <c r="AR1106" s="2">
        <v>18.774743055496199</v>
      </c>
      <c r="AS1106" s="2">
        <v>18.0170836189432</v>
      </c>
      <c r="AT1106" s="2">
        <v>18.462203410908501</v>
      </c>
      <c r="AU1106" s="2">
        <v>18.977027952046001</v>
      </c>
      <c r="AV1106" s="2">
        <v>18.419673971615001</v>
      </c>
      <c r="AW1106" s="2">
        <v>18.5755530586117</v>
      </c>
      <c r="AX1106" s="2">
        <v>18.8142417281509</v>
      </c>
      <c r="AY1106" s="2">
        <v>19.057033814504099</v>
      </c>
      <c r="AZ1106" s="2">
        <v>19.048559138908999</v>
      </c>
      <c r="BA1106" s="2">
        <v>18.201471093589401</v>
      </c>
      <c r="BB1106" s="2">
        <v>18.046939440663401</v>
      </c>
      <c r="BC1106" s="2">
        <v>18.1561160197937</v>
      </c>
      <c r="BD1106" s="2">
        <v>18.970631702431898</v>
      </c>
      <c r="BE1106" s="2">
        <v>18.879478432172601</v>
      </c>
      <c r="BF1106" s="2">
        <v>18.7262394171571</v>
      </c>
      <c r="BG1106" s="2">
        <v>18.756526418085599</v>
      </c>
      <c r="BH1106" s="2">
        <v>18.105980254927701</v>
      </c>
      <c r="BI1106" s="2">
        <v>18.8641794025643</v>
      </c>
      <c r="BJ1106" s="2">
        <v>18.683466327717198</v>
      </c>
      <c r="BK1106" s="2">
        <v>18.631062421819902</v>
      </c>
      <c r="BL1106" s="2">
        <v>17.370355706818099</v>
      </c>
      <c r="BM1106" s="2">
        <v>18.618898559497701</v>
      </c>
      <c r="BN1106" s="2">
        <v>18.325795175292601</v>
      </c>
      <c r="BO1106" s="2">
        <v>18.7569823771519</v>
      </c>
      <c r="BP1106" s="2">
        <v>18.351463889221701</v>
      </c>
      <c r="BQ1106" s="2">
        <v>18.364189683730199</v>
      </c>
      <c r="BR1106" s="2">
        <v>18.067915479992902</v>
      </c>
      <c r="BS1106" s="2">
        <v>17.6166788498996</v>
      </c>
      <c r="BT1106" s="2">
        <v>18.0950151060173</v>
      </c>
      <c r="BU1106" s="2">
        <v>18.437756988673002</v>
      </c>
      <c r="BV1106" s="2">
        <v>18.4697640608798</v>
      </c>
      <c r="BW1106" s="2">
        <v>18.316718075423701</v>
      </c>
      <c r="BX1106" s="2">
        <v>18.5807533857507</v>
      </c>
      <c r="BY1106" s="2">
        <v>18.4869816163739</v>
      </c>
      <c r="BZ1106" s="2">
        <v>18.290485367965999</v>
      </c>
      <c r="CA1106" s="2">
        <v>18.411644463568202</v>
      </c>
      <c r="CB1106" s="2">
        <v>18.7630770170144</v>
      </c>
      <c r="CC1106" s="2">
        <v>18.344316715867301</v>
      </c>
      <c r="CD1106" s="2">
        <v>18.406848524666799</v>
      </c>
      <c r="CE1106" s="2">
        <v>18.476076429181099</v>
      </c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</row>
    <row r="1107" spans="1:97">
      <c r="A1107" s="2" t="s">
        <v>10113</v>
      </c>
      <c r="B1107" s="2">
        <v>448.30626000000001</v>
      </c>
      <c r="C1107" s="2">
        <v>8.1189999999999998</v>
      </c>
      <c r="D1107" s="2" t="s">
        <v>146</v>
      </c>
      <c r="E1107" s="2" t="s">
        <v>10114</v>
      </c>
      <c r="F1107" s="2" t="s">
        <v>10115</v>
      </c>
      <c r="G1107" s="2">
        <v>198867</v>
      </c>
      <c r="H1107" s="3" t="str">
        <f>HYPERLINK("https://cloud.oebiotech.com/#/lm/network/198867", "https://cloud.oebiotech.com/#/lm/network/198867")</f>
        <v>https://cloud.oebiotech.com/#/lm/network/198867</v>
      </c>
      <c r="I1107" s="2" t="s">
        <v>10116</v>
      </c>
      <c r="J1107" s="2"/>
      <c r="K1107" s="2"/>
      <c r="L1107" s="2">
        <v>3493</v>
      </c>
      <c r="M1107" s="2"/>
      <c r="N1107" s="2"/>
      <c r="O1107" s="2"/>
      <c r="P1107" s="2">
        <v>91852</v>
      </c>
      <c r="Q1107" s="2"/>
      <c r="R1107" s="2"/>
      <c r="S1107" s="2"/>
      <c r="T1107" s="2" t="s">
        <v>10117</v>
      </c>
      <c r="U1107" s="2" t="s">
        <v>10118</v>
      </c>
      <c r="V1107" s="2" t="s">
        <v>95</v>
      </c>
      <c r="W1107" s="2" t="s">
        <v>152</v>
      </c>
      <c r="X1107" s="2" t="s">
        <v>278</v>
      </c>
      <c r="Y1107" s="2" t="s">
        <v>98</v>
      </c>
      <c r="Z1107" s="2" t="s">
        <v>154</v>
      </c>
      <c r="AA1107" s="2" t="s">
        <v>279</v>
      </c>
      <c r="AB1107" s="2" t="s">
        <v>5118</v>
      </c>
      <c r="AC1107" s="2">
        <v>49.31</v>
      </c>
      <c r="AD1107" s="2">
        <v>82.67</v>
      </c>
      <c r="AE1107" s="2">
        <v>65.56</v>
      </c>
      <c r="AF1107" s="2" t="s">
        <v>10119</v>
      </c>
      <c r="AG1107" s="2" t="s">
        <v>194</v>
      </c>
      <c r="AH1107" s="2" t="s">
        <v>582</v>
      </c>
      <c r="AI1107" s="2">
        <v>1.34</v>
      </c>
      <c r="AJ1107" s="2">
        <v>16.5404790714475</v>
      </c>
      <c r="AK1107" s="2">
        <v>15.733350368197099</v>
      </c>
      <c r="AL1107" s="2">
        <v>16.0936653515665</v>
      </c>
      <c r="AM1107" s="2">
        <v>17.0749453730906</v>
      </c>
      <c r="AN1107" s="2">
        <v>16.468852309458999</v>
      </c>
      <c r="AO1107" s="2">
        <v>16.847503468926501</v>
      </c>
      <c r="AP1107" s="2">
        <v>16.316668320180298</v>
      </c>
      <c r="AQ1107" s="2">
        <v>16.663324742541299</v>
      </c>
      <c r="AR1107" s="2">
        <v>17.7333816837859</v>
      </c>
      <c r="AS1107" s="2">
        <v>9.6233145402724691</v>
      </c>
      <c r="AT1107" s="2">
        <v>12.1180618247328</v>
      </c>
      <c r="AU1107" s="2">
        <v>19.693279574920599</v>
      </c>
      <c r="AV1107" s="2">
        <v>17.7412574164604</v>
      </c>
      <c r="AW1107" s="2">
        <v>17.3094673831548</v>
      </c>
      <c r="AX1107" s="2">
        <v>9.6233145402724691</v>
      </c>
      <c r="AY1107" s="2">
        <v>19.697866146897098</v>
      </c>
      <c r="AZ1107" s="2">
        <v>14.941950384139201</v>
      </c>
      <c r="BA1107" s="2">
        <v>9.6233145402724691</v>
      </c>
      <c r="BB1107" s="2">
        <v>12.605474888095801</v>
      </c>
      <c r="BC1107" s="2">
        <v>9.6233145402724691</v>
      </c>
      <c r="BD1107" s="2">
        <v>12.8754613979164</v>
      </c>
      <c r="BE1107" s="2">
        <v>20.2543928995544</v>
      </c>
      <c r="BF1107" s="2">
        <v>11.796274899856501</v>
      </c>
      <c r="BG1107" s="2">
        <v>9.6233145402724691</v>
      </c>
      <c r="BH1107" s="2">
        <v>14.8295042334742</v>
      </c>
      <c r="BI1107" s="2">
        <v>13.3326450045417</v>
      </c>
      <c r="BJ1107" s="2">
        <v>17.920019919587499</v>
      </c>
      <c r="BK1107" s="2">
        <v>9.6233145402724691</v>
      </c>
      <c r="BL1107" s="2">
        <v>12.7606243189766</v>
      </c>
      <c r="BM1107" s="2">
        <v>18.220403127582198</v>
      </c>
      <c r="BN1107" s="2">
        <v>15.6281518789767</v>
      </c>
      <c r="BO1107" s="2">
        <v>16.424555063218801</v>
      </c>
      <c r="BP1107" s="2">
        <v>9.6233145402724691</v>
      </c>
      <c r="BQ1107" s="2">
        <v>19.042058315255499</v>
      </c>
      <c r="BR1107" s="2">
        <v>9.6233145402724691</v>
      </c>
      <c r="BS1107" s="2">
        <v>19.6797386061683</v>
      </c>
      <c r="BT1107" s="2">
        <v>11.758119090368799</v>
      </c>
      <c r="BU1107" s="2">
        <v>9.6233145402724691</v>
      </c>
      <c r="BV1107" s="2">
        <v>15.470817724441201</v>
      </c>
      <c r="BW1107" s="2">
        <v>9.6233145402724691</v>
      </c>
      <c r="BX1107" s="2">
        <v>15.503281022765201</v>
      </c>
      <c r="BY1107" s="2">
        <v>18.283858984207299</v>
      </c>
      <c r="BZ1107" s="2">
        <v>9.6233145402724691</v>
      </c>
      <c r="CA1107" s="2">
        <v>9.6233145402724691</v>
      </c>
      <c r="CB1107" s="2">
        <v>16.211471794607601</v>
      </c>
      <c r="CC1107" s="2">
        <v>15.226020004617901</v>
      </c>
      <c r="CD1107" s="2">
        <v>15.7716996580748</v>
      </c>
      <c r="CE1107" s="2">
        <v>9.6233145402724691</v>
      </c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</row>
    <row r="1108" spans="1:97">
      <c r="A1108" s="2" t="s">
        <v>10120</v>
      </c>
      <c r="B1108" s="2">
        <v>222.02869000000001</v>
      </c>
      <c r="C1108" s="2">
        <v>3.7290000000000001</v>
      </c>
      <c r="D1108" s="2" t="s">
        <v>84</v>
      </c>
      <c r="E1108" s="2" t="s">
        <v>10121</v>
      </c>
      <c r="F1108" s="2" t="s">
        <v>10122</v>
      </c>
      <c r="G1108" s="2">
        <v>199214</v>
      </c>
      <c r="H1108" s="3" t="str">
        <f>HYPERLINK("https://cloud.oebiotech.com/#/lm/network/199214", "https://cloud.oebiotech.com/#/lm/network/199214")</f>
        <v>https://cloud.oebiotech.com/#/lm/network/199214</v>
      </c>
      <c r="I1108" s="2" t="s">
        <v>10123</v>
      </c>
      <c r="J1108" s="2"/>
      <c r="K1108" s="2"/>
      <c r="L1108" s="2">
        <v>2757760</v>
      </c>
      <c r="M1108" s="2"/>
      <c r="N1108" s="2"/>
      <c r="O1108" s="2"/>
      <c r="P1108" s="2"/>
      <c r="Q1108" s="2"/>
      <c r="R1108" s="2"/>
      <c r="S1108" s="2"/>
      <c r="T1108" s="2" t="s">
        <v>10124</v>
      </c>
      <c r="U1108" s="2" t="s">
        <v>10125</v>
      </c>
      <c r="V1108" s="2" t="s">
        <v>115</v>
      </c>
      <c r="W1108" s="2" t="s">
        <v>116</v>
      </c>
      <c r="X1108" s="2" t="s">
        <v>117</v>
      </c>
      <c r="Y1108" s="2" t="s">
        <v>118</v>
      </c>
      <c r="Z1108" s="2" t="s">
        <v>119</v>
      </c>
      <c r="AA1108" s="2" t="s">
        <v>120</v>
      </c>
      <c r="AB1108" s="2" t="s">
        <v>3086</v>
      </c>
      <c r="AC1108" s="2">
        <v>49.3</v>
      </c>
      <c r="AD1108" s="2">
        <v>73.180000000000007</v>
      </c>
      <c r="AE1108" s="2">
        <v>0</v>
      </c>
      <c r="AF1108" s="2" t="s">
        <v>5614</v>
      </c>
      <c r="AG1108" s="2" t="s">
        <v>1578</v>
      </c>
      <c r="AH1108" s="2" t="s">
        <v>10126</v>
      </c>
      <c r="AI1108" s="2">
        <v>2.25</v>
      </c>
      <c r="AJ1108" s="2">
        <v>21.098554784987702</v>
      </c>
      <c r="AK1108" s="2">
        <v>20.411167643402401</v>
      </c>
      <c r="AL1108" s="2">
        <v>20.480171856361899</v>
      </c>
      <c r="AM1108" s="2">
        <v>20.951819044747801</v>
      </c>
      <c r="AN1108" s="2">
        <v>21.196193060581599</v>
      </c>
      <c r="AO1108" s="2">
        <v>21.248461515234101</v>
      </c>
      <c r="AP1108" s="2">
        <v>20.7392881173867</v>
      </c>
      <c r="AQ1108" s="2">
        <v>20.7450023023491</v>
      </c>
      <c r="AR1108" s="2">
        <v>20.329045056436598</v>
      </c>
      <c r="AS1108" s="2">
        <v>20.991499301021602</v>
      </c>
      <c r="AT1108" s="2">
        <v>20.8142688089182</v>
      </c>
      <c r="AU1108" s="2">
        <v>21.336035755187499</v>
      </c>
      <c r="AV1108" s="2">
        <v>21.499162115735601</v>
      </c>
      <c r="AW1108" s="2">
        <v>21.501959140335799</v>
      </c>
      <c r="AX1108" s="2">
        <v>20.138113014072299</v>
      </c>
      <c r="AY1108" s="2">
        <v>20.4921146648019</v>
      </c>
      <c r="AZ1108" s="2">
        <v>20.2429682046224</v>
      </c>
      <c r="BA1108" s="2">
        <v>20.9803374492007</v>
      </c>
      <c r="BB1108" s="2">
        <v>20.6214093478658</v>
      </c>
      <c r="BC1108" s="2">
        <v>20.714343758673401</v>
      </c>
      <c r="BD1108" s="2">
        <v>21.028490732721099</v>
      </c>
      <c r="BE1108" s="2">
        <v>20.194032204242902</v>
      </c>
      <c r="BF1108" s="2">
        <v>21.006220288644499</v>
      </c>
      <c r="BG1108" s="2">
        <v>20.394232398360501</v>
      </c>
      <c r="BH1108" s="2">
        <v>20.549247021540101</v>
      </c>
      <c r="BI1108" s="2">
        <v>21.553047368346899</v>
      </c>
      <c r="BJ1108" s="2">
        <v>20.4284384565638</v>
      </c>
      <c r="BK1108" s="2">
        <v>20.321302988285801</v>
      </c>
      <c r="BL1108" s="2">
        <v>20.955755406647999</v>
      </c>
      <c r="BM1108" s="2">
        <v>21.164563231468598</v>
      </c>
      <c r="BN1108" s="2">
        <v>21.024597203074499</v>
      </c>
      <c r="BO1108" s="2">
        <v>20.622503985369399</v>
      </c>
      <c r="BP1108" s="2">
        <v>20.7682823776845</v>
      </c>
      <c r="BQ1108" s="2">
        <v>21.234722880937898</v>
      </c>
      <c r="BR1108" s="2">
        <v>20.982178246320601</v>
      </c>
      <c r="BS1108" s="2">
        <v>21.047301130046499</v>
      </c>
      <c r="BT1108" s="2">
        <v>21.003535569346202</v>
      </c>
      <c r="BU1108" s="2">
        <v>21.323861254479901</v>
      </c>
      <c r="BV1108" s="2">
        <v>20.995169142196001</v>
      </c>
      <c r="BW1108" s="2">
        <v>21.301886001812399</v>
      </c>
      <c r="BX1108" s="2">
        <v>21.230429534120901</v>
      </c>
      <c r="BY1108" s="2">
        <v>20.539933772011501</v>
      </c>
      <c r="BZ1108" s="2">
        <v>20.568028002703699</v>
      </c>
      <c r="CA1108" s="2">
        <v>20.6861213017525</v>
      </c>
      <c r="CB1108" s="2">
        <v>20.259449287660502</v>
      </c>
      <c r="CC1108" s="2">
        <v>20.463791257863001</v>
      </c>
      <c r="CD1108" s="2">
        <v>21.1365799878206</v>
      </c>
      <c r="CE1108" s="2">
        <v>20.880293490730701</v>
      </c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</row>
    <row r="1109" spans="1:97">
      <c r="A1109" s="2" t="s">
        <v>10127</v>
      </c>
      <c r="B1109" s="2">
        <v>321.01738999999998</v>
      </c>
      <c r="C1109" s="2">
        <v>3.5230000000000001</v>
      </c>
      <c r="D1109" s="2" t="s">
        <v>146</v>
      </c>
      <c r="E1109" s="2" t="s">
        <v>10128</v>
      </c>
      <c r="F1109" s="2" t="s">
        <v>10129</v>
      </c>
      <c r="G1109" s="2">
        <v>52483</v>
      </c>
      <c r="H1109" s="3" t="str">
        <f>HYPERLINK("https://cloud.oebiotech.com/#/lm/network/52483", "https://cloud.oebiotech.com/#/lm/network/52483")</f>
        <v>https://cloud.oebiotech.com/#/lm/network/52483</v>
      </c>
      <c r="I1109" s="2" t="s">
        <v>10130</v>
      </c>
      <c r="J1109" s="2">
        <v>744</v>
      </c>
      <c r="K1109" s="2"/>
      <c r="L1109" s="2">
        <v>308171</v>
      </c>
      <c r="M1109" s="2" t="s">
        <v>10131</v>
      </c>
      <c r="N1109" s="2" t="s">
        <v>9041</v>
      </c>
      <c r="O1109" s="2" t="s">
        <v>9042</v>
      </c>
      <c r="P1109" s="2"/>
      <c r="Q1109" s="2"/>
      <c r="R1109" s="2"/>
      <c r="S1109" s="2" t="s">
        <v>10132</v>
      </c>
      <c r="T1109" s="2" t="s">
        <v>10133</v>
      </c>
      <c r="U1109" s="2" t="s">
        <v>10134</v>
      </c>
      <c r="V1109" s="2" t="s">
        <v>553</v>
      </c>
      <c r="W1109" s="2" t="s">
        <v>10135</v>
      </c>
      <c r="X1109" s="2" t="s">
        <v>10136</v>
      </c>
      <c r="Y1109" s="2" t="s">
        <v>556</v>
      </c>
      <c r="Z1109" s="2" t="s">
        <v>10137</v>
      </c>
      <c r="AA1109" s="2" t="s">
        <v>10138</v>
      </c>
      <c r="AB1109" s="2" t="s">
        <v>5118</v>
      </c>
      <c r="AC1109" s="2">
        <v>49.26</v>
      </c>
      <c r="AD1109" s="2">
        <v>53.36</v>
      </c>
      <c r="AE1109" s="2">
        <v>63.69</v>
      </c>
      <c r="AF1109" s="2" t="s">
        <v>10139</v>
      </c>
      <c r="AG1109" s="2" t="s">
        <v>157</v>
      </c>
      <c r="AH1109" s="2" t="s">
        <v>10140</v>
      </c>
      <c r="AI1109" s="2">
        <v>1.56</v>
      </c>
      <c r="AJ1109" s="2">
        <v>20.9525873495549</v>
      </c>
      <c r="AK1109" s="2">
        <v>20.978498901867098</v>
      </c>
      <c r="AL1109" s="2">
        <v>20.4022387210474</v>
      </c>
      <c r="AM1109" s="2">
        <v>21.0671610078385</v>
      </c>
      <c r="AN1109" s="2">
        <v>20.905653859879401</v>
      </c>
      <c r="AO1109" s="2">
        <v>20.897406767762099</v>
      </c>
      <c r="AP1109" s="2">
        <v>21.0173734364346</v>
      </c>
      <c r="AQ1109" s="2">
        <v>20.978673407411002</v>
      </c>
      <c r="AR1109" s="2">
        <v>21.050136823070101</v>
      </c>
      <c r="AS1109" s="2">
        <v>19.984175020192499</v>
      </c>
      <c r="AT1109" s="2">
        <v>20.554888863609602</v>
      </c>
      <c r="AU1109" s="2">
        <v>19.971455397911399</v>
      </c>
      <c r="AV1109" s="2">
        <v>20.439311999598601</v>
      </c>
      <c r="AW1109" s="2">
        <v>20.861599905317799</v>
      </c>
      <c r="AX1109" s="2">
        <v>21.061340608325199</v>
      </c>
      <c r="AY1109" s="2">
        <v>20.098851045864699</v>
      </c>
      <c r="AZ1109" s="2">
        <v>20.510174769898601</v>
      </c>
      <c r="BA1109" s="2">
        <v>19.782109540101999</v>
      </c>
      <c r="BB1109" s="2">
        <v>19.693245759901998</v>
      </c>
      <c r="BC1109" s="2">
        <v>20.475439178142899</v>
      </c>
      <c r="BD1109" s="2">
        <v>21.145919480749999</v>
      </c>
      <c r="BE1109" s="2">
        <v>20.279394177341999</v>
      </c>
      <c r="BF1109" s="2">
        <v>20.499086730109301</v>
      </c>
      <c r="BG1109" s="2">
        <v>22.920173197250499</v>
      </c>
      <c r="BH1109" s="2">
        <v>20.224212072300801</v>
      </c>
      <c r="BI1109" s="2">
        <v>21.865640240877099</v>
      </c>
      <c r="BJ1109" s="2">
        <v>21.2180842136945</v>
      </c>
      <c r="BK1109" s="2">
        <v>20.687982084323501</v>
      </c>
      <c r="BL1109" s="2">
        <v>20.953276061113002</v>
      </c>
      <c r="BM1109" s="2">
        <v>20.3678623990671</v>
      </c>
      <c r="BN1109" s="2">
        <v>20.7903793072615</v>
      </c>
      <c r="BO1109" s="2">
        <v>20.216566480990402</v>
      </c>
      <c r="BP1109" s="2">
        <v>20.098060427431498</v>
      </c>
      <c r="BQ1109" s="2">
        <v>20.975921565167301</v>
      </c>
      <c r="BR1109" s="2">
        <v>20.456397172284799</v>
      </c>
      <c r="BS1109" s="2">
        <v>20.1992212763849</v>
      </c>
      <c r="BT1109" s="2">
        <v>19.8620774491554</v>
      </c>
      <c r="BU1109" s="2">
        <v>20.376092016729601</v>
      </c>
      <c r="BV1109" s="2">
        <v>20.8762849720022</v>
      </c>
      <c r="BW1109" s="2">
        <v>19.826477203554798</v>
      </c>
      <c r="BX1109" s="2">
        <v>20.337910813612499</v>
      </c>
      <c r="BY1109" s="2">
        <v>21.025921448816501</v>
      </c>
      <c r="BZ1109" s="2">
        <v>20.081992808170099</v>
      </c>
      <c r="CA1109" s="2">
        <v>21.9133608473024</v>
      </c>
      <c r="CB1109" s="2">
        <v>20.4281546433001</v>
      </c>
      <c r="CC1109" s="2">
        <v>21.452248516115802</v>
      </c>
      <c r="CD1109" s="2">
        <v>21.410587171261099</v>
      </c>
      <c r="CE1109" s="2">
        <v>21.0872054772158</v>
      </c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</row>
    <row r="1110" spans="1:97">
      <c r="A1110" s="2" t="s">
        <v>10141</v>
      </c>
      <c r="B1110" s="2">
        <v>203.05232000000001</v>
      </c>
      <c r="C1110" s="2">
        <v>1.1739999999999999</v>
      </c>
      <c r="D1110" s="2" t="s">
        <v>84</v>
      </c>
      <c r="E1110" s="2" t="s">
        <v>10142</v>
      </c>
      <c r="F1110" s="2" t="s">
        <v>10143</v>
      </c>
      <c r="G1110" s="2">
        <v>202246</v>
      </c>
      <c r="H1110" s="3" t="str">
        <f>HYPERLINK("https://cloud.oebiotech.com/#/lm/network/202246", "https://cloud.oebiotech.com/#/lm/network/202246")</f>
        <v>https://cloud.oebiotech.com/#/lm/network/202246</v>
      </c>
      <c r="I1110" s="2" t="s">
        <v>10144</v>
      </c>
      <c r="J1110" s="2"/>
      <c r="K1110" s="2"/>
      <c r="L1110" s="2">
        <v>1101</v>
      </c>
      <c r="M1110" s="2" t="s">
        <v>10145</v>
      </c>
      <c r="N1110" s="2"/>
      <c r="O1110" s="2"/>
      <c r="P1110" s="2"/>
      <c r="Q1110" s="2"/>
      <c r="R1110" s="2"/>
      <c r="S1110" s="2"/>
      <c r="T1110" s="2" t="s">
        <v>10146</v>
      </c>
      <c r="U1110" s="2" t="s">
        <v>10147</v>
      </c>
      <c r="V1110" s="2" t="s">
        <v>338</v>
      </c>
      <c r="W1110" s="2" t="s">
        <v>339</v>
      </c>
      <c r="X1110" s="2" t="s">
        <v>663</v>
      </c>
      <c r="Y1110" s="2" t="s">
        <v>341</v>
      </c>
      <c r="Z1110" s="2" t="s">
        <v>341</v>
      </c>
      <c r="AA1110" s="2" t="s">
        <v>664</v>
      </c>
      <c r="AB1110" s="2" t="s">
        <v>3086</v>
      </c>
      <c r="AC1110" s="2">
        <v>49.26</v>
      </c>
      <c r="AD1110" s="2">
        <v>72.11</v>
      </c>
      <c r="AE1110" s="2">
        <v>0</v>
      </c>
      <c r="AF1110" s="2" t="s">
        <v>10148</v>
      </c>
      <c r="AG1110" s="2" t="s">
        <v>1578</v>
      </c>
      <c r="AH1110" s="2" t="s">
        <v>3400</v>
      </c>
      <c r="AI1110" s="2">
        <v>1.48</v>
      </c>
      <c r="AJ1110" s="2">
        <v>23.812263670405098</v>
      </c>
      <c r="AK1110" s="2">
        <v>23.782075644097699</v>
      </c>
      <c r="AL1110" s="2">
        <v>23.859671274836298</v>
      </c>
      <c r="AM1110" s="2">
        <v>23.798796341393999</v>
      </c>
      <c r="AN1110" s="2">
        <v>22.720559372457402</v>
      </c>
      <c r="AO1110" s="2">
        <v>22.6618450659392</v>
      </c>
      <c r="AP1110" s="2">
        <v>23.851509771819799</v>
      </c>
      <c r="AQ1110" s="2">
        <v>23.816763763529</v>
      </c>
      <c r="AR1110" s="2">
        <v>22.619908280390799</v>
      </c>
      <c r="AS1110" s="2">
        <v>22.5448162214593</v>
      </c>
      <c r="AT1110" s="2">
        <v>22.6147891926223</v>
      </c>
      <c r="AU1110" s="2">
        <v>22.969559457375698</v>
      </c>
      <c r="AV1110" s="2">
        <v>23.610481847740701</v>
      </c>
      <c r="AW1110" s="2">
        <v>23.409023775983101</v>
      </c>
      <c r="AX1110" s="2">
        <v>21.861591644306699</v>
      </c>
      <c r="AY1110" s="2">
        <v>23.6212114171637</v>
      </c>
      <c r="AZ1110" s="2">
        <v>23.747162806380999</v>
      </c>
      <c r="BA1110" s="2">
        <v>23.149211125497999</v>
      </c>
      <c r="BB1110" s="2">
        <v>23.053394850387502</v>
      </c>
      <c r="BC1110" s="2">
        <v>22.322765619129701</v>
      </c>
      <c r="BD1110" s="2">
        <v>22.6061675877766</v>
      </c>
      <c r="BE1110" s="2">
        <v>23.293827123191399</v>
      </c>
      <c r="BF1110" s="2">
        <v>22.79875464537</v>
      </c>
      <c r="BG1110" s="2">
        <v>22.039240883557301</v>
      </c>
      <c r="BH1110" s="2">
        <v>22.141736925857899</v>
      </c>
      <c r="BI1110" s="2">
        <v>23.415596760138399</v>
      </c>
      <c r="BJ1110" s="2">
        <v>22.847698896726101</v>
      </c>
      <c r="BK1110" s="2">
        <v>24.245452526663101</v>
      </c>
      <c r="BL1110" s="2">
        <v>23.468531173783401</v>
      </c>
      <c r="BM1110" s="2">
        <v>23.514083984829899</v>
      </c>
      <c r="BN1110" s="2">
        <v>23.660955269658601</v>
      </c>
      <c r="BO1110" s="2">
        <v>23.308336163484199</v>
      </c>
      <c r="BP1110" s="2">
        <v>22.281924159431401</v>
      </c>
      <c r="BQ1110" s="2">
        <v>23.256781380941899</v>
      </c>
      <c r="BR1110" s="2">
        <v>22.9752777933424</v>
      </c>
      <c r="BS1110" s="2">
        <v>24.312077289793599</v>
      </c>
      <c r="BT1110" s="2">
        <v>23.197336048609198</v>
      </c>
      <c r="BU1110" s="2">
        <v>22.405193471863001</v>
      </c>
      <c r="BV1110" s="2">
        <v>21.864483237726201</v>
      </c>
      <c r="BW1110" s="2">
        <v>22.648312271042499</v>
      </c>
      <c r="BX1110" s="2">
        <v>23.381748601332401</v>
      </c>
      <c r="BY1110" s="2">
        <v>23.145732962742901</v>
      </c>
      <c r="BZ1110" s="2">
        <v>21.942285880391001</v>
      </c>
      <c r="CA1110" s="2">
        <v>23.333569317883001</v>
      </c>
      <c r="CB1110" s="2">
        <v>23.3962146704026</v>
      </c>
      <c r="CC1110" s="2">
        <v>21.739475245567</v>
      </c>
      <c r="CD1110" s="2">
        <v>23.940006238156801</v>
      </c>
      <c r="CE1110" s="2">
        <v>24.063480930827598</v>
      </c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</row>
    <row r="1111" spans="1:97">
      <c r="A1111" s="2" t="s">
        <v>10149</v>
      </c>
      <c r="B1111" s="2">
        <v>337.27303000000001</v>
      </c>
      <c r="C1111" s="2">
        <v>10.334</v>
      </c>
      <c r="D1111" s="2" t="s">
        <v>84</v>
      </c>
      <c r="E1111" s="2" t="s">
        <v>10150</v>
      </c>
      <c r="F1111" s="2" t="s">
        <v>10151</v>
      </c>
      <c r="G1111" s="2">
        <v>35195</v>
      </c>
      <c r="H1111" s="3" t="str">
        <f>HYPERLINK("https://cloud.oebiotech.com/#/lm/network/35195", "https://cloud.oebiotech.com/#/lm/network/35195")</f>
        <v>https://cloud.oebiotech.com/#/lm/network/35195</v>
      </c>
      <c r="I1111" s="2"/>
      <c r="J1111" s="2">
        <v>959512</v>
      </c>
      <c r="K1111" s="2" t="s">
        <v>10152</v>
      </c>
      <c r="L1111" s="2">
        <v>71414613</v>
      </c>
      <c r="M1111" s="2"/>
      <c r="N1111" s="2"/>
      <c r="O1111" s="2"/>
      <c r="P1111" s="2"/>
      <c r="Q1111" s="2"/>
      <c r="R1111" s="2"/>
      <c r="S1111" s="2"/>
      <c r="T1111" s="2" t="s">
        <v>10153</v>
      </c>
      <c r="U1111" s="2" t="s">
        <v>10154</v>
      </c>
      <c r="V1111" s="2" t="s">
        <v>95</v>
      </c>
      <c r="W1111" s="2" t="s">
        <v>96</v>
      </c>
      <c r="X1111" s="2" t="s">
        <v>353</v>
      </c>
      <c r="Y1111" s="2" t="s">
        <v>98</v>
      </c>
      <c r="Z1111" s="2" t="s">
        <v>99</v>
      </c>
      <c r="AA1111" s="2" t="s">
        <v>354</v>
      </c>
      <c r="AB1111" s="2" t="s">
        <v>3086</v>
      </c>
      <c r="AC1111" s="2">
        <v>49.25</v>
      </c>
      <c r="AD1111" s="2">
        <v>86.61</v>
      </c>
      <c r="AE1111" s="2">
        <v>0</v>
      </c>
      <c r="AF1111" s="2" t="s">
        <v>10155</v>
      </c>
      <c r="AG1111" s="2" t="s">
        <v>103</v>
      </c>
      <c r="AH1111" s="2" t="s">
        <v>10156</v>
      </c>
      <c r="AI1111" s="2">
        <v>2.08</v>
      </c>
      <c r="AJ1111" s="2">
        <v>18.867938168947099</v>
      </c>
      <c r="AK1111" s="2">
        <v>20.345839931201201</v>
      </c>
      <c r="AL1111" s="2">
        <v>20.030045976572602</v>
      </c>
      <c r="AM1111" s="2">
        <v>19.787688023644002</v>
      </c>
      <c r="AN1111" s="2">
        <v>20.0758322407554</v>
      </c>
      <c r="AO1111" s="2">
        <v>19.9019860074586</v>
      </c>
      <c r="AP1111" s="2">
        <v>19.8031622394073</v>
      </c>
      <c r="AQ1111" s="2">
        <v>19.3750183404008</v>
      </c>
      <c r="AR1111" s="2">
        <v>20.468432643015301</v>
      </c>
      <c r="AS1111" s="2">
        <v>17.983152608088201</v>
      </c>
      <c r="AT1111" s="2">
        <v>19.2432779486996</v>
      </c>
      <c r="AU1111" s="2">
        <v>20.617427521011901</v>
      </c>
      <c r="AV1111" s="2">
        <v>20.072392801773201</v>
      </c>
      <c r="AW1111" s="2">
        <v>20.3064582585369</v>
      </c>
      <c r="AX1111" s="2">
        <v>19.345518342686798</v>
      </c>
      <c r="AY1111" s="2">
        <v>19.855720292214301</v>
      </c>
      <c r="AZ1111" s="2">
        <v>20.022110723368399</v>
      </c>
      <c r="BA1111" s="2">
        <v>18.711982051507899</v>
      </c>
      <c r="BB1111" s="2">
        <v>19.252496657006802</v>
      </c>
      <c r="BC1111" s="2">
        <v>19.281259741415202</v>
      </c>
      <c r="BD1111" s="2">
        <v>19.050170270297301</v>
      </c>
      <c r="BE1111" s="2">
        <v>19.507162614385901</v>
      </c>
      <c r="BF1111" s="2">
        <v>19.632913589699498</v>
      </c>
      <c r="BG1111" s="2">
        <v>20.111196317120999</v>
      </c>
      <c r="BH1111" s="2">
        <v>19.687191295239501</v>
      </c>
      <c r="BI1111" s="2">
        <v>19.789566216041301</v>
      </c>
      <c r="BJ1111" s="2">
        <v>19.741766622482899</v>
      </c>
      <c r="BK1111" s="2">
        <v>19.545164453744398</v>
      </c>
      <c r="BL1111" s="2">
        <v>20.3296440789888</v>
      </c>
      <c r="BM1111" s="2">
        <v>20.542197798778901</v>
      </c>
      <c r="BN1111" s="2">
        <v>20.200493539527201</v>
      </c>
      <c r="BO1111" s="2">
        <v>19.716422944303702</v>
      </c>
      <c r="BP1111" s="2">
        <v>19.2772959601125</v>
      </c>
      <c r="BQ1111" s="2">
        <v>19.861424528509701</v>
      </c>
      <c r="BR1111" s="2">
        <v>20.3638751643756</v>
      </c>
      <c r="BS1111" s="2">
        <v>20.051433667291999</v>
      </c>
      <c r="BT1111" s="2">
        <v>18.990235508915202</v>
      </c>
      <c r="BU1111" s="2">
        <v>19.496998714314799</v>
      </c>
      <c r="BV1111" s="2">
        <v>19.5862204432105</v>
      </c>
      <c r="BW1111" s="2">
        <v>19.516098446741001</v>
      </c>
      <c r="BX1111" s="2">
        <v>19.948146727572801</v>
      </c>
      <c r="BY1111" s="2">
        <v>20.522167034411002</v>
      </c>
      <c r="BZ1111" s="2">
        <v>20.3931236565404</v>
      </c>
      <c r="CA1111" s="2">
        <v>19.7673005785839</v>
      </c>
      <c r="CB1111" s="2">
        <v>19.227567695159699</v>
      </c>
      <c r="CC1111" s="2">
        <v>19.983068708464</v>
      </c>
      <c r="CD1111" s="2">
        <v>19.372615944890399</v>
      </c>
      <c r="CE1111" s="2">
        <v>18.486066460816399</v>
      </c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</row>
    <row r="1112" spans="1:97">
      <c r="A1112" s="2" t="s">
        <v>10157</v>
      </c>
      <c r="B1112" s="2">
        <v>313.07796000000002</v>
      </c>
      <c r="C1112" s="2">
        <v>10.353</v>
      </c>
      <c r="D1112" s="2" t="s">
        <v>146</v>
      </c>
      <c r="E1112" s="2" t="s">
        <v>10158</v>
      </c>
      <c r="F1112" s="2" t="s">
        <v>10159</v>
      </c>
      <c r="G1112" s="2">
        <v>48018</v>
      </c>
      <c r="H1112" s="3" t="str">
        <f>HYPERLINK("https://cloud.oebiotech.com/#/lm/network/48018", "https://cloud.oebiotech.com/#/lm/network/48018")</f>
        <v>https://cloud.oebiotech.com/#/lm/network/48018</v>
      </c>
      <c r="I1112" s="2" t="s">
        <v>10160</v>
      </c>
      <c r="J1112" s="2">
        <v>3022</v>
      </c>
      <c r="K1112" s="2"/>
      <c r="L1112" s="2">
        <v>46874582</v>
      </c>
      <c r="M1112" s="2"/>
      <c r="N1112" s="2"/>
      <c r="O1112" s="2"/>
      <c r="P1112" s="2">
        <v>705435</v>
      </c>
      <c r="Q1112" s="2"/>
      <c r="R1112" s="2"/>
      <c r="S1112" s="2" t="s">
        <v>10161</v>
      </c>
      <c r="T1112" s="2" t="s">
        <v>10162</v>
      </c>
      <c r="U1112" s="2" t="s">
        <v>10163</v>
      </c>
      <c r="V1112" s="2" t="s">
        <v>818</v>
      </c>
      <c r="W1112" s="2" t="s">
        <v>819</v>
      </c>
      <c r="X1112" s="2" t="s">
        <v>375</v>
      </c>
      <c r="Y1112" s="2" t="s">
        <v>820</v>
      </c>
      <c r="Z1112" s="2" t="s">
        <v>821</v>
      </c>
      <c r="AA1112" s="2"/>
      <c r="AB1112" s="2" t="s">
        <v>5118</v>
      </c>
      <c r="AC1112" s="2">
        <v>49.24</v>
      </c>
      <c r="AD1112" s="2">
        <v>91.25</v>
      </c>
      <c r="AE1112" s="2">
        <v>82.35</v>
      </c>
      <c r="AF1112" s="2" t="s">
        <v>10164</v>
      </c>
      <c r="AG1112" s="2" t="s">
        <v>157</v>
      </c>
      <c r="AH1112" s="2" t="s">
        <v>823</v>
      </c>
      <c r="AI1112" s="2">
        <v>3.19</v>
      </c>
      <c r="AJ1112" s="2">
        <v>20.666321294737401</v>
      </c>
      <c r="AK1112" s="2">
        <v>21.6937814313996</v>
      </c>
      <c r="AL1112" s="2">
        <v>21.6896192036792</v>
      </c>
      <c r="AM1112" s="2">
        <v>21.703753517187401</v>
      </c>
      <c r="AN1112" s="2">
        <v>21.7509791862871</v>
      </c>
      <c r="AO1112" s="2">
        <v>22.084379977408599</v>
      </c>
      <c r="AP1112" s="2">
        <v>21.820945220239999</v>
      </c>
      <c r="AQ1112" s="2">
        <v>21.5953876491584</v>
      </c>
      <c r="AR1112" s="2">
        <v>18.790923676837501</v>
      </c>
      <c r="AS1112" s="2">
        <v>19.1423962356107</v>
      </c>
      <c r="AT1112" s="2">
        <v>19.36761078688</v>
      </c>
      <c r="AU1112" s="2">
        <v>19.2362554106281</v>
      </c>
      <c r="AV1112" s="2">
        <v>19.322321669585701</v>
      </c>
      <c r="AW1112" s="2">
        <v>19.237336672851001</v>
      </c>
      <c r="AX1112" s="2">
        <v>18.716286448915302</v>
      </c>
      <c r="AY1112" s="2">
        <v>18.1065612025034</v>
      </c>
      <c r="AZ1112" s="2">
        <v>19.045016214692801</v>
      </c>
      <c r="BA1112" s="2">
        <v>19.347486161473</v>
      </c>
      <c r="BB1112" s="2">
        <v>19.202629880064901</v>
      </c>
      <c r="BC1112" s="2">
        <v>19.069232092197002</v>
      </c>
      <c r="BD1112" s="2">
        <v>19.229092715476401</v>
      </c>
      <c r="BE1112" s="2">
        <v>18.8541079952854</v>
      </c>
      <c r="BF1112" s="2">
        <v>18.619077445038201</v>
      </c>
      <c r="BG1112" s="2">
        <v>19.303879790065</v>
      </c>
      <c r="BH1112" s="2">
        <v>18.488749202125099</v>
      </c>
      <c r="BI1112" s="2">
        <v>19.409957112665701</v>
      </c>
      <c r="BJ1112" s="2">
        <v>18.941003318326199</v>
      </c>
      <c r="BK1112" s="2">
        <v>19.186438596616998</v>
      </c>
      <c r="BL1112" s="2">
        <v>19.406076300343202</v>
      </c>
      <c r="BM1112" s="2">
        <v>18.5172984566236</v>
      </c>
      <c r="BN1112" s="2">
        <v>18.221000982870301</v>
      </c>
      <c r="BO1112" s="2">
        <v>19.360350450880699</v>
      </c>
      <c r="BP1112" s="2">
        <v>18.736198264967399</v>
      </c>
      <c r="BQ1112" s="2">
        <v>19.290874095264201</v>
      </c>
      <c r="BR1112" s="2">
        <v>19.016427730598402</v>
      </c>
      <c r="BS1112" s="2">
        <v>19.119780912055202</v>
      </c>
      <c r="BT1112" s="2">
        <v>19.3264258881049</v>
      </c>
      <c r="BU1112" s="2">
        <v>18.5108609999489</v>
      </c>
      <c r="BV1112" s="2">
        <v>19.004750256775001</v>
      </c>
      <c r="BW1112" s="2">
        <v>19.182802725850099</v>
      </c>
      <c r="BX1112" s="2">
        <v>18.779908700288502</v>
      </c>
      <c r="BY1112" s="2">
        <v>18.538595489251801</v>
      </c>
      <c r="BZ1112" s="2">
        <v>18.572137933277599</v>
      </c>
      <c r="CA1112" s="2">
        <v>18.3895038358555</v>
      </c>
      <c r="CB1112" s="2">
        <v>19.098133477757202</v>
      </c>
      <c r="CC1112" s="2">
        <v>18.747465158814801</v>
      </c>
      <c r="CD1112" s="2">
        <v>18.619673355125599</v>
      </c>
      <c r="CE1112" s="2">
        <v>18.863512596333301</v>
      </c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</row>
    <row r="1113" spans="1:97">
      <c r="A1113" s="2" t="s">
        <v>10165</v>
      </c>
      <c r="B1113" s="2">
        <v>144.04422</v>
      </c>
      <c r="C1113" s="2">
        <v>3.6709999999999998</v>
      </c>
      <c r="D1113" s="2" t="s">
        <v>84</v>
      </c>
      <c r="E1113" s="2" t="s">
        <v>10166</v>
      </c>
      <c r="F1113" s="2" t="s">
        <v>10167</v>
      </c>
      <c r="G1113" s="2">
        <v>201288</v>
      </c>
      <c r="H1113" s="3" t="str">
        <f>HYPERLINK("https://cloud.oebiotech.com/#/lm/network/201288", "https://cloud.oebiotech.com/#/lm/network/201288")</f>
        <v>https://cloud.oebiotech.com/#/lm/network/201288</v>
      </c>
      <c r="I1113" s="2" t="s">
        <v>10168</v>
      </c>
      <c r="J1113" s="2">
        <v>407936</v>
      </c>
      <c r="K1113" s="2"/>
      <c r="L1113" s="2">
        <v>818159</v>
      </c>
      <c r="M1113" s="2"/>
      <c r="N1113" s="2"/>
      <c r="O1113" s="2"/>
      <c r="P1113" s="2"/>
      <c r="Q1113" s="2"/>
      <c r="R1113" s="2"/>
      <c r="S1113" s="2"/>
      <c r="T1113" s="2" t="s">
        <v>10169</v>
      </c>
      <c r="U1113" s="2" t="s">
        <v>10170</v>
      </c>
      <c r="V1113" s="2" t="s">
        <v>553</v>
      </c>
      <c r="W1113" s="2" t="s">
        <v>1599</v>
      </c>
      <c r="X1113" s="2" t="s">
        <v>1600</v>
      </c>
      <c r="Y1113" s="2" t="s">
        <v>556</v>
      </c>
      <c r="Z1113" s="2" t="s">
        <v>1601</v>
      </c>
      <c r="AA1113" s="2" t="s">
        <v>1602</v>
      </c>
      <c r="AB1113" s="2" t="s">
        <v>3086</v>
      </c>
      <c r="AC1113" s="2">
        <v>49.21</v>
      </c>
      <c r="AD1113" s="2">
        <v>94.55</v>
      </c>
      <c r="AE1113" s="2">
        <v>0</v>
      </c>
      <c r="AF1113" s="2" t="s">
        <v>5614</v>
      </c>
      <c r="AG1113" s="2" t="s">
        <v>1088</v>
      </c>
      <c r="AH1113" s="2" t="s">
        <v>10171</v>
      </c>
      <c r="AI1113" s="2">
        <v>5.55</v>
      </c>
      <c r="AJ1113" s="2">
        <v>17.900048540248601</v>
      </c>
      <c r="AK1113" s="2">
        <v>17.896228914645899</v>
      </c>
      <c r="AL1113" s="2">
        <v>17.701636838659098</v>
      </c>
      <c r="AM1113" s="2">
        <v>17.119820494261099</v>
      </c>
      <c r="AN1113" s="2">
        <v>17.611414475273499</v>
      </c>
      <c r="AO1113" s="2">
        <v>18.1300435623372</v>
      </c>
      <c r="AP1113" s="2">
        <v>16.7609298921302</v>
      </c>
      <c r="AQ1113" s="2">
        <v>18.017048865485101</v>
      </c>
      <c r="AR1113" s="2">
        <v>15.931704984117699</v>
      </c>
      <c r="AS1113" s="2">
        <v>15.8986216975958</v>
      </c>
      <c r="AT1113" s="2">
        <v>16.604289272585898</v>
      </c>
      <c r="AU1113" s="2">
        <v>15.8975658973057</v>
      </c>
      <c r="AV1113" s="2">
        <v>17.189341308669</v>
      </c>
      <c r="AW1113" s="2">
        <v>17.550258966799099</v>
      </c>
      <c r="AX1113" s="2">
        <v>16.7594700405912</v>
      </c>
      <c r="AY1113" s="2">
        <v>17.824493408270602</v>
      </c>
      <c r="AZ1113" s="2">
        <v>16.413672384553301</v>
      </c>
      <c r="BA1113" s="2">
        <v>16.893077988729502</v>
      </c>
      <c r="BB1113" s="2">
        <v>17.6568889689336</v>
      </c>
      <c r="BC1113" s="2">
        <v>18.2955773496316</v>
      </c>
      <c r="BD1113" s="2">
        <v>17.112189831818899</v>
      </c>
      <c r="BE1113" s="2">
        <v>18.313661174741402</v>
      </c>
      <c r="BF1113" s="2">
        <v>17.717798431762699</v>
      </c>
      <c r="BG1113" s="2">
        <v>18.122553268275301</v>
      </c>
      <c r="BH1113" s="2">
        <v>17.833718483035799</v>
      </c>
      <c r="BI1113" s="2">
        <v>17.722855882518399</v>
      </c>
      <c r="BJ1113" s="2">
        <v>17.799468827797401</v>
      </c>
      <c r="BK1113" s="2">
        <v>18.4671099285693</v>
      </c>
      <c r="BL1113" s="2">
        <v>17.5590965939992</v>
      </c>
      <c r="BM1113" s="2">
        <v>18.318318915814999</v>
      </c>
      <c r="BN1113" s="2">
        <v>17.6506037233694</v>
      </c>
      <c r="BO1113" s="2">
        <v>17.953279734781201</v>
      </c>
      <c r="BP1113" s="2">
        <v>17.3315498609958</v>
      </c>
      <c r="BQ1113" s="2">
        <v>18.012629339693699</v>
      </c>
      <c r="BR1113" s="2">
        <v>16.934172648283901</v>
      </c>
      <c r="BS1113" s="2">
        <v>17.788130958675801</v>
      </c>
      <c r="BT1113" s="2">
        <v>17.2778716328902</v>
      </c>
      <c r="BU1113" s="2">
        <v>14.778663926623899</v>
      </c>
      <c r="BV1113" s="2">
        <v>18.1446552060162</v>
      </c>
      <c r="BW1113" s="2">
        <v>15.5316741736266</v>
      </c>
      <c r="BX1113" s="2">
        <v>17.173079012115799</v>
      </c>
      <c r="BY1113" s="2">
        <v>18.647649719553101</v>
      </c>
      <c r="BZ1113" s="2">
        <v>17.3036618800182</v>
      </c>
      <c r="CA1113" s="2">
        <v>18.256567511343299</v>
      </c>
      <c r="CB1113" s="2">
        <v>16.9933798196551</v>
      </c>
      <c r="CC1113" s="2">
        <v>17.106931541193099</v>
      </c>
      <c r="CD1113" s="2">
        <v>18.552525688348702</v>
      </c>
      <c r="CE1113" s="2">
        <v>17.548114547852801</v>
      </c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</row>
    <row r="1114" spans="1:97">
      <c r="A1114" s="2" t="s">
        <v>10172</v>
      </c>
      <c r="B1114" s="2">
        <v>259.00644</v>
      </c>
      <c r="C1114" s="2">
        <v>1.042</v>
      </c>
      <c r="D1114" s="2" t="s">
        <v>146</v>
      </c>
      <c r="E1114" s="2" t="s">
        <v>10173</v>
      </c>
      <c r="F1114" s="2" t="s">
        <v>10174</v>
      </c>
      <c r="G1114" s="2">
        <v>47501</v>
      </c>
      <c r="H1114" s="3" t="str">
        <f>HYPERLINK("https://cloud.oebiotech.com/#/lm/network/47501", "https://cloud.oebiotech.com/#/lm/network/47501")</f>
        <v>https://cloud.oebiotech.com/#/lm/network/47501</v>
      </c>
      <c r="I1114" s="2" t="s">
        <v>10175</v>
      </c>
      <c r="J1114" s="2">
        <v>6143</v>
      </c>
      <c r="K1114" s="2"/>
      <c r="L1114" s="2">
        <v>174549</v>
      </c>
      <c r="M1114" s="2" t="s">
        <v>10176</v>
      </c>
      <c r="N1114" s="2" t="s">
        <v>1585</v>
      </c>
      <c r="O1114" s="2" t="s">
        <v>1586</v>
      </c>
      <c r="P1114" s="2">
        <v>28096</v>
      </c>
      <c r="Q1114" s="2"/>
      <c r="R1114" s="2"/>
      <c r="S1114" s="2" t="s">
        <v>10177</v>
      </c>
      <c r="T1114" s="2" t="s">
        <v>10178</v>
      </c>
      <c r="U1114" s="2" t="s">
        <v>10179</v>
      </c>
      <c r="V1114" s="2" t="s">
        <v>338</v>
      </c>
      <c r="W1114" s="2" t="s">
        <v>339</v>
      </c>
      <c r="X1114" s="2" t="s">
        <v>340</v>
      </c>
      <c r="Y1114" s="2" t="s">
        <v>341</v>
      </c>
      <c r="Z1114" s="2" t="s">
        <v>341</v>
      </c>
      <c r="AA1114" s="2" t="s">
        <v>342</v>
      </c>
      <c r="AB1114" s="2" t="s">
        <v>3086</v>
      </c>
      <c r="AC1114" s="2">
        <v>49.16</v>
      </c>
      <c r="AD1114" s="2">
        <v>92.77</v>
      </c>
      <c r="AE1114" s="2">
        <v>0</v>
      </c>
      <c r="AF1114" s="2" t="s">
        <v>5614</v>
      </c>
      <c r="AG1114" s="2" t="s">
        <v>194</v>
      </c>
      <c r="AH1114" s="2" t="s">
        <v>10180</v>
      </c>
      <c r="AI1114" s="2">
        <v>-6.56</v>
      </c>
      <c r="AJ1114" s="2">
        <v>19.249837207206902</v>
      </c>
      <c r="AK1114" s="2">
        <v>20.493934274126101</v>
      </c>
      <c r="AL1114" s="2">
        <v>20.540537142955699</v>
      </c>
      <c r="AM1114" s="2">
        <v>20.768158667388001</v>
      </c>
      <c r="AN1114" s="2">
        <v>20.528370853650099</v>
      </c>
      <c r="AO1114" s="2">
        <v>20.5323470591042</v>
      </c>
      <c r="AP1114" s="2">
        <v>20.563044844387701</v>
      </c>
      <c r="AQ1114" s="2">
        <v>20.497994988226399</v>
      </c>
      <c r="AR1114" s="2">
        <v>19.926614601474</v>
      </c>
      <c r="AS1114" s="2">
        <v>20.338663913092201</v>
      </c>
      <c r="AT1114" s="2">
        <v>20.2136216861728</v>
      </c>
      <c r="AU1114" s="2">
        <v>19.8203767533779</v>
      </c>
      <c r="AV1114" s="2">
        <v>20.489904363599301</v>
      </c>
      <c r="AW1114" s="2">
        <v>20.588075794944299</v>
      </c>
      <c r="AX1114" s="2">
        <v>19.2292356827436</v>
      </c>
      <c r="AY1114" s="2">
        <v>19.2952400080015</v>
      </c>
      <c r="AZ1114" s="2">
        <v>19.890299149766399</v>
      </c>
      <c r="BA1114" s="2">
        <v>20.380461033381199</v>
      </c>
      <c r="BB1114" s="2">
        <v>20.406363669808801</v>
      </c>
      <c r="BC1114" s="2">
        <v>19.532045595432301</v>
      </c>
      <c r="BD1114" s="2">
        <v>20.511760228899998</v>
      </c>
      <c r="BE1114" s="2">
        <v>20.4067585264652</v>
      </c>
      <c r="BF1114" s="2">
        <v>20.407323091365299</v>
      </c>
      <c r="BG1114" s="2">
        <v>19.905453745396802</v>
      </c>
      <c r="BH1114" s="2">
        <v>20.478595112928598</v>
      </c>
      <c r="BI1114" s="2">
        <v>19.895110076681501</v>
      </c>
      <c r="BJ1114" s="2">
        <v>19.508628465003799</v>
      </c>
      <c r="BK1114" s="2">
        <v>19.9761634279172</v>
      </c>
      <c r="BL1114" s="2">
        <v>20.481906906630101</v>
      </c>
      <c r="BM1114" s="2">
        <v>20.686779284461799</v>
      </c>
      <c r="BN1114" s="2">
        <v>20.8116542945777</v>
      </c>
      <c r="BO1114" s="2">
        <v>20.125032038137199</v>
      </c>
      <c r="BP1114" s="2">
        <v>20.587418852264602</v>
      </c>
      <c r="BQ1114" s="2">
        <v>20.561553734078601</v>
      </c>
      <c r="BR1114" s="2">
        <v>20.205516707458401</v>
      </c>
      <c r="BS1114" s="2">
        <v>20.069407690481601</v>
      </c>
      <c r="BT1114" s="2">
        <v>20.196599893440698</v>
      </c>
      <c r="BU1114" s="2">
        <v>19.339867831218001</v>
      </c>
      <c r="BV1114" s="2">
        <v>19.726545441894299</v>
      </c>
      <c r="BW1114" s="2">
        <v>19.730137722178998</v>
      </c>
      <c r="BX1114" s="2">
        <v>20.552010581061801</v>
      </c>
      <c r="BY1114" s="2">
        <v>20.4879160388397</v>
      </c>
      <c r="BZ1114" s="2">
        <v>20.313120175095701</v>
      </c>
      <c r="CA1114" s="2">
        <v>18.236105217283601</v>
      </c>
      <c r="CB1114" s="2">
        <v>19.537849035977899</v>
      </c>
      <c r="CC1114" s="2">
        <v>20.282599910732699</v>
      </c>
      <c r="CD1114" s="2">
        <v>20.439877359091401</v>
      </c>
      <c r="CE1114" s="2">
        <v>20.294823295094101</v>
      </c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</row>
    <row r="1115" spans="1:97">
      <c r="A1115" s="2" t="s">
        <v>10181</v>
      </c>
      <c r="B1115" s="2">
        <v>182.11498</v>
      </c>
      <c r="C1115" s="2">
        <v>4.1689999999999996</v>
      </c>
      <c r="D1115" s="2" t="s">
        <v>84</v>
      </c>
      <c r="E1115" s="2" t="s">
        <v>10182</v>
      </c>
      <c r="F1115" s="2" t="s">
        <v>10183</v>
      </c>
      <c r="G1115" s="2">
        <v>2471</v>
      </c>
      <c r="H1115" s="3" t="str">
        <f>HYPERLINK("https://cloud.oebiotech.com/#/lm/network/2471", "https://cloud.oebiotech.com/#/lm/network/2471")</f>
        <v>https://cloud.oebiotech.com/#/lm/network/2471</v>
      </c>
      <c r="I1115" s="2"/>
      <c r="J1115" s="2">
        <v>35939</v>
      </c>
      <c r="K1115" s="2" t="s">
        <v>10184</v>
      </c>
      <c r="L1115" s="2">
        <v>295606</v>
      </c>
      <c r="M1115" s="2"/>
      <c r="N1115" s="2"/>
      <c r="O1115" s="2"/>
      <c r="P1115" s="2">
        <v>73739</v>
      </c>
      <c r="Q1115" s="2"/>
      <c r="R1115" s="2"/>
      <c r="S1115" s="2"/>
      <c r="T1115" s="2" t="s">
        <v>10185</v>
      </c>
      <c r="U1115" s="2" t="s">
        <v>10186</v>
      </c>
      <c r="V1115" s="2" t="s">
        <v>115</v>
      </c>
      <c r="W1115" s="2" t="s">
        <v>116</v>
      </c>
      <c r="X1115" s="2" t="s">
        <v>117</v>
      </c>
      <c r="Y1115" s="2" t="s">
        <v>118</v>
      </c>
      <c r="Z1115" s="2" t="s">
        <v>119</v>
      </c>
      <c r="AA1115" s="2" t="s">
        <v>120</v>
      </c>
      <c r="AB1115" s="2" t="s">
        <v>3086</v>
      </c>
      <c r="AC1115" s="2">
        <v>49.13</v>
      </c>
      <c r="AD1115" s="2">
        <v>72.930000000000007</v>
      </c>
      <c r="AE1115" s="2">
        <v>0</v>
      </c>
      <c r="AF1115" s="2" t="s">
        <v>5614</v>
      </c>
      <c r="AG1115" s="2" t="s">
        <v>1578</v>
      </c>
      <c r="AH1115" s="2" t="s">
        <v>5622</v>
      </c>
      <c r="AI1115" s="2">
        <v>0.55000000000000004</v>
      </c>
      <c r="AJ1115" s="2">
        <v>21.913818197667901</v>
      </c>
      <c r="AK1115" s="2">
        <v>21.2452557834409</v>
      </c>
      <c r="AL1115" s="2">
        <v>21.910645021273101</v>
      </c>
      <c r="AM1115" s="2">
        <v>21.8785962647726</v>
      </c>
      <c r="AN1115" s="2">
        <v>21.950593115538901</v>
      </c>
      <c r="AO1115" s="2">
        <v>21.108866204150001</v>
      </c>
      <c r="AP1115" s="2">
        <v>22.048399664362201</v>
      </c>
      <c r="AQ1115" s="2">
        <v>21.1732249241388</v>
      </c>
      <c r="AR1115" s="2">
        <v>21.078910791182899</v>
      </c>
      <c r="AS1115" s="2">
        <v>21.909119309353301</v>
      </c>
      <c r="AT1115" s="2">
        <v>20.886632953373301</v>
      </c>
      <c r="AU1115" s="2">
        <v>21.626414970356201</v>
      </c>
      <c r="AV1115" s="2">
        <v>21.372133515165501</v>
      </c>
      <c r="AW1115" s="2">
        <v>21.842279241471001</v>
      </c>
      <c r="AX1115" s="2">
        <v>20.771099241885999</v>
      </c>
      <c r="AY1115" s="2">
        <v>20.918798220568501</v>
      </c>
      <c r="AZ1115" s="2">
        <v>20.926544960228</v>
      </c>
      <c r="BA1115" s="2">
        <v>21.351169287759699</v>
      </c>
      <c r="BB1115" s="2">
        <v>21.202664413845699</v>
      </c>
      <c r="BC1115" s="2">
        <v>22.008165335474601</v>
      </c>
      <c r="BD1115" s="2">
        <v>21.310528429324801</v>
      </c>
      <c r="BE1115" s="2">
        <v>21.876095865501998</v>
      </c>
      <c r="BF1115" s="2">
        <v>21.750423509822902</v>
      </c>
      <c r="BG1115" s="2">
        <v>21.914991604961202</v>
      </c>
      <c r="BH1115" s="2">
        <v>21.672992232156201</v>
      </c>
      <c r="BI1115" s="2">
        <v>21.852093753168401</v>
      </c>
      <c r="BJ1115" s="2">
        <v>21.3750954354363</v>
      </c>
      <c r="BK1115" s="2">
        <v>21.595861644126799</v>
      </c>
      <c r="BL1115" s="2">
        <v>21.459996661723501</v>
      </c>
      <c r="BM1115" s="2">
        <v>21.3460784506937</v>
      </c>
      <c r="BN1115" s="2">
        <v>21.230645833128602</v>
      </c>
      <c r="BO1115" s="2">
        <v>21.874276926072501</v>
      </c>
      <c r="BP1115" s="2">
        <v>21.328729046658601</v>
      </c>
      <c r="BQ1115" s="2">
        <v>21.750290230618798</v>
      </c>
      <c r="BR1115" s="2">
        <v>20.900951110002701</v>
      </c>
      <c r="BS1115" s="2">
        <v>20.955890340922402</v>
      </c>
      <c r="BT1115" s="2">
        <v>21.454575851811398</v>
      </c>
      <c r="BU1115" s="2">
        <v>21.7303370460235</v>
      </c>
      <c r="BV1115" s="2">
        <v>21.769321649458998</v>
      </c>
      <c r="BW1115" s="2">
        <v>21.772778628791102</v>
      </c>
      <c r="BX1115" s="2">
        <v>20.882583319891701</v>
      </c>
      <c r="BY1115" s="2">
        <v>22.240687912450301</v>
      </c>
      <c r="BZ1115" s="2">
        <v>21.270645713340201</v>
      </c>
      <c r="CA1115" s="2">
        <v>21.201868653714801</v>
      </c>
      <c r="CB1115" s="2">
        <v>21.372311617207998</v>
      </c>
      <c r="CC1115" s="2">
        <v>21.8113859950974</v>
      </c>
      <c r="CD1115" s="2">
        <v>21.8792208058691</v>
      </c>
      <c r="CE1115" s="2">
        <v>21.464822215664299</v>
      </c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</row>
    <row r="1116" spans="1:97">
      <c r="A1116" s="2" t="s">
        <v>10187</v>
      </c>
      <c r="B1116" s="2">
        <v>367.28361999999998</v>
      </c>
      <c r="C1116" s="2">
        <v>11.436</v>
      </c>
      <c r="D1116" s="2" t="s">
        <v>84</v>
      </c>
      <c r="E1116" s="2" t="s">
        <v>10188</v>
      </c>
      <c r="F1116" s="2" t="s">
        <v>10189</v>
      </c>
      <c r="G1116" s="2">
        <v>10466</v>
      </c>
      <c r="H1116" s="3" t="str">
        <f>HYPERLINK("https://cloud.oebiotech.com/#/lm/network/10466", "https://cloud.oebiotech.com/#/lm/network/10466")</f>
        <v>https://cloud.oebiotech.com/#/lm/network/10466</v>
      </c>
      <c r="I1116" s="2"/>
      <c r="J1116" s="2"/>
      <c r="K1116" s="2" t="s">
        <v>10190</v>
      </c>
      <c r="L1116" s="2">
        <v>137323841</v>
      </c>
      <c r="M1116" s="2"/>
      <c r="N1116" s="2"/>
      <c r="O1116" s="2"/>
      <c r="P1116" s="2"/>
      <c r="Q1116" s="2"/>
      <c r="R1116" s="2"/>
      <c r="S1116" s="2"/>
      <c r="T1116" s="2" t="s">
        <v>10191</v>
      </c>
      <c r="U1116" s="2" t="s">
        <v>10192</v>
      </c>
      <c r="V1116" s="2" t="s">
        <v>95</v>
      </c>
      <c r="W1116" s="2" t="s">
        <v>7709</v>
      </c>
      <c r="X1116" s="2" t="s">
        <v>7710</v>
      </c>
      <c r="Y1116" s="2" t="s">
        <v>98</v>
      </c>
      <c r="Z1116" s="2" t="s">
        <v>7711</v>
      </c>
      <c r="AA1116" s="2" t="s">
        <v>7712</v>
      </c>
      <c r="AB1116" s="2" t="s">
        <v>3086</v>
      </c>
      <c r="AC1116" s="2">
        <v>49.06</v>
      </c>
      <c r="AD1116" s="2">
        <v>74.22</v>
      </c>
      <c r="AE1116" s="2">
        <v>0</v>
      </c>
      <c r="AF1116" s="2" t="s">
        <v>10193</v>
      </c>
      <c r="AG1116" s="2" t="s">
        <v>1578</v>
      </c>
      <c r="AH1116" s="2" t="s">
        <v>10194</v>
      </c>
      <c r="AI1116" s="2">
        <v>-4.63</v>
      </c>
      <c r="AJ1116" s="2">
        <v>20.015158218266201</v>
      </c>
      <c r="AK1116" s="2">
        <v>19.418839115693</v>
      </c>
      <c r="AL1116" s="2">
        <v>19.410565258367601</v>
      </c>
      <c r="AM1116" s="2">
        <v>19.560678593968898</v>
      </c>
      <c r="AN1116" s="2">
        <v>19.516895448793601</v>
      </c>
      <c r="AO1116" s="2">
        <v>19.807767134076698</v>
      </c>
      <c r="AP1116" s="2">
        <v>18.859494809374301</v>
      </c>
      <c r="AQ1116" s="2">
        <v>19.551778450577299</v>
      </c>
      <c r="AR1116" s="2">
        <v>19.238485957679501</v>
      </c>
      <c r="AS1116" s="2">
        <v>18.3519566696955</v>
      </c>
      <c r="AT1116" s="2">
        <v>18.867115909632801</v>
      </c>
      <c r="AU1116" s="2">
        <v>18.731981616883399</v>
      </c>
      <c r="AV1116" s="2">
        <v>19.304029621743702</v>
      </c>
      <c r="AW1116" s="2">
        <v>19.696360442025298</v>
      </c>
      <c r="AX1116" s="2">
        <v>18.348007024110998</v>
      </c>
      <c r="AY1116" s="2">
        <v>20.428496330929299</v>
      </c>
      <c r="AZ1116" s="2">
        <v>20.308873161925</v>
      </c>
      <c r="BA1116" s="2">
        <v>19.094054251380498</v>
      </c>
      <c r="BB1116" s="2">
        <v>19.127281419350801</v>
      </c>
      <c r="BC1116" s="2">
        <v>20.0509442964924</v>
      </c>
      <c r="BD1116" s="2">
        <v>19.114932891787699</v>
      </c>
      <c r="BE1116" s="2">
        <v>20.888884546291699</v>
      </c>
      <c r="BF1116" s="2">
        <v>18.567133529154901</v>
      </c>
      <c r="BG1116" s="2">
        <v>18.959919263979899</v>
      </c>
      <c r="BH1116" s="2">
        <v>19.385607747514001</v>
      </c>
      <c r="BI1116" s="2">
        <v>19.212290209424602</v>
      </c>
      <c r="BJ1116" s="2">
        <v>19.808163591695401</v>
      </c>
      <c r="BK1116" s="2">
        <v>18.2881606273905</v>
      </c>
      <c r="BL1116" s="2">
        <v>19.306968964393199</v>
      </c>
      <c r="BM1116" s="2">
        <v>19.1484299828128</v>
      </c>
      <c r="BN1116" s="2">
        <v>18.556199248781201</v>
      </c>
      <c r="BO1116" s="2">
        <v>19.0554206687919</v>
      </c>
      <c r="BP1116" s="2">
        <v>18.851185714147299</v>
      </c>
      <c r="BQ1116" s="2">
        <v>19.3893609430318</v>
      </c>
      <c r="BR1116" s="2">
        <v>18.086301911427299</v>
      </c>
      <c r="BS1116" s="2">
        <v>20.824098569137501</v>
      </c>
      <c r="BT1116" s="2">
        <v>19.848864447187299</v>
      </c>
      <c r="BU1116" s="2">
        <v>18.883141922196899</v>
      </c>
      <c r="BV1116" s="2">
        <v>19.0373540945005</v>
      </c>
      <c r="BW1116" s="2">
        <v>18.671460971583901</v>
      </c>
      <c r="BX1116" s="2">
        <v>19.071816922506301</v>
      </c>
      <c r="BY1116" s="2">
        <v>21.060696096584799</v>
      </c>
      <c r="BZ1116" s="2">
        <v>18.130503950438499</v>
      </c>
      <c r="CA1116" s="2">
        <v>18.828491466351299</v>
      </c>
      <c r="CB1116" s="2">
        <v>18.4092871309592</v>
      </c>
      <c r="CC1116" s="2">
        <v>19.373028910357501</v>
      </c>
      <c r="CD1116" s="2">
        <v>20.199905558233699</v>
      </c>
      <c r="CE1116" s="2">
        <v>19.1319363430168</v>
      </c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</row>
    <row r="1117" spans="1:97">
      <c r="A1117" s="2" t="s">
        <v>10195</v>
      </c>
      <c r="B1117" s="2">
        <v>335.07420999999999</v>
      </c>
      <c r="C1117" s="2">
        <v>4.2859999999999996</v>
      </c>
      <c r="D1117" s="2" t="s">
        <v>146</v>
      </c>
      <c r="E1117" s="2" t="s">
        <v>10196</v>
      </c>
      <c r="F1117" s="2" t="s">
        <v>10197</v>
      </c>
      <c r="G1117" s="2">
        <v>28844</v>
      </c>
      <c r="H1117" s="3" t="str">
        <f>HYPERLINK("https://cloud.oebiotech.com/#/lm/network/28844", "https://cloud.oebiotech.com/#/lm/network/28844")</f>
        <v>https://cloud.oebiotech.com/#/lm/network/28844</v>
      </c>
      <c r="I1117" s="2"/>
      <c r="J1117" s="2">
        <v>47240</v>
      </c>
      <c r="K1117" s="2" t="s">
        <v>10198</v>
      </c>
      <c r="L1117" s="2">
        <v>44257055</v>
      </c>
      <c r="M1117" s="2"/>
      <c r="N1117" s="2"/>
      <c r="O1117" s="2"/>
      <c r="P1117" s="2"/>
      <c r="Q1117" s="2"/>
      <c r="R1117" s="2"/>
      <c r="S1117" s="2"/>
      <c r="T1117" s="2" t="s">
        <v>10199</v>
      </c>
      <c r="U1117" s="2" t="s">
        <v>10200</v>
      </c>
      <c r="V1117" s="2" t="s">
        <v>845</v>
      </c>
      <c r="W1117" s="2" t="s">
        <v>1853</v>
      </c>
      <c r="X1117" s="2" t="s">
        <v>10201</v>
      </c>
      <c r="Y1117" s="2" t="s">
        <v>847</v>
      </c>
      <c r="Z1117" s="2" t="s">
        <v>1855</v>
      </c>
      <c r="AA1117" s="2" t="s">
        <v>10202</v>
      </c>
      <c r="AB1117" s="2" t="s">
        <v>5118</v>
      </c>
      <c r="AC1117" s="2">
        <v>49.05</v>
      </c>
      <c r="AD1117" s="2">
        <v>89.6</v>
      </c>
      <c r="AE1117" s="2">
        <v>69.8</v>
      </c>
      <c r="AF1117" s="2" t="s">
        <v>10203</v>
      </c>
      <c r="AG1117" s="2" t="s">
        <v>157</v>
      </c>
      <c r="AH1117" s="2" t="s">
        <v>10204</v>
      </c>
      <c r="AI1117" s="2">
        <v>8.9499999999999993</v>
      </c>
      <c r="AJ1117" s="2">
        <v>18.7771371087726</v>
      </c>
      <c r="AK1117" s="2">
        <v>18.702374684250199</v>
      </c>
      <c r="AL1117" s="2">
        <v>18.6069048048046</v>
      </c>
      <c r="AM1117" s="2">
        <v>18.660093135090801</v>
      </c>
      <c r="AN1117" s="2">
        <v>18.6902784583325</v>
      </c>
      <c r="AO1117" s="2">
        <v>18.518490841814302</v>
      </c>
      <c r="AP1117" s="2">
        <v>18.304920110344</v>
      </c>
      <c r="AQ1117" s="2">
        <v>18.6066623129893</v>
      </c>
      <c r="AR1117" s="2">
        <v>9.6233145402724691</v>
      </c>
      <c r="AS1117" s="2">
        <v>14.3849988704221</v>
      </c>
      <c r="AT1117" s="2">
        <v>18.3945660647361</v>
      </c>
      <c r="AU1117" s="2">
        <v>17.1026773003946</v>
      </c>
      <c r="AV1117" s="2">
        <v>19.371695150181999</v>
      </c>
      <c r="AW1117" s="2">
        <v>15.5609394029402</v>
      </c>
      <c r="AX1117" s="2">
        <v>19.603474963733198</v>
      </c>
      <c r="AY1117" s="2">
        <v>16.778533804557899</v>
      </c>
      <c r="AZ1117" s="2">
        <v>17.419648092185099</v>
      </c>
      <c r="BA1117" s="2">
        <v>18.750391551907999</v>
      </c>
      <c r="BB1117" s="2">
        <v>18.7411360587157</v>
      </c>
      <c r="BC1117" s="2">
        <v>17.08296637718</v>
      </c>
      <c r="BD1117" s="2">
        <v>16.448739669021901</v>
      </c>
      <c r="BE1117" s="2">
        <v>20.3756499272653</v>
      </c>
      <c r="BF1117" s="2">
        <v>18.210256300014201</v>
      </c>
      <c r="BG1117" s="2">
        <v>18.6417312645594</v>
      </c>
      <c r="BH1117" s="2">
        <v>9.6233145402724691</v>
      </c>
      <c r="BI1117" s="2">
        <v>20.934790560783899</v>
      </c>
      <c r="BJ1117" s="2">
        <v>17.825402866053999</v>
      </c>
      <c r="BK1117" s="2">
        <v>9.6233145402724691</v>
      </c>
      <c r="BL1117" s="2">
        <v>14.5522848399435</v>
      </c>
      <c r="BM1117" s="2">
        <v>18.739680715765999</v>
      </c>
      <c r="BN1117" s="2">
        <v>18.1693796415245</v>
      </c>
      <c r="BO1117" s="2">
        <v>19.741946354521101</v>
      </c>
      <c r="BP1117" s="2">
        <v>16.562539526069301</v>
      </c>
      <c r="BQ1117" s="2">
        <v>16.344056421470899</v>
      </c>
      <c r="BR1117" s="2">
        <v>19.313928715272301</v>
      </c>
      <c r="BS1117" s="2">
        <v>17.319451798213599</v>
      </c>
      <c r="BT1117" s="2">
        <v>13.073967472339801</v>
      </c>
      <c r="BU1117" s="2">
        <v>19.180390531492801</v>
      </c>
      <c r="BV1117" s="2">
        <v>18.579658780013599</v>
      </c>
      <c r="BW1117" s="2">
        <v>13.7000820345596</v>
      </c>
      <c r="BX1117" s="2">
        <v>9.6233145402724691</v>
      </c>
      <c r="BY1117" s="2">
        <v>20.570136671423199</v>
      </c>
      <c r="BZ1117" s="2">
        <v>13.907092521212199</v>
      </c>
      <c r="CA1117" s="2">
        <v>18.3792260474765</v>
      </c>
      <c r="CB1117" s="2">
        <v>14.237369819720501</v>
      </c>
      <c r="CC1117" s="2">
        <v>20.283395797990199</v>
      </c>
      <c r="CD1117" s="2">
        <v>15.576073304394299</v>
      </c>
      <c r="CE1117" s="2">
        <v>9.6233145402724691</v>
      </c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</row>
    <row r="1118" spans="1:97">
      <c r="A1118" s="2" t="s">
        <v>10205</v>
      </c>
      <c r="B1118" s="2">
        <v>525.03380000000004</v>
      </c>
      <c r="C1118" s="2">
        <v>4.3929999999999998</v>
      </c>
      <c r="D1118" s="2" t="s">
        <v>146</v>
      </c>
      <c r="E1118" s="2" t="s">
        <v>10206</v>
      </c>
      <c r="F1118" s="2" t="s">
        <v>10207</v>
      </c>
      <c r="G1118" s="2">
        <v>198671</v>
      </c>
      <c r="H1118" s="3" t="str">
        <f>HYPERLINK("https://cloud.oebiotech.com/#/lm/network/198671", "https://cloud.oebiotech.com/#/lm/network/198671")</f>
        <v>https://cloud.oebiotech.com/#/lm/network/198671</v>
      </c>
      <c r="I1118" s="2" t="s">
        <v>10208</v>
      </c>
      <c r="J1118" s="2"/>
      <c r="K1118" s="2"/>
      <c r="L1118" s="2">
        <v>129661189</v>
      </c>
      <c r="M1118" s="2"/>
      <c r="N1118" s="2"/>
      <c r="O1118" s="2"/>
      <c r="P1118" s="2"/>
      <c r="Q1118" s="2"/>
      <c r="R1118" s="2"/>
      <c r="S1118" s="2"/>
      <c r="T1118" s="2" t="s">
        <v>10209</v>
      </c>
      <c r="U1118" s="2" t="s">
        <v>10210</v>
      </c>
      <c r="V1118" s="2" t="s">
        <v>845</v>
      </c>
      <c r="W1118" s="2" t="s">
        <v>3853</v>
      </c>
      <c r="X1118" s="2" t="s">
        <v>10211</v>
      </c>
      <c r="Y1118" s="2" t="s">
        <v>847</v>
      </c>
      <c r="Z1118" s="2" t="s">
        <v>3855</v>
      </c>
      <c r="AA1118" s="2" t="s">
        <v>10212</v>
      </c>
      <c r="AB1118" s="2" t="s">
        <v>8443</v>
      </c>
      <c r="AC1118" s="2">
        <v>49.01</v>
      </c>
      <c r="AD1118" s="2">
        <v>81.56</v>
      </c>
      <c r="AE1118" s="2">
        <v>35.229999999999997</v>
      </c>
      <c r="AF1118" s="2" t="s">
        <v>10213</v>
      </c>
      <c r="AG1118" s="2" t="s">
        <v>194</v>
      </c>
      <c r="AH1118" s="2" t="s">
        <v>10214</v>
      </c>
      <c r="AI1118" s="2">
        <v>1.1399999999999999</v>
      </c>
      <c r="AJ1118" s="2">
        <v>17.180723485327398</v>
      </c>
      <c r="AK1118" s="2">
        <v>17.2084770038431</v>
      </c>
      <c r="AL1118" s="2">
        <v>17.196069834766</v>
      </c>
      <c r="AM1118" s="2">
        <v>16.794230922884399</v>
      </c>
      <c r="AN1118" s="2">
        <v>17.091061874513599</v>
      </c>
      <c r="AO1118" s="2">
        <v>17.020041174477399</v>
      </c>
      <c r="AP1118" s="2">
        <v>17.245938321622798</v>
      </c>
      <c r="AQ1118" s="2">
        <v>16.84016593654</v>
      </c>
      <c r="AR1118" s="2">
        <v>9.6233145402724691</v>
      </c>
      <c r="AS1118" s="2">
        <v>14.188150685728299</v>
      </c>
      <c r="AT1118" s="2">
        <v>12.8139995826857</v>
      </c>
      <c r="AU1118" s="2">
        <v>9.6233145402724691</v>
      </c>
      <c r="AV1118" s="2">
        <v>13.5553919905164</v>
      </c>
      <c r="AW1118" s="2">
        <v>17.389776683598701</v>
      </c>
      <c r="AX1118" s="2">
        <v>9.6233145402724691</v>
      </c>
      <c r="AY1118" s="2">
        <v>15.023740927580601</v>
      </c>
      <c r="AZ1118" s="2">
        <v>9.6233145402724691</v>
      </c>
      <c r="BA1118" s="2">
        <v>16.061964106569</v>
      </c>
      <c r="BB1118" s="2">
        <v>9.6233145402724691</v>
      </c>
      <c r="BC1118" s="2">
        <v>9.6233145402724691</v>
      </c>
      <c r="BD1118" s="2">
        <v>17.4830538353797</v>
      </c>
      <c r="BE1118" s="2">
        <v>9.6233145402724691</v>
      </c>
      <c r="BF1118" s="2">
        <v>16.003887234817999</v>
      </c>
      <c r="BG1118" s="2">
        <v>16.655026686892899</v>
      </c>
      <c r="BH1118" s="2">
        <v>9.6233145402724691</v>
      </c>
      <c r="BI1118" s="2">
        <v>14.6506299462883</v>
      </c>
      <c r="BJ1118" s="2">
        <v>9.6233145402724691</v>
      </c>
      <c r="BK1118" s="2">
        <v>20.414604633126601</v>
      </c>
      <c r="BL1118" s="2">
        <v>9.6233145402724691</v>
      </c>
      <c r="BM1118" s="2">
        <v>17.277607059425101</v>
      </c>
      <c r="BN1118" s="2">
        <v>17.881144020492702</v>
      </c>
      <c r="BO1118" s="2">
        <v>9.6233145402724691</v>
      </c>
      <c r="BP1118" s="2">
        <v>18.783946981117602</v>
      </c>
      <c r="BQ1118" s="2">
        <v>9.6233145402724691</v>
      </c>
      <c r="BR1118" s="2">
        <v>12.6652337522811</v>
      </c>
      <c r="BS1118" s="2">
        <v>9.6233145402724691</v>
      </c>
      <c r="BT1118" s="2">
        <v>9.6233145402724691</v>
      </c>
      <c r="BU1118" s="2">
        <v>16.897398679716201</v>
      </c>
      <c r="BV1118" s="2">
        <v>12.117646347773899</v>
      </c>
      <c r="BW1118" s="2">
        <v>9.6233145402724691</v>
      </c>
      <c r="BX1118" s="2">
        <v>14.931140082980001</v>
      </c>
      <c r="BY1118" s="2">
        <v>17.756044864760799</v>
      </c>
      <c r="BZ1118" s="2">
        <v>9.6233145402724691</v>
      </c>
      <c r="CA1118" s="2">
        <v>20.772413135898599</v>
      </c>
      <c r="CB1118" s="2">
        <v>16.081151769853498</v>
      </c>
      <c r="CC1118" s="2">
        <v>18.963736684956501</v>
      </c>
      <c r="CD1118" s="2">
        <v>9.6233145402724691</v>
      </c>
      <c r="CE1118" s="2">
        <v>19.943203003633201</v>
      </c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</row>
    <row r="1119" spans="1:97">
      <c r="A1119" s="2" t="s">
        <v>10215</v>
      </c>
      <c r="B1119" s="2">
        <v>261.18033000000003</v>
      </c>
      <c r="C1119" s="2">
        <v>0.76</v>
      </c>
      <c r="D1119" s="2" t="s">
        <v>84</v>
      </c>
      <c r="E1119" s="2" t="s">
        <v>10216</v>
      </c>
      <c r="F1119" s="2" t="s">
        <v>10217</v>
      </c>
      <c r="G1119" s="2">
        <v>595783</v>
      </c>
      <c r="H1119" s="3" t="str">
        <f>HYPERLINK("https://cloud.oebiotech.com/#/lm/network/595783", "https://cloud.oebiotech.com/#/lm/network/595783")</f>
        <v>https://cloud.oebiotech.com/#/lm/network/595783</v>
      </c>
      <c r="I1119" s="2"/>
      <c r="J1119" s="2"/>
      <c r="K1119" s="2"/>
      <c r="L1119" s="2">
        <v>85992116</v>
      </c>
      <c r="M1119" s="2"/>
      <c r="N1119" s="2"/>
      <c r="O1119" s="2"/>
      <c r="P1119" s="2"/>
      <c r="Q1119" s="2"/>
      <c r="R1119" s="2"/>
      <c r="S1119" s="2"/>
      <c r="T1119" s="2" t="s">
        <v>10218</v>
      </c>
      <c r="U1119" s="2" t="s">
        <v>10219</v>
      </c>
      <c r="V1119" s="2" t="s">
        <v>553</v>
      </c>
      <c r="W1119" s="2" t="s">
        <v>3192</v>
      </c>
      <c r="X1119" s="2" t="s">
        <v>4695</v>
      </c>
      <c r="Y1119" s="2" t="s">
        <v>556</v>
      </c>
      <c r="Z1119" s="2" t="s">
        <v>3194</v>
      </c>
      <c r="AA1119" s="2" t="s">
        <v>4696</v>
      </c>
      <c r="AB1119" s="2" t="s">
        <v>5118</v>
      </c>
      <c r="AC1119" s="2">
        <v>49</v>
      </c>
      <c r="AD1119" s="2">
        <v>92.29</v>
      </c>
      <c r="AE1119" s="2">
        <v>74.02</v>
      </c>
      <c r="AF1119" s="2" t="s">
        <v>10220</v>
      </c>
      <c r="AG1119" s="2" t="s">
        <v>132</v>
      </c>
      <c r="AH1119" s="2" t="s">
        <v>2347</v>
      </c>
      <c r="AI1119" s="2">
        <v>2.2999999999999998</v>
      </c>
      <c r="AJ1119" s="2">
        <v>21.4744526450915</v>
      </c>
      <c r="AK1119" s="2">
        <v>21.6476940523679</v>
      </c>
      <c r="AL1119" s="2">
        <v>21.3721389473105</v>
      </c>
      <c r="AM1119" s="2">
        <v>21.5966402686091</v>
      </c>
      <c r="AN1119" s="2">
        <v>21.5614559988535</v>
      </c>
      <c r="AO1119" s="2">
        <v>21.6197464790209</v>
      </c>
      <c r="AP1119" s="2">
        <v>21.322148502022401</v>
      </c>
      <c r="AQ1119" s="2">
        <v>21.453541773070398</v>
      </c>
      <c r="AR1119" s="2">
        <v>22.443392218699699</v>
      </c>
      <c r="AS1119" s="2">
        <v>9.6233145402724691</v>
      </c>
      <c r="AT1119" s="2">
        <v>17.9361033274287</v>
      </c>
      <c r="AU1119" s="2">
        <v>21.2008131119841</v>
      </c>
      <c r="AV1119" s="2">
        <v>21.631829963776902</v>
      </c>
      <c r="AW1119" s="2">
        <v>16.926426306849301</v>
      </c>
      <c r="AX1119" s="2">
        <v>20.801116230779702</v>
      </c>
      <c r="AY1119" s="2">
        <v>9.6233145402724691</v>
      </c>
      <c r="AZ1119" s="2">
        <v>17.072834034549</v>
      </c>
      <c r="BA1119" s="2">
        <v>17.487902666877801</v>
      </c>
      <c r="BB1119" s="2">
        <v>20.0436872905786</v>
      </c>
      <c r="BC1119" s="2">
        <v>9.6233145402724691</v>
      </c>
      <c r="BD1119" s="2">
        <v>21.3055239383066</v>
      </c>
      <c r="BE1119" s="2">
        <v>16.9779532342571</v>
      </c>
      <c r="BF1119" s="2">
        <v>19.1936654959332</v>
      </c>
      <c r="BG1119" s="2">
        <v>22.787385752635</v>
      </c>
      <c r="BH1119" s="2">
        <v>17.297250984667699</v>
      </c>
      <c r="BI1119" s="2">
        <v>18.844533041549798</v>
      </c>
      <c r="BJ1119" s="2">
        <v>9.6233145402724691</v>
      </c>
      <c r="BK1119" s="2">
        <v>18.080321797023601</v>
      </c>
      <c r="BL1119" s="2">
        <v>23.203737433359901</v>
      </c>
      <c r="BM1119" s="2">
        <v>20.8643878183473</v>
      </c>
      <c r="BN1119" s="2">
        <v>9.6233145402724691</v>
      </c>
      <c r="BO1119" s="2">
        <v>21.8859151094967</v>
      </c>
      <c r="BP1119" s="2">
        <v>22.505588547698501</v>
      </c>
      <c r="BQ1119" s="2">
        <v>20.6264673710983</v>
      </c>
      <c r="BR1119" s="2">
        <v>9.6233145402724691</v>
      </c>
      <c r="BS1119" s="2">
        <v>21.997944399546601</v>
      </c>
      <c r="BT1119" s="2">
        <v>22.541322900435599</v>
      </c>
      <c r="BU1119" s="2">
        <v>17.6967826962522</v>
      </c>
      <c r="BV1119" s="2">
        <v>22.163849813641001</v>
      </c>
      <c r="BW1119" s="2">
        <v>22.920417264160101</v>
      </c>
      <c r="BX1119" s="2">
        <v>18.6391494413635</v>
      </c>
      <c r="BY1119" s="2">
        <v>21.537267938098601</v>
      </c>
      <c r="BZ1119" s="2">
        <v>9.6233145402724691</v>
      </c>
      <c r="CA1119" s="2">
        <v>20.8811738182375</v>
      </c>
      <c r="CB1119" s="2">
        <v>19.819725695687101</v>
      </c>
      <c r="CC1119" s="2">
        <v>22.068527051424901</v>
      </c>
      <c r="CD1119" s="2">
        <v>22.054950601687398</v>
      </c>
      <c r="CE1119" s="2">
        <v>9.6233145402724691</v>
      </c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</row>
    <row r="1120" spans="1:97">
      <c r="A1120" s="2" t="s">
        <v>10221</v>
      </c>
      <c r="B1120" s="2">
        <v>315.09575999999998</v>
      </c>
      <c r="C1120" s="2">
        <v>3.9980000000000002</v>
      </c>
      <c r="D1120" s="2" t="s">
        <v>146</v>
      </c>
      <c r="E1120" s="2" t="s">
        <v>10222</v>
      </c>
      <c r="F1120" s="2" t="s">
        <v>10223</v>
      </c>
      <c r="G1120" s="2">
        <v>58865</v>
      </c>
      <c r="H1120" s="3" t="str">
        <f>HYPERLINK("https://cloud.oebiotech.com/#/lm/network/58865", "https://cloud.oebiotech.com/#/lm/network/58865")</f>
        <v>https://cloud.oebiotech.com/#/lm/network/58865</v>
      </c>
      <c r="I1120" s="2" t="s">
        <v>10224</v>
      </c>
      <c r="J1120" s="2"/>
      <c r="K1120" s="2"/>
      <c r="L1120" s="2">
        <v>72761836</v>
      </c>
      <c r="M1120" s="2"/>
      <c r="N1120" s="2"/>
      <c r="O1120" s="2"/>
      <c r="P1120" s="2"/>
      <c r="Q1120" s="2"/>
      <c r="R1120" s="2"/>
      <c r="S1120" s="2" t="s">
        <v>10225</v>
      </c>
      <c r="T1120" s="2" t="s">
        <v>10226</v>
      </c>
      <c r="U1120" s="2" t="s">
        <v>10227</v>
      </c>
      <c r="V1120" s="2" t="s">
        <v>338</v>
      </c>
      <c r="W1120" s="2" t="s">
        <v>339</v>
      </c>
      <c r="X1120" s="2" t="s">
        <v>663</v>
      </c>
      <c r="Y1120" s="2" t="s">
        <v>341</v>
      </c>
      <c r="Z1120" s="2" t="s">
        <v>341</v>
      </c>
      <c r="AA1120" s="2" t="s">
        <v>664</v>
      </c>
      <c r="AB1120" s="2" t="s">
        <v>3086</v>
      </c>
      <c r="AC1120" s="2">
        <v>48.98</v>
      </c>
      <c r="AD1120" s="2">
        <v>89.1</v>
      </c>
      <c r="AE1120" s="2">
        <v>0</v>
      </c>
      <c r="AF1120" s="2" t="s">
        <v>5614</v>
      </c>
      <c r="AG1120" s="2" t="s">
        <v>993</v>
      </c>
      <c r="AH1120" s="2" t="s">
        <v>10228</v>
      </c>
      <c r="AI1120" s="2">
        <v>7.3</v>
      </c>
      <c r="AJ1120" s="2">
        <v>17.370005193472299</v>
      </c>
      <c r="AK1120" s="2">
        <v>17.113426582685001</v>
      </c>
      <c r="AL1120" s="2">
        <v>17.2861571278175</v>
      </c>
      <c r="AM1120" s="2">
        <v>17.282902450051498</v>
      </c>
      <c r="AN1120" s="2">
        <v>17.1237518243823</v>
      </c>
      <c r="AO1120" s="2">
        <v>17.2658908908572</v>
      </c>
      <c r="AP1120" s="2">
        <v>17.323893994229199</v>
      </c>
      <c r="AQ1120" s="2">
        <v>16.667655444699399</v>
      </c>
      <c r="AR1120" s="2">
        <v>16.5208052662149</v>
      </c>
      <c r="AS1120" s="2">
        <v>15.6438528084543</v>
      </c>
      <c r="AT1120" s="2">
        <v>16.7563115960888</v>
      </c>
      <c r="AU1120" s="2">
        <v>17.089378166614701</v>
      </c>
      <c r="AV1120" s="2">
        <v>17.2561991961113</v>
      </c>
      <c r="AW1120" s="2">
        <v>17.399846247620001</v>
      </c>
      <c r="AX1120" s="2">
        <v>16.893756330976501</v>
      </c>
      <c r="AY1120" s="2">
        <v>16.6302794982455</v>
      </c>
      <c r="AZ1120" s="2">
        <v>16.8329687363814</v>
      </c>
      <c r="BA1120" s="2">
        <v>16.279446810491599</v>
      </c>
      <c r="BB1120" s="2">
        <v>17.488639382234201</v>
      </c>
      <c r="BC1120" s="2">
        <v>16.7738680988037</v>
      </c>
      <c r="BD1120" s="2">
        <v>15.9402743630164</v>
      </c>
      <c r="BE1120" s="2">
        <v>17.100368522572399</v>
      </c>
      <c r="BF1120" s="2">
        <v>17.1491662853003</v>
      </c>
      <c r="BG1120" s="2">
        <v>16.928921624887099</v>
      </c>
      <c r="BH1120" s="2">
        <v>16.944226368951501</v>
      </c>
      <c r="BI1120" s="2">
        <v>17.5421083860968</v>
      </c>
      <c r="BJ1120" s="2">
        <v>17.484547029857701</v>
      </c>
      <c r="BK1120" s="2">
        <v>17.0336887287522</v>
      </c>
      <c r="BL1120" s="2">
        <v>16.3179555715041</v>
      </c>
      <c r="BM1120" s="2">
        <v>17.443100245684199</v>
      </c>
      <c r="BN1120" s="2">
        <v>16.948267636739999</v>
      </c>
      <c r="BO1120" s="2">
        <v>17.139100239835901</v>
      </c>
      <c r="BP1120" s="2">
        <v>16.735576781013101</v>
      </c>
      <c r="BQ1120" s="2">
        <v>17.648734217820898</v>
      </c>
      <c r="BR1120" s="2">
        <v>16.8695536018204</v>
      </c>
      <c r="BS1120" s="2">
        <v>17.350270703192599</v>
      </c>
      <c r="BT1120" s="2">
        <v>16.687499529860101</v>
      </c>
      <c r="BU1120" s="2">
        <v>16.617931720747301</v>
      </c>
      <c r="BV1120" s="2">
        <v>16.7574862431258</v>
      </c>
      <c r="BW1120" s="2">
        <v>15.7945481174877</v>
      </c>
      <c r="BX1120" s="2">
        <v>16.8684571334441</v>
      </c>
      <c r="BY1120" s="2">
        <v>17.538900341452798</v>
      </c>
      <c r="BZ1120" s="2">
        <v>17.135040882964201</v>
      </c>
      <c r="CA1120" s="2">
        <v>17.5062226485468</v>
      </c>
      <c r="CB1120" s="2">
        <v>16.063439743469399</v>
      </c>
      <c r="CC1120" s="2">
        <v>16.7464888659119</v>
      </c>
      <c r="CD1120" s="2">
        <v>17.659195760054999</v>
      </c>
      <c r="CE1120" s="2">
        <v>16.904603107054299</v>
      </c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</row>
    <row r="1121" spans="1:97">
      <c r="A1121" s="2" t="s">
        <v>10229</v>
      </c>
      <c r="B1121" s="2">
        <v>247.16890000000001</v>
      </c>
      <c r="C1121" s="2">
        <v>8.8130000000000006</v>
      </c>
      <c r="D1121" s="2" t="s">
        <v>84</v>
      </c>
      <c r="E1121" s="2" t="s">
        <v>10230</v>
      </c>
      <c r="F1121" s="2" t="s">
        <v>10231</v>
      </c>
      <c r="G1121" s="2">
        <v>35578</v>
      </c>
      <c r="H1121" s="3" t="str">
        <f>HYPERLINK("https://cloud.oebiotech.com/#/lm/network/35578", "https://cloud.oebiotech.com/#/lm/network/35578")</f>
        <v>https://cloud.oebiotech.com/#/lm/network/35578</v>
      </c>
      <c r="I1121" s="2"/>
      <c r="J1121" s="2"/>
      <c r="K1121" s="2" t="s">
        <v>10232</v>
      </c>
      <c r="L1121" s="2">
        <v>15545710</v>
      </c>
      <c r="M1121" s="2"/>
      <c r="N1121" s="2"/>
      <c r="O1121" s="2"/>
      <c r="P1121" s="2"/>
      <c r="Q1121" s="2"/>
      <c r="R1121" s="2"/>
      <c r="S1121" s="2"/>
      <c r="T1121" s="2" t="s">
        <v>10233</v>
      </c>
      <c r="U1121" s="2" t="s">
        <v>10234</v>
      </c>
      <c r="V1121" s="2" t="s">
        <v>95</v>
      </c>
      <c r="W1121" s="2" t="s">
        <v>180</v>
      </c>
      <c r="X1121" s="2" t="s">
        <v>181</v>
      </c>
      <c r="Y1121" s="2" t="s">
        <v>98</v>
      </c>
      <c r="Z1121" s="2" t="s">
        <v>182</v>
      </c>
      <c r="AA1121" s="2" t="s">
        <v>183</v>
      </c>
      <c r="AB1121" s="2" t="s">
        <v>3086</v>
      </c>
      <c r="AC1121" s="2">
        <v>48.94</v>
      </c>
      <c r="AD1121" s="2">
        <v>89.94</v>
      </c>
      <c r="AE1121" s="2">
        <v>0</v>
      </c>
      <c r="AF1121" s="2" t="s">
        <v>5614</v>
      </c>
      <c r="AG1121" s="2" t="s">
        <v>1088</v>
      </c>
      <c r="AH1121" s="2" t="s">
        <v>6698</v>
      </c>
      <c r="AI1121" s="2">
        <v>3.64</v>
      </c>
      <c r="AJ1121" s="2">
        <v>19.7614681092655</v>
      </c>
      <c r="AK1121" s="2">
        <v>19.492495696848401</v>
      </c>
      <c r="AL1121" s="2">
        <v>19.295016864013899</v>
      </c>
      <c r="AM1121" s="2">
        <v>19.891968195625701</v>
      </c>
      <c r="AN1121" s="2">
        <v>19.240279572768198</v>
      </c>
      <c r="AO1121" s="2">
        <v>19.556844277644601</v>
      </c>
      <c r="AP1121" s="2">
        <v>19.769151039888499</v>
      </c>
      <c r="AQ1121" s="2">
        <v>19.141963443947301</v>
      </c>
      <c r="AR1121" s="2">
        <v>19.578041487782802</v>
      </c>
      <c r="AS1121" s="2">
        <v>19.162018996587999</v>
      </c>
      <c r="AT1121" s="2">
        <v>19.749259486623199</v>
      </c>
      <c r="AU1121" s="2">
        <v>19.850907446500301</v>
      </c>
      <c r="AV1121" s="2">
        <v>19.8048268315531</v>
      </c>
      <c r="AW1121" s="2">
        <v>19.344949459376899</v>
      </c>
      <c r="AX1121" s="2">
        <v>19.6791309810102</v>
      </c>
      <c r="AY1121" s="2">
        <v>19.698865263583599</v>
      </c>
      <c r="AZ1121" s="2">
        <v>19.493339072955798</v>
      </c>
      <c r="BA1121" s="2">
        <v>19.756995989543899</v>
      </c>
      <c r="BB1121" s="2">
        <v>19.480745479001801</v>
      </c>
      <c r="BC1121" s="2">
        <v>19.508418574132001</v>
      </c>
      <c r="BD1121" s="2">
        <v>19.7945676146207</v>
      </c>
      <c r="BE1121" s="2">
        <v>19.744478962523001</v>
      </c>
      <c r="BF1121" s="2">
        <v>19.675210924931999</v>
      </c>
      <c r="BG1121" s="2">
        <v>19.7358164080573</v>
      </c>
      <c r="BH1121" s="2">
        <v>19.8165533971743</v>
      </c>
      <c r="BI1121" s="2">
        <v>19.229507211115099</v>
      </c>
      <c r="BJ1121" s="2">
        <v>19.8608668157996</v>
      </c>
      <c r="BK1121" s="2">
        <v>19.4013172486641</v>
      </c>
      <c r="BL1121" s="2">
        <v>19.821532941844499</v>
      </c>
      <c r="BM1121" s="2">
        <v>19.725439171723501</v>
      </c>
      <c r="BN1121" s="2">
        <v>19.357633506991501</v>
      </c>
      <c r="BO1121" s="2">
        <v>19.6356899778403</v>
      </c>
      <c r="BP1121" s="2">
        <v>19.1724969255399</v>
      </c>
      <c r="BQ1121" s="2">
        <v>19.455963565411501</v>
      </c>
      <c r="BR1121" s="2">
        <v>19.5160042362868</v>
      </c>
      <c r="BS1121" s="2">
        <v>19.652062279983799</v>
      </c>
      <c r="BT1121" s="2">
        <v>19.710731229726999</v>
      </c>
      <c r="BU1121" s="2">
        <v>19.5216939021116</v>
      </c>
      <c r="BV1121" s="2">
        <v>19.477649286401601</v>
      </c>
      <c r="BW1121" s="2">
        <v>19.3123899174557</v>
      </c>
      <c r="BX1121" s="2">
        <v>19.629274450752501</v>
      </c>
      <c r="BY1121" s="2">
        <v>19.5151800558688</v>
      </c>
      <c r="BZ1121" s="2">
        <v>19.668598056153499</v>
      </c>
      <c r="CA1121" s="2">
        <v>19.697213703093901</v>
      </c>
      <c r="CB1121" s="2">
        <v>19.419691436882001</v>
      </c>
      <c r="CC1121" s="2">
        <v>19.561730626063</v>
      </c>
      <c r="CD1121" s="2">
        <v>18.955269019314699</v>
      </c>
      <c r="CE1121" s="2">
        <v>19.778557369199699</v>
      </c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</row>
    <row r="1122" spans="1:97">
      <c r="A1122" s="2" t="s">
        <v>10235</v>
      </c>
      <c r="B1122" s="2">
        <v>165.11331999999999</v>
      </c>
      <c r="C1122" s="2">
        <v>14.375999999999999</v>
      </c>
      <c r="D1122" s="2" t="s">
        <v>84</v>
      </c>
      <c r="E1122" s="2" t="s">
        <v>10236</v>
      </c>
      <c r="F1122" s="2" t="s">
        <v>10237</v>
      </c>
      <c r="G1122" s="2">
        <v>82854</v>
      </c>
      <c r="H1122" s="3" t="str">
        <f>HYPERLINK("https://cloud.oebiotech.com/#/lm/network/82854", "https://cloud.oebiotech.com/#/lm/network/82854")</f>
        <v>https://cloud.oebiotech.com/#/lm/network/82854</v>
      </c>
      <c r="I1122" s="2" t="s">
        <v>10238</v>
      </c>
      <c r="J1122" s="2">
        <v>1450</v>
      </c>
      <c r="K1122" s="2"/>
      <c r="L1122" s="2">
        <v>88747</v>
      </c>
      <c r="M1122" s="2"/>
      <c r="N1122" s="2"/>
      <c r="O1122" s="2"/>
      <c r="P1122" s="2"/>
      <c r="Q1122" s="2"/>
      <c r="R1122" s="2"/>
      <c r="S1122" s="2" t="s">
        <v>10239</v>
      </c>
      <c r="T1122" s="2" t="s">
        <v>10240</v>
      </c>
      <c r="U1122" s="2" t="s">
        <v>10241</v>
      </c>
      <c r="V1122" s="2" t="s">
        <v>553</v>
      </c>
      <c r="W1122" s="2" t="s">
        <v>10242</v>
      </c>
      <c r="X1122" s="2" t="s">
        <v>10243</v>
      </c>
      <c r="Y1122" s="2" t="s">
        <v>556</v>
      </c>
      <c r="Z1122" s="2" t="s">
        <v>10244</v>
      </c>
      <c r="AA1122" s="2" t="s">
        <v>10245</v>
      </c>
      <c r="AB1122" s="2" t="s">
        <v>5118</v>
      </c>
      <c r="AC1122" s="2">
        <v>48.92</v>
      </c>
      <c r="AD1122" s="2">
        <v>94.55</v>
      </c>
      <c r="AE1122" s="2">
        <v>63.86</v>
      </c>
      <c r="AF1122" s="2" t="s">
        <v>10246</v>
      </c>
      <c r="AG1122" s="2" t="s">
        <v>103</v>
      </c>
      <c r="AH1122" s="2" t="s">
        <v>10247</v>
      </c>
      <c r="AI1122" s="2">
        <v>1.21</v>
      </c>
      <c r="AJ1122" s="2">
        <v>21.841457533639101</v>
      </c>
      <c r="AK1122" s="2">
        <v>22.318024767816901</v>
      </c>
      <c r="AL1122" s="2">
        <v>22.406683761524299</v>
      </c>
      <c r="AM1122" s="2">
        <v>22.171999341585</v>
      </c>
      <c r="AN1122" s="2">
        <v>22.299808868027299</v>
      </c>
      <c r="AO1122" s="2">
        <v>21.878223063779799</v>
      </c>
      <c r="AP1122" s="2">
        <v>21.8054775531559</v>
      </c>
      <c r="AQ1122" s="2">
        <v>21.933026934063701</v>
      </c>
      <c r="AR1122" s="2">
        <v>22.400634747355799</v>
      </c>
      <c r="AS1122" s="2">
        <v>22.4116338565196</v>
      </c>
      <c r="AT1122" s="2">
        <v>22.445428206052</v>
      </c>
      <c r="AU1122" s="2">
        <v>21.997705155196101</v>
      </c>
      <c r="AV1122" s="2">
        <v>22.2436726176463</v>
      </c>
      <c r="AW1122" s="2">
        <v>22.236083191583401</v>
      </c>
      <c r="AX1122" s="2">
        <v>22.4588438160539</v>
      </c>
      <c r="AY1122" s="2">
        <v>20.953866492072901</v>
      </c>
      <c r="AZ1122" s="2">
        <v>21.013726510002801</v>
      </c>
      <c r="BA1122" s="2">
        <v>22.479599670673299</v>
      </c>
      <c r="BB1122" s="2">
        <v>22.1691663141637</v>
      </c>
      <c r="BC1122" s="2">
        <v>21.969403185402498</v>
      </c>
      <c r="BD1122" s="2">
        <v>22.1146678019769</v>
      </c>
      <c r="BE1122" s="2">
        <v>22.1405526661399</v>
      </c>
      <c r="BF1122" s="2">
        <v>22.102778817693601</v>
      </c>
      <c r="BG1122" s="2">
        <v>22.278773946662799</v>
      </c>
      <c r="BH1122" s="2">
        <v>21.221192421056699</v>
      </c>
      <c r="BI1122" s="2">
        <v>22.3400342872133</v>
      </c>
      <c r="BJ1122" s="2">
        <v>22.3690583642672</v>
      </c>
      <c r="BK1122" s="2">
        <v>21.047231278766802</v>
      </c>
      <c r="BL1122" s="2">
        <v>21.450269193308898</v>
      </c>
      <c r="BM1122" s="2">
        <v>22.354578658395901</v>
      </c>
      <c r="BN1122" s="2">
        <v>21.763388348773301</v>
      </c>
      <c r="BO1122" s="2">
        <v>21.1659791008612</v>
      </c>
      <c r="BP1122" s="2">
        <v>22.201835838410801</v>
      </c>
      <c r="BQ1122" s="2">
        <v>21.579599794746901</v>
      </c>
      <c r="BR1122" s="2">
        <v>22.0795060536196</v>
      </c>
      <c r="BS1122" s="2">
        <v>22.084226458025402</v>
      </c>
      <c r="BT1122" s="2">
        <v>22.324129888623201</v>
      </c>
      <c r="BU1122" s="2">
        <v>22.1085890163247</v>
      </c>
      <c r="BV1122" s="2">
        <v>22.185363920680398</v>
      </c>
      <c r="BW1122" s="2">
        <v>20.7081724562271</v>
      </c>
      <c r="BX1122" s="2">
        <v>22.191648917149301</v>
      </c>
      <c r="BY1122" s="2">
        <v>21.7770875361037</v>
      </c>
      <c r="BZ1122" s="2">
        <v>21.814124154481899</v>
      </c>
      <c r="CA1122" s="2">
        <v>22.295755938351402</v>
      </c>
      <c r="CB1122" s="2">
        <v>22.090310757856301</v>
      </c>
      <c r="CC1122" s="2">
        <v>22.150443420915799</v>
      </c>
      <c r="CD1122" s="2">
        <v>21.8010577152785</v>
      </c>
      <c r="CE1122" s="2">
        <v>20.730021082606299</v>
      </c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</row>
    <row r="1123" spans="1:97">
      <c r="A1123" s="2" t="s">
        <v>10248</v>
      </c>
      <c r="B1123" s="2">
        <v>500.13668000000001</v>
      </c>
      <c r="C1123" s="2">
        <v>4.4480000000000004</v>
      </c>
      <c r="D1123" s="2" t="s">
        <v>84</v>
      </c>
      <c r="E1123" s="2" t="s">
        <v>10249</v>
      </c>
      <c r="F1123" s="2" t="s">
        <v>10250</v>
      </c>
      <c r="G1123" s="2">
        <v>64702</v>
      </c>
      <c r="H1123" s="3" t="str">
        <f>HYPERLINK("https://cloud.oebiotech.com/#/lm/network/64702", "https://cloud.oebiotech.com/#/lm/network/64702")</f>
        <v>https://cloud.oebiotech.com/#/lm/network/64702</v>
      </c>
      <c r="I1123" s="2" t="s">
        <v>10251</v>
      </c>
      <c r="J1123" s="2">
        <v>96002</v>
      </c>
      <c r="K1123" s="2"/>
      <c r="L1123" s="2">
        <v>101449862</v>
      </c>
      <c r="M1123" s="2"/>
      <c r="N1123" s="2"/>
      <c r="O1123" s="2"/>
      <c r="P1123" s="2">
        <v>168759</v>
      </c>
      <c r="Q1123" s="2"/>
      <c r="R1123" s="2"/>
      <c r="S1123" s="2"/>
      <c r="T1123" s="2" t="s">
        <v>10252</v>
      </c>
      <c r="U1123" s="2" t="s">
        <v>10253</v>
      </c>
      <c r="V1123" s="2" t="s">
        <v>845</v>
      </c>
      <c r="W1123" s="2" t="s">
        <v>1853</v>
      </c>
      <c r="X1123" s="2" t="s">
        <v>6175</v>
      </c>
      <c r="Y1123" s="2" t="s">
        <v>847</v>
      </c>
      <c r="Z1123" s="2" t="s">
        <v>1855</v>
      </c>
      <c r="AA1123" s="2" t="s">
        <v>6176</v>
      </c>
      <c r="AB1123" s="2" t="s">
        <v>3086</v>
      </c>
      <c r="AC1123" s="2">
        <v>48.89</v>
      </c>
      <c r="AD1123" s="2">
        <v>84.55</v>
      </c>
      <c r="AE1123" s="2">
        <v>0</v>
      </c>
      <c r="AF1123" s="2" t="s">
        <v>5614</v>
      </c>
      <c r="AG1123" s="2" t="s">
        <v>132</v>
      </c>
      <c r="AH1123" s="2" t="s">
        <v>10254</v>
      </c>
      <c r="AI1123" s="2">
        <v>6.4</v>
      </c>
      <c r="AJ1123" s="2">
        <v>17.7009019334557</v>
      </c>
      <c r="AK1123" s="2">
        <v>17.783903063739601</v>
      </c>
      <c r="AL1123" s="2">
        <v>17.521262038366999</v>
      </c>
      <c r="AM1123" s="2">
        <v>18.0314265472615</v>
      </c>
      <c r="AN1123" s="2">
        <v>17.0427419000344</v>
      </c>
      <c r="AO1123" s="2">
        <v>17.6661160740795</v>
      </c>
      <c r="AP1123" s="2">
        <v>17.7516078659709</v>
      </c>
      <c r="AQ1123" s="2">
        <v>16.953267967640802</v>
      </c>
      <c r="AR1123" s="2">
        <v>17.592667624188699</v>
      </c>
      <c r="AS1123" s="2">
        <v>17.858654975504201</v>
      </c>
      <c r="AT1123" s="2">
        <v>18.176668863712401</v>
      </c>
      <c r="AU1123" s="2">
        <v>17.817020234976201</v>
      </c>
      <c r="AV1123" s="2">
        <v>17.865008322454099</v>
      </c>
      <c r="AW1123" s="2">
        <v>17.867335697235902</v>
      </c>
      <c r="AX1123" s="2">
        <v>17.674470292901301</v>
      </c>
      <c r="AY1123" s="2">
        <v>17.9772279281128</v>
      </c>
      <c r="AZ1123" s="2">
        <v>18.202755170921399</v>
      </c>
      <c r="BA1123" s="2">
        <v>17.573187249225001</v>
      </c>
      <c r="BB1123" s="2">
        <v>17.6477403860805</v>
      </c>
      <c r="BC1123" s="2">
        <v>17.72401609556</v>
      </c>
      <c r="BD1123" s="2">
        <v>17.943937404103899</v>
      </c>
      <c r="BE1123" s="2">
        <v>17.191192166359599</v>
      </c>
      <c r="BF1123" s="2">
        <v>17.656985304335901</v>
      </c>
      <c r="BG1123" s="2">
        <v>17.609002157095201</v>
      </c>
      <c r="BH1123" s="2">
        <v>17.4749458251808</v>
      </c>
      <c r="BI1123" s="2">
        <v>17.679946192292899</v>
      </c>
      <c r="BJ1123" s="2">
        <v>17.429015838777801</v>
      </c>
      <c r="BK1123" s="2">
        <v>17.288680013178901</v>
      </c>
      <c r="BL1123" s="2">
        <v>17.8593906455617</v>
      </c>
      <c r="BM1123" s="2">
        <v>17.9100575122966</v>
      </c>
      <c r="BN1123" s="2">
        <v>17.674788876083898</v>
      </c>
      <c r="BO1123" s="2">
        <v>17.778334043066302</v>
      </c>
      <c r="BP1123" s="2">
        <v>17.867085706962499</v>
      </c>
      <c r="BQ1123" s="2">
        <v>16.9249669505366</v>
      </c>
      <c r="BR1123" s="2">
        <v>17.771018174736799</v>
      </c>
      <c r="BS1123" s="2">
        <v>17.954088083748001</v>
      </c>
      <c r="BT1123" s="2">
        <v>17.425877260152198</v>
      </c>
      <c r="BU1123" s="2">
        <v>17.105399584891899</v>
      </c>
      <c r="BV1123" s="2">
        <v>17.616716822972101</v>
      </c>
      <c r="BW1123" s="2">
        <v>18.026003129540701</v>
      </c>
      <c r="BX1123" s="2">
        <v>17.785331003857799</v>
      </c>
      <c r="BY1123" s="2">
        <v>17.748500870365699</v>
      </c>
      <c r="BZ1123" s="2">
        <v>17.633778635005498</v>
      </c>
      <c r="CA1123" s="2">
        <v>18.225160355745</v>
      </c>
      <c r="CB1123" s="2">
        <v>17.1830040448909</v>
      </c>
      <c r="CC1123" s="2">
        <v>18.117788471399098</v>
      </c>
      <c r="CD1123" s="2">
        <v>18.070706815514399</v>
      </c>
      <c r="CE1123" s="2">
        <v>17.956541101156699</v>
      </c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</row>
    <row r="1124" spans="1:97">
      <c r="A1124" s="2" t="s">
        <v>10255</v>
      </c>
      <c r="B1124" s="2">
        <v>307.18873000000002</v>
      </c>
      <c r="C1124" s="2">
        <v>10.237</v>
      </c>
      <c r="D1124" s="2" t="s">
        <v>146</v>
      </c>
      <c r="E1124" s="2" t="s">
        <v>10256</v>
      </c>
      <c r="F1124" s="2" t="s">
        <v>10257</v>
      </c>
      <c r="G1124" s="2">
        <v>2987</v>
      </c>
      <c r="H1124" s="3" t="str">
        <f>HYPERLINK("https://cloud.oebiotech.com/#/lm/network/2987", "https://cloud.oebiotech.com/#/lm/network/2987")</f>
        <v>https://cloud.oebiotech.com/#/lm/network/2987</v>
      </c>
      <c r="I1124" s="2"/>
      <c r="J1124" s="2">
        <v>74953</v>
      </c>
      <c r="K1124" s="2" t="s">
        <v>10258</v>
      </c>
      <c r="L1124" s="2">
        <v>16061057</v>
      </c>
      <c r="M1124" s="2"/>
      <c r="N1124" s="2"/>
      <c r="O1124" s="2"/>
      <c r="P1124" s="2"/>
      <c r="Q1124" s="2"/>
      <c r="R1124" s="2"/>
      <c r="S1124" s="2"/>
      <c r="T1124" s="2" t="s">
        <v>10259</v>
      </c>
      <c r="U1124" s="2" t="s">
        <v>10260</v>
      </c>
      <c r="V1124" s="2" t="s">
        <v>95</v>
      </c>
      <c r="W1124" s="2" t="s">
        <v>96</v>
      </c>
      <c r="X1124" s="2" t="s">
        <v>919</v>
      </c>
      <c r="Y1124" s="2" t="s">
        <v>98</v>
      </c>
      <c r="Z1124" s="2" t="s">
        <v>99</v>
      </c>
      <c r="AA1124" s="2" t="s">
        <v>920</v>
      </c>
      <c r="AB1124" s="2" t="s">
        <v>3086</v>
      </c>
      <c r="AC1124" s="2">
        <v>48.86</v>
      </c>
      <c r="AD1124" s="2">
        <v>88.03</v>
      </c>
      <c r="AE1124" s="2">
        <v>0</v>
      </c>
      <c r="AF1124" s="2" t="s">
        <v>5614</v>
      </c>
      <c r="AG1124" s="2" t="s">
        <v>993</v>
      </c>
      <c r="AH1124" s="2" t="s">
        <v>10261</v>
      </c>
      <c r="AI1124" s="2">
        <v>7.16</v>
      </c>
      <c r="AJ1124" s="2">
        <v>18.675077919103401</v>
      </c>
      <c r="AK1124" s="2">
        <v>18.247969037785499</v>
      </c>
      <c r="AL1124" s="2">
        <v>18.428774107836301</v>
      </c>
      <c r="AM1124" s="2">
        <v>18.212608616407799</v>
      </c>
      <c r="AN1124" s="2">
        <v>18.423355143696099</v>
      </c>
      <c r="AO1124" s="2">
        <v>18.324001534982798</v>
      </c>
      <c r="AP1124" s="2">
        <v>18.431478424565601</v>
      </c>
      <c r="AQ1124" s="2">
        <v>18.6098125416264</v>
      </c>
      <c r="AR1124" s="2">
        <v>18.447566000327502</v>
      </c>
      <c r="AS1124" s="2">
        <v>16.155935685639299</v>
      </c>
      <c r="AT1124" s="2">
        <v>18.2260346853665</v>
      </c>
      <c r="AU1124" s="2">
        <v>18.6764997809465</v>
      </c>
      <c r="AV1124" s="2">
        <v>17.896693848446802</v>
      </c>
      <c r="AW1124" s="2">
        <v>18.969511115929201</v>
      </c>
      <c r="AX1124" s="2">
        <v>17.388188696132801</v>
      </c>
      <c r="AY1124" s="2">
        <v>18.907473637469</v>
      </c>
      <c r="AZ1124" s="2">
        <v>16.725156799459999</v>
      </c>
      <c r="BA1124" s="2">
        <v>17.177391214075602</v>
      </c>
      <c r="BB1124" s="2">
        <v>18.2942435320318</v>
      </c>
      <c r="BC1124" s="2">
        <v>18.129426363554099</v>
      </c>
      <c r="BD1124" s="2">
        <v>16.407500304384399</v>
      </c>
      <c r="BE1124" s="2">
        <v>18.279140302837298</v>
      </c>
      <c r="BF1124" s="2">
        <v>17.606149910473899</v>
      </c>
      <c r="BG1124" s="2">
        <v>16.477766644623099</v>
      </c>
      <c r="BH1124" s="2">
        <v>19.619436331760699</v>
      </c>
      <c r="BI1124" s="2">
        <v>18.6650380432554</v>
      </c>
      <c r="BJ1124" s="2">
        <v>18.571329361445301</v>
      </c>
      <c r="BK1124" s="2">
        <v>17.894166866983401</v>
      </c>
      <c r="BL1124" s="2">
        <v>17.8226822924617</v>
      </c>
      <c r="BM1124" s="2">
        <v>18.1963386949888</v>
      </c>
      <c r="BN1124" s="2">
        <v>17.768174372090801</v>
      </c>
      <c r="BO1124" s="2">
        <v>16.8326116713522</v>
      </c>
      <c r="BP1124" s="2">
        <v>17.575282264574899</v>
      </c>
      <c r="BQ1124" s="2">
        <v>18.0921460315625</v>
      </c>
      <c r="BR1124" s="2">
        <v>17.533808330511501</v>
      </c>
      <c r="BS1124" s="2">
        <v>18.1618369637056</v>
      </c>
      <c r="BT1124" s="2">
        <v>16.503698583714101</v>
      </c>
      <c r="BU1124" s="2">
        <v>18.092100029158701</v>
      </c>
      <c r="BV1124" s="2">
        <v>17.068691801005201</v>
      </c>
      <c r="BW1124" s="2">
        <v>18.538760140928801</v>
      </c>
      <c r="BX1124" s="2">
        <v>16.802905183051799</v>
      </c>
      <c r="BY1124" s="2">
        <v>18.655328172341498</v>
      </c>
      <c r="BZ1124" s="2">
        <v>18.702047757969599</v>
      </c>
      <c r="CA1124" s="2">
        <v>17.7971758389358</v>
      </c>
      <c r="CB1124" s="2">
        <v>17.6515527735734</v>
      </c>
      <c r="CC1124" s="2">
        <v>17.206803473107399</v>
      </c>
      <c r="CD1124" s="2">
        <v>17.854303563642301</v>
      </c>
      <c r="CE1124" s="2">
        <v>17.920124566503201</v>
      </c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</row>
    <row r="1125" spans="1:97">
      <c r="A1125" s="2" t="s">
        <v>10262</v>
      </c>
      <c r="B1125" s="2">
        <v>412.28408999999999</v>
      </c>
      <c r="C1125" s="2">
        <v>7.5049999999999999</v>
      </c>
      <c r="D1125" s="2" t="s">
        <v>84</v>
      </c>
      <c r="E1125" s="2" t="s">
        <v>10263</v>
      </c>
      <c r="F1125" s="2" t="s">
        <v>10264</v>
      </c>
      <c r="G1125" s="2">
        <v>36927</v>
      </c>
      <c r="H1125" s="3" t="str">
        <f>HYPERLINK("https://cloud.oebiotech.com/#/lm/network/36927", "https://cloud.oebiotech.com/#/lm/network/36927")</f>
        <v>https://cloud.oebiotech.com/#/lm/network/36927</v>
      </c>
      <c r="I1125" s="2"/>
      <c r="J1125" s="2"/>
      <c r="K1125" s="2" t="s">
        <v>10265</v>
      </c>
      <c r="L1125" s="2">
        <v>16083083</v>
      </c>
      <c r="M1125" s="2"/>
      <c r="N1125" s="2"/>
      <c r="O1125" s="2"/>
      <c r="P1125" s="2"/>
      <c r="Q1125" s="2"/>
      <c r="R1125" s="2"/>
      <c r="S1125" s="2"/>
      <c r="T1125" s="2" t="s">
        <v>10266</v>
      </c>
      <c r="U1125" s="2" t="s">
        <v>10267</v>
      </c>
      <c r="V1125" s="2" t="s">
        <v>95</v>
      </c>
      <c r="W1125" s="2" t="s">
        <v>180</v>
      </c>
      <c r="X1125" s="2" t="s">
        <v>3643</v>
      </c>
      <c r="Y1125" s="2" t="s">
        <v>98</v>
      </c>
      <c r="Z1125" s="2" t="s">
        <v>182</v>
      </c>
      <c r="AA1125" s="2" t="s">
        <v>3644</v>
      </c>
      <c r="AB1125" s="2" t="s">
        <v>5118</v>
      </c>
      <c r="AC1125" s="2">
        <v>48.85</v>
      </c>
      <c r="AD1125" s="2">
        <v>96.74</v>
      </c>
      <c r="AE1125" s="2">
        <v>60.67</v>
      </c>
      <c r="AF1125" s="2" t="s">
        <v>10268</v>
      </c>
      <c r="AG1125" s="2" t="s">
        <v>132</v>
      </c>
      <c r="AH1125" s="2" t="s">
        <v>10269</v>
      </c>
      <c r="AI1125" s="2">
        <v>1.21</v>
      </c>
      <c r="AJ1125" s="2">
        <v>21.068372787042499</v>
      </c>
      <c r="AK1125" s="2">
        <v>21.158972364994899</v>
      </c>
      <c r="AL1125" s="2">
        <v>21.016345227053499</v>
      </c>
      <c r="AM1125" s="2">
        <v>21.135070132080202</v>
      </c>
      <c r="AN1125" s="2">
        <v>21.0120907903306</v>
      </c>
      <c r="AO1125" s="2">
        <v>21.072629952544201</v>
      </c>
      <c r="AP1125" s="2">
        <v>20.870526092256998</v>
      </c>
      <c r="AQ1125" s="2">
        <v>21.043765442305201</v>
      </c>
      <c r="AR1125" s="2">
        <v>20.1699549521012</v>
      </c>
      <c r="AS1125" s="2">
        <v>9.6233145402724691</v>
      </c>
      <c r="AT1125" s="2">
        <v>18.338062790691701</v>
      </c>
      <c r="AU1125" s="2">
        <v>19.858865268089399</v>
      </c>
      <c r="AV1125" s="2">
        <v>18.073206226714401</v>
      </c>
      <c r="AW1125" s="2">
        <v>21.906158169048801</v>
      </c>
      <c r="AX1125" s="2">
        <v>18.418314817712599</v>
      </c>
      <c r="AY1125" s="2">
        <v>20.273718461438399</v>
      </c>
      <c r="AZ1125" s="2">
        <v>16.782372216136199</v>
      </c>
      <c r="BA1125" s="2">
        <v>9.6233145402724691</v>
      </c>
      <c r="BB1125" s="2">
        <v>22.5949968375268</v>
      </c>
      <c r="BC1125" s="2">
        <v>17.961031971816102</v>
      </c>
      <c r="BD1125" s="2">
        <v>16.235462309334899</v>
      </c>
      <c r="BE1125" s="2">
        <v>19.176777830882099</v>
      </c>
      <c r="BF1125" s="2">
        <v>17.091440448475101</v>
      </c>
      <c r="BG1125" s="2">
        <v>14.7500751978375</v>
      </c>
      <c r="BH1125" s="2">
        <v>18.229965111689602</v>
      </c>
      <c r="BI1125" s="2">
        <v>14.431670618044199</v>
      </c>
      <c r="BJ1125" s="2">
        <v>18.0224076404856</v>
      </c>
      <c r="BK1125" s="2">
        <v>20.2767893010904</v>
      </c>
      <c r="BL1125" s="2">
        <v>16.823770378961399</v>
      </c>
      <c r="BM1125" s="2">
        <v>20.3636386176671</v>
      </c>
      <c r="BN1125" s="2">
        <v>19.694764288570301</v>
      </c>
      <c r="BO1125" s="2">
        <v>16.8317074282824</v>
      </c>
      <c r="BP1125" s="2">
        <v>14.657948095444899</v>
      </c>
      <c r="BQ1125" s="2">
        <v>19.7744490813627</v>
      </c>
      <c r="BR1125" s="2">
        <v>19.165622112831301</v>
      </c>
      <c r="BS1125" s="2">
        <v>19.278602022305002</v>
      </c>
      <c r="BT1125" s="2">
        <v>16.375388214755802</v>
      </c>
      <c r="BU1125" s="2">
        <v>14.944950843543101</v>
      </c>
      <c r="BV1125" s="2">
        <v>21.871338491204501</v>
      </c>
      <c r="BW1125" s="2">
        <v>17.013763087967799</v>
      </c>
      <c r="BX1125" s="2">
        <v>17.751339151925698</v>
      </c>
      <c r="BY1125" s="2">
        <v>17.771704815691699</v>
      </c>
      <c r="BZ1125" s="2">
        <v>19.1949788684671</v>
      </c>
      <c r="CA1125" s="2">
        <v>18.440611653729199</v>
      </c>
      <c r="CB1125" s="2">
        <v>19.1901792688322</v>
      </c>
      <c r="CC1125" s="2">
        <v>15.4771621843089</v>
      </c>
      <c r="CD1125" s="2">
        <v>18.595133326929702</v>
      </c>
      <c r="CE1125" s="2">
        <v>16.495710462900199</v>
      </c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</row>
    <row r="1126" spans="1:97">
      <c r="A1126" s="2" t="s">
        <v>10270</v>
      </c>
      <c r="B1126" s="2">
        <v>637.35541000000001</v>
      </c>
      <c r="C1126" s="2">
        <v>7.2270000000000003</v>
      </c>
      <c r="D1126" s="2" t="s">
        <v>84</v>
      </c>
      <c r="E1126" s="2" t="s">
        <v>10271</v>
      </c>
      <c r="F1126" s="2" t="s">
        <v>10272</v>
      </c>
      <c r="G1126" s="2">
        <v>44819</v>
      </c>
      <c r="H1126" s="3" t="str">
        <f>HYPERLINK("https://cloud.oebiotech.com/#/lm/network/44819", "https://cloud.oebiotech.com/#/lm/network/44819")</f>
        <v>https://cloud.oebiotech.com/#/lm/network/44819</v>
      </c>
      <c r="I1126" s="2"/>
      <c r="J1126" s="2"/>
      <c r="K1126" s="2" t="s">
        <v>10273</v>
      </c>
      <c r="L1126" s="2">
        <v>10952344</v>
      </c>
      <c r="M1126" s="2"/>
      <c r="N1126" s="2"/>
      <c r="O1126" s="2"/>
      <c r="P1126" s="2"/>
      <c r="Q1126" s="2"/>
      <c r="R1126" s="2"/>
      <c r="S1126" s="2"/>
      <c r="T1126" s="2" t="s">
        <v>10274</v>
      </c>
      <c r="U1126" s="2" t="s">
        <v>10275</v>
      </c>
      <c r="V1126" s="2" t="s">
        <v>95</v>
      </c>
      <c r="W1126" s="2" t="s">
        <v>152</v>
      </c>
      <c r="X1126" s="2" t="s">
        <v>9622</v>
      </c>
      <c r="Y1126" s="2" t="s">
        <v>98</v>
      </c>
      <c r="Z1126" s="2" t="s">
        <v>154</v>
      </c>
      <c r="AA1126" s="2" t="s">
        <v>9623</v>
      </c>
      <c r="AB1126" s="2" t="s">
        <v>3086</v>
      </c>
      <c r="AC1126" s="2">
        <v>48.84</v>
      </c>
      <c r="AD1126" s="2">
        <v>90.14</v>
      </c>
      <c r="AE1126" s="2">
        <v>0</v>
      </c>
      <c r="AF1126" s="2" t="s">
        <v>10276</v>
      </c>
      <c r="AG1126" s="2" t="s">
        <v>103</v>
      </c>
      <c r="AH1126" s="2" t="s">
        <v>10277</v>
      </c>
      <c r="AI1126" s="2">
        <v>4.3899999999999997</v>
      </c>
      <c r="AJ1126" s="2">
        <v>18.5620398739153</v>
      </c>
      <c r="AK1126" s="2">
        <v>18.727363606171998</v>
      </c>
      <c r="AL1126" s="2">
        <v>18.764879201917001</v>
      </c>
      <c r="AM1126" s="2">
        <v>18.467119324311799</v>
      </c>
      <c r="AN1126" s="2">
        <v>18.860912769806099</v>
      </c>
      <c r="AO1126" s="2">
        <v>18.725884979348699</v>
      </c>
      <c r="AP1126" s="2">
        <v>18.550217136437102</v>
      </c>
      <c r="AQ1126" s="2">
        <v>18.5789087593053</v>
      </c>
      <c r="AR1126" s="2">
        <v>18.426681666153598</v>
      </c>
      <c r="AS1126" s="2">
        <v>16.065076963860498</v>
      </c>
      <c r="AT1126" s="2">
        <v>18.160959607666001</v>
      </c>
      <c r="AU1126" s="2">
        <v>17.515756423413599</v>
      </c>
      <c r="AV1126" s="2">
        <v>19.05906521903</v>
      </c>
      <c r="AW1126" s="2">
        <v>19.287855875485199</v>
      </c>
      <c r="AX1126" s="2">
        <v>18.6295532097466</v>
      </c>
      <c r="AY1126" s="2">
        <v>19.148703822513401</v>
      </c>
      <c r="AZ1126" s="2">
        <v>18.212138830434501</v>
      </c>
      <c r="BA1126" s="2">
        <v>19.257641994566299</v>
      </c>
      <c r="BB1126" s="2">
        <v>18.201932595508602</v>
      </c>
      <c r="BC1126" s="2">
        <v>18.982171344173601</v>
      </c>
      <c r="BD1126" s="2">
        <v>18.188197975932699</v>
      </c>
      <c r="BE1126" s="2">
        <v>19.0055433580354</v>
      </c>
      <c r="BF1126" s="2">
        <v>18.122048362936901</v>
      </c>
      <c r="BG1126" s="2">
        <v>18.580737011067601</v>
      </c>
      <c r="BH1126" s="2">
        <v>18.332211549512898</v>
      </c>
      <c r="BI1126" s="2">
        <v>19.240445474248499</v>
      </c>
      <c r="BJ1126" s="2">
        <v>18.730356592924299</v>
      </c>
      <c r="BK1126" s="2">
        <v>18.711138575511999</v>
      </c>
      <c r="BL1126" s="2">
        <v>17.577419681339101</v>
      </c>
      <c r="BM1126" s="2">
        <v>17.254019725226499</v>
      </c>
      <c r="BN1126" s="2">
        <v>18.794826858610001</v>
      </c>
      <c r="BO1126" s="2">
        <v>17.151833533352999</v>
      </c>
      <c r="BP1126" s="2">
        <v>19.2229206474641</v>
      </c>
      <c r="BQ1126" s="2">
        <v>18.785786729562702</v>
      </c>
      <c r="BR1126" s="2">
        <v>18.952210124651799</v>
      </c>
      <c r="BS1126" s="2">
        <v>19.1038845385794</v>
      </c>
      <c r="BT1126" s="2">
        <v>18.400819745140701</v>
      </c>
      <c r="BU1126" s="2">
        <v>19.140218668320902</v>
      </c>
      <c r="BV1126" s="2">
        <v>17.990209134372101</v>
      </c>
      <c r="BW1126" s="2">
        <v>18.3382089400524</v>
      </c>
      <c r="BX1126" s="2">
        <v>17.966818315083799</v>
      </c>
      <c r="BY1126" s="2">
        <v>19.8063614441391</v>
      </c>
      <c r="BZ1126" s="2">
        <v>19.418677751772801</v>
      </c>
      <c r="CA1126" s="2">
        <v>17.9330116965006</v>
      </c>
      <c r="CB1126" s="2">
        <v>18.212227431708399</v>
      </c>
      <c r="CC1126" s="2">
        <v>19.377665580427202</v>
      </c>
      <c r="CD1126" s="2">
        <v>19.055940381588499</v>
      </c>
      <c r="CE1126" s="2">
        <v>18.567172568925201</v>
      </c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</row>
    <row r="1127" spans="1:97">
      <c r="A1127" s="2" t="s">
        <v>10278</v>
      </c>
      <c r="B1127" s="2">
        <v>420.15793000000002</v>
      </c>
      <c r="C1127" s="2">
        <v>4.8579999999999997</v>
      </c>
      <c r="D1127" s="2" t="s">
        <v>84</v>
      </c>
      <c r="E1127" s="2" t="s">
        <v>10279</v>
      </c>
      <c r="F1127" s="2" t="s">
        <v>10280</v>
      </c>
      <c r="G1127" s="2">
        <v>203738</v>
      </c>
      <c r="H1127" s="3" t="str">
        <f>HYPERLINK("https://cloud.oebiotech.com/#/lm/network/203738", "https://cloud.oebiotech.com/#/lm/network/203738")</f>
        <v>https://cloud.oebiotech.com/#/lm/network/203738</v>
      </c>
      <c r="I1127" s="2" t="s">
        <v>10281</v>
      </c>
      <c r="J1127" s="2"/>
      <c r="K1127" s="2"/>
      <c r="L1127" s="2">
        <v>135398495</v>
      </c>
      <c r="M1127" s="2"/>
      <c r="N1127" s="2"/>
      <c r="O1127" s="2"/>
      <c r="P1127" s="2"/>
      <c r="Q1127" s="2"/>
      <c r="R1127" s="2"/>
      <c r="S1127" s="2"/>
      <c r="T1127" s="2" t="s">
        <v>10282</v>
      </c>
      <c r="U1127" s="2" t="s">
        <v>10283</v>
      </c>
      <c r="V1127" s="2" t="s">
        <v>553</v>
      </c>
      <c r="W1127" s="2" t="s">
        <v>9812</v>
      </c>
      <c r="X1127" s="2" t="s">
        <v>375</v>
      </c>
      <c r="Y1127" s="2" t="s">
        <v>556</v>
      </c>
      <c r="Z1127" s="2" t="s">
        <v>9814</v>
      </c>
      <c r="AA1127" s="2"/>
      <c r="AB1127" s="2" t="s">
        <v>3086</v>
      </c>
      <c r="AC1127" s="2">
        <v>48.8</v>
      </c>
      <c r="AD1127" s="2">
        <v>74.58</v>
      </c>
      <c r="AE1127" s="2">
        <v>32.0592857142857</v>
      </c>
      <c r="AF1127" s="2" t="s">
        <v>10284</v>
      </c>
      <c r="AG1127" s="2" t="s">
        <v>3544</v>
      </c>
      <c r="AH1127" s="2" t="s">
        <v>10285</v>
      </c>
      <c r="AI1127" s="2">
        <v>-8.09</v>
      </c>
      <c r="AJ1127" s="2">
        <v>19.213437232809099</v>
      </c>
      <c r="AK1127" s="2">
        <v>18.755105242774899</v>
      </c>
      <c r="AL1127" s="2">
        <v>19.461283749314099</v>
      </c>
      <c r="AM1127" s="2">
        <v>19.1994234208981</v>
      </c>
      <c r="AN1127" s="2">
        <v>18.572865804546499</v>
      </c>
      <c r="AO1127" s="2">
        <v>18.474871697796001</v>
      </c>
      <c r="AP1127" s="2">
        <v>18.915748227265599</v>
      </c>
      <c r="AQ1127" s="2">
        <v>18.787267976752101</v>
      </c>
      <c r="AR1127" s="2">
        <v>17.2926564000187</v>
      </c>
      <c r="AS1127" s="2">
        <v>18.468857319782899</v>
      </c>
      <c r="AT1127" s="2">
        <v>19.665396990574799</v>
      </c>
      <c r="AU1127" s="2">
        <v>17.1982606639883</v>
      </c>
      <c r="AV1127" s="2">
        <v>18.252664554785898</v>
      </c>
      <c r="AW1127" s="2">
        <v>18.582417188248399</v>
      </c>
      <c r="AX1127" s="2">
        <v>18.070017037334999</v>
      </c>
      <c r="AY1127" s="2">
        <v>18.035391189206798</v>
      </c>
      <c r="AZ1127" s="2">
        <v>17.207027479217299</v>
      </c>
      <c r="BA1127" s="2">
        <v>18.621403623958201</v>
      </c>
      <c r="BB1127" s="2">
        <v>19.051689766209499</v>
      </c>
      <c r="BC1127" s="2">
        <v>20.220761414756101</v>
      </c>
      <c r="BD1127" s="2">
        <v>18.202864002544398</v>
      </c>
      <c r="BE1127" s="2">
        <v>19.082793240015299</v>
      </c>
      <c r="BF1127" s="2">
        <v>17.7268844215603</v>
      </c>
      <c r="BG1127" s="2">
        <v>19.330311062991399</v>
      </c>
      <c r="BH1127" s="2">
        <v>18.821469911663499</v>
      </c>
      <c r="BI1127" s="2">
        <v>18.998463390658301</v>
      </c>
      <c r="BJ1127" s="2">
        <v>19.369540010143002</v>
      </c>
      <c r="BK1127" s="2">
        <v>18.660671718769599</v>
      </c>
      <c r="BL1127" s="2">
        <v>18.6321939348352</v>
      </c>
      <c r="BM1127" s="2">
        <v>17.531690619843499</v>
      </c>
      <c r="BN1127" s="2">
        <v>18.9729661037257</v>
      </c>
      <c r="BO1127" s="2">
        <v>18.936739777440899</v>
      </c>
      <c r="BP1127" s="2">
        <v>19.1532439497003</v>
      </c>
      <c r="BQ1127" s="2">
        <v>18.6793635012279</v>
      </c>
      <c r="BR1127" s="2">
        <v>19.786697797181802</v>
      </c>
      <c r="BS1127" s="2">
        <v>18.5068476692304</v>
      </c>
      <c r="BT1127" s="2">
        <v>18.444528871594699</v>
      </c>
      <c r="BU1127" s="2">
        <v>18.6885949231715</v>
      </c>
      <c r="BV1127" s="2">
        <v>19.052351873391299</v>
      </c>
      <c r="BW1127" s="2">
        <v>19.206600368966299</v>
      </c>
      <c r="BX1127" s="2">
        <v>17.798011329391699</v>
      </c>
      <c r="BY1127" s="2">
        <v>18.109299899070798</v>
      </c>
      <c r="BZ1127" s="2">
        <v>17.492356527211101</v>
      </c>
      <c r="CA1127" s="2">
        <v>18.341922743892798</v>
      </c>
      <c r="CB1127" s="2">
        <v>17.469869048612001</v>
      </c>
      <c r="CC1127" s="2">
        <v>18.513985219090198</v>
      </c>
      <c r="CD1127" s="2">
        <v>19.7557397054821</v>
      </c>
      <c r="CE1127" s="2">
        <v>18.1966490924898</v>
      </c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</row>
    <row r="1128" spans="1:97">
      <c r="A1128" s="2" t="s">
        <v>10286</v>
      </c>
      <c r="B1128" s="2">
        <v>403.31943000000001</v>
      </c>
      <c r="C1128" s="2">
        <v>10.036</v>
      </c>
      <c r="D1128" s="2" t="s">
        <v>84</v>
      </c>
      <c r="E1128" s="2" t="s">
        <v>10287</v>
      </c>
      <c r="F1128" s="2" t="s">
        <v>10288</v>
      </c>
      <c r="G1128" s="2">
        <v>45710</v>
      </c>
      <c r="H1128" s="3" t="str">
        <f>HYPERLINK("https://cloud.oebiotech.com/#/lm/network/45710", "https://cloud.oebiotech.com/#/lm/network/45710")</f>
        <v>https://cloud.oebiotech.com/#/lm/network/45710</v>
      </c>
      <c r="I1128" s="2"/>
      <c r="J1128" s="2"/>
      <c r="K1128" s="2" t="s">
        <v>10289</v>
      </c>
      <c r="L1128" s="2">
        <v>9547650</v>
      </c>
      <c r="M1128" s="2"/>
      <c r="N1128" s="2"/>
      <c r="O1128" s="2"/>
      <c r="P1128" s="2"/>
      <c r="Q1128" s="2"/>
      <c r="R1128" s="2"/>
      <c r="S1128" s="2"/>
      <c r="T1128" s="2" t="s">
        <v>10290</v>
      </c>
      <c r="U1128" s="2" t="s">
        <v>10291</v>
      </c>
      <c r="V1128" s="2" t="s">
        <v>95</v>
      </c>
      <c r="W1128" s="2" t="s">
        <v>152</v>
      </c>
      <c r="X1128" s="2" t="s">
        <v>1484</v>
      </c>
      <c r="Y1128" s="2" t="s">
        <v>98</v>
      </c>
      <c r="Z1128" s="2" t="s">
        <v>154</v>
      </c>
      <c r="AA1128" s="2" t="s">
        <v>1485</v>
      </c>
      <c r="AB1128" s="2" t="s">
        <v>3086</v>
      </c>
      <c r="AC1128" s="2">
        <v>48.76</v>
      </c>
      <c r="AD1128" s="2">
        <v>91.33</v>
      </c>
      <c r="AE1128" s="2">
        <v>0</v>
      </c>
      <c r="AF1128" s="2" t="s">
        <v>5614</v>
      </c>
      <c r="AG1128" s="2" t="s">
        <v>1088</v>
      </c>
      <c r="AH1128" s="2" t="s">
        <v>8848</v>
      </c>
      <c r="AI1128" s="2">
        <v>4.71</v>
      </c>
      <c r="AJ1128" s="2">
        <v>23.54749014395</v>
      </c>
      <c r="AK1128" s="2">
        <v>24.004565398793002</v>
      </c>
      <c r="AL1128" s="2">
        <v>23.708473620421699</v>
      </c>
      <c r="AM1128" s="2">
        <v>23.655586076171701</v>
      </c>
      <c r="AN1128" s="2">
        <v>24.028668268969401</v>
      </c>
      <c r="AO1128" s="2">
        <v>23.793919029963199</v>
      </c>
      <c r="AP1128" s="2">
        <v>23.7921362588975</v>
      </c>
      <c r="AQ1128" s="2">
        <v>23.832637929541701</v>
      </c>
      <c r="AR1128" s="2">
        <v>24.1138991221152</v>
      </c>
      <c r="AS1128" s="2">
        <v>24.061717014568</v>
      </c>
      <c r="AT1128" s="2">
        <v>22.9411842993877</v>
      </c>
      <c r="AU1128" s="2">
        <v>23.885821374542701</v>
      </c>
      <c r="AV1128" s="2">
        <v>24.104738381749101</v>
      </c>
      <c r="AW1128" s="2">
        <v>22.997280010186401</v>
      </c>
      <c r="AX1128" s="2">
        <v>24.268577733031101</v>
      </c>
      <c r="AY1128" s="2">
        <v>23.957459015715799</v>
      </c>
      <c r="AZ1128" s="2">
        <v>24.230012500458699</v>
      </c>
      <c r="BA1128" s="2">
        <v>22.497507737903302</v>
      </c>
      <c r="BB1128" s="2">
        <v>24.112200024713498</v>
      </c>
      <c r="BC1128" s="2">
        <v>23.658737793960299</v>
      </c>
      <c r="BD1128" s="2">
        <v>23.3823081610497</v>
      </c>
      <c r="BE1128" s="2">
        <v>23.139033293902902</v>
      </c>
      <c r="BF1128" s="2">
        <v>23.972712607359199</v>
      </c>
      <c r="BG1128" s="2">
        <v>24.111627019297199</v>
      </c>
      <c r="BH1128" s="2">
        <v>23.8611410588761</v>
      </c>
      <c r="BI1128" s="2">
        <v>22.585466681796401</v>
      </c>
      <c r="BJ1128" s="2">
        <v>23.7491115329947</v>
      </c>
      <c r="BK1128" s="2">
        <v>23.193564737370099</v>
      </c>
      <c r="BL1128" s="2">
        <v>23.429090212820299</v>
      </c>
      <c r="BM1128" s="2">
        <v>23.703177885423599</v>
      </c>
      <c r="BN1128" s="2">
        <v>23.862510900706798</v>
      </c>
      <c r="BO1128" s="2">
        <v>23.506622515851799</v>
      </c>
      <c r="BP1128" s="2">
        <v>23.4411362374993</v>
      </c>
      <c r="BQ1128" s="2">
        <v>24.229439021351901</v>
      </c>
      <c r="BR1128" s="2">
        <v>24.030238363655599</v>
      </c>
      <c r="BS1128" s="2">
        <v>23.556235529368902</v>
      </c>
      <c r="BT1128" s="2">
        <v>23.512500103541999</v>
      </c>
      <c r="BU1128" s="2">
        <v>23.555018274254302</v>
      </c>
      <c r="BV1128" s="2">
        <v>23.917755951444999</v>
      </c>
      <c r="BW1128" s="2">
        <v>23.275755361688301</v>
      </c>
      <c r="BX1128" s="2">
        <v>23.927413441078301</v>
      </c>
      <c r="BY1128" s="2">
        <v>19.800331180803699</v>
      </c>
      <c r="BZ1128" s="2">
        <v>23.3746037473536</v>
      </c>
      <c r="CA1128" s="2">
        <v>23.7287701988583</v>
      </c>
      <c r="CB1128" s="2">
        <v>23.8613573632392</v>
      </c>
      <c r="CC1128" s="2">
        <v>20.714321184379202</v>
      </c>
      <c r="CD1128" s="2">
        <v>22.717195467845801</v>
      </c>
      <c r="CE1128" s="2">
        <v>21.899784705939499</v>
      </c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</row>
    <row r="1129" spans="1:97">
      <c r="A1129" s="2" t="s">
        <v>10292</v>
      </c>
      <c r="B1129" s="2">
        <v>448.99736999999999</v>
      </c>
      <c r="C1129" s="2">
        <v>0.79500000000000004</v>
      </c>
      <c r="D1129" s="2" t="s">
        <v>146</v>
      </c>
      <c r="E1129" s="2" t="s">
        <v>10293</v>
      </c>
      <c r="F1129" s="2" t="s">
        <v>10294</v>
      </c>
      <c r="G1129" s="2">
        <v>46981</v>
      </c>
      <c r="H1129" s="3" t="str">
        <f>HYPERLINK("https://cloud.oebiotech.com/#/lm/network/46981", "https://cloud.oebiotech.com/#/lm/network/46981")</f>
        <v>https://cloud.oebiotech.com/#/lm/network/46981</v>
      </c>
      <c r="I1129" s="2" t="s">
        <v>10295</v>
      </c>
      <c r="J1129" s="2"/>
      <c r="K1129" s="2"/>
      <c r="L1129" s="2">
        <v>6031</v>
      </c>
      <c r="M1129" s="2" t="s">
        <v>10296</v>
      </c>
      <c r="N1129" s="2" t="s">
        <v>9082</v>
      </c>
      <c r="O1129" s="2" t="s">
        <v>9083</v>
      </c>
      <c r="P1129" s="2">
        <v>17659</v>
      </c>
      <c r="Q1129" s="2" t="s">
        <v>10297</v>
      </c>
      <c r="R1129" s="2" t="s">
        <v>10298</v>
      </c>
      <c r="S1129" s="2" t="s">
        <v>10299</v>
      </c>
      <c r="T1129" s="2" t="s">
        <v>10300</v>
      </c>
      <c r="U1129" s="2" t="s">
        <v>10301</v>
      </c>
      <c r="V1129" s="2" t="s">
        <v>818</v>
      </c>
      <c r="W1129" s="2" t="s">
        <v>8374</v>
      </c>
      <c r="X1129" s="2" t="s">
        <v>10302</v>
      </c>
      <c r="Y1129" s="2" t="s">
        <v>820</v>
      </c>
      <c r="Z1129" s="2" t="s">
        <v>8376</v>
      </c>
      <c r="AA1129" s="2" t="s">
        <v>10303</v>
      </c>
      <c r="AB1129" s="2" t="s">
        <v>3086</v>
      </c>
      <c r="AC1129" s="2">
        <v>48.73</v>
      </c>
      <c r="AD1129" s="2">
        <v>91.58</v>
      </c>
      <c r="AE1129" s="2">
        <v>0</v>
      </c>
      <c r="AF1129" s="2" t="s">
        <v>5614</v>
      </c>
      <c r="AG1129" s="2" t="s">
        <v>157</v>
      </c>
      <c r="AH1129" s="2" t="s">
        <v>10304</v>
      </c>
      <c r="AI1129" s="2">
        <v>6.68</v>
      </c>
      <c r="AJ1129" s="2">
        <v>20.099296141913801</v>
      </c>
      <c r="AK1129" s="2">
        <v>20.690590211327901</v>
      </c>
      <c r="AL1129" s="2">
        <v>20.663360812520899</v>
      </c>
      <c r="AM1129" s="2">
        <v>20.558799875020899</v>
      </c>
      <c r="AN1129" s="2">
        <v>20.181376252907398</v>
      </c>
      <c r="AO1129" s="2">
        <v>19.987789616644399</v>
      </c>
      <c r="AP1129" s="2">
        <v>20.336827744764399</v>
      </c>
      <c r="AQ1129" s="2">
        <v>20.510409035765601</v>
      </c>
      <c r="AR1129" s="2">
        <v>20.174069764476599</v>
      </c>
      <c r="AS1129" s="2">
        <v>20.328249077593298</v>
      </c>
      <c r="AT1129" s="2">
        <v>20.3573713407167</v>
      </c>
      <c r="AU1129" s="2">
        <v>20.710627941870701</v>
      </c>
      <c r="AV1129" s="2">
        <v>20.344455417038599</v>
      </c>
      <c r="AW1129" s="2">
        <v>20.4879616870173</v>
      </c>
      <c r="AX1129" s="2">
        <v>20.220597437654199</v>
      </c>
      <c r="AY1129" s="2">
        <v>19.787913859089802</v>
      </c>
      <c r="AZ1129" s="2">
        <v>19.6120501781093</v>
      </c>
      <c r="BA1129" s="2">
        <v>20.6356150052661</v>
      </c>
      <c r="BB1129" s="2">
        <v>20.968567106437298</v>
      </c>
      <c r="BC1129" s="2">
        <v>20.9027871940627</v>
      </c>
      <c r="BD1129" s="2">
        <v>20.087263460328899</v>
      </c>
      <c r="BE1129" s="2">
        <v>20.233727515381801</v>
      </c>
      <c r="BF1129" s="2">
        <v>20.081935535762</v>
      </c>
      <c r="BG1129" s="2">
        <v>19.798969325105102</v>
      </c>
      <c r="BH1129" s="2">
        <v>19.812002994826301</v>
      </c>
      <c r="BI1129" s="2">
        <v>20.031932594797599</v>
      </c>
      <c r="BJ1129" s="2">
        <v>20.177697588949201</v>
      </c>
      <c r="BK1129" s="2">
        <v>19.557392947254801</v>
      </c>
      <c r="BL1129" s="2">
        <v>19.896102396327901</v>
      </c>
      <c r="BM1129" s="2">
        <v>21.209472791170999</v>
      </c>
      <c r="BN1129" s="2">
        <v>20.740786950124502</v>
      </c>
      <c r="BO1129" s="2">
        <v>20.2288676248298</v>
      </c>
      <c r="BP1129" s="2">
        <v>20.249776134845799</v>
      </c>
      <c r="BQ1129" s="2">
        <v>20.3932850650402</v>
      </c>
      <c r="BR1129" s="2">
        <v>19.806543077081599</v>
      </c>
      <c r="BS1129" s="2">
        <v>20.213458105878299</v>
      </c>
      <c r="BT1129" s="2">
        <v>20.484795650378398</v>
      </c>
      <c r="BU1129" s="2">
        <v>20.4191172969057</v>
      </c>
      <c r="BV1129" s="2">
        <v>20.375757114194599</v>
      </c>
      <c r="BW1129" s="2">
        <v>20.648917988686801</v>
      </c>
      <c r="BX1129" s="2">
        <v>20.898999627546999</v>
      </c>
      <c r="BY1129" s="2">
        <v>19.582960242846301</v>
      </c>
      <c r="BZ1129" s="2">
        <v>21.183416400625301</v>
      </c>
      <c r="CA1129" s="2">
        <v>19.7994945351406</v>
      </c>
      <c r="CB1129" s="2">
        <v>20.479791619888001</v>
      </c>
      <c r="CC1129" s="2">
        <v>20.452468121960099</v>
      </c>
      <c r="CD1129" s="2">
        <v>20.085549222722999</v>
      </c>
      <c r="CE1129" s="2">
        <v>20.3812380132646</v>
      </c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</row>
    <row r="1130" spans="1:97">
      <c r="A1130" s="2" t="s">
        <v>10305</v>
      </c>
      <c r="B1130" s="2">
        <v>188.07041000000001</v>
      </c>
      <c r="C1130" s="2">
        <v>3.4169999999999998</v>
      </c>
      <c r="D1130" s="2" t="s">
        <v>84</v>
      </c>
      <c r="E1130" s="2" t="s">
        <v>10306</v>
      </c>
      <c r="F1130" s="2" t="s">
        <v>10307</v>
      </c>
      <c r="G1130" s="2">
        <v>57500</v>
      </c>
      <c r="H1130" s="3" t="str">
        <f>HYPERLINK("https://cloud.oebiotech.com/#/lm/network/57500", "https://cloud.oebiotech.com/#/lm/network/57500")</f>
        <v>https://cloud.oebiotech.com/#/lm/network/57500</v>
      </c>
      <c r="I1130" s="2" t="s">
        <v>10308</v>
      </c>
      <c r="J1130" s="2">
        <v>66434</v>
      </c>
      <c r="K1130" s="2"/>
      <c r="L1130" s="2">
        <v>22563</v>
      </c>
      <c r="M1130" s="2" t="s">
        <v>10309</v>
      </c>
      <c r="N1130" s="2"/>
      <c r="O1130" s="2"/>
      <c r="P1130" s="2">
        <v>28212</v>
      </c>
      <c r="Q1130" s="2"/>
      <c r="R1130" s="2"/>
      <c r="S1130" s="2" t="s">
        <v>10310</v>
      </c>
      <c r="T1130" s="2" t="s">
        <v>10311</v>
      </c>
      <c r="U1130" s="2" t="s">
        <v>10312</v>
      </c>
      <c r="V1130" s="2" t="s">
        <v>553</v>
      </c>
      <c r="W1130" s="2" t="s">
        <v>10313</v>
      </c>
      <c r="X1130" s="2" t="s">
        <v>10314</v>
      </c>
      <c r="Y1130" s="2" t="s">
        <v>556</v>
      </c>
      <c r="Z1130" s="2" t="s">
        <v>10315</v>
      </c>
      <c r="AA1130" s="2" t="s">
        <v>10316</v>
      </c>
      <c r="AB1130" s="2" t="s">
        <v>5118</v>
      </c>
      <c r="AC1130" s="2">
        <v>48.73</v>
      </c>
      <c r="AD1130" s="2">
        <v>78.39</v>
      </c>
      <c r="AE1130" s="2">
        <v>49.72</v>
      </c>
      <c r="AF1130" s="2" t="s">
        <v>10317</v>
      </c>
      <c r="AG1130" s="2" t="s">
        <v>103</v>
      </c>
      <c r="AH1130" s="2" t="s">
        <v>10318</v>
      </c>
      <c r="AI1130" s="2">
        <v>-3.72</v>
      </c>
      <c r="AJ1130" s="2">
        <v>22.5829619788381</v>
      </c>
      <c r="AK1130" s="2">
        <v>23.365827892205701</v>
      </c>
      <c r="AL1130" s="2">
        <v>22.921791995754901</v>
      </c>
      <c r="AM1130" s="2">
        <v>22.684038064287702</v>
      </c>
      <c r="AN1130" s="2">
        <v>22.739007530042201</v>
      </c>
      <c r="AO1130" s="2">
        <v>23.006990040235699</v>
      </c>
      <c r="AP1130" s="2">
        <v>22.6112405162161</v>
      </c>
      <c r="AQ1130" s="2">
        <v>21.7850124986659</v>
      </c>
      <c r="AR1130" s="2">
        <v>22.229976863528002</v>
      </c>
      <c r="AS1130" s="2">
        <v>22.262204155777098</v>
      </c>
      <c r="AT1130" s="2">
        <v>22.793011896226599</v>
      </c>
      <c r="AU1130" s="2">
        <v>22.0765228623601</v>
      </c>
      <c r="AV1130" s="2">
        <v>22.495116565283102</v>
      </c>
      <c r="AW1130" s="2">
        <v>23.140920543461899</v>
      </c>
      <c r="AX1130" s="2">
        <v>22.5388164917367</v>
      </c>
      <c r="AY1130" s="2">
        <v>23.311721019738801</v>
      </c>
      <c r="AZ1130" s="2">
        <v>22.538416831724</v>
      </c>
      <c r="BA1130" s="2">
        <v>21.971985785966201</v>
      </c>
      <c r="BB1130" s="2">
        <v>24.098457084740101</v>
      </c>
      <c r="BC1130" s="2">
        <v>24.2026986030884</v>
      </c>
      <c r="BD1130" s="2">
        <v>23.027592736003101</v>
      </c>
      <c r="BE1130" s="2">
        <v>24.145700863302</v>
      </c>
      <c r="BF1130" s="2">
        <v>23.168051374284399</v>
      </c>
      <c r="BG1130" s="2">
        <v>24.314040529081399</v>
      </c>
      <c r="BH1130" s="2">
        <v>22.6263345518581</v>
      </c>
      <c r="BI1130" s="2">
        <v>22.6113832857265</v>
      </c>
      <c r="BJ1130" s="2">
        <v>23.551636553289001</v>
      </c>
      <c r="BK1130" s="2">
        <v>23.040731763574598</v>
      </c>
      <c r="BL1130" s="2">
        <v>22.754080669297899</v>
      </c>
      <c r="BM1130" s="2">
        <v>23.321183230137802</v>
      </c>
      <c r="BN1130" s="2">
        <v>23.679823099987999</v>
      </c>
      <c r="BO1130" s="2">
        <v>23.7478047855999</v>
      </c>
      <c r="BP1130" s="2">
        <v>23.363473670669201</v>
      </c>
      <c r="BQ1130" s="2">
        <v>23.3474095774252</v>
      </c>
      <c r="BR1130" s="2">
        <v>23.507914607888701</v>
      </c>
      <c r="BS1130" s="2">
        <v>22.3735281128337</v>
      </c>
      <c r="BT1130" s="2">
        <v>22.989294391606698</v>
      </c>
      <c r="BU1130" s="2">
        <v>22.935875453380898</v>
      </c>
      <c r="BV1130" s="2">
        <v>23.0751080608424</v>
      </c>
      <c r="BW1130" s="2">
        <v>23.062803795934901</v>
      </c>
      <c r="BX1130" s="2">
        <v>22.603143697318899</v>
      </c>
      <c r="BY1130" s="2">
        <v>24.590186890701801</v>
      </c>
      <c r="BZ1130" s="2">
        <v>23.136536508706801</v>
      </c>
      <c r="CA1130" s="2">
        <v>24.030400908269002</v>
      </c>
      <c r="CB1130" s="2">
        <v>23.776939347864801</v>
      </c>
      <c r="CC1130" s="2">
        <v>22.893885674492001</v>
      </c>
      <c r="CD1130" s="2">
        <v>22.570978198620899</v>
      </c>
      <c r="CE1130" s="2">
        <v>22.6353022963585</v>
      </c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</row>
    <row r="1131" spans="1:97">
      <c r="A1131" s="2" t="s">
        <v>10319</v>
      </c>
      <c r="B1131" s="2">
        <v>534.26610000000005</v>
      </c>
      <c r="C1131" s="2">
        <v>9.7050000000000001</v>
      </c>
      <c r="D1131" s="2" t="s">
        <v>84</v>
      </c>
      <c r="E1131" s="2" t="s">
        <v>10320</v>
      </c>
      <c r="F1131" s="2" t="s">
        <v>10321</v>
      </c>
      <c r="G1131" s="2">
        <v>198868</v>
      </c>
      <c r="H1131" s="3" t="str">
        <f>HYPERLINK("https://cloud.oebiotech.com/#/lm/network/198868", "https://cloud.oebiotech.com/#/lm/network/198868")</f>
        <v>https://cloud.oebiotech.com/#/lm/network/198868</v>
      </c>
      <c r="I1131" s="2" t="s">
        <v>10322</v>
      </c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 t="s">
        <v>10323</v>
      </c>
      <c r="U1131" s="2" t="s">
        <v>10324</v>
      </c>
      <c r="V1131" s="2" t="s">
        <v>95</v>
      </c>
      <c r="W1131" s="2" t="s">
        <v>152</v>
      </c>
      <c r="X1131" s="2" t="s">
        <v>278</v>
      </c>
      <c r="Y1131" s="2" t="s">
        <v>98</v>
      </c>
      <c r="Z1131" s="2" t="s">
        <v>154</v>
      </c>
      <c r="AA1131" s="2" t="s">
        <v>279</v>
      </c>
      <c r="AB1131" s="2" t="s">
        <v>3086</v>
      </c>
      <c r="AC1131" s="2">
        <v>48.73</v>
      </c>
      <c r="AD1131" s="2">
        <v>74.680000000000007</v>
      </c>
      <c r="AE1131" s="2">
        <v>0</v>
      </c>
      <c r="AF1131" s="2" t="s">
        <v>5614</v>
      </c>
      <c r="AG1131" s="2" t="s">
        <v>3544</v>
      </c>
      <c r="AH1131" s="2" t="s">
        <v>10325</v>
      </c>
      <c r="AI1131" s="2">
        <v>-2.06</v>
      </c>
      <c r="AJ1131" s="2">
        <v>18.786616716517099</v>
      </c>
      <c r="AK1131" s="2">
        <v>18.906068631144901</v>
      </c>
      <c r="AL1131" s="2">
        <v>18.867394221165199</v>
      </c>
      <c r="AM1131" s="2">
        <v>18.885906498874402</v>
      </c>
      <c r="AN1131" s="2">
        <v>18.7410518990601</v>
      </c>
      <c r="AO1131" s="2">
        <v>18.463772043821699</v>
      </c>
      <c r="AP1131" s="2">
        <v>18.9494219672725</v>
      </c>
      <c r="AQ1131" s="2">
        <v>19.030027636934101</v>
      </c>
      <c r="AR1131" s="2">
        <v>16.939656801161</v>
      </c>
      <c r="AS1131" s="2">
        <v>16.087141248840499</v>
      </c>
      <c r="AT1131" s="2">
        <v>17.762027706425499</v>
      </c>
      <c r="AU1131" s="2">
        <v>16.871786748383901</v>
      </c>
      <c r="AV1131" s="2">
        <v>16.568347613479901</v>
      </c>
      <c r="AW1131" s="2">
        <v>18.4005962148902</v>
      </c>
      <c r="AX1131" s="2">
        <v>18.327600227322499</v>
      </c>
      <c r="AY1131" s="2">
        <v>19.249724085916299</v>
      </c>
      <c r="AZ1131" s="2">
        <v>18.251477094075</v>
      </c>
      <c r="BA1131" s="2">
        <v>18.518675244313499</v>
      </c>
      <c r="BB1131" s="2">
        <v>18.1664976931357</v>
      </c>
      <c r="BC1131" s="2">
        <v>18.283971404163701</v>
      </c>
      <c r="BD1131" s="2">
        <v>18.145688399857999</v>
      </c>
      <c r="BE1131" s="2">
        <v>18.495897331750399</v>
      </c>
      <c r="BF1131" s="2">
        <v>18.400044536442799</v>
      </c>
      <c r="BG1131" s="2">
        <v>19.1862717112887</v>
      </c>
      <c r="BH1131" s="2">
        <v>17.765699516566201</v>
      </c>
      <c r="BI1131" s="2">
        <v>19.776212510316601</v>
      </c>
      <c r="BJ1131" s="2">
        <v>18.046553854851499</v>
      </c>
      <c r="BK1131" s="2">
        <v>19.221498290533798</v>
      </c>
      <c r="BL1131" s="2">
        <v>17.737314558415601</v>
      </c>
      <c r="BM1131" s="2">
        <v>16.5315337640309</v>
      </c>
      <c r="BN1131" s="2">
        <v>17.7680541589006</v>
      </c>
      <c r="BO1131" s="2">
        <v>18.520951556430401</v>
      </c>
      <c r="BP1131" s="2">
        <v>18.5552266419006</v>
      </c>
      <c r="BQ1131" s="2">
        <v>18.7538312368922</v>
      </c>
      <c r="BR1131" s="2">
        <v>18.9020169166443</v>
      </c>
      <c r="BS1131" s="2">
        <v>19.3316183482277</v>
      </c>
      <c r="BT1131" s="2">
        <v>18.8270877648112</v>
      </c>
      <c r="BU1131" s="2">
        <v>18.536421508040501</v>
      </c>
      <c r="BV1131" s="2">
        <v>18.829027663783499</v>
      </c>
      <c r="BW1131" s="2">
        <v>16.890986560122801</v>
      </c>
      <c r="BX1131" s="2">
        <v>18.364440600068001</v>
      </c>
      <c r="BY1131" s="2">
        <v>18.343926386743501</v>
      </c>
      <c r="BZ1131" s="2">
        <v>18.190028398106602</v>
      </c>
      <c r="CA1131" s="2">
        <v>18.209181178245998</v>
      </c>
      <c r="CB1131" s="2">
        <v>18.285298806838899</v>
      </c>
      <c r="CC1131" s="2">
        <v>18.821144533726599</v>
      </c>
      <c r="CD1131" s="2">
        <v>18.801216768774001</v>
      </c>
      <c r="CE1131" s="2">
        <v>19.2053357256768</v>
      </c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</row>
    <row r="1132" spans="1:97">
      <c r="A1132" s="2" t="s">
        <v>10326</v>
      </c>
      <c r="B1132" s="2">
        <v>507.14751999999999</v>
      </c>
      <c r="C1132" s="2">
        <v>5.0730000000000004</v>
      </c>
      <c r="D1132" s="2" t="s">
        <v>146</v>
      </c>
      <c r="E1132" s="2" t="s">
        <v>10327</v>
      </c>
      <c r="F1132" s="2" t="s">
        <v>10328</v>
      </c>
      <c r="G1132" s="2">
        <v>204224</v>
      </c>
      <c r="H1132" s="3" t="str">
        <f>HYPERLINK("https://cloud.oebiotech.com/#/lm/network/204224", "https://cloud.oebiotech.com/#/lm/network/204224")</f>
        <v>https://cloud.oebiotech.com/#/lm/network/204224</v>
      </c>
      <c r="I1132" s="2" t="s">
        <v>10329</v>
      </c>
      <c r="J1132" s="2">
        <v>328740</v>
      </c>
      <c r="K1132" s="2"/>
      <c r="L1132" s="2">
        <v>13739</v>
      </c>
      <c r="M1132" s="2"/>
      <c r="N1132" s="2"/>
      <c r="O1132" s="2"/>
      <c r="P1132" s="2"/>
      <c r="Q1132" s="2"/>
      <c r="R1132" s="2"/>
      <c r="S1132" s="2"/>
      <c r="T1132" s="2" t="s">
        <v>10330</v>
      </c>
      <c r="U1132" s="2" t="s">
        <v>10331</v>
      </c>
      <c r="V1132" s="2" t="s">
        <v>385</v>
      </c>
      <c r="W1132" s="2" t="s">
        <v>386</v>
      </c>
      <c r="X1132" s="2" t="s">
        <v>1059</v>
      </c>
      <c r="Y1132" s="2" t="s">
        <v>388</v>
      </c>
      <c r="Z1132" s="2" t="s">
        <v>389</v>
      </c>
      <c r="AA1132" s="2" t="s">
        <v>1060</v>
      </c>
      <c r="AB1132" s="2" t="s">
        <v>3086</v>
      </c>
      <c r="AC1132" s="2">
        <v>48.71</v>
      </c>
      <c r="AD1132" s="2">
        <v>82.78</v>
      </c>
      <c r="AE1132" s="2">
        <v>0</v>
      </c>
      <c r="AF1132" s="2" t="s">
        <v>5614</v>
      </c>
      <c r="AG1132" s="2" t="s">
        <v>3880</v>
      </c>
      <c r="AH1132" s="2" t="s">
        <v>10332</v>
      </c>
      <c r="AI1132" s="2">
        <v>6.51</v>
      </c>
      <c r="AJ1132" s="2">
        <v>16.616695288271099</v>
      </c>
      <c r="AK1132" s="2">
        <v>16.767070749181499</v>
      </c>
      <c r="AL1132" s="2">
        <v>16.5033945479491</v>
      </c>
      <c r="AM1132" s="2">
        <v>16.795382340143199</v>
      </c>
      <c r="AN1132" s="2">
        <v>16.383478853761101</v>
      </c>
      <c r="AO1132" s="2">
        <v>16.322270236499499</v>
      </c>
      <c r="AP1132" s="2">
        <v>16.552669247594899</v>
      </c>
      <c r="AQ1132" s="2">
        <v>16.479590822095801</v>
      </c>
      <c r="AR1132" s="2">
        <v>15.7981596458103</v>
      </c>
      <c r="AS1132" s="2">
        <v>15.080222942808801</v>
      </c>
      <c r="AT1132" s="2">
        <v>16.116674337938001</v>
      </c>
      <c r="AU1132" s="2">
        <v>14.8603998140208</v>
      </c>
      <c r="AV1132" s="2">
        <v>16.712778998682602</v>
      </c>
      <c r="AW1132" s="2">
        <v>16.4528652371195</v>
      </c>
      <c r="AX1132" s="2">
        <v>14.840212416341499</v>
      </c>
      <c r="AY1132" s="2">
        <v>16.042346158808801</v>
      </c>
      <c r="AZ1132" s="2">
        <v>16.377910691278299</v>
      </c>
      <c r="BA1132" s="2">
        <v>16.083978491570299</v>
      </c>
      <c r="BB1132" s="2">
        <v>17.113686826955998</v>
      </c>
      <c r="BC1132" s="2">
        <v>15.5983439183945</v>
      </c>
      <c r="BD1132" s="2">
        <v>15.857494362995901</v>
      </c>
      <c r="BE1132" s="2">
        <v>16.1249084549837</v>
      </c>
      <c r="BF1132" s="2">
        <v>14.8961947319895</v>
      </c>
      <c r="BG1132" s="2">
        <v>16.070465221020001</v>
      </c>
      <c r="BH1132" s="2">
        <v>16.199493300301999</v>
      </c>
      <c r="BI1132" s="2">
        <v>16.854356713224899</v>
      </c>
      <c r="BJ1132" s="2">
        <v>16.059732504754201</v>
      </c>
      <c r="BK1132" s="2">
        <v>16.574646444894199</v>
      </c>
      <c r="BL1132" s="2">
        <v>16.876982941413001</v>
      </c>
      <c r="BM1132" s="2">
        <v>16.023077931450199</v>
      </c>
      <c r="BN1132" s="2">
        <v>17.604894650246401</v>
      </c>
      <c r="BO1132" s="2">
        <v>16.160187167610601</v>
      </c>
      <c r="BP1132" s="2">
        <v>16.577412599985699</v>
      </c>
      <c r="BQ1132" s="2">
        <v>17.1973306472321</v>
      </c>
      <c r="BR1132" s="2">
        <v>15.279779228976899</v>
      </c>
      <c r="BS1132" s="2">
        <v>16.183182142158099</v>
      </c>
      <c r="BT1132" s="2">
        <v>15.832737253621399</v>
      </c>
      <c r="BU1132" s="2">
        <v>16.089713638058502</v>
      </c>
      <c r="BV1132" s="2">
        <v>17.5283774167135</v>
      </c>
      <c r="BW1132" s="2">
        <v>13.941936175152399</v>
      </c>
      <c r="BX1132" s="2">
        <v>14.1555424385161</v>
      </c>
      <c r="BY1132" s="2">
        <v>17.291191208358399</v>
      </c>
      <c r="BZ1132" s="2">
        <v>16.194508908374701</v>
      </c>
      <c r="CA1132" s="2">
        <v>16.738521129461301</v>
      </c>
      <c r="CB1132" s="2">
        <v>16.9907455066271</v>
      </c>
      <c r="CC1132" s="2">
        <v>16.437638788491199</v>
      </c>
      <c r="CD1132" s="2">
        <v>16.878320147239801</v>
      </c>
      <c r="CE1132" s="2">
        <v>16.164439907386299</v>
      </c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</row>
    <row r="1133" spans="1:97">
      <c r="A1133" s="2" t="s">
        <v>10333</v>
      </c>
      <c r="B1133" s="2">
        <v>409.18635</v>
      </c>
      <c r="C1133" s="2">
        <v>3.6779999999999999</v>
      </c>
      <c r="D1133" s="2" t="s">
        <v>84</v>
      </c>
      <c r="E1133" s="2" t="s">
        <v>10334</v>
      </c>
      <c r="F1133" s="2" t="s">
        <v>10335</v>
      </c>
      <c r="G1133" s="2">
        <v>207709</v>
      </c>
      <c r="H1133" s="3" t="str">
        <f>HYPERLINK("https://cloud.oebiotech.com/#/lm/network/207709", "https://cloud.oebiotech.com/#/lm/network/207709")</f>
        <v>https://cloud.oebiotech.com/#/lm/network/207709</v>
      </c>
      <c r="I1133" s="2" t="s">
        <v>10336</v>
      </c>
      <c r="J1133" s="2">
        <v>326432</v>
      </c>
      <c r="K1133" s="2"/>
      <c r="L1133" s="2">
        <v>22024915</v>
      </c>
      <c r="M1133" s="2"/>
      <c r="N1133" s="2"/>
      <c r="O1133" s="2"/>
      <c r="P1133" s="2"/>
      <c r="Q1133" s="2"/>
      <c r="R1133" s="2"/>
      <c r="S1133" s="2"/>
      <c r="T1133" s="2" t="s">
        <v>10337</v>
      </c>
      <c r="U1133" s="2" t="s">
        <v>10338</v>
      </c>
      <c r="V1133" s="2" t="s">
        <v>553</v>
      </c>
      <c r="W1133" s="2" t="s">
        <v>10339</v>
      </c>
      <c r="X1133" s="2" t="s">
        <v>10340</v>
      </c>
      <c r="Y1133" s="2" t="s">
        <v>556</v>
      </c>
      <c r="Z1133" s="2" t="s">
        <v>10341</v>
      </c>
      <c r="AA1133" s="2" t="s">
        <v>10342</v>
      </c>
      <c r="AB1133" s="2" t="s">
        <v>5118</v>
      </c>
      <c r="AC1133" s="2">
        <v>48.69</v>
      </c>
      <c r="AD1133" s="2">
        <v>95.24</v>
      </c>
      <c r="AE1133" s="2">
        <v>63.22</v>
      </c>
      <c r="AF1133" s="2" t="s">
        <v>10343</v>
      </c>
      <c r="AG1133" s="2" t="s">
        <v>132</v>
      </c>
      <c r="AH1133" s="2" t="s">
        <v>10344</v>
      </c>
      <c r="AI1133" s="2">
        <v>1.47</v>
      </c>
      <c r="AJ1133" s="2">
        <v>21.990536222879399</v>
      </c>
      <c r="AK1133" s="2">
        <v>21.971239096693999</v>
      </c>
      <c r="AL1133" s="2">
        <v>22.127633361584898</v>
      </c>
      <c r="AM1133" s="2">
        <v>22.1605661552241</v>
      </c>
      <c r="AN1133" s="2">
        <v>22.348842821206201</v>
      </c>
      <c r="AO1133" s="2">
        <v>22.289999801019601</v>
      </c>
      <c r="AP1133" s="2">
        <v>22.181383772431101</v>
      </c>
      <c r="AQ1133" s="2">
        <v>22.446372097995301</v>
      </c>
      <c r="AR1133" s="2">
        <v>20.2721908008083</v>
      </c>
      <c r="AS1133" s="2">
        <v>20.256496322888399</v>
      </c>
      <c r="AT1133" s="2">
        <v>21.1090299194483</v>
      </c>
      <c r="AU1133" s="2">
        <v>20.523917482638701</v>
      </c>
      <c r="AV1133" s="2">
        <v>21.4247162580149</v>
      </c>
      <c r="AW1133" s="2">
        <v>21.7857410126338</v>
      </c>
      <c r="AX1133" s="2">
        <v>21.230922887707099</v>
      </c>
      <c r="AY1133" s="2">
        <v>21.716070906449801</v>
      </c>
      <c r="AZ1133" s="2">
        <v>21.624528979478299</v>
      </c>
      <c r="BA1133" s="2">
        <v>20.761046559957801</v>
      </c>
      <c r="BB1133" s="2">
        <v>22.7659965652328</v>
      </c>
      <c r="BC1133" s="2">
        <v>22.310369917685701</v>
      </c>
      <c r="BD1133" s="2">
        <v>20.447214641855801</v>
      </c>
      <c r="BE1133" s="2">
        <v>22.911235733211502</v>
      </c>
      <c r="BF1133" s="2">
        <v>21.954603411994</v>
      </c>
      <c r="BG1133" s="2">
        <v>22.6611000858361</v>
      </c>
      <c r="BH1133" s="2">
        <v>22.005979610885799</v>
      </c>
      <c r="BI1133" s="2">
        <v>21.395466304625199</v>
      </c>
      <c r="BJ1133" s="2">
        <v>22.4162691465344</v>
      </c>
      <c r="BK1133" s="2">
        <v>21.8586390456428</v>
      </c>
      <c r="BL1133" s="2">
        <v>21.278837523486999</v>
      </c>
      <c r="BM1133" s="2">
        <v>22.575051288194999</v>
      </c>
      <c r="BN1133" s="2">
        <v>22.161586984630699</v>
      </c>
      <c r="BO1133" s="2">
        <v>21.8567859985266</v>
      </c>
      <c r="BP1133" s="2">
        <v>21.528643810866502</v>
      </c>
      <c r="BQ1133" s="2">
        <v>22.2182754035966</v>
      </c>
      <c r="BR1133" s="2">
        <v>21.841705152268499</v>
      </c>
      <c r="BS1133" s="2">
        <v>21.533814270169401</v>
      </c>
      <c r="BT1133" s="2">
        <v>21.1858439386762</v>
      </c>
      <c r="BU1133" s="2">
        <v>20.686168871783298</v>
      </c>
      <c r="BV1133" s="2">
        <v>22.2554621105505</v>
      </c>
      <c r="BW1133" s="2">
        <v>20.316463371023598</v>
      </c>
      <c r="BX1133" s="2">
        <v>21.950159383630499</v>
      </c>
      <c r="BY1133" s="2">
        <v>22.4793002467948</v>
      </c>
      <c r="BZ1133" s="2">
        <v>21.976670607182601</v>
      </c>
      <c r="CA1133" s="2">
        <v>22.705541737306699</v>
      </c>
      <c r="CB1133" s="2">
        <v>21.701582474860501</v>
      </c>
      <c r="CC1133" s="2">
        <v>21.0707934141458</v>
      </c>
      <c r="CD1133" s="2">
        <v>22.780026245173001</v>
      </c>
      <c r="CE1133" s="2">
        <v>22.380687557042801</v>
      </c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</row>
    <row r="1134" spans="1:97">
      <c r="A1134" s="2" t="s">
        <v>10345</v>
      </c>
      <c r="B1134" s="2">
        <v>379.19346999999999</v>
      </c>
      <c r="C1134" s="2">
        <v>4.2210000000000001</v>
      </c>
      <c r="D1134" s="2" t="s">
        <v>84</v>
      </c>
      <c r="E1134" s="2" t="s">
        <v>10346</v>
      </c>
      <c r="F1134" s="2" t="s">
        <v>10347</v>
      </c>
      <c r="G1134" s="2">
        <v>266019</v>
      </c>
      <c r="H1134" s="3" t="str">
        <f>HYPERLINK("https://cloud.oebiotech.com/#/lm/network/266019", "https://cloud.oebiotech.com/#/lm/network/266019")</f>
        <v>https://cloud.oebiotech.com/#/lm/network/266019</v>
      </c>
      <c r="I1134" s="2"/>
      <c r="J1134" s="2">
        <v>23541</v>
      </c>
      <c r="K1134" s="2"/>
      <c r="L1134" s="2">
        <v>145455189</v>
      </c>
      <c r="M1134" s="2"/>
      <c r="N1134" s="2"/>
      <c r="O1134" s="2"/>
      <c r="P1134" s="2"/>
      <c r="Q1134" s="2"/>
      <c r="R1134" s="2"/>
      <c r="S1134" s="2"/>
      <c r="T1134" s="2" t="s">
        <v>10348</v>
      </c>
      <c r="U1134" s="2" t="s">
        <v>10349</v>
      </c>
      <c r="V1134" s="2" t="s">
        <v>115</v>
      </c>
      <c r="W1134" s="2" t="s">
        <v>116</v>
      </c>
      <c r="X1134" s="2" t="s">
        <v>117</v>
      </c>
      <c r="Y1134" s="2" t="s">
        <v>118</v>
      </c>
      <c r="Z1134" s="2" t="s">
        <v>119</v>
      </c>
      <c r="AA1134" s="2" t="s">
        <v>120</v>
      </c>
      <c r="AB1134" s="2" t="s">
        <v>3086</v>
      </c>
      <c r="AC1134" s="2">
        <v>48.69</v>
      </c>
      <c r="AD1134" s="2">
        <v>75.540000000000006</v>
      </c>
      <c r="AE1134" s="2">
        <v>0</v>
      </c>
      <c r="AF1134" s="2" t="s">
        <v>5614</v>
      </c>
      <c r="AG1134" s="2" t="s">
        <v>1578</v>
      </c>
      <c r="AH1134" s="2" t="s">
        <v>10350</v>
      </c>
      <c r="AI1134" s="2">
        <v>4.4800000000000004</v>
      </c>
      <c r="AJ1134" s="2">
        <v>16.8267115856295</v>
      </c>
      <c r="AK1134" s="2">
        <v>16.867614056861498</v>
      </c>
      <c r="AL1134" s="2">
        <v>17.3322429801465</v>
      </c>
      <c r="AM1134" s="2">
        <v>17.075954461091602</v>
      </c>
      <c r="AN1134" s="2">
        <v>16.768167262987301</v>
      </c>
      <c r="AO1134" s="2">
        <v>16.974296272487901</v>
      </c>
      <c r="AP1134" s="2">
        <v>16.159332511267301</v>
      </c>
      <c r="AQ1134" s="2">
        <v>17.402848026230799</v>
      </c>
      <c r="AR1134" s="2">
        <v>9.6233145402724691</v>
      </c>
      <c r="AS1134" s="2">
        <v>9.6233145402724691</v>
      </c>
      <c r="AT1134" s="2">
        <v>14.754257020230501</v>
      </c>
      <c r="AU1134" s="2">
        <v>16.372507844149201</v>
      </c>
      <c r="AV1134" s="2">
        <v>17.053959386818299</v>
      </c>
      <c r="AW1134" s="2">
        <v>17.562378386096899</v>
      </c>
      <c r="AX1134" s="2">
        <v>17.026503234446398</v>
      </c>
      <c r="AY1134" s="2">
        <v>16.788988965539499</v>
      </c>
      <c r="AZ1134" s="2">
        <v>16.872947764273</v>
      </c>
      <c r="BA1134" s="2">
        <v>17.237571205597199</v>
      </c>
      <c r="BB1134" s="2">
        <v>9.6233145402724691</v>
      </c>
      <c r="BC1134" s="2">
        <v>9.6233145402724691</v>
      </c>
      <c r="BD1134" s="2">
        <v>16.137446887187799</v>
      </c>
      <c r="BE1134" s="2">
        <v>17.279591992306202</v>
      </c>
      <c r="BF1134" s="2">
        <v>16.477731234628099</v>
      </c>
      <c r="BG1134" s="2">
        <v>9.6233145402724691</v>
      </c>
      <c r="BH1134" s="2">
        <v>16.794842402568602</v>
      </c>
      <c r="BI1134" s="2">
        <v>17.146842595536</v>
      </c>
      <c r="BJ1134" s="2">
        <v>9.6233145402724691</v>
      </c>
      <c r="BK1134" s="2">
        <v>17.488168238493699</v>
      </c>
      <c r="BL1134" s="2">
        <v>17.376245473171501</v>
      </c>
      <c r="BM1134" s="2">
        <v>16.574203828795198</v>
      </c>
      <c r="BN1134" s="2">
        <v>16.947637736912501</v>
      </c>
      <c r="BO1134" s="2">
        <v>17.0624175391787</v>
      </c>
      <c r="BP1134" s="2">
        <v>16.9478716992061</v>
      </c>
      <c r="BQ1134" s="2">
        <v>17.305523053252099</v>
      </c>
      <c r="BR1134" s="2">
        <v>9.6233145402724691</v>
      </c>
      <c r="BS1134" s="2">
        <v>16.867160352572299</v>
      </c>
      <c r="BT1134" s="2">
        <v>9.6233145402724691</v>
      </c>
      <c r="BU1134" s="2">
        <v>17.433334978687402</v>
      </c>
      <c r="BV1134" s="2">
        <v>9.6233145402724691</v>
      </c>
      <c r="BW1134" s="2">
        <v>9.6233145402724691</v>
      </c>
      <c r="BX1134" s="2">
        <v>17.285383072391799</v>
      </c>
      <c r="BY1134" s="2">
        <v>17.857468909294699</v>
      </c>
      <c r="BZ1134" s="2">
        <v>9.6233145402724691</v>
      </c>
      <c r="CA1134" s="2">
        <v>9.6233145402724691</v>
      </c>
      <c r="CB1134" s="2">
        <v>9.6233145402724691</v>
      </c>
      <c r="CC1134" s="2">
        <v>17.5090630824496</v>
      </c>
      <c r="CD1134" s="2">
        <v>17.412501623472501</v>
      </c>
      <c r="CE1134" s="2">
        <v>16.4052844222375</v>
      </c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</row>
    <row r="1135" spans="1:97">
      <c r="A1135" s="2" t="s">
        <v>10351</v>
      </c>
      <c r="B1135" s="2">
        <v>520.26505999999995</v>
      </c>
      <c r="C1135" s="2">
        <v>10.462</v>
      </c>
      <c r="D1135" s="2" t="s">
        <v>146</v>
      </c>
      <c r="E1135" s="2" t="s">
        <v>10352</v>
      </c>
      <c r="F1135" s="2" t="s">
        <v>10353</v>
      </c>
      <c r="G1135" s="2">
        <v>22441</v>
      </c>
      <c r="H1135" s="3" t="str">
        <f>HYPERLINK("https://cloud.oebiotech.com/#/lm/network/22441", "https://cloud.oebiotech.com/#/lm/network/22441")</f>
        <v>https://cloud.oebiotech.com/#/lm/network/22441</v>
      </c>
      <c r="I1135" s="2" t="s">
        <v>10354</v>
      </c>
      <c r="J1135" s="2">
        <v>78838</v>
      </c>
      <c r="K1135" s="2" t="s">
        <v>10355</v>
      </c>
      <c r="L1135" s="2">
        <v>52926279</v>
      </c>
      <c r="M1135" s="2"/>
      <c r="N1135" s="2"/>
      <c r="O1135" s="2"/>
      <c r="P1135" s="2"/>
      <c r="Q1135" s="2"/>
      <c r="R1135" s="2"/>
      <c r="S1135" s="2" t="s">
        <v>10356</v>
      </c>
      <c r="T1135" s="2" t="s">
        <v>10357</v>
      </c>
      <c r="U1135" s="2" t="s">
        <v>10358</v>
      </c>
      <c r="V1135" s="2" t="s">
        <v>95</v>
      </c>
      <c r="W1135" s="2" t="s">
        <v>202</v>
      </c>
      <c r="X1135" s="2" t="s">
        <v>8933</v>
      </c>
      <c r="Y1135" s="2" t="s">
        <v>98</v>
      </c>
      <c r="Z1135" s="2" t="s">
        <v>204</v>
      </c>
      <c r="AA1135" s="2" t="s">
        <v>8934</v>
      </c>
      <c r="AB1135" s="2" t="s">
        <v>3086</v>
      </c>
      <c r="AC1135" s="2">
        <v>48.67</v>
      </c>
      <c r="AD1135" s="2">
        <v>82.49</v>
      </c>
      <c r="AE1135" s="2">
        <v>0</v>
      </c>
      <c r="AF1135" s="2" t="s">
        <v>5614</v>
      </c>
      <c r="AG1135" s="2" t="s">
        <v>194</v>
      </c>
      <c r="AH1135" s="2" t="s">
        <v>10359</v>
      </c>
      <c r="AI1135" s="2">
        <v>5.77</v>
      </c>
      <c r="AJ1135" s="2">
        <v>18.284742648177101</v>
      </c>
      <c r="AK1135" s="2">
        <v>18.213421568908899</v>
      </c>
      <c r="AL1135" s="2">
        <v>18.2441913674494</v>
      </c>
      <c r="AM1135" s="2">
        <v>18.107578102698501</v>
      </c>
      <c r="AN1135" s="2">
        <v>18.364481211149698</v>
      </c>
      <c r="AO1135" s="2">
        <v>18.549970940370301</v>
      </c>
      <c r="AP1135" s="2">
        <v>18.381270738820799</v>
      </c>
      <c r="AQ1135" s="2">
        <v>18.286104772764102</v>
      </c>
      <c r="AR1135" s="2">
        <v>18.545003699886198</v>
      </c>
      <c r="AS1135" s="2">
        <v>17.161473222677401</v>
      </c>
      <c r="AT1135" s="2">
        <v>17.317521168666602</v>
      </c>
      <c r="AU1135" s="2">
        <v>18.491028860705399</v>
      </c>
      <c r="AV1135" s="2">
        <v>17.705146907916401</v>
      </c>
      <c r="AW1135" s="2">
        <v>18.015897285817399</v>
      </c>
      <c r="AX1135" s="2">
        <v>18.054737264712202</v>
      </c>
      <c r="AY1135" s="2">
        <v>18.097846242557299</v>
      </c>
      <c r="AZ1135" s="2">
        <v>18.663681441254798</v>
      </c>
      <c r="BA1135" s="2">
        <v>17.572749809396601</v>
      </c>
      <c r="BB1135" s="2">
        <v>17.856620661526499</v>
      </c>
      <c r="BC1135" s="2">
        <v>17.957671378284601</v>
      </c>
      <c r="BD1135" s="2">
        <v>18.1769720330139</v>
      </c>
      <c r="BE1135" s="2">
        <v>18.344489713693601</v>
      </c>
      <c r="BF1135" s="2">
        <v>18.256209103243201</v>
      </c>
      <c r="BG1135" s="2">
        <v>18.836397816856401</v>
      </c>
      <c r="BH1135" s="2">
        <v>17.9490346134159</v>
      </c>
      <c r="BI1135" s="2">
        <v>18.421761105797</v>
      </c>
      <c r="BJ1135" s="2">
        <v>18.069918523098298</v>
      </c>
      <c r="BK1135" s="2">
        <v>18.193997012179501</v>
      </c>
      <c r="BL1135" s="2">
        <v>17.7440427420098</v>
      </c>
      <c r="BM1135" s="2">
        <v>18.265326236851401</v>
      </c>
      <c r="BN1135" s="2">
        <v>18.159274507534199</v>
      </c>
      <c r="BO1135" s="2">
        <v>18.921948647156601</v>
      </c>
      <c r="BP1135" s="2">
        <v>17.810469400892799</v>
      </c>
      <c r="BQ1135" s="2">
        <v>18.2424101022043</v>
      </c>
      <c r="BR1135" s="2">
        <v>18.7361334094516</v>
      </c>
      <c r="BS1135" s="2">
        <v>18.6951609559076</v>
      </c>
      <c r="BT1135" s="2">
        <v>18.764922924943999</v>
      </c>
      <c r="BU1135" s="2">
        <v>18.200402813686999</v>
      </c>
      <c r="BV1135" s="2">
        <v>17.6928753595346</v>
      </c>
      <c r="BW1135" s="2">
        <v>17.873908578239</v>
      </c>
      <c r="BX1135" s="2">
        <v>18.235021979249201</v>
      </c>
      <c r="BY1135" s="2">
        <v>18.061558996190701</v>
      </c>
      <c r="BZ1135" s="2">
        <v>18.309741718814699</v>
      </c>
      <c r="CA1135" s="2">
        <v>18.920244560822201</v>
      </c>
      <c r="CB1135" s="2">
        <v>17.107066957357102</v>
      </c>
      <c r="CC1135" s="2">
        <v>17.625497031552499</v>
      </c>
      <c r="CD1135" s="2">
        <v>18.341818528338599</v>
      </c>
      <c r="CE1135" s="2">
        <v>17.466428295330701</v>
      </c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</row>
    <row r="1136" spans="1:97">
      <c r="A1136" s="2" t="s">
        <v>10360</v>
      </c>
      <c r="B1136" s="2">
        <v>218.13837000000001</v>
      </c>
      <c r="C1136" s="2">
        <v>0.81799999999999995</v>
      </c>
      <c r="D1136" s="2" t="s">
        <v>84</v>
      </c>
      <c r="E1136" s="2" t="s">
        <v>10361</v>
      </c>
      <c r="F1136" s="2" t="s">
        <v>10362</v>
      </c>
      <c r="G1136" s="2">
        <v>55677</v>
      </c>
      <c r="H1136" s="3" t="str">
        <f>HYPERLINK("https://cloud.oebiotech.com/#/lm/network/55677", "https://cloud.oebiotech.com/#/lm/network/55677")</f>
        <v>https://cloud.oebiotech.com/#/lm/network/55677</v>
      </c>
      <c r="I1136" s="2" t="s">
        <v>10363</v>
      </c>
      <c r="J1136" s="2">
        <v>87333</v>
      </c>
      <c r="K1136" s="2"/>
      <c r="L1136" s="2">
        <v>131751115</v>
      </c>
      <c r="M1136" s="2"/>
      <c r="N1136" s="2"/>
      <c r="O1136" s="2"/>
      <c r="P1136" s="2">
        <v>172077</v>
      </c>
      <c r="Q1136" s="2"/>
      <c r="R1136" s="2"/>
      <c r="S1136" s="2"/>
      <c r="T1136" s="2" t="s">
        <v>10364</v>
      </c>
      <c r="U1136" s="2" t="s">
        <v>10365</v>
      </c>
      <c r="V1136" s="2" t="s">
        <v>553</v>
      </c>
      <c r="W1136" s="2" t="s">
        <v>3480</v>
      </c>
      <c r="X1136" s="2" t="s">
        <v>3481</v>
      </c>
      <c r="Y1136" s="2" t="s">
        <v>556</v>
      </c>
      <c r="Z1136" s="2" t="s">
        <v>3482</v>
      </c>
      <c r="AA1136" s="2" t="s">
        <v>3483</v>
      </c>
      <c r="AB1136" s="2" t="s">
        <v>5118</v>
      </c>
      <c r="AC1136" s="2">
        <v>48.65</v>
      </c>
      <c r="AD1136" s="2">
        <v>97.94</v>
      </c>
      <c r="AE1136" s="2">
        <v>59.04</v>
      </c>
      <c r="AF1136" s="2" t="s">
        <v>10366</v>
      </c>
      <c r="AG1136" s="2" t="s">
        <v>132</v>
      </c>
      <c r="AH1136" s="2" t="s">
        <v>963</v>
      </c>
      <c r="AI1136" s="2">
        <v>1.38</v>
      </c>
      <c r="AJ1136" s="2">
        <v>25.095766055716599</v>
      </c>
      <c r="AK1136" s="2">
        <v>24.814640901345101</v>
      </c>
      <c r="AL1136" s="2">
        <v>24.844783726277502</v>
      </c>
      <c r="AM1136" s="2">
        <v>24.932228162511102</v>
      </c>
      <c r="AN1136" s="2">
        <v>24.6439494305266</v>
      </c>
      <c r="AO1136" s="2">
        <v>25.013321283798302</v>
      </c>
      <c r="AP1136" s="2">
        <v>24.891253149134702</v>
      </c>
      <c r="AQ1136" s="2">
        <v>24.850254402863399</v>
      </c>
      <c r="AR1136" s="2">
        <v>25.0841688033323</v>
      </c>
      <c r="AS1136" s="2">
        <v>23.784407220098601</v>
      </c>
      <c r="AT1136" s="2">
        <v>23.561252741336801</v>
      </c>
      <c r="AU1136" s="2">
        <v>25.368605067879798</v>
      </c>
      <c r="AV1136" s="2">
        <v>25.586115713930401</v>
      </c>
      <c r="AW1136" s="2">
        <v>24.534376033442602</v>
      </c>
      <c r="AX1136" s="2">
        <v>24.9052316868049</v>
      </c>
      <c r="AY1136" s="2">
        <v>25.4173499989117</v>
      </c>
      <c r="AZ1136" s="2">
        <v>25.443751269622901</v>
      </c>
      <c r="BA1136" s="2">
        <v>23.992461013166999</v>
      </c>
      <c r="BB1136" s="2">
        <v>24.988514065993598</v>
      </c>
      <c r="BC1136" s="2">
        <v>24.558043028838199</v>
      </c>
      <c r="BD1136" s="2">
        <v>24.805179773285101</v>
      </c>
      <c r="BE1136" s="2">
        <v>24.852642138408299</v>
      </c>
      <c r="BF1136" s="2">
        <v>24.862045950500899</v>
      </c>
      <c r="BG1136" s="2">
        <v>25.2823586025178</v>
      </c>
      <c r="BH1136" s="2">
        <v>25.177796169300301</v>
      </c>
      <c r="BI1136" s="2">
        <v>25.903311912932399</v>
      </c>
      <c r="BJ1136" s="2">
        <v>24.179466511012901</v>
      </c>
      <c r="BK1136" s="2">
        <v>25.229804544844701</v>
      </c>
      <c r="BL1136" s="2">
        <v>24.397898380686399</v>
      </c>
      <c r="BM1136" s="2">
        <v>25.343952060140701</v>
      </c>
      <c r="BN1136" s="2">
        <v>25.2335710953339</v>
      </c>
      <c r="BO1136" s="2">
        <v>25.684271161785698</v>
      </c>
      <c r="BP1136" s="2">
        <v>25.134142276904299</v>
      </c>
      <c r="BQ1136" s="2">
        <v>24.968294885514901</v>
      </c>
      <c r="BR1136" s="2">
        <v>24.515715467982702</v>
      </c>
      <c r="BS1136" s="2">
        <v>24.971797045782299</v>
      </c>
      <c r="BT1136" s="2">
        <v>24.4849366000917</v>
      </c>
      <c r="BU1136" s="2">
        <v>24.0349078504982</v>
      </c>
      <c r="BV1136" s="2">
        <v>24.038550809986202</v>
      </c>
      <c r="BW1136" s="2">
        <v>23.544295407717598</v>
      </c>
      <c r="BX1136" s="2">
        <v>25.259331757777201</v>
      </c>
      <c r="BY1136" s="2">
        <v>25.494522749016401</v>
      </c>
      <c r="BZ1136" s="2">
        <v>24.681762600566099</v>
      </c>
      <c r="CA1136" s="2">
        <v>25.681784141948601</v>
      </c>
      <c r="CB1136" s="2">
        <v>24.102780084532601</v>
      </c>
      <c r="CC1136" s="2">
        <v>24.520295072579501</v>
      </c>
      <c r="CD1136" s="2">
        <v>24.2853673604683</v>
      </c>
      <c r="CE1136" s="2">
        <v>25.070854602694599</v>
      </c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</row>
    <row r="1137" spans="1:97">
      <c r="A1137" s="2" t="s">
        <v>10367</v>
      </c>
      <c r="B1137" s="2">
        <v>331.11576000000002</v>
      </c>
      <c r="C1137" s="2">
        <v>7.1580000000000004</v>
      </c>
      <c r="D1137" s="2" t="s">
        <v>146</v>
      </c>
      <c r="E1137" s="2" t="s">
        <v>10368</v>
      </c>
      <c r="F1137" s="2" t="s">
        <v>10369</v>
      </c>
      <c r="G1137" s="2">
        <v>29925</v>
      </c>
      <c r="H1137" s="3" t="str">
        <f>HYPERLINK("https://cloud.oebiotech.com/#/lm/network/29925", "https://cloud.oebiotech.com/#/lm/network/29925")</f>
        <v>https://cloud.oebiotech.com/#/lm/network/29925</v>
      </c>
      <c r="I1137" s="2"/>
      <c r="J1137" s="2">
        <v>48280</v>
      </c>
      <c r="K1137" s="2" t="s">
        <v>10370</v>
      </c>
      <c r="L1137" s="2">
        <v>11256023</v>
      </c>
      <c r="M1137" s="2"/>
      <c r="N1137" s="2"/>
      <c r="O1137" s="2"/>
      <c r="P1137" s="2"/>
      <c r="Q1137" s="2"/>
      <c r="R1137" s="2"/>
      <c r="S1137" s="2"/>
      <c r="T1137" s="2" t="s">
        <v>10371</v>
      </c>
      <c r="U1137" s="2" t="s">
        <v>10372</v>
      </c>
      <c r="V1137" s="2" t="s">
        <v>845</v>
      </c>
      <c r="W1137" s="2" t="s">
        <v>3853</v>
      </c>
      <c r="X1137" s="2" t="s">
        <v>10373</v>
      </c>
      <c r="Y1137" s="2" t="s">
        <v>847</v>
      </c>
      <c r="Z1137" s="2" t="s">
        <v>3855</v>
      </c>
      <c r="AA1137" s="2" t="s">
        <v>10374</v>
      </c>
      <c r="AB1137" s="2" t="s">
        <v>3086</v>
      </c>
      <c r="AC1137" s="2">
        <v>48.64</v>
      </c>
      <c r="AD1137" s="2">
        <v>88.02</v>
      </c>
      <c r="AE1137" s="2">
        <v>31.639285714285698</v>
      </c>
      <c r="AF1137" s="2" t="s">
        <v>10375</v>
      </c>
      <c r="AG1137" s="2" t="s">
        <v>194</v>
      </c>
      <c r="AH1137" s="2" t="s">
        <v>10376</v>
      </c>
      <c r="AI1137" s="2">
        <v>8.76</v>
      </c>
      <c r="AJ1137" s="2">
        <v>17.282285406169201</v>
      </c>
      <c r="AK1137" s="2">
        <v>17.130949566339801</v>
      </c>
      <c r="AL1137" s="2">
        <v>17.193090526784001</v>
      </c>
      <c r="AM1137" s="2">
        <v>17.190857497718</v>
      </c>
      <c r="AN1137" s="2">
        <v>17.243625963807201</v>
      </c>
      <c r="AO1137" s="2">
        <v>17.142030152744798</v>
      </c>
      <c r="AP1137" s="2">
        <v>17.075631232816399</v>
      </c>
      <c r="AQ1137" s="2">
        <v>17.314656701184301</v>
      </c>
      <c r="AR1137" s="2">
        <v>17.2370318726975</v>
      </c>
      <c r="AS1137" s="2">
        <v>15.172730642782099</v>
      </c>
      <c r="AT1137" s="2">
        <v>15.137757660453399</v>
      </c>
      <c r="AU1137" s="2">
        <v>17.615480138684202</v>
      </c>
      <c r="AV1137" s="2">
        <v>16.884925661035201</v>
      </c>
      <c r="AW1137" s="2">
        <v>17.455507594075399</v>
      </c>
      <c r="AX1137" s="2">
        <v>16.053942422213201</v>
      </c>
      <c r="AY1137" s="2">
        <v>17.753701075092799</v>
      </c>
      <c r="AZ1137" s="2">
        <v>17.7118913018688</v>
      </c>
      <c r="BA1137" s="2">
        <v>15.9315985770689</v>
      </c>
      <c r="BB1137" s="2">
        <v>17.147952159382601</v>
      </c>
      <c r="BC1137" s="2">
        <v>15.8583577003886</v>
      </c>
      <c r="BD1137" s="2">
        <v>15.9823100215448</v>
      </c>
      <c r="BE1137" s="2">
        <v>17.377010095074201</v>
      </c>
      <c r="BF1137" s="2">
        <v>16.891354983505899</v>
      </c>
      <c r="BG1137" s="2">
        <v>15.7235652272491</v>
      </c>
      <c r="BH1137" s="2">
        <v>14.774495217838901</v>
      </c>
      <c r="BI1137" s="2">
        <v>16.534261080903299</v>
      </c>
      <c r="BJ1137" s="2">
        <v>17.475948309024801</v>
      </c>
      <c r="BK1137" s="2">
        <v>15.226858450014801</v>
      </c>
      <c r="BL1137" s="2">
        <v>17.408717996683698</v>
      </c>
      <c r="BM1137" s="2">
        <v>18.186085166699101</v>
      </c>
      <c r="BN1137" s="2">
        <v>17.438461559867999</v>
      </c>
      <c r="BO1137" s="2">
        <v>16.429169040802101</v>
      </c>
      <c r="BP1137" s="2">
        <v>15.651376048013701</v>
      </c>
      <c r="BQ1137" s="2">
        <v>17.693637366515802</v>
      </c>
      <c r="BR1137" s="2">
        <v>16.841029871744102</v>
      </c>
      <c r="BS1137" s="2">
        <v>17.383434892482502</v>
      </c>
      <c r="BT1137" s="2">
        <v>18.851956577354802</v>
      </c>
      <c r="BU1137" s="2">
        <v>16.260853577652501</v>
      </c>
      <c r="BV1137" s="2">
        <v>17.8010641548241</v>
      </c>
      <c r="BW1137" s="2">
        <v>13.0043100173936</v>
      </c>
      <c r="BX1137" s="2">
        <v>16.097554629535399</v>
      </c>
      <c r="BY1137" s="2">
        <v>17.9833404075146</v>
      </c>
      <c r="BZ1137" s="2">
        <v>16.8152211636482</v>
      </c>
      <c r="CA1137" s="2">
        <v>17.9581087148084</v>
      </c>
      <c r="CB1137" s="2">
        <v>17.940633166424</v>
      </c>
      <c r="CC1137" s="2">
        <v>17.336911232426701</v>
      </c>
      <c r="CD1137" s="2">
        <v>17.097720655603801</v>
      </c>
      <c r="CE1137" s="2">
        <v>15.1921348183819</v>
      </c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</row>
    <row r="1138" spans="1:97">
      <c r="A1138" s="2" t="s">
        <v>10377</v>
      </c>
      <c r="B1138" s="2">
        <v>552.33076000000005</v>
      </c>
      <c r="C1138" s="2">
        <v>11.571</v>
      </c>
      <c r="D1138" s="2" t="s">
        <v>84</v>
      </c>
      <c r="E1138" s="2" t="s">
        <v>10378</v>
      </c>
      <c r="F1138" s="2" t="s">
        <v>10379</v>
      </c>
      <c r="G1138" s="2">
        <v>551146</v>
      </c>
      <c r="H1138" s="3" t="str">
        <f>HYPERLINK("https://cloud.oebiotech.com/#/lm/network/551146", "https://cloud.oebiotech.com/#/lm/network/551146")</f>
        <v>https://cloud.oebiotech.com/#/lm/network/551146</v>
      </c>
      <c r="I1138" s="2"/>
      <c r="J1138" s="2"/>
      <c r="K1138" s="2"/>
      <c r="L1138" s="2">
        <v>138145535</v>
      </c>
      <c r="M1138" s="2"/>
      <c r="N1138" s="2"/>
      <c r="O1138" s="2"/>
      <c r="P1138" s="2"/>
      <c r="Q1138" s="2"/>
      <c r="R1138" s="2"/>
      <c r="S1138" s="2"/>
      <c r="T1138" s="2" t="s">
        <v>10380</v>
      </c>
      <c r="U1138" s="2" t="s">
        <v>10381</v>
      </c>
      <c r="V1138" s="2" t="s">
        <v>95</v>
      </c>
      <c r="W1138" s="2" t="s">
        <v>202</v>
      </c>
      <c r="X1138" s="2" t="s">
        <v>4982</v>
      </c>
      <c r="Y1138" s="2" t="s">
        <v>98</v>
      </c>
      <c r="Z1138" s="2" t="s">
        <v>204</v>
      </c>
      <c r="AA1138" s="2" t="s">
        <v>4983</v>
      </c>
      <c r="AB1138" s="2" t="s">
        <v>3086</v>
      </c>
      <c r="AC1138" s="2">
        <v>48.63</v>
      </c>
      <c r="AD1138" s="2">
        <v>82.09</v>
      </c>
      <c r="AE1138" s="2">
        <v>0</v>
      </c>
      <c r="AF1138" s="2" t="s">
        <v>10382</v>
      </c>
      <c r="AG1138" s="2" t="s">
        <v>132</v>
      </c>
      <c r="AH1138" s="2" t="s">
        <v>10383</v>
      </c>
      <c r="AI1138" s="2">
        <v>-2.17</v>
      </c>
      <c r="AJ1138" s="2">
        <v>21.958092259716398</v>
      </c>
      <c r="AK1138" s="2">
        <v>21.699724109797799</v>
      </c>
      <c r="AL1138" s="2">
        <v>21.420555821652599</v>
      </c>
      <c r="AM1138" s="2">
        <v>21.2596493447518</v>
      </c>
      <c r="AN1138" s="2">
        <v>21.417951442190699</v>
      </c>
      <c r="AO1138" s="2">
        <v>21.5176529638989</v>
      </c>
      <c r="AP1138" s="2">
        <v>21.161341754203999</v>
      </c>
      <c r="AQ1138" s="2">
        <v>21.411516149765401</v>
      </c>
      <c r="AR1138" s="2">
        <v>22.436757642638199</v>
      </c>
      <c r="AS1138" s="2">
        <v>19.6028977799891</v>
      </c>
      <c r="AT1138" s="2">
        <v>21.0137514291829</v>
      </c>
      <c r="AU1138" s="2">
        <v>21.3408292238779</v>
      </c>
      <c r="AV1138" s="2">
        <v>20.724247506561898</v>
      </c>
      <c r="AW1138" s="2">
        <v>21.229920696090598</v>
      </c>
      <c r="AX1138" s="2">
        <v>21.4190003946775</v>
      </c>
      <c r="AY1138" s="2">
        <v>21.378487455519998</v>
      </c>
      <c r="AZ1138" s="2">
        <v>21.712662764756999</v>
      </c>
      <c r="BA1138" s="2">
        <v>19.7787722404431</v>
      </c>
      <c r="BB1138" s="2">
        <v>21.362115345218399</v>
      </c>
      <c r="BC1138" s="2">
        <v>22.1770313801862</v>
      </c>
      <c r="BD1138" s="2">
        <v>21.569014979334298</v>
      </c>
      <c r="BE1138" s="2">
        <v>22.187361926881898</v>
      </c>
      <c r="BF1138" s="2">
        <v>20.607734994431201</v>
      </c>
      <c r="BG1138" s="2">
        <v>21.458867595423101</v>
      </c>
      <c r="BH1138" s="2">
        <v>21.257601507287699</v>
      </c>
      <c r="BI1138" s="2">
        <v>21.2289971847872</v>
      </c>
      <c r="BJ1138" s="2">
        <v>21.373679001625099</v>
      </c>
      <c r="BK1138" s="2">
        <v>20.7925068064058</v>
      </c>
      <c r="BL1138" s="2">
        <v>21.757208491476099</v>
      </c>
      <c r="BM1138" s="2">
        <v>20.881771816767699</v>
      </c>
      <c r="BN1138" s="2">
        <v>21.2055625250504</v>
      </c>
      <c r="BO1138" s="2">
        <v>21.414411633904901</v>
      </c>
      <c r="BP1138" s="2">
        <v>21.392912505452198</v>
      </c>
      <c r="BQ1138" s="2">
        <v>21.4975850552153</v>
      </c>
      <c r="BR1138" s="2">
        <v>21.634906979432799</v>
      </c>
      <c r="BS1138" s="2">
        <v>21.144656108349398</v>
      </c>
      <c r="BT1138" s="2">
        <v>21.348887606213701</v>
      </c>
      <c r="BU1138" s="2">
        <v>20.9275585489317</v>
      </c>
      <c r="BV1138" s="2">
        <v>21.760770905863701</v>
      </c>
      <c r="BW1138" s="2">
        <v>20.162491668146</v>
      </c>
      <c r="BX1138" s="2">
        <v>21.506440316948002</v>
      </c>
      <c r="BY1138" s="2">
        <v>22.5373544066927</v>
      </c>
      <c r="BZ1138" s="2">
        <v>21.1676189404041</v>
      </c>
      <c r="CA1138" s="2">
        <v>21.564983108957499</v>
      </c>
      <c r="CB1138" s="2">
        <v>21.331681825028902</v>
      </c>
      <c r="CC1138" s="2">
        <v>20.868317506544098</v>
      </c>
      <c r="CD1138" s="2">
        <v>21.9259614008377</v>
      </c>
      <c r="CE1138" s="2">
        <v>19.985576211861598</v>
      </c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</row>
    <row r="1139" spans="1:97">
      <c r="A1139" s="2" t="s">
        <v>10384</v>
      </c>
      <c r="B1139" s="2">
        <v>313.21899999999999</v>
      </c>
      <c r="C1139" s="2">
        <v>9.1929999999999996</v>
      </c>
      <c r="D1139" s="2" t="s">
        <v>84</v>
      </c>
      <c r="E1139" s="2" t="s">
        <v>10385</v>
      </c>
      <c r="F1139" s="2" t="s">
        <v>10386</v>
      </c>
      <c r="G1139" s="2">
        <v>45037</v>
      </c>
      <c r="H1139" s="3" t="str">
        <f>HYPERLINK("https://cloud.oebiotech.com/#/lm/network/45037", "https://cloud.oebiotech.com/#/lm/network/45037")</f>
        <v>https://cloud.oebiotech.com/#/lm/network/45037</v>
      </c>
      <c r="I1139" s="2" t="s">
        <v>10387</v>
      </c>
      <c r="J1139" s="2">
        <v>57864</v>
      </c>
      <c r="K1139" s="2" t="s">
        <v>10388</v>
      </c>
      <c r="L1139" s="2">
        <v>101788</v>
      </c>
      <c r="M1139" s="2" t="s">
        <v>10389</v>
      </c>
      <c r="N1139" s="2" t="s">
        <v>1564</v>
      </c>
      <c r="O1139" s="2" t="s">
        <v>1565</v>
      </c>
      <c r="P1139" s="2">
        <v>28247</v>
      </c>
      <c r="Q1139" s="2"/>
      <c r="R1139" s="2"/>
      <c r="S1139" s="2" t="s">
        <v>10390</v>
      </c>
      <c r="T1139" s="2" t="s">
        <v>10391</v>
      </c>
      <c r="U1139" s="2" t="s">
        <v>10392</v>
      </c>
      <c r="V1139" s="2" t="s">
        <v>95</v>
      </c>
      <c r="W1139" s="2" t="s">
        <v>152</v>
      </c>
      <c r="X1139" s="2" t="s">
        <v>4609</v>
      </c>
      <c r="Y1139" s="2" t="s">
        <v>98</v>
      </c>
      <c r="Z1139" s="2" t="s">
        <v>154</v>
      </c>
      <c r="AA1139" s="2" t="s">
        <v>4610</v>
      </c>
      <c r="AB1139" s="2" t="s">
        <v>3086</v>
      </c>
      <c r="AC1139" s="2">
        <v>48.59</v>
      </c>
      <c r="AD1139" s="2">
        <v>86.72</v>
      </c>
      <c r="AE1139" s="2">
        <v>0</v>
      </c>
      <c r="AF1139" s="2" t="s">
        <v>5614</v>
      </c>
      <c r="AG1139" s="2" t="s">
        <v>1088</v>
      </c>
      <c r="AH1139" s="2" t="s">
        <v>6647</v>
      </c>
      <c r="AI1139" s="2">
        <v>-7.02</v>
      </c>
      <c r="AJ1139" s="2">
        <v>16.5206369412378</v>
      </c>
      <c r="AK1139" s="2">
        <v>16.829697839464</v>
      </c>
      <c r="AL1139" s="2">
        <v>16.649737959228801</v>
      </c>
      <c r="AM1139" s="2">
        <v>15.8699684924109</v>
      </c>
      <c r="AN1139" s="2">
        <v>17.042172032481002</v>
      </c>
      <c r="AO1139" s="2">
        <v>17.3882681706718</v>
      </c>
      <c r="AP1139" s="2">
        <v>16.871269732581599</v>
      </c>
      <c r="AQ1139" s="2">
        <v>16.868220422199499</v>
      </c>
      <c r="AR1139" s="2">
        <v>9.6233145402724691</v>
      </c>
      <c r="AS1139" s="2">
        <v>15.8802268244728</v>
      </c>
      <c r="AT1139" s="2">
        <v>15.9961205837636</v>
      </c>
      <c r="AU1139" s="2">
        <v>9.6233145402724691</v>
      </c>
      <c r="AV1139" s="2">
        <v>16.476231044533499</v>
      </c>
      <c r="AW1139" s="2">
        <v>16.567904990941599</v>
      </c>
      <c r="AX1139" s="2">
        <v>16.614411360304</v>
      </c>
      <c r="AY1139" s="2">
        <v>17.510123993754799</v>
      </c>
      <c r="AZ1139" s="2">
        <v>15.7022795737642</v>
      </c>
      <c r="BA1139" s="2">
        <v>17.258408046452399</v>
      </c>
      <c r="BB1139" s="2">
        <v>17.577263735991298</v>
      </c>
      <c r="BC1139" s="2">
        <v>18.431185229185999</v>
      </c>
      <c r="BD1139" s="2">
        <v>14.5036375643102</v>
      </c>
      <c r="BE1139" s="2">
        <v>17.323753291032201</v>
      </c>
      <c r="BF1139" s="2">
        <v>16.286851916080099</v>
      </c>
      <c r="BG1139" s="2">
        <v>14.3324911662988</v>
      </c>
      <c r="BH1139" s="2">
        <v>18.178221866523501</v>
      </c>
      <c r="BI1139" s="2">
        <v>17.023262933901801</v>
      </c>
      <c r="BJ1139" s="2">
        <v>17.219677802820701</v>
      </c>
      <c r="BK1139" s="2">
        <v>16.718273183644001</v>
      </c>
      <c r="BL1139" s="2">
        <v>16.9540977989118</v>
      </c>
      <c r="BM1139" s="2">
        <v>16.9094336155324</v>
      </c>
      <c r="BN1139" s="2">
        <v>17.363045193029201</v>
      </c>
      <c r="BO1139" s="2">
        <v>15.890926373781101</v>
      </c>
      <c r="BP1139" s="2">
        <v>15.7539440255842</v>
      </c>
      <c r="BQ1139" s="2">
        <v>16.2683793443707</v>
      </c>
      <c r="BR1139" s="2">
        <v>16.7054292241016</v>
      </c>
      <c r="BS1139" s="2">
        <v>16.1669770371205</v>
      </c>
      <c r="BT1139" s="2">
        <v>14.6293469428787</v>
      </c>
      <c r="BU1139" s="2">
        <v>17.1091037176204</v>
      </c>
      <c r="BV1139" s="2">
        <v>17.1555194134408</v>
      </c>
      <c r="BW1139" s="2">
        <v>17.799427024718899</v>
      </c>
      <c r="BX1139" s="2">
        <v>16.284323117627501</v>
      </c>
      <c r="BY1139" s="2">
        <v>17.949364854079601</v>
      </c>
      <c r="BZ1139" s="2">
        <v>15.8121720398284</v>
      </c>
      <c r="CA1139" s="2">
        <v>17.0502436202616</v>
      </c>
      <c r="CB1139" s="2">
        <v>14.297354080938399</v>
      </c>
      <c r="CC1139" s="2">
        <v>17.263175837433199</v>
      </c>
      <c r="CD1139" s="2">
        <v>17.161985277596798</v>
      </c>
      <c r="CE1139" s="2">
        <v>16.3742979652827</v>
      </c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</row>
    <row r="1140" spans="1:97">
      <c r="A1140" s="2" t="s">
        <v>10393</v>
      </c>
      <c r="B1140" s="2">
        <v>194.11507</v>
      </c>
      <c r="C1140" s="2">
        <v>0.65800000000000003</v>
      </c>
      <c r="D1140" s="2" t="s">
        <v>84</v>
      </c>
      <c r="E1140" s="2" t="s">
        <v>10394</v>
      </c>
      <c r="F1140" s="2" t="s">
        <v>10395</v>
      </c>
      <c r="G1140" s="2">
        <v>53736</v>
      </c>
      <c r="H1140" s="3" t="str">
        <f>HYPERLINK("https://cloud.oebiotech.com/#/lm/network/53736", "https://cloud.oebiotech.com/#/lm/network/53736")</f>
        <v>https://cloud.oebiotech.com/#/lm/network/53736</v>
      </c>
      <c r="I1140" s="2" t="s">
        <v>10396</v>
      </c>
      <c r="J1140" s="2">
        <v>23694</v>
      </c>
      <c r="K1140" s="2"/>
      <c r="L1140" s="2">
        <v>1549432</v>
      </c>
      <c r="M1140" s="2"/>
      <c r="N1140" s="2"/>
      <c r="O1140" s="2"/>
      <c r="P1140" s="2">
        <v>73394</v>
      </c>
      <c r="Q1140" s="2"/>
      <c r="R1140" s="2"/>
      <c r="S1140" s="2" t="s">
        <v>10397</v>
      </c>
      <c r="T1140" s="2" t="s">
        <v>10398</v>
      </c>
      <c r="U1140" s="2" t="s">
        <v>10399</v>
      </c>
      <c r="V1140" s="2" t="s">
        <v>115</v>
      </c>
      <c r="W1140" s="2" t="s">
        <v>116</v>
      </c>
      <c r="X1140" s="2" t="s">
        <v>117</v>
      </c>
      <c r="Y1140" s="2" t="s">
        <v>118</v>
      </c>
      <c r="Z1140" s="2" t="s">
        <v>119</v>
      </c>
      <c r="AA1140" s="2" t="s">
        <v>120</v>
      </c>
      <c r="AB1140" s="2" t="s">
        <v>3086</v>
      </c>
      <c r="AC1140" s="2">
        <v>48.58</v>
      </c>
      <c r="AD1140" s="2">
        <v>95.58</v>
      </c>
      <c r="AE1140" s="2">
        <v>0</v>
      </c>
      <c r="AF1140" s="2" t="s">
        <v>5614</v>
      </c>
      <c r="AG1140" s="2" t="s">
        <v>132</v>
      </c>
      <c r="AH1140" s="2" t="s">
        <v>1945</v>
      </c>
      <c r="AI1140" s="2">
        <v>-8.24</v>
      </c>
      <c r="AJ1140" s="2">
        <v>18.967063742688399</v>
      </c>
      <c r="AK1140" s="2">
        <v>19.0141094424133</v>
      </c>
      <c r="AL1140" s="2">
        <v>19.034642029582301</v>
      </c>
      <c r="AM1140" s="2">
        <v>18.2286595719949</v>
      </c>
      <c r="AN1140" s="2">
        <v>18.895521115217601</v>
      </c>
      <c r="AO1140" s="2">
        <v>18.708416012967</v>
      </c>
      <c r="AP1140" s="2">
        <v>19.3685192714055</v>
      </c>
      <c r="AQ1140" s="2">
        <v>19.635029383757999</v>
      </c>
      <c r="AR1140" s="2">
        <v>19.4254488469529</v>
      </c>
      <c r="AS1140" s="2">
        <v>18.825056504608799</v>
      </c>
      <c r="AT1140" s="2">
        <v>19.276728711741299</v>
      </c>
      <c r="AU1140" s="2">
        <v>18.565778629380201</v>
      </c>
      <c r="AV1140" s="2">
        <v>18.090450821835699</v>
      </c>
      <c r="AW1140" s="2">
        <v>19.034343105862099</v>
      </c>
      <c r="AX1140" s="2">
        <v>19.2478458515974</v>
      </c>
      <c r="AY1140" s="2">
        <v>19.008016102671</v>
      </c>
      <c r="AZ1140" s="2">
        <v>18.5024333005389</v>
      </c>
      <c r="BA1140" s="2">
        <v>18.7059966933993</v>
      </c>
      <c r="BB1140" s="2">
        <v>18.7888553755839</v>
      </c>
      <c r="BC1140" s="2">
        <v>18.758958834420099</v>
      </c>
      <c r="BD1140" s="2">
        <v>19.124001324641299</v>
      </c>
      <c r="BE1140" s="2">
        <v>18.797532884454299</v>
      </c>
      <c r="BF1140" s="2">
        <v>18.931674459254101</v>
      </c>
      <c r="BG1140" s="2">
        <v>18.736466807796301</v>
      </c>
      <c r="BH1140" s="2">
        <v>19.224838396875199</v>
      </c>
      <c r="BI1140" s="2">
        <v>19.043315708302</v>
      </c>
      <c r="BJ1140" s="2">
        <v>18.8529082500363</v>
      </c>
      <c r="BK1140" s="2">
        <v>18.485498841879402</v>
      </c>
      <c r="BL1140" s="2">
        <v>18.5489506395318</v>
      </c>
      <c r="BM1140" s="2">
        <v>18.575805451092101</v>
      </c>
      <c r="BN1140" s="2">
        <v>19.0817688530983</v>
      </c>
      <c r="BO1140" s="2">
        <v>18.988908176921999</v>
      </c>
      <c r="BP1140" s="2">
        <v>19.0097963944722</v>
      </c>
      <c r="BQ1140" s="2">
        <v>19.1880326466726</v>
      </c>
      <c r="BR1140" s="2">
        <v>18.957790896855599</v>
      </c>
      <c r="BS1140" s="2">
        <v>19.2286166426873</v>
      </c>
      <c r="BT1140" s="2">
        <v>19.1250942231446</v>
      </c>
      <c r="BU1140" s="2">
        <v>19.422021472185101</v>
      </c>
      <c r="BV1140" s="2">
        <v>19.296192904091701</v>
      </c>
      <c r="BW1140" s="2">
        <v>18.755942408053802</v>
      </c>
      <c r="BX1140" s="2">
        <v>19.159331993827099</v>
      </c>
      <c r="BY1140" s="2">
        <v>18.684034210642402</v>
      </c>
      <c r="BZ1140" s="2">
        <v>19.234772767116699</v>
      </c>
      <c r="CA1140" s="2">
        <v>19.242603343219901</v>
      </c>
      <c r="CB1140" s="2">
        <v>18.9773968503664</v>
      </c>
      <c r="CC1140" s="2">
        <v>18.987903100333199</v>
      </c>
      <c r="CD1140" s="2">
        <v>19.504403651920899</v>
      </c>
      <c r="CE1140" s="2">
        <v>18.619291920774199</v>
      </c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</row>
    <row r="1141" spans="1:97">
      <c r="A1141" s="2" t="s">
        <v>10400</v>
      </c>
      <c r="B1141" s="2">
        <v>310.16307</v>
      </c>
      <c r="C1141" s="2">
        <v>7.03</v>
      </c>
      <c r="D1141" s="2" t="s">
        <v>146</v>
      </c>
      <c r="E1141" s="2" t="s">
        <v>10401</v>
      </c>
      <c r="F1141" s="2" t="s">
        <v>10402</v>
      </c>
      <c r="G1141" s="2">
        <v>53903</v>
      </c>
      <c r="H1141" s="3" t="str">
        <f>HYPERLINK("https://cloud.oebiotech.com/#/lm/network/53903", "https://cloud.oebiotech.com/#/lm/network/53903")</f>
        <v>https://cloud.oebiotech.com/#/lm/network/53903</v>
      </c>
      <c r="I1141" s="2" t="s">
        <v>10403</v>
      </c>
      <c r="J1141" s="2"/>
      <c r="K1141" s="2"/>
      <c r="L1141" s="2">
        <v>7408563</v>
      </c>
      <c r="M1141" s="2"/>
      <c r="N1141" s="2"/>
      <c r="O1141" s="2"/>
      <c r="P1141" s="2">
        <v>157853</v>
      </c>
      <c r="Q1141" s="2"/>
      <c r="R1141" s="2"/>
      <c r="S1141" s="2" t="s">
        <v>10404</v>
      </c>
      <c r="T1141" s="2" t="s">
        <v>10405</v>
      </c>
      <c r="U1141" s="2" t="s">
        <v>10406</v>
      </c>
      <c r="V1141" s="2" t="s">
        <v>115</v>
      </c>
      <c r="W1141" s="2" t="s">
        <v>116</v>
      </c>
      <c r="X1141" s="2" t="s">
        <v>117</v>
      </c>
      <c r="Y1141" s="2" t="s">
        <v>118</v>
      </c>
      <c r="Z1141" s="2" t="s">
        <v>119</v>
      </c>
      <c r="AA1141" s="2" t="s">
        <v>120</v>
      </c>
      <c r="AB1141" s="2" t="s">
        <v>5118</v>
      </c>
      <c r="AC1141" s="2">
        <v>48.58</v>
      </c>
      <c r="AD1141" s="2">
        <v>91.25</v>
      </c>
      <c r="AE1141" s="2">
        <v>64.540000000000006</v>
      </c>
      <c r="AF1141" s="2" t="s">
        <v>10407</v>
      </c>
      <c r="AG1141" s="2" t="s">
        <v>194</v>
      </c>
      <c r="AH1141" s="2" t="s">
        <v>10408</v>
      </c>
      <c r="AI1141" s="2">
        <v>0.64</v>
      </c>
      <c r="AJ1141" s="2">
        <v>19.148641790496299</v>
      </c>
      <c r="AK1141" s="2">
        <v>18.721894019787801</v>
      </c>
      <c r="AL1141" s="2">
        <v>19.041961641883699</v>
      </c>
      <c r="AM1141" s="2">
        <v>19.251025023619501</v>
      </c>
      <c r="AN1141" s="2">
        <v>19.2590105510162</v>
      </c>
      <c r="AO1141" s="2">
        <v>19.1336828808397</v>
      </c>
      <c r="AP1141" s="2">
        <v>19.2385318596553</v>
      </c>
      <c r="AQ1141" s="2">
        <v>19.3374331386688</v>
      </c>
      <c r="AR1141" s="2">
        <v>19.485904289922701</v>
      </c>
      <c r="AS1141" s="2">
        <v>18.7678056219161</v>
      </c>
      <c r="AT1141" s="2">
        <v>19.087103557536899</v>
      </c>
      <c r="AU1141" s="2">
        <v>18.787665930707</v>
      </c>
      <c r="AV1141" s="2">
        <v>18.6676423831825</v>
      </c>
      <c r="AW1141" s="2">
        <v>18.7505036938791</v>
      </c>
      <c r="AX1141" s="2">
        <v>18.7278386772857</v>
      </c>
      <c r="AY1141" s="2">
        <v>18.5332511674148</v>
      </c>
      <c r="AZ1141" s="2">
        <v>19.022475886476599</v>
      </c>
      <c r="BA1141" s="2">
        <v>18.5492725297952</v>
      </c>
      <c r="BB1141" s="2">
        <v>19.394855055675901</v>
      </c>
      <c r="BC1141" s="2">
        <v>18.9107743176951</v>
      </c>
      <c r="BD1141" s="2">
        <v>18.888628423428301</v>
      </c>
      <c r="BE1141" s="2">
        <v>18.654152837481199</v>
      </c>
      <c r="BF1141" s="2">
        <v>18.914102218456499</v>
      </c>
      <c r="BG1141" s="2">
        <v>19.0310295747419</v>
      </c>
      <c r="BH1141" s="2">
        <v>18.2024464193182</v>
      </c>
      <c r="BI1141" s="2">
        <v>19.1764443059865</v>
      </c>
      <c r="BJ1141" s="2">
        <v>18.6515009213709</v>
      </c>
      <c r="BK1141" s="2">
        <v>18.643013643766199</v>
      </c>
      <c r="BL1141" s="2">
        <v>18.217550425020299</v>
      </c>
      <c r="BM1141" s="2">
        <v>18.8623140200135</v>
      </c>
      <c r="BN1141" s="2">
        <v>18.847392532312899</v>
      </c>
      <c r="BO1141" s="2">
        <v>19.592856852468401</v>
      </c>
      <c r="BP1141" s="2">
        <v>18.803300140514601</v>
      </c>
      <c r="BQ1141" s="2">
        <v>18.218549330583301</v>
      </c>
      <c r="BR1141" s="2">
        <v>19.076464481836901</v>
      </c>
      <c r="BS1141" s="2">
        <v>18.8189784198456</v>
      </c>
      <c r="BT1141" s="2">
        <v>18.181714389499</v>
      </c>
      <c r="BU1141" s="2">
        <v>18.864306680649701</v>
      </c>
      <c r="BV1141" s="2">
        <v>18.640664220681401</v>
      </c>
      <c r="BW1141" s="2">
        <v>18.7657040482902</v>
      </c>
      <c r="BX1141" s="2">
        <v>18.5776681336976</v>
      </c>
      <c r="BY1141" s="2">
        <v>18.398670177739799</v>
      </c>
      <c r="BZ1141" s="2">
        <v>18.866396908433401</v>
      </c>
      <c r="CA1141" s="2">
        <v>18.758134351565001</v>
      </c>
      <c r="CB1141" s="2">
        <v>18.938538590737799</v>
      </c>
      <c r="CC1141" s="2">
        <v>18.695471468824302</v>
      </c>
      <c r="CD1141" s="2">
        <v>18.945294138484599</v>
      </c>
      <c r="CE1141" s="2">
        <v>18.400433485429801</v>
      </c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</row>
    <row r="1142" spans="1:97">
      <c r="A1142" s="2" t="s">
        <v>10409</v>
      </c>
      <c r="B1142" s="2">
        <v>438.29363999999998</v>
      </c>
      <c r="C1142" s="2">
        <v>10.131</v>
      </c>
      <c r="D1142" s="2" t="s">
        <v>146</v>
      </c>
      <c r="E1142" s="2" t="s">
        <v>10410</v>
      </c>
      <c r="F1142" s="2" t="s">
        <v>10411</v>
      </c>
      <c r="G1142" s="2">
        <v>198444</v>
      </c>
      <c r="H1142" s="3" t="str">
        <f>HYPERLINK("https://cloud.oebiotech.com/#/lm/network/198444", "https://cloud.oebiotech.com/#/lm/network/198444")</f>
        <v>https://cloud.oebiotech.com/#/lm/network/198444</v>
      </c>
      <c r="I1142" s="2" t="s">
        <v>10412</v>
      </c>
      <c r="J1142" s="2"/>
      <c r="K1142" s="2"/>
      <c r="L1142" s="2">
        <v>67901977</v>
      </c>
      <c r="M1142" s="2"/>
      <c r="N1142" s="2"/>
      <c r="O1142" s="2"/>
      <c r="P1142" s="2"/>
      <c r="Q1142" s="2"/>
      <c r="R1142" s="2"/>
      <c r="S1142" s="2"/>
      <c r="T1142" s="2" t="s">
        <v>10413</v>
      </c>
      <c r="U1142" s="2" t="s">
        <v>10414</v>
      </c>
      <c r="V1142" s="2" t="s">
        <v>115</v>
      </c>
      <c r="W1142" s="2" t="s">
        <v>116</v>
      </c>
      <c r="X1142" s="2" t="s">
        <v>117</v>
      </c>
      <c r="Y1142" s="2" t="s">
        <v>118</v>
      </c>
      <c r="Z1142" s="2" t="s">
        <v>119</v>
      </c>
      <c r="AA1142" s="2" t="s">
        <v>120</v>
      </c>
      <c r="AB1142" s="2" t="s">
        <v>3086</v>
      </c>
      <c r="AC1142" s="2">
        <v>48.56</v>
      </c>
      <c r="AD1142" s="2">
        <v>93.52</v>
      </c>
      <c r="AE1142" s="2">
        <v>0</v>
      </c>
      <c r="AF1142" s="2" t="s">
        <v>5614</v>
      </c>
      <c r="AG1142" s="2" t="s">
        <v>157</v>
      </c>
      <c r="AH1142" s="2" t="s">
        <v>10415</v>
      </c>
      <c r="AI1142" s="2">
        <v>8.44</v>
      </c>
      <c r="AJ1142" s="2">
        <v>21.152770688553399</v>
      </c>
      <c r="AK1142" s="2">
        <v>21.0532297949037</v>
      </c>
      <c r="AL1142" s="2">
        <v>20.9197482399011</v>
      </c>
      <c r="AM1142" s="2">
        <v>21.011534951352299</v>
      </c>
      <c r="AN1142" s="2">
        <v>20.963975577033299</v>
      </c>
      <c r="AO1142" s="2">
        <v>20.9029069834362</v>
      </c>
      <c r="AP1142" s="2">
        <v>20.9888227741611</v>
      </c>
      <c r="AQ1142" s="2">
        <v>21.009741075456098</v>
      </c>
      <c r="AR1142" s="2">
        <v>18.7629545621723</v>
      </c>
      <c r="AS1142" s="2">
        <v>17.8635490442731</v>
      </c>
      <c r="AT1142" s="2">
        <v>17.1985778898989</v>
      </c>
      <c r="AU1142" s="2">
        <v>20.367008784706702</v>
      </c>
      <c r="AV1142" s="2">
        <v>19.0034178526342</v>
      </c>
      <c r="AW1142" s="2">
        <v>22.3797664607659</v>
      </c>
      <c r="AX1142" s="2">
        <v>18.951648587533501</v>
      </c>
      <c r="AY1142" s="2">
        <v>19.835264203701399</v>
      </c>
      <c r="AZ1142" s="2">
        <v>19.305587221079598</v>
      </c>
      <c r="BA1142" s="2">
        <v>19.711507879597601</v>
      </c>
      <c r="BB1142" s="2">
        <v>18.956175226917701</v>
      </c>
      <c r="BC1142" s="2">
        <v>21.518423581859501</v>
      </c>
      <c r="BD1142" s="2">
        <v>18.204051435912699</v>
      </c>
      <c r="BE1142" s="2">
        <v>19.086679507852299</v>
      </c>
      <c r="BF1142" s="2">
        <v>18.251789396317299</v>
      </c>
      <c r="BG1142" s="2">
        <v>19.685964419844598</v>
      </c>
      <c r="BH1142" s="2">
        <v>17.526899974550201</v>
      </c>
      <c r="BI1142" s="2">
        <v>19.669212572685801</v>
      </c>
      <c r="BJ1142" s="2">
        <v>19.181843159491901</v>
      </c>
      <c r="BK1142" s="2">
        <v>21.148691299658001</v>
      </c>
      <c r="BL1142" s="2">
        <v>21.139979330457699</v>
      </c>
      <c r="BM1142" s="2">
        <v>20.8133975564694</v>
      </c>
      <c r="BN1142" s="2">
        <v>21.2764955638151</v>
      </c>
      <c r="BO1142" s="2">
        <v>19.113790001119099</v>
      </c>
      <c r="BP1142" s="2">
        <v>20.955365414452899</v>
      </c>
      <c r="BQ1142" s="2">
        <v>22.832618415805801</v>
      </c>
      <c r="BR1142" s="2">
        <v>20.073360798977902</v>
      </c>
      <c r="BS1142" s="2">
        <v>20.4648313870645</v>
      </c>
      <c r="BT1142" s="2">
        <v>17.119053576170099</v>
      </c>
      <c r="BU1142" s="2">
        <v>18.637877131979401</v>
      </c>
      <c r="BV1142" s="2">
        <v>20.665325610795701</v>
      </c>
      <c r="BW1142" s="2">
        <v>20.730387898927699</v>
      </c>
      <c r="BX1142" s="2">
        <v>18.149281369186099</v>
      </c>
      <c r="BY1142" s="2">
        <v>21.6347292972631</v>
      </c>
      <c r="BZ1142" s="2">
        <v>19.662469310503099</v>
      </c>
      <c r="CA1142" s="2">
        <v>22.076282530307601</v>
      </c>
      <c r="CB1142" s="2">
        <v>22.057842166690101</v>
      </c>
      <c r="CC1142" s="2">
        <v>21.199794664382001</v>
      </c>
      <c r="CD1142" s="2">
        <v>21.4903094424002</v>
      </c>
      <c r="CE1142" s="2">
        <v>20.195052208534001</v>
      </c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</row>
    <row r="1143" spans="1:97">
      <c r="A1143" s="2" t="s">
        <v>10416</v>
      </c>
      <c r="B1143" s="2">
        <v>119.04918000000001</v>
      </c>
      <c r="C1143" s="2">
        <v>1.129</v>
      </c>
      <c r="D1143" s="2" t="s">
        <v>84</v>
      </c>
      <c r="E1143" s="2" t="s">
        <v>10417</v>
      </c>
      <c r="F1143" s="2" t="s">
        <v>10418</v>
      </c>
      <c r="G1143" s="2">
        <v>57192</v>
      </c>
      <c r="H1143" s="3" t="str">
        <f>HYPERLINK("https://cloud.oebiotech.com/#/lm/network/57192", "https://cloud.oebiotech.com/#/lm/network/57192")</f>
        <v>https://cloud.oebiotech.com/#/lm/network/57192</v>
      </c>
      <c r="I1143" s="2" t="s">
        <v>10419</v>
      </c>
      <c r="J1143" s="2">
        <v>70116</v>
      </c>
      <c r="K1143" s="2"/>
      <c r="L1143" s="2">
        <v>9223</v>
      </c>
      <c r="M1143" s="2" t="s">
        <v>10420</v>
      </c>
      <c r="N1143" s="2"/>
      <c r="O1143" s="2"/>
      <c r="P1143" s="2">
        <v>35260</v>
      </c>
      <c r="Q1143" s="2"/>
      <c r="R1143" s="2"/>
      <c r="S1143" s="2" t="s">
        <v>10421</v>
      </c>
      <c r="T1143" s="2" t="s">
        <v>10422</v>
      </c>
      <c r="U1143" s="2" t="s">
        <v>10423</v>
      </c>
      <c r="V1143" s="2" t="s">
        <v>553</v>
      </c>
      <c r="W1143" s="2" t="s">
        <v>10424</v>
      </c>
      <c r="X1143" s="2" t="s">
        <v>375</v>
      </c>
      <c r="Y1143" s="2" t="s">
        <v>556</v>
      </c>
      <c r="Z1143" s="2" t="s">
        <v>10425</v>
      </c>
      <c r="AA1143" s="2"/>
      <c r="AB1143" s="2" t="s">
        <v>5118</v>
      </c>
      <c r="AC1143" s="2">
        <v>48.55</v>
      </c>
      <c r="AD1143" s="2">
        <v>98.78</v>
      </c>
      <c r="AE1143" s="2">
        <v>54.96</v>
      </c>
      <c r="AF1143" s="2" t="s">
        <v>10426</v>
      </c>
      <c r="AG1143" s="2" t="s">
        <v>103</v>
      </c>
      <c r="AH1143" s="2" t="s">
        <v>10427</v>
      </c>
      <c r="AI1143" s="2">
        <v>-0.84</v>
      </c>
      <c r="AJ1143" s="2">
        <v>23.489178805606901</v>
      </c>
      <c r="AK1143" s="2">
        <v>23.209409831236101</v>
      </c>
      <c r="AL1143" s="2">
        <v>23.4283442038396</v>
      </c>
      <c r="AM1143" s="2">
        <v>23.295386817080001</v>
      </c>
      <c r="AN1143" s="2">
        <v>23.330708934096101</v>
      </c>
      <c r="AO1143" s="2">
        <v>23.2711013054288</v>
      </c>
      <c r="AP1143" s="2">
        <v>23.335882933522502</v>
      </c>
      <c r="AQ1143" s="2">
        <v>23.197056827463101</v>
      </c>
      <c r="AR1143" s="2">
        <v>22.718687384929101</v>
      </c>
      <c r="AS1143" s="2">
        <v>22.437573160150201</v>
      </c>
      <c r="AT1143" s="2">
        <v>22.694896771034699</v>
      </c>
      <c r="AU1143" s="2">
        <v>23.340103992361399</v>
      </c>
      <c r="AV1143" s="2">
        <v>23.142468709662701</v>
      </c>
      <c r="AW1143" s="2">
        <v>23.088726244641801</v>
      </c>
      <c r="AX1143" s="2">
        <v>22.782853043606099</v>
      </c>
      <c r="AY1143" s="2">
        <v>23.215910785972699</v>
      </c>
      <c r="AZ1143" s="2">
        <v>22.939575695692501</v>
      </c>
      <c r="BA1143" s="2">
        <v>22.748157477620001</v>
      </c>
      <c r="BB1143" s="2">
        <v>23.438046335591402</v>
      </c>
      <c r="BC1143" s="2">
        <v>23.408442744944299</v>
      </c>
      <c r="BD1143" s="2">
        <v>22.453570080772199</v>
      </c>
      <c r="BE1143" s="2">
        <v>23.226194816986901</v>
      </c>
      <c r="BF1143" s="2">
        <v>23.030949758754101</v>
      </c>
      <c r="BG1143" s="2">
        <v>23.213947977077499</v>
      </c>
      <c r="BH1143" s="2">
        <v>23.404681256299401</v>
      </c>
      <c r="BI1143" s="2">
        <v>22.655380675547502</v>
      </c>
      <c r="BJ1143" s="2">
        <v>23.150898156050399</v>
      </c>
      <c r="BK1143" s="2">
        <v>22.8935837148201</v>
      </c>
      <c r="BL1143" s="2">
        <v>22.7336441423578</v>
      </c>
      <c r="BM1143" s="2">
        <v>24.175652800988601</v>
      </c>
      <c r="BN1143" s="2">
        <v>23.5123319533859</v>
      </c>
      <c r="BO1143" s="2">
        <v>22.895838220119099</v>
      </c>
      <c r="BP1143" s="2">
        <v>23.1938488286604</v>
      </c>
      <c r="BQ1143" s="2">
        <v>23.300016622719198</v>
      </c>
      <c r="BR1143" s="2">
        <v>22.816274152176199</v>
      </c>
      <c r="BS1143" s="2">
        <v>23.464318510352602</v>
      </c>
      <c r="BT1143" s="2">
        <v>22.337802930322301</v>
      </c>
      <c r="BU1143" s="2">
        <v>23.005348802398899</v>
      </c>
      <c r="BV1143" s="2">
        <v>23.269744392682998</v>
      </c>
      <c r="BW1143" s="2">
        <v>22.420822161137099</v>
      </c>
      <c r="BX1143" s="2">
        <v>23.029352018912199</v>
      </c>
      <c r="BY1143" s="2">
        <v>23.494994004400301</v>
      </c>
      <c r="BZ1143" s="2">
        <v>23.712861056939801</v>
      </c>
      <c r="CA1143" s="2">
        <v>23.959200544114498</v>
      </c>
      <c r="CB1143" s="2">
        <v>22.7838585097278</v>
      </c>
      <c r="CC1143" s="2">
        <v>23.014328374886901</v>
      </c>
      <c r="CD1143" s="2">
        <v>23.581175796380698</v>
      </c>
      <c r="CE1143" s="2">
        <v>23.0539526109403</v>
      </c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</row>
    <row r="1144" spans="1:97">
      <c r="A1144" s="2" t="s">
        <v>10428</v>
      </c>
      <c r="B1144" s="2">
        <v>558.00262999999995</v>
      </c>
      <c r="C1144" s="2">
        <v>1.0329999999999999</v>
      </c>
      <c r="D1144" s="2" t="s">
        <v>146</v>
      </c>
      <c r="E1144" s="2" t="s">
        <v>10429</v>
      </c>
      <c r="F1144" s="2" t="s">
        <v>10430</v>
      </c>
      <c r="G1144" s="2">
        <v>48892</v>
      </c>
      <c r="H1144" s="3" t="str">
        <f>HYPERLINK("https://cloud.oebiotech.com/#/lm/network/48892", "https://cloud.oebiotech.com/#/lm/network/48892")</f>
        <v>https://cloud.oebiotech.com/#/lm/network/48892</v>
      </c>
      <c r="I1144" s="2" t="s">
        <v>10431</v>
      </c>
      <c r="J1144" s="2">
        <v>63908</v>
      </c>
      <c r="K1144" s="2"/>
      <c r="L1144" s="2">
        <v>440841</v>
      </c>
      <c r="M1144" s="2" t="s">
        <v>10432</v>
      </c>
      <c r="N1144" s="2" t="s">
        <v>10433</v>
      </c>
      <c r="O1144" s="2" t="s">
        <v>10434</v>
      </c>
      <c r="P1144" s="2">
        <v>929</v>
      </c>
      <c r="Q1144" s="2"/>
      <c r="R1144" s="2"/>
      <c r="S1144" s="2"/>
      <c r="T1144" s="2" t="s">
        <v>10435</v>
      </c>
      <c r="U1144" s="2" t="s">
        <v>10436</v>
      </c>
      <c r="V1144" s="2" t="s">
        <v>338</v>
      </c>
      <c r="W1144" s="2" t="s">
        <v>339</v>
      </c>
      <c r="X1144" s="2" t="s">
        <v>663</v>
      </c>
      <c r="Y1144" s="2" t="s">
        <v>341</v>
      </c>
      <c r="Z1144" s="2" t="s">
        <v>341</v>
      </c>
      <c r="AA1144" s="2" t="s">
        <v>664</v>
      </c>
      <c r="AB1144" s="2" t="s">
        <v>8443</v>
      </c>
      <c r="AC1144" s="2">
        <v>48.5</v>
      </c>
      <c r="AD1144" s="2">
        <v>90.37</v>
      </c>
      <c r="AE1144" s="2">
        <v>38.83</v>
      </c>
      <c r="AF1144" s="2" t="s">
        <v>10437</v>
      </c>
      <c r="AG1144" s="2" t="s">
        <v>157</v>
      </c>
      <c r="AH1144" s="2" t="s">
        <v>10438</v>
      </c>
      <c r="AI1144" s="2">
        <v>3.41</v>
      </c>
      <c r="AJ1144" s="2">
        <v>19.1792369696945</v>
      </c>
      <c r="AK1144" s="2">
        <v>18.647973402071401</v>
      </c>
      <c r="AL1144" s="2">
        <v>18.3235722034111</v>
      </c>
      <c r="AM1144" s="2">
        <v>18.8063934486924</v>
      </c>
      <c r="AN1144" s="2">
        <v>18.732993236341599</v>
      </c>
      <c r="AO1144" s="2">
        <v>19.127276053118099</v>
      </c>
      <c r="AP1144" s="2">
        <v>19.215915231251799</v>
      </c>
      <c r="AQ1144" s="2">
        <v>18.266621673798401</v>
      </c>
      <c r="AR1144" s="2">
        <v>18.4339879808782</v>
      </c>
      <c r="AS1144" s="2">
        <v>19.0514876362429</v>
      </c>
      <c r="AT1144" s="2">
        <v>18.745749320191099</v>
      </c>
      <c r="AU1144" s="2">
        <v>18.150539546717798</v>
      </c>
      <c r="AV1144" s="2">
        <v>19.145433143746001</v>
      </c>
      <c r="AW1144" s="2">
        <v>19.160004386235599</v>
      </c>
      <c r="AX1144" s="2">
        <v>19.214284396425501</v>
      </c>
      <c r="AY1144" s="2">
        <v>17.6309198452103</v>
      </c>
      <c r="AZ1144" s="2">
        <v>18.987104348466101</v>
      </c>
      <c r="BA1144" s="2">
        <v>18.557636309685499</v>
      </c>
      <c r="BB1144" s="2">
        <v>18.621077359467701</v>
      </c>
      <c r="BC1144" s="2">
        <v>18.1735100124966</v>
      </c>
      <c r="BD1144" s="2">
        <v>19.1194857966582</v>
      </c>
      <c r="BE1144" s="2">
        <v>18.996498535304699</v>
      </c>
      <c r="BF1144" s="2">
        <v>18.859552590657302</v>
      </c>
      <c r="BG1144" s="2">
        <v>18.021582743881901</v>
      </c>
      <c r="BH1144" s="2">
        <v>19.003536303630099</v>
      </c>
      <c r="BI1144" s="2">
        <v>18.511936993218399</v>
      </c>
      <c r="BJ1144" s="2">
        <v>19.444302022172899</v>
      </c>
      <c r="BK1144" s="2">
        <v>18.517518804823599</v>
      </c>
      <c r="BL1144" s="2">
        <v>18.787516021352701</v>
      </c>
      <c r="BM1144" s="2">
        <v>18.834347316147301</v>
      </c>
      <c r="BN1144" s="2">
        <v>18.615840100845801</v>
      </c>
      <c r="BO1144" s="2">
        <v>18.753217271591598</v>
      </c>
      <c r="BP1144" s="2">
        <v>19.3644131762541</v>
      </c>
      <c r="BQ1144" s="2">
        <v>18.873048790389401</v>
      </c>
      <c r="BR1144" s="2">
        <v>18.4622406821243</v>
      </c>
      <c r="BS1144" s="2">
        <v>18.275884875471899</v>
      </c>
      <c r="BT1144" s="2">
        <v>18.2961057265947</v>
      </c>
      <c r="BU1144" s="2">
        <v>18.887751875877601</v>
      </c>
      <c r="BV1144" s="2">
        <v>18.673535583208398</v>
      </c>
      <c r="BW1144" s="2">
        <v>17.9337836554453</v>
      </c>
      <c r="BX1144" s="2">
        <v>18.5341800204436</v>
      </c>
      <c r="BY1144" s="2">
        <v>19.1307321541405</v>
      </c>
      <c r="BZ1144" s="2">
        <v>18.5088131653748</v>
      </c>
      <c r="CA1144" s="2">
        <v>18.237131051874002</v>
      </c>
      <c r="CB1144" s="2">
        <v>18.203337917310002</v>
      </c>
      <c r="CC1144" s="2">
        <v>18.849007535307098</v>
      </c>
      <c r="CD1144" s="2">
        <v>18.777984987643901</v>
      </c>
      <c r="CE1144" s="2">
        <v>19.220145376901499</v>
      </c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</row>
    <row r="1145" spans="1:97">
      <c r="A1145" s="2" t="s">
        <v>10439</v>
      </c>
      <c r="B1145" s="2">
        <v>541.26223000000005</v>
      </c>
      <c r="C1145" s="2">
        <v>8.7959999999999994</v>
      </c>
      <c r="D1145" s="2" t="s">
        <v>146</v>
      </c>
      <c r="E1145" s="2" t="s">
        <v>10440</v>
      </c>
      <c r="F1145" s="2" t="s">
        <v>10441</v>
      </c>
      <c r="G1145" s="2">
        <v>46299</v>
      </c>
      <c r="H1145" s="3" t="str">
        <f>HYPERLINK("https://cloud.oebiotech.com/#/lm/network/46299", "https://cloud.oebiotech.com/#/lm/network/46299")</f>
        <v>https://cloud.oebiotech.com/#/lm/network/46299</v>
      </c>
      <c r="I1145" s="2"/>
      <c r="J1145" s="2"/>
      <c r="K1145" s="2" t="s">
        <v>10442</v>
      </c>
      <c r="L1145" s="2"/>
      <c r="M1145" s="2"/>
      <c r="N1145" s="2"/>
      <c r="O1145" s="2"/>
      <c r="P1145" s="2"/>
      <c r="Q1145" s="2"/>
      <c r="R1145" s="2"/>
      <c r="S1145" s="2"/>
      <c r="T1145" s="2" t="s">
        <v>10443</v>
      </c>
      <c r="U1145" s="2" t="s">
        <v>10444</v>
      </c>
      <c r="V1145" s="2" t="s">
        <v>95</v>
      </c>
      <c r="W1145" s="2" t="s">
        <v>152</v>
      </c>
      <c r="X1145" s="2" t="s">
        <v>278</v>
      </c>
      <c r="Y1145" s="2" t="s">
        <v>98</v>
      </c>
      <c r="Z1145" s="2" t="s">
        <v>154</v>
      </c>
      <c r="AA1145" s="2" t="s">
        <v>279</v>
      </c>
      <c r="AB1145" s="2" t="s">
        <v>3086</v>
      </c>
      <c r="AC1145" s="2">
        <v>48.46</v>
      </c>
      <c r="AD1145" s="2">
        <v>75.16</v>
      </c>
      <c r="AE1145" s="2">
        <v>0</v>
      </c>
      <c r="AF1145" s="2" t="s">
        <v>5614</v>
      </c>
      <c r="AG1145" s="2" t="s">
        <v>993</v>
      </c>
      <c r="AH1145" s="2" t="s">
        <v>10445</v>
      </c>
      <c r="AI1145" s="2">
        <v>0.37</v>
      </c>
      <c r="AJ1145" s="2">
        <v>17.644999115019999</v>
      </c>
      <c r="AK1145" s="2">
        <v>17.272148247430302</v>
      </c>
      <c r="AL1145" s="2">
        <v>17.437938394315498</v>
      </c>
      <c r="AM1145" s="2">
        <v>17.4858847197283</v>
      </c>
      <c r="AN1145" s="2">
        <v>17.767705031449498</v>
      </c>
      <c r="AO1145" s="2">
        <v>17.563760757445699</v>
      </c>
      <c r="AP1145" s="2">
        <v>17.494855115840199</v>
      </c>
      <c r="AQ1145" s="2">
        <v>17.640511080884501</v>
      </c>
      <c r="AR1145" s="2">
        <v>17.723133087869599</v>
      </c>
      <c r="AS1145" s="2">
        <v>17.764542878962999</v>
      </c>
      <c r="AT1145" s="2">
        <v>17.413995100540699</v>
      </c>
      <c r="AU1145" s="2">
        <v>17.8425704068699</v>
      </c>
      <c r="AV1145" s="2">
        <v>17.718781687399701</v>
      </c>
      <c r="AW1145" s="2">
        <v>17.885464618975501</v>
      </c>
      <c r="AX1145" s="2">
        <v>17.808258713371799</v>
      </c>
      <c r="AY1145" s="2">
        <v>18.0446760816452</v>
      </c>
      <c r="AZ1145" s="2">
        <v>17.683716806201701</v>
      </c>
      <c r="BA1145" s="2">
        <v>17.854268981877201</v>
      </c>
      <c r="BB1145" s="2">
        <v>17.552907705976601</v>
      </c>
      <c r="BC1145" s="2">
        <v>17.6574375758759</v>
      </c>
      <c r="BD1145" s="2">
        <v>17.4789201556361</v>
      </c>
      <c r="BE1145" s="2">
        <v>17.961337883913099</v>
      </c>
      <c r="BF1145" s="2">
        <v>17.9203096432413</v>
      </c>
      <c r="BG1145" s="2">
        <v>17.641355159817699</v>
      </c>
      <c r="BH1145" s="2">
        <v>17.503648044925701</v>
      </c>
      <c r="BI1145" s="2">
        <v>17.3264067517154</v>
      </c>
      <c r="BJ1145" s="2">
        <v>17.496845197320699</v>
      </c>
      <c r="BK1145" s="2">
        <v>17.543470810910399</v>
      </c>
      <c r="BL1145" s="2">
        <v>17.415214836888701</v>
      </c>
      <c r="BM1145" s="2">
        <v>17.0430965107833</v>
      </c>
      <c r="BN1145" s="2">
        <v>17.208475384436301</v>
      </c>
      <c r="BO1145" s="2">
        <v>17.392718395214398</v>
      </c>
      <c r="BP1145" s="2">
        <v>17.288493207236002</v>
      </c>
      <c r="BQ1145" s="2">
        <v>17.702686827168801</v>
      </c>
      <c r="BR1145" s="2">
        <v>17.571774267178998</v>
      </c>
      <c r="BS1145" s="2">
        <v>17.189139930766299</v>
      </c>
      <c r="BT1145" s="2">
        <v>17.9289559658617</v>
      </c>
      <c r="BU1145" s="2">
        <v>17.2481379034875</v>
      </c>
      <c r="BV1145" s="2">
        <v>17.6094191480414</v>
      </c>
      <c r="BW1145" s="2">
        <v>17.268706282449301</v>
      </c>
      <c r="BX1145" s="2">
        <v>17.717030334522899</v>
      </c>
      <c r="BY1145" s="2">
        <v>17.523682165426202</v>
      </c>
      <c r="BZ1145" s="2">
        <v>17.3093567104949</v>
      </c>
      <c r="CA1145" s="2">
        <v>17.099665050068602</v>
      </c>
      <c r="CB1145" s="2">
        <v>17.514687860061301</v>
      </c>
      <c r="CC1145" s="2">
        <v>17.753676921411</v>
      </c>
      <c r="CD1145" s="2">
        <v>17.7287739711632</v>
      </c>
      <c r="CE1145" s="2">
        <v>17.5409817821788</v>
      </c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</row>
    <row r="1146" spans="1:97">
      <c r="A1146" s="2" t="s">
        <v>10446</v>
      </c>
      <c r="B1146" s="2">
        <v>368.24029999999999</v>
      </c>
      <c r="C1146" s="2">
        <v>6.7169999999999996</v>
      </c>
      <c r="D1146" s="2" t="s">
        <v>84</v>
      </c>
      <c r="E1146" s="2" t="s">
        <v>10447</v>
      </c>
      <c r="F1146" s="2" t="s">
        <v>10448</v>
      </c>
      <c r="G1146" s="2">
        <v>83246</v>
      </c>
      <c r="H1146" s="3" t="str">
        <f>HYPERLINK("https://cloud.oebiotech.com/#/lm/network/83246", "https://cloud.oebiotech.com/#/lm/network/83246")</f>
        <v>https://cloud.oebiotech.com/#/lm/network/83246</v>
      </c>
      <c r="I1146" s="2" t="s">
        <v>10449</v>
      </c>
      <c r="J1146" s="2"/>
      <c r="K1146" s="2"/>
      <c r="L1146" s="2">
        <v>131770390</v>
      </c>
      <c r="M1146" s="2"/>
      <c r="N1146" s="2"/>
      <c r="O1146" s="2"/>
      <c r="P1146" s="2"/>
      <c r="Q1146" s="2"/>
      <c r="R1146" s="2"/>
      <c r="S1146" s="2"/>
      <c r="T1146" s="2" t="s">
        <v>10450</v>
      </c>
      <c r="U1146" s="2" t="s">
        <v>10451</v>
      </c>
      <c r="V1146" s="2" t="s">
        <v>95</v>
      </c>
      <c r="W1146" s="2" t="s">
        <v>96</v>
      </c>
      <c r="X1146" s="2" t="s">
        <v>97</v>
      </c>
      <c r="Y1146" s="2" t="s">
        <v>98</v>
      </c>
      <c r="Z1146" s="2" t="s">
        <v>99</v>
      </c>
      <c r="AA1146" s="2" t="s">
        <v>100</v>
      </c>
      <c r="AB1146" s="2" t="s">
        <v>3086</v>
      </c>
      <c r="AC1146" s="2">
        <v>48.46</v>
      </c>
      <c r="AD1146" s="2">
        <v>74.19</v>
      </c>
      <c r="AE1146" s="2">
        <v>0</v>
      </c>
      <c r="AF1146" s="2" t="s">
        <v>5614</v>
      </c>
      <c r="AG1146" s="2" t="s">
        <v>1578</v>
      </c>
      <c r="AH1146" s="2" t="s">
        <v>10452</v>
      </c>
      <c r="AI1146" s="2">
        <v>1.36</v>
      </c>
      <c r="AJ1146" s="2">
        <v>18.008217246948298</v>
      </c>
      <c r="AK1146" s="2">
        <v>19.3012738156479</v>
      </c>
      <c r="AL1146" s="2">
        <v>18.9503471766389</v>
      </c>
      <c r="AM1146" s="2">
        <v>18.9041096313046</v>
      </c>
      <c r="AN1146" s="2">
        <v>18.887174346272001</v>
      </c>
      <c r="AO1146" s="2">
        <v>18.911907052157598</v>
      </c>
      <c r="AP1146" s="2">
        <v>19.429090990736398</v>
      </c>
      <c r="AQ1146" s="2">
        <v>19.464237697781002</v>
      </c>
      <c r="AR1146" s="2">
        <v>17.1031934358558</v>
      </c>
      <c r="AS1146" s="2">
        <v>19.438959954467499</v>
      </c>
      <c r="AT1146" s="2">
        <v>19.2810372778771</v>
      </c>
      <c r="AU1146" s="2">
        <v>17.344818790101499</v>
      </c>
      <c r="AV1146" s="2">
        <v>19.289477451144201</v>
      </c>
      <c r="AW1146" s="2">
        <v>18.588932318854301</v>
      </c>
      <c r="AX1146" s="2">
        <v>18.552667784308198</v>
      </c>
      <c r="AY1146" s="2">
        <v>19.248021474462799</v>
      </c>
      <c r="AZ1146" s="2">
        <v>19.343513809872</v>
      </c>
      <c r="BA1146" s="2">
        <v>17.865890308087199</v>
      </c>
      <c r="BB1146" s="2">
        <v>19.391937981122599</v>
      </c>
      <c r="BC1146" s="2">
        <v>19.1046843076508</v>
      </c>
      <c r="BD1146" s="2">
        <v>19.312687603688101</v>
      </c>
      <c r="BE1146" s="2">
        <v>19.2586979912071</v>
      </c>
      <c r="BF1146" s="2">
        <v>19.2367062238146</v>
      </c>
      <c r="BG1146" s="2">
        <v>19.353730747015302</v>
      </c>
      <c r="BH1146" s="2">
        <v>17.8601961571262</v>
      </c>
      <c r="BI1146" s="2">
        <v>18.648643824363599</v>
      </c>
      <c r="BJ1146" s="2">
        <v>19.327320954863101</v>
      </c>
      <c r="BK1146" s="2">
        <v>19.353350194249</v>
      </c>
      <c r="BL1146" s="2">
        <v>19.138457580600701</v>
      </c>
      <c r="BM1146" s="2">
        <v>18.837063808214399</v>
      </c>
      <c r="BN1146" s="2">
        <v>19.259731174376402</v>
      </c>
      <c r="BO1146" s="2">
        <v>19.444189089711699</v>
      </c>
      <c r="BP1146" s="2">
        <v>19.4121324999726</v>
      </c>
      <c r="BQ1146" s="2">
        <v>18.436120137812701</v>
      </c>
      <c r="BR1146" s="2">
        <v>18.986501709722098</v>
      </c>
      <c r="BS1146" s="2">
        <v>19.4579669791183</v>
      </c>
      <c r="BT1146" s="2">
        <v>19.273382230048199</v>
      </c>
      <c r="BU1146" s="2">
        <v>18.850288462837</v>
      </c>
      <c r="BV1146" s="2">
        <v>18.5795147143557</v>
      </c>
      <c r="BW1146" s="2">
        <v>19.422012188864901</v>
      </c>
      <c r="BX1146" s="2">
        <v>19.298945897821302</v>
      </c>
      <c r="BY1146" s="2">
        <v>19.177004283907699</v>
      </c>
      <c r="BZ1146" s="2">
        <v>18.267927832382</v>
      </c>
      <c r="CA1146" s="2">
        <v>19.229046324366202</v>
      </c>
      <c r="CB1146" s="2">
        <v>19.5121385778797</v>
      </c>
      <c r="CC1146" s="2">
        <v>19.172777000868901</v>
      </c>
      <c r="CD1146" s="2">
        <v>18.829374962547199</v>
      </c>
      <c r="CE1146" s="2">
        <v>18.418018646273602</v>
      </c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</row>
    <row r="1147" spans="1:97">
      <c r="A1147" s="2" t="s">
        <v>10453</v>
      </c>
      <c r="B1147" s="2">
        <v>193.11983000000001</v>
      </c>
      <c r="C1147" s="2">
        <v>0.66200000000000003</v>
      </c>
      <c r="D1147" s="2" t="s">
        <v>84</v>
      </c>
      <c r="E1147" s="2" t="s">
        <v>10454</v>
      </c>
      <c r="F1147" s="2" t="s">
        <v>10455</v>
      </c>
      <c r="G1147" s="2">
        <v>47856</v>
      </c>
      <c r="H1147" s="3" t="str">
        <f>HYPERLINK("https://cloud.oebiotech.com/#/lm/network/47856", "https://cloud.oebiotech.com/#/lm/network/47856")</f>
        <v>https://cloud.oebiotech.com/#/lm/network/47856</v>
      </c>
      <c r="I1147" s="2" t="s">
        <v>10456</v>
      </c>
      <c r="J1147" s="2">
        <v>6542</v>
      </c>
      <c r="K1147" s="2"/>
      <c r="L1147" s="2">
        <v>2572</v>
      </c>
      <c r="M1147" s="2"/>
      <c r="N1147" s="2"/>
      <c r="O1147" s="2"/>
      <c r="P1147" s="2"/>
      <c r="Q1147" s="2"/>
      <c r="R1147" s="2"/>
      <c r="S1147" s="2" t="s">
        <v>10457</v>
      </c>
      <c r="T1147" s="2" t="s">
        <v>10458</v>
      </c>
      <c r="U1147" s="2" t="s">
        <v>10459</v>
      </c>
      <c r="V1147" s="2" t="s">
        <v>115</v>
      </c>
      <c r="W1147" s="2" t="s">
        <v>116</v>
      </c>
      <c r="X1147" s="2" t="s">
        <v>117</v>
      </c>
      <c r="Y1147" s="2" t="s">
        <v>118</v>
      </c>
      <c r="Z1147" s="2" t="s">
        <v>119</v>
      </c>
      <c r="AA1147" s="2" t="s">
        <v>120</v>
      </c>
      <c r="AB1147" s="2" t="s">
        <v>3086</v>
      </c>
      <c r="AC1147" s="2">
        <v>48.45</v>
      </c>
      <c r="AD1147" s="2">
        <v>95.17</v>
      </c>
      <c r="AE1147" s="2">
        <v>0</v>
      </c>
      <c r="AF1147" s="2" t="s">
        <v>5614</v>
      </c>
      <c r="AG1147" s="2" t="s">
        <v>132</v>
      </c>
      <c r="AH1147" s="2" t="s">
        <v>8226</v>
      </c>
      <c r="AI1147" s="2">
        <v>-7.77</v>
      </c>
      <c r="AJ1147" s="2">
        <v>18.865068542266801</v>
      </c>
      <c r="AK1147" s="2">
        <v>19.0376640834588</v>
      </c>
      <c r="AL1147" s="2">
        <v>19.4510553012103</v>
      </c>
      <c r="AM1147" s="2">
        <v>19.326979043877799</v>
      </c>
      <c r="AN1147" s="2">
        <v>19.096312943067201</v>
      </c>
      <c r="AO1147" s="2">
        <v>19.530788237377202</v>
      </c>
      <c r="AP1147" s="2">
        <v>19.096981595122401</v>
      </c>
      <c r="AQ1147" s="2">
        <v>18.962211419981799</v>
      </c>
      <c r="AR1147" s="2">
        <v>19.359081140876999</v>
      </c>
      <c r="AS1147" s="2">
        <v>18.359238069128999</v>
      </c>
      <c r="AT1147" s="2">
        <v>18.561650050426699</v>
      </c>
      <c r="AU1147" s="2">
        <v>18.9855383702211</v>
      </c>
      <c r="AV1147" s="2">
        <v>18.884040836512298</v>
      </c>
      <c r="AW1147" s="2">
        <v>19.248164593952001</v>
      </c>
      <c r="AX1147" s="2">
        <v>19.137888313318001</v>
      </c>
      <c r="AY1147" s="2">
        <v>18.781811861726599</v>
      </c>
      <c r="AZ1147" s="2">
        <v>19.033225179884599</v>
      </c>
      <c r="BA1147" s="2">
        <v>18.366443586448501</v>
      </c>
      <c r="BB1147" s="2">
        <v>19.1665749225517</v>
      </c>
      <c r="BC1147" s="2">
        <v>19.389156032460399</v>
      </c>
      <c r="BD1147" s="2">
        <v>19.241554813945701</v>
      </c>
      <c r="BE1147" s="2">
        <v>19.2825747773229</v>
      </c>
      <c r="BF1147" s="2">
        <v>19.3257141596164</v>
      </c>
      <c r="BG1147" s="2">
        <v>18.944905931892801</v>
      </c>
      <c r="BH1147" s="2">
        <v>19.362280517152801</v>
      </c>
      <c r="BI1147" s="2">
        <v>18.993398230297899</v>
      </c>
      <c r="BJ1147" s="2">
        <v>19.122996090525401</v>
      </c>
      <c r="BK1147" s="2">
        <v>18.6826278850012</v>
      </c>
      <c r="BL1147" s="2">
        <v>19.6643005033614</v>
      </c>
      <c r="BM1147" s="2">
        <v>19.868813634340199</v>
      </c>
      <c r="BN1147" s="2">
        <v>18.9348052577656</v>
      </c>
      <c r="BO1147" s="2">
        <v>19.327683088585101</v>
      </c>
      <c r="BP1147" s="2">
        <v>19.13977715551</v>
      </c>
      <c r="BQ1147" s="2">
        <v>18.893129817793099</v>
      </c>
      <c r="BR1147" s="2">
        <v>19.077813757565401</v>
      </c>
      <c r="BS1147" s="2">
        <v>19.2906787323967</v>
      </c>
      <c r="BT1147" s="2">
        <v>19.369193964174901</v>
      </c>
      <c r="BU1147" s="2">
        <v>19.5957821967922</v>
      </c>
      <c r="BV1147" s="2">
        <v>18.6600766265909</v>
      </c>
      <c r="BW1147" s="2">
        <v>18.937240268389701</v>
      </c>
      <c r="BX1147" s="2">
        <v>18.850340722689499</v>
      </c>
      <c r="BY1147" s="2">
        <v>19.2716786755818</v>
      </c>
      <c r="BZ1147" s="2">
        <v>19.197404131826801</v>
      </c>
      <c r="CA1147" s="2">
        <v>18.484279335111498</v>
      </c>
      <c r="CB1147" s="2">
        <v>18.859666508549701</v>
      </c>
      <c r="CC1147" s="2">
        <v>18.772465974460498</v>
      </c>
      <c r="CD1147" s="2">
        <v>19.145940601574001</v>
      </c>
      <c r="CE1147" s="2">
        <v>19.239286187465002</v>
      </c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</row>
    <row r="1148" spans="1:97">
      <c r="A1148" s="2" t="s">
        <v>10460</v>
      </c>
      <c r="B1148" s="2">
        <v>414.29969</v>
      </c>
      <c r="C1148" s="2">
        <v>8.9670000000000005</v>
      </c>
      <c r="D1148" s="2" t="s">
        <v>84</v>
      </c>
      <c r="E1148" s="2" t="s">
        <v>10461</v>
      </c>
      <c r="F1148" s="2" t="s">
        <v>10462</v>
      </c>
      <c r="G1148" s="2">
        <v>206498</v>
      </c>
      <c r="H1148" s="3" t="str">
        <f>HYPERLINK("https://cloud.oebiotech.com/#/lm/network/206498", "https://cloud.oebiotech.com/#/lm/network/206498")</f>
        <v>https://cloud.oebiotech.com/#/lm/network/206498</v>
      </c>
      <c r="I1148" s="2" t="s">
        <v>10463</v>
      </c>
      <c r="J1148" s="2"/>
      <c r="K1148" s="2"/>
      <c r="L1148" s="2">
        <v>3263</v>
      </c>
      <c r="M1148" s="2"/>
      <c r="N1148" s="2"/>
      <c r="O1148" s="2"/>
      <c r="P1148" s="2"/>
      <c r="Q1148" s="2"/>
      <c r="R1148" s="2"/>
      <c r="S1148" s="2"/>
      <c r="T1148" s="2" t="s">
        <v>10464</v>
      </c>
      <c r="U1148" s="2" t="s">
        <v>10465</v>
      </c>
      <c r="V1148" s="2" t="s">
        <v>95</v>
      </c>
      <c r="W1148" s="2" t="s">
        <v>152</v>
      </c>
      <c r="X1148" s="2" t="s">
        <v>3262</v>
      </c>
      <c r="Y1148" s="2" t="s">
        <v>98</v>
      </c>
      <c r="Z1148" s="2" t="s">
        <v>154</v>
      </c>
      <c r="AA1148" s="2" t="s">
        <v>3263</v>
      </c>
      <c r="AB1148" s="2" t="s">
        <v>5118</v>
      </c>
      <c r="AC1148" s="2">
        <v>48.43</v>
      </c>
      <c r="AD1148" s="2">
        <v>98.47</v>
      </c>
      <c r="AE1148" s="2">
        <v>57.39</v>
      </c>
      <c r="AF1148" s="2" t="s">
        <v>10466</v>
      </c>
      <c r="AG1148" s="2" t="s">
        <v>132</v>
      </c>
      <c r="AH1148" s="2" t="s">
        <v>10467</v>
      </c>
      <c r="AI1148" s="2">
        <v>1.45</v>
      </c>
      <c r="AJ1148" s="2">
        <v>24.1901111724316</v>
      </c>
      <c r="AK1148" s="2">
        <v>24.153565306400498</v>
      </c>
      <c r="AL1148" s="2">
        <v>24.191537858932598</v>
      </c>
      <c r="AM1148" s="2">
        <v>24.256660032513601</v>
      </c>
      <c r="AN1148" s="2">
        <v>24.241218883372301</v>
      </c>
      <c r="AO1148" s="2">
        <v>24.1420148099945</v>
      </c>
      <c r="AP1148" s="2">
        <v>24.167500832577101</v>
      </c>
      <c r="AQ1148" s="2">
        <v>24.2253156156244</v>
      </c>
      <c r="AR1148" s="2">
        <v>23.662254295169799</v>
      </c>
      <c r="AS1148" s="2">
        <v>18.319166995779799</v>
      </c>
      <c r="AT1148" s="2">
        <v>23.661306089709399</v>
      </c>
      <c r="AU1148" s="2">
        <v>24.238421627148099</v>
      </c>
      <c r="AV1148" s="2">
        <v>22.922523740036699</v>
      </c>
      <c r="AW1148" s="2">
        <v>26.4754649544412</v>
      </c>
      <c r="AX1148" s="2">
        <v>22.742629775156299</v>
      </c>
      <c r="AY1148" s="2">
        <v>23.9712003990116</v>
      </c>
      <c r="AZ1148" s="2">
        <v>21.7887580659572</v>
      </c>
      <c r="BA1148" s="2">
        <v>20.3962025144134</v>
      </c>
      <c r="BB1148" s="2">
        <v>25.950101885024399</v>
      </c>
      <c r="BC1148" s="2">
        <v>23.098632646492099</v>
      </c>
      <c r="BD1148" s="2">
        <v>22.3097846012495</v>
      </c>
      <c r="BE1148" s="2">
        <v>22.273275727154601</v>
      </c>
      <c r="BF1148" s="2">
        <v>22.217622082330699</v>
      </c>
      <c r="BG1148" s="2">
        <v>21.415343121351299</v>
      </c>
      <c r="BH1148" s="2">
        <v>23.308704416768599</v>
      </c>
      <c r="BI1148" s="2">
        <v>20.323714210482802</v>
      </c>
      <c r="BJ1148" s="2">
        <v>23.060565374999701</v>
      </c>
      <c r="BK1148" s="2">
        <v>25.6363622895162</v>
      </c>
      <c r="BL1148" s="2">
        <v>19.052004202155299</v>
      </c>
      <c r="BM1148" s="2">
        <v>24.9553238614699</v>
      </c>
      <c r="BN1148" s="2">
        <v>24.611973764903599</v>
      </c>
      <c r="BO1148" s="2">
        <v>21.642388215983701</v>
      </c>
      <c r="BP1148" s="2">
        <v>19.270355536377899</v>
      </c>
      <c r="BQ1148" s="2">
        <v>24.838991587056299</v>
      </c>
      <c r="BR1148" s="2">
        <v>24.131040450811</v>
      </c>
      <c r="BS1148" s="2">
        <v>23.213319887372101</v>
      </c>
      <c r="BT1148" s="2">
        <v>21.985979779227801</v>
      </c>
      <c r="BU1148" s="2">
        <v>19.7579411992944</v>
      </c>
      <c r="BV1148" s="2">
        <v>25.677268424618202</v>
      </c>
      <c r="BW1148" s="2">
        <v>21.755280459828899</v>
      </c>
      <c r="BX1148" s="2">
        <v>22.4407330773933</v>
      </c>
      <c r="BY1148" s="2">
        <v>22.405453687340302</v>
      </c>
      <c r="BZ1148" s="2">
        <v>22.106325666504201</v>
      </c>
      <c r="CA1148" s="2">
        <v>23.960541819318301</v>
      </c>
      <c r="CB1148" s="2">
        <v>22.995987621974599</v>
      </c>
      <c r="CC1148" s="2">
        <v>21.8041509368677</v>
      </c>
      <c r="CD1148" s="2">
        <v>23.8549347511387</v>
      </c>
      <c r="CE1148" s="2">
        <v>23.350956371744701</v>
      </c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</row>
    <row r="1149" spans="1:97">
      <c r="A1149" s="2" t="s">
        <v>10468</v>
      </c>
      <c r="B1149" s="2">
        <v>317.14893999999998</v>
      </c>
      <c r="C1149" s="2">
        <v>3.8980000000000001</v>
      </c>
      <c r="D1149" s="2" t="s">
        <v>84</v>
      </c>
      <c r="E1149" s="2" t="s">
        <v>10469</v>
      </c>
      <c r="F1149" s="2" t="s">
        <v>10470</v>
      </c>
      <c r="G1149" s="2">
        <v>53942</v>
      </c>
      <c r="H1149" s="3" t="str">
        <f>HYPERLINK("https://cloud.oebiotech.com/#/lm/network/53942", "https://cloud.oebiotech.com/#/lm/network/53942")</f>
        <v>https://cloud.oebiotech.com/#/lm/network/53942</v>
      </c>
      <c r="I1149" s="2" t="s">
        <v>10471</v>
      </c>
      <c r="J1149" s="2"/>
      <c r="K1149" s="2"/>
      <c r="L1149" s="2">
        <v>342468</v>
      </c>
      <c r="M1149" s="2"/>
      <c r="N1149" s="2"/>
      <c r="O1149" s="2"/>
      <c r="P1149" s="2"/>
      <c r="Q1149" s="2"/>
      <c r="R1149" s="2"/>
      <c r="S1149" s="2"/>
      <c r="T1149" s="2" t="s">
        <v>10472</v>
      </c>
      <c r="U1149" s="2" t="s">
        <v>10473</v>
      </c>
      <c r="V1149" s="2" t="s">
        <v>115</v>
      </c>
      <c r="W1149" s="2" t="s">
        <v>116</v>
      </c>
      <c r="X1149" s="2" t="s">
        <v>117</v>
      </c>
      <c r="Y1149" s="2" t="s">
        <v>118</v>
      </c>
      <c r="Z1149" s="2" t="s">
        <v>119</v>
      </c>
      <c r="AA1149" s="2" t="s">
        <v>120</v>
      </c>
      <c r="AB1149" s="2" t="s">
        <v>3086</v>
      </c>
      <c r="AC1149" s="2">
        <v>48.39</v>
      </c>
      <c r="AD1149" s="2">
        <v>75.92</v>
      </c>
      <c r="AE1149" s="2">
        <v>0</v>
      </c>
      <c r="AF1149" s="2" t="s">
        <v>10474</v>
      </c>
      <c r="AG1149" s="2" t="s">
        <v>1578</v>
      </c>
      <c r="AH1149" s="2" t="s">
        <v>10475</v>
      </c>
      <c r="AI1149" s="2">
        <v>-5.36</v>
      </c>
      <c r="AJ1149" s="2">
        <v>17.731162620083399</v>
      </c>
      <c r="AK1149" s="2">
        <v>17.587064898363199</v>
      </c>
      <c r="AL1149" s="2">
        <v>17.457053211695801</v>
      </c>
      <c r="AM1149" s="2">
        <v>17.196338454828702</v>
      </c>
      <c r="AN1149" s="2">
        <v>17.698759732486401</v>
      </c>
      <c r="AO1149" s="2">
        <v>17.290395999870402</v>
      </c>
      <c r="AP1149" s="2">
        <v>17.3087101805462</v>
      </c>
      <c r="AQ1149" s="2">
        <v>17.2028572127623</v>
      </c>
      <c r="AR1149" s="2">
        <v>13.9453615301802</v>
      </c>
      <c r="AS1149" s="2">
        <v>15.4190391127403</v>
      </c>
      <c r="AT1149" s="2">
        <v>17.0748548758535</v>
      </c>
      <c r="AU1149" s="2">
        <v>9.6233145402724691</v>
      </c>
      <c r="AV1149" s="2">
        <v>9.6233145402724691</v>
      </c>
      <c r="AW1149" s="2">
        <v>15.6764017439237</v>
      </c>
      <c r="AX1149" s="2">
        <v>18.854396132756001</v>
      </c>
      <c r="AY1149" s="2">
        <v>16.725631599265601</v>
      </c>
      <c r="AZ1149" s="2">
        <v>13.471181108335699</v>
      </c>
      <c r="BA1149" s="2">
        <v>14.455387588224999</v>
      </c>
      <c r="BB1149" s="2">
        <v>15.9159510170962</v>
      </c>
      <c r="BC1149" s="2">
        <v>18.3665853096185</v>
      </c>
      <c r="BD1149" s="2">
        <v>15.2756702193468</v>
      </c>
      <c r="BE1149" s="2">
        <v>17.7555366810411</v>
      </c>
      <c r="BF1149" s="2">
        <v>9.6233145402724691</v>
      </c>
      <c r="BG1149" s="2">
        <v>16.773277673036201</v>
      </c>
      <c r="BH1149" s="2">
        <v>15.9087864088857</v>
      </c>
      <c r="BI1149" s="2">
        <v>16.1298444477512</v>
      </c>
      <c r="BJ1149" s="2">
        <v>17.1968227284321</v>
      </c>
      <c r="BK1149" s="2">
        <v>9.6233145402724691</v>
      </c>
      <c r="BL1149" s="2">
        <v>16.114667357218298</v>
      </c>
      <c r="BM1149" s="2">
        <v>16.3973646247427</v>
      </c>
      <c r="BN1149" s="2">
        <v>17.198937622360202</v>
      </c>
      <c r="BO1149" s="2">
        <v>18.108176482248599</v>
      </c>
      <c r="BP1149" s="2">
        <v>17.859596357301498</v>
      </c>
      <c r="BQ1149" s="2">
        <v>17.4376557735064</v>
      </c>
      <c r="BR1149" s="2">
        <v>17.376840148184101</v>
      </c>
      <c r="BS1149" s="2">
        <v>16.704872234564</v>
      </c>
      <c r="BT1149" s="2">
        <v>14.6138061515794</v>
      </c>
      <c r="BU1149" s="2">
        <v>16.7303799128515</v>
      </c>
      <c r="BV1149" s="2">
        <v>16.529992014899499</v>
      </c>
      <c r="BW1149" s="2">
        <v>16.260640440123598</v>
      </c>
      <c r="BX1149" s="2">
        <v>9.6233145402724691</v>
      </c>
      <c r="BY1149" s="2">
        <v>17.1135990328264</v>
      </c>
      <c r="BZ1149" s="2">
        <v>9.6233145402724691</v>
      </c>
      <c r="CA1149" s="2">
        <v>14.0793914456385</v>
      </c>
      <c r="CB1149" s="2">
        <v>15.8478863442269</v>
      </c>
      <c r="CC1149" s="2">
        <v>17.6334996093249</v>
      </c>
      <c r="CD1149" s="2">
        <v>19.160508345711701</v>
      </c>
      <c r="CE1149" s="2">
        <v>18.028463719607199</v>
      </c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</row>
    <row r="1150" spans="1:97">
      <c r="A1150" s="2" t="s">
        <v>10476</v>
      </c>
      <c r="B1150" s="2">
        <v>403.16350999999997</v>
      </c>
      <c r="C1150" s="2">
        <v>3.714</v>
      </c>
      <c r="D1150" s="2" t="s">
        <v>146</v>
      </c>
      <c r="E1150" s="2" t="s">
        <v>10477</v>
      </c>
      <c r="F1150" s="2" t="s">
        <v>10478</v>
      </c>
      <c r="G1150" s="2">
        <v>57354</v>
      </c>
      <c r="H1150" s="3" t="str">
        <f>HYPERLINK("https://cloud.oebiotech.com/#/lm/network/57354", "https://cloud.oebiotech.com/#/lm/network/57354")</f>
        <v>https://cloud.oebiotech.com/#/lm/network/57354</v>
      </c>
      <c r="I1150" s="2" t="s">
        <v>10479</v>
      </c>
      <c r="J1150" s="2">
        <v>88984</v>
      </c>
      <c r="K1150" s="2"/>
      <c r="L1150" s="2">
        <v>101414422</v>
      </c>
      <c r="M1150" s="2"/>
      <c r="N1150" s="2"/>
      <c r="O1150" s="2"/>
      <c r="P1150" s="2">
        <v>165379</v>
      </c>
      <c r="Q1150" s="2"/>
      <c r="R1150" s="2"/>
      <c r="S1150" s="2"/>
      <c r="T1150" s="2" t="s">
        <v>10480</v>
      </c>
      <c r="U1150" s="2" t="s">
        <v>10481</v>
      </c>
      <c r="V1150" s="2" t="s">
        <v>95</v>
      </c>
      <c r="W1150" s="2" t="s">
        <v>96</v>
      </c>
      <c r="X1150" s="2" t="s">
        <v>141</v>
      </c>
      <c r="Y1150" s="2" t="s">
        <v>98</v>
      </c>
      <c r="Z1150" s="2" t="s">
        <v>99</v>
      </c>
      <c r="AA1150" s="2" t="s">
        <v>142</v>
      </c>
      <c r="AB1150" s="2" t="s">
        <v>3086</v>
      </c>
      <c r="AC1150" s="2">
        <v>48.38</v>
      </c>
      <c r="AD1150" s="2">
        <v>87.34</v>
      </c>
      <c r="AE1150" s="2">
        <v>0</v>
      </c>
      <c r="AF1150" s="2" t="s">
        <v>5614</v>
      </c>
      <c r="AG1150" s="2" t="s">
        <v>3880</v>
      </c>
      <c r="AH1150" s="2" t="s">
        <v>10482</v>
      </c>
      <c r="AI1150" s="2">
        <v>-6.2</v>
      </c>
      <c r="AJ1150" s="2">
        <v>18.147506349446498</v>
      </c>
      <c r="AK1150" s="2">
        <v>18.4178699404249</v>
      </c>
      <c r="AL1150" s="2">
        <v>18.398753418408401</v>
      </c>
      <c r="AM1150" s="2">
        <v>18.128625523115101</v>
      </c>
      <c r="AN1150" s="2">
        <v>18.415735456155399</v>
      </c>
      <c r="AO1150" s="2">
        <v>18.294995355146501</v>
      </c>
      <c r="AP1150" s="2">
        <v>18.491916142415999</v>
      </c>
      <c r="AQ1150" s="2">
        <v>18.246272240290601</v>
      </c>
      <c r="AR1150" s="2">
        <v>18.031096579258701</v>
      </c>
      <c r="AS1150" s="2">
        <v>18.179421242919702</v>
      </c>
      <c r="AT1150" s="2">
        <v>18.191156254183898</v>
      </c>
      <c r="AU1150" s="2">
        <v>18.2736224716128</v>
      </c>
      <c r="AV1150" s="2">
        <v>18.398251522084099</v>
      </c>
      <c r="AW1150" s="2">
        <v>18.018963408814098</v>
      </c>
      <c r="AX1150" s="2">
        <v>18.091437659128498</v>
      </c>
      <c r="AY1150" s="2">
        <v>18.4453292530191</v>
      </c>
      <c r="AZ1150" s="2">
        <v>18.3149155848463</v>
      </c>
      <c r="BA1150" s="2">
        <v>17.953142161248099</v>
      </c>
      <c r="BB1150" s="2">
        <v>18.401815830361901</v>
      </c>
      <c r="BC1150" s="2">
        <v>18.2753394900347</v>
      </c>
      <c r="BD1150" s="2">
        <v>18.027852879125899</v>
      </c>
      <c r="BE1150" s="2">
        <v>18.337413407250999</v>
      </c>
      <c r="BF1150" s="2">
        <v>18.308035933144598</v>
      </c>
      <c r="BG1150" s="2">
        <v>18.252189844888299</v>
      </c>
      <c r="BH1150" s="2">
        <v>18.132738334949298</v>
      </c>
      <c r="BI1150" s="2">
        <v>18.0006000258639</v>
      </c>
      <c r="BJ1150" s="2">
        <v>18.1717497676397</v>
      </c>
      <c r="BK1150" s="2">
        <v>18.364992727390199</v>
      </c>
      <c r="BL1150" s="2">
        <v>18.156178990667399</v>
      </c>
      <c r="BM1150" s="2">
        <v>18.446734394946098</v>
      </c>
      <c r="BN1150" s="2">
        <v>18.455139116290901</v>
      </c>
      <c r="BO1150" s="2">
        <v>18.337997090489601</v>
      </c>
      <c r="BP1150" s="2">
        <v>18.2887902110336</v>
      </c>
      <c r="BQ1150" s="2">
        <v>18.1245285171638</v>
      </c>
      <c r="BR1150" s="2">
        <v>18.154418475033101</v>
      </c>
      <c r="BS1150" s="2">
        <v>18.138139731766</v>
      </c>
      <c r="BT1150" s="2">
        <v>17.9249846900038</v>
      </c>
      <c r="BU1150" s="2">
        <v>18.0845415317958</v>
      </c>
      <c r="BV1150" s="2">
        <v>18.4257335412128</v>
      </c>
      <c r="BW1150" s="2">
        <v>18.2024700466981</v>
      </c>
      <c r="BX1150" s="2">
        <v>18.2901952389626</v>
      </c>
      <c r="BY1150" s="2">
        <v>17.8749771465089</v>
      </c>
      <c r="BZ1150" s="2">
        <v>18.555546423613301</v>
      </c>
      <c r="CA1150" s="2">
        <v>18.2810895680446</v>
      </c>
      <c r="CB1150" s="2">
        <v>18.334086790112799</v>
      </c>
      <c r="CC1150" s="2">
        <v>18.020465327269498</v>
      </c>
      <c r="CD1150" s="2">
        <v>18.364934823349898</v>
      </c>
      <c r="CE1150" s="2">
        <v>18.0993857225696</v>
      </c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</row>
    <row r="1151" spans="1:97">
      <c r="A1151" s="2" t="s">
        <v>10483</v>
      </c>
      <c r="B1151" s="2">
        <v>83.021969999999996</v>
      </c>
      <c r="C1151" s="2">
        <v>0.73099999999999998</v>
      </c>
      <c r="D1151" s="2" t="s">
        <v>84</v>
      </c>
      <c r="E1151" s="2" t="s">
        <v>10484</v>
      </c>
      <c r="F1151" s="2" t="s">
        <v>5483</v>
      </c>
      <c r="G1151" s="2">
        <v>46980</v>
      </c>
      <c r="H1151" s="3" t="str">
        <f>HYPERLINK("https://cloud.oebiotech.com/#/lm/network/46980", "https://cloud.oebiotech.com/#/lm/network/46980")</f>
        <v>https://cloud.oebiotech.com/#/lm/network/46980</v>
      </c>
      <c r="I1151" s="2" t="s">
        <v>10485</v>
      </c>
      <c r="J1151" s="2">
        <v>6</v>
      </c>
      <c r="K1151" s="2"/>
      <c r="L1151" s="2">
        <v>1176</v>
      </c>
      <c r="M1151" s="2" t="s">
        <v>10486</v>
      </c>
      <c r="N1151" s="2" t="s">
        <v>10487</v>
      </c>
      <c r="O1151" s="2" t="s">
        <v>10488</v>
      </c>
      <c r="P1151" s="2">
        <v>16199</v>
      </c>
      <c r="Q1151" s="2" t="s">
        <v>10489</v>
      </c>
      <c r="R1151" s="2" t="s">
        <v>10490</v>
      </c>
      <c r="S1151" s="2" t="s">
        <v>10491</v>
      </c>
      <c r="T1151" s="2" t="s">
        <v>10492</v>
      </c>
      <c r="U1151" s="2" t="s">
        <v>10493</v>
      </c>
      <c r="V1151" s="2" t="s">
        <v>115</v>
      </c>
      <c r="W1151" s="2" t="s">
        <v>5480</v>
      </c>
      <c r="X1151" s="2" t="s">
        <v>5481</v>
      </c>
      <c r="Y1151" s="2" t="s">
        <v>118</v>
      </c>
      <c r="Z1151" s="2" t="s">
        <v>5482</v>
      </c>
      <c r="AA1151" s="2" t="s">
        <v>5483</v>
      </c>
      <c r="AB1151" s="2" t="s">
        <v>3086</v>
      </c>
      <c r="AC1151" s="2">
        <v>48.36</v>
      </c>
      <c r="AD1151" s="2">
        <v>71.88</v>
      </c>
      <c r="AE1151" s="2">
        <v>0</v>
      </c>
      <c r="AF1151" s="2" t="s">
        <v>5614</v>
      </c>
      <c r="AG1151" s="2" t="s">
        <v>1578</v>
      </c>
      <c r="AH1151" s="2" t="s">
        <v>10494</v>
      </c>
      <c r="AI1151" s="2">
        <v>-4.7</v>
      </c>
      <c r="AJ1151" s="2">
        <v>24.238144909596901</v>
      </c>
      <c r="AK1151" s="2">
        <v>23.929735070223799</v>
      </c>
      <c r="AL1151" s="2">
        <v>24.159393511695001</v>
      </c>
      <c r="AM1151" s="2">
        <v>24.3136427566746</v>
      </c>
      <c r="AN1151" s="2">
        <v>24.062639055136199</v>
      </c>
      <c r="AO1151" s="2">
        <v>24.192021594269299</v>
      </c>
      <c r="AP1151" s="2">
        <v>24.078573726356701</v>
      </c>
      <c r="AQ1151" s="2">
        <v>24.1205407535682</v>
      </c>
      <c r="AR1151" s="2">
        <v>24.011693472032999</v>
      </c>
      <c r="AS1151" s="2">
        <v>22.320371740044699</v>
      </c>
      <c r="AT1151" s="2">
        <v>22.294798194278599</v>
      </c>
      <c r="AU1151" s="2">
        <v>23.168673723167299</v>
      </c>
      <c r="AV1151" s="2">
        <v>23.523032111531201</v>
      </c>
      <c r="AW1151" s="2">
        <v>23.837922191061001</v>
      </c>
      <c r="AX1151" s="2">
        <v>23.485094932502001</v>
      </c>
      <c r="AY1151" s="2">
        <v>23.236550782927399</v>
      </c>
      <c r="AZ1151" s="2">
        <v>23.981089698514101</v>
      </c>
      <c r="BA1151" s="2">
        <v>22.401570917436999</v>
      </c>
      <c r="BB1151" s="2">
        <v>23.833072710206</v>
      </c>
      <c r="BC1151" s="2">
        <v>24.3341678826873</v>
      </c>
      <c r="BD1151" s="2">
        <v>23.525522479393299</v>
      </c>
      <c r="BE1151" s="2">
        <v>24.043817159602099</v>
      </c>
      <c r="BF1151" s="2">
        <v>22.954000418835001</v>
      </c>
      <c r="BG1151" s="2">
        <v>23.810416326768301</v>
      </c>
      <c r="BH1151" s="2">
        <v>24.410585085565501</v>
      </c>
      <c r="BI1151" s="2">
        <v>24.196107765611099</v>
      </c>
      <c r="BJ1151" s="2">
        <v>23.703185206952799</v>
      </c>
      <c r="BK1151" s="2">
        <v>23.475153452905499</v>
      </c>
      <c r="BL1151" s="2">
        <v>23.8911083329617</v>
      </c>
      <c r="BM1151" s="2">
        <v>23.992080256550398</v>
      </c>
      <c r="BN1151" s="2">
        <v>23.730409595040701</v>
      </c>
      <c r="BO1151" s="2">
        <v>23.616791942914201</v>
      </c>
      <c r="BP1151" s="2">
        <v>23.3532772933163</v>
      </c>
      <c r="BQ1151" s="2">
        <v>23.698858964780499</v>
      </c>
      <c r="BR1151" s="2">
        <v>23.4900094633444</v>
      </c>
      <c r="BS1151" s="2">
        <v>24.0347432257173</v>
      </c>
      <c r="BT1151" s="2">
        <v>24.8144003666015</v>
      </c>
      <c r="BU1151" s="2">
        <v>23.0287948803132</v>
      </c>
      <c r="BV1151" s="2">
        <v>23.890852771568799</v>
      </c>
      <c r="BW1151" s="2">
        <v>22.643248734756</v>
      </c>
      <c r="BX1151" s="2">
        <v>23.457095432009702</v>
      </c>
      <c r="BY1151" s="2">
        <v>25.2009221332188</v>
      </c>
      <c r="BZ1151" s="2">
        <v>23.6904873895637</v>
      </c>
      <c r="CA1151" s="2">
        <v>23.751522063529499</v>
      </c>
      <c r="CB1151" s="2">
        <v>23.9469940405241</v>
      </c>
      <c r="CC1151" s="2">
        <v>23.475923460439301</v>
      </c>
      <c r="CD1151" s="2">
        <v>23.824339521935698</v>
      </c>
      <c r="CE1151" s="2">
        <v>23.747522229799301</v>
      </c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</row>
    <row r="1152" spans="1:97">
      <c r="A1152" s="2" t="s">
        <v>10495</v>
      </c>
      <c r="B1152" s="2">
        <v>136.00787</v>
      </c>
      <c r="C1152" s="2">
        <v>0.58399999999999996</v>
      </c>
      <c r="D1152" s="2" t="s">
        <v>84</v>
      </c>
      <c r="E1152" s="2" t="s">
        <v>10496</v>
      </c>
      <c r="F1152" s="2" t="s">
        <v>10497</v>
      </c>
      <c r="G1152" s="2">
        <v>47334</v>
      </c>
      <c r="H1152" s="3" t="str">
        <f>HYPERLINK("https://cloud.oebiotech.com/#/lm/network/47334", "https://cloud.oebiotech.com/#/lm/network/47334")</f>
        <v>https://cloud.oebiotech.com/#/lm/network/47334</v>
      </c>
      <c r="I1152" s="2" t="s">
        <v>10498</v>
      </c>
      <c r="J1152" s="2"/>
      <c r="K1152" s="2"/>
      <c r="L1152" s="2">
        <v>1549098</v>
      </c>
      <c r="M1152" s="2" t="s">
        <v>10499</v>
      </c>
      <c r="N1152" s="2" t="s">
        <v>10500</v>
      </c>
      <c r="O1152" s="2" t="s">
        <v>10501</v>
      </c>
      <c r="P1152" s="2">
        <v>16345</v>
      </c>
      <c r="Q1152" s="2"/>
      <c r="R1152" s="2"/>
      <c r="S1152" s="2" t="s">
        <v>10502</v>
      </c>
      <c r="T1152" s="2" t="s">
        <v>10503</v>
      </c>
      <c r="U1152" s="2" t="s">
        <v>10504</v>
      </c>
      <c r="V1152" s="2" t="s">
        <v>115</v>
      </c>
      <c r="W1152" s="2" t="s">
        <v>116</v>
      </c>
      <c r="X1152" s="2" t="s">
        <v>117</v>
      </c>
      <c r="Y1152" s="2" t="s">
        <v>118</v>
      </c>
      <c r="Z1152" s="2" t="s">
        <v>119</v>
      </c>
      <c r="AA1152" s="2" t="s">
        <v>120</v>
      </c>
      <c r="AB1152" s="2" t="s">
        <v>3086</v>
      </c>
      <c r="AC1152" s="2">
        <v>48.3</v>
      </c>
      <c r="AD1152" s="2">
        <v>94.76</v>
      </c>
      <c r="AE1152" s="2">
        <v>0</v>
      </c>
      <c r="AF1152" s="2" t="s">
        <v>5614</v>
      </c>
      <c r="AG1152" s="2" t="s">
        <v>1088</v>
      </c>
      <c r="AH1152" s="2" t="s">
        <v>10505</v>
      </c>
      <c r="AI1152" s="2">
        <v>-7.35</v>
      </c>
      <c r="AJ1152" s="2">
        <v>21.652821196830601</v>
      </c>
      <c r="AK1152" s="2">
        <v>21.683495228334898</v>
      </c>
      <c r="AL1152" s="2">
        <v>21.695534401911999</v>
      </c>
      <c r="AM1152" s="2">
        <v>21.1952535860875</v>
      </c>
      <c r="AN1152" s="2">
        <v>21.899767361815599</v>
      </c>
      <c r="AO1152" s="2">
        <v>21.9614731838148</v>
      </c>
      <c r="AP1152" s="2">
        <v>21.375763805160499</v>
      </c>
      <c r="AQ1152" s="2">
        <v>21.6376621870909</v>
      </c>
      <c r="AR1152" s="2">
        <v>21.471308903251298</v>
      </c>
      <c r="AS1152" s="2">
        <v>21.2390798008323</v>
      </c>
      <c r="AT1152" s="2">
        <v>21.294246224864199</v>
      </c>
      <c r="AU1152" s="2">
        <v>21.312853121459099</v>
      </c>
      <c r="AV1152" s="2">
        <v>21.663702550808502</v>
      </c>
      <c r="AW1152" s="2">
        <v>21.668727952027499</v>
      </c>
      <c r="AX1152" s="2">
        <v>21.442410552630701</v>
      </c>
      <c r="AY1152" s="2">
        <v>21.601470195628</v>
      </c>
      <c r="AZ1152" s="2">
        <v>21.6381740803822</v>
      </c>
      <c r="BA1152" s="2">
        <v>21.1288946667724</v>
      </c>
      <c r="BB1152" s="2">
        <v>21.731622799556501</v>
      </c>
      <c r="BC1152" s="2">
        <v>21.555380315615899</v>
      </c>
      <c r="BD1152" s="2">
        <v>21.8292387726664</v>
      </c>
      <c r="BE1152" s="2">
        <v>21.815186809087098</v>
      </c>
      <c r="BF1152" s="2">
        <v>21.695906044083902</v>
      </c>
      <c r="BG1152" s="2">
        <v>21.380465704985099</v>
      </c>
      <c r="BH1152" s="2">
        <v>21.500273168422499</v>
      </c>
      <c r="BI1152" s="2">
        <v>21.344675378270299</v>
      </c>
      <c r="BJ1152" s="2">
        <v>21.700646247641899</v>
      </c>
      <c r="BK1152" s="2">
        <v>21.782756375907699</v>
      </c>
      <c r="BL1152" s="2">
        <v>21.290589173803799</v>
      </c>
      <c r="BM1152" s="2">
        <v>21.493099144582899</v>
      </c>
      <c r="BN1152" s="2">
        <v>21.464271635448799</v>
      </c>
      <c r="BO1152" s="2">
        <v>21.544202449922</v>
      </c>
      <c r="BP1152" s="2">
        <v>21.2062178675632</v>
      </c>
      <c r="BQ1152" s="2">
        <v>21.6343810556038</v>
      </c>
      <c r="BR1152" s="2">
        <v>20.882695112876</v>
      </c>
      <c r="BS1152" s="2">
        <v>21.3430256482599</v>
      </c>
      <c r="BT1152" s="2">
        <v>21.629287833162099</v>
      </c>
      <c r="BU1152" s="2">
        <v>21.907157330257899</v>
      </c>
      <c r="BV1152" s="2">
        <v>21.650437965439099</v>
      </c>
      <c r="BW1152" s="2">
        <v>21.718030035013101</v>
      </c>
      <c r="BX1152" s="2">
        <v>21.2800610128937</v>
      </c>
      <c r="BY1152" s="2">
        <v>22.084187927994101</v>
      </c>
      <c r="BZ1152" s="2">
        <v>21.6810367568293</v>
      </c>
      <c r="CA1152" s="2">
        <v>21.247551863121899</v>
      </c>
      <c r="CB1152" s="2">
        <v>21.414790490409899</v>
      </c>
      <c r="CC1152" s="2">
        <v>21.1328975379989</v>
      </c>
      <c r="CD1152" s="2">
        <v>21.459949754963802</v>
      </c>
      <c r="CE1152" s="2">
        <v>21.6789601928552</v>
      </c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</row>
    <row r="1153" spans="1:97">
      <c r="A1153" s="2" t="s">
        <v>10506</v>
      </c>
      <c r="B1153" s="2">
        <v>312.15904</v>
      </c>
      <c r="C1153" s="2">
        <v>10.137</v>
      </c>
      <c r="D1153" s="2" t="s">
        <v>84</v>
      </c>
      <c r="E1153" s="2" t="s">
        <v>10507</v>
      </c>
      <c r="F1153" s="2" t="s">
        <v>368</v>
      </c>
      <c r="G1153" s="2">
        <v>58409</v>
      </c>
      <c r="H1153" s="3" t="str">
        <f>HYPERLINK("https://cloud.oebiotech.com/#/lm/network/58409", "https://cloud.oebiotech.com/#/lm/network/58409")</f>
        <v>https://cloud.oebiotech.com/#/lm/network/58409</v>
      </c>
      <c r="I1153" s="2" t="s">
        <v>10508</v>
      </c>
      <c r="J1153" s="2">
        <v>89882</v>
      </c>
      <c r="K1153" s="2"/>
      <c r="L1153" s="2">
        <v>10244953</v>
      </c>
      <c r="M1153" s="2"/>
      <c r="N1153" s="2"/>
      <c r="O1153" s="2"/>
      <c r="P1153" s="2"/>
      <c r="Q1153" s="2"/>
      <c r="R1153" s="2"/>
      <c r="S1153" s="2" t="s">
        <v>10509</v>
      </c>
      <c r="T1153" s="2" t="s">
        <v>10510</v>
      </c>
      <c r="U1153" s="2" t="s">
        <v>10511</v>
      </c>
      <c r="V1153" s="2" t="s">
        <v>553</v>
      </c>
      <c r="W1153" s="2" t="s">
        <v>6195</v>
      </c>
      <c r="X1153" s="2" t="s">
        <v>375</v>
      </c>
      <c r="Y1153" s="2" t="s">
        <v>556</v>
      </c>
      <c r="Z1153" s="2" t="s">
        <v>6196</v>
      </c>
      <c r="AA1153" s="2"/>
      <c r="AB1153" s="2" t="s">
        <v>5118</v>
      </c>
      <c r="AC1153" s="2">
        <v>48.3</v>
      </c>
      <c r="AD1153" s="2">
        <v>87.71</v>
      </c>
      <c r="AE1153" s="2">
        <v>68.98</v>
      </c>
      <c r="AF1153" s="2" t="s">
        <v>10512</v>
      </c>
      <c r="AG1153" s="2" t="s">
        <v>103</v>
      </c>
      <c r="AH1153" s="2" t="s">
        <v>10513</v>
      </c>
      <c r="AI1153" s="2">
        <v>1.28</v>
      </c>
      <c r="AJ1153" s="2">
        <v>19.216942448938401</v>
      </c>
      <c r="AK1153" s="2">
        <v>19.1743502418215</v>
      </c>
      <c r="AL1153" s="2">
        <v>19.152274764680499</v>
      </c>
      <c r="AM1153" s="2">
        <v>18.950039921938899</v>
      </c>
      <c r="AN1153" s="2">
        <v>19.173283986398999</v>
      </c>
      <c r="AO1153" s="2">
        <v>19.3972027213388</v>
      </c>
      <c r="AP1153" s="2">
        <v>19.275457554642301</v>
      </c>
      <c r="AQ1153" s="2">
        <v>18.7658033865773</v>
      </c>
      <c r="AR1153" s="2">
        <v>9.6233145402724691</v>
      </c>
      <c r="AS1153" s="2">
        <v>18.7863856842121</v>
      </c>
      <c r="AT1153" s="2">
        <v>9.6233145402724691</v>
      </c>
      <c r="AU1153" s="2">
        <v>9.6233145402724691</v>
      </c>
      <c r="AV1153" s="2">
        <v>9.6233145402724691</v>
      </c>
      <c r="AW1153" s="2">
        <v>14.444921698992299</v>
      </c>
      <c r="AX1153" s="2">
        <v>9.6233145402724691</v>
      </c>
      <c r="AY1153" s="2">
        <v>20.215771162883499</v>
      </c>
      <c r="AZ1153" s="2">
        <v>18.999537664078002</v>
      </c>
      <c r="BA1153" s="2">
        <v>17.8929621148488</v>
      </c>
      <c r="BB1153" s="2">
        <v>16.669118417453099</v>
      </c>
      <c r="BC1153" s="2">
        <v>18.976886864597802</v>
      </c>
      <c r="BD1153" s="2">
        <v>9.6233145402724691</v>
      </c>
      <c r="BE1153" s="2">
        <v>19.836861713731899</v>
      </c>
      <c r="BF1153" s="2">
        <v>9.6233145402724691</v>
      </c>
      <c r="BG1153" s="2">
        <v>9.6233145402724691</v>
      </c>
      <c r="BH1153" s="2">
        <v>9.6233145402724691</v>
      </c>
      <c r="BI1153" s="2">
        <v>20.386733801476499</v>
      </c>
      <c r="BJ1153" s="2">
        <v>16.906102345712501</v>
      </c>
      <c r="BK1153" s="2">
        <v>17.327932126113598</v>
      </c>
      <c r="BL1153" s="2">
        <v>18.132237484323898</v>
      </c>
      <c r="BM1153" s="2">
        <v>14.513939741389301</v>
      </c>
      <c r="BN1153" s="2">
        <v>17.708445180093801</v>
      </c>
      <c r="BO1153" s="2">
        <v>9.6233145402724691</v>
      </c>
      <c r="BP1153" s="2">
        <v>9.6233145402724691</v>
      </c>
      <c r="BQ1153" s="2">
        <v>9.6233145402724691</v>
      </c>
      <c r="BR1153" s="2">
        <v>9.6233145402724691</v>
      </c>
      <c r="BS1153" s="2">
        <v>18.749372355011499</v>
      </c>
      <c r="BT1153" s="2">
        <v>9.6233145402724691</v>
      </c>
      <c r="BU1153" s="2">
        <v>17.622991316364999</v>
      </c>
      <c r="BV1153" s="2">
        <v>9.6233145402724691</v>
      </c>
      <c r="BW1153" s="2">
        <v>9.6233145402724691</v>
      </c>
      <c r="BX1153" s="2">
        <v>18.659197607078902</v>
      </c>
      <c r="BY1153" s="2">
        <v>21.141581386265901</v>
      </c>
      <c r="BZ1153" s="2">
        <v>9.6233145402724691</v>
      </c>
      <c r="CA1153" s="2">
        <v>17.042784962271</v>
      </c>
      <c r="CB1153" s="2">
        <v>20.610688040643801</v>
      </c>
      <c r="CC1153" s="2">
        <v>21.663250497398899</v>
      </c>
      <c r="CD1153" s="2">
        <v>15.2903058161804</v>
      </c>
      <c r="CE1153" s="2">
        <v>19.996789849053901</v>
      </c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</row>
    <row r="1154" spans="1:97">
      <c r="A1154" s="2" t="s">
        <v>10514</v>
      </c>
      <c r="B1154" s="2">
        <v>283.08181000000002</v>
      </c>
      <c r="C1154" s="2">
        <v>4.6719999999999997</v>
      </c>
      <c r="D1154" s="2" t="s">
        <v>146</v>
      </c>
      <c r="E1154" s="2" t="s">
        <v>10515</v>
      </c>
      <c r="F1154" s="2"/>
      <c r="G1154" s="2">
        <v>596189</v>
      </c>
      <c r="H1154" s="3" t="str">
        <f>HYPERLINK("https://cloud.oebiotech.com/#/lm/network/596189", "https://cloud.oebiotech.com/#/lm/network/596189")</f>
        <v>https://cloud.oebiotech.com/#/lm/network/596189</v>
      </c>
      <c r="I1154" s="2"/>
      <c r="J1154" s="2"/>
      <c r="K1154" s="2"/>
      <c r="L1154" s="2">
        <v>74602923</v>
      </c>
      <c r="M1154" s="2"/>
      <c r="N1154" s="2"/>
      <c r="O1154" s="2"/>
      <c r="P1154" s="2"/>
      <c r="Q1154" s="2"/>
      <c r="R1154" s="2"/>
      <c r="S1154" s="2"/>
      <c r="T1154" s="2" t="s">
        <v>10516</v>
      </c>
      <c r="U1154" s="2" t="s">
        <v>10517</v>
      </c>
      <c r="V1154" s="2" t="s">
        <v>338</v>
      </c>
      <c r="W1154" s="2" t="s">
        <v>339</v>
      </c>
      <c r="X1154" s="2" t="s">
        <v>663</v>
      </c>
      <c r="Y1154" s="2" t="s">
        <v>341</v>
      </c>
      <c r="Z1154" s="2" t="s">
        <v>341</v>
      </c>
      <c r="AA1154" s="2" t="s">
        <v>664</v>
      </c>
      <c r="AB1154" s="2" t="s">
        <v>5118</v>
      </c>
      <c r="AC1154" s="2">
        <v>48.29</v>
      </c>
      <c r="AD1154" s="2">
        <v>91.61</v>
      </c>
      <c r="AE1154" s="2">
        <v>67.14</v>
      </c>
      <c r="AF1154" s="2" t="s">
        <v>10518</v>
      </c>
      <c r="AG1154" s="2" t="s">
        <v>194</v>
      </c>
      <c r="AH1154" s="2" t="s">
        <v>10519</v>
      </c>
      <c r="AI1154" s="2">
        <v>1.77</v>
      </c>
      <c r="AJ1154" s="2">
        <v>18.439924400683299</v>
      </c>
      <c r="AK1154" s="2">
        <v>18.485080540314001</v>
      </c>
      <c r="AL1154" s="2">
        <v>18.261648523330201</v>
      </c>
      <c r="AM1154" s="2">
        <v>18.4954608373592</v>
      </c>
      <c r="AN1154" s="2">
        <v>18.170861310474699</v>
      </c>
      <c r="AO1154" s="2">
        <v>18.484608193397801</v>
      </c>
      <c r="AP1154" s="2">
        <v>18.2715604608786</v>
      </c>
      <c r="AQ1154" s="2">
        <v>18.5248622502668</v>
      </c>
      <c r="AR1154" s="2">
        <v>14.011622125167699</v>
      </c>
      <c r="AS1154" s="2">
        <v>15.2982910145428</v>
      </c>
      <c r="AT1154" s="2">
        <v>12.938701136270501</v>
      </c>
      <c r="AU1154" s="2">
        <v>9.6233145402724691</v>
      </c>
      <c r="AV1154" s="2">
        <v>19.730158972093999</v>
      </c>
      <c r="AW1154" s="2">
        <v>16.526741450968402</v>
      </c>
      <c r="AX1154" s="2">
        <v>17.452661048267998</v>
      </c>
      <c r="AY1154" s="2">
        <v>15.2454334918193</v>
      </c>
      <c r="AZ1154" s="2">
        <v>17.752484271197901</v>
      </c>
      <c r="BA1154" s="2">
        <v>16.9736710239671</v>
      </c>
      <c r="BB1154" s="2">
        <v>16.0148780799931</v>
      </c>
      <c r="BC1154" s="2">
        <v>13.9147055916388</v>
      </c>
      <c r="BD1154" s="2">
        <v>17.374902271025199</v>
      </c>
      <c r="BE1154" s="2">
        <v>21.516054498021798</v>
      </c>
      <c r="BF1154" s="2">
        <v>18.202259873783898</v>
      </c>
      <c r="BG1154" s="2">
        <v>17.0429711943158</v>
      </c>
      <c r="BH1154" s="2">
        <v>17.2929694381817</v>
      </c>
      <c r="BI1154" s="2">
        <v>19.7373234057875</v>
      </c>
      <c r="BJ1154" s="2">
        <v>19.7243549538025</v>
      </c>
      <c r="BK1154" s="2">
        <v>16.771050940764599</v>
      </c>
      <c r="BL1154" s="2">
        <v>17.817839694492701</v>
      </c>
      <c r="BM1154" s="2">
        <v>12.9053493951681</v>
      </c>
      <c r="BN1154" s="2">
        <v>15.488758693308901</v>
      </c>
      <c r="BO1154" s="2">
        <v>11.5816242878252</v>
      </c>
      <c r="BP1154" s="2">
        <v>19.600824877480999</v>
      </c>
      <c r="BQ1154" s="2">
        <v>15.4574113410618</v>
      </c>
      <c r="BR1154" s="2">
        <v>15.8744461433526</v>
      </c>
      <c r="BS1154" s="2">
        <v>16.803813152502698</v>
      </c>
      <c r="BT1154" s="2">
        <v>19.172505227020199</v>
      </c>
      <c r="BU1154" s="2">
        <v>16.743865620682499</v>
      </c>
      <c r="BV1154" s="2">
        <v>15.6360210114194</v>
      </c>
      <c r="BW1154" s="2">
        <v>9.6233145402724691</v>
      </c>
      <c r="BX1154" s="2">
        <v>16.602758734460199</v>
      </c>
      <c r="BY1154" s="2">
        <v>20.8633622577544</v>
      </c>
      <c r="BZ1154" s="2">
        <v>14.9408636803521</v>
      </c>
      <c r="CA1154" s="2">
        <v>15.4904601356975</v>
      </c>
      <c r="CB1154" s="2">
        <v>18.4179998632227</v>
      </c>
      <c r="CC1154" s="2">
        <v>9.6233145402724691</v>
      </c>
      <c r="CD1154" s="2">
        <v>19.623270452308901</v>
      </c>
      <c r="CE1154" s="2">
        <v>15.020012408322099</v>
      </c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</row>
    <row r="1155" spans="1:97">
      <c r="A1155" s="2" t="s">
        <v>10520</v>
      </c>
      <c r="B1155" s="2">
        <v>229.0316</v>
      </c>
      <c r="C1155" s="2">
        <v>1.1859999999999999</v>
      </c>
      <c r="D1155" s="2" t="s">
        <v>84</v>
      </c>
      <c r="E1155" s="2" t="s">
        <v>10521</v>
      </c>
      <c r="F1155" s="2" t="s">
        <v>10522</v>
      </c>
      <c r="G1155" s="2">
        <v>207214</v>
      </c>
      <c r="H1155" s="3" t="str">
        <f>HYPERLINK("https://cloud.oebiotech.com/#/lm/network/207214", "https://cloud.oebiotech.com/#/lm/network/207214")</f>
        <v>https://cloud.oebiotech.com/#/lm/network/207214</v>
      </c>
      <c r="I1155" s="2" t="s">
        <v>10523</v>
      </c>
      <c r="J1155" s="2"/>
      <c r="K1155" s="2"/>
      <c r="L1155" s="2">
        <v>141057530</v>
      </c>
      <c r="M1155" s="2"/>
      <c r="N1155" s="2"/>
      <c r="O1155" s="2"/>
      <c r="P1155" s="2"/>
      <c r="Q1155" s="2"/>
      <c r="R1155" s="2"/>
      <c r="S1155" s="2"/>
      <c r="T1155" s="2" t="s">
        <v>10524</v>
      </c>
      <c r="U1155" s="2" t="s">
        <v>10525</v>
      </c>
      <c r="V1155" s="2" t="s">
        <v>553</v>
      </c>
      <c r="W1155" s="2" t="s">
        <v>3299</v>
      </c>
      <c r="X1155" s="2" t="s">
        <v>375</v>
      </c>
      <c r="Y1155" s="2" t="s">
        <v>556</v>
      </c>
      <c r="Z1155" s="2" t="s">
        <v>3300</v>
      </c>
      <c r="AA1155" s="2"/>
      <c r="AB1155" s="2" t="s">
        <v>3086</v>
      </c>
      <c r="AC1155" s="2">
        <v>48.26</v>
      </c>
      <c r="AD1155" s="2">
        <v>73.44</v>
      </c>
      <c r="AE1155" s="2">
        <v>0</v>
      </c>
      <c r="AF1155" s="2" t="s">
        <v>10526</v>
      </c>
      <c r="AG1155" s="2" t="s">
        <v>1578</v>
      </c>
      <c r="AH1155" s="2" t="s">
        <v>10527</v>
      </c>
      <c r="AI1155" s="2">
        <v>1.31</v>
      </c>
      <c r="AJ1155" s="2">
        <v>20.136737828941701</v>
      </c>
      <c r="AK1155" s="2">
        <v>20.3578811321347</v>
      </c>
      <c r="AL1155" s="2">
        <v>19.219372864778599</v>
      </c>
      <c r="AM1155" s="2">
        <v>20.2728501095323</v>
      </c>
      <c r="AN1155" s="2">
        <v>20.211819547550402</v>
      </c>
      <c r="AO1155" s="2">
        <v>20.110999794631301</v>
      </c>
      <c r="AP1155" s="2">
        <v>20.018518480353301</v>
      </c>
      <c r="AQ1155" s="2">
        <v>19.810699510991</v>
      </c>
      <c r="AR1155" s="2">
        <v>18.310482493030499</v>
      </c>
      <c r="AS1155" s="2">
        <v>14.3764951071343</v>
      </c>
      <c r="AT1155" s="2">
        <v>19.426574695897301</v>
      </c>
      <c r="AU1155" s="2">
        <v>20.676903231135501</v>
      </c>
      <c r="AV1155" s="2">
        <v>21.0469675350625</v>
      </c>
      <c r="AW1155" s="2">
        <v>20.134144729453698</v>
      </c>
      <c r="AX1155" s="2">
        <v>19.890716577447598</v>
      </c>
      <c r="AY1155" s="2">
        <v>20.8433227043305</v>
      </c>
      <c r="AZ1155" s="2">
        <v>20.996206355722801</v>
      </c>
      <c r="BA1155" s="2">
        <v>20.083935577086901</v>
      </c>
      <c r="BB1155" s="2">
        <v>21.045472844771599</v>
      </c>
      <c r="BC1155" s="2">
        <v>17.424864531483198</v>
      </c>
      <c r="BD1155" s="2">
        <v>21.0560943929449</v>
      </c>
      <c r="BE1155" s="2">
        <v>20.221421491439202</v>
      </c>
      <c r="BF1155" s="2">
        <v>19.389357707717298</v>
      </c>
      <c r="BG1155" s="2">
        <v>20.421335721810099</v>
      </c>
      <c r="BH1155" s="2">
        <v>20.723632558201999</v>
      </c>
      <c r="BI1155" s="2">
        <v>21.322238543826099</v>
      </c>
      <c r="BJ1155" s="2">
        <v>20.2465216659897</v>
      </c>
      <c r="BK1155" s="2">
        <v>19.672276624752801</v>
      </c>
      <c r="BL1155" s="2">
        <v>21.919408886592699</v>
      </c>
      <c r="BM1155" s="2">
        <v>21.509976335732201</v>
      </c>
      <c r="BN1155" s="2">
        <v>22.059315804252201</v>
      </c>
      <c r="BO1155" s="2">
        <v>21.032509708667799</v>
      </c>
      <c r="BP1155" s="2">
        <v>21.383609300548201</v>
      </c>
      <c r="BQ1155" s="2">
        <v>20.408212785353999</v>
      </c>
      <c r="BR1155" s="2">
        <v>17.715380428677399</v>
      </c>
      <c r="BS1155" s="2">
        <v>21.425420991183302</v>
      </c>
      <c r="BT1155" s="2">
        <v>22.009098923121801</v>
      </c>
      <c r="BU1155" s="2">
        <v>17.748443150143402</v>
      </c>
      <c r="BV1155" s="2">
        <v>21.985766520253101</v>
      </c>
      <c r="BW1155" s="2">
        <v>21.058953631329299</v>
      </c>
      <c r="BX1155" s="2">
        <v>20.721009194405202</v>
      </c>
      <c r="BY1155" s="2">
        <v>21.3452575231425</v>
      </c>
      <c r="BZ1155" s="2">
        <v>20.994326667854899</v>
      </c>
      <c r="CA1155" s="2">
        <v>21.679311513502999</v>
      </c>
      <c r="CB1155" s="2">
        <v>20.462644541683201</v>
      </c>
      <c r="CC1155" s="2">
        <v>20.9259379814245</v>
      </c>
      <c r="CD1155" s="2">
        <v>20.748210083716</v>
      </c>
      <c r="CE1155" s="2">
        <v>9.6233145402724691</v>
      </c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</row>
    <row r="1156" spans="1:97">
      <c r="A1156" s="2" t="s">
        <v>10528</v>
      </c>
      <c r="B1156" s="2">
        <v>77.03913</v>
      </c>
      <c r="C1156" s="2">
        <v>3.7269999999999999</v>
      </c>
      <c r="D1156" s="2" t="s">
        <v>84</v>
      </c>
      <c r="E1156" s="2" t="s">
        <v>10529</v>
      </c>
      <c r="F1156" s="2" t="s">
        <v>10530</v>
      </c>
      <c r="G1156" s="2">
        <v>46944</v>
      </c>
      <c r="H1156" s="3" t="str">
        <f>HYPERLINK("https://cloud.oebiotech.com/#/lm/network/46944", "https://cloud.oebiotech.com/#/lm/network/46944")</f>
        <v>https://cloud.oebiotech.com/#/lm/network/46944</v>
      </c>
      <c r="I1156" s="2" t="s">
        <v>10531</v>
      </c>
      <c r="J1156" s="2">
        <v>128</v>
      </c>
      <c r="K1156" s="2"/>
      <c r="L1156" s="2">
        <v>996</v>
      </c>
      <c r="M1156" s="2" t="s">
        <v>10532</v>
      </c>
      <c r="N1156" s="2"/>
      <c r="O1156" s="2"/>
      <c r="P1156" s="2">
        <v>15882</v>
      </c>
      <c r="Q1156" s="2" t="s">
        <v>10533</v>
      </c>
      <c r="R1156" s="2" t="s">
        <v>10534</v>
      </c>
      <c r="S1156" s="2" t="s">
        <v>10535</v>
      </c>
      <c r="T1156" s="2" t="s">
        <v>10536</v>
      </c>
      <c r="U1156" s="2" t="s">
        <v>10537</v>
      </c>
      <c r="V1156" s="2" t="s">
        <v>385</v>
      </c>
      <c r="W1156" s="2" t="s">
        <v>3319</v>
      </c>
      <c r="X1156" s="2" t="s">
        <v>10538</v>
      </c>
      <c r="Y1156" s="2" t="s">
        <v>388</v>
      </c>
      <c r="Z1156" s="2" t="s">
        <v>3321</v>
      </c>
      <c r="AA1156" s="2" t="s">
        <v>10539</v>
      </c>
      <c r="AB1156" s="2" t="s">
        <v>8443</v>
      </c>
      <c r="AC1156" s="2">
        <v>48.25</v>
      </c>
      <c r="AD1156" s="2">
        <v>96.51</v>
      </c>
      <c r="AE1156" s="2">
        <v>0</v>
      </c>
      <c r="AF1156" s="2" t="s">
        <v>5614</v>
      </c>
      <c r="AG1156" s="2" t="s">
        <v>1088</v>
      </c>
      <c r="AH1156" s="2" t="s">
        <v>10540</v>
      </c>
      <c r="AI1156" s="2">
        <v>0.39</v>
      </c>
      <c r="AJ1156" s="2">
        <v>20.062403915083699</v>
      </c>
      <c r="AK1156" s="2">
        <v>20.5920596942914</v>
      </c>
      <c r="AL1156" s="2">
        <v>20.2990342570072</v>
      </c>
      <c r="AM1156" s="2">
        <v>19.243464565155101</v>
      </c>
      <c r="AN1156" s="2">
        <v>20.283331969514901</v>
      </c>
      <c r="AO1156" s="2">
        <v>20.521606602370699</v>
      </c>
      <c r="AP1156" s="2">
        <v>20.452935809855699</v>
      </c>
      <c r="AQ1156" s="2">
        <v>20.135843868747099</v>
      </c>
      <c r="AR1156" s="2">
        <v>19.542556329259501</v>
      </c>
      <c r="AS1156" s="2">
        <v>19.7162775218344</v>
      </c>
      <c r="AT1156" s="2">
        <v>19.280410237061901</v>
      </c>
      <c r="AU1156" s="2">
        <v>20.197837211713701</v>
      </c>
      <c r="AV1156" s="2">
        <v>20.267708126179301</v>
      </c>
      <c r="AW1156" s="2">
        <v>20.440065840784101</v>
      </c>
      <c r="AX1156" s="2">
        <v>20.2372010545397</v>
      </c>
      <c r="AY1156" s="2">
        <v>20.102213392167101</v>
      </c>
      <c r="AZ1156" s="2">
        <v>20.350148880134199</v>
      </c>
      <c r="BA1156" s="2">
        <v>19.0014973154458</v>
      </c>
      <c r="BB1156" s="2">
        <v>19.749497277499</v>
      </c>
      <c r="BC1156" s="2">
        <v>19.619598709682698</v>
      </c>
      <c r="BD1156" s="2">
        <v>20.380899178790798</v>
      </c>
      <c r="BE1156" s="2">
        <v>20.2175665766237</v>
      </c>
      <c r="BF1156" s="2">
        <v>20.282204104829699</v>
      </c>
      <c r="BG1156" s="2">
        <v>20.396365010951801</v>
      </c>
      <c r="BH1156" s="2">
        <v>20.4354465111102</v>
      </c>
      <c r="BI1156" s="2">
        <v>20.519459603943599</v>
      </c>
      <c r="BJ1156" s="2">
        <v>20.315257989004301</v>
      </c>
      <c r="BK1156" s="2">
        <v>19.301616469630801</v>
      </c>
      <c r="BL1156" s="2">
        <v>20.243166741429899</v>
      </c>
      <c r="BM1156" s="2">
        <v>20.523104877599799</v>
      </c>
      <c r="BN1156" s="2">
        <v>19.5576878899188</v>
      </c>
      <c r="BO1156" s="2">
        <v>20.175476857078401</v>
      </c>
      <c r="BP1156" s="2">
        <v>20.341352277822701</v>
      </c>
      <c r="BQ1156" s="2">
        <v>19.2519312644134</v>
      </c>
      <c r="BR1156" s="2">
        <v>20.2679936828733</v>
      </c>
      <c r="BS1156" s="2">
        <v>19.422372551437402</v>
      </c>
      <c r="BT1156" s="2">
        <v>20.222427462130302</v>
      </c>
      <c r="BU1156" s="2">
        <v>19.985126842569699</v>
      </c>
      <c r="BV1156" s="2">
        <v>20.293600474388299</v>
      </c>
      <c r="BW1156" s="2">
        <v>20.283681736601601</v>
      </c>
      <c r="BX1156" s="2">
        <v>20.218304033033899</v>
      </c>
      <c r="BY1156" s="2">
        <v>19.904722003505402</v>
      </c>
      <c r="BZ1156" s="2">
        <v>20.201127802456298</v>
      </c>
      <c r="CA1156" s="2">
        <v>20.3926762970871</v>
      </c>
      <c r="CB1156" s="2">
        <v>20.1213612794703</v>
      </c>
      <c r="CC1156" s="2">
        <v>20.0614977952822</v>
      </c>
      <c r="CD1156" s="2">
        <v>20.171833946955701</v>
      </c>
      <c r="CE1156" s="2">
        <v>19.999622111509101</v>
      </c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</row>
    <row r="1157" spans="1:97">
      <c r="A1157" s="2" t="s">
        <v>10541</v>
      </c>
      <c r="B1157" s="2">
        <v>627.13723000000005</v>
      </c>
      <c r="C1157" s="2">
        <v>0.80600000000000005</v>
      </c>
      <c r="D1157" s="2" t="s">
        <v>146</v>
      </c>
      <c r="E1157" s="2" t="s">
        <v>10542</v>
      </c>
      <c r="F1157" s="2" t="s">
        <v>10543</v>
      </c>
      <c r="G1157" s="2">
        <v>30350</v>
      </c>
      <c r="H1157" s="3" t="str">
        <f>HYPERLINK("https://cloud.oebiotech.com/#/lm/network/30350", "https://cloud.oebiotech.com/#/lm/network/30350")</f>
        <v>https://cloud.oebiotech.com/#/lm/network/30350</v>
      </c>
      <c r="I1157" s="2"/>
      <c r="J1157" s="2"/>
      <c r="K1157" s="2" t="s">
        <v>10544</v>
      </c>
      <c r="L1157" s="2">
        <v>44257713</v>
      </c>
      <c r="M1157" s="2"/>
      <c r="N1157" s="2"/>
      <c r="O1157" s="2"/>
      <c r="P1157" s="2"/>
      <c r="Q1157" s="2"/>
      <c r="R1157" s="2"/>
      <c r="S1157" s="2"/>
      <c r="T1157" s="2" t="s">
        <v>10545</v>
      </c>
      <c r="U1157" s="2" t="s">
        <v>10546</v>
      </c>
      <c r="V1157" s="2" t="s">
        <v>845</v>
      </c>
      <c r="W1157" s="2" t="s">
        <v>1853</v>
      </c>
      <c r="X1157" s="2" t="s">
        <v>6175</v>
      </c>
      <c r="Y1157" s="2" t="s">
        <v>847</v>
      </c>
      <c r="Z1157" s="2" t="s">
        <v>1855</v>
      </c>
      <c r="AA1157" s="2" t="s">
        <v>6176</v>
      </c>
      <c r="AB1157" s="2" t="s">
        <v>5118</v>
      </c>
      <c r="AC1157" s="2">
        <v>48.25</v>
      </c>
      <c r="AD1157" s="2">
        <v>91.4</v>
      </c>
      <c r="AE1157" s="2">
        <v>71.97</v>
      </c>
      <c r="AF1157" s="2" t="s">
        <v>10547</v>
      </c>
      <c r="AG1157" s="2" t="s">
        <v>157</v>
      </c>
      <c r="AH1157" s="2" t="s">
        <v>10548</v>
      </c>
      <c r="AI1157" s="2">
        <v>-2.5499999999999998</v>
      </c>
      <c r="AJ1157" s="2">
        <v>25.3291455965552</v>
      </c>
      <c r="AK1157" s="2">
        <v>25.434973952695898</v>
      </c>
      <c r="AL1157" s="2">
        <v>24.922811318465001</v>
      </c>
      <c r="AM1157" s="2">
        <v>25.194837796742998</v>
      </c>
      <c r="AN1157" s="2">
        <v>25.1841954535832</v>
      </c>
      <c r="AO1157" s="2">
        <v>25.270711871490999</v>
      </c>
      <c r="AP1157" s="2">
        <v>24.774968371385299</v>
      </c>
      <c r="AQ1157" s="2">
        <v>25.279372071526801</v>
      </c>
      <c r="AR1157" s="2">
        <v>25.2419744194139</v>
      </c>
      <c r="AS1157" s="2">
        <v>25.363820162747398</v>
      </c>
      <c r="AT1157" s="2">
        <v>25.267169313822698</v>
      </c>
      <c r="AU1157" s="2">
        <v>25.501936892035101</v>
      </c>
      <c r="AV1157" s="2">
        <v>25.237985193006299</v>
      </c>
      <c r="AW1157" s="2">
        <v>24.138636553829802</v>
      </c>
      <c r="AX1157" s="2">
        <v>23.9063882839766</v>
      </c>
      <c r="AY1157" s="2">
        <v>24.5932489640523</v>
      </c>
      <c r="AZ1157" s="2">
        <v>25.0912108258774</v>
      </c>
      <c r="BA1157" s="2">
        <v>25.600796358737298</v>
      </c>
      <c r="BB1157" s="2">
        <v>25.440059498855</v>
      </c>
      <c r="BC1157" s="2">
        <v>23.622777699307601</v>
      </c>
      <c r="BD1157" s="2">
        <v>24.292459985053</v>
      </c>
      <c r="BE1157" s="2">
        <v>25.186969087203899</v>
      </c>
      <c r="BF1157" s="2">
        <v>25.0816964405786</v>
      </c>
      <c r="BG1157" s="2">
        <v>25.300606235221998</v>
      </c>
      <c r="BH1157" s="2">
        <v>23.3871912561969</v>
      </c>
      <c r="BI1157" s="2">
        <v>25.113090792623201</v>
      </c>
      <c r="BJ1157" s="2">
        <v>25.169849356138801</v>
      </c>
      <c r="BK1157" s="2">
        <v>24.684352856824599</v>
      </c>
      <c r="BL1157" s="2">
        <v>24.240356299769701</v>
      </c>
      <c r="BM1157" s="2">
        <v>25.966507760435402</v>
      </c>
      <c r="BN1157" s="2">
        <v>23.971771974872102</v>
      </c>
      <c r="BO1157" s="2">
        <v>24.997194707413598</v>
      </c>
      <c r="BP1157" s="2">
        <v>23.274793669475901</v>
      </c>
      <c r="BQ1157" s="2">
        <v>24.7498618772388</v>
      </c>
      <c r="BR1157" s="2">
        <v>25.000667792072299</v>
      </c>
      <c r="BS1157" s="2">
        <v>24.8869305158243</v>
      </c>
      <c r="BT1157" s="2">
        <v>24.2583050465452</v>
      </c>
      <c r="BU1157" s="2">
        <v>25.2302275622514</v>
      </c>
      <c r="BV1157" s="2">
        <v>25.2442172227972</v>
      </c>
      <c r="BW1157" s="2">
        <v>24.6577636339047</v>
      </c>
      <c r="BX1157" s="2">
        <v>24.869346206386801</v>
      </c>
      <c r="BY1157" s="2">
        <v>24.832156875271298</v>
      </c>
      <c r="BZ1157" s="2">
        <v>25.369660111306398</v>
      </c>
      <c r="CA1157" s="2">
        <v>25.0159128467191</v>
      </c>
      <c r="CB1157" s="2">
        <v>24.979850258364401</v>
      </c>
      <c r="CC1157" s="2">
        <v>23.678529526730401</v>
      </c>
      <c r="CD1157" s="2">
        <v>24.5165972677908</v>
      </c>
      <c r="CE1157" s="2">
        <v>24.9288188089069</v>
      </c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</row>
    <row r="1158" spans="1:97">
      <c r="A1158" s="2" t="s">
        <v>10549</v>
      </c>
      <c r="B1158" s="2">
        <v>517.09798000000001</v>
      </c>
      <c r="C1158" s="2">
        <v>6.625</v>
      </c>
      <c r="D1158" s="2" t="s">
        <v>146</v>
      </c>
      <c r="E1158" s="2" t="s">
        <v>10550</v>
      </c>
      <c r="F1158" s="2" t="s">
        <v>10551</v>
      </c>
      <c r="G1158" s="2">
        <v>204303</v>
      </c>
      <c r="H1158" s="3" t="str">
        <f>HYPERLINK("https://cloud.oebiotech.com/#/lm/network/204303", "https://cloud.oebiotech.com/#/lm/network/204303")</f>
        <v>https://cloud.oebiotech.com/#/lm/network/204303</v>
      </c>
      <c r="I1158" s="2" t="s">
        <v>10552</v>
      </c>
      <c r="J1158" s="2"/>
      <c r="K1158" s="2"/>
      <c r="L1158" s="2">
        <v>430596</v>
      </c>
      <c r="M1158" s="2"/>
      <c r="N1158" s="2"/>
      <c r="O1158" s="2"/>
      <c r="P1158" s="2"/>
      <c r="Q1158" s="2"/>
      <c r="R1158" s="2"/>
      <c r="S1158" s="2"/>
      <c r="T1158" s="2" t="s">
        <v>10553</v>
      </c>
      <c r="U1158" s="2" t="s">
        <v>10554</v>
      </c>
      <c r="V1158" s="2" t="s">
        <v>385</v>
      </c>
      <c r="W1158" s="2" t="s">
        <v>386</v>
      </c>
      <c r="X1158" s="2" t="s">
        <v>1059</v>
      </c>
      <c r="Y1158" s="2" t="s">
        <v>388</v>
      </c>
      <c r="Z1158" s="2" t="s">
        <v>389</v>
      </c>
      <c r="AA1158" s="2" t="s">
        <v>1060</v>
      </c>
      <c r="AB1158" s="2" t="s">
        <v>5118</v>
      </c>
      <c r="AC1158" s="2">
        <v>48.24</v>
      </c>
      <c r="AD1158" s="2">
        <v>67.03</v>
      </c>
      <c r="AE1158" s="2">
        <v>49.66</v>
      </c>
      <c r="AF1158" s="2" t="s">
        <v>10555</v>
      </c>
      <c r="AG1158" s="2" t="s">
        <v>157</v>
      </c>
      <c r="AH1158" s="2" t="s">
        <v>10556</v>
      </c>
      <c r="AI1158" s="2">
        <v>-0.19</v>
      </c>
      <c r="AJ1158" s="2">
        <v>18.2520699299412</v>
      </c>
      <c r="AK1158" s="2">
        <v>18.526715627163998</v>
      </c>
      <c r="AL1158" s="2">
        <v>18.390859835761098</v>
      </c>
      <c r="AM1158" s="2">
        <v>18.303991396306301</v>
      </c>
      <c r="AN1158" s="2">
        <v>18.302674307148699</v>
      </c>
      <c r="AO1158" s="2">
        <v>18.495285820000699</v>
      </c>
      <c r="AP1158" s="2">
        <v>18.558283144529899</v>
      </c>
      <c r="AQ1158" s="2">
        <v>18.497298428028898</v>
      </c>
      <c r="AR1158" s="2">
        <v>18.013268580071902</v>
      </c>
      <c r="AS1158" s="2">
        <v>18.591952233454901</v>
      </c>
      <c r="AT1158" s="2">
        <v>17.562838280551698</v>
      </c>
      <c r="AU1158" s="2">
        <v>18.407580464781301</v>
      </c>
      <c r="AV1158" s="2">
        <v>18.549038359678899</v>
      </c>
      <c r="AW1158" s="2">
        <v>18.2366492405468</v>
      </c>
      <c r="AX1158" s="2">
        <v>18.264505780895401</v>
      </c>
      <c r="AY1158" s="2">
        <v>18.019113964314599</v>
      </c>
      <c r="AZ1158" s="2">
        <v>18.541808331704601</v>
      </c>
      <c r="BA1158" s="2">
        <v>17.638930793877201</v>
      </c>
      <c r="BB1158" s="2">
        <v>18.391074429761101</v>
      </c>
      <c r="BC1158" s="2">
        <v>18.5018456576015</v>
      </c>
      <c r="BD1158" s="2">
        <v>18.338960045632302</v>
      </c>
      <c r="BE1158" s="2">
        <v>18.438781986311199</v>
      </c>
      <c r="BF1158" s="2">
        <v>18.648726705726101</v>
      </c>
      <c r="BG1158" s="2">
        <v>18.301354540696899</v>
      </c>
      <c r="BH1158" s="2">
        <v>18.402367290060798</v>
      </c>
      <c r="BI1158" s="2">
        <v>18.5384355174169</v>
      </c>
      <c r="BJ1158" s="2">
        <v>18.1740197649621</v>
      </c>
      <c r="BK1158" s="2">
        <v>18.267859270633998</v>
      </c>
      <c r="BL1158" s="2">
        <v>18.557473798393499</v>
      </c>
      <c r="BM1158" s="2">
        <v>18.481345680648499</v>
      </c>
      <c r="BN1158" s="2">
        <v>18.668864768227401</v>
      </c>
      <c r="BO1158" s="2">
        <v>18.748616762453899</v>
      </c>
      <c r="BP1158" s="2">
        <v>18.571003538546801</v>
      </c>
      <c r="BQ1158" s="2">
        <v>18.160027192074701</v>
      </c>
      <c r="BR1158" s="2">
        <v>18.2011695349936</v>
      </c>
      <c r="BS1158" s="2">
        <v>18.542437134445599</v>
      </c>
      <c r="BT1158" s="2">
        <v>18.243417192710702</v>
      </c>
      <c r="BU1158" s="2">
        <v>18.062180456295302</v>
      </c>
      <c r="BV1158" s="2">
        <v>18.311862528570799</v>
      </c>
      <c r="BW1158" s="2">
        <v>18.242895481558499</v>
      </c>
      <c r="BX1158" s="2">
        <v>17.9297714105222</v>
      </c>
      <c r="BY1158" s="2">
        <v>18.283542199399498</v>
      </c>
      <c r="BZ1158" s="2">
        <v>18.064057972483798</v>
      </c>
      <c r="CA1158" s="2">
        <v>18.5294213267983</v>
      </c>
      <c r="CB1158" s="2">
        <v>18.1113728422444</v>
      </c>
      <c r="CC1158" s="2">
        <v>18.077207682555699</v>
      </c>
      <c r="CD1158" s="2">
        <v>18.556007677203901</v>
      </c>
      <c r="CE1158" s="2">
        <v>18.1893390884523</v>
      </c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</row>
    <row r="1159" spans="1:97">
      <c r="A1159" s="2" t="s">
        <v>10557</v>
      </c>
      <c r="B1159" s="2">
        <v>435.14517999999998</v>
      </c>
      <c r="C1159" s="2">
        <v>7.5389999999999997</v>
      </c>
      <c r="D1159" s="2" t="s">
        <v>146</v>
      </c>
      <c r="E1159" s="2" t="s">
        <v>10558</v>
      </c>
      <c r="F1159" s="2" t="s">
        <v>10559</v>
      </c>
      <c r="G1159" s="2">
        <v>30041</v>
      </c>
      <c r="H1159" s="3" t="str">
        <f>HYPERLINK("https://cloud.oebiotech.com/#/lm/network/30041", "https://cloud.oebiotech.com/#/lm/network/30041")</f>
        <v>https://cloud.oebiotech.com/#/lm/network/30041</v>
      </c>
      <c r="I1159" s="2" t="s">
        <v>10560</v>
      </c>
      <c r="J1159" s="2">
        <v>48391</v>
      </c>
      <c r="K1159" s="2" t="s">
        <v>10561</v>
      </c>
      <c r="L1159" s="2">
        <v>5319380</v>
      </c>
      <c r="M1159" s="2"/>
      <c r="N1159" s="2"/>
      <c r="O1159" s="2"/>
      <c r="P1159" s="2"/>
      <c r="Q1159" s="2"/>
      <c r="R1159" s="2"/>
      <c r="S1159" s="2" t="s">
        <v>10562</v>
      </c>
      <c r="T1159" s="2" t="s">
        <v>10563</v>
      </c>
      <c r="U1159" s="2" t="s">
        <v>10564</v>
      </c>
      <c r="V1159" s="2" t="s">
        <v>845</v>
      </c>
      <c r="W1159" s="2" t="s">
        <v>10565</v>
      </c>
      <c r="X1159" s="2" t="s">
        <v>10566</v>
      </c>
      <c r="Y1159" s="2" t="s">
        <v>847</v>
      </c>
      <c r="Z1159" s="2" t="s">
        <v>10567</v>
      </c>
      <c r="AA1159" s="2" t="s">
        <v>10568</v>
      </c>
      <c r="AB1159" s="2" t="s">
        <v>5118</v>
      </c>
      <c r="AC1159" s="2">
        <v>48.22</v>
      </c>
      <c r="AD1159" s="2">
        <v>95.02</v>
      </c>
      <c r="AE1159" s="2">
        <v>57.61</v>
      </c>
      <c r="AF1159" s="2" t="s">
        <v>10569</v>
      </c>
      <c r="AG1159" s="2" t="s">
        <v>157</v>
      </c>
      <c r="AH1159" s="2" t="s">
        <v>10570</v>
      </c>
      <c r="AI1159" s="2">
        <v>-0.69</v>
      </c>
      <c r="AJ1159" s="2">
        <v>23.131113541531199</v>
      </c>
      <c r="AK1159" s="2">
        <v>22.073599967570001</v>
      </c>
      <c r="AL1159" s="2">
        <v>23.174602605923901</v>
      </c>
      <c r="AM1159" s="2">
        <v>23.226095863836601</v>
      </c>
      <c r="AN1159" s="2">
        <v>23.161373795097099</v>
      </c>
      <c r="AO1159" s="2">
        <v>23.3024398176379</v>
      </c>
      <c r="AP1159" s="2">
        <v>22.175605393174301</v>
      </c>
      <c r="AQ1159" s="2">
        <v>23.216122057816602</v>
      </c>
      <c r="AR1159" s="2">
        <v>21.528803012460699</v>
      </c>
      <c r="AS1159" s="2">
        <v>20.856676461035999</v>
      </c>
      <c r="AT1159" s="2">
        <v>21.616246979449802</v>
      </c>
      <c r="AU1159" s="2">
        <v>22.331894117473201</v>
      </c>
      <c r="AV1159" s="2">
        <v>23.9736333767082</v>
      </c>
      <c r="AW1159" s="2">
        <v>23.734066435777599</v>
      </c>
      <c r="AX1159" s="2">
        <v>23.233957139973398</v>
      </c>
      <c r="AY1159" s="2">
        <v>23.905451804416298</v>
      </c>
      <c r="AZ1159" s="2">
        <v>22.873132324284001</v>
      </c>
      <c r="BA1159" s="2">
        <v>22.772024068514799</v>
      </c>
      <c r="BB1159" s="2">
        <v>22.163337256106299</v>
      </c>
      <c r="BC1159" s="2">
        <v>24.7384871322616</v>
      </c>
      <c r="BD1159" s="2">
        <v>23.2883771538033</v>
      </c>
      <c r="BE1159" s="2">
        <v>24.147411715406701</v>
      </c>
      <c r="BF1159" s="2">
        <v>22.9228721622713</v>
      </c>
      <c r="BG1159" s="2">
        <v>23.6752031692521</v>
      </c>
      <c r="BH1159" s="2">
        <v>23.1949532490449</v>
      </c>
      <c r="BI1159" s="2">
        <v>20.8698925088358</v>
      </c>
      <c r="BJ1159" s="2">
        <v>23.0170326985873</v>
      </c>
      <c r="BK1159" s="2">
        <v>23.1693478849974</v>
      </c>
      <c r="BL1159" s="2">
        <v>22.1858369443366</v>
      </c>
      <c r="BM1159" s="2">
        <v>21.7912460594832</v>
      </c>
      <c r="BN1159" s="2">
        <v>21.215917547174602</v>
      </c>
      <c r="BO1159" s="2">
        <v>22.4360302794265</v>
      </c>
      <c r="BP1159" s="2">
        <v>23.681076955133999</v>
      </c>
      <c r="BQ1159" s="2">
        <v>23.2936753624227</v>
      </c>
      <c r="BR1159" s="2">
        <v>23.6527824175093</v>
      </c>
      <c r="BS1159" s="2">
        <v>23.709071286997499</v>
      </c>
      <c r="BT1159" s="2">
        <v>22.587175663674898</v>
      </c>
      <c r="BU1159" s="2">
        <v>22.052788281234101</v>
      </c>
      <c r="BV1159" s="2">
        <v>20.814700084364699</v>
      </c>
      <c r="BW1159" s="2">
        <v>23.501495381250699</v>
      </c>
      <c r="BX1159" s="2">
        <v>23.392548255476701</v>
      </c>
      <c r="BY1159" s="2">
        <v>24.6746915641851</v>
      </c>
      <c r="BZ1159" s="2">
        <v>22.6566954497167</v>
      </c>
      <c r="CA1159" s="2">
        <v>21.777994652227701</v>
      </c>
      <c r="CB1159" s="2">
        <v>23.2842004872359</v>
      </c>
      <c r="CC1159" s="2">
        <v>21.3555716287336</v>
      </c>
      <c r="CD1159" s="2">
        <v>22.713667468887699</v>
      </c>
      <c r="CE1159" s="2">
        <v>23.514121692966501</v>
      </c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</row>
    <row r="1160" spans="1:97">
      <c r="A1160" s="2" t="s">
        <v>10571</v>
      </c>
      <c r="B1160" s="2">
        <v>415.12290000000002</v>
      </c>
      <c r="C1160" s="2">
        <v>5.8230000000000004</v>
      </c>
      <c r="D1160" s="2" t="s">
        <v>84</v>
      </c>
      <c r="E1160" s="2" t="s">
        <v>10572</v>
      </c>
      <c r="F1160" s="2" t="s">
        <v>10573</v>
      </c>
      <c r="G1160" s="2">
        <v>82042</v>
      </c>
      <c r="H1160" s="3" t="str">
        <f>HYPERLINK("https://cloud.oebiotech.com/#/lm/network/82042", "https://cloud.oebiotech.com/#/lm/network/82042")</f>
        <v>https://cloud.oebiotech.com/#/lm/network/82042</v>
      </c>
      <c r="I1160" s="2" t="s">
        <v>10574</v>
      </c>
      <c r="J1160" s="2"/>
      <c r="K1160" s="2"/>
      <c r="L1160" s="2">
        <v>124202099</v>
      </c>
      <c r="M1160" s="2"/>
      <c r="N1160" s="2"/>
      <c r="O1160" s="2"/>
      <c r="P1160" s="2">
        <v>89550</v>
      </c>
      <c r="Q1160" s="2"/>
      <c r="R1160" s="2"/>
      <c r="S1160" s="2"/>
      <c r="T1160" s="2" t="s">
        <v>10575</v>
      </c>
      <c r="U1160" s="2" t="s">
        <v>10576</v>
      </c>
      <c r="V1160" s="2" t="s">
        <v>338</v>
      </c>
      <c r="W1160" s="2" t="s">
        <v>339</v>
      </c>
      <c r="X1160" s="2" t="s">
        <v>663</v>
      </c>
      <c r="Y1160" s="2" t="s">
        <v>341</v>
      </c>
      <c r="Z1160" s="2" t="s">
        <v>341</v>
      </c>
      <c r="AA1160" s="2" t="s">
        <v>664</v>
      </c>
      <c r="AB1160" s="2" t="s">
        <v>5118</v>
      </c>
      <c r="AC1160" s="2">
        <v>48.21</v>
      </c>
      <c r="AD1160" s="2">
        <v>87.66</v>
      </c>
      <c r="AE1160" s="2">
        <v>69.53</v>
      </c>
      <c r="AF1160" s="2" t="s">
        <v>10577</v>
      </c>
      <c r="AG1160" s="2" t="s">
        <v>103</v>
      </c>
      <c r="AH1160" s="2" t="s">
        <v>10578</v>
      </c>
      <c r="AI1160" s="2">
        <v>1.45</v>
      </c>
      <c r="AJ1160" s="2">
        <v>17.2147138383468</v>
      </c>
      <c r="AK1160" s="2">
        <v>17.489460083683799</v>
      </c>
      <c r="AL1160" s="2">
        <v>18.005346309309498</v>
      </c>
      <c r="AM1160" s="2">
        <v>17.748912182925999</v>
      </c>
      <c r="AN1160" s="2">
        <v>17.7044971413059</v>
      </c>
      <c r="AO1160" s="2">
        <v>17.8681645850018</v>
      </c>
      <c r="AP1160" s="2">
        <v>17.510089369118901</v>
      </c>
      <c r="AQ1160" s="2">
        <v>18.007494135051999</v>
      </c>
      <c r="AR1160" s="2">
        <v>15.839638814756301</v>
      </c>
      <c r="AS1160" s="2">
        <v>14.0689847942675</v>
      </c>
      <c r="AT1160" s="2">
        <v>16.4267780861333</v>
      </c>
      <c r="AU1160" s="2">
        <v>17.9522151876766</v>
      </c>
      <c r="AV1160" s="2">
        <v>15.474308331932599</v>
      </c>
      <c r="AW1160" s="2">
        <v>18.098819967508302</v>
      </c>
      <c r="AX1160" s="2">
        <v>14.692921660525901</v>
      </c>
      <c r="AY1160" s="2">
        <v>14.5732341521854</v>
      </c>
      <c r="AZ1160" s="2">
        <v>13.693507648176601</v>
      </c>
      <c r="BA1160" s="2">
        <v>18.7552314305435</v>
      </c>
      <c r="BB1160" s="2">
        <v>18.348941026627301</v>
      </c>
      <c r="BC1160" s="2">
        <v>17.3045374224541</v>
      </c>
      <c r="BD1160" s="2">
        <v>18.539384403935198</v>
      </c>
      <c r="BE1160" s="2">
        <v>16.778699727382101</v>
      </c>
      <c r="BF1160" s="2">
        <v>16.7324039592785</v>
      </c>
      <c r="BG1160" s="2">
        <v>18.389116257149499</v>
      </c>
      <c r="BH1160" s="2">
        <v>17.536819231651499</v>
      </c>
      <c r="BI1160" s="2">
        <v>15.307018254537899</v>
      </c>
      <c r="BJ1160" s="2">
        <v>18.4404818454165</v>
      </c>
      <c r="BK1160" s="2">
        <v>20.329314304060901</v>
      </c>
      <c r="BL1160" s="2">
        <v>16.342666407266801</v>
      </c>
      <c r="BM1160" s="2">
        <v>16.584333650150398</v>
      </c>
      <c r="BN1160" s="2">
        <v>17.784673693115199</v>
      </c>
      <c r="BO1160" s="2">
        <v>17.9861649710659</v>
      </c>
      <c r="BP1160" s="2">
        <v>9.6233145402724691</v>
      </c>
      <c r="BQ1160" s="2">
        <v>16.9340841662376</v>
      </c>
      <c r="BR1160" s="2">
        <v>14.864999076239201</v>
      </c>
      <c r="BS1160" s="2">
        <v>15.6861150165421</v>
      </c>
      <c r="BT1160" s="2">
        <v>17.565863845168501</v>
      </c>
      <c r="BU1160" s="2">
        <v>18.4362676659042</v>
      </c>
      <c r="BV1160" s="2">
        <v>18.820868464003699</v>
      </c>
      <c r="BW1160" s="2">
        <v>17.1236600944112</v>
      </c>
      <c r="BX1160" s="2">
        <v>18.215062885090799</v>
      </c>
      <c r="BY1160" s="2">
        <v>16.393820788339401</v>
      </c>
      <c r="BZ1160" s="2">
        <v>16.4714780368292</v>
      </c>
      <c r="CA1160" s="2">
        <v>18.327644432282401</v>
      </c>
      <c r="CB1160" s="2">
        <v>17.801453174818299</v>
      </c>
      <c r="CC1160" s="2">
        <v>14.054569555849</v>
      </c>
      <c r="CD1160" s="2">
        <v>18.096885033767599</v>
      </c>
      <c r="CE1160" s="2">
        <v>20.125508065538401</v>
      </c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</row>
    <row r="1161" spans="1:97">
      <c r="A1161" s="2" t="s">
        <v>10579</v>
      </c>
      <c r="B1161" s="2">
        <v>579.06928000000005</v>
      </c>
      <c r="C1161" s="2">
        <v>0.80900000000000005</v>
      </c>
      <c r="D1161" s="2" t="s">
        <v>146</v>
      </c>
      <c r="E1161" s="2" t="s">
        <v>10580</v>
      </c>
      <c r="F1161" s="2" t="s">
        <v>10581</v>
      </c>
      <c r="G1161" s="2">
        <v>47378</v>
      </c>
      <c r="H1161" s="3" t="str">
        <f>HYPERLINK("https://cloud.oebiotech.com/#/lm/network/47378", "https://cloud.oebiotech.com/#/lm/network/47378")</f>
        <v>https://cloud.oebiotech.com/#/lm/network/47378</v>
      </c>
      <c r="I1161" s="2" t="s">
        <v>10582</v>
      </c>
      <c r="J1161" s="2"/>
      <c r="K1161" s="2"/>
      <c r="L1161" s="2">
        <v>92042786</v>
      </c>
      <c r="M1161" s="2" t="s">
        <v>10583</v>
      </c>
      <c r="N1161" s="2" t="s">
        <v>658</v>
      </c>
      <c r="O1161" s="2" t="s">
        <v>659</v>
      </c>
      <c r="P1161" s="2">
        <v>133983</v>
      </c>
      <c r="Q1161" s="2"/>
      <c r="R1161" s="2"/>
      <c r="S1161" s="2" t="s">
        <v>10584</v>
      </c>
      <c r="T1161" s="2" t="s">
        <v>10585</v>
      </c>
      <c r="U1161" s="2" t="s">
        <v>10586</v>
      </c>
      <c r="V1161" s="2" t="s">
        <v>338</v>
      </c>
      <c r="W1161" s="2" t="s">
        <v>339</v>
      </c>
      <c r="X1161" s="2" t="s">
        <v>663</v>
      </c>
      <c r="Y1161" s="2" t="s">
        <v>341</v>
      </c>
      <c r="Z1161" s="2" t="s">
        <v>341</v>
      </c>
      <c r="AA1161" s="2" t="s">
        <v>664</v>
      </c>
      <c r="AB1161" s="2" t="s">
        <v>3086</v>
      </c>
      <c r="AC1161" s="2">
        <v>48.16</v>
      </c>
      <c r="AD1161" s="2">
        <v>88.68</v>
      </c>
      <c r="AE1161" s="2">
        <v>0</v>
      </c>
      <c r="AF1161" s="2" t="s">
        <v>5614</v>
      </c>
      <c r="AG1161" s="2" t="s">
        <v>3880</v>
      </c>
      <c r="AH1161" s="2" t="s">
        <v>10587</v>
      </c>
      <c r="AI1161" s="2">
        <v>6.91</v>
      </c>
      <c r="AJ1161" s="2">
        <v>19.3469593125152</v>
      </c>
      <c r="AK1161" s="2">
        <v>19.294719546715299</v>
      </c>
      <c r="AL1161" s="2">
        <v>19.273544277409201</v>
      </c>
      <c r="AM1161" s="2">
        <v>19.5671274557941</v>
      </c>
      <c r="AN1161" s="2">
        <v>19.130578732034898</v>
      </c>
      <c r="AO1161" s="2">
        <v>20.071862489748199</v>
      </c>
      <c r="AP1161" s="2">
        <v>19.407588576001899</v>
      </c>
      <c r="AQ1161" s="2">
        <v>19.597090631339899</v>
      </c>
      <c r="AR1161" s="2">
        <v>19.048507654517699</v>
      </c>
      <c r="AS1161" s="2">
        <v>19.379292054608701</v>
      </c>
      <c r="AT1161" s="2">
        <v>19.323966978607402</v>
      </c>
      <c r="AU1161" s="2">
        <v>19.718038386674198</v>
      </c>
      <c r="AV1161" s="2">
        <v>19.242171027157401</v>
      </c>
      <c r="AW1161" s="2">
        <v>20.247991155034502</v>
      </c>
      <c r="AX1161" s="2">
        <v>19.6308388311108</v>
      </c>
      <c r="AY1161" s="2">
        <v>19.162791882437901</v>
      </c>
      <c r="AZ1161" s="2">
        <v>18.749356935369601</v>
      </c>
      <c r="BA1161" s="2">
        <v>20.141001883692201</v>
      </c>
      <c r="BB1161" s="2">
        <v>19.975439964164799</v>
      </c>
      <c r="BC1161" s="2">
        <v>16.958376105880198</v>
      </c>
      <c r="BD1161" s="2">
        <v>17.934972081763501</v>
      </c>
      <c r="BE1161" s="2">
        <v>19.242360857426799</v>
      </c>
      <c r="BF1161" s="2">
        <v>17.444420284371699</v>
      </c>
      <c r="BG1161" s="2">
        <v>19.437693399885301</v>
      </c>
      <c r="BH1161" s="2">
        <v>18.524930602010802</v>
      </c>
      <c r="BI1161" s="2">
        <v>20.562594089336301</v>
      </c>
      <c r="BJ1161" s="2">
        <v>19.186741364036301</v>
      </c>
      <c r="BK1161" s="2">
        <v>19.645131122254</v>
      </c>
      <c r="BL1161" s="2">
        <v>19.303856785668199</v>
      </c>
      <c r="BM1161" s="2">
        <v>17.932773812554601</v>
      </c>
      <c r="BN1161" s="2">
        <v>19.0684076708418</v>
      </c>
      <c r="BO1161" s="2">
        <v>19.437957061753998</v>
      </c>
      <c r="BP1161" s="2">
        <v>19.320304722328402</v>
      </c>
      <c r="BQ1161" s="2">
        <v>19.305971166484301</v>
      </c>
      <c r="BR1161" s="2">
        <v>18.892302078608601</v>
      </c>
      <c r="BS1161" s="2">
        <v>19.638129179998099</v>
      </c>
      <c r="BT1161" s="2">
        <v>18.649357690639899</v>
      </c>
      <c r="BU1161" s="2">
        <v>19.477822603289699</v>
      </c>
      <c r="BV1161" s="2">
        <v>19.239683059685198</v>
      </c>
      <c r="BW1161" s="2">
        <v>19.077672360227499</v>
      </c>
      <c r="BX1161" s="2">
        <v>18.985596459441599</v>
      </c>
      <c r="BY1161" s="2">
        <v>18.758042456548399</v>
      </c>
      <c r="BZ1161" s="2">
        <v>19.037957200636601</v>
      </c>
      <c r="CA1161" s="2">
        <v>16.770050596539999</v>
      </c>
      <c r="CB1161" s="2">
        <v>19.168198528797301</v>
      </c>
      <c r="CC1161" s="2">
        <v>20.303058426251699</v>
      </c>
      <c r="CD1161" s="2">
        <v>19.664695584035599</v>
      </c>
      <c r="CE1161" s="2">
        <v>19.860387825192099</v>
      </c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</row>
    <row r="1162" spans="1:97">
      <c r="A1162" s="2" t="s">
        <v>10588</v>
      </c>
      <c r="B1162" s="2">
        <v>317.05604</v>
      </c>
      <c r="C1162" s="2">
        <v>0.89800000000000002</v>
      </c>
      <c r="D1162" s="2" t="s">
        <v>84</v>
      </c>
      <c r="E1162" s="2" t="s">
        <v>10589</v>
      </c>
      <c r="F1162" s="2" t="s">
        <v>10590</v>
      </c>
      <c r="G1162" s="2">
        <v>258347</v>
      </c>
      <c r="H1162" s="3" t="str">
        <f>HYPERLINK("https://cloud.oebiotech.com/#/lm/network/258347", "https://cloud.oebiotech.com/#/lm/network/258347")</f>
        <v>https://cloud.oebiotech.com/#/lm/network/258347</v>
      </c>
      <c r="I1162" s="2" t="s">
        <v>10591</v>
      </c>
      <c r="J1162" s="2">
        <v>4167</v>
      </c>
      <c r="K1162" s="2"/>
      <c r="L1162" s="2">
        <v>14180</v>
      </c>
      <c r="M1162" s="2" t="s">
        <v>10592</v>
      </c>
      <c r="N1162" s="2" t="s">
        <v>2667</v>
      </c>
      <c r="O1162" s="2" t="s">
        <v>2668</v>
      </c>
      <c r="P1162" s="2"/>
      <c r="Q1162" s="2"/>
      <c r="R1162" s="2"/>
      <c r="S1162" s="2" t="s">
        <v>10593</v>
      </c>
      <c r="T1162" s="2" t="s">
        <v>10594</v>
      </c>
      <c r="U1162" s="2" t="s">
        <v>10595</v>
      </c>
      <c r="V1162" s="2" t="s">
        <v>818</v>
      </c>
      <c r="W1162" s="2" t="s">
        <v>10596</v>
      </c>
      <c r="X1162" s="2" t="s">
        <v>10597</v>
      </c>
      <c r="Y1162" s="2" t="s">
        <v>820</v>
      </c>
      <c r="Z1162" s="2" t="s">
        <v>10598</v>
      </c>
      <c r="AA1162" s="2" t="s">
        <v>10599</v>
      </c>
      <c r="AB1162" s="2" t="s">
        <v>3086</v>
      </c>
      <c r="AC1162" s="2">
        <v>48.14</v>
      </c>
      <c r="AD1162" s="2">
        <v>92.24</v>
      </c>
      <c r="AE1162" s="2">
        <v>0</v>
      </c>
      <c r="AF1162" s="2" t="s">
        <v>5614</v>
      </c>
      <c r="AG1162" s="2" t="s">
        <v>1088</v>
      </c>
      <c r="AH1162" s="2" t="s">
        <v>10600</v>
      </c>
      <c r="AI1162" s="2">
        <v>-6.62</v>
      </c>
      <c r="AJ1162" s="2">
        <v>21.0874172461081</v>
      </c>
      <c r="AK1162" s="2">
        <v>21.311171844118601</v>
      </c>
      <c r="AL1162" s="2">
        <v>21.130414521641899</v>
      </c>
      <c r="AM1162" s="2">
        <v>21.292835721287901</v>
      </c>
      <c r="AN1162" s="2">
        <v>19.563845087277102</v>
      </c>
      <c r="AO1162" s="2">
        <v>21.451730372487098</v>
      </c>
      <c r="AP1162" s="2">
        <v>21.506670415784701</v>
      </c>
      <c r="AQ1162" s="2">
        <v>21.306250562941798</v>
      </c>
      <c r="AR1162" s="2">
        <v>21.194752484717998</v>
      </c>
      <c r="AS1162" s="2">
        <v>19.310293140844401</v>
      </c>
      <c r="AT1162" s="2">
        <v>21.359285728817799</v>
      </c>
      <c r="AU1162" s="2">
        <v>20.835362266652101</v>
      </c>
      <c r="AV1162" s="2">
        <v>21.050827011670599</v>
      </c>
      <c r="AW1162" s="2">
        <v>20.040980148744701</v>
      </c>
      <c r="AX1162" s="2">
        <v>21.277289540130699</v>
      </c>
      <c r="AY1162" s="2">
        <v>21.2108056212188</v>
      </c>
      <c r="AZ1162" s="2">
        <v>21.442277341751801</v>
      </c>
      <c r="BA1162" s="2">
        <v>19.791278933774102</v>
      </c>
      <c r="BB1162" s="2">
        <v>21.2614707409369</v>
      </c>
      <c r="BC1162" s="2">
        <v>21.208973861536801</v>
      </c>
      <c r="BD1162" s="2">
        <v>21.0809353263985</v>
      </c>
      <c r="BE1162" s="2">
        <v>21.0172066225992</v>
      </c>
      <c r="BF1162" s="2">
        <v>21.256375907239601</v>
      </c>
      <c r="BG1162" s="2">
        <v>20.821294516626601</v>
      </c>
      <c r="BH1162" s="2">
        <v>20.9870527406657</v>
      </c>
      <c r="BI1162" s="2">
        <v>21.0317771733576</v>
      </c>
      <c r="BJ1162" s="2">
        <v>21.026233012070598</v>
      </c>
      <c r="BK1162" s="2">
        <v>21.6179624844081</v>
      </c>
      <c r="BL1162" s="2">
        <v>20.427266658262901</v>
      </c>
      <c r="BM1162" s="2">
        <v>19.602436870744299</v>
      </c>
      <c r="BN1162" s="2">
        <v>21.502370731819099</v>
      </c>
      <c r="BO1162" s="2">
        <v>20.954680127627501</v>
      </c>
      <c r="BP1162" s="2">
        <v>20.9416497740723</v>
      </c>
      <c r="BQ1162" s="2">
        <v>21.3738138732996</v>
      </c>
      <c r="BR1162" s="2">
        <v>20.124092439561299</v>
      </c>
      <c r="BS1162" s="2">
        <v>20.3261635855424</v>
      </c>
      <c r="BT1162" s="2">
        <v>20.893914256935499</v>
      </c>
      <c r="BU1162" s="2">
        <v>21.538307905183999</v>
      </c>
      <c r="BV1162" s="2">
        <v>21.2872209003873</v>
      </c>
      <c r="BW1162" s="2">
        <v>21.553435261992998</v>
      </c>
      <c r="BX1162" s="2">
        <v>21.460838593456501</v>
      </c>
      <c r="BY1162" s="2">
        <v>21.1483445694927</v>
      </c>
      <c r="BZ1162" s="2">
        <v>21.463242988529501</v>
      </c>
      <c r="CA1162" s="2">
        <v>20.993885570782101</v>
      </c>
      <c r="CB1162" s="2">
        <v>21.267951028369101</v>
      </c>
      <c r="CC1162" s="2">
        <v>20.8789410334556</v>
      </c>
      <c r="CD1162" s="2">
        <v>20.9726119018367</v>
      </c>
      <c r="CE1162" s="2">
        <v>20.431486739197599</v>
      </c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</row>
    <row r="1163" spans="1:97">
      <c r="A1163" s="2" t="s">
        <v>10601</v>
      </c>
      <c r="B1163" s="2">
        <v>123.04406</v>
      </c>
      <c r="C1163" s="2">
        <v>1.129</v>
      </c>
      <c r="D1163" s="2" t="s">
        <v>84</v>
      </c>
      <c r="E1163" s="2" t="s">
        <v>10602</v>
      </c>
      <c r="F1163" s="2" t="s">
        <v>10603</v>
      </c>
      <c r="G1163" s="2">
        <v>58245</v>
      </c>
      <c r="H1163" s="3" t="str">
        <f>HYPERLINK("https://cloud.oebiotech.com/#/lm/network/58245", "https://cloud.oebiotech.com/#/lm/network/58245")</f>
        <v>https://cloud.oebiotech.com/#/lm/network/58245</v>
      </c>
      <c r="I1163" s="2" t="s">
        <v>10604</v>
      </c>
      <c r="J1163" s="2">
        <v>66352</v>
      </c>
      <c r="K1163" s="2"/>
      <c r="L1163" s="2">
        <v>6998</v>
      </c>
      <c r="M1163" s="2" t="s">
        <v>10605</v>
      </c>
      <c r="N1163" s="2"/>
      <c r="O1163" s="2"/>
      <c r="P1163" s="2">
        <v>16008</v>
      </c>
      <c r="Q1163" s="2"/>
      <c r="R1163" s="2"/>
      <c r="S1163" s="2" t="s">
        <v>10606</v>
      </c>
      <c r="T1163" s="2" t="s">
        <v>10607</v>
      </c>
      <c r="U1163" s="2" t="s">
        <v>10608</v>
      </c>
      <c r="V1163" s="2" t="s">
        <v>338</v>
      </c>
      <c r="W1163" s="2" t="s">
        <v>339</v>
      </c>
      <c r="X1163" s="2" t="s">
        <v>340</v>
      </c>
      <c r="Y1163" s="2" t="s">
        <v>341</v>
      </c>
      <c r="Z1163" s="2" t="s">
        <v>341</v>
      </c>
      <c r="AA1163" s="2" t="s">
        <v>342</v>
      </c>
      <c r="AB1163" s="2" t="s">
        <v>5118</v>
      </c>
      <c r="AC1163" s="2">
        <v>48.14</v>
      </c>
      <c r="AD1163" s="2">
        <v>98.9</v>
      </c>
      <c r="AE1163" s="2">
        <v>52.22</v>
      </c>
      <c r="AF1163" s="2" t="s">
        <v>10609</v>
      </c>
      <c r="AG1163" s="2" t="s">
        <v>103</v>
      </c>
      <c r="AH1163" s="2" t="s">
        <v>10610</v>
      </c>
      <c r="AI1163" s="2">
        <v>0</v>
      </c>
      <c r="AJ1163" s="2">
        <v>24.662777474453002</v>
      </c>
      <c r="AK1163" s="2">
        <v>24.575866141828602</v>
      </c>
      <c r="AL1163" s="2">
        <v>24.8185348873048</v>
      </c>
      <c r="AM1163" s="2">
        <v>24.651309840975799</v>
      </c>
      <c r="AN1163" s="2">
        <v>24.6048752876634</v>
      </c>
      <c r="AO1163" s="2">
        <v>24.653295523883699</v>
      </c>
      <c r="AP1163" s="2">
        <v>24.655846890995701</v>
      </c>
      <c r="AQ1163" s="2">
        <v>24.537730732268901</v>
      </c>
      <c r="AR1163" s="2">
        <v>24.255755573440499</v>
      </c>
      <c r="AS1163" s="2">
        <v>23.723664598875001</v>
      </c>
      <c r="AT1163" s="2">
        <v>24.370141975182701</v>
      </c>
      <c r="AU1163" s="2">
        <v>24.633033953072999</v>
      </c>
      <c r="AV1163" s="2">
        <v>24.5177143604127</v>
      </c>
      <c r="AW1163" s="2">
        <v>24.462087005188899</v>
      </c>
      <c r="AX1163" s="2">
        <v>24.2344540282857</v>
      </c>
      <c r="AY1163" s="2">
        <v>24.572719703708302</v>
      </c>
      <c r="AZ1163" s="2">
        <v>24.377940977149901</v>
      </c>
      <c r="BA1163" s="2">
        <v>24.274031320859802</v>
      </c>
      <c r="BB1163" s="2">
        <v>24.918783216332098</v>
      </c>
      <c r="BC1163" s="2">
        <v>24.937600890227401</v>
      </c>
      <c r="BD1163" s="2">
        <v>23.995191596326102</v>
      </c>
      <c r="BE1163" s="2">
        <v>24.737690115454399</v>
      </c>
      <c r="BF1163" s="2">
        <v>24.347785274905199</v>
      </c>
      <c r="BG1163" s="2">
        <v>24.533326826246402</v>
      </c>
      <c r="BH1163" s="2">
        <v>24.804183855748601</v>
      </c>
      <c r="BI1163" s="2">
        <v>24.360692236805399</v>
      </c>
      <c r="BJ1163" s="2">
        <v>24.594644458011601</v>
      </c>
      <c r="BK1163" s="2">
        <v>24.423545280728099</v>
      </c>
      <c r="BL1163" s="2">
        <v>24.4346274762413</v>
      </c>
      <c r="BM1163" s="2">
        <v>25.441170456641899</v>
      </c>
      <c r="BN1163" s="2">
        <v>24.931010290723599</v>
      </c>
      <c r="BO1163" s="2">
        <v>24.435689721304101</v>
      </c>
      <c r="BP1163" s="2">
        <v>24.6462724152776</v>
      </c>
      <c r="BQ1163" s="2">
        <v>24.546852307593301</v>
      </c>
      <c r="BR1163" s="2">
        <v>24.3811643014593</v>
      </c>
      <c r="BS1163" s="2">
        <v>24.838902875458</v>
      </c>
      <c r="BT1163" s="2">
        <v>24.1867965884523</v>
      </c>
      <c r="BU1163" s="2">
        <v>24.530077034704</v>
      </c>
      <c r="BV1163" s="2">
        <v>24.618012155151899</v>
      </c>
      <c r="BW1163" s="2">
        <v>24.043985072039099</v>
      </c>
      <c r="BX1163" s="2">
        <v>24.4797664285799</v>
      </c>
      <c r="BY1163" s="2">
        <v>24.828380820811901</v>
      </c>
      <c r="BZ1163" s="2">
        <v>25.067065842419101</v>
      </c>
      <c r="CA1163" s="2">
        <v>25.285196750405401</v>
      </c>
      <c r="CB1163" s="2">
        <v>24.320810844202398</v>
      </c>
      <c r="CC1163" s="2">
        <v>24.360939888609799</v>
      </c>
      <c r="CD1163" s="2">
        <v>24.9759820801224</v>
      </c>
      <c r="CE1163" s="2">
        <v>24.484018328553699</v>
      </c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</row>
    <row r="1164" spans="1:97">
      <c r="A1164" s="2" t="s">
        <v>10611</v>
      </c>
      <c r="B1164" s="2">
        <v>349.15177999999997</v>
      </c>
      <c r="C1164" s="2">
        <v>9.4049999999999994</v>
      </c>
      <c r="D1164" s="2" t="s">
        <v>84</v>
      </c>
      <c r="E1164" s="2" t="s">
        <v>10612</v>
      </c>
      <c r="F1164" s="2" t="s">
        <v>10613</v>
      </c>
      <c r="G1164" s="2">
        <v>210517</v>
      </c>
      <c r="H1164" s="3" t="str">
        <f>HYPERLINK("https://cloud.oebiotech.com/#/lm/network/210517", "https://cloud.oebiotech.com/#/lm/network/210517")</f>
        <v>https://cloud.oebiotech.com/#/lm/network/210517</v>
      </c>
      <c r="I1164" s="2" t="s">
        <v>10614</v>
      </c>
      <c r="J1164" s="2"/>
      <c r="K1164" s="2"/>
      <c r="L1164" s="2">
        <v>244989</v>
      </c>
      <c r="M1164" s="2"/>
      <c r="N1164" s="2"/>
      <c r="O1164" s="2"/>
      <c r="P1164" s="2"/>
      <c r="Q1164" s="2"/>
      <c r="R1164" s="2"/>
      <c r="S1164" s="2"/>
      <c r="T1164" s="2" t="s">
        <v>10615</v>
      </c>
      <c r="U1164" s="2" t="s">
        <v>10616</v>
      </c>
      <c r="V1164" s="2" t="s">
        <v>553</v>
      </c>
      <c r="W1164" s="2" t="s">
        <v>933</v>
      </c>
      <c r="X1164" s="2" t="s">
        <v>10617</v>
      </c>
      <c r="Y1164" s="2" t="s">
        <v>556</v>
      </c>
      <c r="Z1164" s="2" t="s">
        <v>935</v>
      </c>
      <c r="AA1164" s="2" t="s">
        <v>10618</v>
      </c>
      <c r="AB1164" s="2" t="s">
        <v>5118</v>
      </c>
      <c r="AC1164" s="2">
        <v>48.14</v>
      </c>
      <c r="AD1164" s="2">
        <v>88.74</v>
      </c>
      <c r="AE1164" s="2">
        <v>80.209999999999994</v>
      </c>
      <c r="AF1164" s="2" t="s">
        <v>10619</v>
      </c>
      <c r="AG1164" s="2" t="s">
        <v>103</v>
      </c>
      <c r="AH1164" s="2" t="s">
        <v>10620</v>
      </c>
      <c r="AI1164" s="2">
        <v>-3.44</v>
      </c>
      <c r="AJ1164" s="2">
        <v>18.936064640206801</v>
      </c>
      <c r="AK1164" s="2">
        <v>18.9572132170515</v>
      </c>
      <c r="AL1164" s="2">
        <v>18.670378318238001</v>
      </c>
      <c r="AM1164" s="2">
        <v>18.6859418247079</v>
      </c>
      <c r="AN1164" s="2">
        <v>18.7615894080934</v>
      </c>
      <c r="AO1164" s="2">
        <v>18.548643426507802</v>
      </c>
      <c r="AP1164" s="2">
        <v>18.655717595346299</v>
      </c>
      <c r="AQ1164" s="2">
        <v>18.8922539558307</v>
      </c>
      <c r="AR1164" s="2">
        <v>9.6233145402724691</v>
      </c>
      <c r="AS1164" s="2">
        <v>19.355678586646299</v>
      </c>
      <c r="AT1164" s="2">
        <v>9.6233145402724691</v>
      </c>
      <c r="AU1164" s="2">
        <v>9.6233145402724691</v>
      </c>
      <c r="AV1164" s="2">
        <v>9.6233145402724691</v>
      </c>
      <c r="AW1164" s="2">
        <v>16.001471091006799</v>
      </c>
      <c r="AX1164" s="2">
        <v>14.3689845069303</v>
      </c>
      <c r="AY1164" s="2">
        <v>18.607766748234599</v>
      </c>
      <c r="AZ1164" s="2">
        <v>18.7836782459174</v>
      </c>
      <c r="BA1164" s="2">
        <v>14.019915576142701</v>
      </c>
      <c r="BB1164" s="2">
        <v>14.5993491793392</v>
      </c>
      <c r="BC1164" s="2">
        <v>19.377047620548201</v>
      </c>
      <c r="BD1164" s="2">
        <v>9.6233145402724691</v>
      </c>
      <c r="BE1164" s="2">
        <v>18.113458785117299</v>
      </c>
      <c r="BF1164" s="2">
        <v>14.6023543862525</v>
      </c>
      <c r="BG1164" s="2">
        <v>9.6233145402724691</v>
      </c>
      <c r="BH1164" s="2">
        <v>9.6233145402724691</v>
      </c>
      <c r="BI1164" s="2">
        <v>19.903570049134601</v>
      </c>
      <c r="BJ1164" s="2">
        <v>18.053745459148299</v>
      </c>
      <c r="BK1164" s="2">
        <v>18.070385501681798</v>
      </c>
      <c r="BL1164" s="2">
        <v>15.6633460093436</v>
      </c>
      <c r="BM1164" s="2">
        <v>9.6233145402724691</v>
      </c>
      <c r="BN1164" s="2">
        <v>17.275451620949799</v>
      </c>
      <c r="BO1164" s="2">
        <v>9.6233145402724691</v>
      </c>
      <c r="BP1164" s="2">
        <v>9.6233145402724691</v>
      </c>
      <c r="BQ1164" s="2">
        <v>9.6233145402724691</v>
      </c>
      <c r="BR1164" s="2">
        <v>9.6233145402724691</v>
      </c>
      <c r="BS1164" s="2">
        <v>14.9611114100408</v>
      </c>
      <c r="BT1164" s="2">
        <v>9.6233145402724691</v>
      </c>
      <c r="BU1164" s="2">
        <v>9.6233145402724691</v>
      </c>
      <c r="BV1164" s="2">
        <v>9.6233145402724691</v>
      </c>
      <c r="BW1164" s="2">
        <v>9.6233145402724691</v>
      </c>
      <c r="BX1164" s="2">
        <v>17.688370870229502</v>
      </c>
      <c r="BY1164" s="2">
        <v>20.607457875138898</v>
      </c>
      <c r="BZ1164" s="2">
        <v>9.6233145402724691</v>
      </c>
      <c r="CA1164" s="2">
        <v>15.520671467104799</v>
      </c>
      <c r="CB1164" s="2">
        <v>20.074331400983301</v>
      </c>
      <c r="CC1164" s="2">
        <v>20.782517045905099</v>
      </c>
      <c r="CD1164" s="2">
        <v>14.2408554173985</v>
      </c>
      <c r="CE1164" s="2">
        <v>19.645378422943899</v>
      </c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</row>
    <row r="1165" spans="1:97">
      <c r="A1165" s="2" t="s">
        <v>10621</v>
      </c>
      <c r="B1165" s="2">
        <v>258.05500000000001</v>
      </c>
      <c r="C1165" s="2">
        <v>5.343</v>
      </c>
      <c r="D1165" s="2" t="s">
        <v>146</v>
      </c>
      <c r="E1165" s="2" t="s">
        <v>10622</v>
      </c>
      <c r="F1165" s="2" t="s">
        <v>10623</v>
      </c>
      <c r="G1165" s="2">
        <v>212400</v>
      </c>
      <c r="H1165" s="3" t="str">
        <f>HYPERLINK("https://cloud.oebiotech.com/#/lm/network/212400", "https://cloud.oebiotech.com/#/lm/network/212400")</f>
        <v>https://cloud.oebiotech.com/#/lm/network/212400</v>
      </c>
      <c r="I1165" s="2" t="s">
        <v>10624</v>
      </c>
      <c r="J1165" s="2"/>
      <c r="K1165" s="2"/>
      <c r="L1165" s="2">
        <v>262692</v>
      </c>
      <c r="M1165" s="2"/>
      <c r="N1165" s="2"/>
      <c r="O1165" s="2"/>
      <c r="P1165" s="2"/>
      <c r="Q1165" s="2"/>
      <c r="R1165" s="2"/>
      <c r="S1165" s="2"/>
      <c r="T1165" s="2" t="s">
        <v>10625</v>
      </c>
      <c r="U1165" s="2" t="s">
        <v>10626</v>
      </c>
      <c r="V1165" s="2" t="s">
        <v>818</v>
      </c>
      <c r="W1165" s="2" t="s">
        <v>10627</v>
      </c>
      <c r="X1165" s="2" t="s">
        <v>10628</v>
      </c>
      <c r="Y1165" s="2" t="s">
        <v>820</v>
      </c>
      <c r="Z1165" s="2" t="s">
        <v>10629</v>
      </c>
      <c r="AA1165" s="2" t="s">
        <v>10630</v>
      </c>
      <c r="AB1165" s="2" t="s">
        <v>5118</v>
      </c>
      <c r="AC1165" s="2">
        <v>48.13</v>
      </c>
      <c r="AD1165" s="2">
        <v>90.6</v>
      </c>
      <c r="AE1165" s="2">
        <v>66</v>
      </c>
      <c r="AF1165" s="2" t="s">
        <v>10631</v>
      </c>
      <c r="AG1165" s="2" t="s">
        <v>194</v>
      </c>
      <c r="AH1165" s="2" t="s">
        <v>10632</v>
      </c>
      <c r="AI1165" s="2">
        <v>1.55</v>
      </c>
      <c r="AJ1165" s="2">
        <v>20.4989637040673</v>
      </c>
      <c r="AK1165" s="2">
        <v>21.306427724141201</v>
      </c>
      <c r="AL1165" s="2">
        <v>20.7072235545354</v>
      </c>
      <c r="AM1165" s="2">
        <v>21.0687427865813</v>
      </c>
      <c r="AN1165" s="2">
        <v>20.9777625385574</v>
      </c>
      <c r="AO1165" s="2">
        <v>20.990984364097599</v>
      </c>
      <c r="AP1165" s="2">
        <v>19.818276278825898</v>
      </c>
      <c r="AQ1165" s="2">
        <v>21.245287338563099</v>
      </c>
      <c r="AR1165" s="2">
        <v>19.582183484718399</v>
      </c>
      <c r="AS1165" s="2">
        <v>17.952548909905701</v>
      </c>
      <c r="AT1165" s="2">
        <v>20.214701946698899</v>
      </c>
      <c r="AU1165" s="2">
        <v>20.676818303629101</v>
      </c>
      <c r="AV1165" s="2">
        <v>21.3296987422085</v>
      </c>
      <c r="AW1165" s="2">
        <v>22.0912596850849</v>
      </c>
      <c r="AX1165" s="2">
        <v>21.480951602211501</v>
      </c>
      <c r="AY1165" s="2">
        <v>21.313179360447599</v>
      </c>
      <c r="AZ1165" s="2">
        <v>20.040444221469599</v>
      </c>
      <c r="BA1165" s="2">
        <v>21.251684031914099</v>
      </c>
      <c r="BB1165" s="2">
        <v>20.743030984760502</v>
      </c>
      <c r="BC1165" s="2">
        <v>21.469779757866</v>
      </c>
      <c r="BD1165" s="2">
        <v>20.683268912490998</v>
      </c>
      <c r="BE1165" s="2">
        <v>19.836414614476698</v>
      </c>
      <c r="BF1165" s="2">
        <v>21.548917319900699</v>
      </c>
      <c r="BG1165" s="2">
        <v>21.392728330067499</v>
      </c>
      <c r="BH1165" s="2">
        <v>18.798531382680299</v>
      </c>
      <c r="BI1165" s="2">
        <v>18.597696799992999</v>
      </c>
      <c r="BJ1165" s="2">
        <v>20.811141381996102</v>
      </c>
      <c r="BK1165" s="2">
        <v>21.318095892141301</v>
      </c>
      <c r="BL1165" s="2">
        <v>20.093366547131701</v>
      </c>
      <c r="BM1165" s="2">
        <v>18.5398513072642</v>
      </c>
      <c r="BN1165" s="2">
        <v>19.468058450429499</v>
      </c>
      <c r="BO1165" s="2">
        <v>20.841887740087301</v>
      </c>
      <c r="BP1165" s="2">
        <v>21.573885559118001</v>
      </c>
      <c r="BQ1165" s="2">
        <v>21.301092396694699</v>
      </c>
      <c r="BR1165" s="2">
        <v>21.7543718228406</v>
      </c>
      <c r="BS1165" s="2">
        <v>21.658957443645399</v>
      </c>
      <c r="BT1165" s="2">
        <v>20.471701546352399</v>
      </c>
      <c r="BU1165" s="2">
        <v>20.756294450325299</v>
      </c>
      <c r="BV1165" s="2">
        <v>18.535160269037899</v>
      </c>
      <c r="BW1165" s="2">
        <v>21.155229555111099</v>
      </c>
      <c r="BX1165" s="2">
        <v>20.235642425825102</v>
      </c>
      <c r="BY1165" s="2">
        <v>21.221154556826601</v>
      </c>
      <c r="BZ1165" s="2">
        <v>21.2941971976961</v>
      </c>
      <c r="CA1165" s="2">
        <v>20.565940319450299</v>
      </c>
      <c r="CB1165" s="2">
        <v>19.4983466340299</v>
      </c>
      <c r="CC1165" s="2">
        <v>20.353047672567399</v>
      </c>
      <c r="CD1165" s="2">
        <v>20.7778798886368</v>
      </c>
      <c r="CE1165" s="2">
        <v>22.5648091709147</v>
      </c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</row>
    <row r="1166" spans="1:97">
      <c r="A1166" s="2" t="s">
        <v>10633</v>
      </c>
      <c r="B1166" s="2">
        <v>121.07201000000001</v>
      </c>
      <c r="C1166" s="2">
        <v>0.74199999999999999</v>
      </c>
      <c r="D1166" s="2" t="s">
        <v>84</v>
      </c>
      <c r="E1166" s="2" t="s">
        <v>10634</v>
      </c>
      <c r="F1166" s="2" t="s">
        <v>10635</v>
      </c>
      <c r="G1166" s="2">
        <v>209198</v>
      </c>
      <c r="H1166" s="3" t="str">
        <f>HYPERLINK("https://cloud.oebiotech.com/#/lm/network/209198", "https://cloud.oebiotech.com/#/lm/network/209198")</f>
        <v>https://cloud.oebiotech.com/#/lm/network/209198</v>
      </c>
      <c r="I1166" s="2" t="s">
        <v>10636</v>
      </c>
      <c r="J1166" s="2">
        <v>70188</v>
      </c>
      <c r="K1166" s="2"/>
      <c r="L1166" s="2">
        <v>12699</v>
      </c>
      <c r="M1166" s="2" t="s">
        <v>10637</v>
      </c>
      <c r="N1166" s="2"/>
      <c r="O1166" s="2"/>
      <c r="P1166" s="2">
        <v>50102</v>
      </c>
      <c r="Q1166" s="2"/>
      <c r="R1166" s="2"/>
      <c r="S1166" s="2" t="s">
        <v>10638</v>
      </c>
      <c r="T1166" s="2" t="s">
        <v>10639</v>
      </c>
      <c r="U1166" s="2" t="s">
        <v>10640</v>
      </c>
      <c r="V1166" s="2" t="s">
        <v>115</v>
      </c>
      <c r="W1166" s="2" t="s">
        <v>5480</v>
      </c>
      <c r="X1166" s="2" t="s">
        <v>5481</v>
      </c>
      <c r="Y1166" s="2" t="s">
        <v>118</v>
      </c>
      <c r="Z1166" s="2" t="s">
        <v>5482</v>
      </c>
      <c r="AA1166" s="2" t="s">
        <v>5483</v>
      </c>
      <c r="AB1166" s="2" t="s">
        <v>8443</v>
      </c>
      <c r="AC1166" s="2">
        <v>48.12</v>
      </c>
      <c r="AD1166" s="2">
        <v>97.93</v>
      </c>
      <c r="AE1166" s="2">
        <v>0</v>
      </c>
      <c r="AF1166" s="2" t="s">
        <v>10641</v>
      </c>
      <c r="AG1166" s="2" t="s">
        <v>132</v>
      </c>
      <c r="AH1166" s="2" t="s">
        <v>10642</v>
      </c>
      <c r="AI1166" s="2">
        <v>0</v>
      </c>
      <c r="AJ1166" s="2">
        <v>24.418976109174999</v>
      </c>
      <c r="AK1166" s="2">
        <v>24.168650013144799</v>
      </c>
      <c r="AL1166" s="2">
        <v>24.285400381557199</v>
      </c>
      <c r="AM1166" s="2">
        <v>23.748382024629301</v>
      </c>
      <c r="AN1166" s="2">
        <v>23.0142882198869</v>
      </c>
      <c r="AO1166" s="2">
        <v>24.257312869438</v>
      </c>
      <c r="AP1166" s="2">
        <v>24.317389560530199</v>
      </c>
      <c r="AQ1166" s="2">
        <v>24.213802206188898</v>
      </c>
      <c r="AR1166" s="2">
        <v>25.1625053529383</v>
      </c>
      <c r="AS1166" s="2">
        <v>23.472726637138699</v>
      </c>
      <c r="AT1166" s="2">
        <v>22.726936580875901</v>
      </c>
      <c r="AU1166" s="2">
        <v>23.2715038789161</v>
      </c>
      <c r="AV1166" s="2">
        <v>24.095641062121</v>
      </c>
      <c r="AW1166" s="2">
        <v>23.893725472011099</v>
      </c>
      <c r="AX1166" s="2">
        <v>23.579564149932899</v>
      </c>
      <c r="AY1166" s="2">
        <v>23.307039426429</v>
      </c>
      <c r="AZ1166" s="2">
        <v>24.833328204785701</v>
      </c>
      <c r="BA1166" s="2">
        <v>22.576752957365599</v>
      </c>
      <c r="BB1166" s="2">
        <v>23.290490195361802</v>
      </c>
      <c r="BC1166" s="2">
        <v>23.1580549252329</v>
      </c>
      <c r="BD1166" s="2">
        <v>23.9060618754716</v>
      </c>
      <c r="BE1166" s="2">
        <v>23.4524472445279</v>
      </c>
      <c r="BF1166" s="2">
        <v>23.143676341571702</v>
      </c>
      <c r="BG1166" s="2">
        <v>23.163383032457499</v>
      </c>
      <c r="BH1166" s="2">
        <v>25.160722131257199</v>
      </c>
      <c r="BI1166" s="2">
        <v>24.267452400324402</v>
      </c>
      <c r="BJ1166" s="2">
        <v>22.316328501998299</v>
      </c>
      <c r="BK1166" s="2">
        <v>23.7372154385573</v>
      </c>
      <c r="BL1166" s="2">
        <v>24.940523046020399</v>
      </c>
      <c r="BM1166" s="2">
        <v>23.370412717859899</v>
      </c>
      <c r="BN1166" s="2">
        <v>23.900029603062901</v>
      </c>
      <c r="BO1166" s="2">
        <v>24.341308543159801</v>
      </c>
      <c r="BP1166" s="2">
        <v>23.904491094333899</v>
      </c>
      <c r="BQ1166" s="2">
        <v>24.165093526258602</v>
      </c>
      <c r="BR1166" s="2">
        <v>23.864861761273499</v>
      </c>
      <c r="BS1166" s="2">
        <v>24.331521585420798</v>
      </c>
      <c r="BT1166" s="2">
        <v>25.716800782065999</v>
      </c>
      <c r="BU1166" s="2">
        <v>22.564475036176599</v>
      </c>
      <c r="BV1166" s="2">
        <v>23.454639028375301</v>
      </c>
      <c r="BW1166" s="2">
        <v>23.2908627335629</v>
      </c>
      <c r="BX1166" s="2">
        <v>23.5424435133841</v>
      </c>
      <c r="BY1166" s="2">
        <v>23.715739323457701</v>
      </c>
      <c r="BZ1166" s="2">
        <v>23.362623201172301</v>
      </c>
      <c r="CA1166" s="2">
        <v>23.541151772256999</v>
      </c>
      <c r="CB1166" s="2">
        <v>24.788858847677801</v>
      </c>
      <c r="CC1166" s="2">
        <v>22.808981208624701</v>
      </c>
      <c r="CD1166" s="2">
        <v>23.585742771028801</v>
      </c>
      <c r="CE1166" s="2">
        <v>24.3429501111505</v>
      </c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</row>
    <row r="1167" spans="1:97">
      <c r="A1167" s="2" t="s">
        <v>10643</v>
      </c>
      <c r="B1167" s="2">
        <v>220.93433999999999</v>
      </c>
      <c r="C1167" s="2">
        <v>0.63800000000000001</v>
      </c>
      <c r="D1167" s="2" t="s">
        <v>84</v>
      </c>
      <c r="E1167" s="2" t="s">
        <v>10644</v>
      </c>
      <c r="F1167" s="2" t="s">
        <v>10645</v>
      </c>
      <c r="G1167" s="2">
        <v>211308</v>
      </c>
      <c r="H1167" s="3" t="str">
        <f>HYPERLINK("https://cloud.oebiotech.com/#/lm/network/211308", "https://cloud.oebiotech.com/#/lm/network/211308")</f>
        <v>https://cloud.oebiotech.com/#/lm/network/211308</v>
      </c>
      <c r="I1167" s="2" t="s">
        <v>10646</v>
      </c>
      <c r="J1167" s="2"/>
      <c r="K1167" s="2"/>
      <c r="L1167" s="2">
        <v>17868888</v>
      </c>
      <c r="M1167" s="2"/>
      <c r="N1167" s="2"/>
      <c r="O1167" s="2"/>
      <c r="P1167" s="2"/>
      <c r="Q1167" s="2"/>
      <c r="R1167" s="2"/>
      <c r="S1167" s="2"/>
      <c r="T1167" s="2" t="s">
        <v>10647</v>
      </c>
      <c r="U1167" s="2" t="s">
        <v>10648</v>
      </c>
      <c r="V1167" s="2" t="s">
        <v>95</v>
      </c>
      <c r="W1167" s="2" t="s">
        <v>96</v>
      </c>
      <c r="X1167" s="2" t="s">
        <v>141</v>
      </c>
      <c r="Y1167" s="2" t="s">
        <v>98</v>
      </c>
      <c r="Z1167" s="2" t="s">
        <v>99</v>
      </c>
      <c r="AA1167" s="2" t="s">
        <v>142</v>
      </c>
      <c r="AB1167" s="2" t="s">
        <v>5118</v>
      </c>
      <c r="AC1167" s="2">
        <v>48.09</v>
      </c>
      <c r="AD1167" s="2">
        <v>71.39</v>
      </c>
      <c r="AE1167" s="2">
        <v>91.38</v>
      </c>
      <c r="AF1167" s="2" t="s">
        <v>10649</v>
      </c>
      <c r="AG1167" s="2" t="s">
        <v>3544</v>
      </c>
      <c r="AH1167" s="2" t="s">
        <v>10650</v>
      </c>
      <c r="AI1167" s="2">
        <v>-1.81</v>
      </c>
      <c r="AJ1167" s="2">
        <v>25.295337681505298</v>
      </c>
      <c r="AK1167" s="2">
        <v>25.370647884881301</v>
      </c>
      <c r="AL1167" s="2">
        <v>25.047824119916498</v>
      </c>
      <c r="AM1167" s="2">
        <v>25.271309563396599</v>
      </c>
      <c r="AN1167" s="2">
        <v>25.584985440444701</v>
      </c>
      <c r="AO1167" s="2">
        <v>25.510777517651601</v>
      </c>
      <c r="AP1167" s="2">
        <v>25.226514460258102</v>
      </c>
      <c r="AQ1167" s="2">
        <v>25.243820274772698</v>
      </c>
      <c r="AR1167" s="2">
        <v>24.943095956853899</v>
      </c>
      <c r="AS1167" s="2">
        <v>25.0367505768616</v>
      </c>
      <c r="AT1167" s="2">
        <v>25.1624495515311</v>
      </c>
      <c r="AU1167" s="2">
        <v>25.372198645077599</v>
      </c>
      <c r="AV1167" s="2">
        <v>17.737374112066199</v>
      </c>
      <c r="AW1167" s="2">
        <v>25.3686194157488</v>
      </c>
      <c r="AX1167" s="2">
        <v>25.1962062699073</v>
      </c>
      <c r="AY1167" s="2">
        <v>25.3405966695606</v>
      </c>
      <c r="AZ1167" s="2">
        <v>25.237207889598</v>
      </c>
      <c r="BA1167" s="2">
        <v>25.368866624920798</v>
      </c>
      <c r="BB1167" s="2">
        <v>25.354609435017199</v>
      </c>
      <c r="BC1167" s="2">
        <v>24.7277081103244</v>
      </c>
      <c r="BD1167" s="2">
        <v>24.9977602460587</v>
      </c>
      <c r="BE1167" s="2">
        <v>25.000303330457399</v>
      </c>
      <c r="BF1167" s="2">
        <v>24.935946643166101</v>
      </c>
      <c r="BG1167" s="2">
        <v>24.713311692894099</v>
      </c>
      <c r="BH1167" s="2">
        <v>25.299552209938099</v>
      </c>
      <c r="BI1167" s="2">
        <v>25.358701915524001</v>
      </c>
      <c r="BJ1167" s="2">
        <v>25.081155401382698</v>
      </c>
      <c r="BK1167" s="2">
        <v>24.9245932577888</v>
      </c>
      <c r="BL1167" s="2">
        <v>24.951323597448098</v>
      </c>
      <c r="BM1167" s="2">
        <v>24.6112308169327</v>
      </c>
      <c r="BN1167" s="2">
        <v>25.310262763793201</v>
      </c>
      <c r="BO1167" s="2">
        <v>25.2789661028356</v>
      </c>
      <c r="BP1167" s="2">
        <v>25.237882691615599</v>
      </c>
      <c r="BQ1167" s="2">
        <v>25.362955149361699</v>
      </c>
      <c r="BR1167" s="2">
        <v>25.097102234266</v>
      </c>
      <c r="BS1167" s="2">
        <v>25.079170839688299</v>
      </c>
      <c r="BT1167" s="2">
        <v>25.002528779761001</v>
      </c>
      <c r="BU1167" s="2">
        <v>25.1786114710677</v>
      </c>
      <c r="BV1167" s="2">
        <v>24.6480499603467</v>
      </c>
      <c r="BW1167" s="2">
        <v>24.995832823752799</v>
      </c>
      <c r="BX1167" s="2">
        <v>25.305800587596298</v>
      </c>
      <c r="BY1167" s="2">
        <v>24.682448836010501</v>
      </c>
      <c r="BZ1167" s="2">
        <v>24.616091577373901</v>
      </c>
      <c r="CA1167" s="2">
        <v>25.358761003390299</v>
      </c>
      <c r="CB1167" s="2">
        <v>25.064934956290099</v>
      </c>
      <c r="CC1167" s="2">
        <v>25.049133967221501</v>
      </c>
      <c r="CD1167" s="2">
        <v>25.4635765992378</v>
      </c>
      <c r="CE1167" s="2">
        <v>25.303685306578899</v>
      </c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</row>
    <row r="1168" spans="1:97">
      <c r="A1168" s="2" t="s">
        <v>10651</v>
      </c>
      <c r="B1168" s="2">
        <v>297.14600999999999</v>
      </c>
      <c r="C1168" s="2">
        <v>10.682</v>
      </c>
      <c r="D1168" s="2" t="s">
        <v>84</v>
      </c>
      <c r="E1168" s="2" t="s">
        <v>10652</v>
      </c>
      <c r="F1168" s="2" t="s">
        <v>10653</v>
      </c>
      <c r="G1168" s="2">
        <v>62261</v>
      </c>
      <c r="H1168" s="3" t="str">
        <f>HYPERLINK("https://cloud.oebiotech.com/#/lm/network/62261", "https://cloud.oebiotech.com/#/lm/network/62261")</f>
        <v>https://cloud.oebiotech.com/#/lm/network/62261</v>
      </c>
      <c r="I1168" s="2" t="s">
        <v>10654</v>
      </c>
      <c r="J1168" s="2">
        <v>93550</v>
      </c>
      <c r="K1168" s="2"/>
      <c r="L1168" s="2">
        <v>10468587</v>
      </c>
      <c r="M1168" s="2"/>
      <c r="N1168" s="2"/>
      <c r="O1168" s="2"/>
      <c r="P1168" s="2">
        <v>174625</v>
      </c>
      <c r="Q1168" s="2"/>
      <c r="R1168" s="2"/>
      <c r="S1168" s="2" t="s">
        <v>10655</v>
      </c>
      <c r="T1168" s="2" t="s">
        <v>10656</v>
      </c>
      <c r="U1168" s="2" t="s">
        <v>10657</v>
      </c>
      <c r="V1168" s="2" t="s">
        <v>338</v>
      </c>
      <c r="W1168" s="2" t="s">
        <v>339</v>
      </c>
      <c r="X1168" s="2" t="s">
        <v>340</v>
      </c>
      <c r="Y1168" s="2" t="s">
        <v>341</v>
      </c>
      <c r="Z1168" s="2" t="s">
        <v>341</v>
      </c>
      <c r="AA1168" s="2" t="s">
        <v>342</v>
      </c>
      <c r="AB1168" s="2" t="s">
        <v>8443</v>
      </c>
      <c r="AC1168" s="2">
        <v>48.08</v>
      </c>
      <c r="AD1168" s="2">
        <v>71.53</v>
      </c>
      <c r="AE1168" s="2">
        <v>36.97</v>
      </c>
      <c r="AF1168" s="2" t="s">
        <v>10658</v>
      </c>
      <c r="AG1168" s="2" t="s">
        <v>1578</v>
      </c>
      <c r="AH1168" s="2" t="s">
        <v>4771</v>
      </c>
      <c r="AI1168" s="2">
        <v>0.34</v>
      </c>
      <c r="AJ1168" s="2">
        <v>24.99676600938</v>
      </c>
      <c r="AK1168" s="2">
        <v>24.836732374832501</v>
      </c>
      <c r="AL1168" s="2">
        <v>24.8466653892593</v>
      </c>
      <c r="AM1168" s="2">
        <v>25.247043580641002</v>
      </c>
      <c r="AN1168" s="2">
        <v>24.8728518249827</v>
      </c>
      <c r="AO1168" s="2">
        <v>24.962523607656799</v>
      </c>
      <c r="AP1168" s="2">
        <v>24.862516959152401</v>
      </c>
      <c r="AQ1168" s="2">
        <v>24.874144856814301</v>
      </c>
      <c r="AR1168" s="2">
        <v>24.509916074048</v>
      </c>
      <c r="AS1168" s="2">
        <v>24.569684456686399</v>
      </c>
      <c r="AT1168" s="2">
        <v>24.779057869517601</v>
      </c>
      <c r="AU1168" s="2">
        <v>24.8365369783719</v>
      </c>
      <c r="AV1168" s="2">
        <v>24.731248312227201</v>
      </c>
      <c r="AW1168" s="2">
        <v>24.803838360904699</v>
      </c>
      <c r="AX1168" s="2">
        <v>24.8265421478904</v>
      </c>
      <c r="AY1168" s="2">
        <v>24.7753178468522</v>
      </c>
      <c r="AZ1168" s="2">
        <v>24.907682259863801</v>
      </c>
      <c r="BA1168" s="2">
        <v>24.248115112231901</v>
      </c>
      <c r="BB1168" s="2">
        <v>24.828693389727899</v>
      </c>
      <c r="BC1168" s="2">
        <v>25.114626095340299</v>
      </c>
      <c r="BD1168" s="2">
        <v>24.640488961775201</v>
      </c>
      <c r="BE1168" s="2">
        <v>25.155582203462799</v>
      </c>
      <c r="BF1168" s="2">
        <v>24.785393797811601</v>
      </c>
      <c r="BG1168" s="2">
        <v>24.925266744855701</v>
      </c>
      <c r="BH1168" s="2">
        <v>24.688027130852898</v>
      </c>
      <c r="BI1168" s="2">
        <v>24.823011221161501</v>
      </c>
      <c r="BJ1168" s="2">
        <v>24.876705670996799</v>
      </c>
      <c r="BK1168" s="2">
        <v>24.735327981869801</v>
      </c>
      <c r="BL1168" s="2">
        <v>24.7170517333908</v>
      </c>
      <c r="BM1168" s="2">
        <v>24.8825212170714</v>
      </c>
      <c r="BN1168" s="2">
        <v>24.642569966193399</v>
      </c>
      <c r="BO1168" s="2">
        <v>24.9372664253235</v>
      </c>
      <c r="BP1168" s="2">
        <v>24.779959859802201</v>
      </c>
      <c r="BQ1168" s="2">
        <v>24.737726339051399</v>
      </c>
      <c r="BR1168" s="2">
        <v>24.931970321081302</v>
      </c>
      <c r="BS1168" s="2">
        <v>24.861726850892001</v>
      </c>
      <c r="BT1168" s="2">
        <v>24.842063645643499</v>
      </c>
      <c r="BU1168" s="2">
        <v>24.828638586574701</v>
      </c>
      <c r="BV1168" s="2">
        <v>24.769654463497702</v>
      </c>
      <c r="BW1168" s="2">
        <v>24.577772001053901</v>
      </c>
      <c r="BX1168" s="2">
        <v>24.648193282105002</v>
      </c>
      <c r="BY1168" s="2">
        <v>25.442992831490301</v>
      </c>
      <c r="BZ1168" s="2">
        <v>24.826472519811499</v>
      </c>
      <c r="CA1168" s="2">
        <v>24.937838173558099</v>
      </c>
      <c r="CB1168" s="2">
        <v>24.754127892062801</v>
      </c>
      <c r="CC1168" s="2">
        <v>24.597683337812899</v>
      </c>
      <c r="CD1168" s="2">
        <v>24.9480429557923</v>
      </c>
      <c r="CE1168" s="2">
        <v>24.562034574130401</v>
      </c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</row>
    <row r="1169" spans="1:97">
      <c r="A1169" s="2" t="s">
        <v>10659</v>
      </c>
      <c r="B1169" s="2">
        <v>361.16269</v>
      </c>
      <c r="C1169" s="2">
        <v>9.1620000000000008</v>
      </c>
      <c r="D1169" s="2" t="s">
        <v>146</v>
      </c>
      <c r="E1169" s="2" t="s">
        <v>10660</v>
      </c>
      <c r="F1169" s="2" t="s">
        <v>10661</v>
      </c>
      <c r="G1169" s="2">
        <v>212483</v>
      </c>
      <c r="H1169" s="3" t="str">
        <f>HYPERLINK("https://cloud.oebiotech.com/#/lm/network/212483", "https://cloud.oebiotech.com/#/lm/network/212483")</f>
        <v>https://cloud.oebiotech.com/#/lm/network/212483</v>
      </c>
      <c r="I1169" s="2" t="s">
        <v>10662</v>
      </c>
      <c r="J1169" s="2"/>
      <c r="K1169" s="2"/>
      <c r="L1169" s="2">
        <v>32281</v>
      </c>
      <c r="M1169" s="2"/>
      <c r="N1169" s="2"/>
      <c r="O1169" s="2"/>
      <c r="P1169" s="2"/>
      <c r="Q1169" s="2"/>
      <c r="R1169" s="2"/>
      <c r="S1169" s="2"/>
      <c r="T1169" s="2" t="s">
        <v>10663</v>
      </c>
      <c r="U1169" s="2" t="s">
        <v>10664</v>
      </c>
      <c r="V1169" s="2" t="s">
        <v>115</v>
      </c>
      <c r="W1169" s="2" t="s">
        <v>116</v>
      </c>
      <c r="X1169" s="2" t="s">
        <v>117</v>
      </c>
      <c r="Y1169" s="2" t="s">
        <v>118</v>
      </c>
      <c r="Z1169" s="2" t="s">
        <v>119</v>
      </c>
      <c r="AA1169" s="2" t="s">
        <v>120</v>
      </c>
      <c r="AB1169" s="2" t="s">
        <v>5118</v>
      </c>
      <c r="AC1169" s="2">
        <v>48.05</v>
      </c>
      <c r="AD1169" s="2">
        <v>88.3</v>
      </c>
      <c r="AE1169" s="2">
        <v>64.91</v>
      </c>
      <c r="AF1169" s="2" t="s">
        <v>10665</v>
      </c>
      <c r="AG1169" s="2" t="s">
        <v>194</v>
      </c>
      <c r="AH1169" s="2" t="s">
        <v>10666</v>
      </c>
      <c r="AI1169" s="2">
        <v>0.83</v>
      </c>
      <c r="AJ1169" s="2">
        <v>20.567774784178098</v>
      </c>
      <c r="AK1169" s="2">
        <v>20.580592179023402</v>
      </c>
      <c r="AL1169" s="2">
        <v>20.834288516478701</v>
      </c>
      <c r="AM1169" s="2">
        <v>20.7448247076534</v>
      </c>
      <c r="AN1169" s="2">
        <v>20.683167581260999</v>
      </c>
      <c r="AO1169" s="2">
        <v>20.6080770897428</v>
      </c>
      <c r="AP1169" s="2">
        <v>20.794802313089399</v>
      </c>
      <c r="AQ1169" s="2">
        <v>20.552144920755101</v>
      </c>
      <c r="AR1169" s="2">
        <v>19.259605632580001</v>
      </c>
      <c r="AS1169" s="2">
        <v>20.139033570345301</v>
      </c>
      <c r="AT1169" s="2">
        <v>19.776442028697801</v>
      </c>
      <c r="AU1169" s="2">
        <v>19.838771476525899</v>
      </c>
      <c r="AV1169" s="2">
        <v>18.7890992937437</v>
      </c>
      <c r="AW1169" s="2">
        <v>20.231433751494102</v>
      </c>
      <c r="AX1169" s="2">
        <v>18.671775867008598</v>
      </c>
      <c r="AY1169" s="2">
        <v>19.590037792089401</v>
      </c>
      <c r="AZ1169" s="2">
        <v>19.639696868889601</v>
      </c>
      <c r="BA1169" s="2">
        <v>17.747851859881202</v>
      </c>
      <c r="BB1169" s="2">
        <v>20.0252476851784</v>
      </c>
      <c r="BC1169" s="2">
        <v>20.050687852659699</v>
      </c>
      <c r="BD1169" s="2">
        <v>19.514798661610801</v>
      </c>
      <c r="BE1169" s="2">
        <v>19.984015473433701</v>
      </c>
      <c r="BF1169" s="2">
        <v>19.6628352414502</v>
      </c>
      <c r="BG1169" s="2">
        <v>20.260772885375001</v>
      </c>
      <c r="BH1169" s="2">
        <v>19.8237110533363</v>
      </c>
      <c r="BI1169" s="2">
        <v>20.290407598685899</v>
      </c>
      <c r="BJ1169" s="2">
        <v>18.312003066241299</v>
      </c>
      <c r="BK1169" s="2">
        <v>18.6129247435093</v>
      </c>
      <c r="BL1169" s="2">
        <v>18.630007085109099</v>
      </c>
      <c r="BM1169" s="2">
        <v>18.681410830769</v>
      </c>
      <c r="BN1169" s="2">
        <v>18.1727012989789</v>
      </c>
      <c r="BO1169" s="2">
        <v>20.0629494766279</v>
      </c>
      <c r="BP1169" s="2">
        <v>18.445737096014501</v>
      </c>
      <c r="BQ1169" s="2">
        <v>19.6344419822478</v>
      </c>
      <c r="BR1169" s="2">
        <v>19.675406826837101</v>
      </c>
      <c r="BS1169" s="2">
        <v>18.508793129912601</v>
      </c>
      <c r="BT1169" s="2">
        <v>18.352719358254799</v>
      </c>
      <c r="BU1169" s="2">
        <v>19.2047573673104</v>
      </c>
      <c r="BV1169" s="2">
        <v>18.6393382707104</v>
      </c>
      <c r="BW1169" s="2">
        <v>18.220034911725499</v>
      </c>
      <c r="BX1169" s="2">
        <v>18.467934729217301</v>
      </c>
      <c r="BY1169" s="2">
        <v>18.788155880886301</v>
      </c>
      <c r="BZ1169" s="2">
        <v>20.1535052867488</v>
      </c>
      <c r="CA1169" s="2">
        <v>18.328093640986999</v>
      </c>
      <c r="CB1169" s="2">
        <v>19.703743452060198</v>
      </c>
      <c r="CC1169" s="2">
        <v>17.188526356156999</v>
      </c>
      <c r="CD1169" s="2">
        <v>19.582016160171801</v>
      </c>
      <c r="CE1169" s="2">
        <v>18.7790510473619</v>
      </c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</row>
    <row r="1170" spans="1:97">
      <c r="A1170" s="2" t="s">
        <v>10667</v>
      </c>
      <c r="B1170" s="2">
        <v>130.15897000000001</v>
      </c>
      <c r="C1170" s="2">
        <v>4.093</v>
      </c>
      <c r="D1170" s="2" t="s">
        <v>84</v>
      </c>
      <c r="E1170" s="2" t="s">
        <v>10668</v>
      </c>
      <c r="F1170" s="2" t="s">
        <v>10669</v>
      </c>
      <c r="G1170" s="2">
        <v>205825</v>
      </c>
      <c r="H1170" s="3" t="str">
        <f>HYPERLINK("https://cloud.oebiotech.com/#/lm/network/205825", "https://cloud.oebiotech.com/#/lm/network/205825")</f>
        <v>https://cloud.oebiotech.com/#/lm/network/205825</v>
      </c>
      <c r="I1170" s="2" t="s">
        <v>10670</v>
      </c>
      <c r="J1170" s="2"/>
      <c r="K1170" s="2"/>
      <c r="L1170" s="2">
        <v>8148</v>
      </c>
      <c r="M1170" s="2"/>
      <c r="N1170" s="2"/>
      <c r="O1170" s="2"/>
      <c r="P1170" s="2"/>
      <c r="Q1170" s="2"/>
      <c r="R1170" s="2"/>
      <c r="S1170" s="2"/>
      <c r="T1170" s="2" t="s">
        <v>10671</v>
      </c>
      <c r="U1170" s="2" t="s">
        <v>10672</v>
      </c>
      <c r="V1170" s="2" t="s">
        <v>166</v>
      </c>
      <c r="W1170" s="2" t="s">
        <v>167</v>
      </c>
      <c r="X1170" s="2" t="s">
        <v>482</v>
      </c>
      <c r="Y1170" s="2" t="s">
        <v>169</v>
      </c>
      <c r="Z1170" s="2" t="s">
        <v>169</v>
      </c>
      <c r="AA1170" s="2" t="s">
        <v>483</v>
      </c>
      <c r="AB1170" s="2" t="s">
        <v>8443</v>
      </c>
      <c r="AC1170" s="2">
        <v>48.04</v>
      </c>
      <c r="AD1170" s="2">
        <v>97.8</v>
      </c>
      <c r="AE1170" s="2">
        <v>0</v>
      </c>
      <c r="AF1170" s="2" t="s">
        <v>10673</v>
      </c>
      <c r="AG1170" s="2" t="s">
        <v>103</v>
      </c>
      <c r="AH1170" s="2" t="s">
        <v>10674</v>
      </c>
      <c r="AI1170" s="2">
        <v>0</v>
      </c>
      <c r="AJ1170" s="2">
        <v>22.391669820753801</v>
      </c>
      <c r="AK1170" s="2">
        <v>22.3646929393466</v>
      </c>
      <c r="AL1170" s="2">
        <v>22.442745828933599</v>
      </c>
      <c r="AM1170" s="2">
        <v>22.519143676732401</v>
      </c>
      <c r="AN1170" s="2">
        <v>22.5796778021788</v>
      </c>
      <c r="AO1170" s="2">
        <v>22.5958241696</v>
      </c>
      <c r="AP1170" s="2">
        <v>22.256147447521499</v>
      </c>
      <c r="AQ1170" s="2">
        <v>22.5154374197934</v>
      </c>
      <c r="AR1170" s="2">
        <v>22.330035073041199</v>
      </c>
      <c r="AS1170" s="2">
        <v>22.734591995704701</v>
      </c>
      <c r="AT1170" s="2">
        <v>21.968395997418099</v>
      </c>
      <c r="AU1170" s="2">
        <v>22.3376975893006</v>
      </c>
      <c r="AV1170" s="2">
        <v>22.229272329029701</v>
      </c>
      <c r="AW1170" s="2">
        <v>22.002289644579601</v>
      </c>
      <c r="AX1170" s="2">
        <v>22.295499773085901</v>
      </c>
      <c r="AY1170" s="2">
        <v>22.323559532363401</v>
      </c>
      <c r="AZ1170" s="2">
        <v>22.2491944871933</v>
      </c>
      <c r="BA1170" s="2">
        <v>22.325941233525</v>
      </c>
      <c r="BB1170" s="2">
        <v>22.2113751136899</v>
      </c>
      <c r="BC1170" s="2">
        <v>22.0453794297716</v>
      </c>
      <c r="BD1170" s="2">
        <v>22.209800127246702</v>
      </c>
      <c r="BE1170" s="2">
        <v>22.621581608968398</v>
      </c>
      <c r="BF1170" s="2">
        <v>22.298863125372101</v>
      </c>
      <c r="BG1170" s="2">
        <v>22.1403561670977</v>
      </c>
      <c r="BH1170" s="2">
        <v>22.082811547836599</v>
      </c>
      <c r="BI1170" s="2">
        <v>21.905979484182101</v>
      </c>
      <c r="BJ1170" s="2">
        <v>21.505011442798299</v>
      </c>
      <c r="BK1170" s="2">
        <v>21.9708877029937</v>
      </c>
      <c r="BL1170" s="2">
        <v>22.472988408822498</v>
      </c>
      <c r="BM1170" s="2">
        <v>22.098878738313001</v>
      </c>
      <c r="BN1170" s="2">
        <v>22.373923288324701</v>
      </c>
      <c r="BO1170" s="2">
        <v>22.515297526691</v>
      </c>
      <c r="BP1170" s="2">
        <v>22.231093013066001</v>
      </c>
      <c r="BQ1170" s="2">
        <v>22.406256228319101</v>
      </c>
      <c r="BR1170" s="2">
        <v>22.4576017114187</v>
      </c>
      <c r="BS1170" s="2">
        <v>23.258934619307301</v>
      </c>
      <c r="BT1170" s="2">
        <v>22.897407391906199</v>
      </c>
      <c r="BU1170" s="2">
        <v>22.546623949927199</v>
      </c>
      <c r="BV1170" s="2">
        <v>22.582360741543699</v>
      </c>
      <c r="BW1170" s="2">
        <v>22.526883917668201</v>
      </c>
      <c r="BX1170" s="2">
        <v>22.048005864868699</v>
      </c>
      <c r="BY1170" s="2">
        <v>21.9572904530358</v>
      </c>
      <c r="BZ1170" s="2">
        <v>22.1884223840147</v>
      </c>
      <c r="CA1170" s="2">
        <v>22.267449769174601</v>
      </c>
      <c r="CB1170" s="2">
        <v>21.647933520861201</v>
      </c>
      <c r="CC1170" s="2">
        <v>22.5150539080622</v>
      </c>
      <c r="CD1170" s="2">
        <v>22.470426211074798</v>
      </c>
      <c r="CE1170" s="2">
        <v>22.159389117483599</v>
      </c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</row>
    <row r="1171" spans="1:97">
      <c r="A1171" s="2" t="s">
        <v>10675</v>
      </c>
      <c r="B1171" s="2">
        <v>246.09037000000001</v>
      </c>
      <c r="C1171" s="2">
        <v>0.77300000000000002</v>
      </c>
      <c r="D1171" s="2" t="s">
        <v>84</v>
      </c>
      <c r="E1171" s="2" t="s">
        <v>10676</v>
      </c>
      <c r="F1171" s="2"/>
      <c r="G1171" s="2">
        <v>594717</v>
      </c>
      <c r="H1171" s="3" t="str">
        <f>HYPERLINK("https://cloud.oebiotech.com/#/lm/network/594717", "https://cloud.oebiotech.com/#/lm/network/594717")</f>
        <v>https://cloud.oebiotech.com/#/lm/network/594717</v>
      </c>
      <c r="I1171" s="2"/>
      <c r="J1171" s="2"/>
      <c r="K1171" s="2"/>
      <c r="L1171" s="2">
        <v>176629</v>
      </c>
      <c r="M1171" s="2"/>
      <c r="N1171" s="2"/>
      <c r="O1171" s="2"/>
      <c r="P1171" s="2"/>
      <c r="Q1171" s="2"/>
      <c r="R1171" s="2"/>
      <c r="S1171" s="2"/>
      <c r="T1171" s="2" t="s">
        <v>10677</v>
      </c>
      <c r="U1171" s="2" t="s">
        <v>10678</v>
      </c>
      <c r="V1171" s="2" t="s">
        <v>115</v>
      </c>
      <c r="W1171" s="2" t="s">
        <v>116</v>
      </c>
      <c r="X1171" s="2" t="s">
        <v>117</v>
      </c>
      <c r="Y1171" s="2" t="s">
        <v>118</v>
      </c>
      <c r="Z1171" s="2" t="s">
        <v>119</v>
      </c>
      <c r="AA1171" s="2" t="s">
        <v>120</v>
      </c>
      <c r="AB1171" s="2" t="s">
        <v>5118</v>
      </c>
      <c r="AC1171" s="2">
        <v>48.04</v>
      </c>
      <c r="AD1171" s="2">
        <v>90.84</v>
      </c>
      <c r="AE1171" s="2">
        <v>63.05</v>
      </c>
      <c r="AF1171" s="2" t="s">
        <v>10679</v>
      </c>
      <c r="AG1171" s="2" t="s">
        <v>132</v>
      </c>
      <c r="AH1171" s="2" t="s">
        <v>10680</v>
      </c>
      <c r="AI1171" s="2">
        <v>1.22</v>
      </c>
      <c r="AJ1171" s="2">
        <v>22.3037394731437</v>
      </c>
      <c r="AK1171" s="2">
        <v>22.2855867305122</v>
      </c>
      <c r="AL1171" s="2">
        <v>22.148780161176699</v>
      </c>
      <c r="AM1171" s="2">
        <v>22.343861627874102</v>
      </c>
      <c r="AN1171" s="2">
        <v>21.708816348482301</v>
      </c>
      <c r="AO1171" s="2">
        <v>22.27030514298</v>
      </c>
      <c r="AP1171" s="2">
        <v>22.280291163769601</v>
      </c>
      <c r="AQ1171" s="2">
        <v>22.202272161419401</v>
      </c>
      <c r="AR1171" s="2">
        <v>22.865103130508398</v>
      </c>
      <c r="AS1171" s="2">
        <v>22.591935823362899</v>
      </c>
      <c r="AT1171" s="2">
        <v>22.7903629713296</v>
      </c>
      <c r="AU1171" s="2">
        <v>21.786658489659601</v>
      </c>
      <c r="AV1171" s="2">
        <v>21.5781170013334</v>
      </c>
      <c r="AW1171" s="2">
        <v>21.9586160252287</v>
      </c>
      <c r="AX1171" s="2">
        <v>22.351696763635601</v>
      </c>
      <c r="AY1171" s="2">
        <v>22.2814053352371</v>
      </c>
      <c r="AZ1171" s="2">
        <v>21.653041944868502</v>
      </c>
      <c r="BA1171" s="2">
        <v>21.539805421550099</v>
      </c>
      <c r="BB1171" s="2">
        <v>20.7295102192572</v>
      </c>
      <c r="BC1171" s="2">
        <v>22.823472157888201</v>
      </c>
      <c r="BD1171" s="2">
        <v>21.404098024973301</v>
      </c>
      <c r="BE1171" s="2">
        <v>21.683888286927701</v>
      </c>
      <c r="BF1171" s="2">
        <v>22.143532129229101</v>
      </c>
      <c r="BG1171" s="2">
        <v>21.516263737932299</v>
      </c>
      <c r="BH1171" s="2">
        <v>22.098955883806202</v>
      </c>
      <c r="BI1171" s="2">
        <v>21.049113051929702</v>
      </c>
      <c r="BJ1171" s="2">
        <v>23.2251283175822</v>
      </c>
      <c r="BK1171" s="2">
        <v>21.2149587335172</v>
      </c>
      <c r="BL1171" s="2">
        <v>21.427579974919102</v>
      </c>
      <c r="BM1171" s="2">
        <v>23.094129135367499</v>
      </c>
      <c r="BN1171" s="2">
        <v>20.271688123677901</v>
      </c>
      <c r="BO1171" s="2">
        <v>21.557806359498301</v>
      </c>
      <c r="BP1171" s="2">
        <v>20.999129470802099</v>
      </c>
      <c r="BQ1171" s="2">
        <v>20.174574857511502</v>
      </c>
      <c r="BR1171" s="2">
        <v>22.257625448204301</v>
      </c>
      <c r="BS1171" s="2">
        <v>21.572216639019601</v>
      </c>
      <c r="BT1171" s="2">
        <v>20.835164992714599</v>
      </c>
      <c r="BU1171" s="2">
        <v>20.535935624655401</v>
      </c>
      <c r="BV1171" s="2">
        <v>21.560944886865599</v>
      </c>
      <c r="BW1171" s="2">
        <v>21.7146286491136</v>
      </c>
      <c r="BX1171" s="2">
        <v>20.993118347962</v>
      </c>
      <c r="BY1171" s="2">
        <v>19.4971349218645</v>
      </c>
      <c r="BZ1171" s="2">
        <v>22.281663836888399</v>
      </c>
      <c r="CA1171" s="2">
        <v>22.544816648222699</v>
      </c>
      <c r="CB1171" s="2">
        <v>23.863200227330399</v>
      </c>
      <c r="CC1171" s="2">
        <v>20.671883226351898</v>
      </c>
      <c r="CD1171" s="2">
        <v>21.565959060979299</v>
      </c>
      <c r="CE1171" s="2">
        <v>21.189352994916501</v>
      </c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</row>
    <row r="1172" spans="1:97">
      <c r="A1172" s="2" t="s">
        <v>10681</v>
      </c>
      <c r="B1172" s="2">
        <v>378.23984999999999</v>
      </c>
      <c r="C1172" s="2">
        <v>9.125</v>
      </c>
      <c r="D1172" s="2" t="s">
        <v>84</v>
      </c>
      <c r="E1172" s="2" t="s">
        <v>10682</v>
      </c>
      <c r="F1172" s="2"/>
      <c r="G1172" s="2">
        <v>595611</v>
      </c>
      <c r="H1172" s="3" t="str">
        <f>HYPERLINK("https://cloud.oebiotech.com/#/lm/network/595611", "https://cloud.oebiotech.com/#/lm/network/595611")</f>
        <v>https://cloud.oebiotech.com/#/lm/network/595611</v>
      </c>
      <c r="I1172" s="2"/>
      <c r="J1172" s="2"/>
      <c r="K1172" s="2"/>
      <c r="L1172" s="2">
        <v>135240012</v>
      </c>
      <c r="M1172" s="2"/>
      <c r="N1172" s="2"/>
      <c r="O1172" s="2"/>
      <c r="P1172" s="2"/>
      <c r="Q1172" s="2"/>
      <c r="R1172" s="2"/>
      <c r="S1172" s="2"/>
      <c r="T1172" s="2" t="s">
        <v>10683</v>
      </c>
      <c r="U1172" s="2" t="s">
        <v>10684</v>
      </c>
      <c r="V1172" s="2" t="s">
        <v>115</v>
      </c>
      <c r="W1172" s="2" t="s">
        <v>116</v>
      </c>
      <c r="X1172" s="2" t="s">
        <v>117</v>
      </c>
      <c r="Y1172" s="2" t="s">
        <v>118</v>
      </c>
      <c r="Z1172" s="2" t="s">
        <v>119</v>
      </c>
      <c r="AA1172" s="2" t="s">
        <v>120</v>
      </c>
      <c r="AB1172" s="2" t="s">
        <v>5118</v>
      </c>
      <c r="AC1172" s="2">
        <v>48.03</v>
      </c>
      <c r="AD1172" s="2">
        <v>90.2</v>
      </c>
      <c r="AE1172" s="2">
        <v>67.73</v>
      </c>
      <c r="AF1172" s="2" t="s">
        <v>10685</v>
      </c>
      <c r="AG1172" s="2" t="s">
        <v>3544</v>
      </c>
      <c r="AH1172" s="2" t="s">
        <v>10686</v>
      </c>
      <c r="AI1172" s="2">
        <v>1.85</v>
      </c>
      <c r="AJ1172" s="2">
        <v>23.134520905864498</v>
      </c>
      <c r="AK1172" s="2">
        <v>23.059258609895</v>
      </c>
      <c r="AL1172" s="2">
        <v>23.147724932569599</v>
      </c>
      <c r="AM1172" s="2">
        <v>23.1345589404865</v>
      </c>
      <c r="AN1172" s="2">
        <v>22.955821595036401</v>
      </c>
      <c r="AO1172" s="2">
        <v>23.186921405809599</v>
      </c>
      <c r="AP1172" s="2">
        <v>23.053695413852701</v>
      </c>
      <c r="AQ1172" s="2">
        <v>23.011081789910001</v>
      </c>
      <c r="AR1172" s="2">
        <v>23.018517218819099</v>
      </c>
      <c r="AS1172" s="2">
        <v>22.813859845774001</v>
      </c>
      <c r="AT1172" s="2">
        <v>22.947781296536601</v>
      </c>
      <c r="AU1172" s="2">
        <v>22.6164883750067</v>
      </c>
      <c r="AV1172" s="2">
        <v>22.440342808611099</v>
      </c>
      <c r="AW1172" s="2">
        <v>23.119509446802599</v>
      </c>
      <c r="AX1172" s="2">
        <v>22.897291988976502</v>
      </c>
      <c r="AY1172" s="2">
        <v>22.450392316638698</v>
      </c>
      <c r="AZ1172" s="2">
        <v>23.146425679884199</v>
      </c>
      <c r="BA1172" s="2">
        <v>22.124979294217901</v>
      </c>
      <c r="BB1172" s="2">
        <v>23.317281157219899</v>
      </c>
      <c r="BC1172" s="2">
        <v>23.978302842476001</v>
      </c>
      <c r="BD1172" s="2">
        <v>22.415464064973602</v>
      </c>
      <c r="BE1172" s="2">
        <v>22.875237264326302</v>
      </c>
      <c r="BF1172" s="2">
        <v>23.1254294212209</v>
      </c>
      <c r="BG1172" s="2">
        <v>23.212135289536601</v>
      </c>
      <c r="BH1172" s="2">
        <v>22.726990323905401</v>
      </c>
      <c r="BI1172" s="2">
        <v>23.440585758136599</v>
      </c>
      <c r="BJ1172" s="2">
        <v>23.594658385335201</v>
      </c>
      <c r="BK1172" s="2">
        <v>22.9891881909688</v>
      </c>
      <c r="BL1172" s="2">
        <v>22.4525256285424</v>
      </c>
      <c r="BM1172" s="2">
        <v>22.371482157972299</v>
      </c>
      <c r="BN1172" s="2">
        <v>22.391805616464602</v>
      </c>
      <c r="BO1172" s="2">
        <v>22.188819536196799</v>
      </c>
      <c r="BP1172" s="2">
        <v>21.9953092053935</v>
      </c>
      <c r="BQ1172" s="2">
        <v>22.821287055227099</v>
      </c>
      <c r="BR1172" s="2">
        <v>23.287342337174</v>
      </c>
      <c r="BS1172" s="2">
        <v>22.901104979254399</v>
      </c>
      <c r="BT1172" s="2">
        <v>22.782772200408701</v>
      </c>
      <c r="BU1172" s="2">
        <v>23.903922098679899</v>
      </c>
      <c r="BV1172" s="2">
        <v>23.08389257208</v>
      </c>
      <c r="BW1172" s="2">
        <v>22.2931444087349</v>
      </c>
      <c r="BX1172" s="2">
        <v>22.621411561401999</v>
      </c>
      <c r="BY1172" s="2">
        <v>24.005280969982302</v>
      </c>
      <c r="BZ1172" s="2">
        <v>22.595504863811701</v>
      </c>
      <c r="CA1172" s="2">
        <v>22.599129054516599</v>
      </c>
      <c r="CB1172" s="2">
        <v>22.5225457795962</v>
      </c>
      <c r="CC1172" s="2">
        <v>22.9936129985904</v>
      </c>
      <c r="CD1172" s="2">
        <v>23.803115772674701</v>
      </c>
      <c r="CE1172" s="2">
        <v>22.523948583458299</v>
      </c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</row>
    <row r="1173" spans="1:97">
      <c r="A1173" s="2" t="s">
        <v>10687</v>
      </c>
      <c r="B1173" s="2">
        <v>930.18844999999999</v>
      </c>
      <c r="C1173" s="2">
        <v>0.94199999999999995</v>
      </c>
      <c r="D1173" s="2" t="s">
        <v>84</v>
      </c>
      <c r="E1173" s="2" t="s">
        <v>10688</v>
      </c>
      <c r="F1173" s="2" t="s">
        <v>10689</v>
      </c>
      <c r="G1173" s="2">
        <v>254559</v>
      </c>
      <c r="H1173" s="3" t="str">
        <f>HYPERLINK("https://cloud.oebiotech.com/#/lm/network/254559", "https://cloud.oebiotech.com/#/lm/network/254559")</f>
        <v>https://cloud.oebiotech.com/#/lm/network/254559</v>
      </c>
      <c r="I1173" s="2" t="s">
        <v>10690</v>
      </c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 t="s">
        <v>10691</v>
      </c>
      <c r="U1173" s="2" t="s">
        <v>10692</v>
      </c>
      <c r="V1173" s="2" t="s">
        <v>95</v>
      </c>
      <c r="W1173" s="2" t="s">
        <v>96</v>
      </c>
      <c r="X1173" s="2" t="s">
        <v>10693</v>
      </c>
      <c r="Y1173" s="2" t="s">
        <v>98</v>
      </c>
      <c r="Z1173" s="2" t="s">
        <v>99</v>
      </c>
      <c r="AA1173" s="2" t="s">
        <v>10694</v>
      </c>
      <c r="AB1173" s="2" t="s">
        <v>5118</v>
      </c>
      <c r="AC1173" s="2">
        <v>48.02</v>
      </c>
      <c r="AD1173" s="2">
        <v>74.180000000000007</v>
      </c>
      <c r="AE1173" s="2">
        <v>82.41</v>
      </c>
      <c r="AF1173" s="2" t="s">
        <v>10695</v>
      </c>
      <c r="AG1173" s="2" t="s">
        <v>1578</v>
      </c>
      <c r="AH1173" s="2" t="s">
        <v>10696</v>
      </c>
      <c r="AI1173" s="2">
        <v>-0.22</v>
      </c>
      <c r="AJ1173" s="2">
        <v>19.037930853352801</v>
      </c>
      <c r="AK1173" s="2">
        <v>19.3391572015354</v>
      </c>
      <c r="AL1173" s="2">
        <v>19.344394374560999</v>
      </c>
      <c r="AM1173" s="2">
        <v>19.644739323576299</v>
      </c>
      <c r="AN1173" s="2">
        <v>19.375284755384101</v>
      </c>
      <c r="AO1173" s="2">
        <v>20.0966264372354</v>
      </c>
      <c r="AP1173" s="2">
        <v>19.265949797349599</v>
      </c>
      <c r="AQ1173" s="2">
        <v>19.8870223764836</v>
      </c>
      <c r="AR1173" s="2">
        <v>19.495020208266698</v>
      </c>
      <c r="AS1173" s="2">
        <v>18.394651342654299</v>
      </c>
      <c r="AT1173" s="2">
        <v>19.341985161062802</v>
      </c>
      <c r="AU1173" s="2">
        <v>20.4972483566001</v>
      </c>
      <c r="AV1173" s="2">
        <v>19.352334400085599</v>
      </c>
      <c r="AW1173" s="2">
        <v>19.421464100112502</v>
      </c>
      <c r="AX1173" s="2">
        <v>18.586002900284999</v>
      </c>
      <c r="AY1173" s="2">
        <v>19.778963826761</v>
      </c>
      <c r="AZ1173" s="2">
        <v>18.971480910671499</v>
      </c>
      <c r="BA1173" s="2">
        <v>19.338227115174</v>
      </c>
      <c r="BB1173" s="2">
        <v>20.3884494634631</v>
      </c>
      <c r="BC1173" s="2">
        <v>21.086784417797499</v>
      </c>
      <c r="BD1173" s="2">
        <v>18.874869863129799</v>
      </c>
      <c r="BE1173" s="2">
        <v>19.748119585871699</v>
      </c>
      <c r="BF1173" s="2">
        <v>18.691848832228899</v>
      </c>
      <c r="BG1173" s="2">
        <v>18.819449931235901</v>
      </c>
      <c r="BH1173" s="2">
        <v>18.3271392836145</v>
      </c>
      <c r="BI1173" s="2">
        <v>18.789073432346701</v>
      </c>
      <c r="BJ1173" s="2">
        <v>19.29966914105</v>
      </c>
      <c r="BK1173" s="2">
        <v>19.2172732045562</v>
      </c>
      <c r="BL1173" s="2">
        <v>19.791643990783999</v>
      </c>
      <c r="BM1173" s="2">
        <v>20.667884088706199</v>
      </c>
      <c r="BN1173" s="2">
        <v>18.5695494406446</v>
      </c>
      <c r="BO1173" s="2">
        <v>18.638187597077899</v>
      </c>
      <c r="BP1173" s="2">
        <v>18.5422492820204</v>
      </c>
      <c r="BQ1173" s="2">
        <v>19.0216565587926</v>
      </c>
      <c r="BR1173" s="2">
        <v>17.9414837634843</v>
      </c>
      <c r="BS1173" s="2">
        <v>17.647220618513799</v>
      </c>
      <c r="BT1173" s="2">
        <v>19.5818048215536</v>
      </c>
      <c r="BU1173" s="2">
        <v>19.070305332395499</v>
      </c>
      <c r="BV1173" s="2">
        <v>20.198445533062099</v>
      </c>
      <c r="BW1173" s="2">
        <v>20.1824950449335</v>
      </c>
      <c r="BX1173" s="2">
        <v>20.055115928893901</v>
      </c>
      <c r="BY1173" s="2">
        <v>18.685658303490602</v>
      </c>
      <c r="BZ1173" s="2">
        <v>19.414618763951498</v>
      </c>
      <c r="CA1173" s="2">
        <v>18.997098943582898</v>
      </c>
      <c r="CB1173" s="2">
        <v>18.1244879784985</v>
      </c>
      <c r="CC1173" s="2">
        <v>18.9996299559511</v>
      </c>
      <c r="CD1173" s="2">
        <v>17.57085630884</v>
      </c>
      <c r="CE1173" s="2">
        <v>19.367311955733701</v>
      </c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</row>
    <row r="1174" spans="1:97">
      <c r="A1174" s="2" t="s">
        <v>10697</v>
      </c>
      <c r="B1174" s="2">
        <v>601.26521000000002</v>
      </c>
      <c r="C1174" s="2">
        <v>5.0129999999999999</v>
      </c>
      <c r="D1174" s="2" t="s">
        <v>84</v>
      </c>
      <c r="E1174" s="2" t="s">
        <v>10698</v>
      </c>
      <c r="F1174" s="2" t="s">
        <v>10699</v>
      </c>
      <c r="G1174" s="2">
        <v>44757</v>
      </c>
      <c r="H1174" s="3" t="str">
        <f>HYPERLINK("https://cloud.oebiotech.com/#/lm/network/44757", "https://cloud.oebiotech.com/#/lm/network/44757")</f>
        <v>https://cloud.oebiotech.com/#/lm/network/44757</v>
      </c>
      <c r="I1174" s="2"/>
      <c r="J1174" s="2"/>
      <c r="K1174" s="2" t="s">
        <v>10700</v>
      </c>
      <c r="L1174" s="2"/>
      <c r="M1174" s="2"/>
      <c r="N1174" s="2"/>
      <c r="O1174" s="2"/>
      <c r="P1174" s="2"/>
      <c r="Q1174" s="2"/>
      <c r="R1174" s="2"/>
      <c r="S1174" s="2"/>
      <c r="T1174" s="2" t="s">
        <v>10701</v>
      </c>
      <c r="U1174" s="2" t="s">
        <v>10702</v>
      </c>
      <c r="V1174" s="2" t="s">
        <v>95</v>
      </c>
      <c r="W1174" s="2" t="s">
        <v>152</v>
      </c>
      <c r="X1174" s="2" t="s">
        <v>9622</v>
      </c>
      <c r="Y1174" s="2" t="s">
        <v>98</v>
      </c>
      <c r="Z1174" s="2" t="s">
        <v>154</v>
      </c>
      <c r="AA1174" s="2" t="s">
        <v>9623</v>
      </c>
      <c r="AB1174" s="2" t="s">
        <v>5118</v>
      </c>
      <c r="AC1174" s="2">
        <v>48.02</v>
      </c>
      <c r="AD1174" s="2">
        <v>88.14</v>
      </c>
      <c r="AE1174" s="2">
        <v>46.07</v>
      </c>
      <c r="AF1174" s="2" t="s">
        <v>10703</v>
      </c>
      <c r="AG1174" s="2" t="s">
        <v>1578</v>
      </c>
      <c r="AH1174" s="2" t="s">
        <v>10704</v>
      </c>
      <c r="AI1174" s="2">
        <v>-5.49</v>
      </c>
      <c r="AJ1174" s="2">
        <v>19.5929489853037</v>
      </c>
      <c r="AK1174" s="2">
        <v>19.547254659233101</v>
      </c>
      <c r="AL1174" s="2">
        <v>19.5150269402871</v>
      </c>
      <c r="AM1174" s="2">
        <v>19.7330615773012</v>
      </c>
      <c r="AN1174" s="2">
        <v>19.583657465806201</v>
      </c>
      <c r="AO1174" s="2">
        <v>19.712937079589398</v>
      </c>
      <c r="AP1174" s="2">
        <v>19.497973506211</v>
      </c>
      <c r="AQ1174" s="2">
        <v>19.602625619421801</v>
      </c>
      <c r="AR1174" s="2">
        <v>18.173584476473099</v>
      </c>
      <c r="AS1174" s="2">
        <v>18.800084223711899</v>
      </c>
      <c r="AT1174" s="2">
        <v>20.062342025287801</v>
      </c>
      <c r="AU1174" s="2">
        <v>17.146797161258601</v>
      </c>
      <c r="AV1174" s="2">
        <v>18.871063181286001</v>
      </c>
      <c r="AW1174" s="2">
        <v>19.0729975148055</v>
      </c>
      <c r="AX1174" s="2">
        <v>19.639353551944598</v>
      </c>
      <c r="AY1174" s="2">
        <v>19.1768685088586</v>
      </c>
      <c r="AZ1174" s="2">
        <v>17.941790123865498</v>
      </c>
      <c r="BA1174" s="2">
        <v>18.944332249122699</v>
      </c>
      <c r="BB1174" s="2">
        <v>19.182701267860899</v>
      </c>
      <c r="BC1174" s="2">
        <v>20.371614821191798</v>
      </c>
      <c r="BD1174" s="2">
        <v>18.012437184963201</v>
      </c>
      <c r="BE1174" s="2">
        <v>20.634606579453799</v>
      </c>
      <c r="BF1174" s="2">
        <v>18.453358018217099</v>
      </c>
      <c r="BG1174" s="2">
        <v>19.997715266613401</v>
      </c>
      <c r="BH1174" s="2">
        <v>19.1171269854873</v>
      </c>
      <c r="BI1174" s="2">
        <v>19.358109586423499</v>
      </c>
      <c r="BJ1174" s="2">
        <v>19.776904585406999</v>
      </c>
      <c r="BK1174" s="2">
        <v>18.271916807994302</v>
      </c>
      <c r="BL1174" s="2">
        <v>18.832828065287298</v>
      </c>
      <c r="BM1174" s="2">
        <v>17.543306016245801</v>
      </c>
      <c r="BN1174" s="2">
        <v>18.7458392776539</v>
      </c>
      <c r="BO1174" s="2">
        <v>19.380574067152502</v>
      </c>
      <c r="BP1174" s="2">
        <v>19.414736078516601</v>
      </c>
      <c r="BQ1174" s="2">
        <v>19.188124745499302</v>
      </c>
      <c r="BR1174" s="2">
        <v>19.513816327726499</v>
      </c>
      <c r="BS1174" s="2">
        <v>18.586327992761401</v>
      </c>
      <c r="BT1174" s="2">
        <v>18.586936812506899</v>
      </c>
      <c r="BU1174" s="2">
        <v>18.917305378232498</v>
      </c>
      <c r="BV1174" s="2">
        <v>19.629165483342</v>
      </c>
      <c r="BW1174" s="2">
        <v>18.720879259505899</v>
      </c>
      <c r="BX1174" s="2">
        <v>18.028731386786301</v>
      </c>
      <c r="BY1174" s="2">
        <v>19.7985828936073</v>
      </c>
      <c r="BZ1174" s="2">
        <v>17.969707865210001</v>
      </c>
      <c r="CA1174" s="2">
        <v>18.364050076858199</v>
      </c>
      <c r="CB1174" s="2">
        <v>19.338438539225301</v>
      </c>
      <c r="CC1174" s="2">
        <v>18.202831487805199</v>
      </c>
      <c r="CD1174" s="2">
        <v>19.7994860451278</v>
      </c>
      <c r="CE1174" s="2">
        <v>19.2129533533829</v>
      </c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</row>
    <row r="1175" spans="1:97">
      <c r="A1175" s="2" t="s">
        <v>10705</v>
      </c>
      <c r="B1175" s="2">
        <v>559.32866999999999</v>
      </c>
      <c r="C1175" s="2">
        <v>10.041</v>
      </c>
      <c r="D1175" s="2" t="s">
        <v>146</v>
      </c>
      <c r="E1175" s="2" t="s">
        <v>10706</v>
      </c>
      <c r="F1175" s="2" t="s">
        <v>10707</v>
      </c>
      <c r="G1175" s="2">
        <v>1990</v>
      </c>
      <c r="H1175" s="3" t="str">
        <f>HYPERLINK("https://cloud.oebiotech.com/#/lm/network/1990", "https://cloud.oebiotech.com/#/lm/network/1990")</f>
        <v>https://cloud.oebiotech.com/#/lm/network/1990</v>
      </c>
      <c r="I1175" s="2"/>
      <c r="J1175" s="2"/>
      <c r="K1175" s="2" t="s">
        <v>10708</v>
      </c>
      <c r="L1175" s="2">
        <v>131839782</v>
      </c>
      <c r="M1175" s="2"/>
      <c r="N1175" s="2"/>
      <c r="O1175" s="2"/>
      <c r="P1175" s="2"/>
      <c r="Q1175" s="2"/>
      <c r="R1175" s="2"/>
      <c r="S1175" s="2"/>
      <c r="T1175" s="2" t="s">
        <v>10709</v>
      </c>
      <c r="U1175" s="2" t="s">
        <v>10710</v>
      </c>
      <c r="V1175" s="2" t="s">
        <v>95</v>
      </c>
      <c r="W1175" s="2" t="s">
        <v>96</v>
      </c>
      <c r="X1175" s="2" t="s">
        <v>141</v>
      </c>
      <c r="Y1175" s="2" t="s">
        <v>98</v>
      </c>
      <c r="Z1175" s="2" t="s">
        <v>99</v>
      </c>
      <c r="AA1175" s="2" t="s">
        <v>142</v>
      </c>
      <c r="AB1175" s="2" t="s">
        <v>3086</v>
      </c>
      <c r="AC1175" s="2">
        <v>48.01</v>
      </c>
      <c r="AD1175" s="2">
        <v>78.02</v>
      </c>
      <c r="AE1175" s="2">
        <v>0</v>
      </c>
      <c r="AF1175" s="2" t="s">
        <v>5614</v>
      </c>
      <c r="AG1175" s="2" t="s">
        <v>3880</v>
      </c>
      <c r="AH1175" s="2" t="s">
        <v>10711</v>
      </c>
      <c r="AI1175" s="2">
        <v>-1.97</v>
      </c>
      <c r="AJ1175" s="2">
        <v>17.469153454684101</v>
      </c>
      <c r="AK1175" s="2">
        <v>17.636353367584402</v>
      </c>
      <c r="AL1175" s="2">
        <v>17.076334200950601</v>
      </c>
      <c r="AM1175" s="2">
        <v>17.531137741444699</v>
      </c>
      <c r="AN1175" s="2">
        <v>17.3528058099327</v>
      </c>
      <c r="AO1175" s="2">
        <v>17.523667312072</v>
      </c>
      <c r="AP1175" s="2">
        <v>16.499030373276099</v>
      </c>
      <c r="AQ1175" s="2">
        <v>17.397784247940098</v>
      </c>
      <c r="AR1175" s="2">
        <v>17.553518303875901</v>
      </c>
      <c r="AS1175" s="2">
        <v>17.701668714891699</v>
      </c>
      <c r="AT1175" s="2">
        <v>17.3935642474822</v>
      </c>
      <c r="AU1175" s="2">
        <v>17.585483692860201</v>
      </c>
      <c r="AV1175" s="2">
        <v>17.624598716495601</v>
      </c>
      <c r="AW1175" s="2">
        <v>17.392998137871999</v>
      </c>
      <c r="AX1175" s="2">
        <v>17.7155719402665</v>
      </c>
      <c r="AY1175" s="2">
        <v>17.483448870365098</v>
      </c>
      <c r="AZ1175" s="2">
        <v>17.487953760250701</v>
      </c>
      <c r="BA1175" s="2">
        <v>17.742612597582902</v>
      </c>
      <c r="BB1175" s="2">
        <v>17.391614907375299</v>
      </c>
      <c r="BC1175" s="2">
        <v>17.582292916202299</v>
      </c>
      <c r="BD1175" s="2">
        <v>17.591379606901199</v>
      </c>
      <c r="BE1175" s="2">
        <v>17.611569438125802</v>
      </c>
      <c r="BF1175" s="2">
        <v>17.099628172486199</v>
      </c>
      <c r="BG1175" s="2">
        <v>17.646352047626099</v>
      </c>
      <c r="BH1175" s="2">
        <v>17.435936103132999</v>
      </c>
      <c r="BI1175" s="2">
        <v>17.440560112995001</v>
      </c>
      <c r="BJ1175" s="2">
        <v>17.464697139859901</v>
      </c>
      <c r="BK1175" s="2">
        <v>17.3629832310884</v>
      </c>
      <c r="BL1175" s="2">
        <v>17.3043466866628</v>
      </c>
      <c r="BM1175" s="2">
        <v>17.309924817053101</v>
      </c>
      <c r="BN1175" s="2">
        <v>17.214930076142998</v>
      </c>
      <c r="BO1175" s="2">
        <v>17.470525982281099</v>
      </c>
      <c r="BP1175" s="2">
        <v>17.483120692635399</v>
      </c>
      <c r="BQ1175" s="2">
        <v>17.498898278016799</v>
      </c>
      <c r="BR1175" s="2">
        <v>17.4043525229682</v>
      </c>
      <c r="BS1175" s="2">
        <v>17.150330298559901</v>
      </c>
      <c r="BT1175" s="2">
        <v>17.655936158631398</v>
      </c>
      <c r="BU1175" s="2">
        <v>17.207556602011799</v>
      </c>
      <c r="BV1175" s="2">
        <v>17.489064730908002</v>
      </c>
      <c r="BW1175" s="2">
        <v>17.4576325720003</v>
      </c>
      <c r="BX1175" s="2">
        <v>17.648716666136401</v>
      </c>
      <c r="BY1175" s="2">
        <v>17.282431750610399</v>
      </c>
      <c r="BZ1175" s="2">
        <v>17.326292718149698</v>
      </c>
      <c r="CA1175" s="2">
        <v>17.413106259211901</v>
      </c>
      <c r="CB1175" s="2">
        <v>17.4133356287292</v>
      </c>
      <c r="CC1175" s="2">
        <v>17.433057079923898</v>
      </c>
      <c r="CD1175" s="2">
        <v>17.641346832967901</v>
      </c>
      <c r="CE1175" s="2">
        <v>17.5940096944835</v>
      </c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</row>
    <row r="1176" spans="1:97">
      <c r="A1176" s="2" t="s">
        <v>10712</v>
      </c>
      <c r="B1176" s="2">
        <v>215.03237999999999</v>
      </c>
      <c r="C1176" s="2">
        <v>1.1140000000000001</v>
      </c>
      <c r="D1176" s="2" t="s">
        <v>146</v>
      </c>
      <c r="E1176" s="2" t="s">
        <v>10713</v>
      </c>
      <c r="F1176" s="2" t="s">
        <v>10714</v>
      </c>
      <c r="G1176" s="2">
        <v>47483</v>
      </c>
      <c r="H1176" s="3" t="str">
        <f>HYPERLINK("https://cloud.oebiotech.com/#/lm/network/47483", "https://cloud.oebiotech.com/#/lm/network/47483")</f>
        <v>https://cloud.oebiotech.com/#/lm/network/47483</v>
      </c>
      <c r="I1176" s="2" t="s">
        <v>10715</v>
      </c>
      <c r="J1176" s="2">
        <v>328114</v>
      </c>
      <c r="K1176" s="2"/>
      <c r="L1176" s="2">
        <v>441484</v>
      </c>
      <c r="M1176" s="2" t="s">
        <v>10716</v>
      </c>
      <c r="N1176" s="2"/>
      <c r="O1176" s="2"/>
      <c r="P1176" s="2">
        <v>10295</v>
      </c>
      <c r="Q1176" s="2"/>
      <c r="R1176" s="2"/>
      <c r="S1176" s="2" t="s">
        <v>10717</v>
      </c>
      <c r="T1176" s="2" t="s">
        <v>10718</v>
      </c>
      <c r="U1176" s="2" t="s">
        <v>10719</v>
      </c>
      <c r="V1176" s="2" t="s">
        <v>338</v>
      </c>
      <c r="W1176" s="2" t="s">
        <v>339</v>
      </c>
      <c r="X1176" s="2" t="s">
        <v>663</v>
      </c>
      <c r="Y1176" s="2" t="s">
        <v>341</v>
      </c>
      <c r="Z1176" s="2" t="s">
        <v>341</v>
      </c>
      <c r="AA1176" s="2" t="s">
        <v>664</v>
      </c>
      <c r="AB1176" s="2" t="s">
        <v>3086</v>
      </c>
      <c r="AC1176" s="2">
        <v>48</v>
      </c>
      <c r="AD1176" s="2">
        <v>79.13</v>
      </c>
      <c r="AE1176" s="2">
        <v>0</v>
      </c>
      <c r="AF1176" s="2" t="s">
        <v>10720</v>
      </c>
      <c r="AG1176" s="2" t="s">
        <v>4062</v>
      </c>
      <c r="AH1176" s="2" t="s">
        <v>3400</v>
      </c>
      <c r="AI1176" s="2">
        <v>1.86</v>
      </c>
      <c r="AJ1176" s="2">
        <v>22.128792111065799</v>
      </c>
      <c r="AK1176" s="2">
        <v>22.809415433442499</v>
      </c>
      <c r="AL1176" s="2">
        <v>22.3753465067993</v>
      </c>
      <c r="AM1176" s="2">
        <v>22.1680706046083</v>
      </c>
      <c r="AN1176" s="2">
        <v>22.479372469276701</v>
      </c>
      <c r="AO1176" s="2">
        <v>22.151736335731801</v>
      </c>
      <c r="AP1176" s="2">
        <v>22.755951917949201</v>
      </c>
      <c r="AQ1176" s="2">
        <v>22.011581712222</v>
      </c>
      <c r="AR1176" s="2">
        <v>20.919027148749301</v>
      </c>
      <c r="AS1176" s="2">
        <v>20.17034705392</v>
      </c>
      <c r="AT1176" s="2">
        <v>20.254449751455699</v>
      </c>
      <c r="AU1176" s="2">
        <v>21.126236252392498</v>
      </c>
      <c r="AV1176" s="2">
        <v>21.675800381057702</v>
      </c>
      <c r="AW1176" s="2">
        <v>21.485118296616498</v>
      </c>
      <c r="AX1176" s="2">
        <v>20.667706425058999</v>
      </c>
      <c r="AY1176" s="2">
        <v>22.259743861258801</v>
      </c>
      <c r="AZ1176" s="2">
        <v>22.463737258872399</v>
      </c>
      <c r="BA1176" s="2">
        <v>21.003033849447</v>
      </c>
      <c r="BB1176" s="2">
        <v>21.963759731544702</v>
      </c>
      <c r="BC1176" s="2">
        <v>22.969462372353899</v>
      </c>
      <c r="BD1176" s="2">
        <v>21.814062450978899</v>
      </c>
      <c r="BE1176" s="2">
        <v>22.616657803665401</v>
      </c>
      <c r="BF1176" s="2">
        <v>22.0100231590859</v>
      </c>
      <c r="BG1176" s="2">
        <v>21.553393298618499</v>
      </c>
      <c r="BH1176" s="2">
        <v>21.340331350341</v>
      </c>
      <c r="BI1176" s="2">
        <v>21.441412929003899</v>
      </c>
      <c r="BJ1176" s="2">
        <v>22.865578680065202</v>
      </c>
      <c r="BK1176" s="2">
        <v>22.667840709755499</v>
      </c>
      <c r="BL1176" s="2">
        <v>21.511383764229699</v>
      </c>
      <c r="BM1176" s="2">
        <v>22.660838293639301</v>
      </c>
      <c r="BN1176" s="2">
        <v>22.142897781244301</v>
      </c>
      <c r="BO1176" s="2">
        <v>21.238828327214701</v>
      </c>
      <c r="BP1176" s="2">
        <v>21.6619172094533</v>
      </c>
      <c r="BQ1176" s="2">
        <v>21.4330163005631</v>
      </c>
      <c r="BR1176" s="2">
        <v>21.294615583356101</v>
      </c>
      <c r="BS1176" s="2">
        <v>22.7446552182343</v>
      </c>
      <c r="BT1176" s="2">
        <v>21.277003722656001</v>
      </c>
      <c r="BU1176" s="2">
        <v>20.912423189944601</v>
      </c>
      <c r="BV1176" s="2">
        <v>21.995720067788699</v>
      </c>
      <c r="BW1176" s="2">
        <v>21.556075542416998</v>
      </c>
      <c r="BX1176" s="2">
        <v>21.091879270785</v>
      </c>
      <c r="BY1176" s="2">
        <v>22.238887002483501</v>
      </c>
      <c r="BZ1176" s="2">
        <v>22.074662713682599</v>
      </c>
      <c r="CA1176" s="2">
        <v>23.810472957665102</v>
      </c>
      <c r="CB1176" s="2">
        <v>20.780268826622201</v>
      </c>
      <c r="CC1176" s="2">
        <v>22.3474219542104</v>
      </c>
      <c r="CD1176" s="2">
        <v>21.914188733064101</v>
      </c>
      <c r="CE1176" s="2">
        <v>21.076306535626198</v>
      </c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</row>
    <row r="1177" spans="1:97">
      <c r="A1177" s="2" t="s">
        <v>10721</v>
      </c>
      <c r="B1177" s="2">
        <v>183.13863000000001</v>
      </c>
      <c r="C1177" s="2">
        <v>8.1219999999999999</v>
      </c>
      <c r="D1177" s="2" t="s">
        <v>146</v>
      </c>
      <c r="E1177" s="2" t="s">
        <v>10722</v>
      </c>
      <c r="F1177" s="2" t="s">
        <v>10723</v>
      </c>
      <c r="G1177" s="2">
        <v>1738</v>
      </c>
      <c r="H1177" s="3" t="str">
        <f>HYPERLINK("https://cloud.oebiotech.com/#/lm/network/1738", "https://cloud.oebiotech.com/#/lm/network/1738")</f>
        <v>https://cloud.oebiotech.com/#/lm/network/1738</v>
      </c>
      <c r="I1177" s="2"/>
      <c r="J1177" s="2">
        <v>74541</v>
      </c>
      <c r="K1177" s="2" t="s">
        <v>10724</v>
      </c>
      <c r="L1177" s="2">
        <v>24514</v>
      </c>
      <c r="M1177" s="2"/>
      <c r="N1177" s="2"/>
      <c r="O1177" s="2"/>
      <c r="P1177" s="2"/>
      <c r="Q1177" s="2"/>
      <c r="R1177" s="2"/>
      <c r="S1177" s="2"/>
      <c r="T1177" s="2" t="s">
        <v>10725</v>
      </c>
      <c r="U1177" s="2" t="s">
        <v>10726</v>
      </c>
      <c r="V1177" s="2" t="s">
        <v>115</v>
      </c>
      <c r="W1177" s="2" t="s">
        <v>832</v>
      </c>
      <c r="X1177" s="2" t="s">
        <v>4084</v>
      </c>
      <c r="Y1177" s="2" t="s">
        <v>118</v>
      </c>
      <c r="Z1177" s="2" t="s">
        <v>834</v>
      </c>
      <c r="AA1177" s="2" t="s">
        <v>4085</v>
      </c>
      <c r="AB1177" s="2" t="s">
        <v>8443</v>
      </c>
      <c r="AC1177" s="2">
        <v>47.88</v>
      </c>
      <c r="AD1177" s="2">
        <v>97.48</v>
      </c>
      <c r="AE1177" s="2">
        <v>0</v>
      </c>
      <c r="AF1177" s="2" t="s">
        <v>5614</v>
      </c>
      <c r="AG1177" s="2" t="s">
        <v>993</v>
      </c>
      <c r="AH1177" s="2" t="s">
        <v>10727</v>
      </c>
      <c r="AI1177" s="2">
        <v>-0.55000000000000004</v>
      </c>
      <c r="AJ1177" s="2">
        <v>20.101676749347199</v>
      </c>
      <c r="AK1177" s="2">
        <v>20.014717425958199</v>
      </c>
      <c r="AL1177" s="2">
        <v>20.081962664396698</v>
      </c>
      <c r="AM1177" s="2">
        <v>20.285902138544099</v>
      </c>
      <c r="AN1177" s="2">
        <v>20.073666010942901</v>
      </c>
      <c r="AO1177" s="2">
        <v>20.215467353125199</v>
      </c>
      <c r="AP1177" s="2">
        <v>20.291680066924101</v>
      </c>
      <c r="AQ1177" s="2">
        <v>20.304888424041302</v>
      </c>
      <c r="AR1177" s="2">
        <v>18.666675675976499</v>
      </c>
      <c r="AS1177" s="2">
        <v>18.213889656254199</v>
      </c>
      <c r="AT1177" s="2">
        <v>20.141997172799599</v>
      </c>
      <c r="AU1177" s="2">
        <v>17.839374751011899</v>
      </c>
      <c r="AV1177" s="2">
        <v>18.149939339701099</v>
      </c>
      <c r="AW1177" s="2">
        <v>19.357397878453501</v>
      </c>
      <c r="AX1177" s="2">
        <v>19.887746715340199</v>
      </c>
      <c r="AY1177" s="2">
        <v>18.404852509516999</v>
      </c>
      <c r="AZ1177" s="2">
        <v>17.730658992942701</v>
      </c>
      <c r="BA1177" s="2">
        <v>18.644515959160401</v>
      </c>
      <c r="BB1177" s="2">
        <v>21.088996638564002</v>
      </c>
      <c r="BC1177" s="2">
        <v>20.885026276537999</v>
      </c>
      <c r="BD1177" s="2">
        <v>18.930264100835</v>
      </c>
      <c r="BE1177" s="2">
        <v>20.482536975037899</v>
      </c>
      <c r="BF1177" s="2">
        <v>20.622768740716101</v>
      </c>
      <c r="BG1177" s="2">
        <v>18.3879545782248</v>
      </c>
      <c r="BH1177" s="2">
        <v>19.4657859305625</v>
      </c>
      <c r="BI1177" s="2">
        <v>19.887835810095901</v>
      </c>
      <c r="BJ1177" s="2">
        <v>19.088749529523799</v>
      </c>
      <c r="BK1177" s="2">
        <v>19.172851502688001</v>
      </c>
      <c r="BL1177" s="2">
        <v>18.412696444223499</v>
      </c>
      <c r="BM1177" s="2">
        <v>18.411891935783299</v>
      </c>
      <c r="BN1177" s="2">
        <v>20.580476186986299</v>
      </c>
      <c r="BO1177" s="2">
        <v>20.077917261122099</v>
      </c>
      <c r="BP1177" s="2">
        <v>18.288481581754102</v>
      </c>
      <c r="BQ1177" s="2">
        <v>19.696130628375698</v>
      </c>
      <c r="BR1177" s="2">
        <v>19.820636838697698</v>
      </c>
      <c r="BS1177" s="2">
        <v>17.7235490293575</v>
      </c>
      <c r="BT1177" s="2">
        <v>19.049291189145201</v>
      </c>
      <c r="BU1177" s="2">
        <v>19.342892521091599</v>
      </c>
      <c r="BV1177" s="2">
        <v>19.354442996034201</v>
      </c>
      <c r="BW1177" s="2">
        <v>19.713474166711901</v>
      </c>
      <c r="BX1177" s="2">
        <v>18.883566765180898</v>
      </c>
      <c r="BY1177" s="2">
        <v>20.185108890958499</v>
      </c>
      <c r="BZ1177" s="2">
        <v>21.9521291067284</v>
      </c>
      <c r="CA1177" s="2">
        <v>19.657852242897299</v>
      </c>
      <c r="CB1177" s="2">
        <v>17.746182711947899</v>
      </c>
      <c r="CC1177" s="2">
        <v>20.886654727590798</v>
      </c>
      <c r="CD1177" s="2">
        <v>19.486968461541199</v>
      </c>
      <c r="CE1177" s="2">
        <v>20.2202495267594</v>
      </c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</row>
    <row r="1178" spans="1:97">
      <c r="A1178" s="2" t="s">
        <v>10728</v>
      </c>
      <c r="B1178" s="2">
        <v>231.04732999999999</v>
      </c>
      <c r="C1178" s="2">
        <v>1.371</v>
      </c>
      <c r="D1178" s="2" t="s">
        <v>84</v>
      </c>
      <c r="E1178" s="2" t="s">
        <v>10729</v>
      </c>
      <c r="F1178" s="2" t="s">
        <v>10730</v>
      </c>
      <c r="G1178" s="2">
        <v>51908</v>
      </c>
      <c r="H1178" s="3" t="str">
        <f>HYPERLINK("https://cloud.oebiotech.com/#/lm/network/51908", "https://cloud.oebiotech.com/#/lm/network/51908")</f>
        <v>https://cloud.oebiotech.com/#/lm/network/51908</v>
      </c>
      <c r="I1178" s="2" t="s">
        <v>10731</v>
      </c>
      <c r="J1178" s="2">
        <v>62857</v>
      </c>
      <c r="K1178" s="2"/>
      <c r="L1178" s="2">
        <v>421</v>
      </c>
      <c r="M1178" s="2" t="s">
        <v>10732</v>
      </c>
      <c r="N1178" s="2" t="s">
        <v>10733</v>
      </c>
      <c r="O1178" s="2" t="s">
        <v>10734</v>
      </c>
      <c r="P1178" s="2">
        <v>18047</v>
      </c>
      <c r="Q1178" s="2"/>
      <c r="R1178" s="2"/>
      <c r="S1178" s="2" t="s">
        <v>10735</v>
      </c>
      <c r="T1178" s="2" t="s">
        <v>10736</v>
      </c>
      <c r="U1178" s="2" t="s">
        <v>10737</v>
      </c>
      <c r="V1178" s="2" t="s">
        <v>95</v>
      </c>
      <c r="W1178" s="2" t="s">
        <v>96</v>
      </c>
      <c r="X1178" s="2" t="s">
        <v>141</v>
      </c>
      <c r="Y1178" s="2" t="s">
        <v>98</v>
      </c>
      <c r="Z1178" s="2" t="s">
        <v>99</v>
      </c>
      <c r="AA1178" s="2" t="s">
        <v>142</v>
      </c>
      <c r="AB1178" s="2" t="s">
        <v>3086</v>
      </c>
      <c r="AC1178" s="2">
        <v>47.87</v>
      </c>
      <c r="AD1178" s="2">
        <v>75.819999999999993</v>
      </c>
      <c r="AE1178" s="2">
        <v>0</v>
      </c>
      <c r="AF1178" s="2" t="s">
        <v>5614</v>
      </c>
      <c r="AG1178" s="2" t="s">
        <v>1578</v>
      </c>
      <c r="AH1178" s="2" t="s">
        <v>10738</v>
      </c>
      <c r="AI1178" s="2">
        <v>4.76</v>
      </c>
      <c r="AJ1178" s="2">
        <v>18.263226692553602</v>
      </c>
      <c r="AK1178" s="2">
        <v>18.231948646080699</v>
      </c>
      <c r="AL1178" s="2">
        <v>18.014649343124599</v>
      </c>
      <c r="AM1178" s="2">
        <v>18.4777449482003</v>
      </c>
      <c r="AN1178" s="2">
        <v>18.5868027425037</v>
      </c>
      <c r="AO1178" s="2">
        <v>18.596891114156801</v>
      </c>
      <c r="AP1178" s="2">
        <v>19.0810291435774</v>
      </c>
      <c r="AQ1178" s="2">
        <v>18.617330677992602</v>
      </c>
      <c r="AR1178" s="2">
        <v>14.841085171546601</v>
      </c>
      <c r="AS1178" s="2">
        <v>9.6233145402724691</v>
      </c>
      <c r="AT1178" s="2">
        <v>9.6233145402724691</v>
      </c>
      <c r="AU1178" s="2">
        <v>9.6233145402724691</v>
      </c>
      <c r="AV1178" s="2">
        <v>14.9569396566616</v>
      </c>
      <c r="AW1178" s="2">
        <v>9.6233145402724691</v>
      </c>
      <c r="AX1178" s="2">
        <v>15.8463574163695</v>
      </c>
      <c r="AY1178" s="2">
        <v>17.043801733700001</v>
      </c>
      <c r="AZ1178" s="2">
        <v>14.336285480261701</v>
      </c>
      <c r="BA1178" s="2">
        <v>14.449051249852999</v>
      </c>
      <c r="BB1178" s="2">
        <v>17.732188894179899</v>
      </c>
      <c r="BC1178" s="2">
        <v>16.2154952710783</v>
      </c>
      <c r="BD1178" s="2">
        <v>9.6233145402724691</v>
      </c>
      <c r="BE1178" s="2">
        <v>18.4298428874778</v>
      </c>
      <c r="BF1178" s="2">
        <v>9.6233145402724691</v>
      </c>
      <c r="BG1178" s="2">
        <v>17.435796556328</v>
      </c>
      <c r="BH1178" s="2">
        <v>17.281249801034502</v>
      </c>
      <c r="BI1178" s="2">
        <v>17.375914455017</v>
      </c>
      <c r="BJ1178" s="2">
        <v>17.622372322358899</v>
      </c>
      <c r="BK1178" s="2">
        <v>14.912171270861499</v>
      </c>
      <c r="BL1178" s="2">
        <v>9.6233145402724691</v>
      </c>
      <c r="BM1178" s="2">
        <v>18.616405399909802</v>
      </c>
      <c r="BN1178" s="2">
        <v>16.393951805979</v>
      </c>
      <c r="BO1178" s="2">
        <v>14.5102010460446</v>
      </c>
      <c r="BP1178" s="2">
        <v>16.5950059554396</v>
      </c>
      <c r="BQ1178" s="2">
        <v>9.6233145402724691</v>
      </c>
      <c r="BR1178" s="2">
        <v>15.8373896815829</v>
      </c>
      <c r="BS1178" s="2">
        <v>17.2192775392157</v>
      </c>
      <c r="BT1178" s="2">
        <v>15.8407720237941</v>
      </c>
      <c r="BU1178" s="2">
        <v>9.6233145402724691</v>
      </c>
      <c r="BV1178" s="2">
        <v>18.161736652566798</v>
      </c>
      <c r="BW1178" s="2">
        <v>16.114043238628501</v>
      </c>
      <c r="BX1178" s="2">
        <v>16.797174762123799</v>
      </c>
      <c r="BY1178" s="2">
        <v>18.172616877288199</v>
      </c>
      <c r="BZ1178" s="2">
        <v>16.0168866172165</v>
      </c>
      <c r="CA1178" s="2">
        <v>17.2062954444749</v>
      </c>
      <c r="CB1178" s="2">
        <v>15.4379539132911</v>
      </c>
      <c r="CC1178" s="2">
        <v>14.432801551689501</v>
      </c>
      <c r="CD1178" s="2">
        <v>16.328293974974901</v>
      </c>
      <c r="CE1178" s="2">
        <v>9.6233145402724691</v>
      </c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</row>
    <row r="1179" spans="1:97">
      <c r="A1179" s="2" t="s">
        <v>10739</v>
      </c>
      <c r="B1179" s="2">
        <v>159.11263</v>
      </c>
      <c r="C1179" s="2">
        <v>1.373</v>
      </c>
      <c r="D1179" s="2" t="s">
        <v>84</v>
      </c>
      <c r="E1179" s="2" t="s">
        <v>10740</v>
      </c>
      <c r="F1179" s="2" t="s">
        <v>10741</v>
      </c>
      <c r="G1179" s="2">
        <v>54385</v>
      </c>
      <c r="H1179" s="3" t="str">
        <f>HYPERLINK("https://cloud.oebiotech.com/#/lm/network/54385", "https://cloud.oebiotech.com/#/lm/network/54385")</f>
        <v>https://cloud.oebiotech.com/#/lm/network/54385</v>
      </c>
      <c r="I1179" s="2" t="s">
        <v>10742</v>
      </c>
      <c r="J1179" s="2"/>
      <c r="K1179" s="2"/>
      <c r="L1179" s="2">
        <v>9081</v>
      </c>
      <c r="M1179" s="2" t="s">
        <v>10743</v>
      </c>
      <c r="N1179" s="2"/>
      <c r="O1179" s="2"/>
      <c r="P1179" s="2">
        <v>136270</v>
      </c>
      <c r="Q1179" s="2"/>
      <c r="R1179" s="2"/>
      <c r="S1179" s="2" t="s">
        <v>10744</v>
      </c>
      <c r="T1179" s="2" t="s">
        <v>10745</v>
      </c>
      <c r="U1179" s="2" t="s">
        <v>10746</v>
      </c>
      <c r="V1179" s="2" t="s">
        <v>115</v>
      </c>
      <c r="W1179" s="2" t="s">
        <v>116</v>
      </c>
      <c r="X1179" s="2" t="s">
        <v>117</v>
      </c>
      <c r="Y1179" s="2" t="s">
        <v>118</v>
      </c>
      <c r="Z1179" s="2" t="s">
        <v>119</v>
      </c>
      <c r="AA1179" s="2" t="s">
        <v>120</v>
      </c>
      <c r="AB1179" s="2" t="s">
        <v>8443</v>
      </c>
      <c r="AC1179" s="2">
        <v>47.87</v>
      </c>
      <c r="AD1179" s="2">
        <v>98.22</v>
      </c>
      <c r="AE1179" s="2">
        <v>0</v>
      </c>
      <c r="AF1179" s="2" t="s">
        <v>10747</v>
      </c>
      <c r="AG1179" s="2" t="s">
        <v>132</v>
      </c>
      <c r="AH1179" s="2" t="s">
        <v>10748</v>
      </c>
      <c r="AI1179" s="2">
        <v>1.26</v>
      </c>
      <c r="AJ1179" s="2">
        <v>24.027083588879201</v>
      </c>
      <c r="AK1179" s="2">
        <v>24.030921007285901</v>
      </c>
      <c r="AL1179" s="2">
        <v>24.245900775010899</v>
      </c>
      <c r="AM1179" s="2">
        <v>24.246356487903899</v>
      </c>
      <c r="AN1179" s="2">
        <v>24.582036114615502</v>
      </c>
      <c r="AO1179" s="2">
        <v>24.2434681977822</v>
      </c>
      <c r="AP1179" s="2">
        <v>24.426544595007702</v>
      </c>
      <c r="AQ1179" s="2">
        <v>24.809044919300401</v>
      </c>
      <c r="AR1179" s="2">
        <v>23.9960316033312</v>
      </c>
      <c r="AS1179" s="2">
        <v>23.317778792387099</v>
      </c>
      <c r="AT1179" s="2">
        <v>23.699478085614299</v>
      </c>
      <c r="AU1179" s="2">
        <v>23.1434473269676</v>
      </c>
      <c r="AV1179" s="2">
        <v>24.259832606702599</v>
      </c>
      <c r="AW1179" s="2">
        <v>23.9038501069403</v>
      </c>
      <c r="AX1179" s="2">
        <v>24.752390025796199</v>
      </c>
      <c r="AY1179" s="2">
        <v>24.526818733390499</v>
      </c>
      <c r="AZ1179" s="2">
        <v>24.2190467170687</v>
      </c>
      <c r="BA1179" s="2">
        <v>23.5922785058779</v>
      </c>
      <c r="BB1179" s="2">
        <v>24.393725020892099</v>
      </c>
      <c r="BC1179" s="2">
        <v>22.9183086217752</v>
      </c>
      <c r="BD1179" s="2">
        <v>23.885840070086399</v>
      </c>
      <c r="BE1179" s="2">
        <v>24.729254126840601</v>
      </c>
      <c r="BF1179" s="2">
        <v>24.155749399102799</v>
      </c>
      <c r="BG1179" s="2">
        <v>25.6361636267577</v>
      </c>
      <c r="BH1179" s="2">
        <v>25.079108736622601</v>
      </c>
      <c r="BI1179" s="2">
        <v>24.694254485977002</v>
      </c>
      <c r="BJ1179" s="2">
        <v>25.045755658076601</v>
      </c>
      <c r="BK1179" s="2">
        <v>24.377499088603201</v>
      </c>
      <c r="BL1179" s="2">
        <v>23.477361658862399</v>
      </c>
      <c r="BM1179" s="2">
        <v>24.1878646479373</v>
      </c>
      <c r="BN1179" s="2">
        <v>23.952179790575101</v>
      </c>
      <c r="BO1179" s="2">
        <v>24.078030589977701</v>
      </c>
      <c r="BP1179" s="2">
        <v>23.979485813834899</v>
      </c>
      <c r="BQ1179" s="2">
        <v>24.289645029150101</v>
      </c>
      <c r="BR1179" s="2">
        <v>24.088661149127901</v>
      </c>
      <c r="BS1179" s="2">
        <v>24.110021302924402</v>
      </c>
      <c r="BT1179" s="2">
        <v>24.063717361581901</v>
      </c>
      <c r="BU1179" s="2">
        <v>23.607676146023199</v>
      </c>
      <c r="BV1179" s="2">
        <v>23.813184677452899</v>
      </c>
      <c r="BW1179" s="2">
        <v>23.905839638310098</v>
      </c>
      <c r="BX1179" s="2">
        <v>24.186270230007398</v>
      </c>
      <c r="BY1179" s="2">
        <v>24.9759791501763</v>
      </c>
      <c r="BZ1179" s="2">
        <v>24.436387894386801</v>
      </c>
      <c r="CA1179" s="2">
        <v>24.016628688266302</v>
      </c>
      <c r="CB1179" s="2">
        <v>24.405561740419099</v>
      </c>
      <c r="CC1179" s="2">
        <v>24.7229086180288</v>
      </c>
      <c r="CD1179" s="2">
        <v>25.270227043638499</v>
      </c>
      <c r="CE1179" s="2">
        <v>25.202964561990001</v>
      </c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</row>
    <row r="1180" spans="1:97">
      <c r="A1180" s="2" t="s">
        <v>10749</v>
      </c>
      <c r="B1180" s="2">
        <v>109.10129999999999</v>
      </c>
      <c r="C1180" s="2">
        <v>4.8719999999999999</v>
      </c>
      <c r="D1180" s="2" t="s">
        <v>84</v>
      </c>
      <c r="E1180" s="2" t="s">
        <v>10750</v>
      </c>
      <c r="F1180" s="2" t="s">
        <v>10751</v>
      </c>
      <c r="G1180" s="2">
        <v>205411</v>
      </c>
      <c r="H1180" s="3" t="str">
        <f>HYPERLINK("https://cloud.oebiotech.com/#/lm/network/205411", "https://cloud.oebiotech.com/#/lm/network/205411")</f>
        <v>https://cloud.oebiotech.com/#/lm/network/205411</v>
      </c>
      <c r="I1180" s="2" t="s">
        <v>10752</v>
      </c>
      <c r="J1180" s="2">
        <v>442830</v>
      </c>
      <c r="K1180" s="2"/>
      <c r="L1180" s="2">
        <v>137207</v>
      </c>
      <c r="M1180" s="2"/>
      <c r="N1180" s="2"/>
      <c r="O1180" s="2"/>
      <c r="P1180" s="2">
        <v>37815</v>
      </c>
      <c r="Q1180" s="2"/>
      <c r="R1180" s="2"/>
      <c r="S1180" s="2"/>
      <c r="T1180" s="2" t="s">
        <v>10753</v>
      </c>
      <c r="U1180" s="2" t="s">
        <v>10754</v>
      </c>
      <c r="V1180" s="2" t="s">
        <v>10755</v>
      </c>
      <c r="W1180" s="2" t="s">
        <v>10756</v>
      </c>
      <c r="X1180" s="2" t="s">
        <v>10757</v>
      </c>
      <c r="Y1180" s="2" t="s">
        <v>10758</v>
      </c>
      <c r="Z1180" s="2" t="s">
        <v>10759</v>
      </c>
      <c r="AA1180" s="2" t="s">
        <v>10760</v>
      </c>
      <c r="AB1180" s="2" t="s">
        <v>5118</v>
      </c>
      <c r="AC1180" s="2">
        <v>47.86</v>
      </c>
      <c r="AD1180" s="2">
        <v>99.33</v>
      </c>
      <c r="AE1180" s="2">
        <v>51.13</v>
      </c>
      <c r="AF1180" s="2" t="s">
        <v>10761</v>
      </c>
      <c r="AG1180" s="2" t="s">
        <v>103</v>
      </c>
      <c r="AH1180" s="2" t="s">
        <v>10762</v>
      </c>
      <c r="AI1180" s="2">
        <v>-1.19</v>
      </c>
      <c r="AJ1180" s="2">
        <v>26.2539088301905</v>
      </c>
      <c r="AK1180" s="2">
        <v>26.364339892845098</v>
      </c>
      <c r="AL1180" s="2">
        <v>26.395736824168701</v>
      </c>
      <c r="AM1180" s="2">
        <v>26.462122545625199</v>
      </c>
      <c r="AN1180" s="2">
        <v>26.566094181104098</v>
      </c>
      <c r="AO1180" s="2">
        <v>26.509446382105899</v>
      </c>
      <c r="AP1180" s="2">
        <v>26.588855900665099</v>
      </c>
      <c r="AQ1180" s="2">
        <v>26.8358301292857</v>
      </c>
      <c r="AR1180" s="2">
        <v>26.138153242993202</v>
      </c>
      <c r="AS1180" s="2">
        <v>26.295992429647001</v>
      </c>
      <c r="AT1180" s="2">
        <v>26.333115474272699</v>
      </c>
      <c r="AU1180" s="2">
        <v>26.337159895404401</v>
      </c>
      <c r="AV1180" s="2">
        <v>26.057002228407399</v>
      </c>
      <c r="AW1180" s="2">
        <v>26.374839030537899</v>
      </c>
      <c r="AX1180" s="2">
        <v>26.283783054214801</v>
      </c>
      <c r="AY1180" s="2">
        <v>26.4009601663025</v>
      </c>
      <c r="AZ1180" s="2">
        <v>26.317183391915702</v>
      </c>
      <c r="BA1180" s="2">
        <v>26.2568409243144</v>
      </c>
      <c r="BB1180" s="2">
        <v>26.402604197419699</v>
      </c>
      <c r="BC1180" s="2">
        <v>26.485766893989101</v>
      </c>
      <c r="BD1180" s="2">
        <v>26.525094225176801</v>
      </c>
      <c r="BE1180" s="2">
        <v>26.238905190640001</v>
      </c>
      <c r="BF1180" s="2">
        <v>26.323775629611699</v>
      </c>
      <c r="BG1180" s="2">
        <v>26.4439052102835</v>
      </c>
      <c r="BH1180" s="2">
        <v>26.440699358527901</v>
      </c>
      <c r="BI1180" s="2">
        <v>26.486209882271801</v>
      </c>
      <c r="BJ1180" s="2">
        <v>26.380405703087501</v>
      </c>
      <c r="BK1180" s="2">
        <v>26.453254147134501</v>
      </c>
      <c r="BL1180" s="2">
        <v>26.5563656658539</v>
      </c>
      <c r="BM1180" s="2">
        <v>26.5007462396572</v>
      </c>
      <c r="BN1180" s="2">
        <v>26.4757636456442</v>
      </c>
      <c r="BO1180" s="2">
        <v>26.576111921021301</v>
      </c>
      <c r="BP1180" s="2">
        <v>26.4138000744158</v>
      </c>
      <c r="BQ1180" s="2">
        <v>26.561790765888698</v>
      </c>
      <c r="BR1180" s="2">
        <v>26.550757881606199</v>
      </c>
      <c r="BS1180" s="2">
        <v>26.444692776281599</v>
      </c>
      <c r="BT1180" s="2">
        <v>26.411113171815501</v>
      </c>
      <c r="BU1180" s="2">
        <v>26.568155499656299</v>
      </c>
      <c r="BV1180" s="2">
        <v>26.512987784419401</v>
      </c>
      <c r="BW1180" s="2">
        <v>26.641329171468801</v>
      </c>
      <c r="BX1180" s="2">
        <v>26.6492229963666</v>
      </c>
      <c r="BY1180" s="2">
        <v>26.4926201490258</v>
      </c>
      <c r="BZ1180" s="2">
        <v>26.6631083767635</v>
      </c>
      <c r="CA1180" s="2">
        <v>26.4044265661603</v>
      </c>
      <c r="CB1180" s="2">
        <v>26.5997830934921</v>
      </c>
      <c r="CC1180" s="2">
        <v>26.499838286532199</v>
      </c>
      <c r="CD1180" s="2">
        <v>26.488183713673301</v>
      </c>
      <c r="CE1180" s="2">
        <v>26.612814829622799</v>
      </c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</row>
    <row r="1181" spans="1:97">
      <c r="A1181" s="2" t="s">
        <v>10763</v>
      </c>
      <c r="B1181" s="2">
        <v>125.03789999999999</v>
      </c>
      <c r="C1181" s="2">
        <v>0.58199999999999996</v>
      </c>
      <c r="D1181" s="2" t="s">
        <v>84</v>
      </c>
      <c r="E1181" s="2" t="s">
        <v>10764</v>
      </c>
      <c r="F1181" s="2" t="s">
        <v>10765</v>
      </c>
      <c r="G1181" s="2">
        <v>200464</v>
      </c>
      <c r="H1181" s="3" t="str">
        <f>HYPERLINK("https://cloud.oebiotech.com/#/lm/network/200464", "https://cloud.oebiotech.com/#/lm/network/200464")</f>
        <v>https://cloud.oebiotech.com/#/lm/network/200464</v>
      </c>
      <c r="I1181" s="2" t="s">
        <v>10766</v>
      </c>
      <c r="J1181" s="2"/>
      <c r="K1181" s="2"/>
      <c r="L1181" s="2">
        <v>101263</v>
      </c>
      <c r="M1181" s="2"/>
      <c r="N1181" s="2"/>
      <c r="O1181" s="2"/>
      <c r="P1181" s="2"/>
      <c r="Q1181" s="2"/>
      <c r="R1181" s="2"/>
      <c r="S1181" s="2"/>
      <c r="T1181" s="2" t="s">
        <v>10767</v>
      </c>
      <c r="U1181" s="2" t="s">
        <v>10768</v>
      </c>
      <c r="V1181" s="2" t="s">
        <v>115</v>
      </c>
      <c r="W1181" s="2" t="s">
        <v>2162</v>
      </c>
      <c r="X1181" s="2" t="s">
        <v>2163</v>
      </c>
      <c r="Y1181" s="2" t="s">
        <v>118</v>
      </c>
      <c r="Z1181" s="2" t="s">
        <v>2164</v>
      </c>
      <c r="AA1181" s="2" t="s">
        <v>2164</v>
      </c>
      <c r="AB1181" s="2" t="s">
        <v>8443</v>
      </c>
      <c r="AC1181" s="2">
        <v>47.84</v>
      </c>
      <c r="AD1181" s="2">
        <v>95.32</v>
      </c>
      <c r="AE1181" s="2">
        <v>0</v>
      </c>
      <c r="AF1181" s="2" t="s">
        <v>5614</v>
      </c>
      <c r="AG1181" s="2" t="s">
        <v>103</v>
      </c>
      <c r="AH1181" s="2" t="s">
        <v>10769</v>
      </c>
      <c r="AI1181" s="2">
        <v>0</v>
      </c>
      <c r="AJ1181" s="2">
        <v>26.307652658849999</v>
      </c>
      <c r="AK1181" s="2">
        <v>26.1404762581185</v>
      </c>
      <c r="AL1181" s="2">
        <v>26.528252948328898</v>
      </c>
      <c r="AM1181" s="2">
        <v>26.2427606041059</v>
      </c>
      <c r="AN1181" s="2">
        <v>26.472756867295999</v>
      </c>
      <c r="AO1181" s="2">
        <v>26.266723024897701</v>
      </c>
      <c r="AP1181" s="2">
        <v>26.099289748243098</v>
      </c>
      <c r="AQ1181" s="2">
        <v>26.3147388134098</v>
      </c>
      <c r="AR1181" s="2">
        <v>25.956126238106201</v>
      </c>
      <c r="AS1181" s="2">
        <v>25.8578736220073</v>
      </c>
      <c r="AT1181" s="2">
        <v>25.973616665977701</v>
      </c>
      <c r="AU1181" s="2">
        <v>25.7650325229821</v>
      </c>
      <c r="AV1181" s="2">
        <v>26.1574790214374</v>
      </c>
      <c r="AW1181" s="2">
        <v>26.2347556837939</v>
      </c>
      <c r="AX1181" s="2">
        <v>26.240885306107099</v>
      </c>
      <c r="AY1181" s="2">
        <v>26.273879139799199</v>
      </c>
      <c r="AZ1181" s="2">
        <v>25.843628897420899</v>
      </c>
      <c r="BA1181" s="2">
        <v>25.948052773481798</v>
      </c>
      <c r="BB1181" s="2">
        <v>26.233994721962699</v>
      </c>
      <c r="BC1181" s="2">
        <v>26.2865115763475</v>
      </c>
      <c r="BD1181" s="2">
        <v>26.131342043734598</v>
      </c>
      <c r="BE1181" s="2">
        <v>26.453416617863599</v>
      </c>
      <c r="BF1181" s="2">
        <v>26.137778295956601</v>
      </c>
      <c r="BG1181" s="2">
        <v>26.1500202319442</v>
      </c>
      <c r="BH1181" s="2">
        <v>26.297608432938699</v>
      </c>
      <c r="BI1181" s="2">
        <v>25.8860497117278</v>
      </c>
      <c r="BJ1181" s="2">
        <v>26.1860229015745</v>
      </c>
      <c r="BK1181" s="2">
        <v>26.074812331667101</v>
      </c>
      <c r="BL1181" s="2">
        <v>26.194320137316101</v>
      </c>
      <c r="BM1181" s="2">
        <v>26.280147574989101</v>
      </c>
      <c r="BN1181" s="2">
        <v>26.3031027288826</v>
      </c>
      <c r="BO1181" s="2">
        <v>25.980221184334201</v>
      </c>
      <c r="BP1181" s="2">
        <v>25.988865134526002</v>
      </c>
      <c r="BQ1181" s="2">
        <v>25.874971002546999</v>
      </c>
      <c r="BR1181" s="2">
        <v>25.668858669176299</v>
      </c>
      <c r="BS1181" s="2">
        <v>26.1708514444686</v>
      </c>
      <c r="BT1181" s="2">
        <v>26.2977963869563</v>
      </c>
      <c r="BU1181" s="2">
        <v>26.3857151811637</v>
      </c>
      <c r="BV1181" s="2">
        <v>26.2757649670917</v>
      </c>
      <c r="BW1181" s="2">
        <v>26.1166091378564</v>
      </c>
      <c r="BX1181" s="2">
        <v>26.171195010932099</v>
      </c>
      <c r="BY1181" s="2">
        <v>26.836510646708899</v>
      </c>
      <c r="BZ1181" s="2">
        <v>25.769064098703701</v>
      </c>
      <c r="CA1181" s="2">
        <v>25.9458103214834</v>
      </c>
      <c r="CB1181" s="2">
        <v>26.049892000050701</v>
      </c>
      <c r="CC1181" s="2">
        <v>25.9351513432064</v>
      </c>
      <c r="CD1181" s="2">
        <v>26.398284796849101</v>
      </c>
      <c r="CE1181" s="2">
        <v>26.244780245961099</v>
      </c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</row>
    <row r="1182" spans="1:97">
      <c r="A1182" s="2" t="s">
        <v>10770</v>
      </c>
      <c r="B1182" s="2">
        <v>539.43091000000004</v>
      </c>
      <c r="C1182" s="2">
        <v>13.680999999999999</v>
      </c>
      <c r="D1182" s="2" t="s">
        <v>146</v>
      </c>
      <c r="E1182" s="2" t="s">
        <v>10771</v>
      </c>
      <c r="F1182" s="2" t="s">
        <v>10772</v>
      </c>
      <c r="G1182" s="2">
        <v>92353</v>
      </c>
      <c r="H1182" s="3" t="str">
        <f>HYPERLINK("https://cloud.oebiotech.com/#/lm/network/92353", "https://cloud.oebiotech.com/#/lm/network/92353")</f>
        <v>https://cloud.oebiotech.com/#/lm/network/92353</v>
      </c>
      <c r="I1182" s="2" t="s">
        <v>10773</v>
      </c>
      <c r="J1182" s="2"/>
      <c r="K1182" s="2"/>
      <c r="L1182" s="2">
        <v>131778334</v>
      </c>
      <c r="M1182" s="2"/>
      <c r="N1182" s="2"/>
      <c r="O1182" s="2"/>
      <c r="P1182" s="2"/>
      <c r="Q1182" s="2"/>
      <c r="R1182" s="2"/>
      <c r="S1182" s="2"/>
      <c r="T1182" s="2" t="s">
        <v>10774</v>
      </c>
      <c r="U1182" s="2" t="s">
        <v>10775</v>
      </c>
      <c r="V1182" s="2" t="s">
        <v>95</v>
      </c>
      <c r="W1182" s="2" t="s">
        <v>7709</v>
      </c>
      <c r="X1182" s="2" t="s">
        <v>10776</v>
      </c>
      <c r="Y1182" s="2" t="s">
        <v>98</v>
      </c>
      <c r="Z1182" s="2" t="s">
        <v>7711</v>
      </c>
      <c r="AA1182" s="2" t="s">
        <v>10777</v>
      </c>
      <c r="AB1182" s="2" t="s">
        <v>8443</v>
      </c>
      <c r="AC1182" s="2">
        <v>47.84</v>
      </c>
      <c r="AD1182" s="2">
        <v>98.92</v>
      </c>
      <c r="AE1182" s="2">
        <v>0</v>
      </c>
      <c r="AF1182" s="2" t="s">
        <v>10778</v>
      </c>
      <c r="AG1182" s="2" t="s">
        <v>194</v>
      </c>
      <c r="AH1182" s="2" t="s">
        <v>10779</v>
      </c>
      <c r="AI1182" s="2">
        <v>1.48</v>
      </c>
      <c r="AJ1182" s="2">
        <v>23.62252721082</v>
      </c>
      <c r="AK1182" s="2">
        <v>23.3945890278919</v>
      </c>
      <c r="AL1182" s="2">
        <v>23.313659908593401</v>
      </c>
      <c r="AM1182" s="2">
        <v>22.9021762673597</v>
      </c>
      <c r="AN1182" s="2">
        <v>23.412890777500401</v>
      </c>
      <c r="AO1182" s="2">
        <v>22.9905223476831</v>
      </c>
      <c r="AP1182" s="2">
        <v>23.460294142053201</v>
      </c>
      <c r="AQ1182" s="2">
        <v>23.276290209212998</v>
      </c>
      <c r="AR1182" s="2">
        <v>22.114712731412698</v>
      </c>
      <c r="AS1182" s="2">
        <v>22.8011872547732</v>
      </c>
      <c r="AT1182" s="2">
        <v>22.865162604255701</v>
      </c>
      <c r="AU1182" s="2">
        <v>21.307551007773998</v>
      </c>
      <c r="AV1182" s="2">
        <v>22.158140083110698</v>
      </c>
      <c r="AW1182" s="2">
        <v>22.749859118468201</v>
      </c>
      <c r="AX1182" s="2">
        <v>22.332250018066599</v>
      </c>
      <c r="AY1182" s="2">
        <v>22.9104844183525</v>
      </c>
      <c r="AZ1182" s="2">
        <v>22.629937108926601</v>
      </c>
      <c r="BA1182" s="2">
        <v>22.972401402988901</v>
      </c>
      <c r="BB1182" s="2">
        <v>22.642353969134</v>
      </c>
      <c r="BC1182" s="2">
        <v>23.299606349901101</v>
      </c>
      <c r="BD1182" s="2">
        <v>22.200834431854702</v>
      </c>
      <c r="BE1182" s="2">
        <v>24.399124620913799</v>
      </c>
      <c r="BF1182" s="2">
        <v>21.262329345483799</v>
      </c>
      <c r="BG1182" s="2">
        <v>23.285907489132601</v>
      </c>
      <c r="BH1182" s="2">
        <v>22.430243748940001</v>
      </c>
      <c r="BI1182" s="2">
        <v>22.1116284749743</v>
      </c>
      <c r="BJ1182" s="2">
        <v>23.996652901407799</v>
      </c>
      <c r="BK1182" s="2">
        <v>20.873158748164801</v>
      </c>
      <c r="BL1182" s="2">
        <v>23.278558738847899</v>
      </c>
      <c r="BM1182" s="2">
        <v>23.385998691415899</v>
      </c>
      <c r="BN1182" s="2">
        <v>21.6808465701424</v>
      </c>
      <c r="BO1182" s="2">
        <v>22.3587086226851</v>
      </c>
      <c r="BP1182" s="2">
        <v>22.494613252078899</v>
      </c>
      <c r="BQ1182" s="2">
        <v>21.713892927052701</v>
      </c>
      <c r="BR1182" s="2">
        <v>22.380579887702801</v>
      </c>
      <c r="BS1182" s="2">
        <v>22.9341401054083</v>
      </c>
      <c r="BT1182" s="2">
        <v>23.430122813932801</v>
      </c>
      <c r="BU1182" s="2">
        <v>22.942904547517099</v>
      </c>
      <c r="BV1182" s="2">
        <v>23.819234428721199</v>
      </c>
      <c r="BW1182" s="2">
        <v>22.389802487514299</v>
      </c>
      <c r="BX1182" s="2">
        <v>23.341967873133999</v>
      </c>
      <c r="BY1182" s="2">
        <v>25.087158783137198</v>
      </c>
      <c r="BZ1182" s="2">
        <v>21.989080124851998</v>
      </c>
      <c r="CA1182" s="2">
        <v>22.049164910326301</v>
      </c>
      <c r="CB1182" s="2">
        <v>23.120676519759002</v>
      </c>
      <c r="CC1182" s="2">
        <v>21.7358903240012</v>
      </c>
      <c r="CD1182" s="2">
        <v>24.390245188133498</v>
      </c>
      <c r="CE1182" s="2">
        <v>22.641180400562</v>
      </c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</row>
    <row r="1183" spans="1:97">
      <c r="A1183" s="2" t="s">
        <v>10780</v>
      </c>
      <c r="B1183" s="2">
        <v>213.01801</v>
      </c>
      <c r="C1183" s="2">
        <v>0.58299999999999996</v>
      </c>
      <c r="D1183" s="2" t="s">
        <v>84</v>
      </c>
      <c r="E1183" s="2" t="s">
        <v>10781</v>
      </c>
      <c r="F1183" s="2" t="s">
        <v>10782</v>
      </c>
      <c r="G1183" s="2">
        <v>47610</v>
      </c>
      <c r="H1183" s="3" t="str">
        <f>HYPERLINK("https://cloud.oebiotech.com/#/lm/network/47610", "https://cloud.oebiotech.com/#/lm/network/47610")</f>
        <v>https://cloud.oebiotech.com/#/lm/network/47610</v>
      </c>
      <c r="I1183" s="2" t="s">
        <v>10783</v>
      </c>
      <c r="J1183" s="2">
        <v>3370</v>
      </c>
      <c r="K1183" s="2"/>
      <c r="L1183" s="2">
        <v>439236</v>
      </c>
      <c r="M1183" s="2" t="s">
        <v>10784</v>
      </c>
      <c r="N1183" s="2" t="s">
        <v>10785</v>
      </c>
      <c r="O1183" s="2" t="s">
        <v>10786</v>
      </c>
      <c r="P1183" s="2">
        <v>16300</v>
      </c>
      <c r="Q1183" s="2"/>
      <c r="R1183" s="2"/>
      <c r="S1183" s="2" t="s">
        <v>10787</v>
      </c>
      <c r="T1183" s="2" t="s">
        <v>10788</v>
      </c>
      <c r="U1183" s="2" t="s">
        <v>10789</v>
      </c>
      <c r="V1183" s="2" t="s">
        <v>338</v>
      </c>
      <c r="W1183" s="2" t="s">
        <v>339</v>
      </c>
      <c r="X1183" s="2" t="s">
        <v>663</v>
      </c>
      <c r="Y1183" s="2" t="s">
        <v>341</v>
      </c>
      <c r="Z1183" s="2" t="s">
        <v>341</v>
      </c>
      <c r="AA1183" s="2" t="s">
        <v>664</v>
      </c>
      <c r="AB1183" s="2" t="s">
        <v>3086</v>
      </c>
      <c r="AC1183" s="2">
        <v>47.81</v>
      </c>
      <c r="AD1183" s="2">
        <v>96.38</v>
      </c>
      <c r="AE1183" s="2">
        <v>0</v>
      </c>
      <c r="AF1183" s="2" t="s">
        <v>5614</v>
      </c>
      <c r="AG1183" s="2" t="s">
        <v>1088</v>
      </c>
      <c r="AH1183" s="2" t="s">
        <v>4590</v>
      </c>
      <c r="AI1183" s="2">
        <v>-7.51</v>
      </c>
      <c r="AJ1183" s="2">
        <v>21.531128077515699</v>
      </c>
      <c r="AK1183" s="2">
        <v>20.913132866629098</v>
      </c>
      <c r="AL1183" s="2">
        <v>21.6846748277042</v>
      </c>
      <c r="AM1183" s="2">
        <v>21.262424065104302</v>
      </c>
      <c r="AN1183" s="2">
        <v>21.2608542895893</v>
      </c>
      <c r="AO1183" s="2">
        <v>21.143707868051401</v>
      </c>
      <c r="AP1183" s="2">
        <v>21.371850600765999</v>
      </c>
      <c r="AQ1183" s="2">
        <v>21.220094332694099</v>
      </c>
      <c r="AR1183" s="2">
        <v>21.1586214596642</v>
      </c>
      <c r="AS1183" s="2">
        <v>21.123146518575101</v>
      </c>
      <c r="AT1183" s="2">
        <v>21.320602641931099</v>
      </c>
      <c r="AU1183" s="2">
        <v>20.8584220079426</v>
      </c>
      <c r="AV1183" s="2">
        <v>21.489822256444</v>
      </c>
      <c r="AW1183" s="2">
        <v>21.086744702555698</v>
      </c>
      <c r="AX1183" s="2">
        <v>21.2464739820993</v>
      </c>
      <c r="AY1183" s="2">
        <v>21.150276029159901</v>
      </c>
      <c r="AZ1183" s="2">
        <v>20.884337950158098</v>
      </c>
      <c r="BA1183" s="2">
        <v>20.817175504267102</v>
      </c>
      <c r="BB1183" s="2">
        <v>21.5662803940881</v>
      </c>
      <c r="BC1183" s="2">
        <v>21.2459834186139</v>
      </c>
      <c r="BD1183" s="2">
        <v>21.533850876928899</v>
      </c>
      <c r="BE1183" s="2">
        <v>21.425447018262201</v>
      </c>
      <c r="BF1183" s="2">
        <v>21.3905388767419</v>
      </c>
      <c r="BG1183" s="2">
        <v>21.119435908289098</v>
      </c>
      <c r="BH1183" s="2">
        <v>21.439695055897399</v>
      </c>
      <c r="BI1183" s="2">
        <v>21.069499126619</v>
      </c>
      <c r="BJ1183" s="2">
        <v>21.313666726407099</v>
      </c>
      <c r="BK1183" s="2">
        <v>21.327198148876601</v>
      </c>
      <c r="BL1183" s="2">
        <v>21.170241194729801</v>
      </c>
      <c r="BM1183" s="2">
        <v>21.411382439916402</v>
      </c>
      <c r="BN1183" s="2">
        <v>21.501035590240299</v>
      </c>
      <c r="BO1183" s="2">
        <v>20.899366976846199</v>
      </c>
      <c r="BP1183" s="2">
        <v>21.230613434317501</v>
      </c>
      <c r="BQ1183" s="2">
        <v>20.866606852837801</v>
      </c>
      <c r="BR1183" s="2">
        <v>20.955548175008602</v>
      </c>
      <c r="BS1183" s="2">
        <v>21.155466450666999</v>
      </c>
      <c r="BT1183" s="2">
        <v>21.203058914237101</v>
      </c>
      <c r="BU1183" s="2">
        <v>21.188058014894398</v>
      </c>
      <c r="BV1183" s="2">
        <v>21.422161777572299</v>
      </c>
      <c r="BW1183" s="2">
        <v>21.243413322420199</v>
      </c>
      <c r="BX1183" s="2">
        <v>21.201876213719199</v>
      </c>
      <c r="BY1183" s="2">
        <v>21.575416832333499</v>
      </c>
      <c r="BZ1183" s="2">
        <v>21.219495959690999</v>
      </c>
      <c r="CA1183" s="2">
        <v>20.9782938293062</v>
      </c>
      <c r="CB1183" s="2">
        <v>21.187227020452099</v>
      </c>
      <c r="CC1183" s="2">
        <v>21.376109789720999</v>
      </c>
      <c r="CD1183" s="2">
        <v>21.0091712877907</v>
      </c>
      <c r="CE1183" s="2">
        <v>20.964656435509902</v>
      </c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</row>
    <row r="1184" spans="1:97">
      <c r="A1184" s="2" t="s">
        <v>10790</v>
      </c>
      <c r="B1184" s="2">
        <v>297.15397999999999</v>
      </c>
      <c r="C1184" s="2">
        <v>4.0010000000000003</v>
      </c>
      <c r="D1184" s="2" t="s">
        <v>84</v>
      </c>
      <c r="E1184" s="2" t="s">
        <v>10791</v>
      </c>
      <c r="F1184" s="2" t="s">
        <v>10792</v>
      </c>
      <c r="G1184" s="2">
        <v>53777</v>
      </c>
      <c r="H1184" s="3" t="str">
        <f>HYPERLINK("https://cloud.oebiotech.com/#/lm/network/53777", "https://cloud.oebiotech.com/#/lm/network/53777")</f>
        <v>https://cloud.oebiotech.com/#/lm/network/53777</v>
      </c>
      <c r="I1184" s="2" t="s">
        <v>10793</v>
      </c>
      <c r="J1184" s="2">
        <v>23675</v>
      </c>
      <c r="K1184" s="2"/>
      <c r="L1184" s="2">
        <v>18218184</v>
      </c>
      <c r="M1184" s="2"/>
      <c r="N1184" s="2"/>
      <c r="O1184" s="2"/>
      <c r="P1184" s="2"/>
      <c r="Q1184" s="2"/>
      <c r="R1184" s="2"/>
      <c r="S1184" s="2"/>
      <c r="T1184" s="2" t="s">
        <v>10794</v>
      </c>
      <c r="U1184" s="2" t="s">
        <v>10795</v>
      </c>
      <c r="V1184" s="2" t="s">
        <v>115</v>
      </c>
      <c r="W1184" s="2" t="s">
        <v>116</v>
      </c>
      <c r="X1184" s="2" t="s">
        <v>117</v>
      </c>
      <c r="Y1184" s="2" t="s">
        <v>118</v>
      </c>
      <c r="Z1184" s="2" t="s">
        <v>119</v>
      </c>
      <c r="AA1184" s="2" t="s">
        <v>120</v>
      </c>
      <c r="AB1184" s="2" t="s">
        <v>3086</v>
      </c>
      <c r="AC1184" s="2">
        <v>47.8</v>
      </c>
      <c r="AD1184" s="2">
        <v>90.88</v>
      </c>
      <c r="AE1184" s="2">
        <v>0</v>
      </c>
      <c r="AF1184" s="2" t="s">
        <v>5614</v>
      </c>
      <c r="AG1184" s="2" t="s">
        <v>132</v>
      </c>
      <c r="AH1184" s="2" t="s">
        <v>10796</v>
      </c>
      <c r="AI1184" s="2">
        <v>5.72</v>
      </c>
      <c r="AJ1184" s="2">
        <v>18.4676911152301</v>
      </c>
      <c r="AK1184" s="2">
        <v>18.344542679564</v>
      </c>
      <c r="AL1184" s="2">
        <v>18.184603466029898</v>
      </c>
      <c r="AM1184" s="2">
        <v>18.0933629361352</v>
      </c>
      <c r="AN1184" s="2">
        <v>18.234012238003299</v>
      </c>
      <c r="AO1184" s="2">
        <v>18.1818712020733</v>
      </c>
      <c r="AP1184" s="2">
        <v>18.1533203083121</v>
      </c>
      <c r="AQ1184" s="2">
        <v>18.2964803060012</v>
      </c>
      <c r="AR1184" s="2">
        <v>9.6233145402724691</v>
      </c>
      <c r="AS1184" s="2">
        <v>14.490359534867</v>
      </c>
      <c r="AT1184" s="2">
        <v>17.614404242522902</v>
      </c>
      <c r="AU1184" s="2">
        <v>18.306412465045501</v>
      </c>
      <c r="AV1184" s="2">
        <v>18.5146283438092</v>
      </c>
      <c r="AW1184" s="2">
        <v>18.8777108245581</v>
      </c>
      <c r="AX1184" s="2">
        <v>18.16029684502</v>
      </c>
      <c r="AY1184" s="2">
        <v>18.578968555732398</v>
      </c>
      <c r="AZ1184" s="2">
        <v>18.3222608168054</v>
      </c>
      <c r="BA1184" s="2">
        <v>17.636057487229799</v>
      </c>
      <c r="BB1184" s="2">
        <v>9.6233145402724691</v>
      </c>
      <c r="BC1184" s="2">
        <v>9.6233145402724691</v>
      </c>
      <c r="BD1184" s="2">
        <v>18.6326650480548</v>
      </c>
      <c r="BE1184" s="2">
        <v>18.9465010819439</v>
      </c>
      <c r="BF1184" s="2">
        <v>18.1208273859747</v>
      </c>
      <c r="BG1184" s="2">
        <v>9.6233145402724691</v>
      </c>
      <c r="BH1184" s="2">
        <v>18.6950534027957</v>
      </c>
      <c r="BI1184" s="2">
        <v>18.487049783973902</v>
      </c>
      <c r="BJ1184" s="2">
        <v>9.6233145402724691</v>
      </c>
      <c r="BK1184" s="2">
        <v>18.4114828100994</v>
      </c>
      <c r="BL1184" s="2">
        <v>18.593356579695101</v>
      </c>
      <c r="BM1184" s="2">
        <v>19.609609221717001</v>
      </c>
      <c r="BN1184" s="2">
        <v>18.891163691644799</v>
      </c>
      <c r="BO1184" s="2">
        <v>18.242234934817699</v>
      </c>
      <c r="BP1184" s="2">
        <v>18.825509730240402</v>
      </c>
      <c r="BQ1184" s="2">
        <v>18.552322932544101</v>
      </c>
      <c r="BR1184" s="2">
        <v>9.6233145402724691</v>
      </c>
      <c r="BS1184" s="2">
        <v>18.7663145679374</v>
      </c>
      <c r="BT1184" s="2">
        <v>9.6233145402724691</v>
      </c>
      <c r="BU1184" s="2">
        <v>18.613670455348998</v>
      </c>
      <c r="BV1184" s="2">
        <v>9.6233145402724691</v>
      </c>
      <c r="BW1184" s="2">
        <v>9.6233145402724691</v>
      </c>
      <c r="BX1184" s="2">
        <v>19.416761867097399</v>
      </c>
      <c r="BY1184" s="2">
        <v>19.7554583940165</v>
      </c>
      <c r="BZ1184" s="2">
        <v>9.6233145402724691</v>
      </c>
      <c r="CA1184" s="2">
        <v>17.214431257747499</v>
      </c>
      <c r="CB1184" s="2">
        <v>9.6233145402724691</v>
      </c>
      <c r="CC1184" s="2">
        <v>18.4128728021218</v>
      </c>
      <c r="CD1184" s="2">
        <v>18.895765073279399</v>
      </c>
      <c r="CE1184" s="2">
        <v>18.077036826723099</v>
      </c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</row>
    <row r="1185" spans="1:97">
      <c r="A1185" s="2" t="s">
        <v>10797</v>
      </c>
      <c r="B1185" s="2">
        <v>825.63134000000002</v>
      </c>
      <c r="C1185" s="2">
        <v>8.8049999999999997</v>
      </c>
      <c r="D1185" s="2" t="s">
        <v>84</v>
      </c>
      <c r="E1185" s="2" t="s">
        <v>10798</v>
      </c>
      <c r="F1185" s="2" t="s">
        <v>10799</v>
      </c>
      <c r="G1185" s="2">
        <v>135506</v>
      </c>
      <c r="H1185" s="3" t="str">
        <f>HYPERLINK("https://cloud.oebiotech.com/#/lm/network/135506", "https://cloud.oebiotech.com/#/lm/network/135506")</f>
        <v>https://cloud.oebiotech.com/#/lm/network/135506</v>
      </c>
      <c r="I1185" s="2" t="s">
        <v>10800</v>
      </c>
      <c r="J1185" s="2"/>
      <c r="K1185" s="2"/>
      <c r="L1185" s="2">
        <v>131822485</v>
      </c>
      <c r="M1185" s="2"/>
      <c r="N1185" s="2"/>
      <c r="O1185" s="2"/>
      <c r="P1185" s="2"/>
      <c r="Q1185" s="2"/>
      <c r="R1185" s="2"/>
      <c r="S1185" s="2"/>
      <c r="T1185" s="2" t="s">
        <v>10801</v>
      </c>
      <c r="U1185" s="2" t="s">
        <v>10802</v>
      </c>
      <c r="V1185" s="2" t="s">
        <v>95</v>
      </c>
      <c r="W1185" s="2" t="s">
        <v>202</v>
      </c>
      <c r="X1185" s="2" t="s">
        <v>6038</v>
      </c>
      <c r="Y1185" s="2" t="s">
        <v>98</v>
      </c>
      <c r="Z1185" s="2" t="s">
        <v>204</v>
      </c>
      <c r="AA1185" s="2" t="s">
        <v>6039</v>
      </c>
      <c r="AB1185" s="2" t="s">
        <v>5118</v>
      </c>
      <c r="AC1185" s="2">
        <v>47.8</v>
      </c>
      <c r="AD1185" s="2">
        <v>91.04</v>
      </c>
      <c r="AE1185" s="2">
        <v>77.12</v>
      </c>
      <c r="AF1185" s="2" t="s">
        <v>10803</v>
      </c>
      <c r="AG1185" s="2" t="s">
        <v>1578</v>
      </c>
      <c r="AH1185" s="2" t="s">
        <v>10804</v>
      </c>
      <c r="AI1185" s="2">
        <v>3.75</v>
      </c>
      <c r="AJ1185" s="2">
        <v>25.103147000607802</v>
      </c>
      <c r="AK1185" s="2">
        <v>25.285035352100099</v>
      </c>
      <c r="AL1185" s="2">
        <v>25.145920728920299</v>
      </c>
      <c r="AM1185" s="2">
        <v>25.1602102375881</v>
      </c>
      <c r="AN1185" s="2">
        <v>25.3662889407018</v>
      </c>
      <c r="AO1185" s="2">
        <v>25.056650346626501</v>
      </c>
      <c r="AP1185" s="2">
        <v>25.231582515636799</v>
      </c>
      <c r="AQ1185" s="2">
        <v>25.076104780483998</v>
      </c>
      <c r="AR1185" s="2">
        <v>24.945490901784801</v>
      </c>
      <c r="AS1185" s="2">
        <v>25.121056899580498</v>
      </c>
      <c r="AT1185" s="2">
        <v>24.9448260658015</v>
      </c>
      <c r="AU1185" s="2">
        <v>24.9529234155914</v>
      </c>
      <c r="AV1185" s="2">
        <v>25.2775083157042</v>
      </c>
      <c r="AW1185" s="2">
        <v>25.058263932358201</v>
      </c>
      <c r="AX1185" s="2">
        <v>25.063614296775</v>
      </c>
      <c r="AY1185" s="2">
        <v>24.926454322406599</v>
      </c>
      <c r="AZ1185" s="2">
        <v>25.189027867969799</v>
      </c>
      <c r="BA1185" s="2">
        <v>24.948454293009299</v>
      </c>
      <c r="BB1185" s="2">
        <v>24.9528994711564</v>
      </c>
      <c r="BC1185" s="2">
        <v>25.120167390782001</v>
      </c>
      <c r="BD1185" s="2">
        <v>25.202993192829101</v>
      </c>
      <c r="BE1185" s="2">
        <v>25.033333433763499</v>
      </c>
      <c r="BF1185" s="2">
        <v>24.938338714899999</v>
      </c>
      <c r="BG1185" s="2">
        <v>25.2139815348377</v>
      </c>
      <c r="BH1185" s="2">
        <v>25.174540527826899</v>
      </c>
      <c r="BI1185" s="2">
        <v>25.0034238101589</v>
      </c>
      <c r="BJ1185" s="2">
        <v>24.869159827191201</v>
      </c>
      <c r="BK1185" s="2">
        <v>25.046839083538401</v>
      </c>
      <c r="BL1185" s="2">
        <v>25.076892463043801</v>
      </c>
      <c r="BM1185" s="2">
        <v>24.927594536314199</v>
      </c>
      <c r="BN1185" s="2">
        <v>24.8232157593119</v>
      </c>
      <c r="BO1185" s="2">
        <v>25.0200263021414</v>
      </c>
      <c r="BP1185" s="2">
        <v>25.102012514214099</v>
      </c>
      <c r="BQ1185" s="2">
        <v>24.886416785417701</v>
      </c>
      <c r="BR1185" s="2">
        <v>25.013584212182099</v>
      </c>
      <c r="BS1185" s="2">
        <v>24.929123248086899</v>
      </c>
      <c r="BT1185" s="2">
        <v>25.011016352695499</v>
      </c>
      <c r="BU1185" s="2">
        <v>25.108120200437501</v>
      </c>
      <c r="BV1185" s="2">
        <v>25.1567172100279</v>
      </c>
      <c r="BW1185" s="2">
        <v>24.907404276405401</v>
      </c>
      <c r="BX1185" s="2">
        <v>24.939853531035101</v>
      </c>
      <c r="BY1185" s="2">
        <v>24.832707683171598</v>
      </c>
      <c r="BZ1185" s="2">
        <v>25.164502873528601</v>
      </c>
      <c r="CA1185" s="2">
        <v>24.987404379848801</v>
      </c>
      <c r="CB1185" s="2">
        <v>25.168373605649901</v>
      </c>
      <c r="CC1185" s="2">
        <v>24.9957411463546</v>
      </c>
      <c r="CD1185" s="2">
        <v>25.096989164434099</v>
      </c>
      <c r="CE1185" s="2">
        <v>25.209844774418599</v>
      </c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</row>
    <row r="1186" spans="1:97">
      <c r="A1186" s="2" t="s">
        <v>10805</v>
      </c>
      <c r="B1186" s="2">
        <v>189.03148999999999</v>
      </c>
      <c r="C1186" s="2">
        <v>1.27</v>
      </c>
      <c r="D1186" s="2" t="s">
        <v>146</v>
      </c>
      <c r="E1186" s="2" t="s">
        <v>10806</v>
      </c>
      <c r="F1186" s="2" t="s">
        <v>10807</v>
      </c>
      <c r="G1186" s="2">
        <v>53546</v>
      </c>
      <c r="H1186" s="3" t="str">
        <f>HYPERLINK("https://cloud.oebiotech.com/#/lm/network/53546", "https://cloud.oebiotech.com/#/lm/network/53546")</f>
        <v>https://cloud.oebiotech.com/#/lm/network/53546</v>
      </c>
      <c r="I1186" s="2" t="s">
        <v>10808</v>
      </c>
      <c r="J1186" s="2">
        <v>85514</v>
      </c>
      <c r="K1186" s="2"/>
      <c r="L1186" s="2">
        <v>19910</v>
      </c>
      <c r="M1186" s="2"/>
      <c r="N1186" s="2"/>
      <c r="O1186" s="2"/>
      <c r="P1186" s="2">
        <v>67121</v>
      </c>
      <c r="Q1186" s="2"/>
      <c r="R1186" s="2"/>
      <c r="S1186" s="2" t="s">
        <v>10809</v>
      </c>
      <c r="T1186" s="2" t="s">
        <v>10810</v>
      </c>
      <c r="U1186" s="2" t="s">
        <v>10811</v>
      </c>
      <c r="V1186" s="2" t="s">
        <v>553</v>
      </c>
      <c r="W1186" s="2" t="s">
        <v>1599</v>
      </c>
      <c r="X1186" s="2" t="s">
        <v>10812</v>
      </c>
      <c r="Y1186" s="2" t="s">
        <v>556</v>
      </c>
      <c r="Z1186" s="2" t="s">
        <v>1601</v>
      </c>
      <c r="AA1186" s="2" t="s">
        <v>10813</v>
      </c>
      <c r="AB1186" s="2" t="s">
        <v>5118</v>
      </c>
      <c r="AC1186" s="2">
        <v>47.79</v>
      </c>
      <c r="AD1186" s="2">
        <v>94.25</v>
      </c>
      <c r="AE1186" s="2">
        <v>79.36</v>
      </c>
      <c r="AF1186" s="2" t="s">
        <v>10814</v>
      </c>
      <c r="AG1186" s="2" t="s">
        <v>194</v>
      </c>
      <c r="AH1186" s="2" t="s">
        <v>10815</v>
      </c>
      <c r="AI1186" s="2">
        <v>-4.76</v>
      </c>
      <c r="AJ1186" s="2">
        <v>24.006052157015699</v>
      </c>
      <c r="AK1186" s="2">
        <v>23.9240729228597</v>
      </c>
      <c r="AL1186" s="2">
        <v>24.053093685544201</v>
      </c>
      <c r="AM1186" s="2">
        <v>24.0763610485314</v>
      </c>
      <c r="AN1186" s="2">
        <v>24.094615038413998</v>
      </c>
      <c r="AO1186" s="2">
        <v>24.040856165465399</v>
      </c>
      <c r="AP1186" s="2">
        <v>24.0419752824894</v>
      </c>
      <c r="AQ1186" s="2">
        <v>24.116288241104499</v>
      </c>
      <c r="AR1186" s="2">
        <v>24.045271383532601</v>
      </c>
      <c r="AS1186" s="2">
        <v>24.357840059047799</v>
      </c>
      <c r="AT1186" s="2">
        <v>24.221780166612</v>
      </c>
      <c r="AU1186" s="2">
        <v>24.402066468109599</v>
      </c>
      <c r="AV1186" s="2">
        <v>24.011666259424299</v>
      </c>
      <c r="AW1186" s="2">
        <v>24.0832477481352</v>
      </c>
      <c r="AX1186" s="2">
        <v>24.185338899800801</v>
      </c>
      <c r="AY1186" s="2">
        <v>24.175068467928401</v>
      </c>
      <c r="AZ1186" s="2">
        <v>24.283902592053401</v>
      </c>
      <c r="BA1186" s="2">
        <v>23.521192286659399</v>
      </c>
      <c r="BB1186" s="2">
        <v>23.278654060549499</v>
      </c>
      <c r="BC1186" s="2">
        <v>23.5432766835881</v>
      </c>
      <c r="BD1186" s="2">
        <v>23.162372790961001</v>
      </c>
      <c r="BE1186" s="2">
        <v>23.870914989215802</v>
      </c>
      <c r="BF1186" s="2">
        <v>23.908631328434801</v>
      </c>
      <c r="BG1186" s="2">
        <v>24.004836501101099</v>
      </c>
      <c r="BH1186" s="2">
        <v>24.201145595331599</v>
      </c>
      <c r="BI1186" s="2">
        <v>23.1017969728941</v>
      </c>
      <c r="BJ1186" s="2">
        <v>23.9694091765822</v>
      </c>
      <c r="BK1186" s="2">
        <v>24.118322642816501</v>
      </c>
      <c r="BL1186" s="2">
        <v>24.307140252775799</v>
      </c>
      <c r="BM1186" s="2">
        <v>22.805604939083501</v>
      </c>
      <c r="BN1186" s="2">
        <v>23.1596176125895</v>
      </c>
      <c r="BO1186" s="2">
        <v>23.153280239721099</v>
      </c>
      <c r="BP1186" s="2">
        <v>24.064808220035701</v>
      </c>
      <c r="BQ1186" s="2">
        <v>24.0680990262208</v>
      </c>
      <c r="BR1186" s="2">
        <v>23.843266340872201</v>
      </c>
      <c r="BS1186" s="2">
        <v>23.871922455762</v>
      </c>
      <c r="BT1186" s="2">
        <v>24.141539125614202</v>
      </c>
      <c r="BU1186" s="2">
        <v>24.021054463474499</v>
      </c>
      <c r="BV1186" s="2">
        <v>22.970324572046199</v>
      </c>
      <c r="BW1186" s="2">
        <v>24.3137612903265</v>
      </c>
      <c r="BX1186" s="2">
        <v>23.998246580450601</v>
      </c>
      <c r="BY1186" s="2">
        <v>23.616005411082199</v>
      </c>
      <c r="BZ1186" s="2">
        <v>23.926667233722402</v>
      </c>
      <c r="CA1186" s="2">
        <v>23.7279601494301</v>
      </c>
      <c r="CB1186" s="2">
        <v>23.3697746210206</v>
      </c>
      <c r="CC1186" s="2">
        <v>23.185533439587299</v>
      </c>
      <c r="CD1186" s="2">
        <v>23.843067701056</v>
      </c>
      <c r="CE1186" s="2">
        <v>24.1184065876521</v>
      </c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</row>
    <row r="1187" spans="1:97">
      <c r="A1187" s="2" t="s">
        <v>10816</v>
      </c>
      <c r="B1187" s="2">
        <v>131.06378000000001</v>
      </c>
      <c r="C1187" s="2">
        <v>4.2569999999999997</v>
      </c>
      <c r="D1187" s="2" t="s">
        <v>84</v>
      </c>
      <c r="E1187" s="2" t="s">
        <v>10817</v>
      </c>
      <c r="F1187" s="2" t="s">
        <v>10818</v>
      </c>
      <c r="G1187" s="2">
        <v>57236</v>
      </c>
      <c r="H1187" s="3" t="str">
        <f>HYPERLINK("https://cloud.oebiotech.com/#/lm/network/57236", "https://cloud.oebiotech.com/#/lm/network/57236")</f>
        <v>https://cloud.oebiotech.com/#/lm/network/57236</v>
      </c>
      <c r="I1187" s="2" t="s">
        <v>10819</v>
      </c>
      <c r="J1187" s="2">
        <v>88873</v>
      </c>
      <c r="K1187" s="2"/>
      <c r="L1187" s="2">
        <v>10934</v>
      </c>
      <c r="M1187" s="2"/>
      <c r="N1187" s="2"/>
      <c r="O1187" s="2"/>
      <c r="P1187" s="2"/>
      <c r="Q1187" s="2"/>
      <c r="R1187" s="2"/>
      <c r="S1187" s="2" t="s">
        <v>10820</v>
      </c>
      <c r="T1187" s="2" t="s">
        <v>10821</v>
      </c>
      <c r="U1187" s="2" t="s">
        <v>10822</v>
      </c>
      <c r="V1187" s="2" t="s">
        <v>553</v>
      </c>
      <c r="W1187" s="2" t="s">
        <v>554</v>
      </c>
      <c r="X1187" s="2" t="s">
        <v>10017</v>
      </c>
      <c r="Y1187" s="2" t="s">
        <v>556</v>
      </c>
      <c r="Z1187" s="2" t="s">
        <v>557</v>
      </c>
      <c r="AA1187" s="2" t="s">
        <v>10018</v>
      </c>
      <c r="AB1187" s="2" t="s">
        <v>8443</v>
      </c>
      <c r="AC1187" s="2">
        <v>47.76</v>
      </c>
      <c r="AD1187" s="2">
        <v>94.24</v>
      </c>
      <c r="AE1187" s="2">
        <v>0</v>
      </c>
      <c r="AF1187" s="2" t="s">
        <v>5614</v>
      </c>
      <c r="AG1187" s="2" t="s">
        <v>132</v>
      </c>
      <c r="AH1187" s="2" t="s">
        <v>10823</v>
      </c>
      <c r="AI1187" s="2">
        <v>-0.76</v>
      </c>
      <c r="AJ1187" s="2">
        <v>16.376769451162801</v>
      </c>
      <c r="AK1187" s="2">
        <v>16.125543228092301</v>
      </c>
      <c r="AL1187" s="2">
        <v>16.863126615129801</v>
      </c>
      <c r="AM1187" s="2">
        <v>16.931581034155499</v>
      </c>
      <c r="AN1187" s="2">
        <v>16.640454664294101</v>
      </c>
      <c r="AO1187" s="2">
        <v>16.906612901748201</v>
      </c>
      <c r="AP1187" s="2">
        <v>16.8799685916511</v>
      </c>
      <c r="AQ1187" s="2">
        <v>17.464755840902299</v>
      </c>
      <c r="AR1187" s="2">
        <v>9.6233145402724691</v>
      </c>
      <c r="AS1187" s="2">
        <v>9.6233145402724691</v>
      </c>
      <c r="AT1187" s="2">
        <v>16.548405466395</v>
      </c>
      <c r="AU1187" s="2">
        <v>17.208405652962401</v>
      </c>
      <c r="AV1187" s="2">
        <v>16.6947966910129</v>
      </c>
      <c r="AW1187" s="2">
        <v>15.0930250616341</v>
      </c>
      <c r="AX1187" s="2">
        <v>17.0291175579531</v>
      </c>
      <c r="AY1187" s="2">
        <v>17.481496500112801</v>
      </c>
      <c r="AZ1187" s="2">
        <v>16.684943351388501</v>
      </c>
      <c r="BA1187" s="2">
        <v>17.394830924730002</v>
      </c>
      <c r="BB1187" s="2">
        <v>9.6233145402724691</v>
      </c>
      <c r="BC1187" s="2">
        <v>16.999811769908099</v>
      </c>
      <c r="BD1187" s="2">
        <v>16.7929089722311</v>
      </c>
      <c r="BE1187" s="2">
        <v>18.930661319454</v>
      </c>
      <c r="BF1187" s="2">
        <v>17.134335467041399</v>
      </c>
      <c r="BG1187" s="2">
        <v>14.5859624602274</v>
      </c>
      <c r="BH1187" s="2">
        <v>17.465855007413101</v>
      </c>
      <c r="BI1187" s="2">
        <v>16.8917119226086</v>
      </c>
      <c r="BJ1187" s="2">
        <v>9.6233145402724691</v>
      </c>
      <c r="BK1187" s="2">
        <v>17.130428687331701</v>
      </c>
      <c r="BL1187" s="2">
        <v>17.4297423003974</v>
      </c>
      <c r="BM1187" s="2">
        <v>17.747375859993301</v>
      </c>
      <c r="BN1187" s="2">
        <v>16.822146190122901</v>
      </c>
      <c r="BO1187" s="2">
        <v>17.638402963101999</v>
      </c>
      <c r="BP1187" s="2">
        <v>14.6488114426962</v>
      </c>
      <c r="BQ1187" s="2">
        <v>17.725730640435</v>
      </c>
      <c r="BR1187" s="2">
        <v>9.6233145402724691</v>
      </c>
      <c r="BS1187" s="2">
        <v>17.2539296385775</v>
      </c>
      <c r="BT1187" s="2">
        <v>9.6233145402724691</v>
      </c>
      <c r="BU1187" s="2">
        <v>16.883587407453302</v>
      </c>
      <c r="BV1187" s="2">
        <v>13.588173523477099</v>
      </c>
      <c r="BW1187" s="2">
        <v>15.367552625240601</v>
      </c>
      <c r="BX1187" s="2">
        <v>17.300254326298301</v>
      </c>
      <c r="BY1187" s="2">
        <v>16.672203218788901</v>
      </c>
      <c r="BZ1187" s="2">
        <v>14.5098232417806</v>
      </c>
      <c r="CA1187" s="2">
        <v>9.6233145402724691</v>
      </c>
      <c r="CB1187" s="2">
        <v>9.6233145402724691</v>
      </c>
      <c r="CC1187" s="2">
        <v>18.3520336379677</v>
      </c>
      <c r="CD1187" s="2">
        <v>15.0288190516937</v>
      </c>
      <c r="CE1187" s="2">
        <v>16.597416818065199</v>
      </c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</row>
    <row r="1188" spans="1:97">
      <c r="A1188" s="2" t="s">
        <v>10824</v>
      </c>
      <c r="B1188" s="2">
        <v>281.24799000000002</v>
      </c>
      <c r="C1188" s="2">
        <v>10.156000000000001</v>
      </c>
      <c r="D1188" s="2" t="s">
        <v>146</v>
      </c>
      <c r="E1188" s="2" t="s">
        <v>10825</v>
      </c>
      <c r="F1188" s="2" t="s">
        <v>10826</v>
      </c>
      <c r="G1188" s="2">
        <v>576</v>
      </c>
      <c r="H1188" s="3" t="str">
        <f>HYPERLINK("https://cloud.oebiotech.com/#/lm/network/576", "https://cloud.oebiotech.com/#/lm/network/576")</f>
        <v>https://cloud.oebiotech.com/#/lm/network/576</v>
      </c>
      <c r="I1188" s="2" t="s">
        <v>10827</v>
      </c>
      <c r="J1188" s="2">
        <v>34753</v>
      </c>
      <c r="K1188" s="2" t="s">
        <v>10828</v>
      </c>
      <c r="L1188" s="2">
        <v>5282754</v>
      </c>
      <c r="M1188" s="2"/>
      <c r="N1188" s="2"/>
      <c r="O1188" s="2"/>
      <c r="P1188" s="2">
        <v>30829</v>
      </c>
      <c r="Q1188" s="2"/>
      <c r="R1188" s="2"/>
      <c r="S1188" s="2"/>
      <c r="T1188" s="2" t="s">
        <v>10829</v>
      </c>
      <c r="U1188" s="2" t="s">
        <v>10830</v>
      </c>
      <c r="V1188" s="2" t="s">
        <v>95</v>
      </c>
      <c r="W1188" s="2" t="s">
        <v>96</v>
      </c>
      <c r="X1188" s="2" t="s">
        <v>141</v>
      </c>
      <c r="Y1188" s="2" t="s">
        <v>98</v>
      </c>
      <c r="Z1188" s="2" t="s">
        <v>99</v>
      </c>
      <c r="AA1188" s="2" t="s">
        <v>142</v>
      </c>
      <c r="AB1188" s="2" t="s">
        <v>5118</v>
      </c>
      <c r="AC1188" s="2">
        <v>47.76</v>
      </c>
      <c r="AD1188" s="2">
        <v>88.64</v>
      </c>
      <c r="AE1188" s="2">
        <v>55.81</v>
      </c>
      <c r="AF1188" s="2" t="s">
        <v>10831</v>
      </c>
      <c r="AG1188" s="2" t="s">
        <v>194</v>
      </c>
      <c r="AH1188" s="2" t="s">
        <v>195</v>
      </c>
      <c r="AI1188" s="2">
        <v>2.13</v>
      </c>
      <c r="AJ1188" s="2">
        <v>19.002038273700201</v>
      </c>
      <c r="AK1188" s="2">
        <v>18.695294774232899</v>
      </c>
      <c r="AL1188" s="2">
        <v>18.8761597358024</v>
      </c>
      <c r="AM1188" s="2">
        <v>18.839544032935301</v>
      </c>
      <c r="AN1188" s="2">
        <v>18.759272954058101</v>
      </c>
      <c r="AO1188" s="2">
        <v>18.751633819397199</v>
      </c>
      <c r="AP1188" s="2">
        <v>18.7212311568431</v>
      </c>
      <c r="AQ1188" s="2">
        <v>18.776417481646501</v>
      </c>
      <c r="AR1188" s="2">
        <v>18.485817951143598</v>
      </c>
      <c r="AS1188" s="2">
        <v>18.093410187889202</v>
      </c>
      <c r="AT1188" s="2">
        <v>19.436891615684399</v>
      </c>
      <c r="AU1188" s="2">
        <v>18.2481838237549</v>
      </c>
      <c r="AV1188" s="2">
        <v>18.414531809186201</v>
      </c>
      <c r="AW1188" s="2">
        <v>18.235407567603001</v>
      </c>
      <c r="AX1188" s="2">
        <v>18.763204584707101</v>
      </c>
      <c r="AY1188" s="2">
        <v>18.134654430746199</v>
      </c>
      <c r="AZ1188" s="2">
        <v>17.736679386647602</v>
      </c>
      <c r="BA1188" s="2">
        <v>18.242404798643499</v>
      </c>
      <c r="BB1188" s="2">
        <v>18.717328343751198</v>
      </c>
      <c r="BC1188" s="2">
        <v>20.235364172435599</v>
      </c>
      <c r="BD1188" s="2">
        <v>18.3744307253918</v>
      </c>
      <c r="BE1188" s="2">
        <v>18.377322939952499</v>
      </c>
      <c r="BF1188" s="2">
        <v>18.245627349532501</v>
      </c>
      <c r="BG1188" s="2">
        <v>18.211743122516101</v>
      </c>
      <c r="BH1188" s="2">
        <v>18.524911056879098</v>
      </c>
      <c r="BI1188" s="2">
        <v>18.6264698665365</v>
      </c>
      <c r="BJ1188" s="2">
        <v>18.854445808963298</v>
      </c>
      <c r="BK1188" s="2">
        <v>18.170181806010198</v>
      </c>
      <c r="BL1188" s="2">
        <v>18.7971503752856</v>
      </c>
      <c r="BM1188" s="2">
        <v>17.718218322488699</v>
      </c>
      <c r="BN1188" s="2">
        <v>18.3782094101472</v>
      </c>
      <c r="BO1188" s="2">
        <v>18.576606832204799</v>
      </c>
      <c r="BP1188" s="2">
        <v>19.1120822658186</v>
      </c>
      <c r="BQ1188" s="2">
        <v>18.8679375658472</v>
      </c>
      <c r="BR1188" s="2">
        <v>19.026795278429098</v>
      </c>
      <c r="BS1188" s="2">
        <v>18.520129353999501</v>
      </c>
      <c r="BT1188" s="2">
        <v>18.365049731754599</v>
      </c>
      <c r="BU1188" s="2">
        <v>19.454800900909699</v>
      </c>
      <c r="BV1188" s="2">
        <v>18.736601176069801</v>
      </c>
      <c r="BW1188" s="2">
        <v>19.111087364904598</v>
      </c>
      <c r="BX1188" s="2">
        <v>18.7078645894407</v>
      </c>
      <c r="BY1188" s="2">
        <v>18.183725702147701</v>
      </c>
      <c r="BZ1188" s="2">
        <v>18.315764075433499</v>
      </c>
      <c r="CA1188" s="2">
        <v>18.5089215377049</v>
      </c>
      <c r="CB1188" s="2">
        <v>17.996008006795201</v>
      </c>
      <c r="CC1188" s="2">
        <v>18.6162736458528</v>
      </c>
      <c r="CD1188" s="2">
        <v>18.853087650866598</v>
      </c>
      <c r="CE1188" s="2">
        <v>18.355671640590501</v>
      </c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</row>
    <row r="1189" spans="1:97">
      <c r="A1189" s="2" t="s">
        <v>10832</v>
      </c>
      <c r="B1189" s="2">
        <v>339.21460000000002</v>
      </c>
      <c r="C1189" s="2">
        <v>12.255000000000001</v>
      </c>
      <c r="D1189" s="2" t="s">
        <v>146</v>
      </c>
      <c r="E1189" s="2" t="s">
        <v>10833</v>
      </c>
      <c r="F1189" s="2" t="s">
        <v>10834</v>
      </c>
      <c r="G1189" s="2">
        <v>2618</v>
      </c>
      <c r="H1189" s="3" t="str">
        <f>HYPERLINK("https://cloud.oebiotech.com/#/lm/network/2618", "https://cloud.oebiotech.com/#/lm/network/2618")</f>
        <v>https://cloud.oebiotech.com/#/lm/network/2618</v>
      </c>
      <c r="I1189" s="2" t="s">
        <v>10835</v>
      </c>
      <c r="J1189" s="2">
        <v>74896</v>
      </c>
      <c r="K1189" s="2" t="s">
        <v>10836</v>
      </c>
      <c r="L1189" s="2">
        <v>395943</v>
      </c>
      <c r="M1189" s="2" t="s">
        <v>10837</v>
      </c>
      <c r="N1189" s="2"/>
      <c r="O1189" s="2"/>
      <c r="P1189" s="2">
        <v>34491</v>
      </c>
      <c r="Q1189" s="2"/>
      <c r="R1189" s="2"/>
      <c r="S1189" s="2"/>
      <c r="T1189" s="2" t="s">
        <v>10838</v>
      </c>
      <c r="U1189" s="2" t="s">
        <v>10839</v>
      </c>
      <c r="V1189" s="2" t="s">
        <v>95</v>
      </c>
      <c r="W1189" s="2" t="s">
        <v>96</v>
      </c>
      <c r="X1189" s="2" t="s">
        <v>141</v>
      </c>
      <c r="Y1189" s="2" t="s">
        <v>98</v>
      </c>
      <c r="Z1189" s="2" t="s">
        <v>99</v>
      </c>
      <c r="AA1189" s="2" t="s">
        <v>142</v>
      </c>
      <c r="AB1189" s="2" t="s">
        <v>3086</v>
      </c>
      <c r="AC1189" s="2">
        <v>47.76</v>
      </c>
      <c r="AD1189" s="2">
        <v>96.43</v>
      </c>
      <c r="AE1189" s="2">
        <v>0</v>
      </c>
      <c r="AF1189" s="2" t="s">
        <v>10840</v>
      </c>
      <c r="AG1189" s="2" t="s">
        <v>157</v>
      </c>
      <c r="AH1189" s="2" t="s">
        <v>10841</v>
      </c>
      <c r="AI1189" s="2">
        <v>9.14</v>
      </c>
      <c r="AJ1189" s="2">
        <v>20.2884283421586</v>
      </c>
      <c r="AK1189" s="2">
        <v>19.866937671544001</v>
      </c>
      <c r="AL1189" s="2">
        <v>19.185175800463298</v>
      </c>
      <c r="AM1189" s="2">
        <v>19.404616860578901</v>
      </c>
      <c r="AN1189" s="2">
        <v>19.637592884136399</v>
      </c>
      <c r="AO1189" s="2">
        <v>19.251143222023899</v>
      </c>
      <c r="AP1189" s="2">
        <v>19.572858663806599</v>
      </c>
      <c r="AQ1189" s="2">
        <v>19.271959174487598</v>
      </c>
      <c r="AR1189" s="2">
        <v>19.1044768244656</v>
      </c>
      <c r="AS1189" s="2">
        <v>19.3651110067978</v>
      </c>
      <c r="AT1189" s="2">
        <v>20.0531274621259</v>
      </c>
      <c r="AU1189" s="2">
        <v>19.165637568422401</v>
      </c>
      <c r="AV1189" s="2">
        <v>19.277056579341501</v>
      </c>
      <c r="AW1189" s="2">
        <v>19.393573338622101</v>
      </c>
      <c r="AX1189" s="2">
        <v>19.363352353160401</v>
      </c>
      <c r="AY1189" s="2">
        <v>19.324037101685501</v>
      </c>
      <c r="AZ1189" s="2">
        <v>19.092472601295</v>
      </c>
      <c r="BA1189" s="2">
        <v>19.5455386971779</v>
      </c>
      <c r="BB1189" s="2">
        <v>19.200234829497301</v>
      </c>
      <c r="BC1189" s="2">
        <v>20.2173406389051</v>
      </c>
      <c r="BD1189" s="2">
        <v>18.786735680054001</v>
      </c>
      <c r="BE1189" s="2">
        <v>20.2034362256842</v>
      </c>
      <c r="BF1189" s="2">
        <v>18.163613710387601</v>
      </c>
      <c r="BG1189" s="2">
        <v>19.384332563370101</v>
      </c>
      <c r="BH1189" s="2">
        <v>17.469563124370801</v>
      </c>
      <c r="BI1189" s="2">
        <v>19.446491132123601</v>
      </c>
      <c r="BJ1189" s="2">
        <v>19.026753140869602</v>
      </c>
      <c r="BK1189" s="2">
        <v>18.448518804224999</v>
      </c>
      <c r="BL1189" s="2">
        <v>19.481296974340701</v>
      </c>
      <c r="BM1189" s="2">
        <v>18.844464234721201</v>
      </c>
      <c r="BN1189" s="2">
        <v>19.802953099722501</v>
      </c>
      <c r="BO1189" s="2">
        <v>19.763041215614599</v>
      </c>
      <c r="BP1189" s="2">
        <v>19.379007292638398</v>
      </c>
      <c r="BQ1189" s="2">
        <v>19.3085124855149</v>
      </c>
      <c r="BR1189" s="2">
        <v>19.7579612951046</v>
      </c>
      <c r="BS1189" s="2">
        <v>18.908076298714398</v>
      </c>
      <c r="BT1189" s="2">
        <v>18.623327509165801</v>
      </c>
      <c r="BU1189" s="2">
        <v>19.510796478171301</v>
      </c>
      <c r="BV1189" s="2">
        <v>19.581125445732599</v>
      </c>
      <c r="BW1189" s="2">
        <v>18.879132426719501</v>
      </c>
      <c r="BX1189" s="2">
        <v>19.1616736040124</v>
      </c>
      <c r="BY1189" s="2">
        <v>19.5430423962734</v>
      </c>
      <c r="BZ1189" s="2">
        <v>19.5751228372234</v>
      </c>
      <c r="CA1189" s="2">
        <v>19.164292459523701</v>
      </c>
      <c r="CB1189" s="2">
        <v>18.867795197053798</v>
      </c>
      <c r="CC1189" s="2">
        <v>18.9214545321584</v>
      </c>
      <c r="CD1189" s="2">
        <v>19.562260351945199</v>
      </c>
      <c r="CE1189" s="2">
        <v>19.387773002398099</v>
      </c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</row>
    <row r="1190" spans="1:97">
      <c r="A1190" s="2" t="s">
        <v>10842</v>
      </c>
      <c r="B1190" s="2">
        <v>215.06684999999999</v>
      </c>
      <c r="C1190" s="2">
        <v>1.0900000000000001</v>
      </c>
      <c r="D1190" s="2" t="s">
        <v>146</v>
      </c>
      <c r="E1190" s="2" t="s">
        <v>10843</v>
      </c>
      <c r="F1190" s="2" t="s">
        <v>10844</v>
      </c>
      <c r="G1190" s="2">
        <v>207243</v>
      </c>
      <c r="H1190" s="3" t="str">
        <f>HYPERLINK("https://cloud.oebiotech.com/#/lm/network/207243", "https://cloud.oebiotech.com/#/lm/network/207243")</f>
        <v>https://cloud.oebiotech.com/#/lm/network/207243</v>
      </c>
      <c r="I1190" s="2" t="s">
        <v>10845</v>
      </c>
      <c r="J1190" s="2"/>
      <c r="K1190" s="2"/>
      <c r="L1190" s="2">
        <v>129691591</v>
      </c>
      <c r="M1190" s="2"/>
      <c r="N1190" s="2"/>
      <c r="O1190" s="2"/>
      <c r="P1190" s="2"/>
      <c r="Q1190" s="2"/>
      <c r="R1190" s="2"/>
      <c r="S1190" s="2"/>
      <c r="T1190" s="2" t="s">
        <v>10846</v>
      </c>
      <c r="U1190" s="2" t="s">
        <v>10847</v>
      </c>
      <c r="V1190" s="2" t="s">
        <v>115</v>
      </c>
      <c r="W1190" s="2" t="s">
        <v>116</v>
      </c>
      <c r="X1190" s="2" t="s">
        <v>117</v>
      </c>
      <c r="Y1190" s="2" t="s">
        <v>118</v>
      </c>
      <c r="Z1190" s="2" t="s">
        <v>119</v>
      </c>
      <c r="AA1190" s="2" t="s">
        <v>120</v>
      </c>
      <c r="AB1190" s="2" t="s">
        <v>8443</v>
      </c>
      <c r="AC1190" s="2">
        <v>47.75</v>
      </c>
      <c r="AD1190" s="2">
        <v>94.19</v>
      </c>
      <c r="AE1190" s="2">
        <v>0</v>
      </c>
      <c r="AF1190" s="2" t="s">
        <v>5614</v>
      </c>
      <c r="AG1190" s="2" t="s">
        <v>993</v>
      </c>
      <c r="AH1190" s="2" t="s">
        <v>1173</v>
      </c>
      <c r="AI1190" s="2">
        <v>0</v>
      </c>
      <c r="AJ1190" s="2">
        <v>18.623774882465099</v>
      </c>
      <c r="AK1190" s="2">
        <v>19.764316109053301</v>
      </c>
      <c r="AL1190" s="2">
        <v>19.682011819584801</v>
      </c>
      <c r="AM1190" s="2">
        <v>19.736673838063901</v>
      </c>
      <c r="AN1190" s="2">
        <v>19.688139694857501</v>
      </c>
      <c r="AO1190" s="2">
        <v>18.6952043963893</v>
      </c>
      <c r="AP1190" s="2">
        <v>19.6477809224677</v>
      </c>
      <c r="AQ1190" s="2">
        <v>19.672221108706999</v>
      </c>
      <c r="AR1190" s="2">
        <v>18.885665544410799</v>
      </c>
      <c r="AS1190" s="2">
        <v>18.343131181252701</v>
      </c>
      <c r="AT1190" s="2">
        <v>19.037834680343298</v>
      </c>
      <c r="AU1190" s="2">
        <v>18.4716601333241</v>
      </c>
      <c r="AV1190" s="2">
        <v>19.103389756625599</v>
      </c>
      <c r="AW1190" s="2">
        <v>17.817867730260499</v>
      </c>
      <c r="AX1190" s="2">
        <v>18.033662384046998</v>
      </c>
      <c r="AY1190" s="2">
        <v>19.320669678859399</v>
      </c>
      <c r="AZ1190" s="2">
        <v>18.919019544833102</v>
      </c>
      <c r="BA1190" s="2">
        <v>17.824409436105</v>
      </c>
      <c r="BB1190" s="2">
        <v>20.029594155298302</v>
      </c>
      <c r="BC1190" s="2">
        <v>21.024602255035301</v>
      </c>
      <c r="BD1190" s="2">
        <v>19.401424878900301</v>
      </c>
      <c r="BE1190" s="2">
        <v>19.5581789595286</v>
      </c>
      <c r="BF1190" s="2">
        <v>18.405339233322</v>
      </c>
      <c r="BG1190" s="2">
        <v>20.183475307621201</v>
      </c>
      <c r="BH1190" s="2">
        <v>19.090451080285501</v>
      </c>
      <c r="BI1190" s="2">
        <v>19.2826072855296</v>
      </c>
      <c r="BJ1190" s="2">
        <v>19.5785417472805</v>
      </c>
      <c r="BK1190" s="2">
        <v>19.336653564186399</v>
      </c>
      <c r="BL1190" s="2">
        <v>18.735362452867101</v>
      </c>
      <c r="BM1190" s="2">
        <v>19.4721327307977</v>
      </c>
      <c r="BN1190" s="2">
        <v>19.372744141955302</v>
      </c>
      <c r="BO1190" s="2">
        <v>18.7987956256435</v>
      </c>
      <c r="BP1190" s="2">
        <v>19.140030692279499</v>
      </c>
      <c r="BQ1190" s="2">
        <v>19.140784820626202</v>
      </c>
      <c r="BR1190" s="2">
        <v>19.3293352635128</v>
      </c>
      <c r="BS1190" s="2">
        <v>19.123562347081702</v>
      </c>
      <c r="BT1190" s="2">
        <v>19.905914702973998</v>
      </c>
      <c r="BU1190" s="2">
        <v>19.044362952846999</v>
      </c>
      <c r="BV1190" s="2">
        <v>20.430074911692301</v>
      </c>
      <c r="BW1190" s="2">
        <v>20.0249096203821</v>
      </c>
      <c r="BX1190" s="2">
        <v>18.777714722169499</v>
      </c>
      <c r="BY1190" s="2">
        <v>19.673449887856599</v>
      </c>
      <c r="BZ1190" s="2">
        <v>20.439266196275799</v>
      </c>
      <c r="CA1190" s="2">
        <v>20.397487560158201</v>
      </c>
      <c r="CB1190" s="2">
        <v>19.695932526533699</v>
      </c>
      <c r="CC1190" s="2">
        <v>19.203897517592001</v>
      </c>
      <c r="CD1190" s="2">
        <v>18.5663516941664</v>
      </c>
      <c r="CE1190" s="2">
        <v>19.114298058657798</v>
      </c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</row>
    <row r="1191" spans="1:97">
      <c r="A1191" s="2" t="s">
        <v>10848</v>
      </c>
      <c r="B1191" s="2">
        <v>224.97915</v>
      </c>
      <c r="C1191" s="2">
        <v>0.78800000000000003</v>
      </c>
      <c r="D1191" s="2" t="s">
        <v>146</v>
      </c>
      <c r="E1191" s="2" t="s">
        <v>10849</v>
      </c>
      <c r="F1191" s="2" t="s">
        <v>10850</v>
      </c>
      <c r="G1191" s="2">
        <v>199489</v>
      </c>
      <c r="H1191" s="3" t="str">
        <f>HYPERLINK("https://cloud.oebiotech.com/#/lm/network/199489", "https://cloud.oebiotech.com/#/lm/network/199489")</f>
        <v>https://cloud.oebiotech.com/#/lm/network/199489</v>
      </c>
      <c r="I1191" s="2" t="s">
        <v>10851</v>
      </c>
      <c r="J1191" s="2">
        <v>333412</v>
      </c>
      <c r="K1191" s="2"/>
      <c r="L1191" s="2">
        <v>66560</v>
      </c>
      <c r="M1191" s="2"/>
      <c r="N1191" s="2"/>
      <c r="O1191" s="2"/>
      <c r="P1191" s="2"/>
      <c r="Q1191" s="2"/>
      <c r="R1191" s="2"/>
      <c r="S1191" s="2"/>
      <c r="T1191" s="2" t="s">
        <v>10852</v>
      </c>
      <c r="U1191" s="2" t="s">
        <v>10853</v>
      </c>
      <c r="V1191" s="2" t="s">
        <v>385</v>
      </c>
      <c r="W1191" s="2" t="s">
        <v>4381</v>
      </c>
      <c r="X1191" s="2" t="s">
        <v>10854</v>
      </c>
      <c r="Y1191" s="2" t="s">
        <v>388</v>
      </c>
      <c r="Z1191" s="2" t="s">
        <v>4382</v>
      </c>
      <c r="AA1191" s="2" t="s">
        <v>10855</v>
      </c>
      <c r="AB1191" s="2" t="s">
        <v>5118</v>
      </c>
      <c r="AC1191" s="2">
        <v>47.75</v>
      </c>
      <c r="AD1191" s="2">
        <v>92</v>
      </c>
      <c r="AE1191" s="2">
        <v>77.19</v>
      </c>
      <c r="AF1191" s="2" t="s">
        <v>10856</v>
      </c>
      <c r="AG1191" s="2" t="s">
        <v>194</v>
      </c>
      <c r="AH1191" s="2" t="s">
        <v>10857</v>
      </c>
      <c r="AI1191" s="2">
        <v>-4</v>
      </c>
      <c r="AJ1191" s="2">
        <v>25.1047484486946</v>
      </c>
      <c r="AK1191" s="2">
        <v>25.058767803268001</v>
      </c>
      <c r="AL1191" s="2">
        <v>25.085570680044501</v>
      </c>
      <c r="AM1191" s="2">
        <v>25.390070339300301</v>
      </c>
      <c r="AN1191" s="2">
        <v>24.984269634065399</v>
      </c>
      <c r="AO1191" s="2">
        <v>25.0061370374451</v>
      </c>
      <c r="AP1191" s="2">
        <v>25.1161063003373</v>
      </c>
      <c r="AQ1191" s="2">
        <v>25.0984047184748</v>
      </c>
      <c r="AR1191" s="2">
        <v>24.8855392613312</v>
      </c>
      <c r="AS1191" s="2">
        <v>24.413235571407199</v>
      </c>
      <c r="AT1191" s="2">
        <v>24.991663750557301</v>
      </c>
      <c r="AU1191" s="2">
        <v>24.332426074426198</v>
      </c>
      <c r="AV1191" s="2">
        <v>24.874320388096301</v>
      </c>
      <c r="AW1191" s="2">
        <v>25.482020623325699</v>
      </c>
      <c r="AX1191" s="2">
        <v>25.384588074336001</v>
      </c>
      <c r="AY1191" s="2">
        <v>24.990517122594099</v>
      </c>
      <c r="AZ1191" s="2">
        <v>24.794053205237301</v>
      </c>
      <c r="BA1191" s="2">
        <v>25.3034941271214</v>
      </c>
      <c r="BB1191" s="2">
        <v>24.7136204456726</v>
      </c>
      <c r="BC1191" s="2">
        <v>24.095203900326698</v>
      </c>
      <c r="BD1191" s="2">
        <v>23.593875869970699</v>
      </c>
      <c r="BE1191" s="2">
        <v>25.596936697052701</v>
      </c>
      <c r="BF1191" s="2">
        <v>24.221290391467701</v>
      </c>
      <c r="BG1191" s="2">
        <v>25.291891146531899</v>
      </c>
      <c r="BH1191" s="2">
        <v>24.9177758471982</v>
      </c>
      <c r="BI1191" s="2">
        <v>26.224283844662601</v>
      </c>
      <c r="BJ1191" s="2">
        <v>24.353431667798901</v>
      </c>
      <c r="BK1191" s="2">
        <v>25.257735857989001</v>
      </c>
      <c r="BL1191" s="2">
        <v>24.915520545161499</v>
      </c>
      <c r="BM1191" s="2">
        <v>24.380794401401399</v>
      </c>
      <c r="BN1191" s="2">
        <v>25.212298124733501</v>
      </c>
      <c r="BO1191" s="2">
        <v>25.466391778798599</v>
      </c>
      <c r="BP1191" s="2">
        <v>25.079940809990202</v>
      </c>
      <c r="BQ1191" s="2">
        <v>25.205974593142599</v>
      </c>
      <c r="BR1191" s="2">
        <v>25.287395629543301</v>
      </c>
      <c r="BS1191" s="2">
        <v>25.4238873165021</v>
      </c>
      <c r="BT1191" s="2">
        <v>24.011757263513601</v>
      </c>
      <c r="BU1191" s="2">
        <v>24.658678863646202</v>
      </c>
      <c r="BV1191" s="2">
        <v>24.804972604752699</v>
      </c>
      <c r="BW1191" s="2">
        <v>24.382434590761601</v>
      </c>
      <c r="BX1191" s="2">
        <v>24.583884074957101</v>
      </c>
      <c r="BY1191" s="2">
        <v>25.683828597849701</v>
      </c>
      <c r="BZ1191" s="2">
        <v>24.335242602636601</v>
      </c>
      <c r="CA1191" s="2">
        <v>24.582435495853399</v>
      </c>
      <c r="CB1191" s="2">
        <v>25.057249039894799</v>
      </c>
      <c r="CC1191" s="2">
        <v>25.622478522513202</v>
      </c>
      <c r="CD1191" s="2">
        <v>25.5364271594771</v>
      </c>
      <c r="CE1191" s="2">
        <v>25.130024463927899</v>
      </c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</row>
    <row r="1192" spans="1:97">
      <c r="A1192" s="2" t="s">
        <v>10858</v>
      </c>
      <c r="B1192" s="2">
        <v>503.28867000000002</v>
      </c>
      <c r="C1192" s="2">
        <v>8.827</v>
      </c>
      <c r="D1192" s="2" t="s">
        <v>84</v>
      </c>
      <c r="E1192" s="2" t="s">
        <v>10859</v>
      </c>
      <c r="F1192" s="2" t="s">
        <v>10860</v>
      </c>
      <c r="G1192" s="2">
        <v>203795</v>
      </c>
      <c r="H1192" s="3" t="str">
        <f>HYPERLINK("https://cloud.oebiotech.com/#/lm/network/203795", "https://cloud.oebiotech.com/#/lm/network/203795")</f>
        <v>https://cloud.oebiotech.com/#/lm/network/203795</v>
      </c>
      <c r="I1192" s="2" t="s">
        <v>10861</v>
      </c>
      <c r="J1192" s="2"/>
      <c r="K1192" s="2"/>
      <c r="L1192" s="2">
        <v>71496460</v>
      </c>
      <c r="M1192" s="2"/>
      <c r="N1192" s="2"/>
      <c r="O1192" s="2"/>
      <c r="P1192" s="2"/>
      <c r="Q1192" s="2"/>
      <c r="R1192" s="2"/>
      <c r="S1192" s="2"/>
      <c r="T1192" s="2" t="s">
        <v>10862</v>
      </c>
      <c r="U1192" s="2" t="s">
        <v>10863</v>
      </c>
      <c r="V1192" s="2" t="s">
        <v>385</v>
      </c>
      <c r="W1192" s="2" t="s">
        <v>386</v>
      </c>
      <c r="X1192" s="2" t="s">
        <v>8386</v>
      </c>
      <c r="Y1192" s="2" t="s">
        <v>388</v>
      </c>
      <c r="Z1192" s="2" t="s">
        <v>389</v>
      </c>
      <c r="AA1192" s="2" t="s">
        <v>8387</v>
      </c>
      <c r="AB1192" s="2" t="s">
        <v>5118</v>
      </c>
      <c r="AC1192" s="2">
        <v>47.73</v>
      </c>
      <c r="AD1192" s="2">
        <v>98.01</v>
      </c>
      <c r="AE1192" s="2">
        <v>55.73</v>
      </c>
      <c r="AF1192" s="2" t="s">
        <v>10864</v>
      </c>
      <c r="AG1192" s="2" t="s">
        <v>132</v>
      </c>
      <c r="AH1192" s="2" t="s">
        <v>10865</v>
      </c>
      <c r="AI1192" s="2">
        <v>-1.79</v>
      </c>
      <c r="AJ1192" s="2">
        <v>22.6435462002596</v>
      </c>
      <c r="AK1192" s="2">
        <v>21.665587659114699</v>
      </c>
      <c r="AL1192" s="2">
        <v>22.058112513463399</v>
      </c>
      <c r="AM1192" s="2">
        <v>22.632865253433799</v>
      </c>
      <c r="AN1192" s="2">
        <v>22.715679371611401</v>
      </c>
      <c r="AO1192" s="2">
        <v>22.585201000305101</v>
      </c>
      <c r="AP1192" s="2">
        <v>22.761191596088501</v>
      </c>
      <c r="AQ1192" s="2">
        <v>22.578294984226499</v>
      </c>
      <c r="AR1192" s="2">
        <v>22.656491089680799</v>
      </c>
      <c r="AS1192" s="2">
        <v>22.714139585567601</v>
      </c>
      <c r="AT1192" s="2">
        <v>22.634338315011298</v>
      </c>
      <c r="AU1192" s="2">
        <v>21.9565778961631</v>
      </c>
      <c r="AV1192" s="2">
        <v>22.713989051115</v>
      </c>
      <c r="AW1192" s="2">
        <v>22.445294030639001</v>
      </c>
      <c r="AX1192" s="2">
        <v>22.691244793992698</v>
      </c>
      <c r="AY1192" s="2">
        <v>22.547081941535801</v>
      </c>
      <c r="AZ1192" s="2">
        <v>22.726267527571402</v>
      </c>
      <c r="BA1192" s="2">
        <v>22.484998064766501</v>
      </c>
      <c r="BB1192" s="2">
        <v>22.4198136595477</v>
      </c>
      <c r="BC1192" s="2">
        <v>21.850649324766099</v>
      </c>
      <c r="BD1192" s="2">
        <v>22.785210209938199</v>
      </c>
      <c r="BE1192" s="2">
        <v>22.709371596782699</v>
      </c>
      <c r="BF1192" s="2">
        <v>22.555104394862799</v>
      </c>
      <c r="BG1192" s="2">
        <v>22.660440409765801</v>
      </c>
      <c r="BH1192" s="2">
        <v>21.965977292090201</v>
      </c>
      <c r="BI1192" s="2">
        <v>21.696540266224101</v>
      </c>
      <c r="BJ1192" s="2">
        <v>22.5355248311024</v>
      </c>
      <c r="BK1192" s="2">
        <v>22.465119909980199</v>
      </c>
      <c r="BL1192" s="2">
        <v>22.695615643767798</v>
      </c>
      <c r="BM1192" s="2">
        <v>22.612290411539099</v>
      </c>
      <c r="BN1192" s="2">
        <v>21.3926272858576</v>
      </c>
      <c r="BO1192" s="2">
        <v>22.656168540104701</v>
      </c>
      <c r="BP1192" s="2">
        <v>21.903738733447</v>
      </c>
      <c r="BQ1192" s="2">
        <v>21.421055794694698</v>
      </c>
      <c r="BR1192" s="2">
        <v>22.615958264560199</v>
      </c>
      <c r="BS1192" s="2">
        <v>22.6448881457829</v>
      </c>
      <c r="BT1192" s="2">
        <v>21.981449107269999</v>
      </c>
      <c r="BU1192" s="2">
        <v>22.157171742848501</v>
      </c>
      <c r="BV1192" s="2">
        <v>22.617296871539601</v>
      </c>
      <c r="BW1192" s="2">
        <v>22.619653494227201</v>
      </c>
      <c r="BX1192" s="2">
        <v>22.431743573962301</v>
      </c>
      <c r="BY1192" s="2">
        <v>22.514669791167499</v>
      </c>
      <c r="BZ1192" s="2">
        <v>22.666327287487501</v>
      </c>
      <c r="CA1192" s="2">
        <v>22.560720024164301</v>
      </c>
      <c r="CB1192" s="2">
        <v>22.612511403658001</v>
      </c>
      <c r="CC1192" s="2">
        <v>22.579965104185298</v>
      </c>
      <c r="CD1192" s="2">
        <v>22.626163080221801</v>
      </c>
      <c r="CE1192" s="2">
        <v>22.675029992726401</v>
      </c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</row>
    <row r="1193" spans="1:97">
      <c r="A1193" s="2" t="s">
        <v>10866</v>
      </c>
      <c r="B1193" s="2">
        <v>130.06505999999999</v>
      </c>
      <c r="C1193" s="2">
        <v>5.5439999999999996</v>
      </c>
      <c r="D1193" s="2" t="s">
        <v>84</v>
      </c>
      <c r="E1193" s="2" t="s">
        <v>10867</v>
      </c>
      <c r="F1193" s="2" t="s">
        <v>10868</v>
      </c>
      <c r="G1193" s="2">
        <v>51450</v>
      </c>
      <c r="H1193" s="3" t="str">
        <f>HYPERLINK("https://cloud.oebiotech.com/#/lm/network/51450", "https://cloud.oebiotech.com/#/lm/network/51450")</f>
        <v>https://cloud.oebiotech.com/#/lm/network/51450</v>
      </c>
      <c r="I1193" s="2" t="s">
        <v>10869</v>
      </c>
      <c r="J1193" s="2">
        <v>62407</v>
      </c>
      <c r="K1193" s="2"/>
      <c r="L1193" s="2">
        <v>170404</v>
      </c>
      <c r="M1193" s="2"/>
      <c r="N1193" s="2"/>
      <c r="O1193" s="2"/>
      <c r="P1193" s="2">
        <v>63905</v>
      </c>
      <c r="Q1193" s="2" t="s">
        <v>10870</v>
      </c>
      <c r="R1193" s="2" t="s">
        <v>10871</v>
      </c>
      <c r="S1193" s="2" t="s">
        <v>10872</v>
      </c>
      <c r="T1193" s="2" t="s">
        <v>10873</v>
      </c>
      <c r="U1193" s="2" t="s">
        <v>10874</v>
      </c>
      <c r="V1193" s="2" t="s">
        <v>553</v>
      </c>
      <c r="W1193" s="2" t="s">
        <v>933</v>
      </c>
      <c r="X1193" s="2" t="s">
        <v>375</v>
      </c>
      <c r="Y1193" s="2" t="s">
        <v>556</v>
      </c>
      <c r="Z1193" s="2" t="s">
        <v>935</v>
      </c>
      <c r="AA1193" s="2"/>
      <c r="AB1193" s="2" t="s">
        <v>8443</v>
      </c>
      <c r="AC1193" s="2">
        <v>47.71</v>
      </c>
      <c r="AD1193" s="2">
        <v>96.12</v>
      </c>
      <c r="AE1193" s="2">
        <v>0</v>
      </c>
      <c r="AF1193" s="2" t="s">
        <v>10875</v>
      </c>
      <c r="AG1193" s="2" t="s">
        <v>103</v>
      </c>
      <c r="AH1193" s="2" t="s">
        <v>10876</v>
      </c>
      <c r="AI1193" s="2">
        <v>0</v>
      </c>
      <c r="AJ1193" s="2">
        <v>22.5587510503054</v>
      </c>
      <c r="AK1193" s="2">
        <v>22.781970808673002</v>
      </c>
      <c r="AL1193" s="2">
        <v>22.822329439573199</v>
      </c>
      <c r="AM1193" s="2">
        <v>22.612211326011</v>
      </c>
      <c r="AN1193" s="2">
        <v>23.151195518983201</v>
      </c>
      <c r="AO1193" s="2">
        <v>22.6658622497898</v>
      </c>
      <c r="AP1193" s="2">
        <v>22.7613893886118</v>
      </c>
      <c r="AQ1193" s="2">
        <v>22.378372757778401</v>
      </c>
      <c r="AR1193" s="2">
        <v>21.9679313508177</v>
      </c>
      <c r="AS1193" s="2">
        <v>21.7221848544288</v>
      </c>
      <c r="AT1193" s="2">
        <v>21.464011462831099</v>
      </c>
      <c r="AU1193" s="2">
        <v>22.440598938525401</v>
      </c>
      <c r="AV1193" s="2">
        <v>22.506517149770801</v>
      </c>
      <c r="AW1193" s="2">
        <v>22.630525764998399</v>
      </c>
      <c r="AX1193" s="2">
        <v>22.597258504028101</v>
      </c>
      <c r="AY1193" s="2">
        <v>22.0724133683776</v>
      </c>
      <c r="AZ1193" s="2">
        <v>22.474714533261501</v>
      </c>
      <c r="BA1193" s="2">
        <v>22.5653960955302</v>
      </c>
      <c r="BB1193" s="2">
        <v>22.7581406581502</v>
      </c>
      <c r="BC1193" s="2">
        <v>22.644127197969802</v>
      </c>
      <c r="BD1193" s="2">
        <v>22.475602972401301</v>
      </c>
      <c r="BE1193" s="2">
        <v>22.4888650604018</v>
      </c>
      <c r="BF1193" s="2">
        <v>21.9238680226137</v>
      </c>
      <c r="BG1193" s="2">
        <v>22.729903657957401</v>
      </c>
      <c r="BH1193" s="2">
        <v>22.746828441765</v>
      </c>
      <c r="BI1193" s="2">
        <v>21.812352550999599</v>
      </c>
      <c r="BJ1193" s="2">
        <v>22.137385029091298</v>
      </c>
      <c r="BK1193" s="2">
        <v>22.776306094957199</v>
      </c>
      <c r="BL1193" s="2">
        <v>22.300987718958499</v>
      </c>
      <c r="BM1193" s="2">
        <v>22.0124783787202</v>
      </c>
      <c r="BN1193" s="2">
        <v>22.221466057361202</v>
      </c>
      <c r="BO1193" s="2">
        <v>22.7875177809332</v>
      </c>
      <c r="BP1193" s="2">
        <v>22.979300222305699</v>
      </c>
      <c r="BQ1193" s="2">
        <v>22.099244153685799</v>
      </c>
      <c r="BR1193" s="2">
        <v>22.867784198774</v>
      </c>
      <c r="BS1193" s="2">
        <v>22.656774389929002</v>
      </c>
      <c r="BT1193" s="2">
        <v>22.862244241471998</v>
      </c>
      <c r="BU1193" s="2">
        <v>22.275904154092899</v>
      </c>
      <c r="BV1193" s="2">
        <v>22.318851459172699</v>
      </c>
      <c r="BW1193" s="2">
        <v>22.138908547374101</v>
      </c>
      <c r="BX1193" s="2">
        <v>22.747794636018099</v>
      </c>
      <c r="BY1193" s="2">
        <v>22.7626012605391</v>
      </c>
      <c r="BZ1193" s="2">
        <v>22.485959786484901</v>
      </c>
      <c r="CA1193" s="2">
        <v>21.987696772328199</v>
      </c>
      <c r="CB1193" s="2">
        <v>22.644247748559501</v>
      </c>
      <c r="CC1193" s="2">
        <v>22.050672812215801</v>
      </c>
      <c r="CD1193" s="2">
        <v>22.183232006907499</v>
      </c>
      <c r="CE1193" s="2">
        <v>23.166718719144701</v>
      </c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</row>
    <row r="1194" spans="1:97">
      <c r="A1194" s="2" t="s">
        <v>10877</v>
      </c>
      <c r="B1194" s="2">
        <v>158.11736999999999</v>
      </c>
      <c r="C1194" s="2">
        <v>3.629</v>
      </c>
      <c r="D1194" s="2" t="s">
        <v>84</v>
      </c>
      <c r="E1194" s="2" t="s">
        <v>10878</v>
      </c>
      <c r="F1194" s="2" t="s">
        <v>10879</v>
      </c>
      <c r="G1194" s="2">
        <v>200391</v>
      </c>
      <c r="H1194" s="3" t="str">
        <f>HYPERLINK("https://cloud.oebiotech.com/#/lm/network/200391", "https://cloud.oebiotech.com/#/lm/network/200391")</f>
        <v>https://cloud.oebiotech.com/#/lm/network/200391</v>
      </c>
      <c r="I1194" s="2" t="s">
        <v>10880</v>
      </c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 t="s">
        <v>10881</v>
      </c>
      <c r="U1194" s="2" t="s">
        <v>10882</v>
      </c>
      <c r="V1194" s="2" t="s">
        <v>115</v>
      </c>
      <c r="W1194" s="2" t="s">
        <v>116</v>
      </c>
      <c r="X1194" s="2" t="s">
        <v>5270</v>
      </c>
      <c r="Y1194" s="2" t="s">
        <v>118</v>
      </c>
      <c r="Z1194" s="2" t="s">
        <v>119</v>
      </c>
      <c r="AA1194" s="2" t="s">
        <v>5271</v>
      </c>
      <c r="AB1194" s="2" t="s">
        <v>8443</v>
      </c>
      <c r="AC1194" s="2">
        <v>47.69</v>
      </c>
      <c r="AD1194" s="2">
        <v>94.83</v>
      </c>
      <c r="AE1194" s="2">
        <v>0</v>
      </c>
      <c r="AF1194" s="2" t="s">
        <v>5614</v>
      </c>
      <c r="AG1194" s="2" t="s">
        <v>103</v>
      </c>
      <c r="AH1194" s="2" t="s">
        <v>6455</v>
      </c>
      <c r="AI1194" s="2">
        <v>1.26</v>
      </c>
      <c r="AJ1194" s="2">
        <v>18.503401807976701</v>
      </c>
      <c r="AK1194" s="2">
        <v>19.429940219842301</v>
      </c>
      <c r="AL1194" s="2">
        <v>19.056764627960099</v>
      </c>
      <c r="AM1194" s="2">
        <v>19.149926368744001</v>
      </c>
      <c r="AN1194" s="2">
        <v>19.219810718903702</v>
      </c>
      <c r="AO1194" s="2">
        <v>19.1504089437259</v>
      </c>
      <c r="AP1194" s="2">
        <v>17.852866016909399</v>
      </c>
      <c r="AQ1194" s="2">
        <v>19.3395234227618</v>
      </c>
      <c r="AR1194" s="2">
        <v>19.022596656900799</v>
      </c>
      <c r="AS1194" s="2">
        <v>19.273567497091101</v>
      </c>
      <c r="AT1194" s="2">
        <v>18.875858098905901</v>
      </c>
      <c r="AU1194" s="2">
        <v>19.098588381196301</v>
      </c>
      <c r="AV1194" s="2">
        <v>19.1955364574576</v>
      </c>
      <c r="AW1194" s="2">
        <v>19.371446470978299</v>
      </c>
      <c r="AX1194" s="2">
        <v>19.196815454005002</v>
      </c>
      <c r="AY1194" s="2">
        <v>19.244942278285301</v>
      </c>
      <c r="AZ1194" s="2">
        <v>19.234302963055701</v>
      </c>
      <c r="BA1194" s="2">
        <v>19.349190914988402</v>
      </c>
      <c r="BB1194" s="2">
        <v>19.299315313051999</v>
      </c>
      <c r="BC1194" s="2">
        <v>19.093935166299399</v>
      </c>
      <c r="BD1194" s="2">
        <v>18.441705051194699</v>
      </c>
      <c r="BE1194" s="2">
        <v>18.5550938998764</v>
      </c>
      <c r="BF1194" s="2">
        <v>19.358341557021301</v>
      </c>
      <c r="BG1194" s="2">
        <v>19.402638174014498</v>
      </c>
      <c r="BH1194" s="2">
        <v>19.3245165291173</v>
      </c>
      <c r="BI1194" s="2">
        <v>17.987974579791299</v>
      </c>
      <c r="BJ1194" s="2">
        <v>19.491829027730201</v>
      </c>
      <c r="BK1194" s="2">
        <v>19.4190346467098</v>
      </c>
      <c r="BL1194" s="2">
        <v>19.201436130382699</v>
      </c>
      <c r="BM1194" s="2">
        <v>19.554295279772798</v>
      </c>
      <c r="BN1194" s="2">
        <v>19.3809543958969</v>
      </c>
      <c r="BO1194" s="2">
        <v>19.563710939096701</v>
      </c>
      <c r="BP1194" s="2">
        <v>19.382902525613499</v>
      </c>
      <c r="BQ1194" s="2">
        <v>19.4813023752831</v>
      </c>
      <c r="BR1194" s="2">
        <v>19.388727103051501</v>
      </c>
      <c r="BS1194" s="2">
        <v>19.4560377680031</v>
      </c>
      <c r="BT1194" s="2">
        <v>18.4971009004278</v>
      </c>
      <c r="BU1194" s="2">
        <v>19.345623005951701</v>
      </c>
      <c r="BV1194" s="2">
        <v>19.034365461459402</v>
      </c>
      <c r="BW1194" s="2">
        <v>19.153806325462</v>
      </c>
      <c r="BX1194" s="2">
        <v>19.085633294861701</v>
      </c>
      <c r="BY1194" s="2">
        <v>19.3726407690841</v>
      </c>
      <c r="BZ1194" s="2">
        <v>19.2301779731789</v>
      </c>
      <c r="CA1194" s="2">
        <v>19.516758940157299</v>
      </c>
      <c r="CB1194" s="2">
        <v>19.300487520653501</v>
      </c>
      <c r="CC1194" s="2">
        <v>19.4522796146045</v>
      </c>
      <c r="CD1194" s="2">
        <v>19.402776469263799</v>
      </c>
      <c r="CE1194" s="2">
        <v>19.2889676317163</v>
      </c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</row>
    <row r="1195" spans="1:97">
      <c r="A1195" s="2" t="s">
        <v>10883</v>
      </c>
      <c r="B1195" s="2">
        <v>169.05802</v>
      </c>
      <c r="C1195" s="2">
        <v>1.097</v>
      </c>
      <c r="D1195" s="2" t="s">
        <v>84</v>
      </c>
      <c r="E1195" s="2" t="s">
        <v>10884</v>
      </c>
      <c r="F1195" s="2" t="s">
        <v>10885</v>
      </c>
      <c r="G1195" s="2">
        <v>256872</v>
      </c>
      <c r="H1195" s="3" t="str">
        <f>HYPERLINK("https://cloud.oebiotech.com/#/lm/network/256872", "https://cloud.oebiotech.com/#/lm/network/256872")</f>
        <v>https://cloud.oebiotech.com/#/lm/network/256872</v>
      </c>
      <c r="I1195" s="2" t="s">
        <v>10886</v>
      </c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 t="s">
        <v>10887</v>
      </c>
      <c r="U1195" s="2" t="s">
        <v>10888</v>
      </c>
      <c r="V1195" s="2" t="s">
        <v>166</v>
      </c>
      <c r="W1195" s="2" t="s">
        <v>167</v>
      </c>
      <c r="X1195" s="2" t="s">
        <v>10889</v>
      </c>
      <c r="Y1195" s="2" t="s">
        <v>169</v>
      </c>
      <c r="Z1195" s="2" t="s">
        <v>169</v>
      </c>
      <c r="AA1195" s="2" t="s">
        <v>10890</v>
      </c>
      <c r="AB1195" s="2" t="s">
        <v>3086</v>
      </c>
      <c r="AC1195" s="2">
        <v>47.67</v>
      </c>
      <c r="AD1195" s="2">
        <v>95.97</v>
      </c>
      <c r="AE1195" s="2">
        <v>0</v>
      </c>
      <c r="AF1195" s="2" t="s">
        <v>5614</v>
      </c>
      <c r="AG1195" s="2" t="s">
        <v>103</v>
      </c>
      <c r="AH1195" s="2" t="s">
        <v>10891</v>
      </c>
      <c r="AI1195" s="2">
        <v>8.2799999999999994</v>
      </c>
      <c r="AJ1195" s="2">
        <v>20.5015269254706</v>
      </c>
      <c r="AK1195" s="2">
        <v>20.429036297993601</v>
      </c>
      <c r="AL1195" s="2">
        <v>20.337719235679501</v>
      </c>
      <c r="AM1195" s="2">
        <v>20.439256120161399</v>
      </c>
      <c r="AN1195" s="2">
        <v>20.550254503824199</v>
      </c>
      <c r="AO1195" s="2">
        <v>20.184248774895998</v>
      </c>
      <c r="AP1195" s="2">
        <v>20.543700544192799</v>
      </c>
      <c r="AQ1195" s="2">
        <v>20.2378264687094</v>
      </c>
      <c r="AR1195" s="2">
        <v>19.459394354831399</v>
      </c>
      <c r="AS1195" s="2">
        <v>19.492226030033098</v>
      </c>
      <c r="AT1195" s="2">
        <v>19.966486187905002</v>
      </c>
      <c r="AU1195" s="2">
        <v>20.1045382253984</v>
      </c>
      <c r="AV1195" s="2">
        <v>20.959934718632599</v>
      </c>
      <c r="AW1195" s="2">
        <v>19.830531051975399</v>
      </c>
      <c r="AX1195" s="2">
        <v>19.717578299975202</v>
      </c>
      <c r="AY1195" s="2">
        <v>20.3315620301811</v>
      </c>
      <c r="AZ1195" s="2">
        <v>20.986729023599601</v>
      </c>
      <c r="BA1195" s="2">
        <v>19.4772268047154</v>
      </c>
      <c r="BB1195" s="2">
        <v>19.458133562713499</v>
      </c>
      <c r="BC1195" s="2">
        <v>19.889830724613301</v>
      </c>
      <c r="BD1195" s="2">
        <v>19.551495571422901</v>
      </c>
      <c r="BE1195" s="2">
        <v>19.9788508657143</v>
      </c>
      <c r="BF1195" s="2">
        <v>20.036834025704799</v>
      </c>
      <c r="BG1195" s="2">
        <v>19.753559819281701</v>
      </c>
      <c r="BH1195" s="2">
        <v>20.754559320922301</v>
      </c>
      <c r="BI1195" s="2">
        <v>20.448876366866202</v>
      </c>
      <c r="BJ1195" s="2">
        <v>19.885582198753301</v>
      </c>
      <c r="BK1195" s="2">
        <v>19.9712139586264</v>
      </c>
      <c r="BL1195" s="2">
        <v>19.8031021548708</v>
      </c>
      <c r="BM1195" s="2">
        <v>21.063660631081401</v>
      </c>
      <c r="BN1195" s="2">
        <v>20.39715918672</v>
      </c>
      <c r="BO1195" s="2">
        <v>20.3341534980921</v>
      </c>
      <c r="BP1195" s="2">
        <v>20.6531846135648</v>
      </c>
      <c r="BQ1195" s="2">
        <v>20.249503406757899</v>
      </c>
      <c r="BR1195" s="2">
        <v>19.639204813607702</v>
      </c>
      <c r="BS1195" s="2">
        <v>21.453949661772299</v>
      </c>
      <c r="BT1195" s="2">
        <v>21.275601331236199</v>
      </c>
      <c r="BU1195" s="2">
        <v>19.728861622847401</v>
      </c>
      <c r="BV1195" s="2">
        <v>19.9848078167559</v>
      </c>
      <c r="BW1195" s="2">
        <v>19.3093910190392</v>
      </c>
      <c r="BX1195" s="2">
        <v>20.2385565243668</v>
      </c>
      <c r="BY1195" s="2">
        <v>20.225840188618001</v>
      </c>
      <c r="BZ1195" s="2">
        <v>20.3549754137949</v>
      </c>
      <c r="CA1195" s="2">
        <v>20.7539735675192</v>
      </c>
      <c r="CB1195" s="2">
        <v>20.5572616479921</v>
      </c>
      <c r="CC1195" s="2">
        <v>19.820781071414601</v>
      </c>
      <c r="CD1195" s="2">
        <v>20.522363525991</v>
      </c>
      <c r="CE1195" s="2">
        <v>19.768949393555999</v>
      </c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</row>
    <row r="1196" spans="1:97">
      <c r="A1196" s="2" t="s">
        <v>10892</v>
      </c>
      <c r="B1196" s="2">
        <v>519.12748999999997</v>
      </c>
      <c r="C1196" s="2">
        <v>5.8209999999999997</v>
      </c>
      <c r="D1196" s="2" t="s">
        <v>146</v>
      </c>
      <c r="E1196" s="2" t="s">
        <v>10893</v>
      </c>
      <c r="F1196" s="2" t="s">
        <v>10894</v>
      </c>
      <c r="G1196" s="2">
        <v>63773</v>
      </c>
      <c r="H1196" s="3" t="str">
        <f>HYPERLINK("https://cloud.oebiotech.com/#/lm/network/63773", "https://cloud.oebiotech.com/#/lm/network/63773")</f>
        <v>https://cloud.oebiotech.com/#/lm/network/63773</v>
      </c>
      <c r="I1196" s="2" t="s">
        <v>10895</v>
      </c>
      <c r="J1196" s="2">
        <v>95108</v>
      </c>
      <c r="K1196" s="2"/>
      <c r="L1196" s="2">
        <v>131752876</v>
      </c>
      <c r="M1196" s="2"/>
      <c r="N1196" s="2"/>
      <c r="O1196" s="2"/>
      <c r="P1196" s="2">
        <v>168178</v>
      </c>
      <c r="Q1196" s="2"/>
      <c r="R1196" s="2"/>
      <c r="S1196" s="2" t="s">
        <v>10896</v>
      </c>
      <c r="T1196" s="2" t="s">
        <v>10897</v>
      </c>
      <c r="U1196" s="2" t="s">
        <v>10898</v>
      </c>
      <c r="V1196" s="2" t="s">
        <v>553</v>
      </c>
      <c r="W1196" s="2" t="s">
        <v>2193</v>
      </c>
      <c r="X1196" s="2" t="s">
        <v>4866</v>
      </c>
      <c r="Y1196" s="2" t="s">
        <v>556</v>
      </c>
      <c r="Z1196" s="2" t="s">
        <v>2194</v>
      </c>
      <c r="AA1196" s="2" t="s">
        <v>4867</v>
      </c>
      <c r="AB1196" s="2" t="s">
        <v>3086</v>
      </c>
      <c r="AC1196" s="2">
        <v>47.67</v>
      </c>
      <c r="AD1196" s="2">
        <v>80.86</v>
      </c>
      <c r="AE1196" s="2">
        <v>0</v>
      </c>
      <c r="AF1196" s="2" t="s">
        <v>5614</v>
      </c>
      <c r="AG1196" s="2" t="s">
        <v>3880</v>
      </c>
      <c r="AH1196" s="2" t="s">
        <v>10899</v>
      </c>
      <c r="AI1196" s="2">
        <v>4.24</v>
      </c>
      <c r="AJ1196" s="2">
        <v>17.845959928407101</v>
      </c>
      <c r="AK1196" s="2">
        <v>17.3626766343714</v>
      </c>
      <c r="AL1196" s="2">
        <v>17.7236809402294</v>
      </c>
      <c r="AM1196" s="2">
        <v>17.762034002099</v>
      </c>
      <c r="AN1196" s="2">
        <v>17.498098906004</v>
      </c>
      <c r="AO1196" s="2">
        <v>17.703024055</v>
      </c>
      <c r="AP1196" s="2">
        <v>17.795313146557699</v>
      </c>
      <c r="AQ1196" s="2">
        <v>17.615572598124299</v>
      </c>
      <c r="AR1196" s="2">
        <v>15.9816031793764</v>
      </c>
      <c r="AS1196" s="2">
        <v>16.523319362956201</v>
      </c>
      <c r="AT1196" s="2">
        <v>16.604603611335399</v>
      </c>
      <c r="AU1196" s="2">
        <v>16.8820993334283</v>
      </c>
      <c r="AV1196" s="2">
        <v>16.531728384520999</v>
      </c>
      <c r="AW1196" s="2">
        <v>16.397620824981001</v>
      </c>
      <c r="AX1196" s="2">
        <v>16.494946812322301</v>
      </c>
      <c r="AY1196" s="2">
        <v>17.074068063106001</v>
      </c>
      <c r="AZ1196" s="2">
        <v>16.956369804149801</v>
      </c>
      <c r="BA1196" s="2">
        <v>19.301252020226801</v>
      </c>
      <c r="BB1196" s="2">
        <v>18.4022337446237</v>
      </c>
      <c r="BC1196" s="2">
        <v>19.615288196382799</v>
      </c>
      <c r="BD1196" s="2">
        <v>16.193796571838998</v>
      </c>
      <c r="BE1196" s="2">
        <v>17.893314627032201</v>
      </c>
      <c r="BF1196" s="2">
        <v>17.008899303327102</v>
      </c>
      <c r="BG1196" s="2">
        <v>15.063190713106501</v>
      </c>
      <c r="BH1196" s="2">
        <v>16.817653608104902</v>
      </c>
      <c r="BI1196" s="2">
        <v>14.6541778419291</v>
      </c>
      <c r="BJ1196" s="2">
        <v>16.8856304850122</v>
      </c>
      <c r="BK1196" s="2">
        <v>16.8538716582948</v>
      </c>
      <c r="BL1196" s="2">
        <v>15.6611804689426</v>
      </c>
      <c r="BM1196" s="2">
        <v>17.240399120658601</v>
      </c>
      <c r="BN1196" s="2">
        <v>17.198835015206001</v>
      </c>
      <c r="BO1196" s="2">
        <v>18.293364547387899</v>
      </c>
      <c r="BP1196" s="2">
        <v>17.208754181391999</v>
      </c>
      <c r="BQ1196" s="2">
        <v>16.235031799074701</v>
      </c>
      <c r="BR1196" s="2">
        <v>16.797081773215499</v>
      </c>
      <c r="BS1196" s="2">
        <v>16.717491549856302</v>
      </c>
      <c r="BT1196" s="2">
        <v>17.7915109644177</v>
      </c>
      <c r="BU1196" s="2">
        <v>19.8558062476198</v>
      </c>
      <c r="BV1196" s="2">
        <v>18.353214467476398</v>
      </c>
      <c r="BW1196" s="2">
        <v>18.4297787854739</v>
      </c>
      <c r="BX1196" s="2">
        <v>16.0199477095147</v>
      </c>
      <c r="BY1196" s="2">
        <v>16.850682776505302</v>
      </c>
      <c r="BZ1196" s="2">
        <v>17.778331026859998</v>
      </c>
      <c r="CA1196" s="2">
        <v>16.231968702429199</v>
      </c>
      <c r="CB1196" s="2">
        <v>17.716520610132701</v>
      </c>
      <c r="CC1196" s="2">
        <v>15.019866506234299</v>
      </c>
      <c r="CD1196" s="2">
        <v>17.314057077264799</v>
      </c>
      <c r="CE1196" s="2">
        <v>17.270402465963901</v>
      </c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</row>
    <row r="1197" spans="1:97">
      <c r="A1197" s="2" t="s">
        <v>10900</v>
      </c>
      <c r="B1197" s="2">
        <v>157.13341</v>
      </c>
      <c r="C1197" s="2">
        <v>5.7939999999999996</v>
      </c>
      <c r="D1197" s="2" t="s">
        <v>84</v>
      </c>
      <c r="E1197" s="2" t="s">
        <v>10901</v>
      </c>
      <c r="F1197" s="2" t="s">
        <v>10902</v>
      </c>
      <c r="G1197" s="2">
        <v>62144</v>
      </c>
      <c r="H1197" s="3" t="str">
        <f>HYPERLINK("https://cloud.oebiotech.com/#/lm/network/62144", "https://cloud.oebiotech.com/#/lm/network/62144")</f>
        <v>https://cloud.oebiotech.com/#/lm/network/62144</v>
      </c>
      <c r="I1197" s="2" t="s">
        <v>10903</v>
      </c>
      <c r="J1197" s="2">
        <v>93435</v>
      </c>
      <c r="K1197" s="2"/>
      <c r="L1197" s="2">
        <v>66692646</v>
      </c>
      <c r="M1197" s="2"/>
      <c r="N1197" s="2"/>
      <c r="O1197" s="2"/>
      <c r="P1197" s="2"/>
      <c r="Q1197" s="2"/>
      <c r="R1197" s="2"/>
      <c r="S1197" s="2" t="s">
        <v>10904</v>
      </c>
      <c r="T1197" s="2" t="s">
        <v>10905</v>
      </c>
      <c r="U1197" s="2" t="s">
        <v>10906</v>
      </c>
      <c r="V1197" s="2" t="s">
        <v>553</v>
      </c>
      <c r="W1197" s="2" t="s">
        <v>554</v>
      </c>
      <c r="X1197" s="2" t="s">
        <v>10907</v>
      </c>
      <c r="Y1197" s="2" t="s">
        <v>556</v>
      </c>
      <c r="Z1197" s="2" t="s">
        <v>557</v>
      </c>
      <c r="AA1197" s="2" t="s">
        <v>10908</v>
      </c>
      <c r="AB1197" s="2" t="s">
        <v>8443</v>
      </c>
      <c r="AC1197" s="2">
        <v>47.66</v>
      </c>
      <c r="AD1197" s="2">
        <v>94.75</v>
      </c>
      <c r="AE1197" s="2">
        <v>0</v>
      </c>
      <c r="AF1197" s="2" t="s">
        <v>5614</v>
      </c>
      <c r="AG1197" s="2" t="s">
        <v>132</v>
      </c>
      <c r="AH1197" s="2" t="s">
        <v>10909</v>
      </c>
      <c r="AI1197" s="2">
        <v>0.64</v>
      </c>
      <c r="AJ1197" s="2">
        <v>19.6954888346377</v>
      </c>
      <c r="AK1197" s="2">
        <v>19.8016529497249</v>
      </c>
      <c r="AL1197" s="2">
        <v>19.7686436731572</v>
      </c>
      <c r="AM1197" s="2">
        <v>19.9237726437193</v>
      </c>
      <c r="AN1197" s="2">
        <v>19.840934812574702</v>
      </c>
      <c r="AO1197" s="2">
        <v>19.909353961247</v>
      </c>
      <c r="AP1197" s="2">
        <v>19.870866576557699</v>
      </c>
      <c r="AQ1197" s="2">
        <v>19.723871536466898</v>
      </c>
      <c r="AR1197" s="2">
        <v>18.573874032920799</v>
      </c>
      <c r="AS1197" s="2">
        <v>17.193154070548999</v>
      </c>
      <c r="AT1197" s="2">
        <v>19.415605783121201</v>
      </c>
      <c r="AU1197" s="2">
        <v>19.855469984260001</v>
      </c>
      <c r="AV1197" s="2">
        <v>19.880696046404498</v>
      </c>
      <c r="AW1197" s="2">
        <v>20.028317496025601</v>
      </c>
      <c r="AX1197" s="2">
        <v>19.814950855951</v>
      </c>
      <c r="AY1197" s="2">
        <v>20.1809340881784</v>
      </c>
      <c r="AZ1197" s="2">
        <v>20.0580783016356</v>
      </c>
      <c r="BA1197" s="2">
        <v>19.3650882746586</v>
      </c>
      <c r="BB1197" s="2">
        <v>18.098383489343199</v>
      </c>
      <c r="BC1197" s="2">
        <v>19.7736318448198</v>
      </c>
      <c r="BD1197" s="2">
        <v>19.942280259711598</v>
      </c>
      <c r="BE1197" s="2">
        <v>20.061914838188901</v>
      </c>
      <c r="BF1197" s="2">
        <v>20.286242381248101</v>
      </c>
      <c r="BG1197" s="2">
        <v>18.4231537945141</v>
      </c>
      <c r="BH1197" s="2">
        <v>19.783880768925801</v>
      </c>
      <c r="BI1197" s="2">
        <v>20.167150972588299</v>
      </c>
      <c r="BJ1197" s="2">
        <v>19.450190619881798</v>
      </c>
      <c r="BK1197" s="2">
        <v>20.065949320609501</v>
      </c>
      <c r="BL1197" s="2">
        <v>19.858882610283199</v>
      </c>
      <c r="BM1197" s="2">
        <v>20.783448021479799</v>
      </c>
      <c r="BN1197" s="2">
        <v>20.255277708258401</v>
      </c>
      <c r="BO1197" s="2">
        <v>19.616373647205599</v>
      </c>
      <c r="BP1197" s="2">
        <v>20.098807787796201</v>
      </c>
      <c r="BQ1197" s="2">
        <v>19.825507960104801</v>
      </c>
      <c r="BR1197" s="2">
        <v>19.0555018283363</v>
      </c>
      <c r="BS1197" s="2">
        <v>20.3562817982056</v>
      </c>
      <c r="BT1197" s="2">
        <v>18.2710115223264</v>
      </c>
      <c r="BU1197" s="2">
        <v>20.5534912112604</v>
      </c>
      <c r="BV1197" s="2">
        <v>18.7312449716628</v>
      </c>
      <c r="BW1197" s="2">
        <v>17.764341235470201</v>
      </c>
      <c r="BX1197" s="2">
        <v>20.374063769084501</v>
      </c>
      <c r="BY1197" s="2">
        <v>21.2340741918924</v>
      </c>
      <c r="BZ1197" s="2">
        <v>18.223318133905501</v>
      </c>
      <c r="CA1197" s="2">
        <v>17.674291524511901</v>
      </c>
      <c r="CB1197" s="2">
        <v>18.080026619806699</v>
      </c>
      <c r="CC1197" s="2">
        <v>20.115825069395498</v>
      </c>
      <c r="CD1197" s="2">
        <v>20.456028931695698</v>
      </c>
      <c r="CE1197" s="2">
        <v>20.167978012599399</v>
      </c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</row>
    <row r="1198" spans="1:97">
      <c r="A1198" s="2" t="s">
        <v>10910</v>
      </c>
      <c r="B1198" s="2">
        <v>552.32984999999996</v>
      </c>
      <c r="C1198" s="2">
        <v>10.502000000000001</v>
      </c>
      <c r="D1198" s="2" t="s">
        <v>146</v>
      </c>
      <c r="E1198" s="2" t="s">
        <v>10911</v>
      </c>
      <c r="F1198" s="2" t="s">
        <v>10912</v>
      </c>
      <c r="G1198" s="2">
        <v>22442</v>
      </c>
      <c r="H1198" s="3" t="str">
        <f>HYPERLINK("https://cloud.oebiotech.com/#/lm/network/22442", "https://cloud.oebiotech.com/#/lm/network/22442")</f>
        <v>https://cloud.oebiotech.com/#/lm/network/22442</v>
      </c>
      <c r="I1198" s="2"/>
      <c r="J1198" s="2">
        <v>78839</v>
      </c>
      <c r="K1198" s="2" t="s">
        <v>10913</v>
      </c>
      <c r="L1198" s="2">
        <v>52926280</v>
      </c>
      <c r="M1198" s="2"/>
      <c r="N1198" s="2"/>
      <c r="O1198" s="2"/>
      <c r="P1198" s="2"/>
      <c r="Q1198" s="2"/>
      <c r="R1198" s="2"/>
      <c r="S1198" s="2"/>
      <c r="T1198" s="2" t="s">
        <v>10914</v>
      </c>
      <c r="U1198" s="2" t="s">
        <v>10915</v>
      </c>
      <c r="V1198" s="2" t="s">
        <v>95</v>
      </c>
      <c r="W1198" s="2" t="s">
        <v>202</v>
      </c>
      <c r="X1198" s="2" t="s">
        <v>8933</v>
      </c>
      <c r="Y1198" s="2" t="s">
        <v>98</v>
      </c>
      <c r="Z1198" s="2" t="s">
        <v>204</v>
      </c>
      <c r="AA1198" s="2" t="s">
        <v>8934</v>
      </c>
      <c r="AB1198" s="2" t="s">
        <v>5118</v>
      </c>
      <c r="AC1198" s="2">
        <v>47.66</v>
      </c>
      <c r="AD1198" s="2">
        <v>95.08</v>
      </c>
      <c r="AE1198" s="2">
        <v>57.97</v>
      </c>
      <c r="AF1198" s="2" t="s">
        <v>10916</v>
      </c>
      <c r="AG1198" s="2" t="s">
        <v>194</v>
      </c>
      <c r="AH1198" s="2" t="s">
        <v>10917</v>
      </c>
      <c r="AI1198" s="2">
        <v>1.63</v>
      </c>
      <c r="AJ1198" s="2">
        <v>20.900926418958299</v>
      </c>
      <c r="AK1198" s="2">
        <v>20.865142159310398</v>
      </c>
      <c r="AL1198" s="2">
        <v>20.819511155278001</v>
      </c>
      <c r="AM1198" s="2">
        <v>20.765940463152599</v>
      </c>
      <c r="AN1198" s="2">
        <v>20.735947482957702</v>
      </c>
      <c r="AO1198" s="2">
        <v>20.723332340072599</v>
      </c>
      <c r="AP1198" s="2">
        <v>20.763161903965901</v>
      </c>
      <c r="AQ1198" s="2">
        <v>20.759239334168502</v>
      </c>
      <c r="AR1198" s="2">
        <v>21.408191982035099</v>
      </c>
      <c r="AS1198" s="2">
        <v>19.793750635082901</v>
      </c>
      <c r="AT1198" s="2">
        <v>20.308744437821201</v>
      </c>
      <c r="AU1198" s="2">
        <v>20.716570981144599</v>
      </c>
      <c r="AV1198" s="2">
        <v>20.893746993196199</v>
      </c>
      <c r="AW1198" s="2">
        <v>20.654182178320699</v>
      </c>
      <c r="AX1198" s="2">
        <v>20.800826824168301</v>
      </c>
      <c r="AY1198" s="2">
        <v>19.961564986353299</v>
      </c>
      <c r="AZ1198" s="2">
        <v>20.9433792337447</v>
      </c>
      <c r="BA1198" s="2">
        <v>19.567555722932301</v>
      </c>
      <c r="BB1198" s="2">
        <v>20.6283014407264</v>
      </c>
      <c r="BC1198" s="2">
        <v>21.696369548392799</v>
      </c>
      <c r="BD1198" s="2">
        <v>20.6860013649531</v>
      </c>
      <c r="BE1198" s="2">
        <v>21.031495249687101</v>
      </c>
      <c r="BF1198" s="2">
        <v>20.372762152815302</v>
      </c>
      <c r="BG1198" s="2">
        <v>21.238024623540799</v>
      </c>
      <c r="BH1198" s="2">
        <v>20.737356838789498</v>
      </c>
      <c r="BI1198" s="2">
        <v>20.7700798266353</v>
      </c>
      <c r="BJ1198" s="2">
        <v>20.124706851044699</v>
      </c>
      <c r="BK1198" s="2">
        <v>20.065473330333798</v>
      </c>
      <c r="BL1198" s="2">
        <v>20.718987417611</v>
      </c>
      <c r="BM1198" s="2">
        <v>20.358283460538701</v>
      </c>
      <c r="BN1198" s="2">
        <v>20.537510330007901</v>
      </c>
      <c r="BO1198" s="2">
        <v>20.956452711321301</v>
      </c>
      <c r="BP1198" s="2">
        <v>20.8455691835251</v>
      </c>
      <c r="BQ1198" s="2">
        <v>20.594330755239501</v>
      </c>
      <c r="BR1198" s="2">
        <v>20.751009631039999</v>
      </c>
      <c r="BS1198" s="2">
        <v>20.942404668507098</v>
      </c>
      <c r="BT1198" s="2">
        <v>21.330625118183001</v>
      </c>
      <c r="BU1198" s="2">
        <v>20.5729772769023</v>
      </c>
      <c r="BV1198" s="2">
        <v>20.850628919167601</v>
      </c>
      <c r="BW1198" s="2">
        <v>20.0524630972266</v>
      </c>
      <c r="BX1198" s="2">
        <v>20.639908407255099</v>
      </c>
      <c r="BY1198" s="2">
        <v>21.2041776782448</v>
      </c>
      <c r="BZ1198" s="2">
        <v>20.5421231263899</v>
      </c>
      <c r="CA1198" s="2">
        <v>21.216349665285399</v>
      </c>
      <c r="CB1198" s="2">
        <v>20.6290486611367</v>
      </c>
      <c r="CC1198" s="2">
        <v>19.885593533211601</v>
      </c>
      <c r="CD1198" s="2">
        <v>20.6717685603065</v>
      </c>
      <c r="CE1198" s="2">
        <v>19.824428906770301</v>
      </c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</row>
    <row r="1199" spans="1:97">
      <c r="A1199" s="2" t="s">
        <v>10918</v>
      </c>
      <c r="B1199" s="2">
        <v>303.03953999999999</v>
      </c>
      <c r="C1199" s="2">
        <v>1.6539999999999999</v>
      </c>
      <c r="D1199" s="2" t="s">
        <v>84</v>
      </c>
      <c r="E1199" s="2" t="s">
        <v>10919</v>
      </c>
      <c r="F1199" s="2" t="s">
        <v>10920</v>
      </c>
      <c r="G1199" s="2">
        <v>47929</v>
      </c>
      <c r="H1199" s="3" t="str">
        <f>HYPERLINK("https://cloud.oebiotech.com/#/lm/network/47929", "https://cloud.oebiotech.com/#/lm/network/47929")</f>
        <v>https://cloud.oebiotech.com/#/lm/network/47929</v>
      </c>
      <c r="I1199" s="2" t="s">
        <v>10921</v>
      </c>
      <c r="J1199" s="2">
        <v>6656</v>
      </c>
      <c r="K1199" s="2"/>
      <c r="L1199" s="2">
        <v>152314</v>
      </c>
      <c r="M1199" s="2"/>
      <c r="N1199" s="2"/>
      <c r="O1199" s="2"/>
      <c r="P1199" s="2">
        <v>88610</v>
      </c>
      <c r="Q1199" s="2"/>
      <c r="R1199" s="2"/>
      <c r="S1199" s="2" t="s">
        <v>10922</v>
      </c>
      <c r="T1199" s="2" t="s">
        <v>10923</v>
      </c>
      <c r="U1199" s="2" t="s">
        <v>10924</v>
      </c>
      <c r="V1199" s="2" t="s">
        <v>115</v>
      </c>
      <c r="W1199" s="2" t="s">
        <v>116</v>
      </c>
      <c r="X1199" s="2" t="s">
        <v>117</v>
      </c>
      <c r="Y1199" s="2" t="s">
        <v>118</v>
      </c>
      <c r="Z1199" s="2" t="s">
        <v>119</v>
      </c>
      <c r="AA1199" s="2" t="s">
        <v>120</v>
      </c>
      <c r="AB1199" s="2" t="s">
        <v>3086</v>
      </c>
      <c r="AC1199" s="2">
        <v>47.65</v>
      </c>
      <c r="AD1199" s="2">
        <v>75.14</v>
      </c>
      <c r="AE1199" s="2">
        <v>0</v>
      </c>
      <c r="AF1199" s="2" t="s">
        <v>5614</v>
      </c>
      <c r="AG1199" s="2" t="s">
        <v>3544</v>
      </c>
      <c r="AH1199" s="2" t="s">
        <v>10925</v>
      </c>
      <c r="AI1199" s="2">
        <v>5.28</v>
      </c>
      <c r="AJ1199" s="2">
        <v>17.803100688209099</v>
      </c>
      <c r="AK1199" s="2">
        <v>17.895917988243699</v>
      </c>
      <c r="AL1199" s="2">
        <v>17.932422680449999</v>
      </c>
      <c r="AM1199" s="2">
        <v>17.447577582338699</v>
      </c>
      <c r="AN1199" s="2">
        <v>18.486899858126399</v>
      </c>
      <c r="AO1199" s="2">
        <v>18.2546051052378</v>
      </c>
      <c r="AP1199" s="2">
        <v>18.1305719201575</v>
      </c>
      <c r="AQ1199" s="2">
        <v>18.349218845700101</v>
      </c>
      <c r="AR1199" s="2">
        <v>16.252970273041001</v>
      </c>
      <c r="AS1199" s="2">
        <v>16.665971925312</v>
      </c>
      <c r="AT1199" s="2">
        <v>18.398440385188401</v>
      </c>
      <c r="AU1199" s="2">
        <v>9.6233145402724691</v>
      </c>
      <c r="AV1199" s="2">
        <v>17.2768023271842</v>
      </c>
      <c r="AW1199" s="2">
        <v>16.575392257698901</v>
      </c>
      <c r="AX1199" s="2">
        <v>18.006933612230899</v>
      </c>
      <c r="AY1199" s="2">
        <v>17.734983367120702</v>
      </c>
      <c r="AZ1199" s="2">
        <v>15.555155890123901</v>
      </c>
      <c r="BA1199" s="2">
        <v>16.734388253536402</v>
      </c>
      <c r="BB1199" s="2">
        <v>19.2549533967487</v>
      </c>
      <c r="BC1199" s="2">
        <v>18.509774192625201</v>
      </c>
      <c r="BD1199" s="2">
        <v>16.8890064539567</v>
      </c>
      <c r="BE1199" s="2">
        <v>15.054301181110199</v>
      </c>
      <c r="BF1199" s="2">
        <v>19.8688512595159</v>
      </c>
      <c r="BG1199" s="2">
        <v>18.316087612367699</v>
      </c>
      <c r="BH1199" s="2">
        <v>13.7898341751331</v>
      </c>
      <c r="BI1199" s="2">
        <v>18.8331855401231</v>
      </c>
      <c r="BJ1199" s="2">
        <v>17.504230336970799</v>
      </c>
      <c r="BK1199" s="2">
        <v>16.834923549524898</v>
      </c>
      <c r="BL1199" s="2">
        <v>17.274131324694899</v>
      </c>
      <c r="BM1199" s="2">
        <v>14.8308266283258</v>
      </c>
      <c r="BN1199" s="2">
        <v>16.1664290903332</v>
      </c>
      <c r="BO1199" s="2">
        <v>15.307637351911501</v>
      </c>
      <c r="BP1199" s="2">
        <v>9.6233145402724691</v>
      </c>
      <c r="BQ1199" s="2">
        <v>17.154687497318299</v>
      </c>
      <c r="BR1199" s="2">
        <v>16.684042054940701</v>
      </c>
      <c r="BS1199" s="2">
        <v>16.885599982344502</v>
      </c>
      <c r="BT1199" s="2">
        <v>15.3359677498492</v>
      </c>
      <c r="BU1199" s="2">
        <v>17.1815803186994</v>
      </c>
      <c r="BV1199" s="2">
        <v>17.853167045675299</v>
      </c>
      <c r="BW1199" s="2">
        <v>18.1289249152398</v>
      </c>
      <c r="BX1199" s="2">
        <v>9.6233145402724691</v>
      </c>
      <c r="BY1199" s="2">
        <v>18.079220848244798</v>
      </c>
      <c r="BZ1199" s="2">
        <v>17.559927317816701</v>
      </c>
      <c r="CA1199" s="2">
        <v>20.4409437249295</v>
      </c>
      <c r="CB1199" s="2">
        <v>17.322860297341101</v>
      </c>
      <c r="CC1199" s="2">
        <v>17.285713945453601</v>
      </c>
      <c r="CD1199" s="2">
        <v>17.1548174169696</v>
      </c>
      <c r="CE1199" s="2">
        <v>18.742557568766198</v>
      </c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</row>
    <row r="1200" spans="1:97">
      <c r="A1200" s="2" t="s">
        <v>10926</v>
      </c>
      <c r="B1200" s="2">
        <v>144.13818000000001</v>
      </c>
      <c r="C1200" s="2">
        <v>6.4340000000000002</v>
      </c>
      <c r="D1200" s="2" t="s">
        <v>84</v>
      </c>
      <c r="E1200" s="2" t="s">
        <v>10927</v>
      </c>
      <c r="F1200" s="2" t="s">
        <v>10928</v>
      </c>
      <c r="G1200" s="2">
        <v>213002</v>
      </c>
      <c r="H1200" s="3" t="str">
        <f>HYPERLINK("https://cloud.oebiotech.com/#/lm/network/213002", "https://cloud.oebiotech.com/#/lm/network/213002")</f>
        <v>https://cloud.oebiotech.com/#/lm/network/213002</v>
      </c>
      <c r="I1200" s="2" t="s">
        <v>10929</v>
      </c>
      <c r="J1200" s="2"/>
      <c r="K1200" s="2"/>
      <c r="L1200" s="2"/>
      <c r="M1200" s="2"/>
      <c r="N1200" s="2"/>
      <c r="O1200" s="2"/>
      <c r="P1200" s="2">
        <v>74562</v>
      </c>
      <c r="Q1200" s="2"/>
      <c r="R1200" s="2"/>
      <c r="S1200" s="2"/>
      <c r="T1200" s="2" t="s">
        <v>10930</v>
      </c>
      <c r="U1200" s="2" t="s">
        <v>10931</v>
      </c>
      <c r="V1200" s="2" t="s">
        <v>115</v>
      </c>
      <c r="W1200" s="2" t="s">
        <v>4313</v>
      </c>
      <c r="X1200" s="2" t="s">
        <v>4314</v>
      </c>
      <c r="Y1200" s="2" t="s">
        <v>118</v>
      </c>
      <c r="Z1200" s="2" t="s">
        <v>4315</v>
      </c>
      <c r="AA1200" s="2" t="s">
        <v>4316</v>
      </c>
      <c r="AB1200" s="2" t="s">
        <v>8443</v>
      </c>
      <c r="AC1200" s="2">
        <v>47.62</v>
      </c>
      <c r="AD1200" s="2">
        <v>95.14</v>
      </c>
      <c r="AE1200" s="2">
        <v>0</v>
      </c>
      <c r="AF1200" s="2" t="s">
        <v>10932</v>
      </c>
      <c r="AG1200" s="2" t="s">
        <v>103</v>
      </c>
      <c r="AH1200" s="2" t="s">
        <v>10933</v>
      </c>
      <c r="AI1200" s="2">
        <v>0.69</v>
      </c>
      <c r="AJ1200" s="2">
        <v>19.955540300016501</v>
      </c>
      <c r="AK1200" s="2">
        <v>21.159140133938202</v>
      </c>
      <c r="AL1200" s="2">
        <v>21.303583234831699</v>
      </c>
      <c r="AM1200" s="2">
        <v>21.311137921673399</v>
      </c>
      <c r="AN1200" s="2">
        <v>21.196563407264399</v>
      </c>
      <c r="AO1200" s="2">
        <v>21.105693363171198</v>
      </c>
      <c r="AP1200" s="2">
        <v>21.2413447593872</v>
      </c>
      <c r="AQ1200" s="2">
        <v>21.1532698690276</v>
      </c>
      <c r="AR1200" s="2">
        <v>20.213914283228899</v>
      </c>
      <c r="AS1200" s="2">
        <v>18.9422162038999</v>
      </c>
      <c r="AT1200" s="2">
        <v>20.9755271143977</v>
      </c>
      <c r="AU1200" s="2">
        <v>20.950164517947002</v>
      </c>
      <c r="AV1200" s="2">
        <v>21.3040343246284</v>
      </c>
      <c r="AW1200" s="2">
        <v>20.922435159490298</v>
      </c>
      <c r="AX1200" s="2">
        <v>21.2904064286835</v>
      </c>
      <c r="AY1200" s="2">
        <v>21.358944010439899</v>
      </c>
      <c r="AZ1200" s="2">
        <v>19.5197046223028</v>
      </c>
      <c r="BA1200" s="2">
        <v>20.5818133613664</v>
      </c>
      <c r="BB1200" s="2">
        <v>20.804479141627301</v>
      </c>
      <c r="BC1200" s="2">
        <v>22.052329048425101</v>
      </c>
      <c r="BD1200" s="2">
        <v>21.027849343291699</v>
      </c>
      <c r="BE1200" s="2">
        <v>21.235465838726199</v>
      </c>
      <c r="BF1200" s="2">
        <v>21.3069280640835</v>
      </c>
      <c r="BG1200" s="2">
        <v>20.792730697525599</v>
      </c>
      <c r="BH1200" s="2">
        <v>21.458223562134101</v>
      </c>
      <c r="BI1200" s="2">
        <v>21.3847847933189</v>
      </c>
      <c r="BJ1200" s="2">
        <v>20.903660172468399</v>
      </c>
      <c r="BK1200" s="2">
        <v>21.423189004945399</v>
      </c>
      <c r="BL1200" s="2">
        <v>21.222360182582701</v>
      </c>
      <c r="BM1200" s="2">
        <v>21.779599831649499</v>
      </c>
      <c r="BN1200" s="2">
        <v>21.167408369383502</v>
      </c>
      <c r="BO1200" s="2">
        <v>20.8992639484762</v>
      </c>
      <c r="BP1200" s="2">
        <v>21.228059338173601</v>
      </c>
      <c r="BQ1200" s="2">
        <v>21.1891923233424</v>
      </c>
      <c r="BR1200" s="2">
        <v>21.163296558653801</v>
      </c>
      <c r="BS1200" s="2">
        <v>21.4657830913076</v>
      </c>
      <c r="BT1200" s="2">
        <v>20.624505620014101</v>
      </c>
      <c r="BU1200" s="2">
        <v>21.8203910856238</v>
      </c>
      <c r="BV1200" s="2">
        <v>20.7283778117807</v>
      </c>
      <c r="BW1200" s="2">
        <v>20.321235694462899</v>
      </c>
      <c r="BX1200" s="2">
        <v>21.3331800601397</v>
      </c>
      <c r="BY1200" s="2">
        <v>22.255690667289102</v>
      </c>
      <c r="BZ1200" s="2">
        <v>20.875911929777001</v>
      </c>
      <c r="CA1200" s="2">
        <v>20.419404950994299</v>
      </c>
      <c r="CB1200" s="2">
        <v>20.034096607061102</v>
      </c>
      <c r="CC1200" s="2">
        <v>21.701888191719402</v>
      </c>
      <c r="CD1200" s="2">
        <v>21.211755638536101</v>
      </c>
      <c r="CE1200" s="2">
        <v>21.629370406421</v>
      </c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</row>
    <row r="1201" spans="1:97">
      <c r="A1201" s="2" t="s">
        <v>10934</v>
      </c>
      <c r="B1201" s="2">
        <v>143.10738000000001</v>
      </c>
      <c r="C1201" s="2">
        <v>5.8159999999999998</v>
      </c>
      <c r="D1201" s="2" t="s">
        <v>146</v>
      </c>
      <c r="E1201" s="2" t="s">
        <v>10935</v>
      </c>
      <c r="F1201" s="2" t="s">
        <v>10936</v>
      </c>
      <c r="G1201" s="2">
        <v>199509</v>
      </c>
      <c r="H1201" s="3" t="str">
        <f>HYPERLINK("https://cloud.oebiotech.com/#/lm/network/199509", "https://cloud.oebiotech.com/#/lm/network/199509")</f>
        <v>https://cloud.oebiotech.com/#/lm/network/199509</v>
      </c>
      <c r="I1201" s="2" t="s">
        <v>10937</v>
      </c>
      <c r="J1201" s="2"/>
      <c r="K1201" s="2"/>
      <c r="L1201" s="2">
        <v>90819</v>
      </c>
      <c r="M1201" s="2"/>
      <c r="N1201" s="2"/>
      <c r="O1201" s="2"/>
      <c r="P1201" s="2"/>
      <c r="Q1201" s="2"/>
      <c r="R1201" s="2"/>
      <c r="S1201" s="2"/>
      <c r="T1201" s="2" t="s">
        <v>10938</v>
      </c>
      <c r="U1201" s="2" t="s">
        <v>10939</v>
      </c>
      <c r="V1201" s="2" t="s">
        <v>95</v>
      </c>
      <c r="W1201" s="2" t="s">
        <v>7709</v>
      </c>
      <c r="X1201" s="2" t="s">
        <v>7710</v>
      </c>
      <c r="Y1201" s="2" t="s">
        <v>98</v>
      </c>
      <c r="Z1201" s="2" t="s">
        <v>7711</v>
      </c>
      <c r="AA1201" s="2" t="s">
        <v>7712</v>
      </c>
      <c r="AB1201" s="2" t="s">
        <v>8443</v>
      </c>
      <c r="AC1201" s="2">
        <v>47.6</v>
      </c>
      <c r="AD1201" s="2">
        <v>95.26</v>
      </c>
      <c r="AE1201" s="2">
        <v>0</v>
      </c>
      <c r="AF1201" s="2" t="s">
        <v>10940</v>
      </c>
      <c r="AG1201" s="2" t="s">
        <v>993</v>
      </c>
      <c r="AH1201" s="2" t="s">
        <v>10941</v>
      </c>
      <c r="AI1201" s="2">
        <v>-1.4</v>
      </c>
      <c r="AJ1201" s="2">
        <v>18.0169847407102</v>
      </c>
      <c r="AK1201" s="2">
        <v>18.2253052196833</v>
      </c>
      <c r="AL1201" s="2">
        <v>17.8623558563818</v>
      </c>
      <c r="AM1201" s="2">
        <v>18.100081783407301</v>
      </c>
      <c r="AN1201" s="2">
        <v>17.838227638044302</v>
      </c>
      <c r="AO1201" s="2">
        <v>17.950277653422798</v>
      </c>
      <c r="AP1201" s="2">
        <v>17.924956805318399</v>
      </c>
      <c r="AQ1201" s="2">
        <v>18.2089317946762</v>
      </c>
      <c r="AR1201" s="2">
        <v>16.598192836149799</v>
      </c>
      <c r="AS1201" s="2">
        <v>17.6357757850414</v>
      </c>
      <c r="AT1201" s="2">
        <v>16.983001593604399</v>
      </c>
      <c r="AU1201" s="2">
        <v>17.073828808705201</v>
      </c>
      <c r="AV1201" s="2">
        <v>16.6755188006818</v>
      </c>
      <c r="AW1201" s="2">
        <v>17.221931630804299</v>
      </c>
      <c r="AX1201" s="2">
        <v>17.368510724381501</v>
      </c>
      <c r="AY1201" s="2">
        <v>17.658407527201099</v>
      </c>
      <c r="AZ1201" s="2">
        <v>16.411028122082701</v>
      </c>
      <c r="BA1201" s="2">
        <v>17.872061845099299</v>
      </c>
      <c r="BB1201" s="2">
        <v>20.0725410631896</v>
      </c>
      <c r="BC1201" s="2">
        <v>18.502738005022199</v>
      </c>
      <c r="BD1201" s="2">
        <v>16.438634958757302</v>
      </c>
      <c r="BE1201" s="2">
        <v>17.625452653492999</v>
      </c>
      <c r="BF1201" s="2">
        <v>17.631779781988001</v>
      </c>
      <c r="BG1201" s="2">
        <v>18.971506142319502</v>
      </c>
      <c r="BH1201" s="2">
        <v>16.996857856083999</v>
      </c>
      <c r="BI1201" s="2">
        <v>18.366528664708401</v>
      </c>
      <c r="BJ1201" s="2">
        <v>17.433920518491199</v>
      </c>
      <c r="BK1201" s="2">
        <v>15.868906693459399</v>
      </c>
      <c r="BL1201" s="2">
        <v>17.9573562415538</v>
      </c>
      <c r="BM1201" s="2">
        <v>16.586355007186299</v>
      </c>
      <c r="BN1201" s="2">
        <v>16.830889622323799</v>
      </c>
      <c r="BO1201" s="2">
        <v>18.587798425118901</v>
      </c>
      <c r="BP1201" s="2">
        <v>18.520425356350799</v>
      </c>
      <c r="BQ1201" s="2">
        <v>18.871301141433701</v>
      </c>
      <c r="BR1201" s="2">
        <v>18.125321745194999</v>
      </c>
      <c r="BS1201" s="2">
        <v>16.8589531603658</v>
      </c>
      <c r="BT1201" s="2">
        <v>17.9023344226948</v>
      </c>
      <c r="BU1201" s="2">
        <v>17.734922987213899</v>
      </c>
      <c r="BV1201" s="2">
        <v>19.742868800956799</v>
      </c>
      <c r="BW1201" s="2">
        <v>17.250997461096802</v>
      </c>
      <c r="BX1201" s="2">
        <v>17.774585298755699</v>
      </c>
      <c r="BY1201" s="2">
        <v>16.619050283958501</v>
      </c>
      <c r="BZ1201" s="2">
        <v>18.616776723641401</v>
      </c>
      <c r="CA1201" s="2">
        <v>17.365581464563899</v>
      </c>
      <c r="CB1201" s="2">
        <v>17.2828042872368</v>
      </c>
      <c r="CC1201" s="2">
        <v>18.5032598619878</v>
      </c>
      <c r="CD1201" s="2">
        <v>17.362489323244102</v>
      </c>
      <c r="CE1201" s="2">
        <v>18.034072930425399</v>
      </c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</row>
    <row r="1202" spans="1:97">
      <c r="A1202" s="2" t="s">
        <v>10942</v>
      </c>
      <c r="B1202" s="2">
        <v>130.06507999999999</v>
      </c>
      <c r="C1202" s="2">
        <v>6.2560000000000002</v>
      </c>
      <c r="D1202" s="2" t="s">
        <v>84</v>
      </c>
      <c r="E1202" s="2" t="s">
        <v>10943</v>
      </c>
      <c r="F1202" s="2" t="s">
        <v>10944</v>
      </c>
      <c r="G1202" s="2">
        <v>256239</v>
      </c>
      <c r="H1202" s="3" t="str">
        <f>HYPERLINK("https://cloud.oebiotech.com/#/lm/network/256239", "https://cloud.oebiotech.com/#/lm/network/256239")</f>
        <v>https://cloud.oebiotech.com/#/lm/network/256239</v>
      </c>
      <c r="I1202" s="2" t="s">
        <v>10945</v>
      </c>
      <c r="J1202" s="2"/>
      <c r="K1202" s="2"/>
      <c r="L1202" s="2">
        <v>1711919</v>
      </c>
      <c r="M1202" s="2"/>
      <c r="N1202" s="2"/>
      <c r="O1202" s="2"/>
      <c r="P1202" s="2"/>
      <c r="Q1202" s="2"/>
      <c r="R1202" s="2"/>
      <c r="S1202" s="2"/>
      <c r="T1202" s="2" t="s">
        <v>10946</v>
      </c>
      <c r="U1202" s="2" t="s">
        <v>10947</v>
      </c>
      <c r="V1202" s="2" t="s">
        <v>385</v>
      </c>
      <c r="W1202" s="2" t="s">
        <v>386</v>
      </c>
      <c r="X1202" s="2" t="s">
        <v>5414</v>
      </c>
      <c r="Y1202" s="2" t="s">
        <v>388</v>
      </c>
      <c r="Z1202" s="2" t="s">
        <v>389</v>
      </c>
      <c r="AA1202" s="2" t="s">
        <v>5415</v>
      </c>
      <c r="AB1202" s="2" t="s">
        <v>8443</v>
      </c>
      <c r="AC1202" s="2">
        <v>47.6</v>
      </c>
      <c r="AD1202" s="2">
        <v>96.99</v>
      </c>
      <c r="AE1202" s="2">
        <v>0</v>
      </c>
      <c r="AF1202" s="2" t="s">
        <v>5614</v>
      </c>
      <c r="AG1202" s="2" t="s">
        <v>103</v>
      </c>
      <c r="AH1202" s="2" t="s">
        <v>10876</v>
      </c>
      <c r="AI1202" s="2">
        <v>0</v>
      </c>
      <c r="AJ1202" s="2">
        <v>22.043928362695802</v>
      </c>
      <c r="AK1202" s="2">
        <v>22.5803252807932</v>
      </c>
      <c r="AL1202" s="2">
        <v>22.735919298232801</v>
      </c>
      <c r="AM1202" s="2">
        <v>22.573483079013201</v>
      </c>
      <c r="AN1202" s="2">
        <v>22.8193095399917</v>
      </c>
      <c r="AO1202" s="2">
        <v>22.6783530349574</v>
      </c>
      <c r="AP1202" s="2">
        <v>22.658932012132599</v>
      </c>
      <c r="AQ1202" s="2">
        <v>22.017727151040699</v>
      </c>
      <c r="AR1202" s="2">
        <v>23.005497929287301</v>
      </c>
      <c r="AS1202" s="2">
        <v>21.585565561386499</v>
      </c>
      <c r="AT1202" s="2">
        <v>22.0610131129047</v>
      </c>
      <c r="AU1202" s="2">
        <v>23.462271328788699</v>
      </c>
      <c r="AV1202" s="2">
        <v>24.430587454730802</v>
      </c>
      <c r="AW1202" s="2">
        <v>21.516739274387199</v>
      </c>
      <c r="AX1202" s="2">
        <v>21.297000048593802</v>
      </c>
      <c r="AY1202" s="2">
        <v>24.018195581598501</v>
      </c>
      <c r="AZ1202" s="2">
        <v>20.960604640682199</v>
      </c>
      <c r="BA1202" s="2">
        <v>22.698711365725298</v>
      </c>
      <c r="BB1202" s="2">
        <v>21.8127038671634</v>
      </c>
      <c r="BC1202" s="2">
        <v>21.728943881740602</v>
      </c>
      <c r="BD1202" s="2">
        <v>22.975321195566501</v>
      </c>
      <c r="BE1202" s="2">
        <v>22.8473576334599</v>
      </c>
      <c r="BF1202" s="2">
        <v>21.027482034923</v>
      </c>
      <c r="BG1202" s="2">
        <v>20.949339417461299</v>
      </c>
      <c r="BH1202" s="2">
        <v>21.076502360780399</v>
      </c>
      <c r="BI1202" s="2">
        <v>22.048580307507201</v>
      </c>
      <c r="BJ1202" s="2">
        <v>21.629481314967801</v>
      </c>
      <c r="BK1202" s="2">
        <v>22.010623931257001</v>
      </c>
      <c r="BL1202" s="2">
        <v>22.000572963358898</v>
      </c>
      <c r="BM1202" s="2">
        <v>22.880952070243001</v>
      </c>
      <c r="BN1202" s="2">
        <v>21.4829016526974</v>
      </c>
      <c r="BO1202" s="2">
        <v>23.1100802103803</v>
      </c>
      <c r="BP1202" s="2">
        <v>21.275938517468099</v>
      </c>
      <c r="BQ1202" s="2">
        <v>22.064790170676002</v>
      </c>
      <c r="BR1202" s="2">
        <v>21.495863500642798</v>
      </c>
      <c r="BS1202" s="2">
        <v>23.215883367685901</v>
      </c>
      <c r="BT1202" s="2">
        <v>21.9270806140178</v>
      </c>
      <c r="BU1202" s="2">
        <v>22.435689092529</v>
      </c>
      <c r="BV1202" s="2">
        <v>23.5018623611588</v>
      </c>
      <c r="BW1202" s="2">
        <v>21.140514460002201</v>
      </c>
      <c r="BX1202" s="2">
        <v>23.052764828133601</v>
      </c>
      <c r="BY1202" s="2">
        <v>22.617117720217401</v>
      </c>
      <c r="BZ1202" s="2">
        <v>20.296963097917001</v>
      </c>
      <c r="CA1202" s="2">
        <v>21.2750805291248</v>
      </c>
      <c r="CB1202" s="2">
        <v>22.185164270926901</v>
      </c>
      <c r="CC1202" s="2">
        <v>21.407632476414101</v>
      </c>
      <c r="CD1202" s="2">
        <v>20.8372911788023</v>
      </c>
      <c r="CE1202" s="2">
        <v>20.914701037501899</v>
      </c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</row>
    <row r="1203" spans="1:97">
      <c r="A1203" s="2" t="s">
        <v>10948</v>
      </c>
      <c r="B1203" s="2">
        <v>89.017970000000005</v>
      </c>
      <c r="C1203" s="2">
        <v>1.014</v>
      </c>
      <c r="D1203" s="2" t="s">
        <v>146</v>
      </c>
      <c r="E1203" s="2" t="s">
        <v>10949</v>
      </c>
      <c r="F1203" s="2" t="s">
        <v>10950</v>
      </c>
      <c r="G1203" s="2">
        <v>211099</v>
      </c>
      <c r="H1203" s="3" t="str">
        <f>HYPERLINK("https://cloud.oebiotech.com/#/lm/network/211099", "https://cloud.oebiotech.com/#/lm/network/211099")</f>
        <v>https://cloud.oebiotech.com/#/lm/network/211099</v>
      </c>
      <c r="I1203" s="2" t="s">
        <v>10951</v>
      </c>
      <c r="J1203" s="2">
        <v>64870</v>
      </c>
      <c r="K1203" s="2"/>
      <c r="L1203" s="2">
        <v>5142</v>
      </c>
      <c r="M1203" s="2"/>
      <c r="N1203" s="2"/>
      <c r="O1203" s="2"/>
      <c r="P1203" s="2"/>
      <c r="Q1203" s="2"/>
      <c r="R1203" s="2"/>
      <c r="S1203" s="2" t="s">
        <v>10952</v>
      </c>
      <c r="T1203" s="2" t="s">
        <v>10953</v>
      </c>
      <c r="U1203" s="2" t="s">
        <v>10954</v>
      </c>
      <c r="V1203" s="2" t="s">
        <v>9746</v>
      </c>
      <c r="W1203" s="2" t="s">
        <v>10955</v>
      </c>
      <c r="X1203" s="2" t="s">
        <v>375</v>
      </c>
      <c r="Y1203" s="2" t="s">
        <v>9748</v>
      </c>
      <c r="Z1203" s="2" t="s">
        <v>10956</v>
      </c>
      <c r="AA1203" s="2"/>
      <c r="AB1203" s="2" t="s">
        <v>8443</v>
      </c>
      <c r="AC1203" s="2">
        <v>47.58</v>
      </c>
      <c r="AD1203" s="2">
        <v>95.86</v>
      </c>
      <c r="AE1203" s="2">
        <v>0</v>
      </c>
      <c r="AF1203" s="2" t="s">
        <v>5614</v>
      </c>
      <c r="AG1203" s="2" t="s">
        <v>194</v>
      </c>
      <c r="AH1203" s="2" t="s">
        <v>10957</v>
      </c>
      <c r="AI1203" s="2">
        <v>-0.9</v>
      </c>
      <c r="AJ1203" s="2">
        <v>20.282340151317001</v>
      </c>
      <c r="AK1203" s="2">
        <v>20.5997042454138</v>
      </c>
      <c r="AL1203" s="2">
        <v>20.440466728740802</v>
      </c>
      <c r="AM1203" s="2">
        <v>20.891019909338301</v>
      </c>
      <c r="AN1203" s="2">
        <v>20.758476791178001</v>
      </c>
      <c r="AO1203" s="2">
        <v>20.330602667617601</v>
      </c>
      <c r="AP1203" s="2">
        <v>21.110898153453601</v>
      </c>
      <c r="AQ1203" s="2">
        <v>20.4992565563734</v>
      </c>
      <c r="AR1203" s="2">
        <v>20.424557697751201</v>
      </c>
      <c r="AS1203" s="2">
        <v>18.442587182871598</v>
      </c>
      <c r="AT1203" s="2">
        <v>20.824720344854299</v>
      </c>
      <c r="AU1203" s="2">
        <v>20.035864672062701</v>
      </c>
      <c r="AV1203" s="2">
        <v>19.665312406711099</v>
      </c>
      <c r="AW1203" s="2">
        <v>19.299111585027099</v>
      </c>
      <c r="AX1203" s="2">
        <v>20.239725789136301</v>
      </c>
      <c r="AY1203" s="2">
        <v>19.814437174003</v>
      </c>
      <c r="AZ1203" s="2">
        <v>20.356918147748999</v>
      </c>
      <c r="BA1203" s="2">
        <v>19.511530940483802</v>
      </c>
      <c r="BB1203" s="2">
        <v>20.881249949464799</v>
      </c>
      <c r="BC1203" s="2">
        <v>20.9767909110993</v>
      </c>
      <c r="BD1203" s="2">
        <v>19.547074646133701</v>
      </c>
      <c r="BE1203" s="2">
        <v>19.8235266246107</v>
      </c>
      <c r="BF1203" s="2">
        <v>21.711808909120801</v>
      </c>
      <c r="BG1203" s="2">
        <v>21.0893390141451</v>
      </c>
      <c r="BH1203" s="2">
        <v>20.1511205842266</v>
      </c>
      <c r="BI1203" s="2">
        <v>20.945466519769301</v>
      </c>
      <c r="BJ1203" s="2">
        <v>21.053157087263401</v>
      </c>
      <c r="BK1203" s="2">
        <v>19.2003328825257</v>
      </c>
      <c r="BL1203" s="2">
        <v>19.971309048676201</v>
      </c>
      <c r="BM1203" s="2">
        <v>19.3997407939145</v>
      </c>
      <c r="BN1203" s="2">
        <v>18.7143984403342</v>
      </c>
      <c r="BO1203" s="2">
        <v>19.458864272040799</v>
      </c>
      <c r="BP1203" s="2">
        <v>20.822680876686899</v>
      </c>
      <c r="BQ1203" s="2">
        <v>20.703054430035799</v>
      </c>
      <c r="BR1203" s="2">
        <v>20.242746768629399</v>
      </c>
      <c r="BS1203" s="2">
        <v>19.463934786437399</v>
      </c>
      <c r="BT1203" s="2">
        <v>19.3775273774908</v>
      </c>
      <c r="BU1203" s="2">
        <v>21.3635319755913</v>
      </c>
      <c r="BV1203" s="2">
        <v>20.4757330451068</v>
      </c>
      <c r="BW1203" s="2">
        <v>20.151115578525499</v>
      </c>
      <c r="BX1203" s="2">
        <v>19.7240748680092</v>
      </c>
      <c r="BY1203" s="2">
        <v>21.091189495466601</v>
      </c>
      <c r="BZ1203" s="2">
        <v>20.095471019388999</v>
      </c>
      <c r="CA1203" s="2">
        <v>21.075441498293401</v>
      </c>
      <c r="CB1203" s="2">
        <v>19.8435830486839</v>
      </c>
      <c r="CC1203" s="2">
        <v>21.089854997858499</v>
      </c>
      <c r="CD1203" s="2">
        <v>21.012736876795302</v>
      </c>
      <c r="CE1203" s="2">
        <v>19.8924771365044</v>
      </c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</row>
    <row r="1204" spans="1:97">
      <c r="A1204" s="2" t="s">
        <v>10958</v>
      </c>
      <c r="B1204" s="2">
        <v>431.11885000000001</v>
      </c>
      <c r="C1204" s="2">
        <v>5.835</v>
      </c>
      <c r="D1204" s="2" t="s">
        <v>146</v>
      </c>
      <c r="E1204" s="2" t="s">
        <v>10959</v>
      </c>
      <c r="F1204" s="2" t="s">
        <v>10960</v>
      </c>
      <c r="G1204" s="2">
        <v>197104</v>
      </c>
      <c r="H1204" s="3" t="str">
        <f>HYPERLINK("https://cloud.oebiotech.com/#/lm/network/197104", "https://cloud.oebiotech.com/#/lm/network/197104")</f>
        <v>https://cloud.oebiotech.com/#/lm/network/197104</v>
      </c>
      <c r="I1204" s="2" t="s">
        <v>10961</v>
      </c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 t="s">
        <v>10962</v>
      </c>
      <c r="U1204" s="2" t="s">
        <v>10963</v>
      </c>
      <c r="V1204" s="2" t="s">
        <v>95</v>
      </c>
      <c r="W1204" s="2" t="s">
        <v>4009</v>
      </c>
      <c r="X1204" s="2" t="s">
        <v>375</v>
      </c>
      <c r="Y1204" s="2" t="s">
        <v>98</v>
      </c>
      <c r="Z1204" s="2" t="s">
        <v>4010</v>
      </c>
      <c r="AA1204" s="2"/>
      <c r="AB1204" s="2" t="s">
        <v>5118</v>
      </c>
      <c r="AC1204" s="2">
        <v>47.57</v>
      </c>
      <c r="AD1204" s="2">
        <v>86.91</v>
      </c>
      <c r="AE1204" s="2">
        <v>66.14</v>
      </c>
      <c r="AF1204" s="2" t="s">
        <v>10964</v>
      </c>
      <c r="AG1204" s="2" t="s">
        <v>157</v>
      </c>
      <c r="AH1204" s="2" t="s">
        <v>4012</v>
      </c>
      <c r="AI1204" s="2">
        <v>1.39</v>
      </c>
      <c r="AJ1204" s="2">
        <v>18.511545127911699</v>
      </c>
      <c r="AK1204" s="2">
        <v>18.015400949886601</v>
      </c>
      <c r="AL1204" s="2">
        <v>18.645319029605702</v>
      </c>
      <c r="AM1204" s="2">
        <v>18.627620801494899</v>
      </c>
      <c r="AN1204" s="2">
        <v>18.354816783901899</v>
      </c>
      <c r="AO1204" s="2">
        <v>18.5323261681791</v>
      </c>
      <c r="AP1204" s="2">
        <v>18.594195411145101</v>
      </c>
      <c r="AQ1204" s="2">
        <v>18.7705485003119</v>
      </c>
      <c r="AR1204" s="2">
        <v>16.848466824203602</v>
      </c>
      <c r="AS1204" s="2">
        <v>16.639727052709201</v>
      </c>
      <c r="AT1204" s="2">
        <v>17.476948198741699</v>
      </c>
      <c r="AU1204" s="2">
        <v>19.020219403302601</v>
      </c>
      <c r="AV1204" s="2">
        <v>16.6685905775343</v>
      </c>
      <c r="AW1204" s="2">
        <v>18.618498997031399</v>
      </c>
      <c r="AX1204" s="2">
        <v>16.2808327414815</v>
      </c>
      <c r="AY1204" s="2">
        <v>16.0571824328403</v>
      </c>
      <c r="AZ1204" s="2">
        <v>16.6078759897037</v>
      </c>
      <c r="BA1204" s="2">
        <v>19.682769093541602</v>
      </c>
      <c r="BB1204" s="2">
        <v>19.746811467842701</v>
      </c>
      <c r="BC1204" s="2">
        <v>18.5663068341124</v>
      </c>
      <c r="BD1204" s="2">
        <v>19.1500850627456</v>
      </c>
      <c r="BE1204" s="2">
        <v>17.3583780257777</v>
      </c>
      <c r="BF1204" s="2">
        <v>18.362790866810801</v>
      </c>
      <c r="BG1204" s="2">
        <v>19.650902086101699</v>
      </c>
      <c r="BH1204" s="2">
        <v>17.318645366479601</v>
      </c>
      <c r="BI1204" s="2">
        <v>16.8190728779444</v>
      </c>
      <c r="BJ1204" s="2">
        <v>19.3178718626523</v>
      </c>
      <c r="BK1204" s="2">
        <v>20.837719615363401</v>
      </c>
      <c r="BL1204" s="2">
        <v>17.6187876765953</v>
      </c>
      <c r="BM1204" s="2">
        <v>17.875373020658799</v>
      </c>
      <c r="BN1204" s="2">
        <v>18.5678946698762</v>
      </c>
      <c r="BO1204" s="2">
        <v>17.793352212773101</v>
      </c>
      <c r="BP1204" s="2">
        <v>16.513879153614901</v>
      </c>
      <c r="BQ1204" s="2">
        <v>18.0823141466233</v>
      </c>
      <c r="BR1204" s="2">
        <v>16.418747330469099</v>
      </c>
      <c r="BS1204" s="2">
        <v>17.2889529244455</v>
      </c>
      <c r="BT1204" s="2">
        <v>18.905053536001301</v>
      </c>
      <c r="BU1204" s="2">
        <v>19.471693926603201</v>
      </c>
      <c r="BV1204" s="2">
        <v>19.440753553577899</v>
      </c>
      <c r="BW1204" s="2">
        <v>17.307518445343</v>
      </c>
      <c r="BX1204" s="2">
        <v>18.8496625406402</v>
      </c>
      <c r="BY1204" s="2">
        <v>17.613623014403199</v>
      </c>
      <c r="BZ1204" s="2">
        <v>17.633992709657399</v>
      </c>
      <c r="CA1204" s="2">
        <v>19.218286541440701</v>
      </c>
      <c r="CB1204" s="2">
        <v>17.2319049710113</v>
      </c>
      <c r="CC1204" s="2">
        <v>16.6063943681525</v>
      </c>
      <c r="CD1204" s="2">
        <v>18.372899739865002</v>
      </c>
      <c r="CE1204" s="2">
        <v>20.830349048379201</v>
      </c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</row>
    <row r="1205" spans="1:97">
      <c r="A1205" s="2" t="s">
        <v>10965</v>
      </c>
      <c r="B1205" s="2">
        <v>310.05065000000002</v>
      </c>
      <c r="C1205" s="2">
        <v>4.0709999999999997</v>
      </c>
      <c r="D1205" s="2" t="s">
        <v>146</v>
      </c>
      <c r="E1205" s="2" t="s">
        <v>10966</v>
      </c>
      <c r="F1205" s="2" t="s">
        <v>10967</v>
      </c>
      <c r="G1205" s="2">
        <v>206747</v>
      </c>
      <c r="H1205" s="3" t="str">
        <f>HYPERLINK("https://cloud.oebiotech.com/#/lm/network/206747", "https://cloud.oebiotech.com/#/lm/network/206747")</f>
        <v>https://cloud.oebiotech.com/#/lm/network/206747</v>
      </c>
      <c r="I1205" s="2" t="s">
        <v>10968</v>
      </c>
      <c r="J1205" s="2"/>
      <c r="K1205" s="2"/>
      <c r="L1205" s="2">
        <v>21429076</v>
      </c>
      <c r="M1205" s="2"/>
      <c r="N1205" s="2"/>
      <c r="O1205" s="2"/>
      <c r="P1205" s="2"/>
      <c r="Q1205" s="2"/>
      <c r="R1205" s="2"/>
      <c r="S1205" s="2"/>
      <c r="T1205" s="2" t="s">
        <v>10969</v>
      </c>
      <c r="U1205" s="2" t="s">
        <v>10970</v>
      </c>
      <c r="V1205" s="2" t="s">
        <v>385</v>
      </c>
      <c r="W1205" s="2" t="s">
        <v>386</v>
      </c>
      <c r="X1205" s="2" t="s">
        <v>10971</v>
      </c>
      <c r="Y1205" s="2" t="s">
        <v>388</v>
      </c>
      <c r="Z1205" s="2" t="s">
        <v>389</v>
      </c>
      <c r="AA1205" s="2" t="s">
        <v>10972</v>
      </c>
      <c r="AB1205" s="2" t="s">
        <v>5118</v>
      </c>
      <c r="AC1205" s="2">
        <v>47.56</v>
      </c>
      <c r="AD1205" s="2">
        <v>88.53</v>
      </c>
      <c r="AE1205" s="2">
        <v>63.43</v>
      </c>
      <c r="AF1205" s="2" t="s">
        <v>10973</v>
      </c>
      <c r="AG1205" s="2" t="s">
        <v>194</v>
      </c>
      <c r="AH1205" s="2" t="s">
        <v>10974</v>
      </c>
      <c r="AI1205" s="2">
        <v>-1.29</v>
      </c>
      <c r="AJ1205" s="2">
        <v>17.215049846552901</v>
      </c>
      <c r="AK1205" s="2">
        <v>16.499993773180901</v>
      </c>
      <c r="AL1205" s="2">
        <v>17.363888860079399</v>
      </c>
      <c r="AM1205" s="2">
        <v>17.3080468242261</v>
      </c>
      <c r="AN1205" s="2">
        <v>16.8893084743057</v>
      </c>
      <c r="AO1205" s="2">
        <v>17.225525853832401</v>
      </c>
      <c r="AP1205" s="2">
        <v>16.670527905507399</v>
      </c>
      <c r="AQ1205" s="2">
        <v>17.4064573984923</v>
      </c>
      <c r="AR1205" s="2">
        <v>9.6233145402724691</v>
      </c>
      <c r="AS1205" s="2">
        <v>16.520231315516298</v>
      </c>
      <c r="AT1205" s="2">
        <v>14.489752020035599</v>
      </c>
      <c r="AU1205" s="2">
        <v>9.6233145402724691</v>
      </c>
      <c r="AV1205" s="2">
        <v>15.47367372742</v>
      </c>
      <c r="AW1205" s="2">
        <v>17.2844052711792</v>
      </c>
      <c r="AX1205" s="2">
        <v>9.6233145402724691</v>
      </c>
      <c r="AY1205" s="2">
        <v>16.276904260540299</v>
      </c>
      <c r="AZ1205" s="2">
        <v>9.6233145402724691</v>
      </c>
      <c r="BA1205" s="2">
        <v>16.690052278870599</v>
      </c>
      <c r="BB1205" s="2">
        <v>9.6233145402724691</v>
      </c>
      <c r="BC1205" s="2">
        <v>12.4473183167404</v>
      </c>
      <c r="BD1205" s="2">
        <v>16.900045178243499</v>
      </c>
      <c r="BE1205" s="2">
        <v>9.6233145402724691</v>
      </c>
      <c r="BF1205" s="2">
        <v>15.9413931494914</v>
      </c>
      <c r="BG1205" s="2">
        <v>9.6233145402724691</v>
      </c>
      <c r="BH1205" s="2">
        <v>9.6233145402724691</v>
      </c>
      <c r="BI1205" s="2">
        <v>14.7580805624516</v>
      </c>
      <c r="BJ1205" s="2">
        <v>9.6233145402724691</v>
      </c>
      <c r="BK1205" s="2">
        <v>20.005620972164401</v>
      </c>
      <c r="BL1205" s="2">
        <v>9.6233145402724691</v>
      </c>
      <c r="BM1205" s="2">
        <v>19.0089720471886</v>
      </c>
      <c r="BN1205" s="2">
        <v>17.352400398978599</v>
      </c>
      <c r="BO1205" s="2">
        <v>9.6233145402724691</v>
      </c>
      <c r="BP1205" s="2">
        <v>18.185486406771901</v>
      </c>
      <c r="BQ1205" s="2">
        <v>9.6233145402724691</v>
      </c>
      <c r="BR1205" s="2">
        <v>12.3240229894152</v>
      </c>
      <c r="BS1205" s="2">
        <v>12.771489469500599</v>
      </c>
      <c r="BT1205" s="2">
        <v>9.6233145402724691</v>
      </c>
      <c r="BU1205" s="2">
        <v>17.929221473783901</v>
      </c>
      <c r="BV1205" s="2">
        <v>9.6233145402724691</v>
      </c>
      <c r="BW1205" s="2">
        <v>12.5482246747601</v>
      </c>
      <c r="BX1205" s="2">
        <v>15.7481527450456</v>
      </c>
      <c r="BY1205" s="2">
        <v>18.728446097685499</v>
      </c>
      <c r="BZ1205" s="2">
        <v>9.6233145402724691</v>
      </c>
      <c r="CA1205" s="2">
        <v>18.714398373251701</v>
      </c>
      <c r="CB1205" s="2">
        <v>17.370997412639401</v>
      </c>
      <c r="CC1205" s="2">
        <v>18.8720162298251</v>
      </c>
      <c r="CD1205" s="2">
        <v>12.3378420801444</v>
      </c>
      <c r="CE1205" s="2">
        <v>20.2467697150914</v>
      </c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</row>
    <row r="1206" spans="1:97">
      <c r="A1206" s="2" t="s">
        <v>10975</v>
      </c>
      <c r="B1206" s="2">
        <v>511.30171999999999</v>
      </c>
      <c r="C1206" s="2">
        <v>8.9570000000000007</v>
      </c>
      <c r="D1206" s="2" t="s">
        <v>146</v>
      </c>
      <c r="E1206" s="2" t="s">
        <v>10976</v>
      </c>
      <c r="F1206" s="2" t="s">
        <v>10977</v>
      </c>
      <c r="G1206" s="2">
        <v>45587</v>
      </c>
      <c r="H1206" s="3" t="str">
        <f>HYPERLINK("https://cloud.oebiotech.com/#/lm/network/45587", "https://cloud.oebiotech.com/#/lm/network/45587")</f>
        <v>https://cloud.oebiotech.com/#/lm/network/45587</v>
      </c>
      <c r="I1206" s="2"/>
      <c r="J1206" s="2"/>
      <c r="K1206" s="2" t="s">
        <v>10978</v>
      </c>
      <c r="L1206" s="2">
        <v>9547530</v>
      </c>
      <c r="M1206" s="2"/>
      <c r="N1206" s="2"/>
      <c r="O1206" s="2"/>
      <c r="P1206" s="2"/>
      <c r="Q1206" s="2"/>
      <c r="R1206" s="2"/>
      <c r="S1206" s="2"/>
      <c r="T1206" s="2" t="s">
        <v>10979</v>
      </c>
      <c r="U1206" s="2" t="s">
        <v>10980</v>
      </c>
      <c r="V1206" s="2" t="s">
        <v>95</v>
      </c>
      <c r="W1206" s="2" t="s">
        <v>152</v>
      </c>
      <c r="X1206" s="2" t="s">
        <v>1484</v>
      </c>
      <c r="Y1206" s="2" t="s">
        <v>98</v>
      </c>
      <c r="Z1206" s="2" t="s">
        <v>154</v>
      </c>
      <c r="AA1206" s="2" t="s">
        <v>1485</v>
      </c>
      <c r="AB1206" s="2" t="s">
        <v>5118</v>
      </c>
      <c r="AC1206" s="2">
        <v>47.55</v>
      </c>
      <c r="AD1206" s="2">
        <v>68.540000000000006</v>
      </c>
      <c r="AE1206" s="2">
        <v>86.53</v>
      </c>
      <c r="AF1206" s="2" t="s">
        <v>10981</v>
      </c>
      <c r="AG1206" s="2" t="s">
        <v>4062</v>
      </c>
      <c r="AH1206" s="2" t="s">
        <v>10982</v>
      </c>
      <c r="AI1206" s="2">
        <v>0.2</v>
      </c>
      <c r="AJ1206" s="2">
        <v>19.443188308787299</v>
      </c>
      <c r="AK1206" s="2">
        <v>19.245877385656399</v>
      </c>
      <c r="AL1206" s="2">
        <v>19.389763809033798</v>
      </c>
      <c r="AM1206" s="2">
        <v>19.094406730984101</v>
      </c>
      <c r="AN1206" s="2">
        <v>18.9628654274767</v>
      </c>
      <c r="AO1206" s="2">
        <v>19.479770970114501</v>
      </c>
      <c r="AP1206" s="2">
        <v>19.3128748475451</v>
      </c>
      <c r="AQ1206" s="2">
        <v>19.310302772154301</v>
      </c>
      <c r="AR1206" s="2">
        <v>18.870685174513099</v>
      </c>
      <c r="AS1206" s="2">
        <v>9.6233145402724691</v>
      </c>
      <c r="AT1206" s="2">
        <v>18.740561759202699</v>
      </c>
      <c r="AU1206" s="2">
        <v>19.235751340224699</v>
      </c>
      <c r="AV1206" s="2">
        <v>18.303030368051601</v>
      </c>
      <c r="AW1206" s="2">
        <v>21.792794821141001</v>
      </c>
      <c r="AX1206" s="2">
        <v>17.623671838871999</v>
      </c>
      <c r="AY1206" s="2">
        <v>18.984715531220399</v>
      </c>
      <c r="AZ1206" s="2">
        <v>16.511298343286199</v>
      </c>
      <c r="BA1206" s="2">
        <v>13.2883989390007</v>
      </c>
      <c r="BB1206" s="2">
        <v>21.000450001529099</v>
      </c>
      <c r="BC1206" s="2">
        <v>18.1990036418903</v>
      </c>
      <c r="BD1206" s="2">
        <v>17.0640135926675</v>
      </c>
      <c r="BE1206" s="2">
        <v>17.278071165816201</v>
      </c>
      <c r="BF1206" s="2">
        <v>17.105703733130401</v>
      </c>
      <c r="BG1206" s="2">
        <v>16.415520950929299</v>
      </c>
      <c r="BH1206" s="2">
        <v>18.318338248059302</v>
      </c>
      <c r="BI1206" s="2">
        <v>13.8475311176395</v>
      </c>
      <c r="BJ1206" s="2">
        <v>18.128205725901701</v>
      </c>
      <c r="BK1206" s="2">
        <v>20.319850458053899</v>
      </c>
      <c r="BL1206" s="2">
        <v>9.6233145402724691</v>
      </c>
      <c r="BM1206" s="2">
        <v>19.881980483966601</v>
      </c>
      <c r="BN1206" s="2">
        <v>19.849822268205099</v>
      </c>
      <c r="BO1206" s="2">
        <v>16.266950839900701</v>
      </c>
      <c r="BP1206" s="2">
        <v>9.6233145402724691</v>
      </c>
      <c r="BQ1206" s="2">
        <v>19.987680731066899</v>
      </c>
      <c r="BR1206" s="2">
        <v>18.930501186169501</v>
      </c>
      <c r="BS1206" s="2">
        <v>18.393578575427799</v>
      </c>
      <c r="BT1206" s="2">
        <v>16.332781522243899</v>
      </c>
      <c r="BU1206" s="2">
        <v>12.256671621444699</v>
      </c>
      <c r="BV1206" s="2">
        <v>20.648118333152599</v>
      </c>
      <c r="BW1206" s="2">
        <v>15.972271947204201</v>
      </c>
      <c r="BX1206" s="2">
        <v>17.241795596827998</v>
      </c>
      <c r="BY1206" s="2">
        <v>17.031300374513201</v>
      </c>
      <c r="BZ1206" s="2">
        <v>16.880773757018599</v>
      </c>
      <c r="CA1206" s="2">
        <v>18.8582784389402</v>
      </c>
      <c r="CB1206" s="2">
        <v>17.764912334376799</v>
      </c>
      <c r="CC1206" s="2">
        <v>16.757298848329398</v>
      </c>
      <c r="CD1206" s="2">
        <v>18.711173772213002</v>
      </c>
      <c r="CE1206" s="2">
        <v>17.961316006935</v>
      </c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</row>
    <row r="1207" spans="1:97">
      <c r="A1207" s="2" t="s">
        <v>10983</v>
      </c>
      <c r="B1207" s="2">
        <v>399.12817000000001</v>
      </c>
      <c r="C1207" s="2">
        <v>6.0490000000000004</v>
      </c>
      <c r="D1207" s="2" t="s">
        <v>84</v>
      </c>
      <c r="E1207" s="2" t="s">
        <v>10984</v>
      </c>
      <c r="F1207" s="2" t="s">
        <v>10985</v>
      </c>
      <c r="G1207" s="2">
        <v>254798</v>
      </c>
      <c r="H1207" s="3" t="str">
        <f>HYPERLINK("https://cloud.oebiotech.com/#/lm/network/254798", "https://cloud.oebiotech.com/#/lm/network/254798")</f>
        <v>https://cloud.oebiotech.com/#/lm/network/254798</v>
      </c>
      <c r="I1207" s="2" t="s">
        <v>10986</v>
      </c>
      <c r="J1207" s="2"/>
      <c r="K1207" s="2"/>
      <c r="L1207" s="2">
        <v>72193641</v>
      </c>
      <c r="M1207" s="2"/>
      <c r="N1207" s="2"/>
      <c r="O1207" s="2"/>
      <c r="P1207" s="2">
        <v>75497</v>
      </c>
      <c r="Q1207" s="2"/>
      <c r="R1207" s="2"/>
      <c r="S1207" s="2"/>
      <c r="T1207" s="2" t="s">
        <v>10987</v>
      </c>
      <c r="U1207" s="2" t="s">
        <v>10988</v>
      </c>
      <c r="V1207" s="2" t="s">
        <v>338</v>
      </c>
      <c r="W1207" s="2" t="s">
        <v>339</v>
      </c>
      <c r="X1207" s="2" t="s">
        <v>3877</v>
      </c>
      <c r="Y1207" s="2" t="s">
        <v>341</v>
      </c>
      <c r="Z1207" s="2" t="s">
        <v>341</v>
      </c>
      <c r="AA1207" s="2" t="s">
        <v>3878</v>
      </c>
      <c r="AB1207" s="2" t="s">
        <v>5118</v>
      </c>
      <c r="AC1207" s="2">
        <v>47.55</v>
      </c>
      <c r="AD1207" s="2">
        <v>87.2</v>
      </c>
      <c r="AE1207" s="2">
        <v>63.17</v>
      </c>
      <c r="AF1207" s="2" t="s">
        <v>10989</v>
      </c>
      <c r="AG1207" s="2" t="s">
        <v>103</v>
      </c>
      <c r="AH1207" s="2" t="s">
        <v>10990</v>
      </c>
      <c r="AI1207" s="2">
        <v>1</v>
      </c>
      <c r="AJ1207" s="2">
        <v>18.404283785176101</v>
      </c>
      <c r="AK1207" s="2">
        <v>18.9057844929414</v>
      </c>
      <c r="AL1207" s="2">
        <v>18.796405649806399</v>
      </c>
      <c r="AM1207" s="2">
        <v>18.9895375292617</v>
      </c>
      <c r="AN1207" s="2">
        <v>18.830959667429902</v>
      </c>
      <c r="AO1207" s="2">
        <v>18.8864352364761</v>
      </c>
      <c r="AP1207" s="2">
        <v>18.4678127283997</v>
      </c>
      <c r="AQ1207" s="2">
        <v>18.688832017363598</v>
      </c>
      <c r="AR1207" s="2">
        <v>20.7094718929986</v>
      </c>
      <c r="AS1207" s="2">
        <v>18.490630608316</v>
      </c>
      <c r="AT1207" s="2">
        <v>19.8679542716221</v>
      </c>
      <c r="AU1207" s="2">
        <v>17.012433583863601</v>
      </c>
      <c r="AV1207" s="2">
        <v>18.5485299450499</v>
      </c>
      <c r="AW1207" s="2">
        <v>16.260512910028599</v>
      </c>
      <c r="AX1207" s="2">
        <v>15.6986656041014</v>
      </c>
      <c r="AY1207" s="2">
        <v>16.2486506817806</v>
      </c>
      <c r="AZ1207" s="2">
        <v>20.9223561472458</v>
      </c>
      <c r="BA1207" s="2">
        <v>20.325371560113702</v>
      </c>
      <c r="BB1207" s="2">
        <v>17.179158689585101</v>
      </c>
      <c r="BC1207" s="2">
        <v>21.258411727195298</v>
      </c>
      <c r="BD1207" s="2">
        <v>18.4639660479959</v>
      </c>
      <c r="BE1207" s="2">
        <v>16.983499569685101</v>
      </c>
      <c r="BF1207" s="2">
        <v>18.175501892729301</v>
      </c>
      <c r="BG1207" s="2">
        <v>17.677197211416502</v>
      </c>
      <c r="BH1207" s="2">
        <v>20.374855044879801</v>
      </c>
      <c r="BI1207" s="2">
        <v>16.1177173606144</v>
      </c>
      <c r="BJ1207" s="2">
        <v>20.8336257278734</v>
      </c>
      <c r="BK1207" s="2">
        <v>19.1791347745413</v>
      </c>
      <c r="BL1207" s="2">
        <v>16.623849919285799</v>
      </c>
      <c r="BM1207" s="2">
        <v>20.522811090818699</v>
      </c>
      <c r="BN1207" s="2">
        <v>18.8550414249606</v>
      </c>
      <c r="BO1207" s="2">
        <v>18.234640450668401</v>
      </c>
      <c r="BP1207" s="2">
        <v>9.6233145402724691</v>
      </c>
      <c r="BQ1207" s="2">
        <v>17.457293096848399</v>
      </c>
      <c r="BR1207" s="2">
        <v>15.1723517151582</v>
      </c>
      <c r="BS1207" s="2">
        <v>19.117184729831301</v>
      </c>
      <c r="BT1207" s="2">
        <v>22.086342633489899</v>
      </c>
      <c r="BU1207" s="2">
        <v>19.7708271752632</v>
      </c>
      <c r="BV1207" s="2">
        <v>18.674761950941299</v>
      </c>
      <c r="BW1207" s="2">
        <v>16.5714415821726</v>
      </c>
      <c r="BX1207" s="2">
        <v>18.314651081420301</v>
      </c>
      <c r="BY1207" s="2">
        <v>16.607022928005598</v>
      </c>
      <c r="BZ1207" s="2">
        <v>9.6233145402724691</v>
      </c>
      <c r="CA1207" s="2">
        <v>16.713822656959</v>
      </c>
      <c r="CB1207" s="2">
        <v>17.2088519904473</v>
      </c>
      <c r="CC1207" s="2">
        <v>14.6666550822573</v>
      </c>
      <c r="CD1207" s="2">
        <v>18.982245169664498</v>
      </c>
      <c r="CE1207" s="2">
        <v>18.7093354704304</v>
      </c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</row>
    <row r="1208" spans="1:97">
      <c r="A1208" s="2" t="s">
        <v>10991</v>
      </c>
      <c r="B1208" s="2">
        <v>823.61734999999999</v>
      </c>
      <c r="C1208" s="2">
        <v>8.7940000000000005</v>
      </c>
      <c r="D1208" s="2" t="s">
        <v>146</v>
      </c>
      <c r="E1208" s="2" t="s">
        <v>10992</v>
      </c>
      <c r="F1208" s="2" t="s">
        <v>10993</v>
      </c>
      <c r="G1208" s="2">
        <v>37016</v>
      </c>
      <c r="H1208" s="3" t="str">
        <f>HYPERLINK("https://cloud.oebiotech.com/#/lm/network/37016", "https://cloud.oebiotech.com/#/lm/network/37016")</f>
        <v>https://cloud.oebiotech.com/#/lm/network/37016</v>
      </c>
      <c r="I1208" s="2"/>
      <c r="J1208" s="2"/>
      <c r="K1208" s="2" t="s">
        <v>10994</v>
      </c>
      <c r="L1208" s="2"/>
      <c r="M1208" s="2"/>
      <c r="N1208" s="2"/>
      <c r="O1208" s="2"/>
      <c r="P1208" s="2"/>
      <c r="Q1208" s="2"/>
      <c r="R1208" s="2"/>
      <c r="S1208" s="2"/>
      <c r="T1208" s="2" t="s">
        <v>10995</v>
      </c>
      <c r="U1208" s="2" t="s">
        <v>10996</v>
      </c>
      <c r="V1208" s="2" t="s">
        <v>95</v>
      </c>
      <c r="W1208" s="2" t="s">
        <v>180</v>
      </c>
      <c r="X1208" s="2" t="s">
        <v>9478</v>
      </c>
      <c r="Y1208" s="2" t="s">
        <v>98</v>
      </c>
      <c r="Z1208" s="2" t="s">
        <v>182</v>
      </c>
      <c r="AA1208" s="2" t="s">
        <v>9479</v>
      </c>
      <c r="AB1208" s="2" t="s">
        <v>5118</v>
      </c>
      <c r="AC1208" s="2">
        <v>47.54</v>
      </c>
      <c r="AD1208" s="2">
        <v>70.89</v>
      </c>
      <c r="AE1208" s="2">
        <v>83.52</v>
      </c>
      <c r="AF1208" s="2" t="s">
        <v>10997</v>
      </c>
      <c r="AG1208" s="2" t="s">
        <v>4062</v>
      </c>
      <c r="AH1208" s="2" t="s">
        <v>10998</v>
      </c>
      <c r="AI1208" s="2">
        <v>-0.97</v>
      </c>
      <c r="AJ1208" s="2">
        <v>23.570980260516599</v>
      </c>
      <c r="AK1208" s="2">
        <v>23.517115624207399</v>
      </c>
      <c r="AL1208" s="2">
        <v>23.540764101003699</v>
      </c>
      <c r="AM1208" s="2">
        <v>23.685572931717701</v>
      </c>
      <c r="AN1208" s="2">
        <v>23.541654441262502</v>
      </c>
      <c r="AO1208" s="2">
        <v>23.496517521219999</v>
      </c>
      <c r="AP1208" s="2">
        <v>23.437396560110098</v>
      </c>
      <c r="AQ1208" s="2">
        <v>23.318815117724402</v>
      </c>
      <c r="AR1208" s="2">
        <v>23.4337454404595</v>
      </c>
      <c r="AS1208" s="2">
        <v>23.357847428817699</v>
      </c>
      <c r="AT1208" s="2">
        <v>23.423295017118299</v>
      </c>
      <c r="AU1208" s="2">
        <v>23.229981739325101</v>
      </c>
      <c r="AV1208" s="2">
        <v>23.419322863845402</v>
      </c>
      <c r="AW1208" s="2">
        <v>23.824971874952499</v>
      </c>
      <c r="AX1208" s="2">
        <v>23.216885968541899</v>
      </c>
      <c r="AY1208" s="2">
        <v>23.4817852528749</v>
      </c>
      <c r="AZ1208" s="2">
        <v>23.586898368044299</v>
      </c>
      <c r="BA1208" s="2">
        <v>23.2503309892566</v>
      </c>
      <c r="BB1208" s="2">
        <v>23.506148378108801</v>
      </c>
      <c r="BC1208" s="2">
        <v>23.403437219002999</v>
      </c>
      <c r="BD1208" s="2">
        <v>23.319618136224602</v>
      </c>
      <c r="BE1208" s="2">
        <v>23.559874673092001</v>
      </c>
      <c r="BF1208" s="2">
        <v>23.3807225631049</v>
      </c>
      <c r="BG1208" s="2">
        <v>23.570391853536002</v>
      </c>
      <c r="BH1208" s="2">
        <v>23.620196905260901</v>
      </c>
      <c r="BI1208" s="2">
        <v>23.364263805640299</v>
      </c>
      <c r="BJ1208" s="2">
        <v>23.4116183065283</v>
      </c>
      <c r="BK1208" s="2">
        <v>23.5664708213619</v>
      </c>
      <c r="BL1208" s="2">
        <v>23.2579924690261</v>
      </c>
      <c r="BM1208" s="2">
        <v>23.538386808589799</v>
      </c>
      <c r="BN1208" s="2">
        <v>23.1130486098231</v>
      </c>
      <c r="BO1208" s="2">
        <v>23.466515761216701</v>
      </c>
      <c r="BP1208" s="2">
        <v>23.229545757405699</v>
      </c>
      <c r="BQ1208" s="2">
        <v>23.4385436642511</v>
      </c>
      <c r="BR1208" s="2">
        <v>23.174083201550701</v>
      </c>
      <c r="BS1208" s="2">
        <v>23.230527800569401</v>
      </c>
      <c r="BT1208" s="2">
        <v>23.177774440099999</v>
      </c>
      <c r="BU1208" s="2">
        <v>23.0751417422373</v>
      </c>
      <c r="BV1208" s="2">
        <v>23.395530767529898</v>
      </c>
      <c r="BW1208" s="2">
        <v>23.206093085801101</v>
      </c>
      <c r="BX1208" s="2">
        <v>23.255789286495599</v>
      </c>
      <c r="BY1208" s="2">
        <v>23.320575718869701</v>
      </c>
      <c r="BZ1208" s="2">
        <v>23.394240147903599</v>
      </c>
      <c r="CA1208" s="2">
        <v>23.357116876926799</v>
      </c>
      <c r="CB1208" s="2">
        <v>23.281343013472199</v>
      </c>
      <c r="CC1208" s="2">
        <v>23.448330377548299</v>
      </c>
      <c r="CD1208" s="2">
        <v>23.405279345925599</v>
      </c>
      <c r="CE1208" s="2">
        <v>23.232786345496699</v>
      </c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</row>
    <row r="1209" spans="1:97">
      <c r="A1209" s="2" t="s">
        <v>10999</v>
      </c>
      <c r="B1209" s="2">
        <v>590.38067999999998</v>
      </c>
      <c r="C1209" s="2">
        <v>11.188000000000001</v>
      </c>
      <c r="D1209" s="2" t="s">
        <v>84</v>
      </c>
      <c r="E1209" s="2" t="s">
        <v>11000</v>
      </c>
      <c r="F1209" s="2" t="s">
        <v>11001</v>
      </c>
      <c r="G1209" s="2">
        <v>37511</v>
      </c>
      <c r="H1209" s="3" t="str">
        <f>HYPERLINK("https://cloud.oebiotech.com/#/lm/network/37511", "https://cloud.oebiotech.com/#/lm/network/37511")</f>
        <v>https://cloud.oebiotech.com/#/lm/network/37511</v>
      </c>
      <c r="I1209" s="2"/>
      <c r="J1209" s="2"/>
      <c r="K1209" s="2" t="s">
        <v>11002</v>
      </c>
      <c r="L1209" s="2">
        <v>70698924</v>
      </c>
      <c r="M1209" s="2" t="s">
        <v>11003</v>
      </c>
      <c r="N1209" s="2"/>
      <c r="O1209" s="2"/>
      <c r="P1209" s="2">
        <v>17298</v>
      </c>
      <c r="Q1209" s="2"/>
      <c r="R1209" s="2"/>
      <c r="S1209" s="2"/>
      <c r="T1209" s="2" t="s">
        <v>11004</v>
      </c>
      <c r="U1209" s="2" t="s">
        <v>11005</v>
      </c>
      <c r="V1209" s="2" t="s">
        <v>95</v>
      </c>
      <c r="W1209" s="2" t="s">
        <v>180</v>
      </c>
      <c r="X1209" s="2" t="s">
        <v>11006</v>
      </c>
      <c r="Y1209" s="2" t="s">
        <v>98</v>
      </c>
      <c r="Z1209" s="2" t="s">
        <v>182</v>
      </c>
      <c r="AA1209" s="2" t="s">
        <v>11007</v>
      </c>
      <c r="AB1209" s="2" t="s">
        <v>5118</v>
      </c>
      <c r="AC1209" s="2">
        <v>47.54</v>
      </c>
      <c r="AD1209" s="2">
        <v>93.91</v>
      </c>
      <c r="AE1209" s="2">
        <v>59.05</v>
      </c>
      <c r="AF1209" s="2" t="s">
        <v>11008</v>
      </c>
      <c r="AG1209" s="2" t="s">
        <v>132</v>
      </c>
      <c r="AH1209" s="2" t="s">
        <v>11009</v>
      </c>
      <c r="AI1209" s="2">
        <v>1.69</v>
      </c>
      <c r="AJ1209" s="2">
        <v>19.4390668019531</v>
      </c>
      <c r="AK1209" s="2">
        <v>19.548555023865902</v>
      </c>
      <c r="AL1209" s="2">
        <v>19.598815748594799</v>
      </c>
      <c r="AM1209" s="2">
        <v>19.130716872984799</v>
      </c>
      <c r="AN1209" s="2">
        <v>19.728010085242602</v>
      </c>
      <c r="AO1209" s="2">
        <v>19.718862341217999</v>
      </c>
      <c r="AP1209" s="2">
        <v>19.7795415429729</v>
      </c>
      <c r="AQ1209" s="2">
        <v>19.3230083907753</v>
      </c>
      <c r="AR1209" s="2">
        <v>20.439808264606199</v>
      </c>
      <c r="AS1209" s="2">
        <v>18.416757290945199</v>
      </c>
      <c r="AT1209" s="2">
        <v>18.7245150854747</v>
      </c>
      <c r="AU1209" s="2">
        <v>19.188200366969301</v>
      </c>
      <c r="AV1209" s="2">
        <v>19.9211709816691</v>
      </c>
      <c r="AW1209" s="2">
        <v>18.437834104094001</v>
      </c>
      <c r="AX1209" s="2">
        <v>19.753986155903601</v>
      </c>
      <c r="AY1209" s="2">
        <v>18.8003330453048</v>
      </c>
      <c r="AZ1209" s="2">
        <v>19.078413297255899</v>
      </c>
      <c r="BA1209" s="2">
        <v>17.6469384869831</v>
      </c>
      <c r="BB1209" s="2">
        <v>18.833881452111399</v>
      </c>
      <c r="BC1209" s="2">
        <v>19.946439283724999</v>
      </c>
      <c r="BD1209" s="2">
        <v>20.146219563909</v>
      </c>
      <c r="BE1209" s="2">
        <v>19.930678267248702</v>
      </c>
      <c r="BF1209" s="2">
        <v>18.1595675084757</v>
      </c>
      <c r="BG1209" s="2">
        <v>19.950348016821099</v>
      </c>
      <c r="BH1209" s="2">
        <v>20.620048073120699</v>
      </c>
      <c r="BI1209" s="2">
        <v>17.936367293286999</v>
      </c>
      <c r="BJ1209" s="2">
        <v>18.660086761578398</v>
      </c>
      <c r="BK1209" s="2">
        <v>19.822782560011898</v>
      </c>
      <c r="BL1209" s="2">
        <v>19.0412128119142</v>
      </c>
      <c r="BM1209" s="2">
        <v>19.334111805966501</v>
      </c>
      <c r="BN1209" s="2">
        <v>20.246568623484499</v>
      </c>
      <c r="BO1209" s="2">
        <v>19.585220314074</v>
      </c>
      <c r="BP1209" s="2">
        <v>18.940209687469402</v>
      </c>
      <c r="BQ1209" s="2">
        <v>18.947292173683199</v>
      </c>
      <c r="BR1209" s="2">
        <v>18.6209062012149</v>
      </c>
      <c r="BS1209" s="2">
        <v>19.963719161684399</v>
      </c>
      <c r="BT1209" s="2">
        <v>20.7831430558149</v>
      </c>
      <c r="BU1209" s="2">
        <v>18.667109774473101</v>
      </c>
      <c r="BV1209" s="2">
        <v>18.9984141365893</v>
      </c>
      <c r="BW1209" s="2">
        <v>19.496760778436801</v>
      </c>
      <c r="BX1209" s="2">
        <v>19.543609402848801</v>
      </c>
      <c r="BY1209" s="2">
        <v>21.3291013030607</v>
      </c>
      <c r="BZ1209" s="2">
        <v>18.504418588545601</v>
      </c>
      <c r="CA1209" s="2">
        <v>19.917045479136402</v>
      </c>
      <c r="CB1209" s="2">
        <v>18.876734137834202</v>
      </c>
      <c r="CC1209" s="2">
        <v>17.915223676822201</v>
      </c>
      <c r="CD1209" s="2">
        <v>19.8409131514805</v>
      </c>
      <c r="CE1209" s="2">
        <v>20.3304038576489</v>
      </c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</row>
    <row r="1210" spans="1:97">
      <c r="A1210" s="2" t="s">
        <v>11010</v>
      </c>
      <c r="B1210" s="2">
        <v>439.19333999999998</v>
      </c>
      <c r="C1210" s="2">
        <v>6.4210000000000003</v>
      </c>
      <c r="D1210" s="2" t="s">
        <v>84</v>
      </c>
      <c r="E1210" s="2" t="s">
        <v>11011</v>
      </c>
      <c r="F1210" s="2" t="s">
        <v>11012</v>
      </c>
      <c r="G1210" s="2">
        <v>61933</v>
      </c>
      <c r="H1210" s="3" t="str">
        <f>HYPERLINK("https://cloud.oebiotech.com/#/lm/network/61933", "https://cloud.oebiotech.com/#/lm/network/61933")</f>
        <v>https://cloud.oebiotech.com/#/lm/network/61933</v>
      </c>
      <c r="I1210" s="2" t="s">
        <v>11013</v>
      </c>
      <c r="J1210" s="2"/>
      <c r="K1210" s="2"/>
      <c r="L1210" s="2">
        <v>167736</v>
      </c>
      <c r="M1210" s="2"/>
      <c r="N1210" s="2"/>
      <c r="O1210" s="2"/>
      <c r="P1210" s="2"/>
      <c r="Q1210" s="2"/>
      <c r="R1210" s="2"/>
      <c r="S1210" s="2" t="s">
        <v>11014</v>
      </c>
      <c r="T1210" s="2" t="s">
        <v>11015</v>
      </c>
      <c r="U1210" s="2" t="s">
        <v>11016</v>
      </c>
      <c r="V1210" s="2" t="s">
        <v>95</v>
      </c>
      <c r="W1210" s="2" t="s">
        <v>180</v>
      </c>
      <c r="X1210" s="2" t="s">
        <v>181</v>
      </c>
      <c r="Y1210" s="2" t="s">
        <v>98</v>
      </c>
      <c r="Z1210" s="2" t="s">
        <v>182</v>
      </c>
      <c r="AA1210" s="2" t="s">
        <v>183</v>
      </c>
      <c r="AB1210" s="2" t="s">
        <v>3086</v>
      </c>
      <c r="AC1210" s="2">
        <v>47.53</v>
      </c>
      <c r="AD1210" s="2">
        <v>84.66</v>
      </c>
      <c r="AE1210" s="2">
        <v>0</v>
      </c>
      <c r="AF1210" s="2" t="s">
        <v>11017</v>
      </c>
      <c r="AG1210" s="2" t="s">
        <v>103</v>
      </c>
      <c r="AH1210" s="2" t="s">
        <v>11018</v>
      </c>
      <c r="AI1210" s="2">
        <v>6.83</v>
      </c>
      <c r="AJ1210" s="2">
        <v>17.577020858484801</v>
      </c>
      <c r="AK1210" s="2">
        <v>16.9440439920152</v>
      </c>
      <c r="AL1210" s="2">
        <v>17.6576540297661</v>
      </c>
      <c r="AM1210" s="2">
        <v>17.138118577694598</v>
      </c>
      <c r="AN1210" s="2">
        <v>17.275167775521702</v>
      </c>
      <c r="AO1210" s="2">
        <v>16.9944973013877</v>
      </c>
      <c r="AP1210" s="2">
        <v>17.5072468527387</v>
      </c>
      <c r="AQ1210" s="2">
        <v>17.329586840776098</v>
      </c>
      <c r="AR1210" s="2">
        <v>15.717231937706099</v>
      </c>
      <c r="AS1210" s="2">
        <v>17.4176160340444</v>
      </c>
      <c r="AT1210" s="2">
        <v>17.731520371057801</v>
      </c>
      <c r="AU1210" s="2">
        <v>17.686547169994199</v>
      </c>
      <c r="AV1210" s="2">
        <v>16.513460057050999</v>
      </c>
      <c r="AW1210" s="2">
        <v>16.9267493141936</v>
      </c>
      <c r="AX1210" s="2">
        <v>15.670161620867701</v>
      </c>
      <c r="AY1210" s="2">
        <v>16.836614290838298</v>
      </c>
      <c r="AZ1210" s="2">
        <v>15.807676413205201</v>
      </c>
      <c r="BA1210" s="2">
        <v>17.023803724223001</v>
      </c>
      <c r="BB1210" s="2">
        <v>17.272211137119999</v>
      </c>
      <c r="BC1210" s="2">
        <v>16.6179485034523</v>
      </c>
      <c r="BD1210" s="2">
        <v>15.149194573264101</v>
      </c>
      <c r="BE1210" s="2">
        <v>17.4379222251528</v>
      </c>
      <c r="BF1210" s="2">
        <v>17.019116897058002</v>
      </c>
      <c r="BG1210" s="2">
        <v>16.705867373094598</v>
      </c>
      <c r="BH1210" s="2">
        <v>16.8920736368033</v>
      </c>
      <c r="BI1210" s="2">
        <v>17.972015536361599</v>
      </c>
      <c r="BJ1210" s="2">
        <v>16.620673603859899</v>
      </c>
      <c r="BK1210" s="2">
        <v>16.708510989204498</v>
      </c>
      <c r="BL1210" s="2">
        <v>17.3156225328439</v>
      </c>
      <c r="BM1210" s="2">
        <v>18.453563354289599</v>
      </c>
      <c r="BN1210" s="2">
        <v>16.413944871971299</v>
      </c>
      <c r="BO1210" s="2">
        <v>17.852085243182199</v>
      </c>
      <c r="BP1210" s="2">
        <v>16.144214501264901</v>
      </c>
      <c r="BQ1210" s="2">
        <v>17.363000861414299</v>
      </c>
      <c r="BR1210" s="2">
        <v>16.143073650304</v>
      </c>
      <c r="BS1210" s="2">
        <v>17.7698758006349</v>
      </c>
      <c r="BT1210" s="2">
        <v>16.687838481149502</v>
      </c>
      <c r="BU1210" s="2">
        <v>16.434170146152798</v>
      </c>
      <c r="BV1210" s="2">
        <v>18.035805216710099</v>
      </c>
      <c r="BW1210" s="2">
        <v>15.276374164776</v>
      </c>
      <c r="BX1210" s="2">
        <v>16.313798703633999</v>
      </c>
      <c r="BY1210" s="2">
        <v>18.4442648104474</v>
      </c>
      <c r="BZ1210" s="2">
        <v>16.943861248711901</v>
      </c>
      <c r="CA1210" s="2">
        <v>17.077967498081101</v>
      </c>
      <c r="CB1210" s="2">
        <v>17.115384384019201</v>
      </c>
      <c r="CC1210" s="2">
        <v>16.702011255342398</v>
      </c>
      <c r="CD1210" s="2">
        <v>17.159497491293799</v>
      </c>
      <c r="CE1210" s="2">
        <v>17.221455242005799</v>
      </c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</row>
    <row r="1211" spans="1:97">
      <c r="A1211" s="2" t="s">
        <v>11019</v>
      </c>
      <c r="B1211" s="2">
        <v>88.003870000000006</v>
      </c>
      <c r="C1211" s="2">
        <v>0.997</v>
      </c>
      <c r="D1211" s="2" t="s">
        <v>146</v>
      </c>
      <c r="E1211" s="2" t="s">
        <v>11020</v>
      </c>
      <c r="F1211" s="2" t="s">
        <v>11021</v>
      </c>
      <c r="G1211" s="2">
        <v>47795</v>
      </c>
      <c r="H1211" s="3" t="str">
        <f>HYPERLINK("https://cloud.oebiotech.com/#/lm/network/47795", "https://cloud.oebiotech.com/#/lm/network/47795")</f>
        <v>https://cloud.oebiotech.com/#/lm/network/47795</v>
      </c>
      <c r="I1211" s="2" t="s">
        <v>11022</v>
      </c>
      <c r="J1211" s="2"/>
      <c r="K1211" s="2"/>
      <c r="L1211" s="2">
        <v>540</v>
      </c>
      <c r="M1211" s="2" t="s">
        <v>11023</v>
      </c>
      <c r="N1211" s="2" t="s">
        <v>11024</v>
      </c>
      <c r="O1211" s="2" t="s">
        <v>11025</v>
      </c>
      <c r="P1211" s="2">
        <v>28024</v>
      </c>
      <c r="Q1211" s="2"/>
      <c r="R1211" s="2"/>
      <c r="S1211" s="2" t="s">
        <v>11026</v>
      </c>
      <c r="T1211" s="2" t="s">
        <v>11027</v>
      </c>
      <c r="U1211" s="2" t="s">
        <v>11028</v>
      </c>
      <c r="V1211" s="2" t="s">
        <v>338</v>
      </c>
      <c r="W1211" s="2" t="s">
        <v>11029</v>
      </c>
      <c r="X1211" s="2" t="s">
        <v>11030</v>
      </c>
      <c r="Y1211" s="2" t="s">
        <v>341</v>
      </c>
      <c r="Z1211" s="2" t="s">
        <v>11031</v>
      </c>
      <c r="AA1211" s="2" t="s">
        <v>11032</v>
      </c>
      <c r="AB1211" s="2" t="s">
        <v>8443</v>
      </c>
      <c r="AC1211" s="2">
        <v>47.52</v>
      </c>
      <c r="AD1211" s="2">
        <v>98.25</v>
      </c>
      <c r="AE1211" s="2">
        <v>0</v>
      </c>
      <c r="AF1211" s="2" t="s">
        <v>5614</v>
      </c>
      <c r="AG1211" s="2" t="s">
        <v>157</v>
      </c>
      <c r="AH1211" s="2" t="s">
        <v>11033</v>
      </c>
      <c r="AI1211" s="2">
        <v>1.59</v>
      </c>
      <c r="AJ1211" s="2">
        <v>19.233139945279</v>
      </c>
      <c r="AK1211" s="2">
        <v>19.784991845914998</v>
      </c>
      <c r="AL1211" s="2">
        <v>19.7129411421882</v>
      </c>
      <c r="AM1211" s="2">
        <v>19.6317829608561</v>
      </c>
      <c r="AN1211" s="2">
        <v>19.656017102828098</v>
      </c>
      <c r="AO1211" s="2">
        <v>19.7065101826927</v>
      </c>
      <c r="AP1211" s="2">
        <v>19.6332561006028</v>
      </c>
      <c r="AQ1211" s="2">
        <v>19.431775436351099</v>
      </c>
      <c r="AR1211" s="2">
        <v>19.533430537039202</v>
      </c>
      <c r="AS1211" s="2">
        <v>19.560998008982601</v>
      </c>
      <c r="AT1211" s="2">
        <v>19.4546501960866</v>
      </c>
      <c r="AU1211" s="2">
        <v>19.665207064672501</v>
      </c>
      <c r="AV1211" s="2">
        <v>19.175780630176401</v>
      </c>
      <c r="AW1211" s="2">
        <v>19.512657277550701</v>
      </c>
      <c r="AX1211" s="2">
        <v>19.227475635927899</v>
      </c>
      <c r="AY1211" s="2">
        <v>19.505949896773501</v>
      </c>
      <c r="AZ1211" s="2">
        <v>19.114759736975799</v>
      </c>
      <c r="BA1211" s="2">
        <v>19.649083469492599</v>
      </c>
      <c r="BB1211" s="2">
        <v>19.706346184841401</v>
      </c>
      <c r="BC1211" s="2">
        <v>19.249906515072301</v>
      </c>
      <c r="BD1211" s="2">
        <v>19.7455015389511</v>
      </c>
      <c r="BE1211" s="2">
        <v>19.258293846740202</v>
      </c>
      <c r="BF1211" s="2">
        <v>19.098612204539599</v>
      </c>
      <c r="BG1211" s="2">
        <v>19.442228088278799</v>
      </c>
      <c r="BH1211" s="2">
        <v>19.3913398685517</v>
      </c>
      <c r="BI1211" s="2">
        <v>19.692598748246699</v>
      </c>
      <c r="BJ1211" s="2">
        <v>19.534336512823501</v>
      </c>
      <c r="BK1211" s="2">
        <v>19.413234999926299</v>
      </c>
      <c r="BL1211" s="2">
        <v>19.695643843298399</v>
      </c>
      <c r="BM1211" s="2">
        <v>19.4315027051972</v>
      </c>
      <c r="BN1211" s="2">
        <v>19.521369460449201</v>
      </c>
      <c r="BO1211" s="2">
        <v>19.728889815039899</v>
      </c>
      <c r="BP1211" s="2">
        <v>19.801495582331</v>
      </c>
      <c r="BQ1211" s="2">
        <v>19.991559102078</v>
      </c>
      <c r="BR1211" s="2">
        <v>19.6878021297026</v>
      </c>
      <c r="BS1211" s="2">
        <v>19.554366879501401</v>
      </c>
      <c r="BT1211" s="2">
        <v>20.006617099372001</v>
      </c>
      <c r="BU1211" s="2">
        <v>19.5333779871291</v>
      </c>
      <c r="BV1211" s="2">
        <v>19.4847379065884</v>
      </c>
      <c r="BW1211" s="2">
        <v>19.633952422354898</v>
      </c>
      <c r="BX1211" s="2">
        <v>19.703246891817201</v>
      </c>
      <c r="BY1211" s="2">
        <v>19.3976039469132</v>
      </c>
      <c r="BZ1211" s="2">
        <v>19.549252446665701</v>
      </c>
      <c r="CA1211" s="2">
        <v>19.5041416150939</v>
      </c>
      <c r="CB1211" s="2">
        <v>19.6781975329692</v>
      </c>
      <c r="CC1211" s="2">
        <v>19.961217711896602</v>
      </c>
      <c r="CD1211" s="2">
        <v>19.616376249912499</v>
      </c>
      <c r="CE1211" s="2">
        <v>19.503846308300702</v>
      </c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</row>
    <row r="1212" spans="1:97">
      <c r="A1212" s="2" t="s">
        <v>11034</v>
      </c>
      <c r="B1212" s="2">
        <v>500.30351999999999</v>
      </c>
      <c r="C1212" s="2">
        <v>8.7070000000000007</v>
      </c>
      <c r="D1212" s="2" t="s">
        <v>84</v>
      </c>
      <c r="E1212" s="2" t="s">
        <v>11035</v>
      </c>
      <c r="F1212" s="2" t="s">
        <v>11036</v>
      </c>
      <c r="G1212" s="2">
        <v>198864</v>
      </c>
      <c r="H1212" s="3" t="str">
        <f>HYPERLINK("https://cloud.oebiotech.com/#/lm/network/198864", "https://cloud.oebiotech.com/#/lm/network/198864")</f>
        <v>https://cloud.oebiotech.com/#/lm/network/198864</v>
      </c>
      <c r="I1212" s="2" t="s">
        <v>11037</v>
      </c>
      <c r="J1212" s="2"/>
      <c r="K1212" s="2"/>
      <c r="L1212" s="2">
        <v>22338</v>
      </c>
      <c r="M1212" s="2"/>
      <c r="N1212" s="2"/>
      <c r="O1212" s="2"/>
      <c r="P1212" s="2"/>
      <c r="Q1212" s="2"/>
      <c r="R1212" s="2"/>
      <c r="S1212" s="2"/>
      <c r="T1212" s="2" t="s">
        <v>11038</v>
      </c>
      <c r="U1212" s="2" t="s">
        <v>11039</v>
      </c>
      <c r="V1212" s="2" t="s">
        <v>95</v>
      </c>
      <c r="W1212" s="2" t="s">
        <v>152</v>
      </c>
      <c r="X1212" s="2" t="s">
        <v>278</v>
      </c>
      <c r="Y1212" s="2" t="s">
        <v>98</v>
      </c>
      <c r="Z1212" s="2" t="s">
        <v>154</v>
      </c>
      <c r="AA1212" s="2" t="s">
        <v>279</v>
      </c>
      <c r="AB1212" s="2" t="s">
        <v>5118</v>
      </c>
      <c r="AC1212" s="2">
        <v>47.48</v>
      </c>
      <c r="AD1212" s="2">
        <v>89.81</v>
      </c>
      <c r="AE1212" s="2">
        <v>59.48</v>
      </c>
      <c r="AF1212" s="2" t="s">
        <v>11040</v>
      </c>
      <c r="AG1212" s="2" t="s">
        <v>103</v>
      </c>
      <c r="AH1212" s="2" t="s">
        <v>3575</v>
      </c>
      <c r="AI1212" s="2">
        <v>1</v>
      </c>
      <c r="AJ1212" s="2">
        <v>19.142737799252</v>
      </c>
      <c r="AK1212" s="2">
        <v>19.504889439702801</v>
      </c>
      <c r="AL1212" s="2">
        <v>19.312731913468799</v>
      </c>
      <c r="AM1212" s="2">
        <v>19.396960427757499</v>
      </c>
      <c r="AN1212" s="2">
        <v>19.457272713773399</v>
      </c>
      <c r="AO1212" s="2">
        <v>19.321221081234601</v>
      </c>
      <c r="AP1212" s="2">
        <v>19.508321036343901</v>
      </c>
      <c r="AQ1212" s="2">
        <v>19.389984949952499</v>
      </c>
      <c r="AR1212" s="2">
        <v>19.390744341346199</v>
      </c>
      <c r="AS1212" s="2">
        <v>13.583720976553</v>
      </c>
      <c r="AT1212" s="2">
        <v>16.815162486329601</v>
      </c>
      <c r="AU1212" s="2">
        <v>20.3189582652195</v>
      </c>
      <c r="AV1212" s="2">
        <v>17.693840495885301</v>
      </c>
      <c r="AW1212" s="2">
        <v>21.8947013741669</v>
      </c>
      <c r="AX1212" s="2">
        <v>9.6233145402724691</v>
      </c>
      <c r="AY1212" s="2">
        <v>21.907480319603401</v>
      </c>
      <c r="AZ1212" s="2">
        <v>19.5399064798628</v>
      </c>
      <c r="BA1212" s="2">
        <v>14.697836900818601</v>
      </c>
      <c r="BB1212" s="2">
        <v>18.781354110006301</v>
      </c>
      <c r="BC1212" s="2">
        <v>9.6233145402724691</v>
      </c>
      <c r="BD1212" s="2">
        <v>19.320788718191</v>
      </c>
      <c r="BE1212" s="2">
        <v>21.186652011701799</v>
      </c>
      <c r="BF1212" s="2">
        <v>15.181105657435999</v>
      </c>
      <c r="BG1212" s="2">
        <v>9.6233145402724691</v>
      </c>
      <c r="BH1212" s="2">
        <v>18.739848926568101</v>
      </c>
      <c r="BI1212" s="2">
        <v>13.615256041843701</v>
      </c>
      <c r="BJ1212" s="2">
        <v>16.387981621267599</v>
      </c>
      <c r="BK1212" s="2">
        <v>9.6233145402724691</v>
      </c>
      <c r="BL1212" s="2">
        <v>9.6233145402724691</v>
      </c>
      <c r="BM1212" s="2">
        <v>20.512420868696498</v>
      </c>
      <c r="BN1212" s="2">
        <v>18.553421330588002</v>
      </c>
      <c r="BO1212" s="2">
        <v>18.8890334077714</v>
      </c>
      <c r="BP1212" s="2">
        <v>9.6233145402724691</v>
      </c>
      <c r="BQ1212" s="2">
        <v>18.2897717988251</v>
      </c>
      <c r="BR1212" s="2">
        <v>17.524085827163901</v>
      </c>
      <c r="BS1212" s="2">
        <v>21.318287130702799</v>
      </c>
      <c r="BT1212" s="2">
        <v>18.303894836346998</v>
      </c>
      <c r="BU1212" s="2">
        <v>9.6233145402724691</v>
      </c>
      <c r="BV1212" s="2">
        <v>17.431048242771102</v>
      </c>
      <c r="BW1212" s="2">
        <v>9.6233145402724691</v>
      </c>
      <c r="BX1212" s="2">
        <v>19.0868446914101</v>
      </c>
      <c r="BY1212" s="2">
        <v>20.487828790195501</v>
      </c>
      <c r="BZ1212" s="2">
        <v>19.4626590483679</v>
      </c>
      <c r="CA1212" s="2">
        <v>9.6233145402724691</v>
      </c>
      <c r="CB1212" s="2">
        <v>17.100435360289101</v>
      </c>
      <c r="CC1212" s="2">
        <v>9.6233145402724691</v>
      </c>
      <c r="CD1212" s="2">
        <v>18.0278736620986</v>
      </c>
      <c r="CE1212" s="2">
        <v>9.6233145402724691</v>
      </c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</row>
    <row r="1213" spans="1:97">
      <c r="A1213" s="2" t="s">
        <v>11041</v>
      </c>
      <c r="B1213" s="2">
        <v>239.16362000000001</v>
      </c>
      <c r="C1213" s="2">
        <v>10.723000000000001</v>
      </c>
      <c r="D1213" s="2" t="s">
        <v>84</v>
      </c>
      <c r="E1213" s="2" t="s">
        <v>11042</v>
      </c>
      <c r="F1213" s="2" t="s">
        <v>11043</v>
      </c>
      <c r="G1213" s="2">
        <v>3351</v>
      </c>
      <c r="H1213" s="3" t="str">
        <f>HYPERLINK("https://cloud.oebiotech.com/#/lm/network/3351", "https://cloud.oebiotech.com/#/lm/network/3351")</f>
        <v>https://cloud.oebiotech.com/#/lm/network/3351</v>
      </c>
      <c r="I1213" s="2"/>
      <c r="J1213" s="2">
        <v>36063</v>
      </c>
      <c r="K1213" s="2" t="s">
        <v>11044</v>
      </c>
      <c r="L1213" s="2">
        <v>14311116</v>
      </c>
      <c r="M1213" s="2"/>
      <c r="N1213" s="2"/>
      <c r="O1213" s="2"/>
      <c r="P1213" s="2"/>
      <c r="Q1213" s="2"/>
      <c r="R1213" s="2"/>
      <c r="S1213" s="2"/>
      <c r="T1213" s="2" t="s">
        <v>11045</v>
      </c>
      <c r="U1213" s="2" t="s">
        <v>11046</v>
      </c>
      <c r="V1213" s="2" t="s">
        <v>338</v>
      </c>
      <c r="W1213" s="2" t="s">
        <v>339</v>
      </c>
      <c r="X1213" s="2" t="s">
        <v>340</v>
      </c>
      <c r="Y1213" s="2" t="s">
        <v>341</v>
      </c>
      <c r="Z1213" s="2" t="s">
        <v>341</v>
      </c>
      <c r="AA1213" s="2" t="s">
        <v>342</v>
      </c>
      <c r="AB1213" s="2" t="s">
        <v>5118</v>
      </c>
      <c r="AC1213" s="2">
        <v>47.47</v>
      </c>
      <c r="AD1213" s="2">
        <v>96.64</v>
      </c>
      <c r="AE1213" s="2">
        <v>60.35</v>
      </c>
      <c r="AF1213" s="2" t="s">
        <v>11047</v>
      </c>
      <c r="AG1213" s="2" t="s">
        <v>103</v>
      </c>
      <c r="AH1213" s="2" t="s">
        <v>11048</v>
      </c>
      <c r="AI1213" s="2">
        <v>2.5099999999999998</v>
      </c>
      <c r="AJ1213" s="2">
        <v>22.178541377101499</v>
      </c>
      <c r="AK1213" s="2">
        <v>22.264319060050902</v>
      </c>
      <c r="AL1213" s="2">
        <v>21.9419798401264</v>
      </c>
      <c r="AM1213" s="2">
        <v>22.034724363106601</v>
      </c>
      <c r="AN1213" s="2">
        <v>21.9616092940811</v>
      </c>
      <c r="AO1213" s="2">
        <v>22.0777896208761</v>
      </c>
      <c r="AP1213" s="2">
        <v>22.074841306656701</v>
      </c>
      <c r="AQ1213" s="2">
        <v>21.9964282769158</v>
      </c>
      <c r="AR1213" s="2">
        <v>21.187874044413601</v>
      </c>
      <c r="AS1213" s="2">
        <v>21.586315699564398</v>
      </c>
      <c r="AT1213" s="2">
        <v>22.083615083269098</v>
      </c>
      <c r="AU1213" s="2">
        <v>21.918102174860401</v>
      </c>
      <c r="AV1213" s="2">
        <v>23.0151648741905</v>
      </c>
      <c r="AW1213" s="2">
        <v>22.353982479620299</v>
      </c>
      <c r="AX1213" s="2">
        <v>21.812610052565098</v>
      </c>
      <c r="AY1213" s="2">
        <v>22.2801679139919</v>
      </c>
      <c r="AZ1213" s="2">
        <v>21.693370418012901</v>
      </c>
      <c r="BA1213" s="2">
        <v>21.940930268797199</v>
      </c>
      <c r="BB1213" s="2">
        <v>21.488596550210801</v>
      </c>
      <c r="BC1213" s="2">
        <v>23.549988775726899</v>
      </c>
      <c r="BD1213" s="2">
        <v>21.043893512552401</v>
      </c>
      <c r="BE1213" s="2">
        <v>22.399485230676699</v>
      </c>
      <c r="BF1213" s="2">
        <v>21.8807002197202</v>
      </c>
      <c r="BG1213" s="2">
        <v>21.5911942123522</v>
      </c>
      <c r="BH1213" s="2">
        <v>22.4689980813984</v>
      </c>
      <c r="BI1213" s="2">
        <v>20.960858613093102</v>
      </c>
      <c r="BJ1213" s="2">
        <v>22.048510913920001</v>
      </c>
      <c r="BK1213" s="2">
        <v>21.8785529023748</v>
      </c>
      <c r="BL1213" s="2">
        <v>21.868936409786802</v>
      </c>
      <c r="BM1213" s="2">
        <v>23.4008463448938</v>
      </c>
      <c r="BN1213" s="2">
        <v>22.295026101626298</v>
      </c>
      <c r="BO1213" s="2">
        <v>22.502974947519998</v>
      </c>
      <c r="BP1213" s="2">
        <v>21.072876253680299</v>
      </c>
      <c r="BQ1213" s="2">
        <v>22.344899430649001</v>
      </c>
      <c r="BR1213" s="2">
        <v>22.513381438792301</v>
      </c>
      <c r="BS1213" s="2">
        <v>21.982551365827501</v>
      </c>
      <c r="BT1213" s="2">
        <v>22.2748689942586</v>
      </c>
      <c r="BU1213" s="2">
        <v>21.821273648749202</v>
      </c>
      <c r="BV1213" s="2">
        <v>21.935471905690999</v>
      </c>
      <c r="BW1213" s="2">
        <v>21.859722861369999</v>
      </c>
      <c r="BX1213" s="2">
        <v>21.581967597863201</v>
      </c>
      <c r="BY1213" s="2">
        <v>22.1990073844647</v>
      </c>
      <c r="BZ1213" s="2">
        <v>21.219632951217399</v>
      </c>
      <c r="CA1213" s="2">
        <v>22.3622739908065</v>
      </c>
      <c r="CB1213" s="2">
        <v>22.142076962398999</v>
      </c>
      <c r="CC1213" s="2">
        <v>21.753064143528501</v>
      </c>
      <c r="CD1213" s="2">
        <v>21.975057165010199</v>
      </c>
      <c r="CE1213" s="2">
        <v>22.563269617413201</v>
      </c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</row>
    <row r="1214" spans="1:97">
      <c r="A1214" s="2" t="s">
        <v>11049</v>
      </c>
      <c r="B1214" s="2">
        <v>119.04986</v>
      </c>
      <c r="C1214" s="2">
        <v>5.3319999999999999</v>
      </c>
      <c r="D1214" s="2" t="s">
        <v>146</v>
      </c>
      <c r="E1214" s="2" t="s">
        <v>11050</v>
      </c>
      <c r="F1214" s="2" t="s">
        <v>11051</v>
      </c>
      <c r="G1214" s="2">
        <v>312102</v>
      </c>
      <c r="H1214" s="3" t="str">
        <f>HYPERLINK("https://cloud.oebiotech.com/#/lm/network/312102", "https://cloud.oebiotech.com/#/lm/network/312102")</f>
        <v>https://cloud.oebiotech.com/#/lm/network/312102</v>
      </c>
      <c r="I1214" s="2"/>
      <c r="J1214" s="2">
        <v>339458</v>
      </c>
      <c r="K1214" s="2"/>
      <c r="L1214" s="2">
        <v>69154</v>
      </c>
      <c r="M1214" s="2"/>
      <c r="N1214" s="2"/>
      <c r="O1214" s="2"/>
      <c r="P1214" s="2"/>
      <c r="Q1214" s="2"/>
      <c r="R1214" s="2"/>
      <c r="S1214" s="2"/>
      <c r="T1214" s="2" t="s">
        <v>11052</v>
      </c>
      <c r="U1214" s="2" t="s">
        <v>11053</v>
      </c>
      <c r="V1214" s="2" t="s">
        <v>385</v>
      </c>
      <c r="W1214" s="2" t="s">
        <v>386</v>
      </c>
      <c r="X1214" s="2" t="s">
        <v>11054</v>
      </c>
      <c r="Y1214" s="2" t="s">
        <v>388</v>
      </c>
      <c r="Z1214" s="2" t="s">
        <v>389</v>
      </c>
      <c r="AA1214" s="2" t="s">
        <v>11055</v>
      </c>
      <c r="AB1214" s="2" t="s">
        <v>8443</v>
      </c>
      <c r="AC1214" s="2">
        <v>47.46</v>
      </c>
      <c r="AD1214" s="2">
        <v>95.22</v>
      </c>
      <c r="AE1214" s="2">
        <v>0</v>
      </c>
      <c r="AF1214" s="2" t="s">
        <v>11056</v>
      </c>
      <c r="AG1214" s="2" t="s">
        <v>993</v>
      </c>
      <c r="AH1214" s="2" t="s">
        <v>11057</v>
      </c>
      <c r="AI1214" s="2">
        <v>-1.43</v>
      </c>
      <c r="AJ1214" s="2">
        <v>19.637885726456201</v>
      </c>
      <c r="AK1214" s="2">
        <v>19.621088630937699</v>
      </c>
      <c r="AL1214" s="2">
        <v>19.632793379330099</v>
      </c>
      <c r="AM1214" s="2">
        <v>19.808027742101601</v>
      </c>
      <c r="AN1214" s="2">
        <v>19.6923852098727</v>
      </c>
      <c r="AO1214" s="2">
        <v>19.531036566896599</v>
      </c>
      <c r="AP1214" s="2">
        <v>19.586759136838701</v>
      </c>
      <c r="AQ1214" s="2">
        <v>19.6931984481784</v>
      </c>
      <c r="AR1214" s="2">
        <v>18.084743572592899</v>
      </c>
      <c r="AS1214" s="2">
        <v>17.550315189705699</v>
      </c>
      <c r="AT1214" s="2">
        <v>17.875814492928299</v>
      </c>
      <c r="AU1214" s="2">
        <v>17.708903760687601</v>
      </c>
      <c r="AV1214" s="2">
        <v>19.428251159162201</v>
      </c>
      <c r="AW1214" s="2">
        <v>18.555230611987501</v>
      </c>
      <c r="AX1214" s="2">
        <v>18.933785499260701</v>
      </c>
      <c r="AY1214" s="2">
        <v>17.379705038367799</v>
      </c>
      <c r="AZ1214" s="2">
        <v>18.655311224848202</v>
      </c>
      <c r="BA1214" s="2">
        <v>18.7000024582271</v>
      </c>
      <c r="BB1214" s="2">
        <v>20.413243100081498</v>
      </c>
      <c r="BC1214" s="2">
        <v>18.789723552931399</v>
      </c>
      <c r="BD1214" s="2">
        <v>18.2659751991741</v>
      </c>
      <c r="BE1214" s="2">
        <v>17.810032079578502</v>
      </c>
      <c r="BF1214" s="2">
        <v>18.284876682464901</v>
      </c>
      <c r="BG1214" s="2">
        <v>17.793566669948</v>
      </c>
      <c r="BH1214" s="2">
        <v>18.2877402413284</v>
      </c>
      <c r="BI1214" s="2">
        <v>21.996758123063898</v>
      </c>
      <c r="BJ1214" s="2">
        <v>18.8909271454168</v>
      </c>
      <c r="BK1214" s="2">
        <v>18.209465026935199</v>
      </c>
      <c r="BL1214" s="2">
        <v>18.093997971433801</v>
      </c>
      <c r="BM1214" s="2">
        <v>18.226332644043101</v>
      </c>
      <c r="BN1214" s="2">
        <v>18.673800487161099</v>
      </c>
      <c r="BO1214" s="2">
        <v>18.0651062657269</v>
      </c>
      <c r="BP1214" s="2">
        <v>18.673661727442301</v>
      </c>
      <c r="BQ1214" s="2">
        <v>19.619160483822199</v>
      </c>
      <c r="BR1214" s="2">
        <v>19.515397435906301</v>
      </c>
      <c r="BS1214" s="2">
        <v>17.966800744728701</v>
      </c>
      <c r="BT1214" s="2">
        <v>18.443202293952101</v>
      </c>
      <c r="BU1214" s="2">
        <v>18.780340347645701</v>
      </c>
      <c r="BV1214" s="2">
        <v>18.609649635521201</v>
      </c>
      <c r="BW1214" s="2">
        <v>21.402523806068199</v>
      </c>
      <c r="BX1214" s="2">
        <v>18.877326047337402</v>
      </c>
      <c r="BY1214" s="2">
        <v>19.8873350323727</v>
      </c>
      <c r="BZ1214" s="2">
        <v>19.0912000283247</v>
      </c>
      <c r="CA1214" s="2">
        <v>19.0547479942366</v>
      </c>
      <c r="CB1214" s="2">
        <v>18.7246681557363</v>
      </c>
      <c r="CC1214" s="2">
        <v>20.979444831619801</v>
      </c>
      <c r="CD1214" s="2">
        <v>19.4178240280018</v>
      </c>
      <c r="CE1214" s="2">
        <v>19.318526238420599</v>
      </c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</row>
    <row r="1215" spans="1:97">
      <c r="A1215" s="2" t="s">
        <v>11058</v>
      </c>
      <c r="B1215" s="2">
        <v>200.12884</v>
      </c>
      <c r="C1215" s="2">
        <v>6.3280000000000003</v>
      </c>
      <c r="D1215" s="2" t="s">
        <v>146</v>
      </c>
      <c r="E1215" s="2" t="s">
        <v>11059</v>
      </c>
      <c r="F1215" s="2" t="s">
        <v>11060</v>
      </c>
      <c r="G1215" s="2">
        <v>55145</v>
      </c>
      <c r="H1215" s="3" t="str">
        <f>HYPERLINK("https://cloud.oebiotech.com/#/lm/network/55145", "https://cloud.oebiotech.com/#/lm/network/55145")</f>
        <v>https://cloud.oebiotech.com/#/lm/network/55145</v>
      </c>
      <c r="I1215" s="2" t="s">
        <v>11061</v>
      </c>
      <c r="J1215" s="2"/>
      <c r="K1215" s="2"/>
      <c r="L1215" s="2">
        <v>86786</v>
      </c>
      <c r="M1215" s="2" t="s">
        <v>11062</v>
      </c>
      <c r="N1215" s="2"/>
      <c r="O1215" s="2"/>
      <c r="P1215" s="2">
        <v>7321</v>
      </c>
      <c r="Q1215" s="2"/>
      <c r="R1215" s="2"/>
      <c r="S1215" s="2"/>
      <c r="T1215" s="2" t="s">
        <v>11063</v>
      </c>
      <c r="U1215" s="2" t="s">
        <v>11064</v>
      </c>
      <c r="V1215" s="2" t="s">
        <v>553</v>
      </c>
      <c r="W1215" s="2" t="s">
        <v>3192</v>
      </c>
      <c r="X1215" s="2" t="s">
        <v>375</v>
      </c>
      <c r="Y1215" s="2" t="s">
        <v>556</v>
      </c>
      <c r="Z1215" s="2" t="s">
        <v>3194</v>
      </c>
      <c r="AA1215" s="2"/>
      <c r="AB1215" s="2" t="s">
        <v>5118</v>
      </c>
      <c r="AC1215" s="2">
        <v>47.46</v>
      </c>
      <c r="AD1215" s="2">
        <v>93.18</v>
      </c>
      <c r="AE1215" s="2">
        <v>61.39</v>
      </c>
      <c r="AF1215" s="2" t="s">
        <v>11065</v>
      </c>
      <c r="AG1215" s="2" t="s">
        <v>157</v>
      </c>
      <c r="AH1215" s="2" t="s">
        <v>11066</v>
      </c>
      <c r="AI1215" s="2">
        <v>2</v>
      </c>
      <c r="AJ1215" s="2">
        <v>18.6181769153037</v>
      </c>
      <c r="AK1215" s="2">
        <v>18.528654793317401</v>
      </c>
      <c r="AL1215" s="2">
        <v>18.922169880751301</v>
      </c>
      <c r="AM1215" s="2">
        <v>18.908321251297998</v>
      </c>
      <c r="AN1215" s="2">
        <v>18.766209246254199</v>
      </c>
      <c r="AO1215" s="2">
        <v>18.852588210351499</v>
      </c>
      <c r="AP1215" s="2">
        <v>18.851468030551999</v>
      </c>
      <c r="AQ1215" s="2">
        <v>18.859398441424901</v>
      </c>
      <c r="AR1215" s="2">
        <v>18.515115418891099</v>
      </c>
      <c r="AS1215" s="2">
        <v>18.3262299914567</v>
      </c>
      <c r="AT1215" s="2">
        <v>16.681590640727201</v>
      </c>
      <c r="AU1215" s="2">
        <v>17.933309832038599</v>
      </c>
      <c r="AV1215" s="2">
        <v>17.978256920551999</v>
      </c>
      <c r="AW1215" s="2">
        <v>18.3950413714972</v>
      </c>
      <c r="AX1215" s="2">
        <v>18.1592643554091</v>
      </c>
      <c r="AY1215" s="2">
        <v>17.793246020221499</v>
      </c>
      <c r="AZ1215" s="2">
        <v>17.440362773226301</v>
      </c>
      <c r="BA1215" s="2">
        <v>18.661944684087299</v>
      </c>
      <c r="BB1215" s="2">
        <v>19.001896918016499</v>
      </c>
      <c r="BC1215" s="2">
        <v>17.540559967946901</v>
      </c>
      <c r="BD1215" s="2">
        <v>17.648862057849101</v>
      </c>
      <c r="BE1215" s="2">
        <v>18.569258712166999</v>
      </c>
      <c r="BF1215" s="2">
        <v>17.512539560196799</v>
      </c>
      <c r="BG1215" s="2">
        <v>17.689278341152502</v>
      </c>
      <c r="BH1215" s="2">
        <v>18.591504377051599</v>
      </c>
      <c r="BI1215" s="2">
        <v>17.970972984305899</v>
      </c>
      <c r="BJ1215" s="2">
        <v>18.622944359620799</v>
      </c>
      <c r="BK1215" s="2">
        <v>17.4714363593774</v>
      </c>
      <c r="BL1215" s="2">
        <v>18.945626922248501</v>
      </c>
      <c r="BM1215" s="2">
        <v>18.637569005616701</v>
      </c>
      <c r="BN1215" s="2">
        <v>18.3261554972227</v>
      </c>
      <c r="BO1215" s="2">
        <v>18.3089130464056</v>
      </c>
      <c r="BP1215" s="2">
        <v>17.590345820400099</v>
      </c>
      <c r="BQ1215" s="2">
        <v>19.448474804660599</v>
      </c>
      <c r="BR1215" s="2">
        <v>18.601456738574399</v>
      </c>
      <c r="BS1215" s="2">
        <v>17.557607817312501</v>
      </c>
      <c r="BT1215" s="2">
        <v>18.3521348762545</v>
      </c>
      <c r="BU1215" s="2">
        <v>18.6883539308084</v>
      </c>
      <c r="BV1215" s="2">
        <v>18.563862473874401</v>
      </c>
      <c r="BW1215" s="2">
        <v>15.797551597219201</v>
      </c>
      <c r="BX1215" s="2">
        <v>18.1567370147439</v>
      </c>
      <c r="BY1215" s="2">
        <v>19.953303922490601</v>
      </c>
      <c r="BZ1215" s="2">
        <v>17.733216954848199</v>
      </c>
      <c r="CA1215" s="2">
        <v>15.0900152164659</v>
      </c>
      <c r="CB1215" s="2">
        <v>19.999581292197899</v>
      </c>
      <c r="CC1215" s="2">
        <v>18.988653818616601</v>
      </c>
      <c r="CD1215" s="2">
        <v>19.288442559102801</v>
      </c>
      <c r="CE1215" s="2">
        <v>18.617895285826801</v>
      </c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</row>
    <row r="1216" spans="1:97">
      <c r="A1216" s="2" t="s">
        <v>11067</v>
      </c>
      <c r="B1216" s="2">
        <v>240.99337</v>
      </c>
      <c r="C1216" s="2">
        <v>1.196</v>
      </c>
      <c r="D1216" s="2" t="s">
        <v>146</v>
      </c>
      <c r="E1216" s="2" t="s">
        <v>11068</v>
      </c>
      <c r="F1216" s="2" t="s">
        <v>11069</v>
      </c>
      <c r="G1216" s="2">
        <v>83705</v>
      </c>
      <c r="H1216" s="3" t="str">
        <f>HYPERLINK("https://cloud.oebiotech.com/#/lm/network/83705", "https://cloud.oebiotech.com/#/lm/network/83705")</f>
        <v>https://cloud.oebiotech.com/#/lm/network/83705</v>
      </c>
      <c r="I1216" s="2" t="s">
        <v>11070</v>
      </c>
      <c r="J1216" s="2"/>
      <c r="K1216" s="2"/>
      <c r="L1216" s="2">
        <v>329</v>
      </c>
      <c r="M1216" s="2" t="s">
        <v>10176</v>
      </c>
      <c r="N1216" s="2" t="s">
        <v>1585</v>
      </c>
      <c r="O1216" s="2" t="s">
        <v>1586</v>
      </c>
      <c r="P1216" s="2"/>
      <c r="Q1216" s="2"/>
      <c r="R1216" s="2"/>
      <c r="S1216" s="2"/>
      <c r="T1216" s="2" t="s">
        <v>11071</v>
      </c>
      <c r="U1216" s="2" t="s">
        <v>11072</v>
      </c>
      <c r="V1216" s="2" t="s">
        <v>338</v>
      </c>
      <c r="W1216" s="2" t="s">
        <v>339</v>
      </c>
      <c r="X1216" s="2" t="s">
        <v>340</v>
      </c>
      <c r="Y1216" s="2" t="s">
        <v>341</v>
      </c>
      <c r="Z1216" s="2" t="s">
        <v>341</v>
      </c>
      <c r="AA1216" s="2" t="s">
        <v>342</v>
      </c>
      <c r="AB1216" s="2" t="s">
        <v>8443</v>
      </c>
      <c r="AC1216" s="2">
        <v>47.42</v>
      </c>
      <c r="AD1216" s="2">
        <v>92.99</v>
      </c>
      <c r="AE1216" s="2">
        <v>0</v>
      </c>
      <c r="AF1216" s="2" t="s">
        <v>11073</v>
      </c>
      <c r="AG1216" s="2" t="s">
        <v>993</v>
      </c>
      <c r="AH1216" s="2" t="s">
        <v>10180</v>
      </c>
      <c r="AI1216" s="2">
        <v>0.83</v>
      </c>
      <c r="AJ1216" s="2">
        <v>21.4212524948009</v>
      </c>
      <c r="AK1216" s="2">
        <v>21.101828826961199</v>
      </c>
      <c r="AL1216" s="2">
        <v>21.366652361810299</v>
      </c>
      <c r="AM1216" s="2">
        <v>21.646389757483298</v>
      </c>
      <c r="AN1216" s="2">
        <v>20.613705117904399</v>
      </c>
      <c r="AO1216" s="2">
        <v>21.6454405317563</v>
      </c>
      <c r="AP1216" s="2">
        <v>21.296696284711899</v>
      </c>
      <c r="AQ1216" s="2">
        <v>20.9607183742737</v>
      </c>
      <c r="AR1216" s="2">
        <v>21.0890489747378</v>
      </c>
      <c r="AS1216" s="2">
        <v>21.300856848541699</v>
      </c>
      <c r="AT1216" s="2">
        <v>21.653186043986199</v>
      </c>
      <c r="AU1216" s="2">
        <v>18.268449663327502</v>
      </c>
      <c r="AV1216" s="2">
        <v>20.410133702181898</v>
      </c>
      <c r="AW1216" s="2">
        <v>20.085422003081501</v>
      </c>
      <c r="AX1216" s="2">
        <v>21.512515593132299</v>
      </c>
      <c r="AY1216" s="2">
        <v>21.465124920824501</v>
      </c>
      <c r="AZ1216" s="2">
        <v>21.3244506870635</v>
      </c>
      <c r="BA1216" s="2">
        <v>21.4510772165555</v>
      </c>
      <c r="BB1216" s="2">
        <v>20.060865726260001</v>
      </c>
      <c r="BC1216" s="2">
        <v>20.411359830446301</v>
      </c>
      <c r="BD1216" s="2">
        <v>19.450220629846999</v>
      </c>
      <c r="BE1216" s="2">
        <v>20.9624066111706</v>
      </c>
      <c r="BF1216" s="2">
        <v>21.468730217201198</v>
      </c>
      <c r="BG1216" s="2">
        <v>21.5059155593732</v>
      </c>
      <c r="BH1216" s="2">
        <v>21.1639295827575</v>
      </c>
      <c r="BI1216" s="2">
        <v>20.000452229727401</v>
      </c>
      <c r="BJ1216" s="2">
        <v>20.295747335886698</v>
      </c>
      <c r="BK1216" s="2">
        <v>20.7935056605391</v>
      </c>
      <c r="BL1216" s="2">
        <v>20.108316823185</v>
      </c>
      <c r="BM1216" s="2">
        <v>21.274204902132801</v>
      </c>
      <c r="BN1216" s="2">
        <v>21.4953409324579</v>
      </c>
      <c r="BO1216" s="2">
        <v>20.242743966307401</v>
      </c>
      <c r="BP1216" s="2">
        <v>20.664447258505799</v>
      </c>
      <c r="BQ1216" s="2">
        <v>20.420363102928601</v>
      </c>
      <c r="BR1216" s="2">
        <v>21.405238341292499</v>
      </c>
      <c r="BS1216" s="2">
        <v>21.1473903474743</v>
      </c>
      <c r="BT1216" s="2">
        <v>21.615348551571401</v>
      </c>
      <c r="BU1216" s="2">
        <v>21.237172736378302</v>
      </c>
      <c r="BV1216" s="2">
        <v>20.166638223072599</v>
      </c>
      <c r="BW1216" s="2">
        <v>20.1858171828002</v>
      </c>
      <c r="BX1216" s="2">
        <v>21.554018896037501</v>
      </c>
      <c r="BY1216" s="2">
        <v>20.834718069251299</v>
      </c>
      <c r="BZ1216" s="2">
        <v>20.937637374135701</v>
      </c>
      <c r="CA1216" s="2">
        <v>21.362854837733899</v>
      </c>
      <c r="CB1216" s="2">
        <v>20.314861730163901</v>
      </c>
      <c r="CC1216" s="2">
        <v>21.494489428895299</v>
      </c>
      <c r="CD1216" s="2">
        <v>20.618232748791598</v>
      </c>
      <c r="CE1216" s="2">
        <v>19.351055102192699</v>
      </c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</row>
    <row r="1217" spans="1:97">
      <c r="A1217" s="2" t="s">
        <v>11074</v>
      </c>
      <c r="B1217" s="2">
        <v>298.94254999999998</v>
      </c>
      <c r="C1217" s="2">
        <v>1.0469999999999999</v>
      </c>
      <c r="D1217" s="2" t="s">
        <v>146</v>
      </c>
      <c r="E1217" s="2" t="s">
        <v>11075</v>
      </c>
      <c r="F1217" s="2" t="s">
        <v>11076</v>
      </c>
      <c r="G1217" s="2">
        <v>82733</v>
      </c>
      <c r="H1217" s="3" t="str">
        <f>HYPERLINK("https://cloud.oebiotech.com/#/lm/network/82733", "https://cloud.oebiotech.com/#/lm/network/82733")</f>
        <v>https://cloud.oebiotech.com/#/lm/network/82733</v>
      </c>
      <c r="I1217" s="2" t="s">
        <v>11077</v>
      </c>
      <c r="J1217" s="2"/>
      <c r="K1217" s="2"/>
      <c r="L1217" s="2">
        <v>57322338</v>
      </c>
      <c r="M1217" s="2"/>
      <c r="N1217" s="2"/>
      <c r="O1217" s="2"/>
      <c r="P1217" s="2"/>
      <c r="Q1217" s="2"/>
      <c r="R1217" s="2"/>
      <c r="S1217" s="2"/>
      <c r="T1217" s="2" t="s">
        <v>11078</v>
      </c>
      <c r="U1217" s="2" t="s">
        <v>11079</v>
      </c>
      <c r="V1217" s="2" t="s">
        <v>553</v>
      </c>
      <c r="W1217" s="2" t="s">
        <v>949</v>
      </c>
      <c r="X1217" s="2" t="s">
        <v>950</v>
      </c>
      <c r="Y1217" s="2" t="s">
        <v>556</v>
      </c>
      <c r="Z1217" s="2" t="s">
        <v>951</v>
      </c>
      <c r="AA1217" s="2" t="s">
        <v>952</v>
      </c>
      <c r="AB1217" s="2" t="s">
        <v>3086</v>
      </c>
      <c r="AC1217" s="2">
        <v>47.4</v>
      </c>
      <c r="AD1217" s="2">
        <v>74.900000000000006</v>
      </c>
      <c r="AE1217" s="2">
        <v>0</v>
      </c>
      <c r="AF1217" s="2" t="s">
        <v>5614</v>
      </c>
      <c r="AG1217" s="2" t="s">
        <v>4062</v>
      </c>
      <c r="AH1217" s="2" t="s">
        <v>11080</v>
      </c>
      <c r="AI1217" s="2">
        <v>-4.3499999999999996</v>
      </c>
      <c r="AJ1217" s="2">
        <v>18.308596117063001</v>
      </c>
      <c r="AK1217" s="2">
        <v>18.875758229073099</v>
      </c>
      <c r="AL1217" s="2">
        <v>18.967487856459101</v>
      </c>
      <c r="AM1217" s="2">
        <v>18.8418188300064</v>
      </c>
      <c r="AN1217" s="2">
        <v>18.9060361492919</v>
      </c>
      <c r="AO1217" s="2">
        <v>18.357305515141601</v>
      </c>
      <c r="AP1217" s="2">
        <v>18.485987126279301</v>
      </c>
      <c r="AQ1217" s="2">
        <v>18.2866286438835</v>
      </c>
      <c r="AR1217" s="2">
        <v>18.637970183036</v>
      </c>
      <c r="AS1217" s="2">
        <v>19.003839428004898</v>
      </c>
      <c r="AT1217" s="2">
        <v>17.555314992476799</v>
      </c>
      <c r="AU1217" s="2">
        <v>18.102267570972099</v>
      </c>
      <c r="AV1217" s="2">
        <v>19.0708989354873</v>
      </c>
      <c r="AW1217" s="2">
        <v>18.927500093404099</v>
      </c>
      <c r="AX1217" s="2">
        <v>18.284568253955001</v>
      </c>
      <c r="AY1217" s="2">
        <v>17.9322219045137</v>
      </c>
      <c r="AZ1217" s="2">
        <v>19.024277561263901</v>
      </c>
      <c r="BA1217" s="2">
        <v>18.670871212918701</v>
      </c>
      <c r="BB1217" s="2">
        <v>18.853013796976398</v>
      </c>
      <c r="BC1217" s="2">
        <v>15.644699300060999</v>
      </c>
      <c r="BD1217" s="2">
        <v>18.945082968884599</v>
      </c>
      <c r="BE1217" s="2">
        <v>17.867281032534901</v>
      </c>
      <c r="BF1217" s="2">
        <v>18.219021620500701</v>
      </c>
      <c r="BG1217" s="2">
        <v>19.031846828081001</v>
      </c>
      <c r="BH1217" s="2">
        <v>18.231038553681401</v>
      </c>
      <c r="BI1217" s="2">
        <v>18.900638185519</v>
      </c>
      <c r="BJ1217" s="2">
        <v>18.268275618795101</v>
      </c>
      <c r="BK1217" s="2">
        <v>18.2698355128027</v>
      </c>
      <c r="BL1217" s="2">
        <v>18.809492039936099</v>
      </c>
      <c r="BM1217" s="2">
        <v>18.2217012432627</v>
      </c>
      <c r="BN1217" s="2">
        <v>17.455497560523899</v>
      </c>
      <c r="BO1217" s="2">
        <v>18.5760318466881</v>
      </c>
      <c r="BP1217" s="2">
        <v>17.951021415035498</v>
      </c>
      <c r="BQ1217" s="2">
        <v>19.127255268225301</v>
      </c>
      <c r="BR1217" s="2">
        <v>18.766088933922099</v>
      </c>
      <c r="BS1217" s="2">
        <v>19.4015864758505</v>
      </c>
      <c r="BT1217" s="2">
        <v>18.901323148684099</v>
      </c>
      <c r="BU1217" s="2">
        <v>18.272139178328601</v>
      </c>
      <c r="BV1217" s="2">
        <v>18.289196960159298</v>
      </c>
      <c r="BW1217" s="2">
        <v>18.537926232675002</v>
      </c>
      <c r="BX1217" s="2">
        <v>18.1883206140919</v>
      </c>
      <c r="BY1217" s="2">
        <v>17.973361325308499</v>
      </c>
      <c r="BZ1217" s="2">
        <v>18.460569802262299</v>
      </c>
      <c r="CA1217" s="2">
        <v>18.842511818637099</v>
      </c>
      <c r="CB1217" s="2">
        <v>17.786230503920301</v>
      </c>
      <c r="CC1217" s="2">
        <v>18.101582309812301</v>
      </c>
      <c r="CD1217" s="2">
        <v>18.1098332552891</v>
      </c>
      <c r="CE1217" s="2">
        <v>18.491384645331099</v>
      </c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</row>
    <row r="1218" spans="1:97">
      <c r="A1218" s="2" t="s">
        <v>11081</v>
      </c>
      <c r="B1218" s="2">
        <v>821.60573999999997</v>
      </c>
      <c r="C1218" s="2">
        <v>8.8070000000000004</v>
      </c>
      <c r="D1218" s="2" t="s">
        <v>84</v>
      </c>
      <c r="E1218" s="2" t="s">
        <v>11082</v>
      </c>
      <c r="F1218" s="2" t="s">
        <v>11083</v>
      </c>
      <c r="G1218" s="2">
        <v>251359</v>
      </c>
      <c r="H1218" s="3" t="str">
        <f>HYPERLINK("https://cloud.oebiotech.com/#/lm/network/251359", "https://cloud.oebiotech.com/#/lm/network/251359")</f>
        <v>https://cloud.oebiotech.com/#/lm/network/251359</v>
      </c>
      <c r="I1218" s="2" t="s">
        <v>11084</v>
      </c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 t="s">
        <v>11085</v>
      </c>
      <c r="U1218" s="2" t="s">
        <v>11086</v>
      </c>
      <c r="V1218" s="2" t="s">
        <v>95</v>
      </c>
      <c r="W1218" s="2" t="s">
        <v>96</v>
      </c>
      <c r="X1218" s="2" t="s">
        <v>353</v>
      </c>
      <c r="Y1218" s="2" t="s">
        <v>98</v>
      </c>
      <c r="Z1218" s="2" t="s">
        <v>99</v>
      </c>
      <c r="AA1218" s="2" t="s">
        <v>354</v>
      </c>
      <c r="AB1218" s="2" t="s">
        <v>5118</v>
      </c>
      <c r="AC1218" s="2">
        <v>47.4</v>
      </c>
      <c r="AD1218" s="2">
        <v>88.35</v>
      </c>
      <c r="AE1218" s="2">
        <v>60.82</v>
      </c>
      <c r="AF1218" s="2" t="s">
        <v>11087</v>
      </c>
      <c r="AG1218" s="2" t="s">
        <v>3544</v>
      </c>
      <c r="AH1218" s="2" t="s">
        <v>11088</v>
      </c>
      <c r="AI1218" s="2">
        <v>-0.12</v>
      </c>
      <c r="AJ1218" s="2">
        <v>20.007433033527199</v>
      </c>
      <c r="AK1218" s="2">
        <v>20.129506974041401</v>
      </c>
      <c r="AL1218" s="2">
        <v>20.079598531579801</v>
      </c>
      <c r="AM1218" s="2">
        <v>20.062222757731099</v>
      </c>
      <c r="AN1218" s="2">
        <v>20.350578296521402</v>
      </c>
      <c r="AO1218" s="2">
        <v>19.8781238253891</v>
      </c>
      <c r="AP1218" s="2">
        <v>20.183522121338299</v>
      </c>
      <c r="AQ1218" s="2">
        <v>20.041618729260801</v>
      </c>
      <c r="AR1218" s="2">
        <v>19.166106799844101</v>
      </c>
      <c r="AS1218" s="2">
        <v>19.050559885985599</v>
      </c>
      <c r="AT1218" s="2">
        <v>18.645781515240198</v>
      </c>
      <c r="AU1218" s="2">
        <v>19.271890576152899</v>
      </c>
      <c r="AV1218" s="2">
        <v>19.445696729063801</v>
      </c>
      <c r="AW1218" s="2">
        <v>19.4892193132555</v>
      </c>
      <c r="AX1218" s="2">
        <v>18.976948630499798</v>
      </c>
      <c r="AY1218" s="2">
        <v>18.809566208857198</v>
      </c>
      <c r="AZ1218" s="2">
        <v>19.3138288112367</v>
      </c>
      <c r="BA1218" s="2">
        <v>19.671915430006301</v>
      </c>
      <c r="BB1218" s="2">
        <v>18.9983015180599</v>
      </c>
      <c r="BC1218" s="2">
        <v>19.216245085457601</v>
      </c>
      <c r="BD1218" s="2">
        <v>19.3015852800083</v>
      </c>
      <c r="BE1218" s="2">
        <v>18.882941391038099</v>
      </c>
      <c r="BF1218" s="2">
        <v>18.750314702799201</v>
      </c>
      <c r="BG1218" s="2">
        <v>19.060225541746298</v>
      </c>
      <c r="BH1218" s="2">
        <v>19.179299692789598</v>
      </c>
      <c r="BI1218" s="2">
        <v>18.729774633702199</v>
      </c>
      <c r="BJ1218" s="2">
        <v>18.801669462202302</v>
      </c>
      <c r="BK1218" s="2">
        <v>19.282117594087101</v>
      </c>
      <c r="BL1218" s="2">
        <v>19.948503150911002</v>
      </c>
      <c r="BM1218" s="2">
        <v>19.512725650663398</v>
      </c>
      <c r="BN1218" s="2">
        <v>19.139544732637201</v>
      </c>
      <c r="BO1218" s="2">
        <v>18.383459151511101</v>
      </c>
      <c r="BP1218" s="2">
        <v>19.521180915302601</v>
      </c>
      <c r="BQ1218" s="2">
        <v>19.937017582712301</v>
      </c>
      <c r="BR1218" s="2">
        <v>19.3392398149659</v>
      </c>
      <c r="BS1218" s="2">
        <v>19.001053057472301</v>
      </c>
      <c r="BT1218" s="2">
        <v>18.783235892180201</v>
      </c>
      <c r="BU1218" s="2">
        <v>18.869455071867701</v>
      </c>
      <c r="BV1218" s="2">
        <v>19.547714166089602</v>
      </c>
      <c r="BW1218" s="2">
        <v>20.008260367142299</v>
      </c>
      <c r="BX1218" s="2">
        <v>18.804003176036002</v>
      </c>
      <c r="BY1218" s="2">
        <v>18.6985603466456</v>
      </c>
      <c r="BZ1218" s="2">
        <v>19.863052350532499</v>
      </c>
      <c r="CA1218" s="2">
        <v>19.150715276846999</v>
      </c>
      <c r="CB1218" s="2">
        <v>21.774630501974901</v>
      </c>
      <c r="CC1218" s="2">
        <v>20.869446938553502</v>
      </c>
      <c r="CD1218" s="2">
        <v>19.019226164653801</v>
      </c>
      <c r="CE1218" s="2">
        <v>19.7179318230455</v>
      </c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</row>
    <row r="1219" spans="1:97">
      <c r="A1219" s="2" t="s">
        <v>11089</v>
      </c>
      <c r="B1219" s="2">
        <v>506.32423</v>
      </c>
      <c r="C1219" s="2">
        <v>11.074</v>
      </c>
      <c r="D1219" s="2" t="s">
        <v>84</v>
      </c>
      <c r="E1219" s="2" t="s">
        <v>11090</v>
      </c>
      <c r="F1219" s="2" t="s">
        <v>11091</v>
      </c>
      <c r="G1219" s="2">
        <v>21182</v>
      </c>
      <c r="H1219" s="3" t="str">
        <f>HYPERLINK("https://cloud.oebiotech.com/#/lm/network/21182", "https://cloud.oebiotech.com/#/lm/network/21182")</f>
        <v>https://cloud.oebiotech.com/#/lm/network/21182</v>
      </c>
      <c r="I1219" s="2" t="s">
        <v>11092</v>
      </c>
      <c r="J1219" s="2">
        <v>62298</v>
      </c>
      <c r="K1219" s="2" t="s">
        <v>11093</v>
      </c>
      <c r="L1219" s="2">
        <v>52925140</v>
      </c>
      <c r="M1219" s="2"/>
      <c r="N1219" s="2"/>
      <c r="O1219" s="2"/>
      <c r="P1219" s="2"/>
      <c r="Q1219" s="2"/>
      <c r="R1219" s="2"/>
      <c r="S1219" s="2"/>
      <c r="T1219" s="2" t="s">
        <v>11094</v>
      </c>
      <c r="U1219" s="2" t="s">
        <v>11095</v>
      </c>
      <c r="V1219" s="2" t="s">
        <v>95</v>
      </c>
      <c r="W1219" s="2" t="s">
        <v>202</v>
      </c>
      <c r="X1219" s="2" t="s">
        <v>327</v>
      </c>
      <c r="Y1219" s="2" t="s">
        <v>98</v>
      </c>
      <c r="Z1219" s="2" t="s">
        <v>204</v>
      </c>
      <c r="AA1219" s="2" t="s">
        <v>328</v>
      </c>
      <c r="AB1219" s="2" t="s">
        <v>8443</v>
      </c>
      <c r="AC1219" s="2">
        <v>47.39</v>
      </c>
      <c r="AD1219" s="2">
        <v>93.7</v>
      </c>
      <c r="AE1219" s="2">
        <v>0</v>
      </c>
      <c r="AF1219" s="2" t="s">
        <v>11096</v>
      </c>
      <c r="AG1219" s="2" t="s">
        <v>103</v>
      </c>
      <c r="AH1219" s="2" t="s">
        <v>1310</v>
      </c>
      <c r="AI1219" s="2">
        <v>-0.2</v>
      </c>
      <c r="AJ1219" s="2">
        <v>20.112765816299699</v>
      </c>
      <c r="AK1219" s="2">
        <v>20.111001030384902</v>
      </c>
      <c r="AL1219" s="2">
        <v>19.5925634112279</v>
      </c>
      <c r="AM1219" s="2">
        <v>19.977286758238101</v>
      </c>
      <c r="AN1219" s="2">
        <v>20.170401080928698</v>
      </c>
      <c r="AO1219" s="2">
        <v>19.475148131584699</v>
      </c>
      <c r="AP1219" s="2">
        <v>20.080229098620599</v>
      </c>
      <c r="AQ1219" s="2">
        <v>19.938237627860399</v>
      </c>
      <c r="AR1219" s="2">
        <v>20.386938204075001</v>
      </c>
      <c r="AS1219" s="2">
        <v>17.263458567346699</v>
      </c>
      <c r="AT1219" s="2">
        <v>18.393739231389802</v>
      </c>
      <c r="AU1219" s="2">
        <v>20.1430311623382</v>
      </c>
      <c r="AV1219" s="2">
        <v>20.3421503310039</v>
      </c>
      <c r="AW1219" s="2">
        <v>19.248139015600099</v>
      </c>
      <c r="AX1219" s="2">
        <v>20.097836304512199</v>
      </c>
      <c r="AY1219" s="2">
        <v>19.6366461430007</v>
      </c>
      <c r="AZ1219" s="2">
        <v>20.323837132003501</v>
      </c>
      <c r="BA1219" s="2">
        <v>17.8152762105621</v>
      </c>
      <c r="BB1219" s="2">
        <v>18.740921698746899</v>
      </c>
      <c r="BC1219" s="2">
        <v>19.138145382801099</v>
      </c>
      <c r="BD1219" s="2">
        <v>19.434112203633301</v>
      </c>
      <c r="BE1219" s="2">
        <v>20.1209627060963</v>
      </c>
      <c r="BF1219" s="2">
        <v>19.788533023753502</v>
      </c>
      <c r="BG1219" s="2">
        <v>19.755818400938999</v>
      </c>
      <c r="BH1219" s="2">
        <v>21.088459371570501</v>
      </c>
      <c r="BI1219" s="2">
        <v>19.138623715192001</v>
      </c>
      <c r="BJ1219" s="2">
        <v>19.183688174206502</v>
      </c>
      <c r="BK1219" s="2">
        <v>19.4402824263897</v>
      </c>
      <c r="BL1219" s="2">
        <v>19.3711499864628</v>
      </c>
      <c r="BM1219" s="2">
        <v>20.431949171528</v>
      </c>
      <c r="BN1219" s="2">
        <v>20.052208449254199</v>
      </c>
      <c r="BO1219" s="2">
        <v>19.372768453906701</v>
      </c>
      <c r="BP1219" s="2">
        <v>19.909376157061899</v>
      </c>
      <c r="BQ1219" s="2">
        <v>19.115965798246101</v>
      </c>
      <c r="BR1219" s="2">
        <v>19.938711931792302</v>
      </c>
      <c r="BS1219" s="2">
        <v>20.3419112154175</v>
      </c>
      <c r="BT1219" s="2">
        <v>20.245215556478801</v>
      </c>
      <c r="BU1219" s="2">
        <v>18.7980744432781</v>
      </c>
      <c r="BV1219" s="2">
        <v>19.1160401184639</v>
      </c>
      <c r="BW1219" s="2">
        <v>18.771355538906299</v>
      </c>
      <c r="BX1219" s="2">
        <v>19.271080914985799</v>
      </c>
      <c r="BY1219" s="2">
        <v>20.7970833885372</v>
      </c>
      <c r="BZ1219" s="2">
        <v>19.3820044921099</v>
      </c>
      <c r="CA1219" s="2">
        <v>20.507203446690799</v>
      </c>
      <c r="CB1219" s="2">
        <v>19.9500192830839</v>
      </c>
      <c r="CC1219" s="2">
        <v>19.427526605915201</v>
      </c>
      <c r="CD1219" s="2">
        <v>19.7614706090365</v>
      </c>
      <c r="CE1219" s="2">
        <v>18.576933163165901</v>
      </c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</row>
    <row r="1220" spans="1:97">
      <c r="A1220" s="2" t="s">
        <v>11097</v>
      </c>
      <c r="B1220" s="2">
        <v>301.23782</v>
      </c>
      <c r="C1220" s="2">
        <v>13.499000000000001</v>
      </c>
      <c r="D1220" s="2" t="s">
        <v>146</v>
      </c>
      <c r="E1220" s="2" t="s">
        <v>11098</v>
      </c>
      <c r="F1220" s="2" t="s">
        <v>11099</v>
      </c>
      <c r="G1220" s="2">
        <v>7207</v>
      </c>
      <c r="H1220" s="3" t="str">
        <f>HYPERLINK("https://cloud.oebiotech.com/#/lm/network/7207", "https://cloud.oebiotech.com/#/lm/network/7207")</f>
        <v>https://cloud.oebiotech.com/#/lm/network/7207</v>
      </c>
      <c r="I1220" s="2" t="s">
        <v>11100</v>
      </c>
      <c r="J1220" s="2">
        <v>45004</v>
      </c>
      <c r="K1220" s="2" t="s">
        <v>11101</v>
      </c>
      <c r="L1220" s="2">
        <v>31283</v>
      </c>
      <c r="M1220" s="2"/>
      <c r="N1220" s="2"/>
      <c r="O1220" s="2"/>
      <c r="P1220" s="2">
        <v>84849</v>
      </c>
      <c r="Q1220" s="2"/>
      <c r="R1220" s="2"/>
      <c r="S1220" s="2" t="s">
        <v>11102</v>
      </c>
      <c r="T1220" s="2" t="s">
        <v>11103</v>
      </c>
      <c r="U1220" s="2" t="s">
        <v>11104</v>
      </c>
      <c r="V1220" s="2" t="s">
        <v>95</v>
      </c>
      <c r="W1220" s="2" t="s">
        <v>96</v>
      </c>
      <c r="X1220" s="2" t="s">
        <v>97</v>
      </c>
      <c r="Y1220" s="2" t="s">
        <v>98</v>
      </c>
      <c r="Z1220" s="2" t="s">
        <v>99</v>
      </c>
      <c r="AA1220" s="2" t="s">
        <v>100</v>
      </c>
      <c r="AB1220" s="2" t="s">
        <v>8443</v>
      </c>
      <c r="AC1220" s="2">
        <v>47.38</v>
      </c>
      <c r="AD1220" s="2">
        <v>96.88</v>
      </c>
      <c r="AE1220" s="2">
        <v>0</v>
      </c>
      <c r="AF1220" s="2" t="s">
        <v>11105</v>
      </c>
      <c r="AG1220" s="2" t="s">
        <v>157</v>
      </c>
      <c r="AH1220" s="2" t="s">
        <v>462</v>
      </c>
      <c r="AI1220" s="2">
        <v>1.99</v>
      </c>
      <c r="AJ1220" s="2">
        <v>20.359918927146001</v>
      </c>
      <c r="AK1220" s="2">
        <v>20.3499295036126</v>
      </c>
      <c r="AL1220" s="2">
        <v>21.026306109836</v>
      </c>
      <c r="AM1220" s="2">
        <v>21.022989212842401</v>
      </c>
      <c r="AN1220" s="2">
        <v>20.989703166493801</v>
      </c>
      <c r="AO1220" s="2">
        <v>20.8717630418422</v>
      </c>
      <c r="AP1220" s="2">
        <v>20.6994926793936</v>
      </c>
      <c r="AQ1220" s="2">
        <v>20.7107892933222</v>
      </c>
      <c r="AR1220" s="2">
        <v>18.922909867796399</v>
      </c>
      <c r="AS1220" s="2">
        <v>19.458456258696099</v>
      </c>
      <c r="AT1220" s="2">
        <v>21.0866867245017</v>
      </c>
      <c r="AU1220" s="2">
        <v>20.164164618255999</v>
      </c>
      <c r="AV1220" s="2">
        <v>18.580562029535301</v>
      </c>
      <c r="AW1220" s="2">
        <v>18.0835369280253</v>
      </c>
      <c r="AX1220" s="2">
        <v>20.754370876725002</v>
      </c>
      <c r="AY1220" s="2">
        <v>18.599077511088399</v>
      </c>
      <c r="AZ1220" s="2">
        <v>18.422838868434798</v>
      </c>
      <c r="BA1220" s="2">
        <v>20.884826185971399</v>
      </c>
      <c r="BB1220" s="2">
        <v>19.9870435156203</v>
      </c>
      <c r="BC1220" s="2">
        <v>21.6802802212888</v>
      </c>
      <c r="BD1220" s="2">
        <v>17.622008408077399</v>
      </c>
      <c r="BE1220" s="2">
        <v>18.887941181968699</v>
      </c>
      <c r="BF1220" s="2">
        <v>19.889102320472102</v>
      </c>
      <c r="BG1220" s="2">
        <v>20.858739345069299</v>
      </c>
      <c r="BH1220" s="2">
        <v>18.406922661034301</v>
      </c>
      <c r="BI1220" s="2">
        <v>21.088364729286599</v>
      </c>
      <c r="BJ1220" s="2">
        <v>19.944446715093399</v>
      </c>
      <c r="BK1220" s="2">
        <v>18.794264752681901</v>
      </c>
      <c r="BL1220" s="2">
        <v>21.380778319280299</v>
      </c>
      <c r="BM1220" s="2">
        <v>20.216522562736799</v>
      </c>
      <c r="BN1220" s="2">
        <v>19.757428930119101</v>
      </c>
      <c r="BO1220" s="2">
        <v>20.1596052503183</v>
      </c>
      <c r="BP1220" s="2">
        <v>20.468350483114499</v>
      </c>
      <c r="BQ1220" s="2">
        <v>20.2988354887624</v>
      </c>
      <c r="BR1220" s="2">
        <v>19.909402161625099</v>
      </c>
      <c r="BS1220" s="2">
        <v>18.7245431628943</v>
      </c>
      <c r="BT1220" s="2">
        <v>19.9189426739025</v>
      </c>
      <c r="BU1220" s="2">
        <v>20.351054875667899</v>
      </c>
      <c r="BV1220" s="2">
        <v>20.8824006759491</v>
      </c>
      <c r="BW1220" s="2">
        <v>18.9933548847462</v>
      </c>
      <c r="BX1220" s="2">
        <v>20.073824913172999</v>
      </c>
      <c r="BY1220" s="2">
        <v>19.057547711267802</v>
      </c>
      <c r="BZ1220" s="2">
        <v>20.654581359029802</v>
      </c>
      <c r="CA1220" s="2">
        <v>18.954521339177798</v>
      </c>
      <c r="CB1220" s="2">
        <v>20.480211082737402</v>
      </c>
      <c r="CC1220" s="2">
        <v>21.107453200452799</v>
      </c>
      <c r="CD1220" s="2">
        <v>19.718719973483399</v>
      </c>
      <c r="CE1220" s="2">
        <v>21.5328985947184</v>
      </c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</row>
    <row r="1221" spans="1:97">
      <c r="A1221" s="2" t="s">
        <v>11106</v>
      </c>
      <c r="B1221" s="2">
        <v>566.27619000000004</v>
      </c>
      <c r="C1221" s="2">
        <v>8.3049999999999997</v>
      </c>
      <c r="D1221" s="2" t="s">
        <v>146</v>
      </c>
      <c r="E1221" s="2" t="s">
        <v>11107</v>
      </c>
      <c r="F1221" s="2" t="s">
        <v>11107</v>
      </c>
      <c r="G1221" s="2">
        <v>201778</v>
      </c>
      <c r="H1221" s="3" t="str">
        <f>HYPERLINK("https://cloud.oebiotech.com/#/lm/network/201778", "https://cloud.oebiotech.com/#/lm/network/201778")</f>
        <v>https://cloud.oebiotech.com/#/lm/network/201778</v>
      </c>
      <c r="I1221" s="2" t="s">
        <v>11108</v>
      </c>
      <c r="J1221" s="2"/>
      <c r="K1221" s="2"/>
      <c r="L1221" s="2">
        <v>76418768</v>
      </c>
      <c r="M1221" s="2"/>
      <c r="N1221" s="2"/>
      <c r="O1221" s="2"/>
      <c r="P1221" s="2"/>
      <c r="Q1221" s="2"/>
      <c r="R1221" s="2"/>
      <c r="S1221" s="2"/>
      <c r="T1221" s="2" t="s">
        <v>11109</v>
      </c>
      <c r="U1221" s="2" t="s">
        <v>11110</v>
      </c>
      <c r="V1221" s="2" t="s">
        <v>95</v>
      </c>
      <c r="W1221" s="2" t="s">
        <v>180</v>
      </c>
      <c r="X1221" s="2" t="s">
        <v>1085</v>
      </c>
      <c r="Y1221" s="2" t="s">
        <v>98</v>
      </c>
      <c r="Z1221" s="2" t="s">
        <v>182</v>
      </c>
      <c r="AA1221" s="2" t="s">
        <v>1086</v>
      </c>
      <c r="AB1221" s="2" t="s">
        <v>5118</v>
      </c>
      <c r="AC1221" s="2">
        <v>47.38</v>
      </c>
      <c r="AD1221" s="2">
        <v>94.25</v>
      </c>
      <c r="AE1221" s="2">
        <v>53.31</v>
      </c>
      <c r="AF1221" s="2" t="s">
        <v>11111</v>
      </c>
      <c r="AG1221" s="2" t="s">
        <v>194</v>
      </c>
      <c r="AH1221" s="2" t="s">
        <v>11112</v>
      </c>
      <c r="AI1221" s="2">
        <v>-0.53</v>
      </c>
      <c r="AJ1221" s="2">
        <v>19.779728507236701</v>
      </c>
      <c r="AK1221" s="2">
        <v>19.677320472036001</v>
      </c>
      <c r="AL1221" s="2">
        <v>18.8440657342096</v>
      </c>
      <c r="AM1221" s="2">
        <v>19.645531011796798</v>
      </c>
      <c r="AN1221" s="2">
        <v>19.018438324048699</v>
      </c>
      <c r="AO1221" s="2">
        <v>19.807006590572598</v>
      </c>
      <c r="AP1221" s="2">
        <v>19.013706503480599</v>
      </c>
      <c r="AQ1221" s="2">
        <v>19.337976125878999</v>
      </c>
      <c r="AR1221" s="2">
        <v>18.6961672970784</v>
      </c>
      <c r="AS1221" s="2">
        <v>11.5682601688014</v>
      </c>
      <c r="AT1221" s="2">
        <v>18.383383799524498</v>
      </c>
      <c r="AU1221" s="2">
        <v>18.7925949754257</v>
      </c>
      <c r="AV1221" s="2">
        <v>17.2409889812565</v>
      </c>
      <c r="AW1221" s="2">
        <v>22.075183753495999</v>
      </c>
      <c r="AX1221" s="2">
        <v>17.118520171219799</v>
      </c>
      <c r="AY1221" s="2">
        <v>19.9953741973316</v>
      </c>
      <c r="AZ1221" s="2">
        <v>19.399392654362799</v>
      </c>
      <c r="BA1221" s="2">
        <v>16.036211396928799</v>
      </c>
      <c r="BB1221" s="2">
        <v>22.357100536071499</v>
      </c>
      <c r="BC1221" s="2">
        <v>17.6487294437839</v>
      </c>
      <c r="BD1221" s="2">
        <v>17.3005326535744</v>
      </c>
      <c r="BE1221" s="2">
        <v>18.354520455917001</v>
      </c>
      <c r="BF1221" s="2">
        <v>17.6947922709954</v>
      </c>
      <c r="BG1221" s="2">
        <v>14.4918781429012</v>
      </c>
      <c r="BH1221" s="2">
        <v>19.552444259217499</v>
      </c>
      <c r="BI1221" s="2">
        <v>15.5908858261923</v>
      </c>
      <c r="BJ1221" s="2">
        <v>16.176563150876301</v>
      </c>
      <c r="BK1221" s="2">
        <v>19.622326275005602</v>
      </c>
      <c r="BL1221" s="2">
        <v>13.329298819714399</v>
      </c>
      <c r="BM1221" s="2">
        <v>20.877340435269101</v>
      </c>
      <c r="BN1221" s="2">
        <v>20.3096960072276</v>
      </c>
      <c r="BO1221" s="2">
        <v>18.322703563965</v>
      </c>
      <c r="BP1221" s="2">
        <v>9.6233145402724691</v>
      </c>
      <c r="BQ1221" s="2">
        <v>17.471779348832101</v>
      </c>
      <c r="BR1221" s="2">
        <v>18.6252195749219</v>
      </c>
      <c r="BS1221" s="2">
        <v>18.9020061080763</v>
      </c>
      <c r="BT1221" s="2">
        <v>17.932871542286801</v>
      </c>
      <c r="BU1221" s="2">
        <v>12.944256343381101</v>
      </c>
      <c r="BV1221" s="2">
        <v>20.502898896743499</v>
      </c>
      <c r="BW1221" s="2">
        <v>15.568506306837101</v>
      </c>
      <c r="BX1221" s="2">
        <v>16.535576109276001</v>
      </c>
      <c r="BY1221" s="2">
        <v>18.540373535939899</v>
      </c>
      <c r="BZ1221" s="2">
        <v>18.3739927023082</v>
      </c>
      <c r="CA1221" s="2">
        <v>17.778304394127201</v>
      </c>
      <c r="CB1221" s="2">
        <v>17.900313170349602</v>
      </c>
      <c r="CC1221" s="2">
        <v>14.717391539773899</v>
      </c>
      <c r="CD1221" s="2">
        <v>17.781542856543499</v>
      </c>
      <c r="CE1221" s="2">
        <v>16.294495828606301</v>
      </c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</row>
    <row r="1222" spans="1:97">
      <c r="A1222" s="2" t="s">
        <v>11113</v>
      </c>
      <c r="B1222" s="2">
        <v>359.08005000000003</v>
      </c>
      <c r="C1222" s="2">
        <v>6.6980000000000004</v>
      </c>
      <c r="D1222" s="2" t="s">
        <v>146</v>
      </c>
      <c r="E1222" s="2" t="s">
        <v>11114</v>
      </c>
      <c r="F1222" s="2" t="s">
        <v>11115</v>
      </c>
      <c r="G1222" s="2">
        <v>59100</v>
      </c>
      <c r="H1222" s="3" t="str">
        <f>HYPERLINK("https://cloud.oebiotech.com/#/lm/network/59100", "https://cloud.oebiotech.com/#/lm/network/59100")</f>
        <v>https://cloud.oebiotech.com/#/lm/network/59100</v>
      </c>
      <c r="I1222" s="2" t="s">
        <v>11116</v>
      </c>
      <c r="J1222" s="2"/>
      <c r="K1222" s="2"/>
      <c r="L1222" s="2">
        <v>23648</v>
      </c>
      <c r="M1222" s="2" t="s">
        <v>11117</v>
      </c>
      <c r="N1222" s="2"/>
      <c r="O1222" s="2"/>
      <c r="P1222" s="2"/>
      <c r="Q1222" s="2"/>
      <c r="R1222" s="2"/>
      <c r="S1222" s="2" t="s">
        <v>11118</v>
      </c>
      <c r="T1222" s="2" t="s">
        <v>11119</v>
      </c>
      <c r="U1222" s="2" t="s">
        <v>11120</v>
      </c>
      <c r="V1222" s="2" t="s">
        <v>845</v>
      </c>
      <c r="W1222" s="2" t="s">
        <v>846</v>
      </c>
      <c r="X1222" s="2" t="s">
        <v>11121</v>
      </c>
      <c r="Y1222" s="2" t="s">
        <v>847</v>
      </c>
      <c r="Z1222" s="2" t="s">
        <v>848</v>
      </c>
      <c r="AA1222" s="2" t="s">
        <v>11122</v>
      </c>
      <c r="AB1222" s="2" t="s">
        <v>3086</v>
      </c>
      <c r="AC1222" s="2">
        <v>47.34</v>
      </c>
      <c r="AD1222" s="2">
        <v>87.53</v>
      </c>
      <c r="AE1222" s="2">
        <v>0</v>
      </c>
      <c r="AF1222" s="2" t="s">
        <v>5614</v>
      </c>
      <c r="AG1222" s="2" t="s">
        <v>157</v>
      </c>
      <c r="AH1222" s="2" t="s">
        <v>11123</v>
      </c>
      <c r="AI1222" s="2">
        <v>-8.08</v>
      </c>
      <c r="AJ1222" s="2">
        <v>17.092870982340902</v>
      </c>
      <c r="AK1222" s="2">
        <v>17.192336645685501</v>
      </c>
      <c r="AL1222" s="2">
        <v>17.2216637699545</v>
      </c>
      <c r="AM1222" s="2">
        <v>17.369638153225001</v>
      </c>
      <c r="AN1222" s="2">
        <v>16.769150184146</v>
      </c>
      <c r="AO1222" s="2">
        <v>16.904928332983001</v>
      </c>
      <c r="AP1222" s="2">
        <v>17.049872473661399</v>
      </c>
      <c r="AQ1222" s="2">
        <v>17.169278042647999</v>
      </c>
      <c r="AR1222" s="2">
        <v>17.8234487227455</v>
      </c>
      <c r="AS1222" s="2">
        <v>16.9394740751844</v>
      </c>
      <c r="AT1222" s="2">
        <v>13.4539149179214</v>
      </c>
      <c r="AU1222" s="2">
        <v>17.524718995619398</v>
      </c>
      <c r="AV1222" s="2">
        <v>17.053369431564899</v>
      </c>
      <c r="AW1222" s="2">
        <v>16.9471622771248</v>
      </c>
      <c r="AX1222" s="2">
        <v>15.845195993456301</v>
      </c>
      <c r="AY1222" s="2">
        <v>15.984417568687901</v>
      </c>
      <c r="AZ1222" s="2">
        <v>16.628353261208201</v>
      </c>
      <c r="BA1222" s="2">
        <v>14.0884768797448</v>
      </c>
      <c r="BB1222" s="2">
        <v>16.249959135915599</v>
      </c>
      <c r="BC1222" s="2">
        <v>15.7047760730285</v>
      </c>
      <c r="BD1222" s="2">
        <v>16.987837888887501</v>
      </c>
      <c r="BE1222" s="2">
        <v>18.483695348256401</v>
      </c>
      <c r="BF1222" s="2">
        <v>15.9498465403859</v>
      </c>
      <c r="BG1222" s="2">
        <v>16.662851926982</v>
      </c>
      <c r="BH1222" s="2">
        <v>13.995854578939401</v>
      </c>
      <c r="BI1222" s="2">
        <v>17.775745167057199</v>
      </c>
      <c r="BJ1222" s="2">
        <v>17.260478085370298</v>
      </c>
      <c r="BK1222" s="2">
        <v>15.9052017670297</v>
      </c>
      <c r="BL1222" s="2">
        <v>17.301496016360399</v>
      </c>
      <c r="BM1222" s="2">
        <v>17.756058616347602</v>
      </c>
      <c r="BN1222" s="2">
        <v>14.863542631922201</v>
      </c>
      <c r="BO1222" s="2">
        <v>17.382403823167898</v>
      </c>
      <c r="BP1222" s="2">
        <v>16.487242764061001</v>
      </c>
      <c r="BQ1222" s="2">
        <v>17.790404182707899</v>
      </c>
      <c r="BR1222" s="2">
        <v>17.5174583287261</v>
      </c>
      <c r="BS1222" s="2">
        <v>17.117710158042701</v>
      </c>
      <c r="BT1222" s="2">
        <v>16.8795764295315</v>
      </c>
      <c r="BU1222" s="2">
        <v>16.041227493347701</v>
      </c>
      <c r="BV1222" s="2">
        <v>16.5500130785856</v>
      </c>
      <c r="BW1222" s="2">
        <v>11.386918696320301</v>
      </c>
      <c r="BX1222" s="2">
        <v>15.9311340795734</v>
      </c>
      <c r="BY1222" s="2">
        <v>18.199262129379601</v>
      </c>
      <c r="BZ1222" s="2">
        <v>17.016023996421399</v>
      </c>
      <c r="CA1222" s="2">
        <v>16.101012540939099</v>
      </c>
      <c r="CB1222" s="2">
        <v>16.005113533445201</v>
      </c>
      <c r="CC1222" s="2">
        <v>16.449346641166699</v>
      </c>
      <c r="CD1222" s="2">
        <v>16.583173726604802</v>
      </c>
      <c r="CE1222" s="2">
        <v>15.665137133161201</v>
      </c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</row>
    <row r="1223" spans="1:97">
      <c r="A1223" s="2" t="s">
        <v>11124</v>
      </c>
      <c r="B1223" s="2">
        <v>363.21481999999997</v>
      </c>
      <c r="C1223" s="2">
        <v>11.462</v>
      </c>
      <c r="D1223" s="2" t="s">
        <v>146</v>
      </c>
      <c r="E1223" s="2" t="s">
        <v>11125</v>
      </c>
      <c r="F1223" s="2" t="s">
        <v>11126</v>
      </c>
      <c r="G1223" s="2">
        <v>3867</v>
      </c>
      <c r="H1223" s="3" t="str">
        <f>HYPERLINK("https://cloud.oebiotech.com/#/lm/network/3867", "https://cloud.oebiotech.com/#/lm/network/3867")</f>
        <v>https://cloud.oebiotech.com/#/lm/network/3867</v>
      </c>
      <c r="I1223" s="2" t="s">
        <v>11127</v>
      </c>
      <c r="J1223" s="2">
        <v>45965</v>
      </c>
      <c r="K1223" s="2" t="s">
        <v>11128</v>
      </c>
      <c r="L1223" s="2">
        <v>5280534</v>
      </c>
      <c r="M1223" s="2" t="s">
        <v>11129</v>
      </c>
      <c r="N1223" s="2"/>
      <c r="O1223" s="2"/>
      <c r="P1223" s="2">
        <v>28367</v>
      </c>
      <c r="Q1223" s="2"/>
      <c r="R1223" s="2"/>
      <c r="S1223" s="2"/>
      <c r="T1223" s="2" t="s">
        <v>11130</v>
      </c>
      <c r="U1223" s="2" t="s">
        <v>11131</v>
      </c>
      <c r="V1223" s="2" t="s">
        <v>95</v>
      </c>
      <c r="W1223" s="2" t="s">
        <v>96</v>
      </c>
      <c r="X1223" s="2" t="s">
        <v>141</v>
      </c>
      <c r="Y1223" s="2" t="s">
        <v>98</v>
      </c>
      <c r="Z1223" s="2" t="s">
        <v>99</v>
      </c>
      <c r="AA1223" s="2" t="s">
        <v>142</v>
      </c>
      <c r="AB1223" s="2" t="s">
        <v>3086</v>
      </c>
      <c r="AC1223" s="2">
        <v>47.31</v>
      </c>
      <c r="AD1223" s="2">
        <v>86.25</v>
      </c>
      <c r="AE1223" s="2">
        <v>0</v>
      </c>
      <c r="AF1223" s="2" t="s">
        <v>5614</v>
      </c>
      <c r="AG1223" s="2" t="s">
        <v>157</v>
      </c>
      <c r="AH1223" s="2" t="s">
        <v>8253</v>
      </c>
      <c r="AI1223" s="2">
        <v>7.98</v>
      </c>
      <c r="AJ1223" s="2">
        <v>16.9657160931677</v>
      </c>
      <c r="AK1223" s="2">
        <v>16.597345668247101</v>
      </c>
      <c r="AL1223" s="2">
        <v>17.005184823329898</v>
      </c>
      <c r="AM1223" s="2">
        <v>16.273284760653699</v>
      </c>
      <c r="AN1223" s="2">
        <v>16.248933771461601</v>
      </c>
      <c r="AO1223" s="2">
        <v>16.9317105235322</v>
      </c>
      <c r="AP1223" s="2">
        <v>16.074833034445899</v>
      </c>
      <c r="AQ1223" s="2">
        <v>16.823413393407399</v>
      </c>
      <c r="AR1223" s="2">
        <v>13.5689251497034</v>
      </c>
      <c r="AS1223" s="2">
        <v>16.010333157551901</v>
      </c>
      <c r="AT1223" s="2">
        <v>17.142593725194999</v>
      </c>
      <c r="AU1223" s="2">
        <v>15.3899169732044</v>
      </c>
      <c r="AV1223" s="2">
        <v>15.192657680776</v>
      </c>
      <c r="AW1223" s="2">
        <v>16.5192824150311</v>
      </c>
      <c r="AX1223" s="2">
        <v>16.840765386489199</v>
      </c>
      <c r="AY1223" s="2">
        <v>15.7522821112985</v>
      </c>
      <c r="AZ1223" s="2">
        <v>13.3838865076043</v>
      </c>
      <c r="BA1223" s="2">
        <v>16.544710321299799</v>
      </c>
      <c r="BB1223" s="2">
        <v>16.797232148745401</v>
      </c>
      <c r="BC1223" s="2">
        <v>17.912846075308</v>
      </c>
      <c r="BD1223" s="2">
        <v>13.412233743331999</v>
      </c>
      <c r="BE1223" s="2">
        <v>12.7743258504868</v>
      </c>
      <c r="BF1223" s="2">
        <v>16.103275922523199</v>
      </c>
      <c r="BG1223" s="2">
        <v>17.094092225569</v>
      </c>
      <c r="BH1223" s="2">
        <v>13.8601587451575</v>
      </c>
      <c r="BI1223" s="2">
        <v>16.8286975719361</v>
      </c>
      <c r="BJ1223" s="2">
        <v>16.527295405411699</v>
      </c>
      <c r="BK1223" s="2">
        <v>14.2673112080358</v>
      </c>
      <c r="BL1223" s="2">
        <v>17.263802023861</v>
      </c>
      <c r="BM1223" s="2">
        <v>14.382391663718399</v>
      </c>
      <c r="BN1223" s="2">
        <v>14.8514279513932</v>
      </c>
      <c r="BO1223" s="2">
        <v>16.048336798315599</v>
      </c>
      <c r="BP1223" s="2">
        <v>16.557461757021699</v>
      </c>
      <c r="BQ1223" s="2">
        <v>16.709235701209799</v>
      </c>
      <c r="BR1223" s="2">
        <v>16.954570183732798</v>
      </c>
      <c r="BS1223" s="2">
        <v>15.326824797691399</v>
      </c>
      <c r="BT1223" s="2">
        <v>15.5563755260586</v>
      </c>
      <c r="BU1223" s="2">
        <v>16.607303436368099</v>
      </c>
      <c r="BV1223" s="2">
        <v>17.232235968831802</v>
      </c>
      <c r="BW1223" s="2">
        <v>15.3626496692314</v>
      </c>
      <c r="BX1223" s="2">
        <v>15.110710854012799</v>
      </c>
      <c r="BY1223" s="2">
        <v>14.2873343439239</v>
      </c>
      <c r="BZ1223" s="2">
        <v>15.8600723968131</v>
      </c>
      <c r="CA1223" s="2">
        <v>15.444529639966801</v>
      </c>
      <c r="CB1223" s="2">
        <v>16.454056821042499</v>
      </c>
      <c r="CC1223" s="2">
        <v>16.819853636108</v>
      </c>
      <c r="CD1223" s="2">
        <v>16.041101693487999</v>
      </c>
      <c r="CE1223" s="2">
        <v>17.163521532088399</v>
      </c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</row>
    <row r="1224" spans="1:97">
      <c r="A1224" s="2" t="s">
        <v>11132</v>
      </c>
      <c r="B1224" s="2">
        <v>162.02273</v>
      </c>
      <c r="C1224" s="2">
        <v>1.405</v>
      </c>
      <c r="D1224" s="2" t="s">
        <v>146</v>
      </c>
      <c r="E1224" s="2" t="s">
        <v>11133</v>
      </c>
      <c r="F1224" s="2" t="s">
        <v>11134</v>
      </c>
      <c r="G1224" s="2">
        <v>52971</v>
      </c>
      <c r="H1224" s="3" t="str">
        <f>HYPERLINK("https://cloud.oebiotech.com/#/lm/network/52971", "https://cloud.oebiotech.com/#/lm/network/52971")</f>
        <v>https://cloud.oebiotech.com/#/lm/network/52971</v>
      </c>
      <c r="I1224" s="2" t="s">
        <v>11135</v>
      </c>
      <c r="J1224" s="2">
        <v>753</v>
      </c>
      <c r="K1224" s="2"/>
      <c r="L1224" s="2">
        <v>71158</v>
      </c>
      <c r="M1224" s="2"/>
      <c r="N1224" s="2"/>
      <c r="O1224" s="2"/>
      <c r="P1224" s="2">
        <v>51041</v>
      </c>
      <c r="Q1224" s="2"/>
      <c r="R1224" s="2"/>
      <c r="S1224" s="2" t="s">
        <v>11136</v>
      </c>
      <c r="T1224" s="2" t="s">
        <v>11137</v>
      </c>
      <c r="U1224" s="2" t="s">
        <v>11138</v>
      </c>
      <c r="V1224" s="2" t="s">
        <v>115</v>
      </c>
      <c r="W1224" s="2" t="s">
        <v>2162</v>
      </c>
      <c r="X1224" s="2" t="s">
        <v>2163</v>
      </c>
      <c r="Y1224" s="2" t="s">
        <v>118</v>
      </c>
      <c r="Z1224" s="2" t="s">
        <v>2164</v>
      </c>
      <c r="AA1224" s="2" t="s">
        <v>2164</v>
      </c>
      <c r="AB1224" s="2" t="s">
        <v>8443</v>
      </c>
      <c r="AC1224" s="2">
        <v>47.29</v>
      </c>
      <c r="AD1224" s="2">
        <v>93.75</v>
      </c>
      <c r="AE1224" s="2">
        <v>0</v>
      </c>
      <c r="AF1224" s="2" t="s">
        <v>5614</v>
      </c>
      <c r="AG1224" s="2" t="s">
        <v>993</v>
      </c>
      <c r="AH1224" s="2" t="s">
        <v>11139</v>
      </c>
      <c r="AI1224" s="2">
        <v>-1.23</v>
      </c>
      <c r="AJ1224" s="2">
        <v>19.275294585207</v>
      </c>
      <c r="AK1224" s="2">
        <v>19.361003370534</v>
      </c>
      <c r="AL1224" s="2">
        <v>19.098717310386899</v>
      </c>
      <c r="AM1224" s="2">
        <v>19.363681603770299</v>
      </c>
      <c r="AN1224" s="2">
        <v>18.5743437317436</v>
      </c>
      <c r="AO1224" s="2">
        <v>19.410829412319501</v>
      </c>
      <c r="AP1224" s="2">
        <v>19.5084761612768</v>
      </c>
      <c r="AQ1224" s="2">
        <v>19.497538380271799</v>
      </c>
      <c r="AR1224" s="2">
        <v>18.884584268507201</v>
      </c>
      <c r="AS1224" s="2">
        <v>18.1928816310032</v>
      </c>
      <c r="AT1224" s="2">
        <v>19.271544891193599</v>
      </c>
      <c r="AU1224" s="2">
        <v>19.003910149692</v>
      </c>
      <c r="AV1224" s="2">
        <v>19.672625057872001</v>
      </c>
      <c r="AW1224" s="2">
        <v>19.920457681723502</v>
      </c>
      <c r="AX1224" s="2">
        <v>19.3255276745404</v>
      </c>
      <c r="AY1224" s="2">
        <v>19.021070082832001</v>
      </c>
      <c r="AZ1224" s="2">
        <v>18.835201385006801</v>
      </c>
      <c r="BA1224" s="2">
        <v>19.5374880159935</v>
      </c>
      <c r="BB1224" s="2">
        <v>19.110251039077099</v>
      </c>
      <c r="BC1224" s="2">
        <v>19.727188231699699</v>
      </c>
      <c r="BD1224" s="2">
        <v>19.198164029082701</v>
      </c>
      <c r="BE1224" s="2">
        <v>19.5503679906409</v>
      </c>
      <c r="BF1224" s="2">
        <v>19.744404212348801</v>
      </c>
      <c r="BG1224" s="2">
        <v>18.9543818107093</v>
      </c>
      <c r="BH1224" s="2">
        <v>18.384440266588999</v>
      </c>
      <c r="BI1224" s="2">
        <v>19.201198257575701</v>
      </c>
      <c r="BJ1224" s="2">
        <v>19.409127243941398</v>
      </c>
      <c r="BK1224" s="2">
        <v>19.056270194870802</v>
      </c>
      <c r="BL1224" s="2">
        <v>19.470774796850499</v>
      </c>
      <c r="BM1224" s="2">
        <v>20.145557120620801</v>
      </c>
      <c r="BN1224" s="2">
        <v>19.0605683087838</v>
      </c>
      <c r="BO1224" s="2">
        <v>19.616718796970201</v>
      </c>
      <c r="BP1224" s="2">
        <v>19.428029037240201</v>
      </c>
      <c r="BQ1224" s="2">
        <v>19.7807744285399</v>
      </c>
      <c r="BR1224" s="2">
        <v>19.796894937973398</v>
      </c>
      <c r="BS1224" s="2">
        <v>19.084014006039499</v>
      </c>
      <c r="BT1224" s="2">
        <v>19.465343736464099</v>
      </c>
      <c r="BU1224" s="2">
        <v>18.990662504401602</v>
      </c>
      <c r="BV1224" s="2">
        <v>19.796742879907701</v>
      </c>
      <c r="BW1224" s="2">
        <v>19.078965383252001</v>
      </c>
      <c r="BX1224" s="2">
        <v>19.4966130481303</v>
      </c>
      <c r="BY1224" s="2">
        <v>18.542459466510898</v>
      </c>
      <c r="BZ1224" s="2">
        <v>19.904879733062401</v>
      </c>
      <c r="CA1224" s="2">
        <v>19.415727679402501</v>
      </c>
      <c r="CB1224" s="2">
        <v>19.002369597371398</v>
      </c>
      <c r="CC1224" s="2">
        <v>18.354714872879299</v>
      </c>
      <c r="CD1224" s="2">
        <v>19.212509898047401</v>
      </c>
      <c r="CE1224" s="2">
        <v>19.627166245925899</v>
      </c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</row>
    <row r="1225" spans="1:97">
      <c r="A1225" s="2" t="s">
        <v>11140</v>
      </c>
      <c r="B1225" s="2">
        <v>186.22144</v>
      </c>
      <c r="C1225" s="2">
        <v>8.0180000000000007</v>
      </c>
      <c r="D1225" s="2" t="s">
        <v>84</v>
      </c>
      <c r="E1225" s="2" t="s">
        <v>11141</v>
      </c>
      <c r="F1225" s="2" t="s">
        <v>11142</v>
      </c>
      <c r="G1225" s="2">
        <v>206184</v>
      </c>
      <c r="H1225" s="3" t="str">
        <f>HYPERLINK("https://cloud.oebiotech.com/#/lm/network/206184", "https://cloud.oebiotech.com/#/lm/network/206184")</f>
        <v>https://cloud.oebiotech.com/#/lm/network/206184</v>
      </c>
      <c r="I1225" s="2" t="s">
        <v>11143</v>
      </c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 t="s">
        <v>11144</v>
      </c>
      <c r="U1225" s="2" t="s">
        <v>11145</v>
      </c>
      <c r="V1225" s="2" t="s">
        <v>166</v>
      </c>
      <c r="W1225" s="2" t="s">
        <v>167</v>
      </c>
      <c r="X1225" s="2" t="s">
        <v>482</v>
      </c>
      <c r="Y1225" s="2" t="s">
        <v>169</v>
      </c>
      <c r="Z1225" s="2" t="s">
        <v>169</v>
      </c>
      <c r="AA1225" s="2" t="s">
        <v>483</v>
      </c>
      <c r="AB1225" s="2" t="s">
        <v>8443</v>
      </c>
      <c r="AC1225" s="2">
        <v>47.29</v>
      </c>
      <c r="AD1225" s="2">
        <v>92.87</v>
      </c>
      <c r="AE1225" s="2">
        <v>0</v>
      </c>
      <c r="AF1225" s="2" t="s">
        <v>5614</v>
      </c>
      <c r="AG1225" s="2" t="s">
        <v>103</v>
      </c>
      <c r="AH1225" s="2" t="s">
        <v>11146</v>
      </c>
      <c r="AI1225" s="2">
        <v>1.07</v>
      </c>
      <c r="AJ1225" s="2">
        <v>19.207859497044701</v>
      </c>
      <c r="AK1225" s="2">
        <v>19.347161132503601</v>
      </c>
      <c r="AL1225" s="2">
        <v>19.362246009330701</v>
      </c>
      <c r="AM1225" s="2">
        <v>19.140630891329799</v>
      </c>
      <c r="AN1225" s="2">
        <v>19.328796572466501</v>
      </c>
      <c r="AO1225" s="2">
        <v>18.9307238838331</v>
      </c>
      <c r="AP1225" s="2">
        <v>19.2158711865494</v>
      </c>
      <c r="AQ1225" s="2">
        <v>19.2608094139168</v>
      </c>
      <c r="AR1225" s="2">
        <v>18.572486963548901</v>
      </c>
      <c r="AS1225" s="2">
        <v>18.5758007249086</v>
      </c>
      <c r="AT1225" s="2">
        <v>18.6412835685095</v>
      </c>
      <c r="AU1225" s="2">
        <v>18.4228219133472</v>
      </c>
      <c r="AV1225" s="2">
        <v>17.804174137997801</v>
      </c>
      <c r="AW1225" s="2">
        <v>18.042778497674799</v>
      </c>
      <c r="AX1225" s="2">
        <v>18.3464683279323</v>
      </c>
      <c r="AY1225" s="2">
        <v>18.320000293566</v>
      </c>
      <c r="AZ1225" s="2">
        <v>17.969075170528001</v>
      </c>
      <c r="BA1225" s="2">
        <v>17.601630364826899</v>
      </c>
      <c r="BB1225" s="2">
        <v>18.530834558389198</v>
      </c>
      <c r="BC1225" s="2">
        <v>18.374537451075799</v>
      </c>
      <c r="BD1225" s="2">
        <v>18.7453512871041</v>
      </c>
      <c r="BE1225" s="2">
        <v>17.783910223578001</v>
      </c>
      <c r="BF1225" s="2">
        <v>19.271708649425101</v>
      </c>
      <c r="BG1225" s="2">
        <v>19.170987068784601</v>
      </c>
      <c r="BH1225" s="2">
        <v>19.037312773695199</v>
      </c>
      <c r="BI1225" s="2">
        <v>18.358989378746401</v>
      </c>
      <c r="BJ1225" s="2">
        <v>18.047899520773001</v>
      </c>
      <c r="BK1225" s="2">
        <v>18.9331716666739</v>
      </c>
      <c r="BL1225" s="2">
        <v>17.720568790753099</v>
      </c>
      <c r="BM1225" s="2">
        <v>17.278061543842501</v>
      </c>
      <c r="BN1225" s="2">
        <v>18.045065583470901</v>
      </c>
      <c r="BO1225" s="2">
        <v>17.6984955064007</v>
      </c>
      <c r="BP1225" s="2">
        <v>18.2569979072649</v>
      </c>
      <c r="BQ1225" s="2">
        <v>18.069780151403201</v>
      </c>
      <c r="BR1225" s="2">
        <v>18.598625210573399</v>
      </c>
      <c r="BS1225" s="2">
        <v>18.486813932361699</v>
      </c>
      <c r="BT1225" s="2">
        <v>18.732719641417098</v>
      </c>
      <c r="BU1225" s="2">
        <v>18.9488710327783</v>
      </c>
      <c r="BV1225" s="2">
        <v>17.9566790882254</v>
      </c>
      <c r="BW1225" s="2">
        <v>18.603405434229</v>
      </c>
      <c r="BX1225" s="2">
        <v>18.714544370936899</v>
      </c>
      <c r="BY1225" s="2">
        <v>18.807630948442799</v>
      </c>
      <c r="BZ1225" s="2">
        <v>17.738930152495499</v>
      </c>
      <c r="CA1225" s="2">
        <v>18.1769896067979</v>
      </c>
      <c r="CB1225" s="2">
        <v>17.751241853331202</v>
      </c>
      <c r="CC1225" s="2">
        <v>17.790356197452201</v>
      </c>
      <c r="CD1225" s="2">
        <v>16.6459876616156</v>
      </c>
      <c r="CE1225" s="2">
        <v>18.024642609219999</v>
      </c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</row>
    <row r="1226" spans="1:97">
      <c r="A1226" s="2" t="s">
        <v>11147</v>
      </c>
      <c r="B1226" s="2">
        <v>253.10673</v>
      </c>
      <c r="C1226" s="2">
        <v>5.8209999999999997</v>
      </c>
      <c r="D1226" s="2" t="s">
        <v>84</v>
      </c>
      <c r="E1226" s="2" t="s">
        <v>11148</v>
      </c>
      <c r="F1226" s="2" t="s">
        <v>11149</v>
      </c>
      <c r="G1226" s="2">
        <v>210729</v>
      </c>
      <c r="H1226" s="3" t="str">
        <f>HYPERLINK("https://cloud.oebiotech.com/#/lm/network/210729", "https://cloud.oebiotech.com/#/lm/network/210729")</f>
        <v>https://cloud.oebiotech.com/#/lm/network/210729</v>
      </c>
      <c r="I1226" s="2" t="s">
        <v>11150</v>
      </c>
      <c r="J1226" s="2"/>
      <c r="K1226" s="2"/>
      <c r="L1226" s="2">
        <v>129696828</v>
      </c>
      <c r="M1226" s="2"/>
      <c r="N1226" s="2"/>
      <c r="O1226" s="2"/>
      <c r="P1226" s="2"/>
      <c r="Q1226" s="2"/>
      <c r="R1226" s="2"/>
      <c r="S1226" s="2"/>
      <c r="T1226" s="2" t="s">
        <v>11151</v>
      </c>
      <c r="U1226" s="2" t="s">
        <v>11152</v>
      </c>
      <c r="V1226" s="2" t="s">
        <v>553</v>
      </c>
      <c r="W1226" s="2" t="s">
        <v>1599</v>
      </c>
      <c r="X1226" s="2" t="s">
        <v>11153</v>
      </c>
      <c r="Y1226" s="2" t="s">
        <v>556</v>
      </c>
      <c r="Z1226" s="2" t="s">
        <v>1601</v>
      </c>
      <c r="AA1226" s="2" t="s">
        <v>11154</v>
      </c>
      <c r="AB1226" s="2" t="s">
        <v>5118</v>
      </c>
      <c r="AC1226" s="2">
        <v>47.28</v>
      </c>
      <c r="AD1226" s="2">
        <v>90.68</v>
      </c>
      <c r="AE1226" s="2">
        <v>50.24</v>
      </c>
      <c r="AF1226" s="2" t="s">
        <v>11155</v>
      </c>
      <c r="AG1226" s="2" t="s">
        <v>132</v>
      </c>
      <c r="AH1226" s="2" t="s">
        <v>11156</v>
      </c>
      <c r="AI1226" s="2">
        <v>6.72</v>
      </c>
      <c r="AJ1226" s="2">
        <v>17.393701320708999</v>
      </c>
      <c r="AK1226" s="2">
        <v>17.647578931767001</v>
      </c>
      <c r="AL1226" s="2">
        <v>17.890075305229999</v>
      </c>
      <c r="AM1226" s="2">
        <v>17.523047545903999</v>
      </c>
      <c r="AN1226" s="2">
        <v>17.731883931772</v>
      </c>
      <c r="AO1226" s="2">
        <v>17.688803782527099</v>
      </c>
      <c r="AP1226" s="2">
        <v>17.637932093306201</v>
      </c>
      <c r="AQ1226" s="2">
        <v>17.849552075349099</v>
      </c>
      <c r="AR1226" s="2">
        <v>18.797089343040799</v>
      </c>
      <c r="AS1226" s="2">
        <v>15.9962984816115</v>
      </c>
      <c r="AT1226" s="2">
        <v>17.055867161864899</v>
      </c>
      <c r="AU1226" s="2">
        <v>9.6233145402724691</v>
      </c>
      <c r="AV1226" s="2">
        <v>17.018796975648598</v>
      </c>
      <c r="AW1226" s="2">
        <v>15.777825241830801</v>
      </c>
      <c r="AX1226" s="2">
        <v>16.503884731292398</v>
      </c>
      <c r="AY1226" s="2">
        <v>14.031863139357201</v>
      </c>
      <c r="AZ1226" s="2">
        <v>19.0603226088433</v>
      </c>
      <c r="BA1226" s="2">
        <v>17.568835810719101</v>
      </c>
      <c r="BB1226" s="2">
        <v>16.405221422239901</v>
      </c>
      <c r="BC1226" s="2">
        <v>19.0006344351868</v>
      </c>
      <c r="BD1226" s="2">
        <v>17.794776609238699</v>
      </c>
      <c r="BE1226" s="2">
        <v>16.967177390497099</v>
      </c>
      <c r="BF1226" s="2">
        <v>16.768381037807</v>
      </c>
      <c r="BG1226" s="2">
        <v>16.325873903241401</v>
      </c>
      <c r="BH1226" s="2">
        <v>18.909499978536498</v>
      </c>
      <c r="BI1226" s="2">
        <v>15.1141677178486</v>
      </c>
      <c r="BJ1226" s="2">
        <v>19.1897961397157</v>
      </c>
      <c r="BK1226" s="2">
        <v>17.394806814309899</v>
      </c>
      <c r="BL1226" s="2">
        <v>13.999992075017699</v>
      </c>
      <c r="BM1226" s="2">
        <v>18.6885654543938</v>
      </c>
      <c r="BN1226" s="2">
        <v>17.9528860803659</v>
      </c>
      <c r="BO1226" s="2">
        <v>17.448872969989502</v>
      </c>
      <c r="BP1226" s="2">
        <v>15.4912678220225</v>
      </c>
      <c r="BQ1226" s="2">
        <v>15.4433308054007</v>
      </c>
      <c r="BR1226" s="2">
        <v>15.8062382026697</v>
      </c>
      <c r="BS1226" s="2">
        <v>16.489108176396499</v>
      </c>
      <c r="BT1226" s="2">
        <v>20.940647424090901</v>
      </c>
      <c r="BU1226" s="2">
        <v>18.3706241121454</v>
      </c>
      <c r="BV1226" s="2">
        <v>15.813282673997501</v>
      </c>
      <c r="BW1226" s="2">
        <v>16.207389973100099</v>
      </c>
      <c r="BX1226" s="2">
        <v>17.849970192435599</v>
      </c>
      <c r="BY1226" s="2">
        <v>16.728508742157199</v>
      </c>
      <c r="BZ1226" s="2">
        <v>14.2874894659451</v>
      </c>
      <c r="CA1226" s="2">
        <v>16.710012264823401</v>
      </c>
      <c r="CB1226" s="2">
        <v>15.2919074025152</v>
      </c>
      <c r="CC1226" s="2">
        <v>15.065483033647901</v>
      </c>
      <c r="CD1226" s="2">
        <v>18.646466105938401</v>
      </c>
      <c r="CE1226" s="2">
        <v>16.949154051485898</v>
      </c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</row>
    <row r="1227" spans="1:97">
      <c r="A1227" s="2" t="s">
        <v>11157</v>
      </c>
      <c r="B1227" s="2">
        <v>424.19718</v>
      </c>
      <c r="C1227" s="2">
        <v>6.226</v>
      </c>
      <c r="D1227" s="2" t="s">
        <v>146</v>
      </c>
      <c r="E1227" s="2" t="s">
        <v>11158</v>
      </c>
      <c r="F1227" s="2" t="s">
        <v>11159</v>
      </c>
      <c r="G1227" s="2">
        <v>208350</v>
      </c>
      <c r="H1227" s="3" t="str">
        <f>HYPERLINK("https://cloud.oebiotech.com/#/lm/network/208350", "https://cloud.oebiotech.com/#/lm/network/208350")</f>
        <v>https://cloud.oebiotech.com/#/lm/network/208350</v>
      </c>
      <c r="I1227" s="2" t="s">
        <v>11160</v>
      </c>
      <c r="J1227" s="2"/>
      <c r="K1227" s="2"/>
      <c r="L1227" s="2">
        <v>72116</v>
      </c>
      <c r="M1227" s="2"/>
      <c r="N1227" s="2"/>
      <c r="O1227" s="2"/>
      <c r="P1227" s="2"/>
      <c r="Q1227" s="2"/>
      <c r="R1227" s="2"/>
      <c r="S1227" s="2"/>
      <c r="T1227" s="2" t="s">
        <v>11161</v>
      </c>
      <c r="U1227" s="2" t="s">
        <v>11162</v>
      </c>
      <c r="V1227" s="2" t="s">
        <v>385</v>
      </c>
      <c r="W1227" s="2" t="s">
        <v>11163</v>
      </c>
      <c r="X1227" s="2" t="s">
        <v>375</v>
      </c>
      <c r="Y1227" s="2" t="s">
        <v>388</v>
      </c>
      <c r="Z1227" s="2" t="s">
        <v>11164</v>
      </c>
      <c r="AA1227" s="2"/>
      <c r="AB1227" s="2" t="s">
        <v>5118</v>
      </c>
      <c r="AC1227" s="2">
        <v>47.23</v>
      </c>
      <c r="AD1227" s="2">
        <v>95.53</v>
      </c>
      <c r="AE1227" s="2">
        <v>71</v>
      </c>
      <c r="AF1227" s="2" t="s">
        <v>11165</v>
      </c>
      <c r="AG1227" s="2" t="s">
        <v>194</v>
      </c>
      <c r="AH1227" s="2" t="s">
        <v>11166</v>
      </c>
      <c r="AI1227" s="2">
        <v>4.24</v>
      </c>
      <c r="AJ1227" s="2">
        <v>19.966702710045901</v>
      </c>
      <c r="AK1227" s="2">
        <v>20.247512841700999</v>
      </c>
      <c r="AL1227" s="2">
        <v>20.2305306516404</v>
      </c>
      <c r="AM1227" s="2">
        <v>20.101797863971399</v>
      </c>
      <c r="AN1227" s="2">
        <v>20.454714949288402</v>
      </c>
      <c r="AO1227" s="2">
        <v>20.060940275487699</v>
      </c>
      <c r="AP1227" s="2">
        <v>20.424752045316399</v>
      </c>
      <c r="AQ1227" s="2">
        <v>20.2091146349475</v>
      </c>
      <c r="AR1227" s="2">
        <v>18.5965543811161</v>
      </c>
      <c r="AS1227" s="2">
        <v>18.3783165341118</v>
      </c>
      <c r="AT1227" s="2">
        <v>20.2009195645477</v>
      </c>
      <c r="AU1227" s="2">
        <v>18.1594240213361</v>
      </c>
      <c r="AV1227" s="2">
        <v>19.1789648059043</v>
      </c>
      <c r="AW1227" s="2">
        <v>20.661417561598501</v>
      </c>
      <c r="AX1227" s="2">
        <v>20.632345066396699</v>
      </c>
      <c r="AY1227" s="2">
        <v>19.520058394969301</v>
      </c>
      <c r="AZ1227" s="2">
        <v>20.251694547899898</v>
      </c>
      <c r="BA1227" s="2">
        <v>19.0089726488143</v>
      </c>
      <c r="BB1227" s="2">
        <v>21.601913210812999</v>
      </c>
      <c r="BC1227" s="2">
        <v>21.190028898623101</v>
      </c>
      <c r="BD1227" s="2">
        <v>19.7418530276335</v>
      </c>
      <c r="BE1227" s="2">
        <v>20.8706853550989</v>
      </c>
      <c r="BF1227" s="2">
        <v>16.034277756745201</v>
      </c>
      <c r="BG1227" s="2">
        <v>20.726550904844</v>
      </c>
      <c r="BH1227" s="2">
        <v>19.236329812334102</v>
      </c>
      <c r="BI1227" s="2">
        <v>15.287048947986399</v>
      </c>
      <c r="BJ1227" s="2">
        <v>20.767230469541602</v>
      </c>
      <c r="BK1227" s="2">
        <v>20.809774180218199</v>
      </c>
      <c r="BL1227" s="2">
        <v>21.2630774639143</v>
      </c>
      <c r="BM1227" s="2">
        <v>20.565677633602199</v>
      </c>
      <c r="BN1227" s="2">
        <v>19.8727901560157</v>
      </c>
      <c r="BO1227" s="2">
        <v>19.324244307554899</v>
      </c>
      <c r="BP1227" s="2">
        <v>20.277287808830899</v>
      </c>
      <c r="BQ1227" s="2">
        <v>20.861931964852001</v>
      </c>
      <c r="BR1227" s="2">
        <v>19.254547855797899</v>
      </c>
      <c r="BS1227" s="2">
        <v>18.405358472807102</v>
      </c>
      <c r="BT1227" s="2">
        <v>19.9786887881342</v>
      </c>
      <c r="BU1227" s="2">
        <v>19.366042801644799</v>
      </c>
      <c r="BV1227" s="2">
        <v>19.6904349315285</v>
      </c>
      <c r="BW1227" s="2">
        <v>20.623074058719499</v>
      </c>
      <c r="BX1227" s="2">
        <v>19.6010687514772</v>
      </c>
      <c r="BY1227" s="2">
        <v>21.289823278172701</v>
      </c>
      <c r="BZ1227" s="2">
        <v>19.693299843130099</v>
      </c>
      <c r="CA1227" s="2">
        <v>16.4141079432186</v>
      </c>
      <c r="CB1227" s="2">
        <v>19.616935884396302</v>
      </c>
      <c r="CC1227" s="2">
        <v>20.0662084673544</v>
      </c>
      <c r="CD1227" s="2">
        <v>20.768700913854701</v>
      </c>
      <c r="CE1227" s="2">
        <v>21.095768609383899</v>
      </c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</row>
    <row r="1228" spans="1:97">
      <c r="A1228" s="2" t="s">
        <v>11167</v>
      </c>
      <c r="B1228" s="2">
        <v>262.08942999999999</v>
      </c>
      <c r="C1228" s="2">
        <v>4.7389999999999999</v>
      </c>
      <c r="D1228" s="2" t="s">
        <v>84</v>
      </c>
      <c r="E1228" s="2" t="s">
        <v>11168</v>
      </c>
      <c r="F1228" s="2" t="s">
        <v>11169</v>
      </c>
      <c r="G1228" s="2">
        <v>56677</v>
      </c>
      <c r="H1228" s="3" t="str">
        <f>HYPERLINK("https://cloud.oebiotech.com/#/lm/network/56677", "https://cloud.oebiotech.com/#/lm/network/56677")</f>
        <v>https://cloud.oebiotech.com/#/lm/network/56677</v>
      </c>
      <c r="I1228" s="2" t="s">
        <v>11170</v>
      </c>
      <c r="J1228" s="2">
        <v>88337</v>
      </c>
      <c r="K1228" s="2"/>
      <c r="L1228" s="2">
        <v>226311</v>
      </c>
      <c r="M1228" s="2"/>
      <c r="N1228" s="2"/>
      <c r="O1228" s="2"/>
      <c r="P1228" s="2">
        <v>166480</v>
      </c>
      <c r="Q1228" s="2"/>
      <c r="R1228" s="2"/>
      <c r="S1228" s="2" t="s">
        <v>11171</v>
      </c>
      <c r="T1228" s="2" t="s">
        <v>11172</v>
      </c>
      <c r="U1228" s="2" t="s">
        <v>11173</v>
      </c>
      <c r="V1228" s="2" t="s">
        <v>166</v>
      </c>
      <c r="W1228" s="2" t="s">
        <v>167</v>
      </c>
      <c r="X1228" s="2" t="s">
        <v>482</v>
      </c>
      <c r="Y1228" s="2" t="s">
        <v>169</v>
      </c>
      <c r="Z1228" s="2" t="s">
        <v>169</v>
      </c>
      <c r="AA1228" s="2" t="s">
        <v>483</v>
      </c>
      <c r="AB1228" s="2" t="s">
        <v>5118</v>
      </c>
      <c r="AC1228" s="2">
        <v>47.22</v>
      </c>
      <c r="AD1228" s="2">
        <v>89.39</v>
      </c>
      <c r="AE1228" s="2">
        <v>59.25</v>
      </c>
      <c r="AF1228" s="2" t="s">
        <v>11174</v>
      </c>
      <c r="AG1228" s="2" t="s">
        <v>1578</v>
      </c>
      <c r="AH1228" s="2" t="s">
        <v>11175</v>
      </c>
      <c r="AI1228" s="2">
        <v>1.1399999999999999</v>
      </c>
      <c r="AJ1228" s="2">
        <v>20.601558515761901</v>
      </c>
      <c r="AK1228" s="2">
        <v>20.760635160330601</v>
      </c>
      <c r="AL1228" s="2">
        <v>20.648895753498898</v>
      </c>
      <c r="AM1228" s="2">
        <v>20.704188962046899</v>
      </c>
      <c r="AN1228" s="2">
        <v>20.5957914098849</v>
      </c>
      <c r="AO1228" s="2">
        <v>20.816298567541299</v>
      </c>
      <c r="AP1228" s="2">
        <v>20.598436828299299</v>
      </c>
      <c r="AQ1228" s="2">
        <v>20.4505763312978</v>
      </c>
      <c r="AR1228" s="2">
        <v>9.6233145402724691</v>
      </c>
      <c r="AS1228" s="2">
        <v>9.6233145402724691</v>
      </c>
      <c r="AT1228" s="2">
        <v>21.308087437232999</v>
      </c>
      <c r="AU1228" s="2">
        <v>21.7062120763939</v>
      </c>
      <c r="AV1228" s="2">
        <v>21.183261900695101</v>
      </c>
      <c r="AW1228" s="2">
        <v>21.666272315804999</v>
      </c>
      <c r="AX1228" s="2">
        <v>21.1221292476536</v>
      </c>
      <c r="AY1228" s="2">
        <v>21.229582548364501</v>
      </c>
      <c r="AZ1228" s="2">
        <v>20.549500316474099</v>
      </c>
      <c r="BA1228" s="2">
        <v>20.4645739476376</v>
      </c>
      <c r="BB1228" s="2">
        <v>9.6233145402724691</v>
      </c>
      <c r="BC1228" s="2">
        <v>9.6233145402724691</v>
      </c>
      <c r="BD1228" s="2">
        <v>21.213862288501399</v>
      </c>
      <c r="BE1228" s="2">
        <v>21.5025134402871</v>
      </c>
      <c r="BF1228" s="2">
        <v>21.451664775935999</v>
      </c>
      <c r="BG1228" s="2">
        <v>9.6233145402724691</v>
      </c>
      <c r="BH1228" s="2">
        <v>21.838161816003598</v>
      </c>
      <c r="BI1228" s="2">
        <v>21.543124381391699</v>
      </c>
      <c r="BJ1228" s="2">
        <v>9.6233145402724691</v>
      </c>
      <c r="BK1228" s="2">
        <v>21.425433203120601</v>
      </c>
      <c r="BL1228" s="2">
        <v>20.363140206153801</v>
      </c>
      <c r="BM1228" s="2">
        <v>22.414728603429499</v>
      </c>
      <c r="BN1228" s="2">
        <v>21.522070666063701</v>
      </c>
      <c r="BO1228" s="2">
        <v>19.931526326594899</v>
      </c>
      <c r="BP1228" s="2">
        <v>21.508950403711701</v>
      </c>
      <c r="BQ1228" s="2">
        <v>20.9082783150225</v>
      </c>
      <c r="BR1228" s="2">
        <v>9.6233145402724691</v>
      </c>
      <c r="BS1228" s="2">
        <v>21.006761458006501</v>
      </c>
      <c r="BT1228" s="2">
        <v>9.6233145402724691</v>
      </c>
      <c r="BU1228" s="2">
        <v>21.397381260128999</v>
      </c>
      <c r="BV1228" s="2">
        <v>9.6233145402724691</v>
      </c>
      <c r="BW1228" s="2">
        <v>9.6233145402724691</v>
      </c>
      <c r="BX1228" s="2">
        <v>21.5356769564915</v>
      </c>
      <c r="BY1228" s="2">
        <v>22.124839848831598</v>
      </c>
      <c r="BZ1228" s="2">
        <v>9.6233145402724691</v>
      </c>
      <c r="CA1228" s="2">
        <v>9.6233145402724691</v>
      </c>
      <c r="CB1228" s="2">
        <v>9.6233145402724691</v>
      </c>
      <c r="CC1228" s="2">
        <v>20.425665066884999</v>
      </c>
      <c r="CD1228" s="2">
        <v>21.447314119031201</v>
      </c>
      <c r="CE1228" s="2">
        <v>21.398028836048901</v>
      </c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</row>
    <row r="1229" spans="1:97">
      <c r="A1229" s="2" t="s">
        <v>11176</v>
      </c>
      <c r="B1229" s="2">
        <v>813.61690999999996</v>
      </c>
      <c r="C1229" s="2">
        <v>12.683</v>
      </c>
      <c r="D1229" s="2" t="s">
        <v>84</v>
      </c>
      <c r="E1229" s="2" t="s">
        <v>11177</v>
      </c>
      <c r="F1229" s="2" t="s">
        <v>11178</v>
      </c>
      <c r="G1229" s="2">
        <v>251249</v>
      </c>
      <c r="H1229" s="3" t="str">
        <f>HYPERLINK("https://cloud.oebiotech.com/#/lm/network/251249", "https://cloud.oebiotech.com/#/lm/network/251249")</f>
        <v>https://cloud.oebiotech.com/#/lm/network/251249</v>
      </c>
      <c r="I1229" s="2" t="s">
        <v>11179</v>
      </c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 t="s">
        <v>11180</v>
      </c>
      <c r="U1229" s="2" t="s">
        <v>11181</v>
      </c>
      <c r="V1229" s="2" t="s">
        <v>95</v>
      </c>
      <c r="W1229" s="2" t="s">
        <v>96</v>
      </c>
      <c r="X1229" s="2" t="s">
        <v>3216</v>
      </c>
      <c r="Y1229" s="2" t="s">
        <v>98</v>
      </c>
      <c r="Z1229" s="2" t="s">
        <v>99</v>
      </c>
      <c r="AA1229" s="2" t="s">
        <v>3217</v>
      </c>
      <c r="AB1229" s="2" t="s">
        <v>3086</v>
      </c>
      <c r="AC1229" s="2">
        <v>47.22</v>
      </c>
      <c r="AD1229" s="2">
        <v>71.89</v>
      </c>
      <c r="AE1229" s="2">
        <v>0</v>
      </c>
      <c r="AF1229" s="2" t="s">
        <v>5614</v>
      </c>
      <c r="AG1229" s="2" t="s">
        <v>1578</v>
      </c>
      <c r="AH1229" s="2" t="s">
        <v>11182</v>
      </c>
      <c r="AI1229" s="2">
        <v>5.65</v>
      </c>
      <c r="AJ1229" s="2">
        <v>23.199075654030199</v>
      </c>
      <c r="AK1229" s="2">
        <v>23.716371330886499</v>
      </c>
      <c r="AL1229" s="2">
        <v>23.898385395881</v>
      </c>
      <c r="AM1229" s="2">
        <v>23.898305062805399</v>
      </c>
      <c r="AN1229" s="2">
        <v>24.009355433554202</v>
      </c>
      <c r="AO1229" s="2">
        <v>23.303674956942601</v>
      </c>
      <c r="AP1229" s="2">
        <v>23.9356121492069</v>
      </c>
      <c r="AQ1229" s="2">
        <v>23.819232468600202</v>
      </c>
      <c r="AR1229" s="2">
        <v>23.524037980527101</v>
      </c>
      <c r="AS1229" s="2">
        <v>23.4671730413537</v>
      </c>
      <c r="AT1229" s="2">
        <v>23.037721073077201</v>
      </c>
      <c r="AU1229" s="2">
        <v>23.880330718671999</v>
      </c>
      <c r="AV1229" s="2">
        <v>22.935601754871801</v>
      </c>
      <c r="AW1229" s="2">
        <v>23.360255386483601</v>
      </c>
      <c r="AX1229" s="2">
        <v>22.945527609548499</v>
      </c>
      <c r="AY1229" s="2">
        <v>23.858111288044501</v>
      </c>
      <c r="AZ1229" s="2">
        <v>23.472518197506801</v>
      </c>
      <c r="BA1229" s="2">
        <v>24.104018411216099</v>
      </c>
      <c r="BB1229" s="2">
        <v>23.946817329801199</v>
      </c>
      <c r="BC1229" s="2">
        <v>23.777817945402699</v>
      </c>
      <c r="BD1229" s="2">
        <v>24.060328792426901</v>
      </c>
      <c r="BE1229" s="2">
        <v>23.9427641253695</v>
      </c>
      <c r="BF1229" s="2">
        <v>23.875075726711302</v>
      </c>
      <c r="BG1229" s="2">
        <v>23.6934733695098</v>
      </c>
      <c r="BH1229" s="2">
        <v>23.860139183261001</v>
      </c>
      <c r="BI1229" s="2">
        <v>23.2629106991422</v>
      </c>
      <c r="BJ1229" s="2">
        <v>24.1196288259084</v>
      </c>
      <c r="BK1229" s="2">
        <v>23.861292989485001</v>
      </c>
      <c r="BL1229" s="2">
        <v>23.774129672887799</v>
      </c>
      <c r="BM1229" s="2">
        <v>23.495244657532599</v>
      </c>
      <c r="BN1229" s="2">
        <v>23.511605527876998</v>
      </c>
      <c r="BO1229" s="2">
        <v>23.920237217782301</v>
      </c>
      <c r="BP1229" s="2">
        <v>24.205385994041901</v>
      </c>
      <c r="BQ1229" s="2">
        <v>23.991493660378001</v>
      </c>
      <c r="BR1229" s="2">
        <v>24.012315432291899</v>
      </c>
      <c r="BS1229" s="2">
        <v>23.529348456797202</v>
      </c>
      <c r="BT1229" s="2">
        <v>24.1153583965928</v>
      </c>
      <c r="BU1229" s="2">
        <v>23.5998357884977</v>
      </c>
      <c r="BV1229" s="2">
        <v>23.885014407738101</v>
      </c>
      <c r="BW1229" s="2">
        <v>24.061491261549499</v>
      </c>
      <c r="BX1229" s="2">
        <v>25.258151396083399</v>
      </c>
      <c r="BY1229" s="2">
        <v>23.854884190303402</v>
      </c>
      <c r="BZ1229" s="2">
        <v>23.980450356059801</v>
      </c>
      <c r="CA1229" s="2">
        <v>23.967017347239899</v>
      </c>
      <c r="CB1229" s="2">
        <v>23.980289973171001</v>
      </c>
      <c r="CC1229" s="2">
        <v>23.6224118685512</v>
      </c>
      <c r="CD1229" s="2">
        <v>23.8997252146149</v>
      </c>
      <c r="CE1229" s="2">
        <v>23.0180727981088</v>
      </c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</row>
    <row r="1230" spans="1:97">
      <c r="A1230" s="2" t="s">
        <v>11183</v>
      </c>
      <c r="B1230" s="2">
        <v>352.22424000000001</v>
      </c>
      <c r="C1230" s="2">
        <v>8.5990000000000002</v>
      </c>
      <c r="D1230" s="2" t="s">
        <v>84</v>
      </c>
      <c r="E1230" s="2" t="s">
        <v>11184</v>
      </c>
      <c r="F1230" s="2" t="s">
        <v>11185</v>
      </c>
      <c r="G1230" s="2">
        <v>38937</v>
      </c>
      <c r="H1230" s="3" t="str">
        <f>HYPERLINK("https://cloud.oebiotech.com/#/lm/network/38937", "https://cloud.oebiotech.com/#/lm/network/38937")</f>
        <v>https://cloud.oebiotech.com/#/lm/network/38937</v>
      </c>
      <c r="I1230" s="2" t="s">
        <v>11186</v>
      </c>
      <c r="J1230" s="2">
        <v>83702</v>
      </c>
      <c r="K1230" s="2" t="s">
        <v>11187</v>
      </c>
      <c r="L1230" s="2">
        <v>52931110</v>
      </c>
      <c r="M1230" s="2"/>
      <c r="N1230" s="2"/>
      <c r="O1230" s="2"/>
      <c r="P1230" s="2">
        <v>84505</v>
      </c>
      <c r="Q1230" s="2"/>
      <c r="R1230" s="2"/>
      <c r="S1230" s="2"/>
      <c r="T1230" s="2" t="s">
        <v>11188</v>
      </c>
      <c r="U1230" s="2" t="s">
        <v>11189</v>
      </c>
      <c r="V1230" s="2" t="s">
        <v>115</v>
      </c>
      <c r="W1230" s="2" t="s">
        <v>4566</v>
      </c>
      <c r="X1230" s="2" t="s">
        <v>4567</v>
      </c>
      <c r="Y1230" s="2" t="s">
        <v>118</v>
      </c>
      <c r="Z1230" s="2" t="s">
        <v>4568</v>
      </c>
      <c r="AA1230" s="2" t="s">
        <v>4569</v>
      </c>
      <c r="AB1230" s="2" t="s">
        <v>5118</v>
      </c>
      <c r="AC1230" s="2">
        <v>47.21</v>
      </c>
      <c r="AD1230" s="2">
        <v>98.1</v>
      </c>
      <c r="AE1230" s="2">
        <v>50.09</v>
      </c>
      <c r="AF1230" s="2" t="s">
        <v>11190</v>
      </c>
      <c r="AG1230" s="2" t="s">
        <v>103</v>
      </c>
      <c r="AH1230" s="2" t="s">
        <v>11191</v>
      </c>
      <c r="AI1230" s="2">
        <v>1.42</v>
      </c>
      <c r="AJ1230" s="2">
        <v>20.5349448876145</v>
      </c>
      <c r="AK1230" s="2">
        <v>20.4701777783484</v>
      </c>
      <c r="AL1230" s="2">
        <v>20.559297877259699</v>
      </c>
      <c r="AM1230" s="2">
        <v>20.735155573200299</v>
      </c>
      <c r="AN1230" s="2">
        <v>20.671730393846001</v>
      </c>
      <c r="AO1230" s="2">
        <v>20.512388459763699</v>
      </c>
      <c r="AP1230" s="2">
        <v>20.542990667475198</v>
      </c>
      <c r="AQ1230" s="2">
        <v>20.535576564884</v>
      </c>
      <c r="AR1230" s="2">
        <v>19.770932660283801</v>
      </c>
      <c r="AS1230" s="2">
        <v>19.634662622590699</v>
      </c>
      <c r="AT1230" s="2">
        <v>20.254954284551701</v>
      </c>
      <c r="AU1230" s="2">
        <v>19.9594175096593</v>
      </c>
      <c r="AV1230" s="2">
        <v>20.2683841649154</v>
      </c>
      <c r="AW1230" s="2">
        <v>20.408620362062202</v>
      </c>
      <c r="AX1230" s="2">
        <v>19.5267872909027</v>
      </c>
      <c r="AY1230" s="2">
        <v>19.831389562839</v>
      </c>
      <c r="AZ1230" s="2">
        <v>20.616202405694501</v>
      </c>
      <c r="BA1230" s="2">
        <v>20.592409212965599</v>
      </c>
      <c r="BB1230" s="2">
        <v>21.179975676365199</v>
      </c>
      <c r="BC1230" s="2">
        <v>20.361408063645801</v>
      </c>
      <c r="BD1230" s="2">
        <v>20.485577662811099</v>
      </c>
      <c r="BE1230" s="2">
        <v>21.0698366696381</v>
      </c>
      <c r="BF1230" s="2">
        <v>19.732282152622702</v>
      </c>
      <c r="BG1230" s="2">
        <v>20.269445651733601</v>
      </c>
      <c r="BH1230" s="2">
        <v>20.013356821536998</v>
      </c>
      <c r="BI1230" s="2">
        <v>20.959311096300102</v>
      </c>
      <c r="BJ1230" s="2">
        <v>20.9891760061236</v>
      </c>
      <c r="BK1230" s="2">
        <v>20.453095638661001</v>
      </c>
      <c r="BL1230" s="2">
        <v>19.402235285442899</v>
      </c>
      <c r="BM1230" s="2">
        <v>19.585432271659101</v>
      </c>
      <c r="BN1230" s="2">
        <v>19.801803859793001</v>
      </c>
      <c r="BO1230" s="2">
        <v>19.6698343516797</v>
      </c>
      <c r="BP1230" s="2">
        <v>20.192050394171599</v>
      </c>
      <c r="BQ1230" s="2">
        <v>18.399852629657801</v>
      </c>
      <c r="BR1230" s="2">
        <v>19.155428297735799</v>
      </c>
      <c r="BS1230" s="2">
        <v>20.524899390871902</v>
      </c>
      <c r="BT1230" s="2">
        <v>20.277516640261499</v>
      </c>
      <c r="BU1230" s="2">
        <v>21.789458554388101</v>
      </c>
      <c r="BV1230" s="2">
        <v>20.902009944096399</v>
      </c>
      <c r="BW1230" s="2">
        <v>18.6605941861426</v>
      </c>
      <c r="BX1230" s="2">
        <v>20.296616357146402</v>
      </c>
      <c r="BY1230" s="2">
        <v>21.8720851671176</v>
      </c>
      <c r="BZ1230" s="2">
        <v>19.912550287845502</v>
      </c>
      <c r="CA1230" s="2">
        <v>19.6977980182231</v>
      </c>
      <c r="CB1230" s="2">
        <v>20.076302764227201</v>
      </c>
      <c r="CC1230" s="2">
        <v>20.8675489135174</v>
      </c>
      <c r="CD1230" s="2">
        <v>21.073265442140801</v>
      </c>
      <c r="CE1230" s="2">
        <v>19.802932469566901</v>
      </c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</row>
    <row r="1231" spans="1:97">
      <c r="A1231" s="2" t="s">
        <v>11192</v>
      </c>
      <c r="B1231" s="2">
        <v>940.66747999999995</v>
      </c>
      <c r="C1231" s="2">
        <v>10.074999999999999</v>
      </c>
      <c r="D1231" s="2" t="s">
        <v>146</v>
      </c>
      <c r="E1231" s="2" t="s">
        <v>11193</v>
      </c>
      <c r="F1231" s="2" t="s">
        <v>11194</v>
      </c>
      <c r="G1231" s="2">
        <v>241734</v>
      </c>
      <c r="H1231" s="3" t="str">
        <f>HYPERLINK("https://cloud.oebiotech.com/#/lm/network/241734", "https://cloud.oebiotech.com/#/lm/network/241734")</f>
        <v>https://cloud.oebiotech.com/#/lm/network/241734</v>
      </c>
      <c r="I1231" s="2" t="s">
        <v>11195</v>
      </c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 t="s">
        <v>11196</v>
      </c>
      <c r="U1231" s="2" t="s">
        <v>11197</v>
      </c>
      <c r="V1231" s="2" t="s">
        <v>95</v>
      </c>
      <c r="W1231" s="2" t="s">
        <v>202</v>
      </c>
      <c r="X1231" s="2" t="s">
        <v>203</v>
      </c>
      <c r="Y1231" s="2" t="s">
        <v>98</v>
      </c>
      <c r="Z1231" s="2" t="s">
        <v>204</v>
      </c>
      <c r="AA1231" s="2" t="s">
        <v>205</v>
      </c>
      <c r="AB1231" s="2" t="s">
        <v>5118</v>
      </c>
      <c r="AC1231" s="2">
        <v>47.2</v>
      </c>
      <c r="AD1231" s="2">
        <v>83.33</v>
      </c>
      <c r="AE1231" s="2">
        <v>77.53</v>
      </c>
      <c r="AF1231" s="2" t="s">
        <v>11198</v>
      </c>
      <c r="AG1231" s="2" t="s">
        <v>194</v>
      </c>
      <c r="AH1231" s="2" t="s">
        <v>11199</v>
      </c>
      <c r="AI1231" s="2">
        <v>-2.87</v>
      </c>
      <c r="AJ1231" s="2">
        <v>18.832518868178301</v>
      </c>
      <c r="AK1231" s="2">
        <v>18.3767029470255</v>
      </c>
      <c r="AL1231" s="2">
        <v>18.761085479610301</v>
      </c>
      <c r="AM1231" s="2">
        <v>18.444620224123401</v>
      </c>
      <c r="AN1231" s="2">
        <v>18.673827706236299</v>
      </c>
      <c r="AO1231" s="2">
        <v>18.6324103749023</v>
      </c>
      <c r="AP1231" s="2">
        <v>18.659278699551301</v>
      </c>
      <c r="AQ1231" s="2">
        <v>18.572964661312898</v>
      </c>
      <c r="AR1231" s="2">
        <v>18.655209151302198</v>
      </c>
      <c r="AS1231" s="2">
        <v>16.3181598784122</v>
      </c>
      <c r="AT1231" s="2">
        <v>18.4903366166407</v>
      </c>
      <c r="AU1231" s="2">
        <v>18.107152441847202</v>
      </c>
      <c r="AV1231" s="2">
        <v>18.026775965533801</v>
      </c>
      <c r="AW1231" s="2">
        <v>18.526882213135799</v>
      </c>
      <c r="AX1231" s="2">
        <v>18.588672185529798</v>
      </c>
      <c r="AY1231" s="2">
        <v>17.9447971489952</v>
      </c>
      <c r="AZ1231" s="2">
        <v>18.403361517132499</v>
      </c>
      <c r="BA1231" s="2">
        <v>17.673129403895299</v>
      </c>
      <c r="BB1231" s="2">
        <v>18.525985569663099</v>
      </c>
      <c r="BC1231" s="2">
        <v>18.856193948828999</v>
      </c>
      <c r="BD1231" s="2">
        <v>18.273555409244501</v>
      </c>
      <c r="BE1231" s="2">
        <v>18.128396004130401</v>
      </c>
      <c r="BF1231" s="2">
        <v>18.717439035386299</v>
      </c>
      <c r="BG1231" s="2">
        <v>19.021628339876798</v>
      </c>
      <c r="BH1231" s="2">
        <v>17.8572072386483</v>
      </c>
      <c r="BI1231" s="2">
        <v>20.048734065685</v>
      </c>
      <c r="BJ1231" s="2">
        <v>17.704413789013799</v>
      </c>
      <c r="BK1231" s="2">
        <v>18.279963404443102</v>
      </c>
      <c r="BL1231" s="2">
        <v>18.427526585455201</v>
      </c>
      <c r="BM1231" s="2">
        <v>18.005109968858498</v>
      </c>
      <c r="BN1231" s="2">
        <v>17.797354958580001</v>
      </c>
      <c r="BO1231" s="2">
        <v>18.8466853594424</v>
      </c>
      <c r="BP1231" s="2">
        <v>18.436669864654299</v>
      </c>
      <c r="BQ1231" s="2">
        <v>18.7203696575219</v>
      </c>
      <c r="BR1231" s="2">
        <v>19.2207658657757</v>
      </c>
      <c r="BS1231" s="2">
        <v>18.403280497765198</v>
      </c>
      <c r="BT1231" s="2">
        <v>18.181104395347099</v>
      </c>
      <c r="BU1231" s="2">
        <v>18.423760424535001</v>
      </c>
      <c r="BV1231" s="2">
        <v>18.3839683703821</v>
      </c>
      <c r="BW1231" s="2">
        <v>16.494878391989801</v>
      </c>
      <c r="BX1231" s="2">
        <v>18.062910186439499</v>
      </c>
      <c r="BY1231" s="2">
        <v>18.498670393054301</v>
      </c>
      <c r="BZ1231" s="2">
        <v>18.618340187890698</v>
      </c>
      <c r="CA1231" s="2">
        <v>18.707217461715501</v>
      </c>
      <c r="CB1231" s="2">
        <v>18.434541778334999</v>
      </c>
      <c r="CC1231" s="2">
        <v>18.300425091900198</v>
      </c>
      <c r="CD1231" s="2">
        <v>18.380860062753701</v>
      </c>
      <c r="CE1231" s="2">
        <v>18.080037345115699</v>
      </c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</row>
    <row r="1232" spans="1:97">
      <c r="A1232" s="2" t="s">
        <v>11200</v>
      </c>
      <c r="B1232" s="2">
        <v>997.62400000000002</v>
      </c>
      <c r="C1232" s="2">
        <v>10.36</v>
      </c>
      <c r="D1232" s="2" t="s">
        <v>84</v>
      </c>
      <c r="E1232" s="2" t="s">
        <v>11201</v>
      </c>
      <c r="F1232" s="2" t="s">
        <v>11202</v>
      </c>
      <c r="G1232" s="2">
        <v>18102</v>
      </c>
      <c r="H1232" s="3" t="str">
        <f>HYPERLINK("https://cloud.oebiotech.com/#/lm/network/18102", "https://cloud.oebiotech.com/#/lm/network/18102")</f>
        <v>https://cloud.oebiotech.com/#/lm/network/18102</v>
      </c>
      <c r="I1232" s="2"/>
      <c r="J1232" s="2"/>
      <c r="K1232" s="2" t="s">
        <v>11203</v>
      </c>
      <c r="L1232" s="2"/>
      <c r="M1232" s="2"/>
      <c r="N1232" s="2"/>
      <c r="O1232" s="2"/>
      <c r="P1232" s="2"/>
      <c r="Q1232" s="2"/>
      <c r="R1232" s="2"/>
      <c r="S1232" s="2"/>
      <c r="T1232" s="2" t="s">
        <v>11204</v>
      </c>
      <c r="U1232" s="2" t="s">
        <v>11205</v>
      </c>
      <c r="V1232" s="2" t="s">
        <v>95</v>
      </c>
      <c r="W1232" s="2" t="s">
        <v>96</v>
      </c>
      <c r="X1232" s="2" t="s">
        <v>2173</v>
      </c>
      <c r="Y1232" s="2" t="s">
        <v>98</v>
      </c>
      <c r="Z1232" s="2" t="s">
        <v>99</v>
      </c>
      <c r="AA1232" s="2" t="s">
        <v>2174</v>
      </c>
      <c r="AB1232" s="2" t="s">
        <v>5118</v>
      </c>
      <c r="AC1232" s="2">
        <v>47.2</v>
      </c>
      <c r="AD1232" s="2">
        <v>89.55</v>
      </c>
      <c r="AE1232" s="2">
        <v>61.8</v>
      </c>
      <c r="AF1232" s="2" t="s">
        <v>11206</v>
      </c>
      <c r="AG1232" s="2" t="s">
        <v>3544</v>
      </c>
      <c r="AH1232" s="2" t="s">
        <v>11207</v>
      </c>
      <c r="AI1232" s="2">
        <v>-1.6</v>
      </c>
      <c r="AJ1232" s="2">
        <v>21.889136783016902</v>
      </c>
      <c r="AK1232" s="2">
        <v>21.592706909663399</v>
      </c>
      <c r="AL1232" s="2">
        <v>21.463091421374699</v>
      </c>
      <c r="AM1232" s="2">
        <v>21.792576349176201</v>
      </c>
      <c r="AN1232" s="2">
        <v>21.579348277042001</v>
      </c>
      <c r="AO1232" s="2">
        <v>21.596725113826</v>
      </c>
      <c r="AP1232" s="2">
        <v>21.5849846610888</v>
      </c>
      <c r="AQ1232" s="2">
        <v>21.4449842170173</v>
      </c>
      <c r="AR1232" s="2">
        <v>22.270344445418299</v>
      </c>
      <c r="AS1232" s="2">
        <v>18.960908395691</v>
      </c>
      <c r="AT1232" s="2">
        <v>20.111091632450101</v>
      </c>
      <c r="AU1232" s="2">
        <v>22.163156867049398</v>
      </c>
      <c r="AV1232" s="2">
        <v>21.754533575021402</v>
      </c>
      <c r="AW1232" s="2">
        <v>21.694363065299399</v>
      </c>
      <c r="AX1232" s="2">
        <v>21.3985432410851</v>
      </c>
      <c r="AY1232" s="2">
        <v>21.400700991190899</v>
      </c>
      <c r="AZ1232" s="2">
        <v>21.5961537873422</v>
      </c>
      <c r="BA1232" s="2">
        <v>19.789882559731801</v>
      </c>
      <c r="BB1232" s="2">
        <v>20.600341806541302</v>
      </c>
      <c r="BC1232" s="2">
        <v>21.425290618212902</v>
      </c>
      <c r="BD1232" s="2">
        <v>21.0055621897476</v>
      </c>
      <c r="BE1232" s="2">
        <v>21.657009792921599</v>
      </c>
      <c r="BF1232" s="2">
        <v>21.084420056262498</v>
      </c>
      <c r="BG1232" s="2">
        <v>21.746103804931401</v>
      </c>
      <c r="BH1232" s="2">
        <v>21.713855959554898</v>
      </c>
      <c r="BI1232" s="2">
        <v>21.453031491162299</v>
      </c>
      <c r="BJ1232" s="2">
        <v>21.253432318577801</v>
      </c>
      <c r="BK1232" s="2">
        <v>20.687623476703202</v>
      </c>
      <c r="BL1232" s="2">
        <v>21.6086660602957</v>
      </c>
      <c r="BM1232" s="2">
        <v>22.5933239531266</v>
      </c>
      <c r="BN1232" s="2">
        <v>22.459901653821301</v>
      </c>
      <c r="BO1232" s="2">
        <v>21.069682761547099</v>
      </c>
      <c r="BP1232" s="2">
        <v>21.082015782787899</v>
      </c>
      <c r="BQ1232" s="2">
        <v>21.4695719377881</v>
      </c>
      <c r="BR1232" s="2">
        <v>22.440414272850401</v>
      </c>
      <c r="BS1232" s="2">
        <v>22.500792599449799</v>
      </c>
      <c r="BT1232" s="2">
        <v>21.059162575517298</v>
      </c>
      <c r="BU1232" s="2">
        <v>20.0154458160494</v>
      </c>
      <c r="BV1232" s="2">
        <v>21.020048644085801</v>
      </c>
      <c r="BW1232" s="2">
        <v>20.250378425834999</v>
      </c>
      <c r="BX1232" s="2">
        <v>21.981661942838802</v>
      </c>
      <c r="BY1232" s="2">
        <v>22.934857430121699</v>
      </c>
      <c r="BZ1232" s="2">
        <v>21.532463004899199</v>
      </c>
      <c r="CA1232" s="2">
        <v>21.673912107115498</v>
      </c>
      <c r="CB1232" s="2">
        <v>20.838107266010901</v>
      </c>
      <c r="CC1232" s="2">
        <v>20.903164843791401</v>
      </c>
      <c r="CD1232" s="2">
        <v>21.571083371221999</v>
      </c>
      <c r="CE1232" s="2">
        <v>19.2447657460241</v>
      </c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</row>
    <row r="1233" spans="1:97">
      <c r="A1233" s="2" t="s">
        <v>11208</v>
      </c>
      <c r="B1233" s="2">
        <v>94.028769999999994</v>
      </c>
      <c r="C1233" s="2">
        <v>0.58299999999999996</v>
      </c>
      <c r="D1233" s="2" t="s">
        <v>84</v>
      </c>
      <c r="E1233" s="2" t="s">
        <v>11209</v>
      </c>
      <c r="F1233" s="2" t="s">
        <v>11210</v>
      </c>
      <c r="G1233" s="2">
        <v>274148</v>
      </c>
      <c r="H1233" s="3" t="str">
        <f>HYPERLINK("https://cloud.oebiotech.com/#/lm/network/274148", "https://cloud.oebiotech.com/#/lm/network/274148")</f>
        <v>https://cloud.oebiotech.com/#/lm/network/274148</v>
      </c>
      <c r="I1233" s="2"/>
      <c r="J1233" s="2">
        <v>63881</v>
      </c>
      <c r="K1233" s="2"/>
      <c r="L1233" s="2">
        <v>69371</v>
      </c>
      <c r="M1233" s="2" t="s">
        <v>11211</v>
      </c>
      <c r="N1233" s="2" t="s">
        <v>2667</v>
      </c>
      <c r="O1233" s="2" t="s">
        <v>2668</v>
      </c>
      <c r="P1233" s="2"/>
      <c r="Q1233" s="2"/>
      <c r="R1233" s="2"/>
      <c r="S1233" s="2" t="s">
        <v>11212</v>
      </c>
      <c r="T1233" s="2" t="s">
        <v>11213</v>
      </c>
      <c r="U1233" s="2" t="s">
        <v>11214</v>
      </c>
      <c r="V1233" s="2" t="s">
        <v>553</v>
      </c>
      <c r="W1233" s="2" t="s">
        <v>2447</v>
      </c>
      <c r="X1233" s="2" t="s">
        <v>6211</v>
      </c>
      <c r="Y1233" s="2" t="s">
        <v>556</v>
      </c>
      <c r="Z1233" s="2" t="s">
        <v>2449</v>
      </c>
      <c r="AA1233" s="2" t="s">
        <v>6212</v>
      </c>
      <c r="AB1233" s="2" t="s">
        <v>3086</v>
      </c>
      <c r="AC1233" s="2">
        <v>47.19</v>
      </c>
      <c r="AD1233" s="2">
        <v>96.64</v>
      </c>
      <c r="AE1233" s="2">
        <v>0</v>
      </c>
      <c r="AF1233" s="2" t="s">
        <v>5614</v>
      </c>
      <c r="AG1233" s="2" t="s">
        <v>1088</v>
      </c>
      <c r="AH1233" s="2" t="s">
        <v>11215</v>
      </c>
      <c r="AI1233" s="2">
        <v>5.96</v>
      </c>
      <c r="AJ1233" s="2">
        <v>21.847675905357502</v>
      </c>
      <c r="AK1233" s="2">
        <v>21.650729680175498</v>
      </c>
      <c r="AL1233" s="2">
        <v>21.699361757959899</v>
      </c>
      <c r="AM1233" s="2">
        <v>22.186158128870201</v>
      </c>
      <c r="AN1233" s="2">
        <v>21.6194360899533</v>
      </c>
      <c r="AO1233" s="2">
        <v>22.045712322441599</v>
      </c>
      <c r="AP1233" s="2">
        <v>21.806940854212201</v>
      </c>
      <c r="AQ1233" s="2">
        <v>21.986043275655</v>
      </c>
      <c r="AR1233" s="2">
        <v>21.5140514723319</v>
      </c>
      <c r="AS1233" s="2">
        <v>21.349116911109</v>
      </c>
      <c r="AT1233" s="2">
        <v>20.957745603939198</v>
      </c>
      <c r="AU1233" s="2">
        <v>21.615337401320101</v>
      </c>
      <c r="AV1233" s="2">
        <v>21.427688241335801</v>
      </c>
      <c r="AW1233" s="2">
        <v>21.066661717667301</v>
      </c>
      <c r="AX1233" s="2">
        <v>21.706256749674701</v>
      </c>
      <c r="AY1233" s="2">
        <v>21.080420442769199</v>
      </c>
      <c r="AZ1233" s="2">
        <v>21.116092339647501</v>
      </c>
      <c r="BA1233" s="2">
        <v>21.427186100588202</v>
      </c>
      <c r="BB1233" s="2">
        <v>21.690653379012399</v>
      </c>
      <c r="BC1233" s="2">
        <v>21.6558626412987</v>
      </c>
      <c r="BD1233" s="2">
        <v>21.366013646792101</v>
      </c>
      <c r="BE1233" s="2">
        <v>22.033552789614301</v>
      </c>
      <c r="BF1233" s="2">
        <v>21.7917429378805</v>
      </c>
      <c r="BG1233" s="2">
        <v>21.7439263709831</v>
      </c>
      <c r="BH1233" s="2">
        <v>22.293136672141902</v>
      </c>
      <c r="BI1233" s="2">
        <v>21.537315274506899</v>
      </c>
      <c r="BJ1233" s="2">
        <v>21.976743085761001</v>
      </c>
      <c r="BK1233" s="2">
        <v>21.590050044471301</v>
      </c>
      <c r="BL1233" s="2">
        <v>21.0398970471336</v>
      </c>
      <c r="BM1233" s="2">
        <v>21.827686234335001</v>
      </c>
      <c r="BN1233" s="2">
        <v>21.8857916968357</v>
      </c>
      <c r="BO1233" s="2">
        <v>21.493081646411898</v>
      </c>
      <c r="BP1233" s="2">
        <v>21.834781595540999</v>
      </c>
      <c r="BQ1233" s="2">
        <v>21.462237121826099</v>
      </c>
      <c r="BR1233" s="2">
        <v>21.755965725415301</v>
      </c>
      <c r="BS1233" s="2">
        <v>21.4238685779737</v>
      </c>
      <c r="BT1233" s="2">
        <v>22.117650167973299</v>
      </c>
      <c r="BU1233" s="2">
        <v>21.898664424080899</v>
      </c>
      <c r="BV1233" s="2">
        <v>21.8889523850773</v>
      </c>
      <c r="BW1233" s="2">
        <v>21.577965140749299</v>
      </c>
      <c r="BX1233" s="2">
        <v>20.573250399562799</v>
      </c>
      <c r="BY1233" s="2">
        <v>22.39471096251</v>
      </c>
      <c r="BZ1233" s="2">
        <v>21.4989969611722</v>
      </c>
      <c r="CA1233" s="2">
        <v>21.426682525978102</v>
      </c>
      <c r="CB1233" s="2">
        <v>21.906540445974201</v>
      </c>
      <c r="CC1233" s="2">
        <v>20.986938155725799</v>
      </c>
      <c r="CD1233" s="2">
        <v>21.861094317755501</v>
      </c>
      <c r="CE1233" s="2">
        <v>21.601731807909299</v>
      </c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</row>
    <row r="1234" spans="1:97">
      <c r="A1234" s="2" t="s">
        <v>11216</v>
      </c>
      <c r="B1234" s="2">
        <v>160.13307</v>
      </c>
      <c r="C1234" s="2">
        <v>4.3070000000000004</v>
      </c>
      <c r="D1234" s="2" t="s">
        <v>84</v>
      </c>
      <c r="E1234" s="2" t="s">
        <v>11217</v>
      </c>
      <c r="F1234" s="2" t="s">
        <v>11218</v>
      </c>
      <c r="G1234" s="2">
        <v>200557</v>
      </c>
      <c r="H1234" s="3" t="str">
        <f>HYPERLINK("https://cloud.oebiotech.com/#/lm/network/200557", "https://cloud.oebiotech.com/#/lm/network/200557")</f>
        <v>https://cloud.oebiotech.com/#/lm/network/200557</v>
      </c>
      <c r="I1234" s="2" t="s">
        <v>11219</v>
      </c>
      <c r="J1234" s="2"/>
      <c r="K1234" s="2"/>
      <c r="L1234" s="2">
        <v>125626</v>
      </c>
      <c r="M1234" s="2"/>
      <c r="N1234" s="2"/>
      <c r="O1234" s="2"/>
      <c r="P1234" s="2"/>
      <c r="Q1234" s="2"/>
      <c r="R1234" s="2"/>
      <c r="S1234" s="2"/>
      <c r="T1234" s="2" t="s">
        <v>11220</v>
      </c>
      <c r="U1234" s="2" t="s">
        <v>11221</v>
      </c>
      <c r="V1234" s="2" t="s">
        <v>553</v>
      </c>
      <c r="W1234" s="2" t="s">
        <v>4891</v>
      </c>
      <c r="X1234" s="2" t="s">
        <v>11222</v>
      </c>
      <c r="Y1234" s="2" t="s">
        <v>556</v>
      </c>
      <c r="Z1234" s="2" t="s">
        <v>4893</v>
      </c>
      <c r="AA1234" s="2" t="s">
        <v>11223</v>
      </c>
      <c r="AB1234" s="2" t="s">
        <v>8443</v>
      </c>
      <c r="AC1234" s="2">
        <v>47.19</v>
      </c>
      <c r="AD1234" s="2">
        <v>98.61</v>
      </c>
      <c r="AE1234" s="2">
        <v>0</v>
      </c>
      <c r="AF1234" s="2" t="s">
        <v>5614</v>
      </c>
      <c r="AG1234" s="2" t="s">
        <v>103</v>
      </c>
      <c r="AH1234" s="2" t="s">
        <v>5622</v>
      </c>
      <c r="AI1234" s="2">
        <v>0.62</v>
      </c>
      <c r="AJ1234" s="2">
        <v>22.552565177008201</v>
      </c>
      <c r="AK1234" s="2">
        <v>22.336504151742499</v>
      </c>
      <c r="AL1234" s="2">
        <v>22.7231921650841</v>
      </c>
      <c r="AM1234" s="2">
        <v>22.2990348720692</v>
      </c>
      <c r="AN1234" s="2">
        <v>22.424352830559702</v>
      </c>
      <c r="AO1234" s="2">
        <v>22.4685756509414</v>
      </c>
      <c r="AP1234" s="2">
        <v>22.428141667002102</v>
      </c>
      <c r="AQ1234" s="2">
        <v>22.462258121466899</v>
      </c>
      <c r="AR1234" s="2">
        <v>22.645598004006001</v>
      </c>
      <c r="AS1234" s="2">
        <v>21.750718041367101</v>
      </c>
      <c r="AT1234" s="2">
        <v>22.134230110050101</v>
      </c>
      <c r="AU1234" s="2">
        <v>21.487864075858401</v>
      </c>
      <c r="AV1234" s="2">
        <v>21.7841533373376</v>
      </c>
      <c r="AW1234" s="2">
        <v>22.569917461090402</v>
      </c>
      <c r="AX1234" s="2">
        <v>22.1662887545857</v>
      </c>
      <c r="AY1234" s="2">
        <v>22.166276760465799</v>
      </c>
      <c r="AZ1234" s="2">
        <v>22.162051700305302</v>
      </c>
      <c r="BA1234" s="2">
        <v>21.755323896019899</v>
      </c>
      <c r="BB1234" s="2">
        <v>22.538853776767201</v>
      </c>
      <c r="BC1234" s="2">
        <v>23.331509729564399</v>
      </c>
      <c r="BD1234" s="2">
        <v>21.487004676310001</v>
      </c>
      <c r="BE1234" s="2">
        <v>22.658531074348701</v>
      </c>
      <c r="BF1234" s="2">
        <v>21.1551122881969</v>
      </c>
      <c r="BG1234" s="2">
        <v>21.281212003186901</v>
      </c>
      <c r="BH1234" s="2">
        <v>23.223047531879999</v>
      </c>
      <c r="BI1234" s="2">
        <v>21.788928040944199</v>
      </c>
      <c r="BJ1234" s="2">
        <v>22.646619933254399</v>
      </c>
      <c r="BK1234" s="2">
        <v>21.4677017657459</v>
      </c>
      <c r="BL1234" s="2">
        <v>22.806020785313098</v>
      </c>
      <c r="BM1234" s="2">
        <v>22.6015925819496</v>
      </c>
      <c r="BN1234" s="2">
        <v>22.7343914395226</v>
      </c>
      <c r="BO1234" s="2">
        <v>21.628626022368898</v>
      </c>
      <c r="BP1234" s="2">
        <v>21.384919642310201</v>
      </c>
      <c r="BQ1234" s="2">
        <v>22.638132329435699</v>
      </c>
      <c r="BR1234" s="2">
        <v>22.052533448542199</v>
      </c>
      <c r="BS1234" s="2">
        <v>21.7452867432715</v>
      </c>
      <c r="BT1234" s="2">
        <v>21.894034163379999</v>
      </c>
      <c r="BU1234" s="2">
        <v>22.270426480568201</v>
      </c>
      <c r="BV1234" s="2">
        <v>21.715739324504899</v>
      </c>
      <c r="BW1234" s="2">
        <v>21.882293838712201</v>
      </c>
      <c r="BX1234" s="2">
        <v>21.577295803353501</v>
      </c>
      <c r="BY1234" s="2">
        <v>23.681201132127299</v>
      </c>
      <c r="BZ1234" s="2">
        <v>21.1817659910628</v>
      </c>
      <c r="CA1234" s="2">
        <v>20.036591614207701</v>
      </c>
      <c r="CB1234" s="2">
        <v>24.062253519386498</v>
      </c>
      <c r="CC1234" s="2">
        <v>22.633624108500001</v>
      </c>
      <c r="CD1234" s="2">
        <v>22.898064393886902</v>
      </c>
      <c r="CE1234" s="2">
        <v>22.127000194310501</v>
      </c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</row>
    <row r="1235" spans="1:97">
      <c r="A1235" s="2" t="s">
        <v>11224</v>
      </c>
      <c r="B1235" s="2">
        <v>367.9907</v>
      </c>
      <c r="C1235" s="2">
        <v>0.98299999999999998</v>
      </c>
      <c r="D1235" s="2" t="s">
        <v>84</v>
      </c>
      <c r="E1235" s="2" t="s">
        <v>11225</v>
      </c>
      <c r="F1235" s="2" t="s">
        <v>11226</v>
      </c>
      <c r="G1235" s="2">
        <v>206732</v>
      </c>
      <c r="H1235" s="3" t="str">
        <f>HYPERLINK("https://cloud.oebiotech.com/#/lm/network/206732", "https://cloud.oebiotech.com/#/lm/network/206732")</f>
        <v>https://cloud.oebiotech.com/#/lm/network/206732</v>
      </c>
      <c r="I1235" s="2" t="s">
        <v>11227</v>
      </c>
      <c r="J1235" s="2"/>
      <c r="K1235" s="2"/>
      <c r="L1235" s="2">
        <v>28871</v>
      </c>
      <c r="M1235" s="2"/>
      <c r="N1235" s="2"/>
      <c r="O1235" s="2"/>
      <c r="P1235" s="2"/>
      <c r="Q1235" s="2"/>
      <c r="R1235" s="2"/>
      <c r="S1235" s="2"/>
      <c r="T1235" s="2" t="s">
        <v>11228</v>
      </c>
      <c r="U1235" s="2" t="s">
        <v>11229</v>
      </c>
      <c r="V1235" s="2" t="s">
        <v>553</v>
      </c>
      <c r="W1235" s="2" t="s">
        <v>554</v>
      </c>
      <c r="X1235" s="2" t="s">
        <v>10017</v>
      </c>
      <c r="Y1235" s="2" t="s">
        <v>556</v>
      </c>
      <c r="Z1235" s="2" t="s">
        <v>557</v>
      </c>
      <c r="AA1235" s="2" t="s">
        <v>10018</v>
      </c>
      <c r="AB1235" s="2" t="s">
        <v>5118</v>
      </c>
      <c r="AC1235" s="2">
        <v>47.19</v>
      </c>
      <c r="AD1235" s="2">
        <v>71.290000000000006</v>
      </c>
      <c r="AE1235" s="2">
        <v>80.84</v>
      </c>
      <c r="AF1235" s="2" t="s">
        <v>11230</v>
      </c>
      <c r="AG1235" s="2" t="s">
        <v>3544</v>
      </c>
      <c r="AH1235" s="2" t="s">
        <v>11231</v>
      </c>
      <c r="AI1235" s="2">
        <v>0.54</v>
      </c>
      <c r="AJ1235" s="2">
        <v>23.911211817469699</v>
      </c>
      <c r="AK1235" s="2">
        <v>25.794495049575701</v>
      </c>
      <c r="AL1235" s="2">
        <v>25.627779178106401</v>
      </c>
      <c r="AM1235" s="2">
        <v>25.813290650856</v>
      </c>
      <c r="AN1235" s="2">
        <v>25.798029180353598</v>
      </c>
      <c r="AO1235" s="2">
        <v>25.723594973163799</v>
      </c>
      <c r="AP1235" s="2">
        <v>25.7281914781754</v>
      </c>
      <c r="AQ1235" s="2">
        <v>25.8233741393814</v>
      </c>
      <c r="AR1235" s="2">
        <v>24.948589288519798</v>
      </c>
      <c r="AS1235" s="2">
        <v>25.653979728535099</v>
      </c>
      <c r="AT1235" s="2">
        <v>24.3538314201624</v>
      </c>
      <c r="AU1235" s="2">
        <v>25.895267442130599</v>
      </c>
      <c r="AV1235" s="2">
        <v>25.840487914159301</v>
      </c>
      <c r="AW1235" s="2">
        <v>23.930556146466099</v>
      </c>
      <c r="AX1235" s="2">
        <v>25.359630634103301</v>
      </c>
      <c r="AY1235" s="2">
        <v>25.807043262958501</v>
      </c>
      <c r="AZ1235" s="2">
        <v>25.871390376007</v>
      </c>
      <c r="BA1235" s="2">
        <v>24.928246138180199</v>
      </c>
      <c r="BB1235" s="2">
        <v>23.870294410186599</v>
      </c>
      <c r="BC1235" s="2">
        <v>24.9138616006035</v>
      </c>
      <c r="BD1235" s="2">
        <v>25.952275284627198</v>
      </c>
      <c r="BE1235" s="2">
        <v>25.106484581642199</v>
      </c>
      <c r="BF1235" s="2">
        <v>25.4969406766403</v>
      </c>
      <c r="BG1235" s="2">
        <v>25.2725506460276</v>
      </c>
      <c r="BH1235" s="2">
        <v>24.364545019002701</v>
      </c>
      <c r="BI1235" s="2">
        <v>25.918895084585099</v>
      </c>
      <c r="BJ1235" s="2">
        <v>25.4639231158596</v>
      </c>
      <c r="BK1235" s="2">
        <v>25.884575567496999</v>
      </c>
      <c r="BL1235" s="2">
        <v>24.961318115770801</v>
      </c>
      <c r="BM1235" s="2">
        <v>25.530591616030101</v>
      </c>
      <c r="BN1235" s="2">
        <v>25.805087419012501</v>
      </c>
      <c r="BO1235" s="2">
        <v>24.742855774511899</v>
      </c>
      <c r="BP1235" s="2">
        <v>25.798502946369599</v>
      </c>
      <c r="BQ1235" s="2">
        <v>25.740235516519299</v>
      </c>
      <c r="BR1235" s="2">
        <v>24.918397925579399</v>
      </c>
      <c r="BS1235" s="2">
        <v>24.287289811606499</v>
      </c>
      <c r="BT1235" s="2">
        <v>25.815871982218599</v>
      </c>
      <c r="BU1235" s="2">
        <v>24.409021567566899</v>
      </c>
      <c r="BV1235" s="2">
        <v>25.7619843620766</v>
      </c>
      <c r="BW1235" s="2">
        <v>25.618700349247</v>
      </c>
      <c r="BX1235" s="2">
        <v>25.803060590992999</v>
      </c>
      <c r="BY1235" s="2">
        <v>24.324719000698899</v>
      </c>
      <c r="BZ1235" s="2">
        <v>25.194723605343501</v>
      </c>
      <c r="CA1235" s="2">
        <v>25.746753256184899</v>
      </c>
      <c r="CB1235" s="2">
        <v>25.875346164325901</v>
      </c>
      <c r="CC1235" s="2">
        <v>25.3795228611251</v>
      </c>
      <c r="CD1235" s="2">
        <v>24.9302236384823</v>
      </c>
      <c r="CE1235" s="2">
        <v>25.417118854026398</v>
      </c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</row>
    <row r="1236" spans="1:97">
      <c r="A1236" s="2" t="s">
        <v>11232</v>
      </c>
      <c r="B1236" s="2">
        <v>365.34172000000001</v>
      </c>
      <c r="C1236" s="2">
        <v>14.88</v>
      </c>
      <c r="D1236" s="2" t="s">
        <v>146</v>
      </c>
      <c r="E1236" s="2" t="s">
        <v>11233</v>
      </c>
      <c r="F1236" s="2" t="s">
        <v>11234</v>
      </c>
      <c r="G1236" s="2">
        <v>600</v>
      </c>
      <c r="H1236" s="3" t="str">
        <f>HYPERLINK("https://cloud.oebiotech.com/#/lm/network/600", "https://cloud.oebiotech.com/#/lm/network/600")</f>
        <v>https://cloud.oebiotech.com/#/lm/network/600</v>
      </c>
      <c r="I1236" s="2" t="s">
        <v>11235</v>
      </c>
      <c r="J1236" s="2">
        <v>262</v>
      </c>
      <c r="K1236" s="2" t="s">
        <v>11236</v>
      </c>
      <c r="L1236" s="2">
        <v>5281120</v>
      </c>
      <c r="M1236" s="2" t="s">
        <v>11237</v>
      </c>
      <c r="N1236" s="2" t="s">
        <v>598</v>
      </c>
      <c r="O1236" s="2" t="s">
        <v>599</v>
      </c>
      <c r="P1236" s="2">
        <v>44247</v>
      </c>
      <c r="Q1236" s="2"/>
      <c r="R1236" s="2"/>
      <c r="S1236" s="2" t="s">
        <v>11238</v>
      </c>
      <c r="T1236" s="2" t="s">
        <v>11239</v>
      </c>
      <c r="U1236" s="2" t="s">
        <v>11240</v>
      </c>
      <c r="V1236" s="2" t="s">
        <v>95</v>
      </c>
      <c r="W1236" s="2" t="s">
        <v>96</v>
      </c>
      <c r="X1236" s="2" t="s">
        <v>141</v>
      </c>
      <c r="Y1236" s="2" t="s">
        <v>98</v>
      </c>
      <c r="Z1236" s="2" t="s">
        <v>99</v>
      </c>
      <c r="AA1236" s="2" t="s">
        <v>142</v>
      </c>
      <c r="AB1236" s="2" t="s">
        <v>5118</v>
      </c>
      <c r="AC1236" s="2">
        <v>47.17</v>
      </c>
      <c r="AD1236" s="2">
        <v>84.41</v>
      </c>
      <c r="AE1236" s="2">
        <v>57.38</v>
      </c>
      <c r="AF1236" s="2" t="s">
        <v>11241</v>
      </c>
      <c r="AG1236" s="2" t="s">
        <v>194</v>
      </c>
      <c r="AH1236" s="2" t="s">
        <v>11242</v>
      </c>
      <c r="AI1236" s="2">
        <v>2.19</v>
      </c>
      <c r="AJ1236" s="2">
        <v>18.4939164929838</v>
      </c>
      <c r="AK1236" s="2">
        <v>18.7091451826109</v>
      </c>
      <c r="AL1236" s="2">
        <v>18.008722350877701</v>
      </c>
      <c r="AM1236" s="2">
        <v>18.996680468493</v>
      </c>
      <c r="AN1236" s="2">
        <v>19.1724050689139</v>
      </c>
      <c r="AO1236" s="2">
        <v>18.5769078533868</v>
      </c>
      <c r="AP1236" s="2">
        <v>18.6509304942096</v>
      </c>
      <c r="AQ1236" s="2">
        <v>18.3493862890233</v>
      </c>
      <c r="AR1236" s="2">
        <v>19.1661232557401</v>
      </c>
      <c r="AS1236" s="2">
        <v>17.521480056766901</v>
      </c>
      <c r="AT1236" s="2">
        <v>17.185980722154</v>
      </c>
      <c r="AU1236" s="2">
        <v>19.030644696328601</v>
      </c>
      <c r="AV1236" s="2">
        <v>18.347689702586401</v>
      </c>
      <c r="AW1236" s="2">
        <v>18.683530887481002</v>
      </c>
      <c r="AX1236" s="2">
        <v>18.419423427706999</v>
      </c>
      <c r="AY1236" s="2">
        <v>18.265699599809299</v>
      </c>
      <c r="AZ1236" s="2">
        <v>17.915745368402</v>
      </c>
      <c r="BA1236" s="2">
        <v>18.101573743911199</v>
      </c>
      <c r="BB1236" s="2">
        <v>19.069914433484801</v>
      </c>
      <c r="BC1236" s="2">
        <v>18.097700751999501</v>
      </c>
      <c r="BD1236" s="2">
        <v>18.4028516476933</v>
      </c>
      <c r="BE1236" s="2">
        <v>16.890393965523501</v>
      </c>
      <c r="BF1236" s="2">
        <v>18.098782040471502</v>
      </c>
      <c r="BG1236" s="2">
        <v>18.961198023817801</v>
      </c>
      <c r="BH1236" s="2">
        <v>19.0785875601653</v>
      </c>
      <c r="BI1236" s="2">
        <v>18.230149563745901</v>
      </c>
      <c r="BJ1236" s="2">
        <v>18.447124200272601</v>
      </c>
      <c r="BK1236" s="2">
        <v>18.596512816266401</v>
      </c>
      <c r="BL1236" s="2">
        <v>18.888493284466499</v>
      </c>
      <c r="BM1236" s="2">
        <v>17.6320626915792</v>
      </c>
      <c r="BN1236" s="2">
        <v>18.570151888010098</v>
      </c>
      <c r="BO1236" s="2">
        <v>18.9701066491326</v>
      </c>
      <c r="BP1236" s="2">
        <v>19.3703787179867</v>
      </c>
      <c r="BQ1236" s="2">
        <v>19.627934229230899</v>
      </c>
      <c r="BR1236" s="2">
        <v>19.237660149078501</v>
      </c>
      <c r="BS1236" s="2">
        <v>18.711034593995901</v>
      </c>
      <c r="BT1236" s="2">
        <v>17.184307320984399</v>
      </c>
      <c r="BU1236" s="2">
        <v>19.329411542834301</v>
      </c>
      <c r="BV1236" s="2">
        <v>19.347458586493499</v>
      </c>
      <c r="BW1236" s="2">
        <v>18.982836862879001</v>
      </c>
      <c r="BX1236" s="2">
        <v>19.827013855283901</v>
      </c>
      <c r="BY1236" s="2">
        <v>18.197007049696399</v>
      </c>
      <c r="BZ1236" s="2">
        <v>18.957318176765899</v>
      </c>
      <c r="CA1236" s="2">
        <v>18.627797469137899</v>
      </c>
      <c r="CB1236" s="2">
        <v>18.178897595563399</v>
      </c>
      <c r="CC1236" s="2">
        <v>18.6776836192298</v>
      </c>
      <c r="CD1236" s="2">
        <v>17.851485050131899</v>
      </c>
      <c r="CE1236" s="2">
        <v>18.9373971840206</v>
      </c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</row>
    <row r="1237" spans="1:97">
      <c r="A1237" s="2" t="s">
        <v>11243</v>
      </c>
      <c r="B1237" s="2">
        <v>151.11250999999999</v>
      </c>
      <c r="C1237" s="2">
        <v>7.4050000000000002</v>
      </c>
      <c r="D1237" s="2" t="s">
        <v>146</v>
      </c>
      <c r="E1237" s="2" t="s">
        <v>11244</v>
      </c>
      <c r="F1237" s="2" t="s">
        <v>11245</v>
      </c>
      <c r="G1237" s="2">
        <v>200</v>
      </c>
      <c r="H1237" s="3" t="str">
        <f>HYPERLINK("https://cloud.oebiotech.com/#/lm/network/200", "https://cloud.oebiotech.com/#/lm/network/200")</f>
        <v>https://cloud.oebiotech.com/#/lm/network/200</v>
      </c>
      <c r="I1237" s="2"/>
      <c r="J1237" s="2">
        <v>4631</v>
      </c>
      <c r="K1237" s="2" t="s">
        <v>11246</v>
      </c>
      <c r="L1237" s="2">
        <v>5282653</v>
      </c>
      <c r="M1237" s="2"/>
      <c r="N1237" s="2"/>
      <c r="O1237" s="2"/>
      <c r="P1237" s="2"/>
      <c r="Q1237" s="2"/>
      <c r="R1237" s="2"/>
      <c r="S1237" s="2"/>
      <c r="T1237" s="2" t="s">
        <v>11247</v>
      </c>
      <c r="U1237" s="2" t="s">
        <v>11248</v>
      </c>
      <c r="V1237" s="2" t="s">
        <v>95</v>
      </c>
      <c r="W1237" s="2" t="s">
        <v>96</v>
      </c>
      <c r="X1237" s="2" t="s">
        <v>141</v>
      </c>
      <c r="Y1237" s="2" t="s">
        <v>98</v>
      </c>
      <c r="Z1237" s="2" t="s">
        <v>99</v>
      </c>
      <c r="AA1237" s="2" t="s">
        <v>142</v>
      </c>
      <c r="AB1237" s="2" t="s">
        <v>8443</v>
      </c>
      <c r="AC1237" s="2">
        <v>47.14</v>
      </c>
      <c r="AD1237" s="2">
        <v>94.4</v>
      </c>
      <c r="AE1237" s="2">
        <v>0</v>
      </c>
      <c r="AF1237" s="2" t="s">
        <v>11249</v>
      </c>
      <c r="AG1237" s="2" t="s">
        <v>993</v>
      </c>
      <c r="AH1237" s="2" t="s">
        <v>8744</v>
      </c>
      <c r="AI1237" s="2">
        <v>-1.32</v>
      </c>
      <c r="AJ1237" s="2">
        <v>19.9211829263498</v>
      </c>
      <c r="AK1237" s="2">
        <v>19.771333097706101</v>
      </c>
      <c r="AL1237" s="2">
        <v>19.812249456014602</v>
      </c>
      <c r="AM1237" s="2">
        <v>19.934998996339001</v>
      </c>
      <c r="AN1237" s="2">
        <v>19.805505979756699</v>
      </c>
      <c r="AO1237" s="2">
        <v>19.743233031328899</v>
      </c>
      <c r="AP1237" s="2">
        <v>19.9351716550715</v>
      </c>
      <c r="AQ1237" s="2">
        <v>19.804654119508299</v>
      </c>
      <c r="AR1237" s="2">
        <v>19.748722197167702</v>
      </c>
      <c r="AS1237" s="2">
        <v>18.536595513755501</v>
      </c>
      <c r="AT1237" s="2">
        <v>20.088582817136601</v>
      </c>
      <c r="AU1237" s="2">
        <v>19.792939227823599</v>
      </c>
      <c r="AV1237" s="2">
        <v>18.580498361167301</v>
      </c>
      <c r="AW1237" s="2">
        <v>20.6429961633193</v>
      </c>
      <c r="AX1237" s="2">
        <v>18.022029966950001</v>
      </c>
      <c r="AY1237" s="2">
        <v>18.849977703510099</v>
      </c>
      <c r="AZ1237" s="2">
        <v>18.184679732301401</v>
      </c>
      <c r="BA1237" s="2">
        <v>20.555228486494201</v>
      </c>
      <c r="BB1237" s="2">
        <v>19.935109081800899</v>
      </c>
      <c r="BC1237" s="2">
        <v>20.153124269363801</v>
      </c>
      <c r="BD1237" s="2">
        <v>20.386193670971299</v>
      </c>
      <c r="BE1237" s="2">
        <v>18.939594450818301</v>
      </c>
      <c r="BF1237" s="2">
        <v>19.2547869874568</v>
      </c>
      <c r="BG1237" s="2">
        <v>19.2208473040215</v>
      </c>
      <c r="BH1237" s="2">
        <v>19.461935133611298</v>
      </c>
      <c r="BI1237" s="2">
        <v>19.034387951055599</v>
      </c>
      <c r="BJ1237" s="2">
        <v>22.2753109926836</v>
      </c>
      <c r="BK1237" s="2">
        <v>20.693223252989501</v>
      </c>
      <c r="BL1237" s="2">
        <v>19.708877818304501</v>
      </c>
      <c r="BM1237" s="2">
        <v>19.557962866129198</v>
      </c>
      <c r="BN1237" s="2">
        <v>20.733523803657899</v>
      </c>
      <c r="BO1237" s="2">
        <v>20.458953710397498</v>
      </c>
      <c r="BP1237" s="2">
        <v>16.353999485577599</v>
      </c>
      <c r="BQ1237" s="2">
        <v>19.854410332655299</v>
      </c>
      <c r="BR1237" s="2">
        <v>18.606867259185901</v>
      </c>
      <c r="BS1237" s="2">
        <v>19.233906760534001</v>
      </c>
      <c r="BT1237" s="2">
        <v>22.113988921795901</v>
      </c>
      <c r="BU1237" s="2">
        <v>20.289028688936</v>
      </c>
      <c r="BV1237" s="2">
        <v>19.6874436225817</v>
      </c>
      <c r="BW1237" s="2">
        <v>17.920679609214702</v>
      </c>
      <c r="BX1237" s="2">
        <v>19.987899728835</v>
      </c>
      <c r="BY1237" s="2">
        <v>18.950846785097301</v>
      </c>
      <c r="BZ1237" s="2">
        <v>17.703220053162099</v>
      </c>
      <c r="CA1237" s="2">
        <v>19.290079679639</v>
      </c>
      <c r="CB1237" s="2">
        <v>17.566387298750598</v>
      </c>
      <c r="CC1237" s="2">
        <v>19.924380178802</v>
      </c>
      <c r="CD1237" s="2">
        <v>20.363911076565099</v>
      </c>
      <c r="CE1237" s="2">
        <v>20.369034844640701</v>
      </c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</row>
    <row r="1238" spans="1:97">
      <c r="A1238" s="2" t="s">
        <v>11250</v>
      </c>
      <c r="B1238" s="2">
        <v>179.14376999999999</v>
      </c>
      <c r="C1238" s="2">
        <v>9.2149999999999999</v>
      </c>
      <c r="D1238" s="2" t="s">
        <v>146</v>
      </c>
      <c r="E1238" s="2" t="s">
        <v>11251</v>
      </c>
      <c r="F1238" s="2" t="s">
        <v>11252</v>
      </c>
      <c r="G1238" s="2">
        <v>10035</v>
      </c>
      <c r="H1238" s="3" t="str">
        <f>HYPERLINK("https://cloud.oebiotech.com/#/lm/network/10035", "https://cloud.oebiotech.com/#/lm/network/10035")</f>
        <v>https://cloud.oebiotech.com/#/lm/network/10035</v>
      </c>
      <c r="I1238" s="2"/>
      <c r="J1238" s="2">
        <v>98240</v>
      </c>
      <c r="K1238" s="2" t="s">
        <v>11253</v>
      </c>
      <c r="L1238" s="2">
        <v>20526862</v>
      </c>
      <c r="M1238" s="2"/>
      <c r="N1238" s="2"/>
      <c r="O1238" s="2"/>
      <c r="P1238" s="2"/>
      <c r="Q1238" s="2"/>
      <c r="R1238" s="2"/>
      <c r="S1238" s="2"/>
      <c r="T1238" s="2" t="s">
        <v>11254</v>
      </c>
      <c r="U1238" s="2" t="s">
        <v>11255</v>
      </c>
      <c r="V1238" s="2" t="s">
        <v>338</v>
      </c>
      <c r="W1238" s="2" t="s">
        <v>339</v>
      </c>
      <c r="X1238" s="2" t="s">
        <v>340</v>
      </c>
      <c r="Y1238" s="2" t="s">
        <v>341</v>
      </c>
      <c r="Z1238" s="2" t="s">
        <v>341</v>
      </c>
      <c r="AA1238" s="2" t="s">
        <v>342</v>
      </c>
      <c r="AB1238" s="2" t="s">
        <v>8443</v>
      </c>
      <c r="AC1238" s="2">
        <v>47.14</v>
      </c>
      <c r="AD1238" s="2">
        <v>93.17</v>
      </c>
      <c r="AE1238" s="2">
        <v>0</v>
      </c>
      <c r="AF1238" s="2" t="s">
        <v>5614</v>
      </c>
      <c r="AG1238" s="2" t="s">
        <v>993</v>
      </c>
      <c r="AH1238" s="2" t="s">
        <v>11256</v>
      </c>
      <c r="AI1238" s="2">
        <v>-1.1200000000000001</v>
      </c>
      <c r="AJ1238" s="2">
        <v>17.089198243994801</v>
      </c>
      <c r="AK1238" s="2">
        <v>16.973482353928901</v>
      </c>
      <c r="AL1238" s="2">
        <v>17.156764809078702</v>
      </c>
      <c r="AM1238" s="2">
        <v>17.066711172337101</v>
      </c>
      <c r="AN1238" s="2">
        <v>17.230204833771602</v>
      </c>
      <c r="AO1238" s="2">
        <v>16.970258598021001</v>
      </c>
      <c r="AP1238" s="2">
        <v>17.129595553597099</v>
      </c>
      <c r="AQ1238" s="2">
        <v>17.209283242631798</v>
      </c>
      <c r="AR1238" s="2">
        <v>17.321386806605901</v>
      </c>
      <c r="AS1238" s="2">
        <v>15.0885837099434</v>
      </c>
      <c r="AT1238" s="2">
        <v>15.831268147186901</v>
      </c>
      <c r="AU1238" s="2">
        <v>17.372571098731601</v>
      </c>
      <c r="AV1238" s="2">
        <v>17.155440058112301</v>
      </c>
      <c r="AW1238" s="2">
        <v>17.202204862162102</v>
      </c>
      <c r="AX1238" s="2">
        <v>16.241051567596202</v>
      </c>
      <c r="AY1238" s="2">
        <v>17.082261435596202</v>
      </c>
      <c r="AZ1238" s="2">
        <v>16.293733688294399</v>
      </c>
      <c r="BA1238" s="2">
        <v>16.354154664088099</v>
      </c>
      <c r="BB1238" s="2">
        <v>16.972337136743</v>
      </c>
      <c r="BC1238" s="2">
        <v>17.5415324897</v>
      </c>
      <c r="BD1238" s="2">
        <v>17.036386673431299</v>
      </c>
      <c r="BE1238" s="2">
        <v>17.216124585126799</v>
      </c>
      <c r="BF1238" s="2">
        <v>16.7138444002019</v>
      </c>
      <c r="BG1238" s="2">
        <v>16.417692173570799</v>
      </c>
      <c r="BH1238" s="2">
        <v>18.610968188692201</v>
      </c>
      <c r="BI1238" s="2">
        <v>14.970717521894899</v>
      </c>
      <c r="BJ1238" s="2">
        <v>16.4250506396749</v>
      </c>
      <c r="BK1238" s="2">
        <v>17.287976368587699</v>
      </c>
      <c r="BL1238" s="2">
        <v>15.888923717161999</v>
      </c>
      <c r="BM1238" s="2">
        <v>17.001523539408101</v>
      </c>
      <c r="BN1238" s="2">
        <v>17.3355120455501</v>
      </c>
      <c r="BO1238" s="2">
        <v>18.088359688684498</v>
      </c>
      <c r="BP1238" s="2">
        <v>14.8344789508117</v>
      </c>
      <c r="BQ1238" s="2">
        <v>17.299766632523301</v>
      </c>
      <c r="BR1238" s="2">
        <v>16.650816858421699</v>
      </c>
      <c r="BS1238" s="2">
        <v>16.9678476656843</v>
      </c>
      <c r="BT1238" s="2">
        <v>16.990290472800002</v>
      </c>
      <c r="BU1238" s="2">
        <v>16.601117876884501</v>
      </c>
      <c r="BV1238" s="2">
        <v>16.656838913869802</v>
      </c>
      <c r="BW1238" s="2">
        <v>15.0216805485032</v>
      </c>
      <c r="BX1238" s="2">
        <v>16.123006905394099</v>
      </c>
      <c r="BY1238" s="2">
        <v>18.166484355319501</v>
      </c>
      <c r="BZ1238" s="2">
        <v>16.6701418377436</v>
      </c>
      <c r="CA1238" s="2">
        <v>15.7057862594274</v>
      </c>
      <c r="CB1238" s="2">
        <v>16.045779494890901</v>
      </c>
      <c r="CC1238" s="2">
        <v>16.830758680831799</v>
      </c>
      <c r="CD1238" s="2">
        <v>17.389560258027299</v>
      </c>
      <c r="CE1238" s="2">
        <v>17.317210144557599</v>
      </c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</row>
    <row r="1239" spans="1:97">
      <c r="A1239" s="2" t="s">
        <v>11257</v>
      </c>
      <c r="B1239" s="2">
        <v>468.27170000000001</v>
      </c>
      <c r="C1239" s="2">
        <v>8.1389999999999993</v>
      </c>
      <c r="D1239" s="2" t="s">
        <v>84</v>
      </c>
      <c r="E1239" s="2" t="s">
        <v>11258</v>
      </c>
      <c r="F1239" s="2" t="s">
        <v>11259</v>
      </c>
      <c r="G1239" s="2">
        <v>64510</v>
      </c>
      <c r="H1239" s="3" t="str">
        <f>HYPERLINK("https://cloud.oebiotech.com/#/lm/network/64510", "https://cloud.oebiotech.com/#/lm/network/64510")</f>
        <v>https://cloud.oebiotech.com/#/lm/network/64510</v>
      </c>
      <c r="I1239" s="2" t="s">
        <v>11260</v>
      </c>
      <c r="J1239" s="2">
        <v>95818</v>
      </c>
      <c r="K1239" s="2"/>
      <c r="L1239" s="2">
        <v>131753140</v>
      </c>
      <c r="M1239" s="2"/>
      <c r="N1239" s="2"/>
      <c r="O1239" s="2"/>
      <c r="P1239" s="2"/>
      <c r="Q1239" s="2"/>
      <c r="R1239" s="2"/>
      <c r="S1239" s="2"/>
      <c r="T1239" s="2" t="s">
        <v>11261</v>
      </c>
      <c r="U1239" s="2" t="s">
        <v>11262</v>
      </c>
      <c r="V1239" s="2" t="s">
        <v>115</v>
      </c>
      <c r="W1239" s="2" t="s">
        <v>7559</v>
      </c>
      <c r="X1239" s="2" t="s">
        <v>11263</v>
      </c>
      <c r="Y1239" s="2" t="s">
        <v>118</v>
      </c>
      <c r="Z1239" s="2" t="s">
        <v>7561</v>
      </c>
      <c r="AA1239" s="2" t="s">
        <v>11264</v>
      </c>
      <c r="AB1239" s="2" t="s">
        <v>8443</v>
      </c>
      <c r="AC1239" s="2">
        <v>47.14</v>
      </c>
      <c r="AD1239" s="2">
        <v>94.34</v>
      </c>
      <c r="AE1239" s="2">
        <v>0</v>
      </c>
      <c r="AF1239" s="2" t="s">
        <v>11265</v>
      </c>
      <c r="AG1239" s="2" t="s">
        <v>1088</v>
      </c>
      <c r="AH1239" s="2" t="s">
        <v>11266</v>
      </c>
      <c r="AI1239" s="2">
        <v>-1.49</v>
      </c>
      <c r="AJ1239" s="2">
        <v>19.2801057242878</v>
      </c>
      <c r="AK1239" s="2">
        <v>19.384275156314398</v>
      </c>
      <c r="AL1239" s="2">
        <v>19.234250633594701</v>
      </c>
      <c r="AM1239" s="2">
        <v>19.4751314437163</v>
      </c>
      <c r="AN1239" s="2">
        <v>19.5442444031465</v>
      </c>
      <c r="AO1239" s="2">
        <v>19.3745101336185</v>
      </c>
      <c r="AP1239" s="2">
        <v>19.481894641352302</v>
      </c>
      <c r="AQ1239" s="2">
        <v>19.2391489221651</v>
      </c>
      <c r="AR1239" s="2">
        <v>16.8448897423877</v>
      </c>
      <c r="AS1239" s="2">
        <v>14.7441616212725</v>
      </c>
      <c r="AT1239" s="2">
        <v>17.7889934246952</v>
      </c>
      <c r="AU1239" s="2">
        <v>17.464999711778201</v>
      </c>
      <c r="AV1239" s="2">
        <v>17.8996488196175</v>
      </c>
      <c r="AW1239" s="2">
        <v>18.158820253232101</v>
      </c>
      <c r="AX1239" s="2">
        <v>17.883962078986698</v>
      </c>
      <c r="AY1239" s="2">
        <v>18.719423315573501</v>
      </c>
      <c r="AZ1239" s="2">
        <v>17.3561758846331</v>
      </c>
      <c r="BA1239" s="2">
        <v>17.5924201722713</v>
      </c>
      <c r="BB1239" s="2">
        <v>18.017166664896099</v>
      </c>
      <c r="BC1239" s="2">
        <v>17.7733402683299</v>
      </c>
      <c r="BD1239" s="2">
        <v>18.143739438987399</v>
      </c>
      <c r="BE1239" s="2">
        <v>18.116017774557601</v>
      </c>
      <c r="BF1239" s="2">
        <v>18.092274272943602</v>
      </c>
      <c r="BG1239" s="2">
        <v>17.7905674097257</v>
      </c>
      <c r="BH1239" s="2">
        <v>17.361024238859098</v>
      </c>
      <c r="BI1239" s="2">
        <v>17.986435823802399</v>
      </c>
      <c r="BJ1239" s="2">
        <v>18.609560691195</v>
      </c>
      <c r="BK1239" s="2">
        <v>18.195816204222599</v>
      </c>
      <c r="BL1239" s="2">
        <v>18.546436086091301</v>
      </c>
      <c r="BM1239" s="2">
        <v>19.0025612847042</v>
      </c>
      <c r="BN1239" s="2">
        <v>20.305673794140802</v>
      </c>
      <c r="BO1239" s="2">
        <v>20.013163223081499</v>
      </c>
      <c r="BP1239" s="2">
        <v>19.916129455570399</v>
      </c>
      <c r="BQ1239" s="2">
        <v>19.500788712489602</v>
      </c>
      <c r="BR1239" s="2">
        <v>20.228230197932898</v>
      </c>
      <c r="BS1239" s="2">
        <v>20.186050155156501</v>
      </c>
      <c r="BT1239" s="2">
        <v>20.421252130052501</v>
      </c>
      <c r="BU1239" s="2">
        <v>18.422571874513199</v>
      </c>
      <c r="BV1239" s="2">
        <v>20.148545348870599</v>
      </c>
      <c r="BW1239" s="2">
        <v>18.9677788681843</v>
      </c>
      <c r="BX1239" s="2">
        <v>20.340537984124701</v>
      </c>
      <c r="BY1239" s="2">
        <v>20.555796106658999</v>
      </c>
      <c r="BZ1239" s="2">
        <v>18.992422142332</v>
      </c>
      <c r="CA1239" s="2">
        <v>20.271217615373601</v>
      </c>
      <c r="CB1239" s="2">
        <v>17.037042939314802</v>
      </c>
      <c r="CC1239" s="2">
        <v>18.4761242635923</v>
      </c>
      <c r="CD1239" s="2">
        <v>20.345588021589698</v>
      </c>
      <c r="CE1239" s="2">
        <v>20.488856621423299</v>
      </c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</row>
    <row r="1240" spans="1:97">
      <c r="A1240" s="2" t="s">
        <v>11267</v>
      </c>
      <c r="B1240" s="2">
        <v>116.05025999999999</v>
      </c>
      <c r="C1240" s="2">
        <v>3.677</v>
      </c>
      <c r="D1240" s="2" t="s">
        <v>146</v>
      </c>
      <c r="E1240" s="2" t="s">
        <v>11268</v>
      </c>
      <c r="F1240" s="2" t="s">
        <v>11269</v>
      </c>
      <c r="G1240" s="2">
        <v>63432</v>
      </c>
      <c r="H1240" s="3" t="str">
        <f>HYPERLINK("https://cloud.oebiotech.com/#/lm/network/63432", "https://cloud.oebiotech.com/#/lm/network/63432")</f>
        <v>https://cloud.oebiotech.com/#/lm/network/63432</v>
      </c>
      <c r="I1240" s="2" t="s">
        <v>11270</v>
      </c>
      <c r="J1240" s="2">
        <v>94754</v>
      </c>
      <c r="K1240" s="2"/>
      <c r="L1240" s="2">
        <v>20705014</v>
      </c>
      <c r="M1240" s="2"/>
      <c r="N1240" s="2"/>
      <c r="O1240" s="2"/>
      <c r="P1240" s="2"/>
      <c r="Q1240" s="2"/>
      <c r="R1240" s="2"/>
      <c r="S1240" s="2" t="s">
        <v>11271</v>
      </c>
      <c r="T1240" s="2" t="s">
        <v>11272</v>
      </c>
      <c r="U1240" s="2" t="s">
        <v>11273</v>
      </c>
      <c r="V1240" s="2" t="s">
        <v>338</v>
      </c>
      <c r="W1240" s="2" t="s">
        <v>339</v>
      </c>
      <c r="X1240" s="2" t="s">
        <v>340</v>
      </c>
      <c r="Y1240" s="2" t="s">
        <v>341</v>
      </c>
      <c r="Z1240" s="2" t="s">
        <v>341</v>
      </c>
      <c r="AA1240" s="2" t="s">
        <v>342</v>
      </c>
      <c r="AB1240" s="2" t="s">
        <v>8443</v>
      </c>
      <c r="AC1240" s="2">
        <v>47.08</v>
      </c>
      <c r="AD1240" s="2">
        <v>95.32</v>
      </c>
      <c r="AE1240" s="2">
        <v>0</v>
      </c>
      <c r="AF1240" s="2" t="s">
        <v>5614</v>
      </c>
      <c r="AG1240" s="2" t="s">
        <v>993</v>
      </c>
      <c r="AH1240" s="2" t="s">
        <v>8772</v>
      </c>
      <c r="AI1240" s="2">
        <v>-1.98</v>
      </c>
      <c r="AJ1240" s="2">
        <v>19.651549935764599</v>
      </c>
      <c r="AK1240" s="2">
        <v>19.7823223950464</v>
      </c>
      <c r="AL1240" s="2">
        <v>19.775681952730299</v>
      </c>
      <c r="AM1240" s="2">
        <v>19.692068615678998</v>
      </c>
      <c r="AN1240" s="2">
        <v>19.744171428867102</v>
      </c>
      <c r="AO1240" s="2">
        <v>19.7273062307648</v>
      </c>
      <c r="AP1240" s="2">
        <v>19.820723320857599</v>
      </c>
      <c r="AQ1240" s="2">
        <v>19.752622186276302</v>
      </c>
      <c r="AR1240" s="2">
        <v>18.803783770385799</v>
      </c>
      <c r="AS1240" s="2">
        <v>18.850166017182701</v>
      </c>
      <c r="AT1240" s="2">
        <v>19.413175817820701</v>
      </c>
      <c r="AU1240" s="2">
        <v>19.155360179552002</v>
      </c>
      <c r="AV1240" s="2">
        <v>19.531771972561899</v>
      </c>
      <c r="AW1240" s="2">
        <v>19.214069461460401</v>
      </c>
      <c r="AX1240" s="2">
        <v>19.421755949755902</v>
      </c>
      <c r="AY1240" s="2">
        <v>19.672359040124402</v>
      </c>
      <c r="AZ1240" s="2">
        <v>19.440866045768502</v>
      </c>
      <c r="BA1240" s="2">
        <v>19.079954065683701</v>
      </c>
      <c r="BB1240" s="2">
        <v>20.137195247874299</v>
      </c>
      <c r="BC1240" s="2">
        <v>19.792550685067201</v>
      </c>
      <c r="BD1240" s="2">
        <v>19.1975757093021</v>
      </c>
      <c r="BE1240" s="2">
        <v>20.1351225710218</v>
      </c>
      <c r="BF1240" s="2">
        <v>19.635780425037701</v>
      </c>
      <c r="BG1240" s="2">
        <v>19.962929589415101</v>
      </c>
      <c r="BH1240" s="2">
        <v>19.823884810206</v>
      </c>
      <c r="BI1240" s="2">
        <v>19.375688177412801</v>
      </c>
      <c r="BJ1240" s="2">
        <v>19.8626439857956</v>
      </c>
      <c r="BK1240" s="2">
        <v>19.5708341341664</v>
      </c>
      <c r="BL1240" s="2">
        <v>19.331030196771501</v>
      </c>
      <c r="BM1240" s="2">
        <v>20.1809128120229</v>
      </c>
      <c r="BN1240" s="2">
        <v>19.825310778242098</v>
      </c>
      <c r="BO1240" s="2">
        <v>19.539183693565299</v>
      </c>
      <c r="BP1240" s="2">
        <v>19.497067794557601</v>
      </c>
      <c r="BQ1240" s="2">
        <v>19.798434335906801</v>
      </c>
      <c r="BR1240" s="2">
        <v>19.706087257944901</v>
      </c>
      <c r="BS1240" s="2">
        <v>19.435803045757101</v>
      </c>
      <c r="BT1240" s="2">
        <v>19.356301832128999</v>
      </c>
      <c r="BU1240" s="2">
        <v>19.033071410406301</v>
      </c>
      <c r="BV1240" s="2">
        <v>19.8019651077507</v>
      </c>
      <c r="BW1240" s="2">
        <v>19.219896085922201</v>
      </c>
      <c r="BX1240" s="2">
        <v>19.714459802748099</v>
      </c>
      <c r="BY1240" s="2">
        <v>20.0819228876904</v>
      </c>
      <c r="BZ1240" s="2">
        <v>19.8616443064954</v>
      </c>
      <c r="CA1240" s="2">
        <v>19.9119285798667</v>
      </c>
      <c r="CB1240" s="2">
        <v>19.532681691251199</v>
      </c>
      <c r="CC1240" s="2">
        <v>19.1158295641957</v>
      </c>
      <c r="CD1240" s="2">
        <v>19.9596619921962</v>
      </c>
      <c r="CE1240" s="2">
        <v>19.930373133162298</v>
      </c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</row>
    <row r="1241" spans="1:97">
      <c r="A1241" s="2" t="s">
        <v>11274</v>
      </c>
      <c r="B1241" s="2">
        <v>267.01254999999998</v>
      </c>
      <c r="C1241" s="2">
        <v>0.58299999999999996</v>
      </c>
      <c r="D1241" s="2" t="s">
        <v>84</v>
      </c>
      <c r="E1241" s="2" t="s">
        <v>11275</v>
      </c>
      <c r="F1241" s="2" t="s">
        <v>11276</v>
      </c>
      <c r="G1241" s="2">
        <v>56412</v>
      </c>
      <c r="H1241" s="3" t="str">
        <f>HYPERLINK("https://cloud.oebiotech.com/#/lm/network/56412", "https://cloud.oebiotech.com/#/lm/network/56412")</f>
        <v>https://cloud.oebiotech.com/#/lm/network/56412</v>
      </c>
      <c r="I1241" s="2" t="s">
        <v>11277</v>
      </c>
      <c r="J1241" s="2"/>
      <c r="K1241" s="2"/>
      <c r="L1241" s="2">
        <v>25201528</v>
      </c>
      <c r="M1241" s="2" t="s">
        <v>11278</v>
      </c>
      <c r="N1241" s="2" t="s">
        <v>5658</v>
      </c>
      <c r="O1241" s="2" t="s">
        <v>5659</v>
      </c>
      <c r="P1241" s="2">
        <v>15916</v>
      </c>
      <c r="Q1241" s="2"/>
      <c r="R1241" s="2"/>
      <c r="S1241" s="2" t="s">
        <v>11279</v>
      </c>
      <c r="T1241" s="2" t="s">
        <v>11280</v>
      </c>
      <c r="U1241" s="2" t="s">
        <v>11281</v>
      </c>
      <c r="V1241" s="2" t="s">
        <v>115</v>
      </c>
      <c r="W1241" s="2" t="s">
        <v>116</v>
      </c>
      <c r="X1241" s="2" t="s">
        <v>117</v>
      </c>
      <c r="Y1241" s="2" t="s">
        <v>118</v>
      </c>
      <c r="Z1241" s="2" t="s">
        <v>119</v>
      </c>
      <c r="AA1241" s="2" t="s">
        <v>120</v>
      </c>
      <c r="AB1241" s="2" t="s">
        <v>3086</v>
      </c>
      <c r="AC1241" s="2">
        <v>47.07</v>
      </c>
      <c r="AD1241" s="2">
        <v>90.33</v>
      </c>
      <c r="AE1241" s="2">
        <v>0</v>
      </c>
      <c r="AF1241" s="2" t="s">
        <v>5614</v>
      </c>
      <c r="AG1241" s="2" t="s">
        <v>3544</v>
      </c>
      <c r="AH1241" s="2" t="s">
        <v>11282</v>
      </c>
      <c r="AI1241" s="2">
        <v>6.74</v>
      </c>
      <c r="AJ1241" s="2">
        <v>23.260663097529999</v>
      </c>
      <c r="AK1241" s="2">
        <v>23.291300268751701</v>
      </c>
      <c r="AL1241" s="2">
        <v>23.5345492257456</v>
      </c>
      <c r="AM1241" s="2">
        <v>23.2750112305099</v>
      </c>
      <c r="AN1241" s="2">
        <v>23.415009308037199</v>
      </c>
      <c r="AO1241" s="2">
        <v>23.410283021189699</v>
      </c>
      <c r="AP1241" s="2">
        <v>22.979719268577401</v>
      </c>
      <c r="AQ1241" s="2">
        <v>23.2603654967354</v>
      </c>
      <c r="AR1241" s="2">
        <v>22.959570708752199</v>
      </c>
      <c r="AS1241" s="2">
        <v>22.889537586427501</v>
      </c>
      <c r="AT1241" s="2">
        <v>22.910396339904</v>
      </c>
      <c r="AU1241" s="2">
        <v>22.679933063376801</v>
      </c>
      <c r="AV1241" s="2">
        <v>23.2275283277482</v>
      </c>
      <c r="AW1241" s="2">
        <v>23.181426031486399</v>
      </c>
      <c r="AX1241" s="2">
        <v>23.1943662831242</v>
      </c>
      <c r="AY1241" s="2">
        <v>23.4032721204069</v>
      </c>
      <c r="AZ1241" s="2">
        <v>22.9718967836254</v>
      </c>
      <c r="BA1241" s="2">
        <v>22.867589175075398</v>
      </c>
      <c r="BB1241" s="2">
        <v>23.2951017539045</v>
      </c>
      <c r="BC1241" s="2">
        <v>23.3854266489137</v>
      </c>
      <c r="BD1241" s="2">
        <v>23.2477202750344</v>
      </c>
      <c r="BE1241" s="2">
        <v>23.767342237811501</v>
      </c>
      <c r="BF1241" s="2">
        <v>23.123087548467101</v>
      </c>
      <c r="BG1241" s="2">
        <v>23.2833131488457</v>
      </c>
      <c r="BH1241" s="2">
        <v>23.391738783322602</v>
      </c>
      <c r="BI1241" s="2">
        <v>22.953742471108001</v>
      </c>
      <c r="BJ1241" s="2">
        <v>23.332625038181899</v>
      </c>
      <c r="BK1241" s="2">
        <v>23.0613290079968</v>
      </c>
      <c r="BL1241" s="2">
        <v>23.298971018840302</v>
      </c>
      <c r="BM1241" s="2">
        <v>23.605384075139401</v>
      </c>
      <c r="BN1241" s="2">
        <v>23.150595677827798</v>
      </c>
      <c r="BO1241" s="2">
        <v>22.929522428809399</v>
      </c>
      <c r="BP1241" s="2">
        <v>23.034719096305999</v>
      </c>
      <c r="BQ1241" s="2">
        <v>22.992827726402801</v>
      </c>
      <c r="BR1241" s="2">
        <v>22.709895054935298</v>
      </c>
      <c r="BS1241" s="2">
        <v>23.238476861077999</v>
      </c>
      <c r="BT1241" s="2">
        <v>23.517797678615299</v>
      </c>
      <c r="BU1241" s="2">
        <v>23.3281695571977</v>
      </c>
      <c r="BV1241" s="2">
        <v>23.454571463070302</v>
      </c>
      <c r="BW1241" s="2">
        <v>23.192154172929602</v>
      </c>
      <c r="BX1241" s="2">
        <v>23.226762130480299</v>
      </c>
      <c r="BY1241" s="2">
        <v>24.252897481605299</v>
      </c>
      <c r="BZ1241" s="2">
        <v>22.853928698462202</v>
      </c>
      <c r="CA1241" s="2">
        <v>22.913660604298499</v>
      </c>
      <c r="CB1241" s="2">
        <v>22.944423799390002</v>
      </c>
      <c r="CC1241" s="2">
        <v>22.946068927992901</v>
      </c>
      <c r="CD1241" s="2">
        <v>23.459242213906499</v>
      </c>
      <c r="CE1241" s="2">
        <v>23.2708309172999</v>
      </c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</row>
    <row r="1242" spans="1:97">
      <c r="A1242" s="2" t="s">
        <v>11283</v>
      </c>
      <c r="B1242" s="2">
        <v>207.05046999999999</v>
      </c>
      <c r="C1242" s="2">
        <v>0.65800000000000003</v>
      </c>
      <c r="D1242" s="2" t="s">
        <v>84</v>
      </c>
      <c r="E1242" s="2" t="s">
        <v>11284</v>
      </c>
      <c r="F1242" s="2"/>
      <c r="G1242" s="2">
        <v>595576</v>
      </c>
      <c r="H1242" s="3" t="str">
        <f>HYPERLINK("https://cloud.oebiotech.com/#/lm/network/595576", "https://cloud.oebiotech.com/#/lm/network/595576")</f>
        <v>https://cloud.oebiotech.com/#/lm/network/595576</v>
      </c>
      <c r="I1242" s="2"/>
      <c r="J1242" s="2"/>
      <c r="K1242" s="2"/>
      <c r="L1242" s="2">
        <v>145997440</v>
      </c>
      <c r="M1242" s="2"/>
      <c r="N1242" s="2"/>
      <c r="O1242" s="2"/>
      <c r="P1242" s="2"/>
      <c r="Q1242" s="2"/>
      <c r="R1242" s="2"/>
      <c r="S1242" s="2"/>
      <c r="T1242" s="2" t="s">
        <v>11285</v>
      </c>
      <c r="U1242" s="2" t="s">
        <v>11286</v>
      </c>
      <c r="V1242" s="2" t="s">
        <v>338</v>
      </c>
      <c r="W1242" s="2" t="s">
        <v>339</v>
      </c>
      <c r="X1242" s="2" t="s">
        <v>663</v>
      </c>
      <c r="Y1242" s="2" t="s">
        <v>341</v>
      </c>
      <c r="Z1242" s="2" t="s">
        <v>341</v>
      </c>
      <c r="AA1242" s="2" t="s">
        <v>664</v>
      </c>
      <c r="AB1242" s="2" t="s">
        <v>8443</v>
      </c>
      <c r="AC1242" s="2">
        <v>47.07</v>
      </c>
      <c r="AD1242" s="2">
        <v>94.97</v>
      </c>
      <c r="AE1242" s="2">
        <v>0</v>
      </c>
      <c r="AF1242" s="2" t="s">
        <v>11287</v>
      </c>
      <c r="AG1242" s="2" t="s">
        <v>1088</v>
      </c>
      <c r="AH1242" s="2" t="s">
        <v>11288</v>
      </c>
      <c r="AI1242" s="2">
        <v>0</v>
      </c>
      <c r="AJ1242" s="2">
        <v>21.069382193274301</v>
      </c>
      <c r="AK1242" s="2">
        <v>21.429206281192101</v>
      </c>
      <c r="AL1242" s="2">
        <v>21.594765641380899</v>
      </c>
      <c r="AM1242" s="2">
        <v>21.173502912355801</v>
      </c>
      <c r="AN1242" s="2">
        <v>21.8376014066843</v>
      </c>
      <c r="AO1242" s="2">
        <v>21.544868915168902</v>
      </c>
      <c r="AP1242" s="2">
        <v>20.657912509011499</v>
      </c>
      <c r="AQ1242" s="2">
        <v>21.152814734649699</v>
      </c>
      <c r="AR1242" s="2">
        <v>20.511966450224602</v>
      </c>
      <c r="AS1242" s="2">
        <v>20.6097825819161</v>
      </c>
      <c r="AT1242" s="2">
        <v>20.361038111628901</v>
      </c>
      <c r="AU1242" s="2">
        <v>21.047945237517201</v>
      </c>
      <c r="AV1242" s="2">
        <v>21.236764360775801</v>
      </c>
      <c r="AW1242" s="2">
        <v>21.324230076428499</v>
      </c>
      <c r="AX1242" s="2">
        <v>20.869817424730901</v>
      </c>
      <c r="AY1242" s="2">
        <v>21.7109950526626</v>
      </c>
      <c r="AZ1242" s="2">
        <v>21.095142120150399</v>
      </c>
      <c r="BA1242" s="2">
        <v>20.445989808267299</v>
      </c>
      <c r="BB1242" s="2">
        <v>22.095195093609298</v>
      </c>
      <c r="BC1242" s="2">
        <v>21.875385590598999</v>
      </c>
      <c r="BD1242" s="2">
        <v>20.288793691184502</v>
      </c>
      <c r="BE1242" s="2">
        <v>21.065173119889302</v>
      </c>
      <c r="BF1242" s="2">
        <v>20.911290707187899</v>
      </c>
      <c r="BG1242" s="2">
        <v>21.1521901110799</v>
      </c>
      <c r="BH1242" s="2">
        <v>21.545828919775101</v>
      </c>
      <c r="BI1242" s="2">
        <v>21.255511365418801</v>
      </c>
      <c r="BJ1242" s="2">
        <v>21.485187122408</v>
      </c>
      <c r="BK1242" s="2">
        <v>20.607647421819198</v>
      </c>
      <c r="BL1242" s="2">
        <v>20.097286095420301</v>
      </c>
      <c r="BM1242" s="2">
        <v>22.1411049319812</v>
      </c>
      <c r="BN1242" s="2">
        <v>21.355133913305199</v>
      </c>
      <c r="BO1242" s="2">
        <v>19.951913295106198</v>
      </c>
      <c r="BP1242" s="2">
        <v>20.9587070469995</v>
      </c>
      <c r="BQ1242" s="2">
        <v>21.517980341749102</v>
      </c>
      <c r="BR1242" s="2">
        <v>21.6070761507474</v>
      </c>
      <c r="BS1242" s="2">
        <v>20.538224480537099</v>
      </c>
      <c r="BT1242" s="2">
        <v>20.546725026242498</v>
      </c>
      <c r="BU1242" s="2">
        <v>21.2907795663338</v>
      </c>
      <c r="BV1242" s="2">
        <v>21.132740656551402</v>
      </c>
      <c r="BW1242" s="2">
        <v>21.0816143794972</v>
      </c>
      <c r="BX1242" s="2">
        <v>21.661391590573899</v>
      </c>
      <c r="BY1242" s="2">
        <v>21.585018465083401</v>
      </c>
      <c r="BZ1242" s="2">
        <v>21.757446819313898</v>
      </c>
      <c r="CA1242" s="2">
        <v>21.272973672896399</v>
      </c>
      <c r="CB1242" s="2">
        <v>20.623992160671801</v>
      </c>
      <c r="CC1242" s="2">
        <v>20.7950487248232</v>
      </c>
      <c r="CD1242" s="2">
        <v>20.9053704406445</v>
      </c>
      <c r="CE1242" s="2">
        <v>20.660531821054199</v>
      </c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</row>
    <row r="1243" spans="1:97">
      <c r="A1243" s="2" t="s">
        <v>11289</v>
      </c>
      <c r="B1243" s="2">
        <v>156.01213000000001</v>
      </c>
      <c r="C1243" s="2">
        <v>5.56</v>
      </c>
      <c r="D1243" s="2" t="s">
        <v>146</v>
      </c>
      <c r="E1243" s="2" t="s">
        <v>11290</v>
      </c>
      <c r="F1243" s="2" t="s">
        <v>11291</v>
      </c>
      <c r="G1243" s="2">
        <v>200633</v>
      </c>
      <c r="H1243" s="3" t="str">
        <f>HYPERLINK("https://cloud.oebiotech.com/#/lm/network/200633", "https://cloud.oebiotech.com/#/lm/network/200633")</f>
        <v>https://cloud.oebiotech.com/#/lm/network/200633</v>
      </c>
      <c r="I1243" s="2" t="s">
        <v>11292</v>
      </c>
      <c r="J1243" s="2">
        <v>346456</v>
      </c>
      <c r="K1243" s="2"/>
      <c r="L1243" s="2">
        <v>17523</v>
      </c>
      <c r="M1243" s="2"/>
      <c r="N1243" s="2"/>
      <c r="O1243" s="2"/>
      <c r="P1243" s="2">
        <v>45223</v>
      </c>
      <c r="Q1243" s="2"/>
      <c r="R1243" s="2"/>
      <c r="S1243" s="2"/>
      <c r="T1243" s="2" t="s">
        <v>11293</v>
      </c>
      <c r="U1243" s="2" t="s">
        <v>11294</v>
      </c>
      <c r="V1243" s="2" t="s">
        <v>553</v>
      </c>
      <c r="W1243" s="2" t="s">
        <v>2447</v>
      </c>
      <c r="X1243" s="2" t="s">
        <v>6211</v>
      </c>
      <c r="Y1243" s="2" t="s">
        <v>556</v>
      </c>
      <c r="Z1243" s="2" t="s">
        <v>2449</v>
      </c>
      <c r="AA1243" s="2" t="s">
        <v>6212</v>
      </c>
      <c r="AB1243" s="2" t="s">
        <v>5118</v>
      </c>
      <c r="AC1243" s="2">
        <v>47.06</v>
      </c>
      <c r="AD1243" s="2">
        <v>93.43</v>
      </c>
      <c r="AE1243" s="2">
        <v>62.06</v>
      </c>
      <c r="AF1243" s="2" t="s">
        <v>11295</v>
      </c>
      <c r="AG1243" s="2" t="s">
        <v>157</v>
      </c>
      <c r="AH1243" s="2" t="s">
        <v>11296</v>
      </c>
      <c r="AI1243" s="2">
        <v>2.56</v>
      </c>
      <c r="AJ1243" s="2">
        <v>19.337803041908199</v>
      </c>
      <c r="AK1243" s="2">
        <v>19.190005434464101</v>
      </c>
      <c r="AL1243" s="2">
        <v>19.4464528863782</v>
      </c>
      <c r="AM1243" s="2">
        <v>19.564541206465002</v>
      </c>
      <c r="AN1243" s="2">
        <v>19.308778583206099</v>
      </c>
      <c r="AO1243" s="2">
        <v>19.3936060578725</v>
      </c>
      <c r="AP1243" s="2">
        <v>19.284199336198199</v>
      </c>
      <c r="AQ1243" s="2">
        <v>19.138113001569799</v>
      </c>
      <c r="AR1243" s="2">
        <v>19.736755974738699</v>
      </c>
      <c r="AS1243" s="2">
        <v>19.4479298409038</v>
      </c>
      <c r="AT1243" s="2">
        <v>20.122096024533199</v>
      </c>
      <c r="AU1243" s="2">
        <v>19.638330076033199</v>
      </c>
      <c r="AV1243" s="2">
        <v>16.856664669162601</v>
      </c>
      <c r="AW1243" s="2">
        <v>18.491151028408002</v>
      </c>
      <c r="AX1243" s="2">
        <v>20.393046471186398</v>
      </c>
      <c r="AY1243" s="2">
        <v>21.014390581342099</v>
      </c>
      <c r="AZ1243" s="2">
        <v>17.310818485934799</v>
      </c>
      <c r="BA1243" s="2">
        <v>18.215032256193201</v>
      </c>
      <c r="BB1243" s="2">
        <v>20.1679103741833</v>
      </c>
      <c r="BC1243" s="2">
        <v>15.7404229827888</v>
      </c>
      <c r="BD1243" s="2">
        <v>19.1132054958696</v>
      </c>
      <c r="BE1243" s="2">
        <v>20.003139928146901</v>
      </c>
      <c r="BF1243" s="2">
        <v>9.6233145402724691</v>
      </c>
      <c r="BG1243" s="2">
        <v>18.104349714438801</v>
      </c>
      <c r="BH1243" s="2">
        <v>19.819465929415401</v>
      </c>
      <c r="BI1243" s="2">
        <v>17.200918331643901</v>
      </c>
      <c r="BJ1243" s="2">
        <v>20.159640503066701</v>
      </c>
      <c r="BK1243" s="2">
        <v>18.453239280521199</v>
      </c>
      <c r="BL1243" s="2">
        <v>19.296055681193899</v>
      </c>
      <c r="BM1243" s="2">
        <v>22.242961702713501</v>
      </c>
      <c r="BN1243" s="2">
        <v>9.6233145402724691</v>
      </c>
      <c r="BO1243" s="2">
        <v>17.898456196629098</v>
      </c>
      <c r="BP1243" s="2">
        <v>18.475606190657999</v>
      </c>
      <c r="BQ1243" s="2">
        <v>9.6233145402724691</v>
      </c>
      <c r="BR1243" s="2">
        <v>9.6233145402724691</v>
      </c>
      <c r="BS1243" s="2">
        <v>20.559584561240399</v>
      </c>
      <c r="BT1243" s="2">
        <v>9.6233145402724691</v>
      </c>
      <c r="BU1243" s="2">
        <v>9.6233145402724691</v>
      </c>
      <c r="BV1243" s="2">
        <v>13.574786267979899</v>
      </c>
      <c r="BW1243" s="2">
        <v>9.6233145402724691</v>
      </c>
      <c r="BX1243" s="2">
        <v>17.985064980960299</v>
      </c>
      <c r="BY1243" s="2">
        <v>20.205394794554799</v>
      </c>
      <c r="BZ1243" s="2">
        <v>9.6233145402724691</v>
      </c>
      <c r="CA1243" s="2">
        <v>16.742881494831799</v>
      </c>
      <c r="CB1243" s="2">
        <v>18.096752981506</v>
      </c>
      <c r="CC1243" s="2">
        <v>16.091284546721599</v>
      </c>
      <c r="CD1243" s="2">
        <v>20.096945562257801</v>
      </c>
      <c r="CE1243" s="2">
        <v>9.6233145402724691</v>
      </c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</row>
    <row r="1244" spans="1:97">
      <c r="A1244" s="2" t="s">
        <v>11297</v>
      </c>
      <c r="B1244" s="2">
        <v>316.04088999999999</v>
      </c>
      <c r="C1244" s="2">
        <v>1.149</v>
      </c>
      <c r="D1244" s="2" t="s">
        <v>146</v>
      </c>
      <c r="E1244" s="2" t="s">
        <v>11298</v>
      </c>
      <c r="F1244" s="2" t="s">
        <v>11299</v>
      </c>
      <c r="G1244" s="2">
        <v>57817</v>
      </c>
      <c r="H1244" s="3" t="str">
        <f>HYPERLINK("https://cloud.oebiotech.com/#/lm/network/57817", "https://cloud.oebiotech.com/#/lm/network/57817")</f>
        <v>https://cloud.oebiotech.com/#/lm/network/57817</v>
      </c>
      <c r="I1244" s="2" t="s">
        <v>11300</v>
      </c>
      <c r="J1244" s="2">
        <v>89404</v>
      </c>
      <c r="K1244" s="2"/>
      <c r="L1244" s="2">
        <v>100978913</v>
      </c>
      <c r="M1244" s="2"/>
      <c r="N1244" s="2"/>
      <c r="O1244" s="2"/>
      <c r="P1244" s="2"/>
      <c r="Q1244" s="2"/>
      <c r="R1244" s="2"/>
      <c r="S1244" s="2"/>
      <c r="T1244" s="2" t="s">
        <v>11301</v>
      </c>
      <c r="U1244" s="2" t="s">
        <v>11302</v>
      </c>
      <c r="V1244" s="2" t="s">
        <v>115</v>
      </c>
      <c r="W1244" s="2" t="s">
        <v>116</v>
      </c>
      <c r="X1244" s="2" t="s">
        <v>117</v>
      </c>
      <c r="Y1244" s="2" t="s">
        <v>118</v>
      </c>
      <c r="Z1244" s="2" t="s">
        <v>119</v>
      </c>
      <c r="AA1244" s="2" t="s">
        <v>120</v>
      </c>
      <c r="AB1244" s="2" t="s">
        <v>5118</v>
      </c>
      <c r="AC1244" s="2">
        <v>47.03</v>
      </c>
      <c r="AD1244" s="2">
        <v>92.23</v>
      </c>
      <c r="AE1244" s="2">
        <v>71.150000000000006</v>
      </c>
      <c r="AF1244" s="2" t="s">
        <v>11303</v>
      </c>
      <c r="AG1244" s="2" t="s">
        <v>157</v>
      </c>
      <c r="AH1244" s="2" t="s">
        <v>11304</v>
      </c>
      <c r="AI1244" s="2">
        <v>-3.8</v>
      </c>
      <c r="AJ1244" s="2">
        <v>20.057306957345698</v>
      </c>
      <c r="AK1244" s="2">
        <v>20.281619337879299</v>
      </c>
      <c r="AL1244" s="2">
        <v>20.324766937703401</v>
      </c>
      <c r="AM1244" s="2">
        <v>20.311716534447701</v>
      </c>
      <c r="AN1244" s="2">
        <v>20.1304989103966</v>
      </c>
      <c r="AO1244" s="2">
        <v>20.207268897688401</v>
      </c>
      <c r="AP1244" s="2">
        <v>20.3444319236302</v>
      </c>
      <c r="AQ1244" s="2">
        <v>20.1942667519703</v>
      </c>
      <c r="AR1244" s="2">
        <v>19.650972798646201</v>
      </c>
      <c r="AS1244" s="2">
        <v>19.594991891422101</v>
      </c>
      <c r="AT1244" s="2">
        <v>19.825001984942599</v>
      </c>
      <c r="AU1244" s="2">
        <v>20.472195196520001</v>
      </c>
      <c r="AV1244" s="2">
        <v>20.126191828530299</v>
      </c>
      <c r="AW1244" s="2">
        <v>20.1513986583339</v>
      </c>
      <c r="AX1244" s="2">
        <v>19.934234038155601</v>
      </c>
      <c r="AY1244" s="2">
        <v>20.380935736851001</v>
      </c>
      <c r="AZ1244" s="2">
        <v>20.0904096372712</v>
      </c>
      <c r="BA1244" s="2">
        <v>20.320245261057501</v>
      </c>
      <c r="BB1244" s="2">
        <v>20.4753032225284</v>
      </c>
      <c r="BC1244" s="2">
        <v>19.9879590827017</v>
      </c>
      <c r="BD1244" s="2">
        <v>19.549921414177302</v>
      </c>
      <c r="BE1244" s="2">
        <v>20.529840615849398</v>
      </c>
      <c r="BF1244" s="2">
        <v>20.2218444611478</v>
      </c>
      <c r="BG1244" s="2">
        <v>20.224392315087801</v>
      </c>
      <c r="BH1244" s="2">
        <v>20.5917789721688</v>
      </c>
      <c r="BI1244" s="2">
        <v>19.933130609354802</v>
      </c>
      <c r="BJ1244" s="2">
        <v>20.135828040566299</v>
      </c>
      <c r="BK1244" s="2">
        <v>20.099520320692601</v>
      </c>
      <c r="BL1244" s="2">
        <v>20.110539294420398</v>
      </c>
      <c r="BM1244" s="2">
        <v>21.267930226270799</v>
      </c>
      <c r="BN1244" s="2">
        <v>20.636014256210601</v>
      </c>
      <c r="BO1244" s="2">
        <v>20.447596246533799</v>
      </c>
      <c r="BP1244" s="2">
        <v>20.029061451149499</v>
      </c>
      <c r="BQ1244" s="2">
        <v>20.4010887317609</v>
      </c>
      <c r="BR1244" s="2">
        <v>20.024428185513798</v>
      </c>
      <c r="BS1244" s="2">
        <v>20.500908987055499</v>
      </c>
      <c r="BT1244" s="2">
        <v>19.503449404899801</v>
      </c>
      <c r="BU1244" s="2">
        <v>19.519259356506499</v>
      </c>
      <c r="BV1244" s="2">
        <v>20.2488544475721</v>
      </c>
      <c r="BW1244" s="2">
        <v>19.9398333932367</v>
      </c>
      <c r="BX1244" s="2">
        <v>20.3102598413154</v>
      </c>
      <c r="BY1244" s="2">
        <v>20.081812664087</v>
      </c>
      <c r="BZ1244" s="2">
        <v>20.959554181890802</v>
      </c>
      <c r="CA1244" s="2">
        <v>20.509416661260101</v>
      </c>
      <c r="CB1244" s="2">
        <v>20.061341946691901</v>
      </c>
      <c r="CC1244" s="2">
        <v>19.738160194502999</v>
      </c>
      <c r="CD1244" s="2">
        <v>20.424802288513199</v>
      </c>
      <c r="CE1244" s="2">
        <v>20.036026182304798</v>
      </c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</row>
    <row r="1245" spans="1:97">
      <c r="A1245" s="2" t="s">
        <v>11305</v>
      </c>
      <c r="B1245" s="2">
        <v>212.99928</v>
      </c>
      <c r="C1245" s="2">
        <v>0.78400000000000003</v>
      </c>
      <c r="D1245" s="2" t="s">
        <v>84</v>
      </c>
      <c r="E1245" s="2" t="s">
        <v>11306</v>
      </c>
      <c r="F1245" s="2" t="s">
        <v>11307</v>
      </c>
      <c r="G1245" s="2">
        <v>212831</v>
      </c>
      <c r="H1245" s="3" t="str">
        <f>HYPERLINK("https://cloud.oebiotech.com/#/lm/network/212831", "https://cloud.oebiotech.com/#/lm/network/212831")</f>
        <v>https://cloud.oebiotech.com/#/lm/network/212831</v>
      </c>
      <c r="I1245" s="2" t="s">
        <v>11308</v>
      </c>
      <c r="J1245" s="2"/>
      <c r="K1245" s="2"/>
      <c r="L1245" s="2">
        <v>9859390</v>
      </c>
      <c r="M1245" s="2"/>
      <c r="N1245" s="2"/>
      <c r="O1245" s="2"/>
      <c r="P1245" s="2"/>
      <c r="Q1245" s="2"/>
      <c r="R1245" s="2"/>
      <c r="S1245" s="2"/>
      <c r="T1245" s="2" t="s">
        <v>11309</v>
      </c>
      <c r="U1245" s="2" t="s">
        <v>11310</v>
      </c>
      <c r="V1245" s="2" t="s">
        <v>115</v>
      </c>
      <c r="W1245" s="2" t="s">
        <v>116</v>
      </c>
      <c r="X1245" s="2" t="s">
        <v>1642</v>
      </c>
      <c r="Y1245" s="2" t="s">
        <v>118</v>
      </c>
      <c r="Z1245" s="2" t="s">
        <v>119</v>
      </c>
      <c r="AA1245" s="2" t="s">
        <v>1643</v>
      </c>
      <c r="AB1245" s="2" t="s">
        <v>3086</v>
      </c>
      <c r="AC1245" s="2">
        <v>47.03</v>
      </c>
      <c r="AD1245" s="2">
        <v>72.8</v>
      </c>
      <c r="AE1245" s="2">
        <v>0</v>
      </c>
      <c r="AF1245" s="2" t="s">
        <v>5614</v>
      </c>
      <c r="AG1245" s="2" t="s">
        <v>1578</v>
      </c>
      <c r="AH1245" s="2" t="s">
        <v>11311</v>
      </c>
      <c r="AI1245" s="2">
        <v>6.1</v>
      </c>
      <c r="AJ1245" s="2">
        <v>22.281547082781099</v>
      </c>
      <c r="AK1245" s="2">
        <v>21.699646936568701</v>
      </c>
      <c r="AL1245" s="2">
        <v>21.97600144682</v>
      </c>
      <c r="AM1245" s="2">
        <v>21.7447723700237</v>
      </c>
      <c r="AN1245" s="2">
        <v>22.274756704321799</v>
      </c>
      <c r="AO1245" s="2">
        <v>22.194101939362898</v>
      </c>
      <c r="AP1245" s="2">
        <v>21.8853121710324</v>
      </c>
      <c r="AQ1245" s="2">
        <v>21.926318170382402</v>
      </c>
      <c r="AR1245" s="2">
        <v>21.383145788392799</v>
      </c>
      <c r="AS1245" s="2">
        <v>21.286643577897198</v>
      </c>
      <c r="AT1245" s="2">
        <v>21.824068408229</v>
      </c>
      <c r="AU1245" s="2">
        <v>20.2578096283493</v>
      </c>
      <c r="AV1245" s="2">
        <v>21.140796856970201</v>
      </c>
      <c r="AW1245" s="2">
        <v>21.902459998226</v>
      </c>
      <c r="AX1245" s="2">
        <v>22.492787317852699</v>
      </c>
      <c r="AY1245" s="2">
        <v>22.0673814151071</v>
      </c>
      <c r="AZ1245" s="2">
        <v>20.973588974309699</v>
      </c>
      <c r="BA1245" s="2">
        <v>21.682776177605</v>
      </c>
      <c r="BB1245" s="2">
        <v>21.089236766549899</v>
      </c>
      <c r="BC1245" s="2">
        <v>21.173464531952</v>
      </c>
      <c r="BD1245" s="2">
        <v>21.167847245808002</v>
      </c>
      <c r="BE1245" s="2">
        <v>22.4412165646674</v>
      </c>
      <c r="BF1245" s="2">
        <v>21.669276095011</v>
      </c>
      <c r="BG1245" s="2">
        <v>22.260539811846201</v>
      </c>
      <c r="BH1245" s="2">
        <v>21.884706178667901</v>
      </c>
      <c r="BI1245" s="2">
        <v>22.1019648511061</v>
      </c>
      <c r="BJ1245" s="2">
        <v>22.074368810012398</v>
      </c>
      <c r="BK1245" s="2">
        <v>21.731315716005099</v>
      </c>
      <c r="BL1245" s="2">
        <v>21.3497890227273</v>
      </c>
      <c r="BM1245" s="2">
        <v>20.352750399140501</v>
      </c>
      <c r="BN1245" s="2">
        <v>22.241713043151201</v>
      </c>
      <c r="BO1245" s="2">
        <v>20.957970311967799</v>
      </c>
      <c r="BP1245" s="2">
        <v>22.283151443206702</v>
      </c>
      <c r="BQ1245" s="2">
        <v>21.923404993604699</v>
      </c>
      <c r="BR1245" s="2">
        <v>21.735753402609902</v>
      </c>
      <c r="BS1245" s="2">
        <v>22.1418055656017</v>
      </c>
      <c r="BT1245" s="2">
        <v>21.417553941098902</v>
      </c>
      <c r="BU1245" s="2">
        <v>22.053255575863901</v>
      </c>
      <c r="BV1245" s="2">
        <v>21.4081086724415</v>
      </c>
      <c r="BW1245" s="2">
        <v>20.899576618003799</v>
      </c>
      <c r="BX1245" s="2">
        <v>21.137399042069799</v>
      </c>
      <c r="BY1245" s="2">
        <v>22.974518461344299</v>
      </c>
      <c r="BZ1245" s="2">
        <v>20.912125860801499</v>
      </c>
      <c r="CA1245" s="2">
        <v>21.454899048346999</v>
      </c>
      <c r="CB1245" s="2">
        <v>21.660570045558998</v>
      </c>
      <c r="CC1245" s="2">
        <v>21.2518430924558</v>
      </c>
      <c r="CD1245" s="2">
        <v>22.624143582517501</v>
      </c>
      <c r="CE1245" s="2">
        <v>21.2009836860672</v>
      </c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</row>
    <row r="1246" spans="1:97">
      <c r="A1246" s="2" t="s">
        <v>11312</v>
      </c>
      <c r="B1246" s="2">
        <v>277.07312999999999</v>
      </c>
      <c r="C1246" s="2">
        <v>0.83299999999999996</v>
      </c>
      <c r="D1246" s="2" t="s">
        <v>146</v>
      </c>
      <c r="E1246" s="2" t="s">
        <v>11313</v>
      </c>
      <c r="F1246" s="2" t="s">
        <v>11314</v>
      </c>
      <c r="G1246" s="2">
        <v>266148</v>
      </c>
      <c r="H1246" s="3" t="str">
        <f>HYPERLINK("https://cloud.oebiotech.com/#/lm/network/266148", "https://cloud.oebiotech.com/#/lm/network/266148")</f>
        <v>https://cloud.oebiotech.com/#/lm/network/266148</v>
      </c>
      <c r="I1246" s="2"/>
      <c r="J1246" s="2">
        <v>23757</v>
      </c>
      <c r="K1246" s="2"/>
      <c r="L1246" s="2">
        <v>435727</v>
      </c>
      <c r="M1246" s="2"/>
      <c r="N1246" s="2"/>
      <c r="O1246" s="2"/>
      <c r="P1246" s="2"/>
      <c r="Q1246" s="2"/>
      <c r="R1246" s="2"/>
      <c r="S1246" s="2"/>
      <c r="T1246" s="2" t="s">
        <v>11315</v>
      </c>
      <c r="U1246" s="2" t="s">
        <v>11316</v>
      </c>
      <c r="V1246" s="2" t="s">
        <v>115</v>
      </c>
      <c r="W1246" s="2" t="s">
        <v>116</v>
      </c>
      <c r="X1246" s="2" t="s">
        <v>117</v>
      </c>
      <c r="Y1246" s="2" t="s">
        <v>118</v>
      </c>
      <c r="Z1246" s="2" t="s">
        <v>119</v>
      </c>
      <c r="AA1246" s="2" t="s">
        <v>120</v>
      </c>
      <c r="AB1246" s="2" t="s">
        <v>3086</v>
      </c>
      <c r="AC1246" s="2">
        <v>47.01</v>
      </c>
      <c r="AD1246" s="2">
        <v>75.11</v>
      </c>
      <c r="AE1246" s="2">
        <v>31.178571428571399</v>
      </c>
      <c r="AF1246" s="2" t="s">
        <v>11317</v>
      </c>
      <c r="AG1246" s="2" t="s">
        <v>4062</v>
      </c>
      <c r="AH1246" s="2" t="s">
        <v>11318</v>
      </c>
      <c r="AI1246" s="2">
        <v>-7.94</v>
      </c>
      <c r="AJ1246" s="2">
        <v>22.258308711733999</v>
      </c>
      <c r="AK1246" s="2">
        <v>22.492337887924901</v>
      </c>
      <c r="AL1246" s="2">
        <v>22.4708300966625</v>
      </c>
      <c r="AM1246" s="2">
        <v>22.030820111695999</v>
      </c>
      <c r="AN1246" s="2">
        <v>22.4767170249592</v>
      </c>
      <c r="AO1246" s="2">
        <v>22.688361886128298</v>
      </c>
      <c r="AP1246" s="2">
        <v>22.2451891770584</v>
      </c>
      <c r="AQ1246" s="2">
        <v>21.931066485407499</v>
      </c>
      <c r="AR1246" s="2">
        <v>21.271360897451601</v>
      </c>
      <c r="AS1246" s="2">
        <v>21.493555253870699</v>
      </c>
      <c r="AT1246" s="2">
        <v>22.287880764919802</v>
      </c>
      <c r="AU1246" s="2">
        <v>22.112172418127699</v>
      </c>
      <c r="AV1246" s="2">
        <v>22.3121396811149</v>
      </c>
      <c r="AW1246" s="2">
        <v>22.190276340556299</v>
      </c>
      <c r="AX1246" s="2">
        <v>21.718157287001901</v>
      </c>
      <c r="AY1246" s="2">
        <v>21.9776226932293</v>
      </c>
      <c r="AZ1246" s="2">
        <v>22.0478273958371</v>
      </c>
      <c r="BA1246" s="2">
        <v>21.616304400013501</v>
      </c>
      <c r="BB1246" s="2">
        <v>21.9257768304909</v>
      </c>
      <c r="BC1246" s="2">
        <v>22.728461404063701</v>
      </c>
      <c r="BD1246" s="2">
        <v>23.012819072150702</v>
      </c>
      <c r="BE1246" s="2">
        <v>23.070480551157001</v>
      </c>
      <c r="BF1246" s="2">
        <v>22.228166553686702</v>
      </c>
      <c r="BG1246" s="2">
        <v>22.446233806964401</v>
      </c>
      <c r="BH1246" s="2">
        <v>21.6831310605155</v>
      </c>
      <c r="BI1246" s="2">
        <v>22.3911611653851</v>
      </c>
      <c r="BJ1246" s="2">
        <v>22.430460234135001</v>
      </c>
      <c r="BK1246" s="2">
        <v>22.360513459341899</v>
      </c>
      <c r="BL1246" s="2">
        <v>21.773231441255</v>
      </c>
      <c r="BM1246" s="2">
        <v>22.221065085651201</v>
      </c>
      <c r="BN1246" s="2">
        <v>21.9312913324428</v>
      </c>
      <c r="BO1246" s="2">
        <v>21.8138630449319</v>
      </c>
      <c r="BP1246" s="2">
        <v>22.152986138391402</v>
      </c>
      <c r="BQ1246" s="2">
        <v>21.235397604244099</v>
      </c>
      <c r="BR1246" s="2">
        <v>21.6322113868742</v>
      </c>
      <c r="BS1246" s="2">
        <v>22.150645857451501</v>
      </c>
      <c r="BT1246" s="2">
        <v>22.153967035540202</v>
      </c>
      <c r="BU1246" s="2">
        <v>21.971104449932401</v>
      </c>
      <c r="BV1246" s="2">
        <v>22.188630251390901</v>
      </c>
      <c r="BW1246" s="2">
        <v>22.9129663531719</v>
      </c>
      <c r="BX1246" s="2">
        <v>21.979907927005002</v>
      </c>
      <c r="BY1246" s="2">
        <v>23.0564674916358</v>
      </c>
      <c r="BZ1246" s="2">
        <v>22.5610809897236</v>
      </c>
      <c r="CA1246" s="2">
        <v>23.673193549956</v>
      </c>
      <c r="CB1246" s="2">
        <v>22.265860578478801</v>
      </c>
      <c r="CC1246" s="2">
        <v>22.293751632731201</v>
      </c>
      <c r="CD1246" s="2">
        <v>22.357874244987499</v>
      </c>
      <c r="CE1246" s="2">
        <v>22.737198398615099</v>
      </c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</row>
    <row r="1247" spans="1:97">
      <c r="A1247" s="2" t="s">
        <v>11319</v>
      </c>
      <c r="B1247" s="2">
        <v>236.00772000000001</v>
      </c>
      <c r="C1247" s="2">
        <v>5.4930000000000003</v>
      </c>
      <c r="D1247" s="2" t="s">
        <v>84</v>
      </c>
      <c r="E1247" s="2" t="s">
        <v>11320</v>
      </c>
      <c r="F1247" s="2" t="s">
        <v>11321</v>
      </c>
      <c r="G1247" s="2">
        <v>200217</v>
      </c>
      <c r="H1247" s="3" t="str">
        <f>HYPERLINK("https://cloud.oebiotech.com/#/lm/network/200217", "https://cloud.oebiotech.com/#/lm/network/200217")</f>
        <v>https://cloud.oebiotech.com/#/lm/network/200217</v>
      </c>
      <c r="I1247" s="2" t="s">
        <v>11322</v>
      </c>
      <c r="J1247" s="2">
        <v>438159</v>
      </c>
      <c r="K1247" s="2"/>
      <c r="L1247" s="2">
        <v>177756</v>
      </c>
      <c r="M1247" s="2"/>
      <c r="N1247" s="2"/>
      <c r="O1247" s="2"/>
      <c r="P1247" s="2"/>
      <c r="Q1247" s="2"/>
      <c r="R1247" s="2"/>
      <c r="S1247" s="2"/>
      <c r="T1247" s="2" t="s">
        <v>11323</v>
      </c>
      <c r="U1247" s="2" t="s">
        <v>11324</v>
      </c>
      <c r="V1247" s="2" t="s">
        <v>385</v>
      </c>
      <c r="W1247" s="2" t="s">
        <v>386</v>
      </c>
      <c r="X1247" s="2" t="s">
        <v>1059</v>
      </c>
      <c r="Y1247" s="2" t="s">
        <v>388</v>
      </c>
      <c r="Z1247" s="2" t="s">
        <v>389</v>
      </c>
      <c r="AA1247" s="2" t="s">
        <v>1060</v>
      </c>
      <c r="AB1247" s="2" t="s">
        <v>3086</v>
      </c>
      <c r="AC1247" s="2">
        <v>47.01</v>
      </c>
      <c r="AD1247" s="2">
        <v>74.040000000000006</v>
      </c>
      <c r="AE1247" s="2">
        <v>0</v>
      </c>
      <c r="AF1247" s="2" t="s">
        <v>5614</v>
      </c>
      <c r="AG1247" s="2" t="s">
        <v>1578</v>
      </c>
      <c r="AH1247" s="2" t="s">
        <v>11325</v>
      </c>
      <c r="AI1247" s="2">
        <v>3.39</v>
      </c>
      <c r="AJ1247" s="2">
        <v>19.332908916916701</v>
      </c>
      <c r="AK1247" s="2">
        <v>19.517419650375999</v>
      </c>
      <c r="AL1247" s="2">
        <v>19.321613153400801</v>
      </c>
      <c r="AM1247" s="2">
        <v>19.564176159854501</v>
      </c>
      <c r="AN1247" s="2">
        <v>19.509626590603801</v>
      </c>
      <c r="AO1247" s="2">
        <v>19.367503504875302</v>
      </c>
      <c r="AP1247" s="2">
        <v>19.608111435624799</v>
      </c>
      <c r="AQ1247" s="2">
        <v>19.518933233793799</v>
      </c>
      <c r="AR1247" s="2">
        <v>19.403644154626701</v>
      </c>
      <c r="AS1247" s="2">
        <v>19.7357968110637</v>
      </c>
      <c r="AT1247" s="2">
        <v>19.3731162144758</v>
      </c>
      <c r="AU1247" s="2">
        <v>19.059984877964101</v>
      </c>
      <c r="AV1247" s="2">
        <v>19.2559149706947</v>
      </c>
      <c r="AW1247" s="2">
        <v>19.5450977328838</v>
      </c>
      <c r="AX1247" s="2">
        <v>19.257676404407398</v>
      </c>
      <c r="AY1247" s="2">
        <v>19.4554263604375</v>
      </c>
      <c r="AZ1247" s="2">
        <v>19.5813689206127</v>
      </c>
      <c r="BA1247" s="2">
        <v>19.274358359372499</v>
      </c>
      <c r="BB1247" s="2">
        <v>18.973212870598001</v>
      </c>
      <c r="BC1247" s="2">
        <v>19.200105079817099</v>
      </c>
      <c r="BD1247" s="2">
        <v>19.432589242935901</v>
      </c>
      <c r="BE1247" s="2">
        <v>19.327377910219401</v>
      </c>
      <c r="BF1247" s="2">
        <v>19.736352033243801</v>
      </c>
      <c r="BG1247" s="2">
        <v>19.5758055803235</v>
      </c>
      <c r="BH1247" s="2">
        <v>19.523816202374999</v>
      </c>
      <c r="BI1247" s="2">
        <v>19.3280054326077</v>
      </c>
      <c r="BJ1247" s="2">
        <v>19.349054861144602</v>
      </c>
      <c r="BK1247" s="2">
        <v>19.534751602818702</v>
      </c>
      <c r="BL1247" s="2">
        <v>19.384545917131099</v>
      </c>
      <c r="BM1247" s="2">
        <v>19.391718817328599</v>
      </c>
      <c r="BN1247" s="2">
        <v>19.576924142457401</v>
      </c>
      <c r="BO1247" s="2">
        <v>19.281418166894898</v>
      </c>
      <c r="BP1247" s="2">
        <v>19.467615897765899</v>
      </c>
      <c r="BQ1247" s="2">
        <v>19.460022227490899</v>
      </c>
      <c r="BR1247" s="2">
        <v>19.4896589932947</v>
      </c>
      <c r="BS1247" s="2">
        <v>19.3392207825386</v>
      </c>
      <c r="BT1247" s="2">
        <v>19.526501550656199</v>
      </c>
      <c r="BU1247" s="2">
        <v>19.420208037494799</v>
      </c>
      <c r="BV1247" s="2">
        <v>19.6307652409897</v>
      </c>
      <c r="BW1247" s="2">
        <v>19.6701483226263</v>
      </c>
      <c r="BX1247" s="2">
        <v>19.521567220398499</v>
      </c>
      <c r="BY1247" s="2">
        <v>19.265884437085901</v>
      </c>
      <c r="BZ1247" s="2">
        <v>19.693406608157801</v>
      </c>
      <c r="CA1247" s="2">
        <v>19.252333290736299</v>
      </c>
      <c r="CB1247" s="2">
        <v>19.505197716730901</v>
      </c>
      <c r="CC1247" s="2">
        <v>19.590185672895899</v>
      </c>
      <c r="CD1247" s="2">
        <v>19.4039327264199</v>
      </c>
      <c r="CE1247" s="2">
        <v>19.543749887994299</v>
      </c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</row>
    <row r="1248" spans="1:97">
      <c r="A1248" s="2" t="s">
        <v>11326</v>
      </c>
      <c r="B1248" s="2">
        <v>373.23770000000002</v>
      </c>
      <c r="C1248" s="2">
        <v>12.52</v>
      </c>
      <c r="D1248" s="2" t="s">
        <v>146</v>
      </c>
      <c r="E1248" s="2" t="s">
        <v>11327</v>
      </c>
      <c r="F1248" s="2" t="s">
        <v>11328</v>
      </c>
      <c r="G1248" s="2">
        <v>199833</v>
      </c>
      <c r="H1248" s="3" t="str">
        <f>HYPERLINK("https://cloud.oebiotech.com/#/lm/network/199833", "https://cloud.oebiotech.com/#/lm/network/199833")</f>
        <v>https://cloud.oebiotech.com/#/lm/network/199833</v>
      </c>
      <c r="I1248" s="2" t="s">
        <v>11329</v>
      </c>
      <c r="J1248" s="2"/>
      <c r="K1248" s="2"/>
      <c r="L1248" s="2">
        <v>175542</v>
      </c>
      <c r="M1248" s="2"/>
      <c r="N1248" s="2"/>
      <c r="O1248" s="2"/>
      <c r="P1248" s="2"/>
      <c r="Q1248" s="2"/>
      <c r="R1248" s="2"/>
      <c r="S1248" s="2"/>
      <c r="T1248" s="2" t="s">
        <v>11330</v>
      </c>
      <c r="U1248" s="2" t="s">
        <v>11331</v>
      </c>
      <c r="V1248" s="2" t="s">
        <v>95</v>
      </c>
      <c r="W1248" s="2" t="s">
        <v>96</v>
      </c>
      <c r="X1248" s="2" t="s">
        <v>141</v>
      </c>
      <c r="Y1248" s="2" t="s">
        <v>98</v>
      </c>
      <c r="Z1248" s="2" t="s">
        <v>99</v>
      </c>
      <c r="AA1248" s="2" t="s">
        <v>142</v>
      </c>
      <c r="AB1248" s="2" t="s">
        <v>8443</v>
      </c>
      <c r="AC1248" s="2">
        <v>47.01</v>
      </c>
      <c r="AD1248" s="2">
        <v>95.57</v>
      </c>
      <c r="AE1248" s="2">
        <v>0</v>
      </c>
      <c r="AF1248" s="2" t="s">
        <v>11332</v>
      </c>
      <c r="AG1248" s="2" t="s">
        <v>157</v>
      </c>
      <c r="AH1248" s="2" t="s">
        <v>604</v>
      </c>
      <c r="AI1248" s="2">
        <v>1.88</v>
      </c>
      <c r="AJ1248" s="2">
        <v>19.475936616207999</v>
      </c>
      <c r="AK1248" s="2">
        <v>19.6873299218183</v>
      </c>
      <c r="AL1248" s="2">
        <v>19.482341483332299</v>
      </c>
      <c r="AM1248" s="2">
        <v>19.704176252471601</v>
      </c>
      <c r="AN1248" s="2">
        <v>19.398898389310101</v>
      </c>
      <c r="AO1248" s="2">
        <v>19.381809093359099</v>
      </c>
      <c r="AP1248" s="2">
        <v>19.5459742871811</v>
      </c>
      <c r="AQ1248" s="2">
        <v>19.506407986472102</v>
      </c>
      <c r="AR1248" s="2">
        <v>18.157986687410698</v>
      </c>
      <c r="AS1248" s="2">
        <v>19.036956979680799</v>
      </c>
      <c r="AT1248" s="2">
        <v>19.449955171051201</v>
      </c>
      <c r="AU1248" s="2">
        <v>18.6188921088835</v>
      </c>
      <c r="AV1248" s="2">
        <v>18.738919962957599</v>
      </c>
      <c r="AW1248" s="2">
        <v>18.349423136041601</v>
      </c>
      <c r="AX1248" s="2">
        <v>20.032097802140498</v>
      </c>
      <c r="AY1248" s="2">
        <v>18.247314195065499</v>
      </c>
      <c r="AZ1248" s="2">
        <v>17.988747086686899</v>
      </c>
      <c r="BA1248" s="2">
        <v>20.051029307251799</v>
      </c>
      <c r="BB1248" s="2">
        <v>19.744159633460399</v>
      </c>
      <c r="BC1248" s="2">
        <v>20.722239014528402</v>
      </c>
      <c r="BD1248" s="2">
        <v>17.725709142156798</v>
      </c>
      <c r="BE1248" s="2">
        <v>18.228353637567199</v>
      </c>
      <c r="BF1248" s="2">
        <v>18.5694376289327</v>
      </c>
      <c r="BG1248" s="2">
        <v>20.689556758482301</v>
      </c>
      <c r="BH1248" s="2">
        <v>18.748894596948301</v>
      </c>
      <c r="BI1248" s="2">
        <v>18.6601621970831</v>
      </c>
      <c r="BJ1248" s="2">
        <v>19.723593239840099</v>
      </c>
      <c r="BK1248" s="2">
        <v>17.538614092120099</v>
      </c>
      <c r="BL1248" s="2">
        <v>19.592897482861801</v>
      </c>
      <c r="BM1248" s="2">
        <v>18.567024390491301</v>
      </c>
      <c r="BN1248" s="2">
        <v>17.865318187463402</v>
      </c>
      <c r="BO1248" s="2">
        <v>19.5601510490071</v>
      </c>
      <c r="BP1248" s="2">
        <v>19.2628148246067</v>
      </c>
      <c r="BQ1248" s="2">
        <v>20.344835538789599</v>
      </c>
      <c r="BR1248" s="2">
        <v>19.396687681255798</v>
      </c>
      <c r="BS1248" s="2">
        <v>17.931474098559899</v>
      </c>
      <c r="BT1248" s="2">
        <v>19.241462665344201</v>
      </c>
      <c r="BU1248" s="2">
        <v>20.184445582036101</v>
      </c>
      <c r="BV1248" s="2">
        <v>20.472206483305499</v>
      </c>
      <c r="BW1248" s="2">
        <v>18.872676773806599</v>
      </c>
      <c r="BX1248" s="2">
        <v>18.729550613052201</v>
      </c>
      <c r="BY1248" s="2">
        <v>18.563868281770301</v>
      </c>
      <c r="BZ1248" s="2">
        <v>19.261163007404399</v>
      </c>
      <c r="CA1248" s="2">
        <v>19.066901644667301</v>
      </c>
      <c r="CB1248" s="2">
        <v>20.5103527138114</v>
      </c>
      <c r="CC1248" s="2">
        <v>19.636822947743902</v>
      </c>
      <c r="CD1248" s="2">
        <v>19.824441477874402</v>
      </c>
      <c r="CE1248" s="2">
        <v>20.585846294165101</v>
      </c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</row>
    <row r="1249" spans="1:97">
      <c r="A1249" s="2" t="s">
        <v>11333</v>
      </c>
      <c r="B1249" s="2">
        <v>211.16989000000001</v>
      </c>
      <c r="C1249" s="2">
        <v>9.6809999999999992</v>
      </c>
      <c r="D1249" s="2" t="s">
        <v>146</v>
      </c>
      <c r="E1249" s="2" t="s">
        <v>11334</v>
      </c>
      <c r="F1249" s="2" t="s">
        <v>11335</v>
      </c>
      <c r="G1249" s="2">
        <v>1686</v>
      </c>
      <c r="H1249" s="3" t="str">
        <f>HYPERLINK("https://cloud.oebiotech.com/#/lm/network/1686", "https://cloud.oebiotech.com/#/lm/network/1686")</f>
        <v>https://cloud.oebiotech.com/#/lm/network/1686</v>
      </c>
      <c r="I1249" s="2"/>
      <c r="J1249" s="2">
        <v>74495</v>
      </c>
      <c r="K1249" s="2" t="s">
        <v>11336</v>
      </c>
      <c r="L1249" s="2">
        <v>5282902</v>
      </c>
      <c r="M1249" s="2"/>
      <c r="N1249" s="2"/>
      <c r="O1249" s="2"/>
      <c r="P1249" s="2"/>
      <c r="Q1249" s="2"/>
      <c r="R1249" s="2"/>
      <c r="S1249" s="2"/>
      <c r="T1249" s="2" t="s">
        <v>11337</v>
      </c>
      <c r="U1249" s="2" t="s">
        <v>11338</v>
      </c>
      <c r="V1249" s="2" t="s">
        <v>95</v>
      </c>
      <c r="W1249" s="2" t="s">
        <v>96</v>
      </c>
      <c r="X1249" s="2" t="s">
        <v>141</v>
      </c>
      <c r="Y1249" s="2" t="s">
        <v>98</v>
      </c>
      <c r="Z1249" s="2" t="s">
        <v>99</v>
      </c>
      <c r="AA1249" s="2" t="s">
        <v>142</v>
      </c>
      <c r="AB1249" s="2" t="s">
        <v>8443</v>
      </c>
      <c r="AC1249" s="2">
        <v>46.98</v>
      </c>
      <c r="AD1249" s="2">
        <v>91.99</v>
      </c>
      <c r="AE1249" s="2">
        <v>0</v>
      </c>
      <c r="AF1249" s="2" t="s">
        <v>11339</v>
      </c>
      <c r="AG1249" s="2" t="s">
        <v>993</v>
      </c>
      <c r="AH1249" s="2" t="s">
        <v>11340</v>
      </c>
      <c r="AI1249" s="2">
        <v>-0.47</v>
      </c>
      <c r="AJ1249" s="2">
        <v>17.608494736146199</v>
      </c>
      <c r="AK1249" s="2">
        <v>17.958425103320302</v>
      </c>
      <c r="AL1249" s="2">
        <v>17.788397559378701</v>
      </c>
      <c r="AM1249" s="2">
        <v>17.914863926536398</v>
      </c>
      <c r="AN1249" s="2">
        <v>17.5834960048232</v>
      </c>
      <c r="AO1249" s="2">
        <v>17.970524982627801</v>
      </c>
      <c r="AP1249" s="2">
        <v>18.002927062679898</v>
      </c>
      <c r="AQ1249" s="2">
        <v>17.735334552166599</v>
      </c>
      <c r="AR1249" s="2">
        <v>15.8628448462711</v>
      </c>
      <c r="AS1249" s="2">
        <v>15.878886716952</v>
      </c>
      <c r="AT1249" s="2">
        <v>18.408362956408101</v>
      </c>
      <c r="AU1249" s="2">
        <v>16.120831991749</v>
      </c>
      <c r="AV1249" s="2">
        <v>17.956253231146199</v>
      </c>
      <c r="AW1249" s="2">
        <v>17.294075309800199</v>
      </c>
      <c r="AX1249" s="2">
        <v>17.194240909453299</v>
      </c>
      <c r="AY1249" s="2">
        <v>16.468571226280599</v>
      </c>
      <c r="AZ1249" s="2">
        <v>15.8324175906367</v>
      </c>
      <c r="BA1249" s="2">
        <v>18.0080406486457</v>
      </c>
      <c r="BB1249" s="2">
        <v>17.299018544878301</v>
      </c>
      <c r="BC1249" s="2">
        <v>19.0261598160216</v>
      </c>
      <c r="BD1249" s="2">
        <v>16.641724950506099</v>
      </c>
      <c r="BE1249" s="2">
        <v>19.426971766414699</v>
      </c>
      <c r="BF1249" s="2">
        <v>17.134800502806701</v>
      </c>
      <c r="BG1249" s="2">
        <v>15.572429340510499</v>
      </c>
      <c r="BH1249" s="2">
        <v>18.492830333623498</v>
      </c>
      <c r="BI1249" s="2">
        <v>17.929167312516402</v>
      </c>
      <c r="BJ1249" s="2">
        <v>17.269127044499601</v>
      </c>
      <c r="BK1249" s="2">
        <v>16.014812714739101</v>
      </c>
      <c r="BL1249" s="2">
        <v>17.247639219993701</v>
      </c>
      <c r="BM1249" s="2">
        <v>17.496474255621099</v>
      </c>
      <c r="BN1249" s="2">
        <v>18.907316249949702</v>
      </c>
      <c r="BO1249" s="2">
        <v>17.7098919510779</v>
      </c>
      <c r="BP1249" s="2">
        <v>17.004663229011602</v>
      </c>
      <c r="BQ1249" s="2">
        <v>18.109058967165598</v>
      </c>
      <c r="BR1249" s="2">
        <v>17.6342109366358</v>
      </c>
      <c r="BS1249" s="2">
        <v>16.871813093541199</v>
      </c>
      <c r="BT1249" s="2">
        <v>15.7309620259149</v>
      </c>
      <c r="BU1249" s="2">
        <v>18.170494067688399</v>
      </c>
      <c r="BV1249" s="2">
        <v>17.4596121203355</v>
      </c>
      <c r="BW1249" s="2">
        <v>17.408586986504201</v>
      </c>
      <c r="BX1249" s="2">
        <v>17.166472831739298</v>
      </c>
      <c r="BY1249" s="2">
        <v>19.499074882604098</v>
      </c>
      <c r="BZ1249" s="2">
        <v>16.570534677855999</v>
      </c>
      <c r="CA1249" s="2">
        <v>16.677742761568599</v>
      </c>
      <c r="CB1249" s="2">
        <v>16.599548229775699</v>
      </c>
      <c r="CC1249" s="2">
        <v>18.445051108455502</v>
      </c>
      <c r="CD1249" s="2">
        <v>18.1140715626629</v>
      </c>
      <c r="CE1249" s="2">
        <v>16.842779512779298</v>
      </c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</row>
    <row r="1250" spans="1:97">
      <c r="A1250" s="2" t="s">
        <v>11341</v>
      </c>
      <c r="B1250" s="2">
        <v>192.13812999999999</v>
      </c>
      <c r="C1250" s="2">
        <v>5.0720000000000001</v>
      </c>
      <c r="D1250" s="2" t="s">
        <v>84</v>
      </c>
      <c r="E1250" s="2" t="s">
        <v>11342</v>
      </c>
      <c r="F1250" s="2" t="s">
        <v>11343</v>
      </c>
      <c r="G1250" s="2">
        <v>210152</v>
      </c>
      <c r="H1250" s="3" t="str">
        <f>HYPERLINK("https://cloud.oebiotech.com/#/lm/network/210152", "https://cloud.oebiotech.com/#/lm/network/210152")</f>
        <v>https://cloud.oebiotech.com/#/lm/network/210152</v>
      </c>
      <c r="I1250" s="2" t="s">
        <v>11344</v>
      </c>
      <c r="J1250" s="2">
        <v>96597</v>
      </c>
      <c r="K1250" s="2"/>
      <c r="L1250" s="2">
        <v>57501499</v>
      </c>
      <c r="M1250" s="2"/>
      <c r="N1250" s="2"/>
      <c r="O1250" s="2"/>
      <c r="P1250" s="2"/>
      <c r="Q1250" s="2"/>
      <c r="R1250" s="2"/>
      <c r="S1250" s="2"/>
      <c r="T1250" s="2" t="s">
        <v>11345</v>
      </c>
      <c r="U1250" s="2" t="s">
        <v>11346</v>
      </c>
      <c r="V1250" s="2" t="s">
        <v>338</v>
      </c>
      <c r="W1250" s="2" t="s">
        <v>339</v>
      </c>
      <c r="X1250" s="2" t="s">
        <v>340</v>
      </c>
      <c r="Y1250" s="2" t="s">
        <v>341</v>
      </c>
      <c r="Z1250" s="2" t="s">
        <v>341</v>
      </c>
      <c r="AA1250" s="2" t="s">
        <v>342</v>
      </c>
      <c r="AB1250" s="2" t="s">
        <v>8443</v>
      </c>
      <c r="AC1250" s="2">
        <v>46.98</v>
      </c>
      <c r="AD1250" s="2">
        <v>92.14</v>
      </c>
      <c r="AE1250" s="2">
        <v>0</v>
      </c>
      <c r="AF1250" s="2" t="s">
        <v>5614</v>
      </c>
      <c r="AG1250" s="2" t="s">
        <v>103</v>
      </c>
      <c r="AH1250" s="2" t="s">
        <v>11347</v>
      </c>
      <c r="AI1250" s="2">
        <v>1.04</v>
      </c>
      <c r="AJ1250" s="2">
        <v>21.7894208583736</v>
      </c>
      <c r="AK1250" s="2">
        <v>22.075286019203499</v>
      </c>
      <c r="AL1250" s="2">
        <v>21.987518573873601</v>
      </c>
      <c r="AM1250" s="2">
        <v>21.995517704785701</v>
      </c>
      <c r="AN1250" s="2">
        <v>21.8803557591215</v>
      </c>
      <c r="AO1250" s="2">
        <v>21.8783351539686</v>
      </c>
      <c r="AP1250" s="2">
        <v>22.100824999233801</v>
      </c>
      <c r="AQ1250" s="2">
        <v>21.446325834164998</v>
      </c>
      <c r="AR1250" s="2">
        <v>22.071608421907801</v>
      </c>
      <c r="AS1250" s="2">
        <v>22.102131825324001</v>
      </c>
      <c r="AT1250" s="2">
        <v>22.097831987933802</v>
      </c>
      <c r="AU1250" s="2">
        <v>22.296320783835998</v>
      </c>
      <c r="AV1250" s="2">
        <v>22.0683484557984</v>
      </c>
      <c r="AW1250" s="2">
        <v>22.142015103010799</v>
      </c>
      <c r="AX1250" s="2">
        <v>21.559760504729098</v>
      </c>
      <c r="AY1250" s="2">
        <v>21.9955059459236</v>
      </c>
      <c r="AZ1250" s="2">
        <v>22.133017383578999</v>
      </c>
      <c r="BA1250" s="2">
        <v>21.85435014954</v>
      </c>
      <c r="BB1250" s="2">
        <v>22.421012444726799</v>
      </c>
      <c r="BC1250" s="2">
        <v>22.074774020496299</v>
      </c>
      <c r="BD1250" s="2">
        <v>21.937140265287201</v>
      </c>
      <c r="BE1250" s="2">
        <v>22.059469125639101</v>
      </c>
      <c r="BF1250" s="2">
        <v>21.905765249028399</v>
      </c>
      <c r="BG1250" s="2">
        <v>22.0121201173529</v>
      </c>
      <c r="BH1250" s="2">
        <v>22.093023855534799</v>
      </c>
      <c r="BI1250" s="2">
        <v>21.911775974090499</v>
      </c>
      <c r="BJ1250" s="2">
        <v>21.8629931660669</v>
      </c>
      <c r="BK1250" s="2">
        <v>21.976945397571999</v>
      </c>
      <c r="BL1250" s="2">
        <v>21.8857879254168</v>
      </c>
      <c r="BM1250" s="2">
        <v>22.061774539961299</v>
      </c>
      <c r="BN1250" s="2">
        <v>22.0855288587389</v>
      </c>
      <c r="BO1250" s="2">
        <v>22.0696431102334</v>
      </c>
      <c r="BP1250" s="2">
        <v>21.771262809511601</v>
      </c>
      <c r="BQ1250" s="2">
        <v>22.044772700015301</v>
      </c>
      <c r="BR1250" s="2">
        <v>21.652137751005</v>
      </c>
      <c r="BS1250" s="2">
        <v>21.878024681235601</v>
      </c>
      <c r="BT1250" s="2">
        <v>21.929387637054699</v>
      </c>
      <c r="BU1250" s="2">
        <v>22.164666445597199</v>
      </c>
      <c r="BV1250" s="2">
        <v>22.053226360501601</v>
      </c>
      <c r="BW1250" s="2">
        <v>21.924770671383101</v>
      </c>
      <c r="BX1250" s="2">
        <v>21.513688378970802</v>
      </c>
      <c r="BY1250" s="2">
        <v>22.052818085769498</v>
      </c>
      <c r="BZ1250" s="2">
        <v>22.2280279648967</v>
      </c>
      <c r="CA1250" s="2">
        <v>21.081197166766099</v>
      </c>
      <c r="CB1250" s="2">
        <v>21.492451253021699</v>
      </c>
      <c r="CC1250" s="2">
        <v>22.112373938830899</v>
      </c>
      <c r="CD1250" s="2">
        <v>22.052119181793699</v>
      </c>
      <c r="CE1250" s="2">
        <v>21.885341275771601</v>
      </c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</row>
    <row r="1251" spans="1:97">
      <c r="A1251" s="2" t="s">
        <v>11348</v>
      </c>
      <c r="B1251" s="2">
        <v>211.09714</v>
      </c>
      <c r="C1251" s="2">
        <v>4.9509999999999996</v>
      </c>
      <c r="D1251" s="2" t="s">
        <v>146</v>
      </c>
      <c r="E1251" s="2" t="s">
        <v>11349</v>
      </c>
      <c r="F1251" s="2"/>
      <c r="G1251" s="2">
        <v>595746</v>
      </c>
      <c r="H1251" s="3" t="str">
        <f>HYPERLINK("https://cloud.oebiotech.com/#/lm/network/595746", "https://cloud.oebiotech.com/#/lm/network/595746")</f>
        <v>https://cloud.oebiotech.com/#/lm/network/595746</v>
      </c>
      <c r="I1251" s="2"/>
      <c r="J1251" s="2"/>
      <c r="K1251" s="2"/>
      <c r="L1251" s="2">
        <v>117804</v>
      </c>
      <c r="M1251" s="2"/>
      <c r="N1251" s="2"/>
      <c r="O1251" s="2"/>
      <c r="P1251" s="2"/>
      <c r="Q1251" s="2"/>
      <c r="R1251" s="2"/>
      <c r="S1251" s="2"/>
      <c r="T1251" s="2" t="s">
        <v>11350</v>
      </c>
      <c r="U1251" s="2" t="s">
        <v>11351</v>
      </c>
      <c r="V1251" s="2" t="s">
        <v>385</v>
      </c>
      <c r="W1251" s="2" t="s">
        <v>386</v>
      </c>
      <c r="X1251" s="2" t="s">
        <v>4857</v>
      </c>
      <c r="Y1251" s="2" t="s">
        <v>388</v>
      </c>
      <c r="Z1251" s="2" t="s">
        <v>389</v>
      </c>
      <c r="AA1251" s="2" t="s">
        <v>4858</v>
      </c>
      <c r="AB1251" s="2" t="s">
        <v>8443</v>
      </c>
      <c r="AC1251" s="2">
        <v>46.97</v>
      </c>
      <c r="AD1251" s="2">
        <v>98.47</v>
      </c>
      <c r="AE1251" s="2">
        <v>0</v>
      </c>
      <c r="AF1251" s="2" t="s">
        <v>11352</v>
      </c>
      <c r="AG1251" s="2" t="s">
        <v>194</v>
      </c>
      <c r="AH1251" s="2" t="s">
        <v>11353</v>
      </c>
      <c r="AI1251" s="2">
        <v>2.37</v>
      </c>
      <c r="AJ1251" s="2">
        <v>21.468673412595201</v>
      </c>
      <c r="AK1251" s="2">
        <v>21.407209695978501</v>
      </c>
      <c r="AL1251" s="2">
        <v>21.413017854390301</v>
      </c>
      <c r="AM1251" s="2">
        <v>21.5361008648112</v>
      </c>
      <c r="AN1251" s="2">
        <v>21.523868465371699</v>
      </c>
      <c r="AO1251" s="2">
        <v>21.5702530158519</v>
      </c>
      <c r="AP1251" s="2">
        <v>21.2634992229831</v>
      </c>
      <c r="AQ1251" s="2">
        <v>21.583314966347601</v>
      </c>
      <c r="AR1251" s="2">
        <v>20.410983471168699</v>
      </c>
      <c r="AS1251" s="2">
        <v>20.023082426814401</v>
      </c>
      <c r="AT1251" s="2">
        <v>20.565449030759499</v>
      </c>
      <c r="AU1251" s="2">
        <v>21.952073067795499</v>
      </c>
      <c r="AV1251" s="2">
        <v>20.908398133141802</v>
      </c>
      <c r="AW1251" s="2">
        <v>20.972871101806</v>
      </c>
      <c r="AX1251" s="2">
        <v>20.0953676214205</v>
      </c>
      <c r="AY1251" s="2">
        <v>19.810179981454802</v>
      </c>
      <c r="AZ1251" s="2">
        <v>20.479836973369899</v>
      </c>
      <c r="BA1251" s="2">
        <v>22.348538431598602</v>
      </c>
      <c r="BB1251" s="2">
        <v>22.266881042468398</v>
      </c>
      <c r="BC1251" s="2">
        <v>22.0167016928593</v>
      </c>
      <c r="BD1251" s="2">
        <v>22.004129208493001</v>
      </c>
      <c r="BE1251" s="2">
        <v>20.779685679428201</v>
      </c>
      <c r="BF1251" s="2">
        <v>21.091797808267099</v>
      </c>
      <c r="BG1251" s="2">
        <v>21.256630358350801</v>
      </c>
      <c r="BH1251" s="2">
        <v>22.001646612485501</v>
      </c>
      <c r="BI1251" s="2">
        <v>20.149672270713399</v>
      </c>
      <c r="BJ1251" s="2">
        <v>22.399965838353602</v>
      </c>
      <c r="BK1251" s="2">
        <v>22.620878501942801</v>
      </c>
      <c r="BL1251" s="2">
        <v>21.415607299409999</v>
      </c>
      <c r="BM1251" s="2">
        <v>21.282344998973901</v>
      </c>
      <c r="BN1251" s="2">
        <v>21.681869190386301</v>
      </c>
      <c r="BO1251" s="2">
        <v>21.924931847778101</v>
      </c>
      <c r="BP1251" s="2">
        <v>20.386157319600201</v>
      </c>
      <c r="BQ1251" s="2">
        <v>20.528497731072299</v>
      </c>
      <c r="BR1251" s="2">
        <v>20.256817742961701</v>
      </c>
      <c r="BS1251" s="2">
        <v>20.4406133061653</v>
      </c>
      <c r="BT1251" s="2">
        <v>22.898631415316299</v>
      </c>
      <c r="BU1251" s="2">
        <v>22.239238482376798</v>
      </c>
      <c r="BV1251" s="2">
        <v>21.890096396528602</v>
      </c>
      <c r="BW1251" s="2">
        <v>21.027601712123701</v>
      </c>
      <c r="BX1251" s="2">
        <v>21.949606771665501</v>
      </c>
      <c r="BY1251" s="2">
        <v>21.173677093609999</v>
      </c>
      <c r="BZ1251" s="2">
        <v>20.515892237914699</v>
      </c>
      <c r="CA1251" s="2">
        <v>21.027567204371302</v>
      </c>
      <c r="CB1251" s="2">
        <v>21.153096627523301</v>
      </c>
      <c r="CC1251" s="2">
        <v>20.271743329410299</v>
      </c>
      <c r="CD1251" s="2">
        <v>22.055227886642101</v>
      </c>
      <c r="CE1251" s="2">
        <v>22.411602270222101</v>
      </c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</row>
    <row r="1252" spans="1:97">
      <c r="A1252" s="2" t="s">
        <v>11354</v>
      </c>
      <c r="B1252" s="2">
        <v>523.31820000000005</v>
      </c>
      <c r="C1252" s="2">
        <v>8.8010000000000002</v>
      </c>
      <c r="D1252" s="2" t="s">
        <v>146</v>
      </c>
      <c r="E1252" s="2" t="s">
        <v>11355</v>
      </c>
      <c r="F1252" s="2" t="s">
        <v>11356</v>
      </c>
      <c r="G1252" s="2">
        <v>59022</v>
      </c>
      <c r="H1252" s="3" t="str">
        <f>HYPERLINK("https://cloud.oebiotech.com/#/lm/network/59022", "https://cloud.oebiotech.com/#/lm/network/59022")</f>
        <v>https://cloud.oebiotech.com/#/lm/network/59022</v>
      </c>
      <c r="I1252" s="2" t="s">
        <v>11357</v>
      </c>
      <c r="J1252" s="2">
        <v>90456</v>
      </c>
      <c r="K1252" s="2"/>
      <c r="L1252" s="2">
        <v>23132225</v>
      </c>
      <c r="M1252" s="2"/>
      <c r="N1252" s="2"/>
      <c r="O1252" s="2"/>
      <c r="P1252" s="2"/>
      <c r="Q1252" s="2"/>
      <c r="R1252" s="2"/>
      <c r="S1252" s="2" t="s">
        <v>11358</v>
      </c>
      <c r="T1252" s="2" t="s">
        <v>11359</v>
      </c>
      <c r="U1252" s="2" t="s">
        <v>11360</v>
      </c>
      <c r="V1252" s="2" t="s">
        <v>95</v>
      </c>
      <c r="W1252" s="2" t="s">
        <v>180</v>
      </c>
      <c r="X1252" s="2" t="s">
        <v>1790</v>
      </c>
      <c r="Y1252" s="2" t="s">
        <v>98</v>
      </c>
      <c r="Z1252" s="2" t="s">
        <v>182</v>
      </c>
      <c r="AA1252" s="2" t="s">
        <v>1791</v>
      </c>
      <c r="AB1252" s="2" t="s">
        <v>3086</v>
      </c>
      <c r="AC1252" s="2">
        <v>46.94</v>
      </c>
      <c r="AD1252" s="2">
        <v>57.3</v>
      </c>
      <c r="AE1252" s="2">
        <v>0</v>
      </c>
      <c r="AF1252" s="2" t="s">
        <v>5614</v>
      </c>
      <c r="AG1252" s="2" t="s">
        <v>4062</v>
      </c>
      <c r="AH1252" s="2" t="s">
        <v>11361</v>
      </c>
      <c r="AI1252" s="2">
        <v>2.68</v>
      </c>
      <c r="AJ1252" s="2">
        <v>17.901364782403299</v>
      </c>
      <c r="AK1252" s="2">
        <v>17.7678188739932</v>
      </c>
      <c r="AL1252" s="2">
        <v>17.969339749922</v>
      </c>
      <c r="AM1252" s="2">
        <v>17.4032899440172</v>
      </c>
      <c r="AN1252" s="2">
        <v>17.574492564715499</v>
      </c>
      <c r="AO1252" s="2">
        <v>17.734249047391099</v>
      </c>
      <c r="AP1252" s="2">
        <v>17.767219305778902</v>
      </c>
      <c r="AQ1252" s="2">
        <v>17.580619843867598</v>
      </c>
      <c r="AR1252" s="2">
        <v>17.5968741574716</v>
      </c>
      <c r="AS1252" s="2">
        <v>17.748375796045099</v>
      </c>
      <c r="AT1252" s="2">
        <v>17.8015960228519</v>
      </c>
      <c r="AU1252" s="2">
        <v>17.4277448774743</v>
      </c>
      <c r="AV1252" s="2">
        <v>17.493232358336702</v>
      </c>
      <c r="AW1252" s="2">
        <v>17.810956907779101</v>
      </c>
      <c r="AX1252" s="2">
        <v>17.6419109742085</v>
      </c>
      <c r="AY1252" s="2">
        <v>17.557609686908101</v>
      </c>
      <c r="AZ1252" s="2">
        <v>17.770011805037999</v>
      </c>
      <c r="BA1252" s="2">
        <v>17.779331419698501</v>
      </c>
      <c r="BB1252" s="2">
        <v>17.887067192422698</v>
      </c>
      <c r="BC1252" s="2">
        <v>17.9584249333898</v>
      </c>
      <c r="BD1252" s="2">
        <v>17.9462036894314</v>
      </c>
      <c r="BE1252" s="2">
        <v>17.730015043833799</v>
      </c>
      <c r="BF1252" s="2">
        <v>17.902246321917598</v>
      </c>
      <c r="BG1252" s="2">
        <v>17.980881714031302</v>
      </c>
      <c r="BH1252" s="2">
        <v>17.9897996021867</v>
      </c>
      <c r="BI1252" s="2">
        <v>17.7200392000411</v>
      </c>
      <c r="BJ1252" s="2">
        <v>17.669804099355101</v>
      </c>
      <c r="BK1252" s="2">
        <v>17.920676062364802</v>
      </c>
      <c r="BL1252" s="2">
        <v>17.856201427570799</v>
      </c>
      <c r="BM1252" s="2">
        <v>17.7723843638435</v>
      </c>
      <c r="BN1252" s="2">
        <v>17.6805676212206</v>
      </c>
      <c r="BO1252" s="2">
        <v>17.584839511831898</v>
      </c>
      <c r="BP1252" s="2">
        <v>17.199422845744898</v>
      </c>
      <c r="BQ1252" s="2">
        <v>17.907245003272301</v>
      </c>
      <c r="BR1252" s="2">
        <v>17.2516108339067</v>
      </c>
      <c r="BS1252" s="2">
        <v>17.523124753587702</v>
      </c>
      <c r="BT1252" s="2">
        <v>17.821458295623099</v>
      </c>
      <c r="BU1252" s="2">
        <v>17.886173110229599</v>
      </c>
      <c r="BV1252" s="2">
        <v>17.757868640513301</v>
      </c>
      <c r="BW1252" s="2">
        <v>17.731004003795601</v>
      </c>
      <c r="BX1252" s="2">
        <v>17.945149913108299</v>
      </c>
      <c r="BY1252" s="2">
        <v>17.8269987626946</v>
      </c>
      <c r="BZ1252" s="2">
        <v>17.827892815398801</v>
      </c>
      <c r="CA1252" s="2">
        <v>18.137800078913301</v>
      </c>
      <c r="CB1252" s="2">
        <v>17.652963489227801</v>
      </c>
      <c r="CC1252" s="2">
        <v>17.824364122669198</v>
      </c>
      <c r="CD1252" s="2">
        <v>17.7438125129081</v>
      </c>
      <c r="CE1252" s="2">
        <v>17.539682123376899</v>
      </c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</row>
    <row r="1253" spans="1:97">
      <c r="A1253" s="2" t="s">
        <v>11362</v>
      </c>
      <c r="B1253" s="2">
        <v>357.27534000000003</v>
      </c>
      <c r="C1253" s="2">
        <v>8.8109999999999999</v>
      </c>
      <c r="D1253" s="2" t="s">
        <v>84</v>
      </c>
      <c r="E1253" s="2" t="s">
        <v>11363</v>
      </c>
      <c r="F1253" s="2"/>
      <c r="G1253" s="2">
        <v>595688</v>
      </c>
      <c r="H1253" s="3" t="str">
        <f>HYPERLINK("https://cloud.oebiotech.com/#/lm/network/595688", "https://cloud.oebiotech.com/#/lm/network/595688")</f>
        <v>https://cloud.oebiotech.com/#/lm/network/595688</v>
      </c>
      <c r="I1253" s="2"/>
      <c r="J1253" s="2"/>
      <c r="K1253" s="2"/>
      <c r="L1253" s="2">
        <v>156961810</v>
      </c>
      <c r="M1253" s="2"/>
      <c r="N1253" s="2"/>
      <c r="O1253" s="2"/>
      <c r="P1253" s="2"/>
      <c r="Q1253" s="2"/>
      <c r="R1253" s="2"/>
      <c r="S1253" s="2"/>
      <c r="T1253" s="2" t="s">
        <v>11364</v>
      </c>
      <c r="U1253" s="2" t="s">
        <v>11365</v>
      </c>
      <c r="V1253" s="2" t="s">
        <v>95</v>
      </c>
      <c r="W1253" s="2" t="s">
        <v>96</v>
      </c>
      <c r="X1253" s="2" t="s">
        <v>97</v>
      </c>
      <c r="Y1253" s="2" t="s">
        <v>98</v>
      </c>
      <c r="Z1253" s="2" t="s">
        <v>99</v>
      </c>
      <c r="AA1253" s="2" t="s">
        <v>100</v>
      </c>
      <c r="AB1253" s="2" t="s">
        <v>5118</v>
      </c>
      <c r="AC1253" s="2">
        <v>46.93</v>
      </c>
      <c r="AD1253" s="2">
        <v>87.47</v>
      </c>
      <c r="AE1253" s="2">
        <v>61.47</v>
      </c>
      <c r="AF1253" s="2" t="s">
        <v>11366</v>
      </c>
      <c r="AG1253" s="2" t="s">
        <v>132</v>
      </c>
      <c r="AH1253" s="2" t="s">
        <v>11367</v>
      </c>
      <c r="AI1253" s="2">
        <v>-1.4</v>
      </c>
      <c r="AJ1253" s="2">
        <v>22.204945210601998</v>
      </c>
      <c r="AK1253" s="2">
        <v>22.458387249742501</v>
      </c>
      <c r="AL1253" s="2">
        <v>22.438310811279202</v>
      </c>
      <c r="AM1253" s="2">
        <v>22.542729594298201</v>
      </c>
      <c r="AN1253" s="2">
        <v>22.367827046243299</v>
      </c>
      <c r="AO1253" s="2">
        <v>22.320534301819901</v>
      </c>
      <c r="AP1253" s="2">
        <v>22.330353658450001</v>
      </c>
      <c r="AQ1253" s="2">
        <v>22.270215628329101</v>
      </c>
      <c r="AR1253" s="2">
        <v>22.047744139559398</v>
      </c>
      <c r="AS1253" s="2">
        <v>22.090066187563401</v>
      </c>
      <c r="AT1253" s="2">
        <v>22.069122586516901</v>
      </c>
      <c r="AU1253" s="2">
        <v>22.041180898000398</v>
      </c>
      <c r="AV1253" s="2">
        <v>22.174324338789202</v>
      </c>
      <c r="AW1253" s="2">
        <v>22.508911013143798</v>
      </c>
      <c r="AX1253" s="2">
        <v>22.1188555680374</v>
      </c>
      <c r="AY1253" s="2">
        <v>22.093251261606099</v>
      </c>
      <c r="AZ1253" s="2">
        <v>22.157376152094201</v>
      </c>
      <c r="BA1253" s="2">
        <v>22.088492229955701</v>
      </c>
      <c r="BB1253" s="2">
        <v>22.5858875922581</v>
      </c>
      <c r="BC1253" s="2">
        <v>22.264751487417101</v>
      </c>
      <c r="BD1253" s="2">
        <v>22.1867475773325</v>
      </c>
      <c r="BE1253" s="2">
        <v>22.084131628495602</v>
      </c>
      <c r="BF1253" s="2">
        <v>22.212470570304799</v>
      </c>
      <c r="BG1253" s="2">
        <v>23.070608607123201</v>
      </c>
      <c r="BH1253" s="2">
        <v>22.116780610455798</v>
      </c>
      <c r="BI1253" s="2">
        <v>22.399952989225099</v>
      </c>
      <c r="BJ1253" s="2">
        <v>22.371773778722499</v>
      </c>
      <c r="BK1253" s="2">
        <v>22.644600494954101</v>
      </c>
      <c r="BL1253" s="2">
        <v>22.279640787254401</v>
      </c>
      <c r="BM1253" s="2">
        <v>21.994290125567002</v>
      </c>
      <c r="BN1253" s="2">
        <v>22.0174183874283</v>
      </c>
      <c r="BO1253" s="2">
        <v>22.270017153860898</v>
      </c>
      <c r="BP1253" s="2">
        <v>22.0962412935041</v>
      </c>
      <c r="BQ1253" s="2">
        <v>22.1508073351247</v>
      </c>
      <c r="BR1253" s="2">
        <v>22.160670800398201</v>
      </c>
      <c r="BS1253" s="2">
        <v>22.178596186134499</v>
      </c>
      <c r="BT1253" s="2">
        <v>21.999575350180599</v>
      </c>
      <c r="BU1253" s="2">
        <v>22.120322034376599</v>
      </c>
      <c r="BV1253" s="2">
        <v>21.456471091881198</v>
      </c>
      <c r="BW1253" s="2">
        <v>22.187257157838701</v>
      </c>
      <c r="BX1253" s="2">
        <v>22.038020299486998</v>
      </c>
      <c r="BY1253" s="2">
        <v>21.969783785384099</v>
      </c>
      <c r="BZ1253" s="2">
        <v>21.9372877256727</v>
      </c>
      <c r="CA1253" s="2">
        <v>22.280269346431201</v>
      </c>
      <c r="CB1253" s="2">
        <v>22.203671719707401</v>
      </c>
      <c r="CC1253" s="2">
        <v>22.3285137980074</v>
      </c>
      <c r="CD1253" s="2">
        <v>22.005193960519001</v>
      </c>
      <c r="CE1253" s="2">
        <v>22.7446867861699</v>
      </c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</row>
    <row r="1254" spans="1:97">
      <c r="A1254" s="2" t="s">
        <v>11368</v>
      </c>
      <c r="B1254" s="2">
        <v>369.33667000000003</v>
      </c>
      <c r="C1254" s="2">
        <v>13.724</v>
      </c>
      <c r="D1254" s="2" t="s">
        <v>146</v>
      </c>
      <c r="E1254" s="2" t="s">
        <v>11369</v>
      </c>
      <c r="F1254" s="2" t="s">
        <v>11370</v>
      </c>
      <c r="G1254" s="2">
        <v>206175</v>
      </c>
      <c r="H1254" s="3" t="str">
        <f>HYPERLINK("https://cloud.oebiotech.com/#/lm/network/206175", "https://cloud.oebiotech.com/#/lm/network/206175")</f>
        <v>https://cloud.oebiotech.com/#/lm/network/206175</v>
      </c>
      <c r="I1254" s="2" t="s">
        <v>11371</v>
      </c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 t="s">
        <v>11372</v>
      </c>
      <c r="U1254" s="2" t="s">
        <v>11373</v>
      </c>
      <c r="V1254" s="2" t="s">
        <v>95</v>
      </c>
      <c r="W1254" s="2" t="s">
        <v>96</v>
      </c>
      <c r="X1254" s="2" t="s">
        <v>129</v>
      </c>
      <c r="Y1254" s="2" t="s">
        <v>98</v>
      </c>
      <c r="Z1254" s="2" t="s">
        <v>99</v>
      </c>
      <c r="AA1254" s="2" t="s">
        <v>130</v>
      </c>
      <c r="AB1254" s="2" t="s">
        <v>8443</v>
      </c>
      <c r="AC1254" s="2">
        <v>46.92</v>
      </c>
      <c r="AD1254" s="2">
        <v>94.62</v>
      </c>
      <c r="AE1254" s="2">
        <v>0</v>
      </c>
      <c r="AF1254" s="2" t="s">
        <v>11374</v>
      </c>
      <c r="AG1254" s="2" t="s">
        <v>157</v>
      </c>
      <c r="AH1254" s="2" t="s">
        <v>11375</v>
      </c>
      <c r="AI1254" s="2">
        <v>1.9</v>
      </c>
      <c r="AJ1254" s="2">
        <v>18.885626016888299</v>
      </c>
      <c r="AK1254" s="2">
        <v>18.631382776875999</v>
      </c>
      <c r="AL1254" s="2">
        <v>18.530586632230001</v>
      </c>
      <c r="AM1254" s="2">
        <v>18.477533183464899</v>
      </c>
      <c r="AN1254" s="2">
        <v>18.467162639485899</v>
      </c>
      <c r="AO1254" s="2">
        <v>18.375477136791901</v>
      </c>
      <c r="AP1254" s="2">
        <v>18.396636637446999</v>
      </c>
      <c r="AQ1254" s="2">
        <v>18.3631383876772</v>
      </c>
      <c r="AR1254" s="2">
        <v>18.7774275818586</v>
      </c>
      <c r="AS1254" s="2">
        <v>19.104150554584201</v>
      </c>
      <c r="AT1254" s="2">
        <v>18.496418352561399</v>
      </c>
      <c r="AU1254" s="2">
        <v>16.861546037525201</v>
      </c>
      <c r="AV1254" s="2">
        <v>18.021447140142499</v>
      </c>
      <c r="AW1254" s="2">
        <v>16.9187155882138</v>
      </c>
      <c r="AX1254" s="2">
        <v>18.211261170191001</v>
      </c>
      <c r="AY1254" s="2">
        <v>18.059957953219101</v>
      </c>
      <c r="AZ1254" s="2">
        <v>17.3791894883806</v>
      </c>
      <c r="BA1254" s="2">
        <v>18.400979555123701</v>
      </c>
      <c r="BB1254" s="2">
        <v>17.128720058813101</v>
      </c>
      <c r="BC1254" s="2">
        <v>20.171869109786101</v>
      </c>
      <c r="BD1254" s="2">
        <v>17.476750949639001</v>
      </c>
      <c r="BE1254" s="2">
        <v>18.789967738148299</v>
      </c>
      <c r="BF1254" s="2">
        <v>15.220455040631901</v>
      </c>
      <c r="BG1254" s="2">
        <v>16.1667656492377</v>
      </c>
      <c r="BH1254" s="2">
        <v>16.480454948823599</v>
      </c>
      <c r="BI1254" s="2">
        <v>17.417584472867901</v>
      </c>
      <c r="BJ1254" s="2">
        <v>18.698539083978499</v>
      </c>
      <c r="BK1254" s="2">
        <v>16.544550799713399</v>
      </c>
      <c r="BL1254" s="2">
        <v>18.8063468734927</v>
      </c>
      <c r="BM1254" s="2">
        <v>18.315986376715699</v>
      </c>
      <c r="BN1254" s="2">
        <v>17.6030208695779</v>
      </c>
      <c r="BO1254" s="2">
        <v>18.136701198625001</v>
      </c>
      <c r="BP1254" s="2">
        <v>18.1289631653055</v>
      </c>
      <c r="BQ1254" s="2">
        <v>18.271101004712101</v>
      </c>
      <c r="BR1254" s="2">
        <v>17.254435103279899</v>
      </c>
      <c r="BS1254" s="2">
        <v>18.3837688296314</v>
      </c>
      <c r="BT1254" s="2">
        <v>16.910216533817302</v>
      </c>
      <c r="BU1254" s="2">
        <v>19.537870415687902</v>
      </c>
      <c r="BV1254" s="2">
        <v>19.012742563696001</v>
      </c>
      <c r="BW1254" s="2">
        <v>16.961718162452801</v>
      </c>
      <c r="BX1254" s="2">
        <v>18.3969575438114</v>
      </c>
      <c r="BY1254" s="2">
        <v>19.018375945479999</v>
      </c>
      <c r="BZ1254" s="2">
        <v>15.458119160682701</v>
      </c>
      <c r="CA1254" s="2">
        <v>15.006048576764799</v>
      </c>
      <c r="CB1254" s="2">
        <v>18.534400313369101</v>
      </c>
      <c r="CC1254" s="2">
        <v>18.0078467870085</v>
      </c>
      <c r="CD1254" s="2">
        <v>19.317791570880399</v>
      </c>
      <c r="CE1254" s="2">
        <v>18.882463734120499</v>
      </c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</row>
    <row r="1255" spans="1:97">
      <c r="A1255" s="2" t="s">
        <v>11376</v>
      </c>
      <c r="B1255" s="2">
        <v>365.23025999999999</v>
      </c>
      <c r="C1255" s="2">
        <v>10.928000000000001</v>
      </c>
      <c r="D1255" s="2" t="s">
        <v>146</v>
      </c>
      <c r="E1255" s="2" t="s">
        <v>11377</v>
      </c>
      <c r="F1255" s="2" t="s">
        <v>11378</v>
      </c>
      <c r="G1255" s="2">
        <v>3963</v>
      </c>
      <c r="H1255" s="3" t="str">
        <f>HYPERLINK("https://cloud.oebiotech.com/#/lm/network/3963", "https://cloud.oebiotech.com/#/lm/network/3963")</f>
        <v>https://cloud.oebiotech.com/#/lm/network/3963</v>
      </c>
      <c r="I1255" s="2"/>
      <c r="J1255" s="2">
        <v>45056</v>
      </c>
      <c r="K1255" s="2" t="s">
        <v>11379</v>
      </c>
      <c r="L1255" s="2">
        <v>5283152</v>
      </c>
      <c r="M1255" s="2"/>
      <c r="N1255" s="2"/>
      <c r="O1255" s="2"/>
      <c r="P1255" s="2">
        <v>138332</v>
      </c>
      <c r="Q1255" s="2"/>
      <c r="R1255" s="2"/>
      <c r="S1255" s="2" t="s">
        <v>11380</v>
      </c>
      <c r="T1255" s="2" t="s">
        <v>11381</v>
      </c>
      <c r="U1255" s="2" t="s">
        <v>11382</v>
      </c>
      <c r="V1255" s="2" t="s">
        <v>95</v>
      </c>
      <c r="W1255" s="2" t="s">
        <v>96</v>
      </c>
      <c r="X1255" s="2" t="s">
        <v>3216</v>
      </c>
      <c r="Y1255" s="2" t="s">
        <v>98</v>
      </c>
      <c r="Z1255" s="2" t="s">
        <v>99</v>
      </c>
      <c r="AA1255" s="2" t="s">
        <v>3217</v>
      </c>
      <c r="AB1255" s="2" t="s">
        <v>3086</v>
      </c>
      <c r="AC1255" s="2">
        <v>46.9</v>
      </c>
      <c r="AD1255" s="2">
        <v>85.76</v>
      </c>
      <c r="AE1255" s="2">
        <v>0</v>
      </c>
      <c r="AF1255" s="2" t="s">
        <v>11383</v>
      </c>
      <c r="AG1255" s="2" t="s">
        <v>157</v>
      </c>
      <c r="AH1255" s="2" t="s">
        <v>11384</v>
      </c>
      <c r="AI1255" s="2">
        <v>8.2100000000000009</v>
      </c>
      <c r="AJ1255" s="2">
        <v>19.439611410353301</v>
      </c>
      <c r="AK1255" s="2">
        <v>19.430584470066002</v>
      </c>
      <c r="AL1255" s="2">
        <v>19.242939057705101</v>
      </c>
      <c r="AM1255" s="2">
        <v>19.242111676809401</v>
      </c>
      <c r="AN1255" s="2">
        <v>18.3361720505142</v>
      </c>
      <c r="AO1255" s="2">
        <v>19.374230561606801</v>
      </c>
      <c r="AP1255" s="2">
        <v>19.250440802800199</v>
      </c>
      <c r="AQ1255" s="2">
        <v>18.164066409019899</v>
      </c>
      <c r="AR1255" s="2">
        <v>18.020633900969699</v>
      </c>
      <c r="AS1255" s="2">
        <v>18.666791986834401</v>
      </c>
      <c r="AT1255" s="2">
        <v>18.982805312404199</v>
      </c>
      <c r="AU1255" s="2">
        <v>18.6598572267119</v>
      </c>
      <c r="AV1255" s="2">
        <v>18.588042204380599</v>
      </c>
      <c r="AW1255" s="2">
        <v>19.9155775023346</v>
      </c>
      <c r="AX1255" s="2">
        <v>19.0928888111787</v>
      </c>
      <c r="AY1255" s="2">
        <v>18.8698883907173</v>
      </c>
      <c r="AZ1255" s="2">
        <v>17.541462008447901</v>
      </c>
      <c r="BA1255" s="2">
        <v>19.261193889329</v>
      </c>
      <c r="BB1255" s="2">
        <v>17.9856337298101</v>
      </c>
      <c r="BC1255" s="2">
        <v>19.319254158263799</v>
      </c>
      <c r="BD1255" s="2">
        <v>16.4517959610262</v>
      </c>
      <c r="BE1255" s="2">
        <v>18.287188270471201</v>
      </c>
      <c r="BF1255" s="2">
        <v>17.9244946294763</v>
      </c>
      <c r="BG1255" s="2">
        <v>18.745224002322601</v>
      </c>
      <c r="BH1255" s="2">
        <v>18.7256228795897</v>
      </c>
      <c r="BI1255" s="2">
        <v>18.969631765399299</v>
      </c>
      <c r="BJ1255" s="2">
        <v>18.042755951501</v>
      </c>
      <c r="BK1255" s="2">
        <v>17.9085533504349</v>
      </c>
      <c r="BL1255" s="2">
        <v>20.510566148003399</v>
      </c>
      <c r="BM1255" s="2">
        <v>18.425800363287301</v>
      </c>
      <c r="BN1255" s="2">
        <v>19.271375779458101</v>
      </c>
      <c r="BO1255" s="2">
        <v>18.897658626762802</v>
      </c>
      <c r="BP1255" s="2">
        <v>18.869219367907899</v>
      </c>
      <c r="BQ1255" s="2">
        <v>19.610031662257999</v>
      </c>
      <c r="BR1255" s="2">
        <v>18.7957562198293</v>
      </c>
      <c r="BS1255" s="2">
        <v>18.9362818504841</v>
      </c>
      <c r="BT1255" s="2">
        <v>18.3450415122532</v>
      </c>
      <c r="BU1255" s="2">
        <v>20.036446856088201</v>
      </c>
      <c r="BV1255" s="2">
        <v>19.2834289998904</v>
      </c>
      <c r="BW1255" s="2">
        <v>17.6135641696373</v>
      </c>
      <c r="BX1255" s="2">
        <v>18.548357147118999</v>
      </c>
      <c r="BY1255" s="2">
        <v>19.758075193192202</v>
      </c>
      <c r="BZ1255" s="2">
        <v>18.8400819493976</v>
      </c>
      <c r="CA1255" s="2">
        <v>18.190165882858899</v>
      </c>
      <c r="CB1255" s="2">
        <v>20.581088050913401</v>
      </c>
      <c r="CC1255" s="2">
        <v>19.718009663783299</v>
      </c>
      <c r="CD1255" s="2">
        <v>19.179920992588599</v>
      </c>
      <c r="CE1255" s="2">
        <v>19.0038402513274</v>
      </c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</row>
    <row r="1256" spans="1:97">
      <c r="A1256" s="2" t="s">
        <v>11385</v>
      </c>
      <c r="B1256" s="2">
        <v>183.06263000000001</v>
      </c>
      <c r="C1256" s="2">
        <v>0.66300000000000003</v>
      </c>
      <c r="D1256" s="2" t="s">
        <v>84</v>
      </c>
      <c r="E1256" s="2" t="s">
        <v>11386</v>
      </c>
      <c r="F1256" s="2" t="s">
        <v>11387</v>
      </c>
      <c r="G1256" s="2">
        <v>64868</v>
      </c>
      <c r="H1256" s="3" t="str">
        <f>HYPERLINK("https://cloud.oebiotech.com/#/lm/network/64868", "https://cloud.oebiotech.com/#/lm/network/64868")</f>
        <v>https://cloud.oebiotech.com/#/lm/network/64868</v>
      </c>
      <c r="I1256" s="2" t="s">
        <v>11388</v>
      </c>
      <c r="J1256" s="2">
        <v>96151</v>
      </c>
      <c r="K1256" s="2"/>
      <c r="L1256" s="2">
        <v>119315</v>
      </c>
      <c r="M1256" s="2" t="s">
        <v>11389</v>
      </c>
      <c r="N1256" s="2"/>
      <c r="O1256" s="2"/>
      <c r="P1256" s="2">
        <v>44605</v>
      </c>
      <c r="Q1256" s="2" t="s">
        <v>11390</v>
      </c>
      <c r="R1256" s="2" t="s">
        <v>11391</v>
      </c>
      <c r="S1256" s="2" t="s">
        <v>11392</v>
      </c>
      <c r="T1256" s="2" t="s">
        <v>11393</v>
      </c>
      <c r="U1256" s="2" t="s">
        <v>11394</v>
      </c>
      <c r="V1256" s="2" t="s">
        <v>553</v>
      </c>
      <c r="W1256" s="2" t="s">
        <v>949</v>
      </c>
      <c r="X1256" s="2" t="s">
        <v>950</v>
      </c>
      <c r="Y1256" s="2" t="s">
        <v>556</v>
      </c>
      <c r="Z1256" s="2" t="s">
        <v>951</v>
      </c>
      <c r="AA1256" s="2" t="s">
        <v>952</v>
      </c>
      <c r="AB1256" s="2" t="s">
        <v>8443</v>
      </c>
      <c r="AC1256" s="2">
        <v>46.88</v>
      </c>
      <c r="AD1256" s="2">
        <v>95.76</v>
      </c>
      <c r="AE1256" s="2">
        <v>0</v>
      </c>
      <c r="AF1256" s="2" t="s">
        <v>5614</v>
      </c>
      <c r="AG1256" s="2" t="s">
        <v>132</v>
      </c>
      <c r="AH1256" s="2" t="s">
        <v>11395</v>
      </c>
      <c r="AI1256" s="2">
        <v>-0.55000000000000004</v>
      </c>
      <c r="AJ1256" s="2">
        <v>20.6956476065922</v>
      </c>
      <c r="AK1256" s="2">
        <v>20.187030664920201</v>
      </c>
      <c r="AL1256" s="2">
        <v>20.500481621696601</v>
      </c>
      <c r="AM1256" s="2">
        <v>20.500957074629799</v>
      </c>
      <c r="AN1256" s="2">
        <v>20.270633646609198</v>
      </c>
      <c r="AO1256" s="2">
        <v>20.227299397912301</v>
      </c>
      <c r="AP1256" s="2">
        <v>20.3342950458748</v>
      </c>
      <c r="AQ1256" s="2">
        <v>20.647856266539101</v>
      </c>
      <c r="AR1256" s="2">
        <v>20.4805386508643</v>
      </c>
      <c r="AS1256" s="2">
        <v>20.1494255212572</v>
      </c>
      <c r="AT1256" s="2">
        <v>20.297151038743301</v>
      </c>
      <c r="AU1256" s="2">
        <v>19.835674162300101</v>
      </c>
      <c r="AV1256" s="2">
        <v>19.9251938949117</v>
      </c>
      <c r="AW1256" s="2">
        <v>20.184001765375999</v>
      </c>
      <c r="AX1256" s="2">
        <v>20.478200376173302</v>
      </c>
      <c r="AY1256" s="2">
        <v>20.482479682394199</v>
      </c>
      <c r="AZ1256" s="2">
        <v>19.985461321962301</v>
      </c>
      <c r="BA1256" s="2">
        <v>19.826561334746899</v>
      </c>
      <c r="BB1256" s="2">
        <v>19.7312420874478</v>
      </c>
      <c r="BC1256" s="2">
        <v>20.355918602865099</v>
      </c>
      <c r="BD1256" s="2">
        <v>20.788759427811701</v>
      </c>
      <c r="BE1256" s="2">
        <v>19.563865787356299</v>
      </c>
      <c r="BF1256" s="2">
        <v>19.712529787974599</v>
      </c>
      <c r="BG1256" s="2">
        <v>19.376541103245099</v>
      </c>
      <c r="BH1256" s="2">
        <v>20.551150927589401</v>
      </c>
      <c r="BI1256" s="2">
        <v>19.831746621218802</v>
      </c>
      <c r="BJ1256" s="2">
        <v>20.615421118157499</v>
      </c>
      <c r="BK1256" s="2">
        <v>20.618544772402501</v>
      </c>
      <c r="BL1256" s="2">
        <v>20.403294261391501</v>
      </c>
      <c r="BM1256" s="2">
        <v>19.6515535968873</v>
      </c>
      <c r="BN1256" s="2">
        <v>20.435717816273801</v>
      </c>
      <c r="BO1256" s="2">
        <v>20.7586595523371</v>
      </c>
      <c r="BP1256" s="2">
        <v>21.017460822300801</v>
      </c>
      <c r="BQ1256" s="2">
        <v>20.685392873100199</v>
      </c>
      <c r="BR1256" s="2">
        <v>20.215636641857699</v>
      </c>
      <c r="BS1256" s="2">
        <v>20.5118309217874</v>
      </c>
      <c r="BT1256" s="2">
        <v>20.057563126400499</v>
      </c>
      <c r="BU1256" s="2">
        <v>20.317020127155601</v>
      </c>
      <c r="BV1256" s="2">
        <v>20.690600449624899</v>
      </c>
      <c r="BW1256" s="2">
        <v>20.575202654682698</v>
      </c>
      <c r="BX1256" s="2">
        <v>20.7873443493148</v>
      </c>
      <c r="BY1256" s="2">
        <v>20.4098761107591</v>
      </c>
      <c r="BZ1256" s="2">
        <v>20.290903751666502</v>
      </c>
      <c r="CA1256" s="2">
        <v>20.832629154332199</v>
      </c>
      <c r="CB1256" s="2">
        <v>20.792889317667601</v>
      </c>
      <c r="CC1256" s="2">
        <v>20.5920137188646</v>
      </c>
      <c r="CD1256" s="2">
        <v>20.6825357242747</v>
      </c>
      <c r="CE1256" s="2">
        <v>20.302572215090802</v>
      </c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</row>
    <row r="1257" spans="1:97">
      <c r="A1257" s="2" t="s">
        <v>11396</v>
      </c>
      <c r="B1257" s="2">
        <v>608.35748999999998</v>
      </c>
      <c r="C1257" s="2">
        <v>10.372999999999999</v>
      </c>
      <c r="D1257" s="2" t="s">
        <v>146</v>
      </c>
      <c r="E1257" s="2" t="s">
        <v>11397</v>
      </c>
      <c r="F1257" s="2" t="s">
        <v>11398</v>
      </c>
      <c r="G1257" s="2">
        <v>18397</v>
      </c>
      <c r="H1257" s="3" t="str">
        <f>HYPERLINK("https://cloud.oebiotech.com/#/lm/network/18397", "https://cloud.oebiotech.com/#/lm/network/18397")</f>
        <v>https://cloud.oebiotech.com/#/lm/network/18397</v>
      </c>
      <c r="I1257" s="2"/>
      <c r="J1257" s="2">
        <v>39619</v>
      </c>
      <c r="K1257" s="2" t="s">
        <v>11399</v>
      </c>
      <c r="L1257" s="2">
        <v>24778927</v>
      </c>
      <c r="M1257" s="2"/>
      <c r="N1257" s="2"/>
      <c r="O1257" s="2"/>
      <c r="P1257" s="2"/>
      <c r="Q1257" s="2"/>
      <c r="R1257" s="2"/>
      <c r="S1257" s="2"/>
      <c r="T1257" s="2" t="s">
        <v>11400</v>
      </c>
      <c r="U1257" s="2" t="s">
        <v>11401</v>
      </c>
      <c r="V1257" s="2" t="s">
        <v>95</v>
      </c>
      <c r="W1257" s="2" t="s">
        <v>202</v>
      </c>
      <c r="X1257" s="2" t="s">
        <v>203</v>
      </c>
      <c r="Y1257" s="2" t="s">
        <v>98</v>
      </c>
      <c r="Z1257" s="2" t="s">
        <v>204</v>
      </c>
      <c r="AA1257" s="2" t="s">
        <v>205</v>
      </c>
      <c r="AB1257" s="2" t="s">
        <v>5118</v>
      </c>
      <c r="AC1257" s="2">
        <v>46.88</v>
      </c>
      <c r="AD1257" s="2">
        <v>79.72</v>
      </c>
      <c r="AE1257" s="2">
        <v>68.349999999999994</v>
      </c>
      <c r="AF1257" s="2" t="s">
        <v>11402</v>
      </c>
      <c r="AG1257" s="2" t="s">
        <v>157</v>
      </c>
      <c r="AH1257" s="2" t="s">
        <v>11403</v>
      </c>
      <c r="AI1257" s="2">
        <v>-0.99</v>
      </c>
      <c r="AJ1257" s="2">
        <v>18.885478084386499</v>
      </c>
      <c r="AK1257" s="2">
        <v>18.846437947607299</v>
      </c>
      <c r="AL1257" s="2">
        <v>18.680052610469499</v>
      </c>
      <c r="AM1257" s="2">
        <v>18.886429728861099</v>
      </c>
      <c r="AN1257" s="2">
        <v>18.569566832798799</v>
      </c>
      <c r="AO1257" s="2">
        <v>18.724075734251901</v>
      </c>
      <c r="AP1257" s="2">
        <v>18.6156230639669</v>
      </c>
      <c r="AQ1257" s="2">
        <v>18.614399317573</v>
      </c>
      <c r="AR1257" s="2">
        <v>19.1494098413858</v>
      </c>
      <c r="AS1257" s="2">
        <v>17.777844500853199</v>
      </c>
      <c r="AT1257" s="2">
        <v>17.974882833988399</v>
      </c>
      <c r="AU1257" s="2">
        <v>18.5706929826191</v>
      </c>
      <c r="AV1257" s="2">
        <v>18.7346329234203</v>
      </c>
      <c r="AW1257" s="2">
        <v>18.6679136365678</v>
      </c>
      <c r="AX1257" s="2">
        <v>18.805045684910599</v>
      </c>
      <c r="AY1257" s="2">
        <v>18.555742736490799</v>
      </c>
      <c r="AZ1257" s="2">
        <v>18.630470914062901</v>
      </c>
      <c r="BA1257" s="2">
        <v>17.603856963051101</v>
      </c>
      <c r="BB1257" s="2">
        <v>18.5089430797</v>
      </c>
      <c r="BC1257" s="2">
        <v>18.740007067700699</v>
      </c>
      <c r="BD1257" s="2">
        <v>18.440772468448699</v>
      </c>
      <c r="BE1257" s="2">
        <v>19.2320474490169</v>
      </c>
      <c r="BF1257" s="2">
        <v>18.615309428763801</v>
      </c>
      <c r="BG1257" s="2">
        <v>18.371475952295601</v>
      </c>
      <c r="BH1257" s="2">
        <v>18.798187781796901</v>
      </c>
      <c r="BI1257" s="2">
        <v>18.1534668778094</v>
      </c>
      <c r="BJ1257" s="2">
        <v>18.591994368038399</v>
      </c>
      <c r="BK1257" s="2">
        <v>18.053704366558801</v>
      </c>
      <c r="BL1257" s="2">
        <v>18.717907113211801</v>
      </c>
      <c r="BM1257" s="2">
        <v>18.894154430009198</v>
      </c>
      <c r="BN1257" s="2">
        <v>18.8130226376813</v>
      </c>
      <c r="BO1257" s="2">
        <v>18.212078255386299</v>
      </c>
      <c r="BP1257" s="2">
        <v>18.635564985960301</v>
      </c>
      <c r="BQ1257" s="2">
        <v>18.450723073119899</v>
      </c>
      <c r="BR1257" s="2">
        <v>18.992513369187201</v>
      </c>
      <c r="BS1257" s="2">
        <v>19.056880128260101</v>
      </c>
      <c r="BT1257" s="2">
        <v>18.370864804349001</v>
      </c>
      <c r="BU1257" s="2">
        <v>18.0928874953097</v>
      </c>
      <c r="BV1257" s="2">
        <v>18.1744784760131</v>
      </c>
      <c r="BW1257" s="2">
        <v>18.0773755971681</v>
      </c>
      <c r="BX1257" s="2">
        <v>18.865881127919302</v>
      </c>
      <c r="BY1257" s="2">
        <v>19.6536235157897</v>
      </c>
      <c r="BZ1257" s="2">
        <v>18.360786827775598</v>
      </c>
      <c r="CA1257" s="2">
        <v>18.708074754192701</v>
      </c>
      <c r="CB1257" s="2">
        <v>18.5882641987982</v>
      </c>
      <c r="CC1257" s="2">
        <v>18.4431214574218</v>
      </c>
      <c r="CD1257" s="2">
        <v>18.667084057352501</v>
      </c>
      <c r="CE1257" s="2">
        <v>17.687735300780901</v>
      </c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</row>
    <row r="1258" spans="1:97">
      <c r="A1258" s="2" t="s">
        <v>11404</v>
      </c>
      <c r="B1258" s="2">
        <v>159.09144000000001</v>
      </c>
      <c r="C1258" s="2">
        <v>3.6819999999999999</v>
      </c>
      <c r="D1258" s="2" t="s">
        <v>84</v>
      </c>
      <c r="E1258" s="2" t="s">
        <v>11405</v>
      </c>
      <c r="F1258" s="2" t="s">
        <v>11406</v>
      </c>
      <c r="G1258" s="2">
        <v>199752</v>
      </c>
      <c r="H1258" s="3" t="str">
        <f>HYPERLINK("https://cloud.oebiotech.com/#/lm/network/199752", "https://cloud.oebiotech.com/#/lm/network/199752")</f>
        <v>https://cloud.oebiotech.com/#/lm/network/199752</v>
      </c>
      <c r="I1258" s="2" t="s">
        <v>11407</v>
      </c>
      <c r="J1258" s="2">
        <v>73157</v>
      </c>
      <c r="K1258" s="2"/>
      <c r="L1258" s="2">
        <v>16720</v>
      </c>
      <c r="M1258" s="2" t="s">
        <v>11408</v>
      </c>
      <c r="N1258" s="2"/>
      <c r="O1258" s="2"/>
      <c r="P1258" s="2">
        <v>53003</v>
      </c>
      <c r="Q1258" s="2"/>
      <c r="R1258" s="2"/>
      <c r="S1258" s="2" t="s">
        <v>11409</v>
      </c>
      <c r="T1258" s="2" t="s">
        <v>11410</v>
      </c>
      <c r="U1258" s="2" t="s">
        <v>11411</v>
      </c>
      <c r="V1258" s="2" t="s">
        <v>385</v>
      </c>
      <c r="W1258" s="2" t="s">
        <v>4381</v>
      </c>
      <c r="X1258" s="2" t="s">
        <v>375</v>
      </c>
      <c r="Y1258" s="2" t="s">
        <v>388</v>
      </c>
      <c r="Z1258" s="2" t="s">
        <v>4382</v>
      </c>
      <c r="AA1258" s="2"/>
      <c r="AB1258" s="2" t="s">
        <v>8443</v>
      </c>
      <c r="AC1258" s="2">
        <v>46.87</v>
      </c>
      <c r="AD1258" s="2">
        <v>97.1</v>
      </c>
      <c r="AE1258" s="2">
        <v>0</v>
      </c>
      <c r="AF1258" s="2" t="s">
        <v>11412</v>
      </c>
      <c r="AG1258" s="2" t="s">
        <v>103</v>
      </c>
      <c r="AH1258" s="2" t="s">
        <v>11413</v>
      </c>
      <c r="AI1258" s="2">
        <v>1.89</v>
      </c>
      <c r="AJ1258" s="2">
        <v>24.602205591066301</v>
      </c>
      <c r="AK1258" s="2">
        <v>24.608500236268501</v>
      </c>
      <c r="AL1258" s="2">
        <v>24.528713681290601</v>
      </c>
      <c r="AM1258" s="2">
        <v>24.279540407280699</v>
      </c>
      <c r="AN1258" s="2">
        <v>24.685902634092201</v>
      </c>
      <c r="AO1258" s="2">
        <v>24.6315973493973</v>
      </c>
      <c r="AP1258" s="2">
        <v>24.510467429076598</v>
      </c>
      <c r="AQ1258" s="2">
        <v>24.774436636085198</v>
      </c>
      <c r="AR1258" s="2">
        <v>23.687744267430599</v>
      </c>
      <c r="AS1258" s="2">
        <v>23.4042291146176</v>
      </c>
      <c r="AT1258" s="2">
        <v>24.2683431497898</v>
      </c>
      <c r="AU1258" s="2">
        <v>23.961392113857801</v>
      </c>
      <c r="AV1258" s="2">
        <v>24.339322931391301</v>
      </c>
      <c r="AW1258" s="2">
        <v>24.531480617285201</v>
      </c>
      <c r="AX1258" s="2">
        <v>24.155166588343199</v>
      </c>
      <c r="AY1258" s="2">
        <v>24.3701325229455</v>
      </c>
      <c r="AZ1258" s="2">
        <v>24.511156131944901</v>
      </c>
      <c r="BA1258" s="2">
        <v>23.988261721008602</v>
      </c>
      <c r="BB1258" s="2">
        <v>25.0342318727152</v>
      </c>
      <c r="BC1258" s="2">
        <v>24.686931783186701</v>
      </c>
      <c r="BD1258" s="2">
        <v>24.262113158997401</v>
      </c>
      <c r="BE1258" s="2">
        <v>25.194022281379699</v>
      </c>
      <c r="BF1258" s="2">
        <v>24.7881318699615</v>
      </c>
      <c r="BG1258" s="2">
        <v>25.0931928834299</v>
      </c>
      <c r="BH1258" s="2">
        <v>24.7431724717027</v>
      </c>
      <c r="BI1258" s="2">
        <v>24.4167641854437</v>
      </c>
      <c r="BJ1258" s="2">
        <v>24.950467954046399</v>
      </c>
      <c r="BK1258" s="2">
        <v>24.595589701278399</v>
      </c>
      <c r="BL1258" s="2">
        <v>24.147513066306701</v>
      </c>
      <c r="BM1258" s="2">
        <v>24.912787253536301</v>
      </c>
      <c r="BN1258" s="2">
        <v>24.8452620113253</v>
      </c>
      <c r="BO1258" s="2">
        <v>24.505860736163999</v>
      </c>
      <c r="BP1258" s="2">
        <v>24.407030626201799</v>
      </c>
      <c r="BQ1258" s="2">
        <v>24.801950351079999</v>
      </c>
      <c r="BR1258" s="2">
        <v>24.688466625659899</v>
      </c>
      <c r="BS1258" s="2">
        <v>24.426486554635201</v>
      </c>
      <c r="BT1258" s="2">
        <v>24.1831407934007</v>
      </c>
      <c r="BU1258" s="2">
        <v>23.777679550031198</v>
      </c>
      <c r="BV1258" s="2">
        <v>24.817060779244599</v>
      </c>
      <c r="BW1258" s="2">
        <v>23.784258857125</v>
      </c>
      <c r="BX1258" s="2">
        <v>24.666013459305901</v>
      </c>
      <c r="BY1258" s="2">
        <v>24.921959143957199</v>
      </c>
      <c r="BZ1258" s="2">
        <v>24.890116855573101</v>
      </c>
      <c r="CA1258" s="2">
        <v>25.0756250887707</v>
      </c>
      <c r="CB1258" s="2">
        <v>24.472128214127601</v>
      </c>
      <c r="CC1258" s="2">
        <v>24.163101615758599</v>
      </c>
      <c r="CD1258" s="2">
        <v>25.0757622331964</v>
      </c>
      <c r="CE1258" s="2">
        <v>24.847914201549401</v>
      </c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</row>
    <row r="1259" spans="1:97">
      <c r="A1259" s="2" t="s">
        <v>11414</v>
      </c>
      <c r="B1259" s="2">
        <v>241.07355999999999</v>
      </c>
      <c r="C1259" s="2">
        <v>4.2830000000000004</v>
      </c>
      <c r="D1259" s="2" t="s">
        <v>84</v>
      </c>
      <c r="E1259" s="2" t="s">
        <v>11415</v>
      </c>
      <c r="F1259" s="2" t="s">
        <v>11416</v>
      </c>
      <c r="G1259" s="2">
        <v>57200</v>
      </c>
      <c r="H1259" s="3" t="str">
        <f>HYPERLINK("https://cloud.oebiotech.com/#/lm/network/57200", "https://cloud.oebiotech.com/#/lm/network/57200")</f>
        <v>https://cloud.oebiotech.com/#/lm/network/57200</v>
      </c>
      <c r="I1259" s="2" t="s">
        <v>11417</v>
      </c>
      <c r="J1259" s="2">
        <v>88840</v>
      </c>
      <c r="K1259" s="2"/>
      <c r="L1259" s="2">
        <v>161268</v>
      </c>
      <c r="M1259" s="2"/>
      <c r="N1259" s="2"/>
      <c r="O1259" s="2"/>
      <c r="P1259" s="2"/>
      <c r="Q1259" s="2"/>
      <c r="R1259" s="2"/>
      <c r="S1259" s="2" t="s">
        <v>11418</v>
      </c>
      <c r="T1259" s="2" t="s">
        <v>11419</v>
      </c>
      <c r="U1259" s="2" t="s">
        <v>11420</v>
      </c>
      <c r="V1259" s="2" t="s">
        <v>553</v>
      </c>
      <c r="W1259" s="2" t="s">
        <v>933</v>
      </c>
      <c r="X1259" s="2" t="s">
        <v>934</v>
      </c>
      <c r="Y1259" s="2" t="s">
        <v>556</v>
      </c>
      <c r="Z1259" s="2" t="s">
        <v>935</v>
      </c>
      <c r="AA1259" s="2" t="s">
        <v>936</v>
      </c>
      <c r="AB1259" s="2" t="s">
        <v>5118</v>
      </c>
      <c r="AC1259" s="2">
        <v>46.87</v>
      </c>
      <c r="AD1259" s="2">
        <v>98.08</v>
      </c>
      <c r="AE1259" s="2">
        <v>45.31</v>
      </c>
      <c r="AF1259" s="2" t="s">
        <v>11421</v>
      </c>
      <c r="AG1259" s="2" t="s">
        <v>132</v>
      </c>
      <c r="AH1259" s="2" t="s">
        <v>11422</v>
      </c>
      <c r="AI1259" s="2">
        <v>0.83</v>
      </c>
      <c r="AJ1259" s="2">
        <v>23.6343218049883</v>
      </c>
      <c r="AK1259" s="2">
        <v>23.6762936311845</v>
      </c>
      <c r="AL1259" s="2">
        <v>23.797904143801102</v>
      </c>
      <c r="AM1259" s="2">
        <v>24.017055427711899</v>
      </c>
      <c r="AN1259" s="2">
        <v>23.913708736780801</v>
      </c>
      <c r="AO1259" s="2">
        <v>24.202220691672299</v>
      </c>
      <c r="AP1259" s="2">
        <v>24.079752001475999</v>
      </c>
      <c r="AQ1259" s="2">
        <v>24.275644384559701</v>
      </c>
      <c r="AR1259" s="2">
        <v>23.908956155076702</v>
      </c>
      <c r="AS1259" s="2">
        <v>24.163788941474301</v>
      </c>
      <c r="AT1259" s="2">
        <v>24.071874112044402</v>
      </c>
      <c r="AU1259" s="2">
        <v>23.4473518071614</v>
      </c>
      <c r="AV1259" s="2">
        <v>24.052603955619102</v>
      </c>
      <c r="AW1259" s="2">
        <v>24.096187398737602</v>
      </c>
      <c r="AX1259" s="2">
        <v>24.528788633133701</v>
      </c>
      <c r="AY1259" s="2">
        <v>24.041718123968199</v>
      </c>
      <c r="AZ1259" s="2">
        <v>24.1253407494711</v>
      </c>
      <c r="BA1259" s="2">
        <v>24.131332419344002</v>
      </c>
      <c r="BB1259" s="2">
        <v>24.013328480706299</v>
      </c>
      <c r="BC1259" s="2">
        <v>22.7569018643911</v>
      </c>
      <c r="BD1259" s="2">
        <v>24.3288018313552</v>
      </c>
      <c r="BE1259" s="2">
        <v>24.0293206276992</v>
      </c>
      <c r="BF1259" s="2">
        <v>24.0662437189124</v>
      </c>
      <c r="BG1259" s="2">
        <v>24.340833893871601</v>
      </c>
      <c r="BH1259" s="2">
        <v>24.288402953102199</v>
      </c>
      <c r="BI1259" s="2">
        <v>24.4429989726688</v>
      </c>
      <c r="BJ1259" s="2">
        <v>23.925134493931701</v>
      </c>
      <c r="BK1259" s="2">
        <v>24.5371344725637</v>
      </c>
      <c r="BL1259" s="2">
        <v>24.4714380327007</v>
      </c>
      <c r="BM1259" s="2">
        <v>23.364030291889399</v>
      </c>
      <c r="BN1259" s="2">
        <v>23.969085684914599</v>
      </c>
      <c r="BO1259" s="2">
        <v>24.297242194468399</v>
      </c>
      <c r="BP1259" s="2">
        <v>24.287189851105499</v>
      </c>
      <c r="BQ1259" s="2">
        <v>24.119301114625099</v>
      </c>
      <c r="BR1259" s="2">
        <v>23.886858207803801</v>
      </c>
      <c r="BS1259" s="2">
        <v>23.933965770348099</v>
      </c>
      <c r="BT1259" s="2">
        <v>24.102275783491301</v>
      </c>
      <c r="BU1259" s="2">
        <v>23.969215070257199</v>
      </c>
      <c r="BV1259" s="2">
        <v>23.8319983447455</v>
      </c>
      <c r="BW1259" s="2">
        <v>24.395311827212002</v>
      </c>
      <c r="BX1259" s="2">
        <v>23.946844964666798</v>
      </c>
      <c r="BY1259" s="2">
        <v>24.1993173424489</v>
      </c>
      <c r="BZ1259" s="2">
        <v>24.118469441483899</v>
      </c>
      <c r="CA1259" s="2">
        <v>23.905676497340401</v>
      </c>
      <c r="CB1259" s="2">
        <v>24.757940834699401</v>
      </c>
      <c r="CC1259" s="2">
        <v>24.4010150367438</v>
      </c>
      <c r="CD1259" s="2">
        <v>24.309250007372999</v>
      </c>
      <c r="CE1259" s="2">
        <v>24.585837394902601</v>
      </c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</row>
    <row r="1260" spans="1:97">
      <c r="A1260" s="2" t="s">
        <v>11423</v>
      </c>
      <c r="B1260" s="2">
        <v>461.36577</v>
      </c>
      <c r="C1260" s="2">
        <v>10.222</v>
      </c>
      <c r="D1260" s="2" t="s">
        <v>84</v>
      </c>
      <c r="E1260" s="2" t="s">
        <v>11424</v>
      </c>
      <c r="F1260" s="2" t="s">
        <v>11425</v>
      </c>
      <c r="G1260" s="2">
        <v>254876</v>
      </c>
      <c r="H1260" s="3" t="str">
        <f>HYPERLINK("https://cloud.oebiotech.com/#/lm/network/254876", "https://cloud.oebiotech.com/#/lm/network/254876")</f>
        <v>https://cloud.oebiotech.com/#/lm/network/254876</v>
      </c>
      <c r="I1260" s="2" t="s">
        <v>11426</v>
      </c>
      <c r="J1260" s="2"/>
      <c r="K1260" s="2"/>
      <c r="L1260" s="2">
        <v>14607938</v>
      </c>
      <c r="M1260" s="2"/>
      <c r="N1260" s="2"/>
      <c r="O1260" s="2"/>
      <c r="P1260" s="2"/>
      <c r="Q1260" s="2"/>
      <c r="R1260" s="2"/>
      <c r="S1260" s="2" t="s">
        <v>11427</v>
      </c>
      <c r="T1260" s="2" t="s">
        <v>11428</v>
      </c>
      <c r="U1260" s="2" t="s">
        <v>11429</v>
      </c>
      <c r="V1260" s="2" t="s">
        <v>95</v>
      </c>
      <c r="W1260" s="2" t="s">
        <v>152</v>
      </c>
      <c r="X1260" s="2" t="s">
        <v>278</v>
      </c>
      <c r="Y1260" s="2" t="s">
        <v>98</v>
      </c>
      <c r="Z1260" s="2" t="s">
        <v>154</v>
      </c>
      <c r="AA1260" s="2" t="s">
        <v>279</v>
      </c>
      <c r="AB1260" s="2" t="s">
        <v>3086</v>
      </c>
      <c r="AC1260" s="2">
        <v>46.87</v>
      </c>
      <c r="AD1260" s="2">
        <v>91.13</v>
      </c>
      <c r="AE1260" s="2">
        <v>0</v>
      </c>
      <c r="AF1260" s="2" t="s">
        <v>11430</v>
      </c>
      <c r="AG1260" s="2" t="s">
        <v>103</v>
      </c>
      <c r="AH1260" s="2" t="s">
        <v>11431</v>
      </c>
      <c r="AI1260" s="2">
        <v>-7.15</v>
      </c>
      <c r="AJ1260" s="2">
        <v>22.5838214055923</v>
      </c>
      <c r="AK1260" s="2">
        <v>22.502613818717101</v>
      </c>
      <c r="AL1260" s="2">
        <v>22.5224559739199</v>
      </c>
      <c r="AM1260" s="2">
        <v>22.438804596406701</v>
      </c>
      <c r="AN1260" s="2">
        <v>22.405384703333102</v>
      </c>
      <c r="AO1260" s="2">
        <v>22.394698864485999</v>
      </c>
      <c r="AP1260" s="2">
        <v>22.4095999301794</v>
      </c>
      <c r="AQ1260" s="2">
        <v>22.4780445567215</v>
      </c>
      <c r="AR1260" s="2">
        <v>22.5495504563964</v>
      </c>
      <c r="AS1260" s="2">
        <v>22.630923781181998</v>
      </c>
      <c r="AT1260" s="2">
        <v>22.512663859447599</v>
      </c>
      <c r="AU1260" s="2">
        <v>22.5275692676916</v>
      </c>
      <c r="AV1260" s="2">
        <v>22.4391017530033</v>
      </c>
      <c r="AW1260" s="2">
        <v>22.4725457176066</v>
      </c>
      <c r="AX1260" s="2">
        <v>22.379533438870801</v>
      </c>
      <c r="AY1260" s="2">
        <v>22.417699422169701</v>
      </c>
      <c r="AZ1260" s="2">
        <v>22.470044181704498</v>
      </c>
      <c r="BA1260" s="2">
        <v>22.454189958034199</v>
      </c>
      <c r="BB1260" s="2">
        <v>22.5225775612865</v>
      </c>
      <c r="BC1260" s="2">
        <v>22.537364604919102</v>
      </c>
      <c r="BD1260" s="2">
        <v>22.520569771673301</v>
      </c>
      <c r="BE1260" s="2">
        <v>22.393233337609502</v>
      </c>
      <c r="BF1260" s="2">
        <v>22.493399510609201</v>
      </c>
      <c r="BG1260" s="2">
        <v>22.417739593939899</v>
      </c>
      <c r="BH1260" s="2">
        <v>22.476953897724801</v>
      </c>
      <c r="BI1260" s="2">
        <v>22.638743766909201</v>
      </c>
      <c r="BJ1260" s="2">
        <v>22.406403405846198</v>
      </c>
      <c r="BK1260" s="2">
        <v>22.348741440768698</v>
      </c>
      <c r="BL1260" s="2">
        <v>22.4014332487627</v>
      </c>
      <c r="BM1260" s="2">
        <v>22.380715949255301</v>
      </c>
      <c r="BN1260" s="2">
        <v>22.283463551890701</v>
      </c>
      <c r="BO1260" s="2">
        <v>22.3087726044898</v>
      </c>
      <c r="BP1260" s="2">
        <v>22.204496128293801</v>
      </c>
      <c r="BQ1260" s="2">
        <v>22.3937286123106</v>
      </c>
      <c r="BR1260" s="2">
        <v>22.5332265769797</v>
      </c>
      <c r="BS1260" s="2">
        <v>22.340365400144002</v>
      </c>
      <c r="BT1260" s="2">
        <v>22.462243006550001</v>
      </c>
      <c r="BU1260" s="2">
        <v>22.437088506014799</v>
      </c>
      <c r="BV1260" s="2">
        <v>22.426876579858501</v>
      </c>
      <c r="BW1260" s="2">
        <v>22.386939784991299</v>
      </c>
      <c r="BX1260" s="2">
        <v>22.2401500319591</v>
      </c>
      <c r="BY1260" s="2">
        <v>22.175210173025</v>
      </c>
      <c r="BZ1260" s="2">
        <v>22.263807028750101</v>
      </c>
      <c r="CA1260" s="2">
        <v>22.3300395961429</v>
      </c>
      <c r="CB1260" s="2">
        <v>22.241306480505902</v>
      </c>
      <c r="CC1260" s="2">
        <v>22.321124007429098</v>
      </c>
      <c r="CD1260" s="2">
        <v>22.1184461244078</v>
      </c>
      <c r="CE1260" s="2">
        <v>22.358332316263098</v>
      </c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</row>
    <row r="1261" spans="1:97">
      <c r="A1261" s="2" t="s">
        <v>11432</v>
      </c>
      <c r="B1261" s="2">
        <v>225.07635999999999</v>
      </c>
      <c r="C1261" s="2">
        <v>6.5620000000000003</v>
      </c>
      <c r="D1261" s="2" t="s">
        <v>146</v>
      </c>
      <c r="E1261" s="2" t="s">
        <v>11433</v>
      </c>
      <c r="F1261" s="2" t="s">
        <v>11434</v>
      </c>
      <c r="G1261" s="2">
        <v>82598</v>
      </c>
      <c r="H1261" s="3" t="str">
        <f>HYPERLINK("https://cloud.oebiotech.com/#/lm/network/82598", "https://cloud.oebiotech.com/#/lm/network/82598")</f>
        <v>https://cloud.oebiotech.com/#/lm/network/82598</v>
      </c>
      <c r="I1261" s="2" t="s">
        <v>11435</v>
      </c>
      <c r="J1261" s="2">
        <v>1517</v>
      </c>
      <c r="K1261" s="2"/>
      <c r="L1261" s="2">
        <v>23378291</v>
      </c>
      <c r="M1261" s="2"/>
      <c r="N1261" s="2"/>
      <c r="O1261" s="2"/>
      <c r="P1261" s="2"/>
      <c r="Q1261" s="2"/>
      <c r="R1261" s="2"/>
      <c r="S1261" s="2" t="s">
        <v>11436</v>
      </c>
      <c r="T1261" s="2" t="s">
        <v>11437</v>
      </c>
      <c r="U1261" s="2" t="s">
        <v>11438</v>
      </c>
      <c r="V1261" s="2" t="s">
        <v>845</v>
      </c>
      <c r="W1261" s="2" t="s">
        <v>4232</v>
      </c>
      <c r="X1261" s="2" t="s">
        <v>375</v>
      </c>
      <c r="Y1261" s="2" t="s">
        <v>847</v>
      </c>
      <c r="Z1261" s="2" t="s">
        <v>4233</v>
      </c>
      <c r="AA1261" s="2"/>
      <c r="AB1261" s="2" t="s">
        <v>5118</v>
      </c>
      <c r="AC1261" s="2">
        <v>46.86</v>
      </c>
      <c r="AD1261" s="2">
        <v>92.89</v>
      </c>
      <c r="AE1261" s="2">
        <v>56.61</v>
      </c>
      <c r="AF1261" s="2" t="s">
        <v>11439</v>
      </c>
      <c r="AG1261" s="2" t="s">
        <v>157</v>
      </c>
      <c r="AH1261" s="2" t="s">
        <v>365</v>
      </c>
      <c r="AI1261" s="2">
        <v>1.78</v>
      </c>
      <c r="AJ1261" s="2">
        <v>19.1493805155994</v>
      </c>
      <c r="AK1261" s="2">
        <v>19.095539191801201</v>
      </c>
      <c r="AL1261" s="2">
        <v>18.9569182515622</v>
      </c>
      <c r="AM1261" s="2">
        <v>19.035423624129201</v>
      </c>
      <c r="AN1261" s="2">
        <v>19.047576973599298</v>
      </c>
      <c r="AO1261" s="2">
        <v>19.007446748745199</v>
      </c>
      <c r="AP1261" s="2">
        <v>19.076741889773601</v>
      </c>
      <c r="AQ1261" s="2">
        <v>18.950514235118298</v>
      </c>
      <c r="AR1261" s="2">
        <v>19.192188047655598</v>
      </c>
      <c r="AS1261" s="2">
        <v>18.708308264622701</v>
      </c>
      <c r="AT1261" s="2">
        <v>19.604426650374901</v>
      </c>
      <c r="AU1261" s="2">
        <v>17.902241433815899</v>
      </c>
      <c r="AV1261" s="2">
        <v>17.762781628892601</v>
      </c>
      <c r="AW1261" s="2">
        <v>18.1806566724897</v>
      </c>
      <c r="AX1261" s="2">
        <v>17.205347969243</v>
      </c>
      <c r="AY1261" s="2">
        <v>18.3416779991135</v>
      </c>
      <c r="AZ1261" s="2">
        <v>18.637932871379501</v>
      </c>
      <c r="BA1261" s="2">
        <v>19.616071342259499</v>
      </c>
      <c r="BB1261" s="2">
        <v>19.000356771727802</v>
      </c>
      <c r="BC1261" s="2">
        <v>20.563862790330901</v>
      </c>
      <c r="BD1261" s="2">
        <v>20.091958075907002</v>
      </c>
      <c r="BE1261" s="2">
        <v>19.197874541341498</v>
      </c>
      <c r="BF1261" s="2">
        <v>17.696409636953501</v>
      </c>
      <c r="BG1261" s="2">
        <v>18.679570746179301</v>
      </c>
      <c r="BH1261" s="2">
        <v>19.704007191803001</v>
      </c>
      <c r="BI1261" s="2">
        <v>18.6043130205117</v>
      </c>
      <c r="BJ1261" s="2">
        <v>20.358258817392699</v>
      </c>
      <c r="BK1261" s="2">
        <v>17.589600678221601</v>
      </c>
      <c r="BL1261" s="2">
        <v>17.0960489276512</v>
      </c>
      <c r="BM1261" s="2">
        <v>19.184050572394099</v>
      </c>
      <c r="BN1261" s="2">
        <v>19.639818589360502</v>
      </c>
      <c r="BO1261" s="2">
        <v>19.611853277392701</v>
      </c>
      <c r="BP1261" s="2">
        <v>15.1361552503861</v>
      </c>
      <c r="BQ1261" s="2">
        <v>18.646449054020501</v>
      </c>
      <c r="BR1261" s="2">
        <v>18.335894279989599</v>
      </c>
      <c r="BS1261" s="2">
        <v>17.7451810571803</v>
      </c>
      <c r="BT1261" s="2">
        <v>21.7755875921982</v>
      </c>
      <c r="BU1261" s="2">
        <v>19.886500567095201</v>
      </c>
      <c r="BV1261" s="2">
        <v>19.408549878610899</v>
      </c>
      <c r="BW1261" s="2">
        <v>18.25015317315</v>
      </c>
      <c r="BX1261" s="2">
        <v>20.3229326520783</v>
      </c>
      <c r="BY1261" s="2">
        <v>18.899193365333101</v>
      </c>
      <c r="BZ1261" s="2">
        <v>17.545989478054299</v>
      </c>
      <c r="CA1261" s="2">
        <v>18.963020681760799</v>
      </c>
      <c r="CB1261" s="2">
        <v>15.7336554179724</v>
      </c>
      <c r="CC1261" s="2">
        <v>19.418947237329601</v>
      </c>
      <c r="CD1261" s="2">
        <v>19.6774771525204</v>
      </c>
      <c r="CE1261" s="2">
        <v>18.489523312827501</v>
      </c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</row>
    <row r="1262" spans="1:97">
      <c r="A1262" s="2" t="s">
        <v>11440</v>
      </c>
      <c r="B1262" s="2">
        <v>346.98802000000001</v>
      </c>
      <c r="C1262" s="2">
        <v>1.2909999999999999</v>
      </c>
      <c r="D1262" s="2" t="s">
        <v>146</v>
      </c>
      <c r="E1262" s="2" t="s">
        <v>11441</v>
      </c>
      <c r="F1262" s="2" t="s">
        <v>11442</v>
      </c>
      <c r="G1262" s="2">
        <v>198665</v>
      </c>
      <c r="H1262" s="3" t="str">
        <f>HYPERLINK("https://cloud.oebiotech.com/#/lm/network/198665", "https://cloud.oebiotech.com/#/lm/network/198665")</f>
        <v>https://cloud.oebiotech.com/#/lm/network/198665</v>
      </c>
      <c r="I1262" s="2" t="s">
        <v>11443</v>
      </c>
      <c r="J1262" s="2"/>
      <c r="K1262" s="2"/>
      <c r="L1262" s="2">
        <v>129661094</v>
      </c>
      <c r="M1262" s="2"/>
      <c r="N1262" s="2"/>
      <c r="O1262" s="2"/>
      <c r="P1262" s="2"/>
      <c r="Q1262" s="2"/>
      <c r="R1262" s="2"/>
      <c r="S1262" s="2"/>
      <c r="T1262" s="2" t="s">
        <v>11444</v>
      </c>
      <c r="U1262" s="2" t="s">
        <v>11445</v>
      </c>
      <c r="V1262" s="2" t="s">
        <v>845</v>
      </c>
      <c r="W1262" s="2" t="s">
        <v>3853</v>
      </c>
      <c r="X1262" s="2" t="s">
        <v>3854</v>
      </c>
      <c r="Y1262" s="2" t="s">
        <v>847</v>
      </c>
      <c r="Z1262" s="2" t="s">
        <v>3855</v>
      </c>
      <c r="AA1262" s="2" t="s">
        <v>3856</v>
      </c>
      <c r="AB1262" s="2" t="s">
        <v>5118</v>
      </c>
      <c r="AC1262" s="2">
        <v>46.86</v>
      </c>
      <c r="AD1262" s="2">
        <v>86.72</v>
      </c>
      <c r="AE1262" s="2">
        <v>76.66</v>
      </c>
      <c r="AF1262" s="2" t="s">
        <v>11446</v>
      </c>
      <c r="AG1262" s="2" t="s">
        <v>194</v>
      </c>
      <c r="AH1262" s="2" t="s">
        <v>11447</v>
      </c>
      <c r="AI1262" s="2">
        <v>-3.75</v>
      </c>
      <c r="AJ1262" s="2">
        <v>20.8195653761077</v>
      </c>
      <c r="AK1262" s="2">
        <v>20.782909995185801</v>
      </c>
      <c r="AL1262" s="2">
        <v>21.0331226552738</v>
      </c>
      <c r="AM1262" s="2">
        <v>20.274989411353001</v>
      </c>
      <c r="AN1262" s="2">
        <v>20.890136172943201</v>
      </c>
      <c r="AO1262" s="2">
        <v>20.004435459116401</v>
      </c>
      <c r="AP1262" s="2">
        <v>20.230537582138101</v>
      </c>
      <c r="AQ1262" s="2">
        <v>20.975226625047899</v>
      </c>
      <c r="AR1262" s="2">
        <v>21.217772449352498</v>
      </c>
      <c r="AS1262" s="2">
        <v>20.8368651800319</v>
      </c>
      <c r="AT1262" s="2">
        <v>21.102220313632401</v>
      </c>
      <c r="AU1262" s="2">
        <v>21.3086875140907</v>
      </c>
      <c r="AV1262" s="2">
        <v>20.900040312169601</v>
      </c>
      <c r="AW1262" s="2">
        <v>21.020353297876301</v>
      </c>
      <c r="AX1262" s="2">
        <v>21.112690188340199</v>
      </c>
      <c r="AY1262" s="2">
        <v>21.0135154258524</v>
      </c>
      <c r="AZ1262" s="2">
        <v>21.291959086664399</v>
      </c>
      <c r="BA1262" s="2">
        <v>20.565293534097901</v>
      </c>
      <c r="BB1262" s="2">
        <v>20.856777204684501</v>
      </c>
      <c r="BC1262" s="2">
        <v>20.408565012112799</v>
      </c>
      <c r="BD1262" s="2">
        <v>20.395833661730901</v>
      </c>
      <c r="BE1262" s="2">
        <v>20.700688638642301</v>
      </c>
      <c r="BF1262" s="2">
        <v>20.938946556520499</v>
      </c>
      <c r="BG1262" s="2">
        <v>21.001013447289701</v>
      </c>
      <c r="BH1262" s="2">
        <v>21.085867637590301</v>
      </c>
      <c r="BI1262" s="2">
        <v>20.893089382985799</v>
      </c>
      <c r="BJ1262" s="2">
        <v>20.925102585250698</v>
      </c>
      <c r="BK1262" s="2">
        <v>21.1464555381522</v>
      </c>
      <c r="BL1262" s="2">
        <v>20.457943931135802</v>
      </c>
      <c r="BM1262" s="2">
        <v>20.8312300780049</v>
      </c>
      <c r="BN1262" s="2">
        <v>20.3993881479614</v>
      </c>
      <c r="BO1262" s="2">
        <v>21.139563973577101</v>
      </c>
      <c r="BP1262" s="2">
        <v>21.109946356453801</v>
      </c>
      <c r="BQ1262" s="2">
        <v>20.964952424177199</v>
      </c>
      <c r="BR1262" s="2">
        <v>20.864666331702999</v>
      </c>
      <c r="BS1262" s="2">
        <v>20.8507581764521</v>
      </c>
      <c r="BT1262" s="2">
        <v>20.770163528089999</v>
      </c>
      <c r="BU1262" s="2">
        <v>21.010647067158501</v>
      </c>
      <c r="BV1262" s="2">
        <v>20.603426778821099</v>
      </c>
      <c r="BW1262" s="2">
        <v>20.462245475780001</v>
      </c>
      <c r="BX1262" s="2">
        <v>21.092026582325499</v>
      </c>
      <c r="BY1262" s="2">
        <v>20.4377463738067</v>
      </c>
      <c r="BZ1262" s="2">
        <v>20.839409837737101</v>
      </c>
      <c r="CA1262" s="2">
        <v>19.735545397349899</v>
      </c>
      <c r="CB1262" s="2">
        <v>21.170048915353298</v>
      </c>
      <c r="CC1262" s="2">
        <v>19.375344685081501</v>
      </c>
      <c r="CD1262" s="2">
        <v>20.821097614634098</v>
      </c>
      <c r="CE1262" s="2">
        <v>21.012788514940301</v>
      </c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</row>
    <row r="1263" spans="1:97">
      <c r="A1263" s="2" t="s">
        <v>11448</v>
      </c>
      <c r="B1263" s="2">
        <v>549.23117999999999</v>
      </c>
      <c r="C1263" s="2">
        <v>6.1130000000000004</v>
      </c>
      <c r="D1263" s="2" t="s">
        <v>146</v>
      </c>
      <c r="E1263" s="2" t="s">
        <v>11449</v>
      </c>
      <c r="F1263" s="2" t="s">
        <v>11450</v>
      </c>
      <c r="G1263" s="2">
        <v>62046</v>
      </c>
      <c r="H1263" s="3" t="str">
        <f>HYPERLINK("https://cloud.oebiotech.com/#/lm/network/62046", "https://cloud.oebiotech.com/#/lm/network/62046")</f>
        <v>https://cloud.oebiotech.com/#/lm/network/62046</v>
      </c>
      <c r="I1263" s="2" t="s">
        <v>11451</v>
      </c>
      <c r="J1263" s="2">
        <v>93337</v>
      </c>
      <c r="K1263" s="2"/>
      <c r="L1263" s="2">
        <v>131752424</v>
      </c>
      <c r="M1263" s="2"/>
      <c r="N1263" s="2"/>
      <c r="O1263" s="2"/>
      <c r="P1263" s="2"/>
      <c r="Q1263" s="2"/>
      <c r="R1263" s="2"/>
      <c r="S1263" s="2" t="s">
        <v>11452</v>
      </c>
      <c r="T1263" s="2" t="s">
        <v>11453</v>
      </c>
      <c r="U1263" s="2" t="s">
        <v>11454</v>
      </c>
      <c r="V1263" s="2" t="s">
        <v>95</v>
      </c>
      <c r="W1263" s="2" t="s">
        <v>180</v>
      </c>
      <c r="X1263" s="2" t="s">
        <v>3643</v>
      </c>
      <c r="Y1263" s="2" t="s">
        <v>98</v>
      </c>
      <c r="Z1263" s="2" t="s">
        <v>182</v>
      </c>
      <c r="AA1263" s="2" t="s">
        <v>3644</v>
      </c>
      <c r="AB1263" s="2" t="s">
        <v>3086</v>
      </c>
      <c r="AC1263" s="2">
        <v>46.84</v>
      </c>
      <c r="AD1263" s="2">
        <v>80.13</v>
      </c>
      <c r="AE1263" s="2">
        <v>0</v>
      </c>
      <c r="AF1263" s="2" t="s">
        <v>5614</v>
      </c>
      <c r="AG1263" s="2" t="s">
        <v>993</v>
      </c>
      <c r="AH1263" s="2" t="s">
        <v>11455</v>
      </c>
      <c r="AI1263" s="2">
        <v>4.37</v>
      </c>
      <c r="AJ1263" s="2">
        <v>16.3824294927803</v>
      </c>
      <c r="AK1263" s="2">
        <v>16.341071038789501</v>
      </c>
      <c r="AL1263" s="2">
        <v>16.2733568900052</v>
      </c>
      <c r="AM1263" s="2">
        <v>16.261779992459999</v>
      </c>
      <c r="AN1263" s="2">
        <v>16.312430624438701</v>
      </c>
      <c r="AO1263" s="2">
        <v>16.060076946236101</v>
      </c>
      <c r="AP1263" s="2">
        <v>15.978940776849999</v>
      </c>
      <c r="AQ1263" s="2">
        <v>16.1222713095815</v>
      </c>
      <c r="AR1263" s="2">
        <v>14.601857820956299</v>
      </c>
      <c r="AS1263" s="2">
        <v>9.6233145402724691</v>
      </c>
      <c r="AT1263" s="2">
        <v>16.003047448660102</v>
      </c>
      <c r="AU1263" s="2">
        <v>14.1715927793928</v>
      </c>
      <c r="AV1263" s="2">
        <v>13.842872793576101</v>
      </c>
      <c r="AW1263" s="2">
        <v>17.292892712378599</v>
      </c>
      <c r="AX1263" s="2">
        <v>13.5146992622475</v>
      </c>
      <c r="AY1263" s="2">
        <v>16.263223345067001</v>
      </c>
      <c r="AZ1263" s="2">
        <v>16.2510995692809</v>
      </c>
      <c r="BA1263" s="2">
        <v>15.037004211177599</v>
      </c>
      <c r="BB1263" s="2">
        <v>17.1785888009864</v>
      </c>
      <c r="BC1263" s="2">
        <v>17.3195333868156</v>
      </c>
      <c r="BD1263" s="2">
        <v>14.449011902777301</v>
      </c>
      <c r="BE1263" s="2">
        <v>16.339314702410601</v>
      </c>
      <c r="BF1263" s="2">
        <v>11.554392194336399</v>
      </c>
      <c r="BG1263" s="2">
        <v>16.904689535413699</v>
      </c>
      <c r="BH1263" s="2">
        <v>13.557714978617801</v>
      </c>
      <c r="BI1263" s="2">
        <v>12.3431218533995</v>
      </c>
      <c r="BJ1263" s="2">
        <v>16.491469516386498</v>
      </c>
      <c r="BK1263" s="2">
        <v>15.2621392680627</v>
      </c>
      <c r="BL1263" s="2">
        <v>16.911102516239399</v>
      </c>
      <c r="BM1263" s="2">
        <v>13.9425694850477</v>
      </c>
      <c r="BN1263" s="2">
        <v>15.407796859014701</v>
      </c>
      <c r="BO1263" s="2">
        <v>15.8688119466842</v>
      </c>
      <c r="BP1263" s="2">
        <v>15.518327356972099</v>
      </c>
      <c r="BQ1263" s="2">
        <v>17.3128647017307</v>
      </c>
      <c r="BR1263" s="2">
        <v>14.034363956766599</v>
      </c>
      <c r="BS1263" s="2">
        <v>15.1416401805505</v>
      </c>
      <c r="BT1263" s="2">
        <v>16.399912402536899</v>
      </c>
      <c r="BU1263" s="2">
        <v>14.563904096611701</v>
      </c>
      <c r="BV1263" s="2">
        <v>16.595572337197499</v>
      </c>
      <c r="BW1263" s="2">
        <v>15.6587406231126</v>
      </c>
      <c r="BX1263" s="2">
        <v>14.254088209468501</v>
      </c>
      <c r="BY1263" s="2">
        <v>16.868104765649399</v>
      </c>
      <c r="BZ1263" s="2">
        <v>15.558678399787601</v>
      </c>
      <c r="CA1263" s="2">
        <v>9.6233145402724691</v>
      </c>
      <c r="CB1263" s="2">
        <v>15.143292723813801</v>
      </c>
      <c r="CC1263" s="2">
        <v>17.1481407947606</v>
      </c>
      <c r="CD1263" s="2">
        <v>16.3108685320645</v>
      </c>
      <c r="CE1263" s="2">
        <v>15.5410790656806</v>
      </c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</row>
    <row r="1264" spans="1:97">
      <c r="A1264" s="2" t="s">
        <v>11456</v>
      </c>
      <c r="B1264" s="2">
        <v>481.24365999999998</v>
      </c>
      <c r="C1264" s="2">
        <v>6.1150000000000002</v>
      </c>
      <c r="D1264" s="2" t="s">
        <v>146</v>
      </c>
      <c r="E1264" s="2" t="s">
        <v>11457</v>
      </c>
      <c r="F1264" s="2" t="s">
        <v>11458</v>
      </c>
      <c r="G1264" s="2">
        <v>46645</v>
      </c>
      <c r="H1264" s="3" t="str">
        <f>HYPERLINK("https://cloud.oebiotech.com/#/lm/network/46645", "https://cloud.oebiotech.com/#/lm/network/46645")</f>
        <v>https://cloud.oebiotech.com/#/lm/network/46645</v>
      </c>
      <c r="I1264" s="2" t="s">
        <v>11459</v>
      </c>
      <c r="J1264" s="2"/>
      <c r="K1264" s="2" t="s">
        <v>11460</v>
      </c>
      <c r="L1264" s="2">
        <v>44263358</v>
      </c>
      <c r="M1264" s="2"/>
      <c r="N1264" s="2"/>
      <c r="O1264" s="2"/>
      <c r="P1264" s="2"/>
      <c r="Q1264" s="2"/>
      <c r="R1264" s="2"/>
      <c r="S1264" s="2"/>
      <c r="T1264" s="2" t="s">
        <v>11461</v>
      </c>
      <c r="U1264" s="2" t="s">
        <v>11462</v>
      </c>
      <c r="V1264" s="2" t="s">
        <v>95</v>
      </c>
      <c r="W1264" s="2" t="s">
        <v>152</v>
      </c>
      <c r="X1264" s="2" t="s">
        <v>2791</v>
      </c>
      <c r="Y1264" s="2" t="s">
        <v>98</v>
      </c>
      <c r="Z1264" s="2" t="s">
        <v>154</v>
      </c>
      <c r="AA1264" s="2" t="s">
        <v>2792</v>
      </c>
      <c r="AB1264" s="2" t="s">
        <v>8443</v>
      </c>
      <c r="AC1264" s="2">
        <v>46.77</v>
      </c>
      <c r="AD1264" s="2">
        <v>95.72</v>
      </c>
      <c r="AE1264" s="2">
        <v>0</v>
      </c>
      <c r="AF1264" s="2" t="s">
        <v>11463</v>
      </c>
      <c r="AG1264" s="2" t="s">
        <v>194</v>
      </c>
      <c r="AH1264" s="2" t="s">
        <v>11464</v>
      </c>
      <c r="AI1264" s="2">
        <v>1.25</v>
      </c>
      <c r="AJ1264" s="2">
        <v>18.995361484898702</v>
      </c>
      <c r="AK1264" s="2">
        <v>18.9331521253227</v>
      </c>
      <c r="AL1264" s="2">
        <v>18.9901106411386</v>
      </c>
      <c r="AM1264" s="2">
        <v>18.626917193204999</v>
      </c>
      <c r="AN1264" s="2">
        <v>18.820983951187301</v>
      </c>
      <c r="AO1264" s="2">
        <v>18.749494134927499</v>
      </c>
      <c r="AP1264" s="2">
        <v>18.918483749863501</v>
      </c>
      <c r="AQ1264" s="2">
        <v>19.0266577055515</v>
      </c>
      <c r="AR1264" s="2">
        <v>18.108939149535999</v>
      </c>
      <c r="AS1264" s="2">
        <v>15.411256084074299</v>
      </c>
      <c r="AT1264" s="2">
        <v>18.3034175587036</v>
      </c>
      <c r="AU1264" s="2">
        <v>17.963157655301</v>
      </c>
      <c r="AV1264" s="2">
        <v>17.4071891635094</v>
      </c>
      <c r="AW1264" s="2">
        <v>20.114448989634401</v>
      </c>
      <c r="AX1264" s="2">
        <v>16.8250419972976</v>
      </c>
      <c r="AY1264" s="2">
        <v>18.675394817432</v>
      </c>
      <c r="AZ1264" s="2">
        <v>19.305926515013201</v>
      </c>
      <c r="BA1264" s="2">
        <v>18.164696168080098</v>
      </c>
      <c r="BB1264" s="2">
        <v>19.903623341285101</v>
      </c>
      <c r="BC1264" s="2">
        <v>19.999104531817199</v>
      </c>
      <c r="BD1264" s="2">
        <v>17.887168662943601</v>
      </c>
      <c r="BE1264" s="2">
        <v>19.548337596920899</v>
      </c>
      <c r="BF1264" s="2">
        <v>14.6404110264194</v>
      </c>
      <c r="BG1264" s="2">
        <v>19.5296708447706</v>
      </c>
      <c r="BH1264" s="2">
        <v>16.877462805531799</v>
      </c>
      <c r="BI1264" s="2">
        <v>16.8392506680335</v>
      </c>
      <c r="BJ1264" s="2">
        <v>19.298882865483499</v>
      </c>
      <c r="BK1264" s="2">
        <v>18.1284657346411</v>
      </c>
      <c r="BL1264" s="2">
        <v>19.407165964269101</v>
      </c>
      <c r="BM1264" s="2">
        <v>17.244587845045999</v>
      </c>
      <c r="BN1264" s="2">
        <v>18.1379930971687</v>
      </c>
      <c r="BO1264" s="2">
        <v>19.0058963226735</v>
      </c>
      <c r="BP1264" s="2">
        <v>18.330955337452</v>
      </c>
      <c r="BQ1264" s="2">
        <v>20.101502316677902</v>
      </c>
      <c r="BR1264" s="2">
        <v>17.8099585624357</v>
      </c>
      <c r="BS1264" s="2">
        <v>17.823457243952799</v>
      </c>
      <c r="BT1264" s="2">
        <v>18.880904719820499</v>
      </c>
      <c r="BU1264" s="2">
        <v>17.826717543210599</v>
      </c>
      <c r="BV1264" s="2">
        <v>19.316814576261802</v>
      </c>
      <c r="BW1264" s="2">
        <v>17.925374323545899</v>
      </c>
      <c r="BX1264" s="2">
        <v>17.7250418706912</v>
      </c>
      <c r="BY1264" s="2">
        <v>19.655577434738401</v>
      </c>
      <c r="BZ1264" s="2">
        <v>18.684821921502198</v>
      </c>
      <c r="CA1264" s="2">
        <v>13.586418784147201</v>
      </c>
      <c r="CB1264" s="2">
        <v>17.536339582252701</v>
      </c>
      <c r="CC1264" s="2">
        <v>19.6302199067113</v>
      </c>
      <c r="CD1264" s="2">
        <v>18.662477186009799</v>
      </c>
      <c r="CE1264" s="2">
        <v>18.8184351657269</v>
      </c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</row>
    <row r="1265" spans="1:97">
      <c r="A1265" s="2" t="s">
        <v>11465</v>
      </c>
      <c r="B1265" s="2">
        <v>465.24862000000002</v>
      </c>
      <c r="C1265" s="2">
        <v>7.7729999999999997</v>
      </c>
      <c r="D1265" s="2" t="s">
        <v>146</v>
      </c>
      <c r="E1265" s="2" t="s">
        <v>11466</v>
      </c>
      <c r="F1265" s="2" t="s">
        <v>11467</v>
      </c>
      <c r="G1265" s="2">
        <v>201992</v>
      </c>
      <c r="H1265" s="3" t="str">
        <f>HYPERLINK("https://cloud.oebiotech.com/#/lm/network/201992", "https://cloud.oebiotech.com/#/lm/network/201992")</f>
        <v>https://cloud.oebiotech.com/#/lm/network/201992</v>
      </c>
      <c r="I1265" s="2" t="s">
        <v>11468</v>
      </c>
      <c r="J1265" s="2"/>
      <c r="K1265" s="2"/>
      <c r="L1265" s="2">
        <v>21711977</v>
      </c>
      <c r="M1265" s="2"/>
      <c r="N1265" s="2"/>
      <c r="O1265" s="2"/>
      <c r="P1265" s="2"/>
      <c r="Q1265" s="2"/>
      <c r="R1265" s="2"/>
      <c r="S1265" s="2"/>
      <c r="T1265" s="2" t="s">
        <v>11469</v>
      </c>
      <c r="U1265" s="2" t="s">
        <v>11470</v>
      </c>
      <c r="V1265" s="2" t="s">
        <v>95</v>
      </c>
      <c r="W1265" s="2" t="s">
        <v>152</v>
      </c>
      <c r="X1265" s="2" t="s">
        <v>2791</v>
      </c>
      <c r="Y1265" s="2" t="s">
        <v>98</v>
      </c>
      <c r="Z1265" s="2" t="s">
        <v>154</v>
      </c>
      <c r="AA1265" s="2" t="s">
        <v>2792</v>
      </c>
      <c r="AB1265" s="2" t="s">
        <v>8443</v>
      </c>
      <c r="AC1265" s="2">
        <v>46.76</v>
      </c>
      <c r="AD1265" s="2">
        <v>92.66</v>
      </c>
      <c r="AE1265" s="2">
        <v>0</v>
      </c>
      <c r="AF1265" s="2" t="s">
        <v>11471</v>
      </c>
      <c r="AG1265" s="2" t="s">
        <v>194</v>
      </c>
      <c r="AH1265" s="2" t="s">
        <v>11472</v>
      </c>
      <c r="AI1265" s="2">
        <v>1.72</v>
      </c>
      <c r="AJ1265" s="2">
        <v>18.816542022718</v>
      </c>
      <c r="AK1265" s="2">
        <v>18.7951957445324</v>
      </c>
      <c r="AL1265" s="2">
        <v>18.636520260393102</v>
      </c>
      <c r="AM1265" s="2">
        <v>18.6418702372805</v>
      </c>
      <c r="AN1265" s="2">
        <v>19.074910758045299</v>
      </c>
      <c r="AO1265" s="2">
        <v>18.8636777994566</v>
      </c>
      <c r="AP1265" s="2">
        <v>18.882827893567601</v>
      </c>
      <c r="AQ1265" s="2">
        <v>18.912050310677301</v>
      </c>
      <c r="AR1265" s="2">
        <v>17.030812057925601</v>
      </c>
      <c r="AS1265" s="2">
        <v>15.527432104410799</v>
      </c>
      <c r="AT1265" s="2">
        <v>17.514879836208198</v>
      </c>
      <c r="AU1265" s="2">
        <v>18.661173125782</v>
      </c>
      <c r="AV1265" s="2">
        <v>19.702640348193501</v>
      </c>
      <c r="AW1265" s="2">
        <v>20.453016148607801</v>
      </c>
      <c r="AX1265" s="2">
        <v>18.618379802190901</v>
      </c>
      <c r="AY1265" s="2">
        <v>18.470386563820401</v>
      </c>
      <c r="AZ1265" s="2">
        <v>18.9775665912973</v>
      </c>
      <c r="BA1265" s="2">
        <v>17.360286765380501</v>
      </c>
      <c r="BB1265" s="2">
        <v>18.707711713926098</v>
      </c>
      <c r="BC1265" s="2">
        <v>18.453909815255901</v>
      </c>
      <c r="BD1265" s="2">
        <v>18.639292302368801</v>
      </c>
      <c r="BE1265" s="2">
        <v>19.920082743549202</v>
      </c>
      <c r="BF1265" s="2">
        <v>15.332100902989</v>
      </c>
      <c r="BG1265" s="2">
        <v>19.925085383434499</v>
      </c>
      <c r="BH1265" s="2">
        <v>18.7699766594239</v>
      </c>
      <c r="BI1265" s="2">
        <v>16.795544180557201</v>
      </c>
      <c r="BJ1265" s="2">
        <v>19.1456236510233</v>
      </c>
      <c r="BK1265" s="2">
        <v>17.716985470467399</v>
      </c>
      <c r="BL1265" s="2">
        <v>18.383526230875301</v>
      </c>
      <c r="BM1265" s="2">
        <v>17.861560394389599</v>
      </c>
      <c r="BN1265" s="2">
        <v>17.5510283088677</v>
      </c>
      <c r="BO1265" s="2">
        <v>18.943916320162199</v>
      </c>
      <c r="BP1265" s="2">
        <v>19.2627902615368</v>
      </c>
      <c r="BQ1265" s="2">
        <v>19.777753258958199</v>
      </c>
      <c r="BR1265" s="2">
        <v>18.8799235845594</v>
      </c>
      <c r="BS1265" s="2">
        <v>18.605306933273699</v>
      </c>
      <c r="BT1265" s="2">
        <v>18.367343676151499</v>
      </c>
      <c r="BU1265" s="2">
        <v>16.535033985721</v>
      </c>
      <c r="BV1265" s="2">
        <v>16.492895918105798</v>
      </c>
      <c r="BW1265" s="2">
        <v>16.0702662551329</v>
      </c>
      <c r="BX1265" s="2">
        <v>18.366225510476099</v>
      </c>
      <c r="BY1265" s="2">
        <v>20.377170106564801</v>
      </c>
      <c r="BZ1265" s="2">
        <v>16.191395089508301</v>
      </c>
      <c r="CA1265" s="2">
        <v>16.382424426445599</v>
      </c>
      <c r="CB1265" s="2">
        <v>17.9358966767368</v>
      </c>
      <c r="CC1265" s="2">
        <v>17.620858138702101</v>
      </c>
      <c r="CD1265" s="2">
        <v>17.868660893474399</v>
      </c>
      <c r="CE1265" s="2">
        <v>17.9867126244263</v>
      </c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</row>
    <row r="1266" spans="1:97">
      <c r="A1266" s="2" t="s">
        <v>11473</v>
      </c>
      <c r="B1266" s="2">
        <v>212.00193999999999</v>
      </c>
      <c r="C1266" s="2">
        <v>5.1630000000000003</v>
      </c>
      <c r="D1266" s="2" t="s">
        <v>146</v>
      </c>
      <c r="E1266" s="2" t="s">
        <v>11474</v>
      </c>
      <c r="F1266" s="2" t="s">
        <v>11475</v>
      </c>
      <c r="G1266" s="2">
        <v>197267</v>
      </c>
      <c r="H1266" s="3" t="str">
        <f>HYPERLINK("https://cloud.oebiotech.com/#/lm/network/197267", "https://cloud.oebiotech.com/#/lm/network/197267")</f>
        <v>https://cloud.oebiotech.com/#/lm/network/197267</v>
      </c>
      <c r="I1266" s="2" t="s">
        <v>11476</v>
      </c>
      <c r="J1266" s="2"/>
      <c r="K1266" s="2"/>
      <c r="L1266" s="2">
        <v>122198196</v>
      </c>
      <c r="M1266" s="2"/>
      <c r="N1266" s="2"/>
      <c r="O1266" s="2"/>
      <c r="P1266" s="2">
        <v>133568</v>
      </c>
      <c r="Q1266" s="2"/>
      <c r="R1266" s="2"/>
      <c r="S1266" s="2"/>
      <c r="T1266" s="2" t="s">
        <v>11477</v>
      </c>
      <c r="U1266" s="2" t="s">
        <v>11478</v>
      </c>
      <c r="V1266" s="2" t="s">
        <v>115</v>
      </c>
      <c r="W1266" s="2" t="s">
        <v>613</v>
      </c>
      <c r="X1266" s="2" t="s">
        <v>614</v>
      </c>
      <c r="Y1266" s="2" t="s">
        <v>118</v>
      </c>
      <c r="Z1266" s="2" t="s">
        <v>615</v>
      </c>
      <c r="AA1266" s="2" t="s">
        <v>616</v>
      </c>
      <c r="AB1266" s="2" t="s">
        <v>5118</v>
      </c>
      <c r="AC1266" s="2">
        <v>46.73</v>
      </c>
      <c r="AD1266" s="2">
        <v>91.44</v>
      </c>
      <c r="AE1266" s="2">
        <v>46.67</v>
      </c>
      <c r="AF1266" s="2" t="s">
        <v>11479</v>
      </c>
      <c r="AG1266" s="2" t="s">
        <v>194</v>
      </c>
      <c r="AH1266" s="2" t="s">
        <v>627</v>
      </c>
      <c r="AI1266" s="2">
        <v>1.89</v>
      </c>
      <c r="AJ1266" s="2">
        <v>18.991907756124601</v>
      </c>
      <c r="AK1266" s="2">
        <v>19.5936467962375</v>
      </c>
      <c r="AL1266" s="2">
        <v>19.5777982249746</v>
      </c>
      <c r="AM1266" s="2">
        <v>19.703488687615401</v>
      </c>
      <c r="AN1266" s="2">
        <v>19.286690679936498</v>
      </c>
      <c r="AO1266" s="2">
        <v>19.381170637267701</v>
      </c>
      <c r="AP1266" s="2">
        <v>19.503748596739801</v>
      </c>
      <c r="AQ1266" s="2">
        <v>19.468385716382802</v>
      </c>
      <c r="AR1266" s="2">
        <v>9.6233145402724691</v>
      </c>
      <c r="AS1266" s="2">
        <v>9.6233145402724691</v>
      </c>
      <c r="AT1266" s="2">
        <v>9.6233145402724691</v>
      </c>
      <c r="AU1266" s="2">
        <v>12.5677350923542</v>
      </c>
      <c r="AV1266" s="2">
        <v>14.824219905829001</v>
      </c>
      <c r="AW1266" s="2">
        <v>9.6233145402724691</v>
      </c>
      <c r="AX1266" s="2">
        <v>11.561569582158199</v>
      </c>
      <c r="AY1266" s="2">
        <v>11.6601519233198</v>
      </c>
      <c r="AZ1266" s="2">
        <v>13.3107064969943</v>
      </c>
      <c r="BA1266" s="2">
        <v>9.6233145402724691</v>
      </c>
      <c r="BB1266" s="2">
        <v>12.461116169822301</v>
      </c>
      <c r="BC1266" s="2">
        <v>9.6233145402724691</v>
      </c>
      <c r="BD1266" s="2">
        <v>13.3352507683128</v>
      </c>
      <c r="BE1266" s="2">
        <v>17.379891227370099</v>
      </c>
      <c r="BF1266" s="2">
        <v>14.1962978191674</v>
      </c>
      <c r="BG1266" s="2">
        <v>15.8692253634118</v>
      </c>
      <c r="BH1266" s="2">
        <v>12.7795654758791</v>
      </c>
      <c r="BI1266" s="2">
        <v>17.962682878565602</v>
      </c>
      <c r="BJ1266" s="2">
        <v>9.6233145402724691</v>
      </c>
      <c r="BK1266" s="2">
        <v>15.7596874482779</v>
      </c>
      <c r="BL1266" s="2">
        <v>14.2261381992249</v>
      </c>
      <c r="BM1266" s="2">
        <v>12.0950936820752</v>
      </c>
      <c r="BN1266" s="2">
        <v>11.5290351742005</v>
      </c>
      <c r="BO1266" s="2">
        <v>12.9608400016083</v>
      </c>
      <c r="BP1266" s="2">
        <v>13.1735256766012</v>
      </c>
      <c r="BQ1266" s="2">
        <v>16.653687745703898</v>
      </c>
      <c r="BR1266" s="2">
        <v>11.3673819871721</v>
      </c>
      <c r="BS1266" s="2">
        <v>12.2571344058634</v>
      </c>
      <c r="BT1266" s="2">
        <v>15.890194677468401</v>
      </c>
      <c r="BU1266" s="2">
        <v>13.8853388960204</v>
      </c>
      <c r="BV1266" s="2">
        <v>9.6233145402724691</v>
      </c>
      <c r="BW1266" s="2">
        <v>9.6233145402724691</v>
      </c>
      <c r="BX1266" s="2">
        <v>14.892076958127101</v>
      </c>
      <c r="BY1266" s="2">
        <v>17.517017734023799</v>
      </c>
      <c r="BZ1266" s="2">
        <v>17.2161663717166</v>
      </c>
      <c r="CA1266" s="2">
        <v>9.6233145402724691</v>
      </c>
      <c r="CB1266" s="2">
        <v>9.6233145402724691</v>
      </c>
      <c r="CC1266" s="2">
        <v>15.288249683385599</v>
      </c>
      <c r="CD1266" s="2">
        <v>13.904802060906199</v>
      </c>
      <c r="CE1266" s="2">
        <v>11.564392459772799</v>
      </c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</row>
    <row r="1267" spans="1:97">
      <c r="A1267" s="2" t="s">
        <v>11480</v>
      </c>
      <c r="B1267" s="2">
        <v>481.35257999999999</v>
      </c>
      <c r="C1267" s="2">
        <v>10.824999999999999</v>
      </c>
      <c r="D1267" s="2" t="s">
        <v>146</v>
      </c>
      <c r="E1267" s="2" t="s">
        <v>11481</v>
      </c>
      <c r="F1267" s="2" t="s">
        <v>11482</v>
      </c>
      <c r="G1267" s="2">
        <v>46466</v>
      </c>
      <c r="H1267" s="3" t="str">
        <f>HYPERLINK("https://cloud.oebiotech.com/#/lm/network/46466", "https://cloud.oebiotech.com/#/lm/network/46466")</f>
        <v>https://cloud.oebiotech.com/#/lm/network/46466</v>
      </c>
      <c r="I1267" s="2"/>
      <c r="J1267" s="2">
        <v>57922</v>
      </c>
      <c r="K1267" s="2" t="s">
        <v>11483</v>
      </c>
      <c r="L1267" s="2">
        <v>24771793</v>
      </c>
      <c r="M1267" s="2"/>
      <c r="N1267" s="2"/>
      <c r="O1267" s="2"/>
      <c r="P1267" s="2">
        <v>48939</v>
      </c>
      <c r="Q1267" s="2"/>
      <c r="R1267" s="2"/>
      <c r="S1267" s="2"/>
      <c r="T1267" s="2" t="s">
        <v>11484</v>
      </c>
      <c r="U1267" s="2" t="s">
        <v>11485</v>
      </c>
      <c r="V1267" s="2" t="s">
        <v>95</v>
      </c>
      <c r="W1267" s="2" t="s">
        <v>152</v>
      </c>
      <c r="X1267" s="2" t="s">
        <v>278</v>
      </c>
      <c r="Y1267" s="2" t="s">
        <v>98</v>
      </c>
      <c r="Z1267" s="2" t="s">
        <v>154</v>
      </c>
      <c r="AA1267" s="2" t="s">
        <v>279</v>
      </c>
      <c r="AB1267" s="2" t="s">
        <v>8443</v>
      </c>
      <c r="AC1267" s="2">
        <v>46.71</v>
      </c>
      <c r="AD1267" s="2">
        <v>96.24</v>
      </c>
      <c r="AE1267" s="2">
        <v>0</v>
      </c>
      <c r="AF1267" s="2" t="s">
        <v>11486</v>
      </c>
      <c r="AG1267" s="2" t="s">
        <v>157</v>
      </c>
      <c r="AH1267" s="2" t="s">
        <v>7617</v>
      </c>
      <c r="AI1267" s="2">
        <v>1.87</v>
      </c>
      <c r="AJ1267" s="2">
        <v>20.6667870901803</v>
      </c>
      <c r="AK1267" s="2">
        <v>20.531402174739</v>
      </c>
      <c r="AL1267" s="2">
        <v>20.491821719015</v>
      </c>
      <c r="AM1267" s="2">
        <v>20.551699081801502</v>
      </c>
      <c r="AN1267" s="2">
        <v>20.486733225028999</v>
      </c>
      <c r="AO1267" s="2">
        <v>20.570090205164199</v>
      </c>
      <c r="AP1267" s="2">
        <v>20.448038850124799</v>
      </c>
      <c r="AQ1267" s="2">
        <v>20.394078257293501</v>
      </c>
      <c r="AR1267" s="2">
        <v>21.884767508039701</v>
      </c>
      <c r="AS1267" s="2">
        <v>19.961499195186001</v>
      </c>
      <c r="AT1267" s="2">
        <v>19.633251896004399</v>
      </c>
      <c r="AU1267" s="2">
        <v>20.129716422021701</v>
      </c>
      <c r="AV1267" s="2">
        <v>20.169925074821599</v>
      </c>
      <c r="AW1267" s="2">
        <v>18.900115129927901</v>
      </c>
      <c r="AX1267" s="2">
        <v>20.003653701892201</v>
      </c>
      <c r="AY1267" s="2">
        <v>22.015089342707999</v>
      </c>
      <c r="AZ1267" s="2">
        <v>21.022195594034301</v>
      </c>
      <c r="BA1267" s="2">
        <v>20.340244968419299</v>
      </c>
      <c r="BB1267" s="2">
        <v>19.8449444808059</v>
      </c>
      <c r="BC1267" s="2">
        <v>21.908161360888599</v>
      </c>
      <c r="BD1267" s="2">
        <v>20.0249843064997</v>
      </c>
      <c r="BE1267" s="2">
        <v>20.883927611897601</v>
      </c>
      <c r="BF1267" s="2">
        <v>19.830406484548998</v>
      </c>
      <c r="BG1267" s="2">
        <v>20.503372010571798</v>
      </c>
      <c r="BH1267" s="2">
        <v>20.2633918217638</v>
      </c>
      <c r="BI1267" s="2">
        <v>20.0025227460034</v>
      </c>
      <c r="BJ1267" s="2">
        <v>20.726136401945801</v>
      </c>
      <c r="BK1267" s="2">
        <v>19.093465588083902</v>
      </c>
      <c r="BL1267" s="2">
        <v>22.071545390578201</v>
      </c>
      <c r="BM1267" s="2">
        <v>20.271024623496501</v>
      </c>
      <c r="BN1267" s="2">
        <v>19.884768819470999</v>
      </c>
      <c r="BO1267" s="2">
        <v>19.642426681844501</v>
      </c>
      <c r="BP1267" s="2">
        <v>19.994023969508898</v>
      </c>
      <c r="BQ1267" s="2">
        <v>17.530178306931699</v>
      </c>
      <c r="BR1267" s="2">
        <v>19.704721185823701</v>
      </c>
      <c r="BS1267" s="2">
        <v>22.026156167944102</v>
      </c>
      <c r="BT1267" s="2">
        <v>21.099021573057101</v>
      </c>
      <c r="BU1267" s="2">
        <v>20.211237008924702</v>
      </c>
      <c r="BV1267" s="2">
        <v>20.042253633431301</v>
      </c>
      <c r="BW1267" s="2">
        <v>20.8299334559123</v>
      </c>
      <c r="BX1267" s="2">
        <v>20.0553679987033</v>
      </c>
      <c r="BY1267" s="2">
        <v>20.890590450488698</v>
      </c>
      <c r="BZ1267" s="2">
        <v>18.9404689171154</v>
      </c>
      <c r="CA1267" s="2">
        <v>20.155929807482799</v>
      </c>
      <c r="CB1267" s="2">
        <v>20.262095327235201</v>
      </c>
      <c r="CC1267" s="2">
        <v>20.214733009421298</v>
      </c>
      <c r="CD1267" s="2">
        <v>20.789116714891499</v>
      </c>
      <c r="CE1267" s="2">
        <v>19.208023498935301</v>
      </c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</row>
    <row r="1268" spans="1:97">
      <c r="A1268" s="2" t="s">
        <v>11487</v>
      </c>
      <c r="B1268" s="2">
        <v>202.95053999999999</v>
      </c>
      <c r="C1268" s="2">
        <v>0.57699999999999996</v>
      </c>
      <c r="D1268" s="2" t="s">
        <v>146</v>
      </c>
      <c r="E1268" s="2" t="s">
        <v>11488</v>
      </c>
      <c r="F1268" s="2" t="s">
        <v>11489</v>
      </c>
      <c r="G1268" s="2">
        <v>46964</v>
      </c>
      <c r="H1268" s="3" t="str">
        <f>HYPERLINK("https://cloud.oebiotech.com/#/lm/network/46964", "https://cloud.oebiotech.com/#/lm/network/46964")</f>
        <v>https://cloud.oebiotech.com/#/lm/network/46964</v>
      </c>
      <c r="I1268" s="2" t="s">
        <v>11490</v>
      </c>
      <c r="J1268" s="2"/>
      <c r="K1268" s="2"/>
      <c r="L1268" s="2">
        <v>1005</v>
      </c>
      <c r="M1268" s="2" t="s">
        <v>11491</v>
      </c>
      <c r="N1268" s="2" t="s">
        <v>11492</v>
      </c>
      <c r="O1268" s="2" t="s">
        <v>11493</v>
      </c>
      <c r="P1268" s="2">
        <v>44897</v>
      </c>
      <c r="Q1268" s="2"/>
      <c r="R1268" s="2"/>
      <c r="S1268" s="2" t="s">
        <v>11494</v>
      </c>
      <c r="T1268" s="2" t="s">
        <v>11495</v>
      </c>
      <c r="U1268" s="2" t="s">
        <v>11496</v>
      </c>
      <c r="V1268" s="2" t="s">
        <v>115</v>
      </c>
      <c r="W1268" s="2" t="s">
        <v>4566</v>
      </c>
      <c r="X1268" s="2" t="s">
        <v>4567</v>
      </c>
      <c r="Y1268" s="2" t="s">
        <v>118</v>
      </c>
      <c r="Z1268" s="2" t="s">
        <v>4568</v>
      </c>
      <c r="AA1268" s="2" t="s">
        <v>4569</v>
      </c>
      <c r="AB1268" s="2" t="s">
        <v>3086</v>
      </c>
      <c r="AC1268" s="2">
        <v>46.7</v>
      </c>
      <c r="AD1268" s="2">
        <v>80.34</v>
      </c>
      <c r="AE1268" s="2">
        <v>0</v>
      </c>
      <c r="AF1268" s="2" t="s">
        <v>5614</v>
      </c>
      <c r="AG1268" s="2" t="s">
        <v>4062</v>
      </c>
      <c r="AH1268" s="2" t="s">
        <v>11497</v>
      </c>
      <c r="AI1268" s="2">
        <v>6.41</v>
      </c>
      <c r="AJ1268" s="2">
        <v>18.146152476628199</v>
      </c>
      <c r="AK1268" s="2">
        <v>18.598801503631801</v>
      </c>
      <c r="AL1268" s="2">
        <v>18.531762036888601</v>
      </c>
      <c r="AM1268" s="2">
        <v>18.3493449483997</v>
      </c>
      <c r="AN1268" s="2">
        <v>18.414158909528801</v>
      </c>
      <c r="AO1268" s="2">
        <v>18.8867608926579</v>
      </c>
      <c r="AP1268" s="2">
        <v>18.501659635428201</v>
      </c>
      <c r="AQ1268" s="2">
        <v>18.539262011801501</v>
      </c>
      <c r="AR1268" s="2">
        <v>18.487871468421599</v>
      </c>
      <c r="AS1268" s="2">
        <v>18.569869734156399</v>
      </c>
      <c r="AT1268" s="2">
        <v>18.5573329604108</v>
      </c>
      <c r="AU1268" s="2">
        <v>18.451891119463799</v>
      </c>
      <c r="AV1268" s="2">
        <v>18.565076820560499</v>
      </c>
      <c r="AW1268" s="2">
        <v>18.369369138352599</v>
      </c>
      <c r="AX1268" s="2">
        <v>18.413590867931099</v>
      </c>
      <c r="AY1268" s="2">
        <v>18.5317099210673</v>
      </c>
      <c r="AZ1268" s="2">
        <v>18.288487529686801</v>
      </c>
      <c r="BA1268" s="2">
        <v>18.450884898673301</v>
      </c>
      <c r="BB1268" s="2">
        <v>18.569430434117798</v>
      </c>
      <c r="BC1268" s="2">
        <v>18.270513612496501</v>
      </c>
      <c r="BD1268" s="2">
        <v>18.397144068919701</v>
      </c>
      <c r="BE1268" s="2">
        <v>17.886868277592001</v>
      </c>
      <c r="BF1268" s="2">
        <v>18.435440467735599</v>
      </c>
      <c r="BG1268" s="2">
        <v>18.3870403682124</v>
      </c>
      <c r="BH1268" s="2">
        <v>17.963988420938001</v>
      </c>
      <c r="BI1268" s="2">
        <v>17.613092965271999</v>
      </c>
      <c r="BJ1268" s="2">
        <v>18.080377962356501</v>
      </c>
      <c r="BK1268" s="2">
        <v>18.388450525063099</v>
      </c>
      <c r="BL1268" s="2">
        <v>18.707500754833799</v>
      </c>
      <c r="BM1268" s="2">
        <v>18.624702300688199</v>
      </c>
      <c r="BN1268" s="2">
        <v>18.241038296166199</v>
      </c>
      <c r="BO1268" s="2">
        <v>18.648364428895999</v>
      </c>
      <c r="BP1268" s="2">
        <v>18.246956448559001</v>
      </c>
      <c r="BQ1268" s="2">
        <v>18.566759607624999</v>
      </c>
      <c r="BR1268" s="2">
        <v>18.335070987328599</v>
      </c>
      <c r="BS1268" s="2">
        <v>18.644528527627301</v>
      </c>
      <c r="BT1268" s="2">
        <v>18.2288938289059</v>
      </c>
      <c r="BU1268" s="2">
        <v>18.490076420272398</v>
      </c>
      <c r="BV1268" s="2">
        <v>18.831999672184899</v>
      </c>
      <c r="BW1268" s="2">
        <v>18.3088830137497</v>
      </c>
      <c r="BX1268" s="2">
        <v>18.332586486756899</v>
      </c>
      <c r="BY1268" s="2">
        <v>18.0251957542079</v>
      </c>
      <c r="BZ1268" s="2">
        <v>18.504422002609601</v>
      </c>
      <c r="CA1268" s="2">
        <v>18.3784312283851</v>
      </c>
      <c r="CB1268" s="2">
        <v>18.597924840726201</v>
      </c>
      <c r="CC1268" s="2">
        <v>18.245965238442601</v>
      </c>
      <c r="CD1268" s="2">
        <v>18.094502582087099</v>
      </c>
      <c r="CE1268" s="2">
        <v>18.468595009915401</v>
      </c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</row>
    <row r="1269" spans="1:97">
      <c r="A1269" s="2" t="s">
        <v>11498</v>
      </c>
      <c r="B1269" s="2">
        <v>325.01452999999998</v>
      </c>
      <c r="C1269" s="2">
        <v>1.0329999999999999</v>
      </c>
      <c r="D1269" s="2" t="s">
        <v>146</v>
      </c>
      <c r="E1269" s="2" t="s">
        <v>11499</v>
      </c>
      <c r="F1269" s="2" t="s">
        <v>11500</v>
      </c>
      <c r="G1269" s="2">
        <v>206379</v>
      </c>
      <c r="H1269" s="3" t="str">
        <f>HYPERLINK("https://cloud.oebiotech.com/#/lm/network/206379", "https://cloud.oebiotech.com/#/lm/network/206379")</f>
        <v>https://cloud.oebiotech.com/#/lm/network/206379</v>
      </c>
      <c r="I1269" s="2" t="s">
        <v>11501</v>
      </c>
      <c r="J1269" s="2">
        <v>72741</v>
      </c>
      <c r="K1269" s="2"/>
      <c r="L1269" s="2">
        <v>17717</v>
      </c>
      <c r="M1269" s="2" t="s">
        <v>11502</v>
      </c>
      <c r="N1269" s="2"/>
      <c r="O1269" s="2"/>
      <c r="P1269" s="2"/>
      <c r="Q1269" s="2"/>
      <c r="R1269" s="2"/>
      <c r="S1269" s="2" t="s">
        <v>11503</v>
      </c>
      <c r="T1269" s="2" t="s">
        <v>11504</v>
      </c>
      <c r="U1269" s="2" t="s">
        <v>11505</v>
      </c>
      <c r="V1269" s="2" t="s">
        <v>553</v>
      </c>
      <c r="W1269" s="2" t="s">
        <v>3865</v>
      </c>
      <c r="X1269" s="2" t="s">
        <v>3866</v>
      </c>
      <c r="Y1269" s="2" t="s">
        <v>556</v>
      </c>
      <c r="Z1269" s="2" t="s">
        <v>3867</v>
      </c>
      <c r="AA1269" s="2" t="s">
        <v>3868</v>
      </c>
      <c r="AB1269" s="2" t="s">
        <v>5118</v>
      </c>
      <c r="AC1269" s="2">
        <v>46.68</v>
      </c>
      <c r="AD1269" s="2">
        <v>89.92</v>
      </c>
      <c r="AE1269" s="2">
        <v>63.5</v>
      </c>
      <c r="AF1269" s="2" t="s">
        <v>11506</v>
      </c>
      <c r="AG1269" s="2" t="s">
        <v>157</v>
      </c>
      <c r="AH1269" s="2" t="s">
        <v>11507</v>
      </c>
      <c r="AI1269" s="2">
        <v>2.46</v>
      </c>
      <c r="AJ1269" s="2">
        <v>20.1220510557959</v>
      </c>
      <c r="AK1269" s="2">
        <v>19.983686002023202</v>
      </c>
      <c r="AL1269" s="2">
        <v>20.361501353396001</v>
      </c>
      <c r="AM1269" s="2">
        <v>20.4063934842669</v>
      </c>
      <c r="AN1269" s="2">
        <v>20.068154877062302</v>
      </c>
      <c r="AO1269" s="2">
        <v>20.1734315796209</v>
      </c>
      <c r="AP1269" s="2">
        <v>19.875852625738201</v>
      </c>
      <c r="AQ1269" s="2">
        <v>20.218271320388801</v>
      </c>
      <c r="AR1269" s="2">
        <v>18.8644018144409</v>
      </c>
      <c r="AS1269" s="2">
        <v>19.190001767966301</v>
      </c>
      <c r="AT1269" s="2">
        <v>19.9511114974847</v>
      </c>
      <c r="AU1269" s="2">
        <v>18.918621785949501</v>
      </c>
      <c r="AV1269" s="2">
        <v>20.149935210336398</v>
      </c>
      <c r="AW1269" s="2">
        <v>20.2262723444885</v>
      </c>
      <c r="AX1269" s="2">
        <v>20.022808481902999</v>
      </c>
      <c r="AY1269" s="2">
        <v>19.7230624412385</v>
      </c>
      <c r="AZ1269" s="2">
        <v>19.993985008646401</v>
      </c>
      <c r="BA1269" s="2">
        <v>19.567024836275301</v>
      </c>
      <c r="BB1269" s="2">
        <v>20.173838922982199</v>
      </c>
      <c r="BC1269" s="2">
        <v>19.412729125391099</v>
      </c>
      <c r="BD1269" s="2">
        <v>20.240978806063001</v>
      </c>
      <c r="BE1269" s="2">
        <v>19.604888552856</v>
      </c>
      <c r="BF1269" s="2">
        <v>19.211107258499599</v>
      </c>
      <c r="BG1269" s="2">
        <v>19.0412416932807</v>
      </c>
      <c r="BH1269" s="2">
        <v>18.970654084505099</v>
      </c>
      <c r="BI1269" s="2">
        <v>20.060539587456901</v>
      </c>
      <c r="BJ1269" s="2">
        <v>20.9516000210043</v>
      </c>
      <c r="BK1269" s="2">
        <v>19.609520274899101</v>
      </c>
      <c r="BL1269" s="2">
        <v>20.033522318913601</v>
      </c>
      <c r="BM1269" s="2">
        <v>19.621177565114799</v>
      </c>
      <c r="BN1269" s="2">
        <v>20.013484532399598</v>
      </c>
      <c r="BO1269" s="2">
        <v>19.259502193744801</v>
      </c>
      <c r="BP1269" s="2">
        <v>20.4376108318585</v>
      </c>
      <c r="BQ1269" s="2">
        <v>20.4334382294238</v>
      </c>
      <c r="BR1269" s="2">
        <v>19.4984611519784</v>
      </c>
      <c r="BS1269" s="2">
        <v>19.810673202449401</v>
      </c>
      <c r="BT1269" s="2">
        <v>19.1206409409983</v>
      </c>
      <c r="BU1269" s="2">
        <v>20.288045423322799</v>
      </c>
      <c r="BV1269" s="2">
        <v>20.0170002962609</v>
      </c>
      <c r="BW1269" s="2">
        <v>19.141336005888402</v>
      </c>
      <c r="BX1269" s="2">
        <v>19.480318005442101</v>
      </c>
      <c r="BY1269" s="2">
        <v>20.112727668797799</v>
      </c>
      <c r="BZ1269" s="2">
        <v>19.511952739717799</v>
      </c>
      <c r="CA1269" s="2">
        <v>19.782595078054399</v>
      </c>
      <c r="CB1269" s="2">
        <v>19.086126711479</v>
      </c>
      <c r="CC1269" s="2">
        <v>19.0851210063548</v>
      </c>
      <c r="CD1269" s="2">
        <v>20.357877417481099</v>
      </c>
      <c r="CE1269" s="2">
        <v>20.210146109760899</v>
      </c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</row>
    <row r="1270" spans="1:97">
      <c r="A1270" s="2" t="s">
        <v>11508</v>
      </c>
      <c r="B1270" s="2">
        <v>813.61679000000004</v>
      </c>
      <c r="C1270" s="2">
        <v>12.896000000000001</v>
      </c>
      <c r="D1270" s="2" t="s">
        <v>84</v>
      </c>
      <c r="E1270" s="2" t="s">
        <v>11509</v>
      </c>
      <c r="F1270" s="2" t="s">
        <v>11510</v>
      </c>
      <c r="G1270" s="2">
        <v>251251</v>
      </c>
      <c r="H1270" s="3" t="str">
        <f>HYPERLINK("https://cloud.oebiotech.com/#/lm/network/251251", "https://cloud.oebiotech.com/#/lm/network/251251")</f>
        <v>https://cloud.oebiotech.com/#/lm/network/251251</v>
      </c>
      <c r="I1270" s="2" t="s">
        <v>11511</v>
      </c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 t="s">
        <v>11512</v>
      </c>
      <c r="U1270" s="2" t="s">
        <v>11513</v>
      </c>
      <c r="V1270" s="2" t="s">
        <v>95</v>
      </c>
      <c r="W1270" s="2" t="s">
        <v>96</v>
      </c>
      <c r="X1270" s="2" t="s">
        <v>3216</v>
      </c>
      <c r="Y1270" s="2" t="s">
        <v>98</v>
      </c>
      <c r="Z1270" s="2" t="s">
        <v>99</v>
      </c>
      <c r="AA1270" s="2" t="s">
        <v>3217</v>
      </c>
      <c r="AB1270" s="2" t="s">
        <v>3086</v>
      </c>
      <c r="AC1270" s="2">
        <v>46.68</v>
      </c>
      <c r="AD1270" s="2">
        <v>71.94</v>
      </c>
      <c r="AE1270" s="2">
        <v>0</v>
      </c>
      <c r="AF1270" s="2" t="s">
        <v>5614</v>
      </c>
      <c r="AG1270" s="2" t="s">
        <v>1578</v>
      </c>
      <c r="AH1270" s="2" t="s">
        <v>11182</v>
      </c>
      <c r="AI1270" s="2">
        <v>5.78</v>
      </c>
      <c r="AJ1270" s="2">
        <v>23.812340950439399</v>
      </c>
      <c r="AK1270" s="2">
        <v>23.858486522257</v>
      </c>
      <c r="AL1270" s="2">
        <v>23.615386503543</v>
      </c>
      <c r="AM1270" s="2">
        <v>24.116176726151199</v>
      </c>
      <c r="AN1270" s="2">
        <v>23.943953653118701</v>
      </c>
      <c r="AO1270" s="2">
        <v>23.8802709036671</v>
      </c>
      <c r="AP1270" s="2">
        <v>23.995023256470802</v>
      </c>
      <c r="AQ1270" s="2">
        <v>23.7177938840201</v>
      </c>
      <c r="AR1270" s="2">
        <v>23.1954390901913</v>
      </c>
      <c r="AS1270" s="2">
        <v>23.2986550618728</v>
      </c>
      <c r="AT1270" s="2">
        <v>23.278203391955302</v>
      </c>
      <c r="AU1270" s="2">
        <v>23.6149179997064</v>
      </c>
      <c r="AV1270" s="2">
        <v>20.467425309401399</v>
      </c>
      <c r="AW1270" s="2">
        <v>23.231213239612199</v>
      </c>
      <c r="AX1270" s="2">
        <v>23.186633367475899</v>
      </c>
      <c r="AY1270" s="2">
        <v>24.1373446327372</v>
      </c>
      <c r="AZ1270" s="2">
        <v>23.722448998088201</v>
      </c>
      <c r="BA1270" s="2">
        <v>24.118283245276999</v>
      </c>
      <c r="BB1270" s="2">
        <v>24.046557594921399</v>
      </c>
      <c r="BC1270" s="2">
        <v>22.9798420723689</v>
      </c>
      <c r="BD1270" s="2">
        <v>22.907828816762599</v>
      </c>
      <c r="BE1270" s="2">
        <v>23.914884811783999</v>
      </c>
      <c r="BF1270" s="2">
        <v>23.830839611780899</v>
      </c>
      <c r="BG1270" s="2">
        <v>23.641736340694202</v>
      </c>
      <c r="BH1270" s="2">
        <v>23.7588321561208</v>
      </c>
      <c r="BI1270" s="2">
        <v>23.430154525778299</v>
      </c>
      <c r="BJ1270" s="2">
        <v>23.531839652757601</v>
      </c>
      <c r="BK1270" s="2">
        <v>23.631190696965</v>
      </c>
      <c r="BL1270" s="2">
        <v>23.183242122031199</v>
      </c>
      <c r="BM1270" s="2">
        <v>23.706333434175999</v>
      </c>
      <c r="BN1270" s="2">
        <v>24.4158436179072</v>
      </c>
      <c r="BO1270" s="2">
        <v>23.632425355811101</v>
      </c>
      <c r="BP1270" s="2">
        <v>24.506658545658901</v>
      </c>
      <c r="BQ1270" s="2">
        <v>24.204212180221202</v>
      </c>
      <c r="BR1270" s="2">
        <v>23.842077206652199</v>
      </c>
      <c r="BS1270" s="2">
        <v>23.533816580689699</v>
      </c>
      <c r="BT1270" s="2">
        <v>24.032955019403399</v>
      </c>
      <c r="BU1270" s="2">
        <v>23.866865600241201</v>
      </c>
      <c r="BV1270" s="2">
        <v>23.920486119634901</v>
      </c>
      <c r="BW1270" s="2">
        <v>23.936230077441198</v>
      </c>
      <c r="BX1270" s="2">
        <v>24.056156138616601</v>
      </c>
      <c r="BY1270" s="2">
        <v>24.020280004702499</v>
      </c>
      <c r="BZ1270" s="2">
        <v>23.9543655873061</v>
      </c>
      <c r="CA1270" s="2">
        <v>23.870165435960999</v>
      </c>
      <c r="CB1270" s="2">
        <v>23.374107950492199</v>
      </c>
      <c r="CC1270" s="2">
        <v>23.334933542121899</v>
      </c>
      <c r="CD1270" s="2">
        <v>24.224593653448402</v>
      </c>
      <c r="CE1270" s="2">
        <v>23.060243138611298</v>
      </c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</row>
    <row r="1271" spans="1:97">
      <c r="A1271" s="2" t="s">
        <v>11514</v>
      </c>
      <c r="B1271" s="2">
        <v>352.32028000000003</v>
      </c>
      <c r="C1271" s="2">
        <v>12.292999999999999</v>
      </c>
      <c r="D1271" s="2" t="s">
        <v>84</v>
      </c>
      <c r="E1271" s="2" t="s">
        <v>11515</v>
      </c>
      <c r="F1271" s="2" t="s">
        <v>11516</v>
      </c>
      <c r="G1271" s="2">
        <v>9014</v>
      </c>
      <c r="H1271" s="3" t="str">
        <f>HYPERLINK("https://cloud.oebiotech.com/#/lm/network/9014", "https://cloud.oebiotech.com/#/lm/network/9014")</f>
        <v>https://cloud.oebiotech.com/#/lm/network/9014</v>
      </c>
      <c r="I1271" s="2"/>
      <c r="J1271" s="2">
        <v>36738</v>
      </c>
      <c r="K1271" s="2" t="s">
        <v>11517</v>
      </c>
      <c r="L1271" s="2">
        <v>5283444</v>
      </c>
      <c r="M1271" s="2"/>
      <c r="N1271" s="2"/>
      <c r="O1271" s="2"/>
      <c r="P1271" s="2">
        <v>73733</v>
      </c>
      <c r="Q1271" s="2"/>
      <c r="R1271" s="2"/>
      <c r="S1271" s="2"/>
      <c r="T1271" s="2" t="s">
        <v>11518</v>
      </c>
      <c r="U1271" s="2" t="s">
        <v>11519</v>
      </c>
      <c r="V1271" s="2" t="s">
        <v>166</v>
      </c>
      <c r="W1271" s="2" t="s">
        <v>167</v>
      </c>
      <c r="X1271" s="2" t="s">
        <v>482</v>
      </c>
      <c r="Y1271" s="2" t="s">
        <v>169</v>
      </c>
      <c r="Z1271" s="2" t="s">
        <v>169</v>
      </c>
      <c r="AA1271" s="2" t="s">
        <v>483</v>
      </c>
      <c r="AB1271" s="2" t="s">
        <v>5118</v>
      </c>
      <c r="AC1271" s="2">
        <v>46.67</v>
      </c>
      <c r="AD1271" s="2">
        <v>94.14</v>
      </c>
      <c r="AE1271" s="2">
        <v>55.17</v>
      </c>
      <c r="AF1271" s="2" t="s">
        <v>11520</v>
      </c>
      <c r="AG1271" s="2" t="s">
        <v>103</v>
      </c>
      <c r="AH1271" s="2" t="s">
        <v>11521</v>
      </c>
      <c r="AI1271" s="2">
        <v>1.99</v>
      </c>
      <c r="AJ1271" s="2">
        <v>22.0840181986622</v>
      </c>
      <c r="AK1271" s="2">
        <v>22.090804693135901</v>
      </c>
      <c r="AL1271" s="2">
        <v>22.004372201227099</v>
      </c>
      <c r="AM1271" s="2">
        <v>21.836689439686999</v>
      </c>
      <c r="AN1271" s="2">
        <v>22.041503875542801</v>
      </c>
      <c r="AO1271" s="2">
        <v>22.018605467521201</v>
      </c>
      <c r="AP1271" s="2">
        <v>21.940269100170099</v>
      </c>
      <c r="AQ1271" s="2">
        <v>21.910614197584898</v>
      </c>
      <c r="AR1271" s="2">
        <v>21.761427868849299</v>
      </c>
      <c r="AS1271" s="2">
        <v>21.097100808476601</v>
      </c>
      <c r="AT1271" s="2">
        <v>20.04533597492</v>
      </c>
      <c r="AU1271" s="2">
        <v>19.797899021626598</v>
      </c>
      <c r="AV1271" s="2">
        <v>20.7266794819061</v>
      </c>
      <c r="AW1271" s="2">
        <v>20.6389326493574</v>
      </c>
      <c r="AX1271" s="2">
        <v>19.756375827764799</v>
      </c>
      <c r="AY1271" s="2">
        <v>19.4178208352936</v>
      </c>
      <c r="AZ1271" s="2">
        <v>20.189629268362399</v>
      </c>
      <c r="BA1271" s="2">
        <v>19.3932686285365</v>
      </c>
      <c r="BB1271" s="2">
        <v>20.689158009469299</v>
      </c>
      <c r="BC1271" s="2">
        <v>19.8455438631029</v>
      </c>
      <c r="BD1271" s="2">
        <v>19.92640302529</v>
      </c>
      <c r="BE1271" s="2">
        <v>20.587222489547901</v>
      </c>
      <c r="BF1271" s="2">
        <v>19.776735275826901</v>
      </c>
      <c r="BG1271" s="2">
        <v>19.921392407185198</v>
      </c>
      <c r="BH1271" s="2">
        <v>19.7876759729931</v>
      </c>
      <c r="BI1271" s="2">
        <v>20.370955324871499</v>
      </c>
      <c r="BJ1271" s="2">
        <v>19.434647284063399</v>
      </c>
      <c r="BK1271" s="2">
        <v>20.015118911777702</v>
      </c>
      <c r="BL1271" s="2">
        <v>19.594872815437601</v>
      </c>
      <c r="BM1271" s="2">
        <v>19.1410569959158</v>
      </c>
      <c r="BN1271" s="2">
        <v>21.696356965033399</v>
      </c>
      <c r="BO1271" s="2">
        <v>20.6038873086009</v>
      </c>
      <c r="BP1271" s="2">
        <v>20.014417191781099</v>
      </c>
      <c r="BQ1271" s="2">
        <v>20.0026732965515</v>
      </c>
      <c r="BR1271" s="2">
        <v>21.1201661339765</v>
      </c>
      <c r="BS1271" s="2">
        <v>20.826184141363601</v>
      </c>
      <c r="BT1271" s="2">
        <v>19.6909998399491</v>
      </c>
      <c r="BU1271" s="2">
        <v>20.181860249521002</v>
      </c>
      <c r="BV1271" s="2">
        <v>21.506196948877101</v>
      </c>
      <c r="BW1271" s="2">
        <v>19.959651606988199</v>
      </c>
      <c r="BX1271" s="2">
        <v>19.930322971517899</v>
      </c>
      <c r="BY1271" s="2">
        <v>20.877100008401499</v>
      </c>
      <c r="BZ1271" s="2">
        <v>21.5910490425935</v>
      </c>
      <c r="CA1271" s="2">
        <v>19.760599598760798</v>
      </c>
      <c r="CB1271" s="2">
        <v>20.913932379343802</v>
      </c>
      <c r="CC1271" s="2">
        <v>19.6077679400044</v>
      </c>
      <c r="CD1271" s="2">
        <v>20.057999573355399</v>
      </c>
      <c r="CE1271" s="2">
        <v>19.886045736718799</v>
      </c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</row>
    <row r="1272" spans="1:97">
      <c r="A1272" s="2" t="s">
        <v>11522</v>
      </c>
      <c r="B1272" s="2">
        <v>273.08510999999999</v>
      </c>
      <c r="C1272" s="2">
        <v>3.7959999999999998</v>
      </c>
      <c r="D1272" s="2" t="s">
        <v>146</v>
      </c>
      <c r="E1272" s="2" t="s">
        <v>11523</v>
      </c>
      <c r="F1272" s="2" t="s">
        <v>11524</v>
      </c>
      <c r="G1272" s="2">
        <v>64406</v>
      </c>
      <c r="H1272" s="3" t="str">
        <f>HYPERLINK("https://cloud.oebiotech.com/#/lm/network/64406", "https://cloud.oebiotech.com/#/lm/network/64406")</f>
        <v>https://cloud.oebiotech.com/#/lm/network/64406</v>
      </c>
      <c r="I1272" s="2" t="s">
        <v>11525</v>
      </c>
      <c r="J1272" s="2">
        <v>95722</v>
      </c>
      <c r="K1272" s="2"/>
      <c r="L1272" s="2">
        <v>9926066</v>
      </c>
      <c r="M1272" s="2"/>
      <c r="N1272" s="2"/>
      <c r="O1272" s="2"/>
      <c r="P1272" s="2">
        <v>168621</v>
      </c>
      <c r="Q1272" s="2"/>
      <c r="R1272" s="2"/>
      <c r="S1272" s="2" t="s">
        <v>11526</v>
      </c>
      <c r="T1272" s="2" t="s">
        <v>11527</v>
      </c>
      <c r="U1272" s="2" t="s">
        <v>11528</v>
      </c>
      <c r="V1272" s="2" t="s">
        <v>115</v>
      </c>
      <c r="W1272" s="2" t="s">
        <v>116</v>
      </c>
      <c r="X1272" s="2" t="s">
        <v>117</v>
      </c>
      <c r="Y1272" s="2" t="s">
        <v>118</v>
      </c>
      <c r="Z1272" s="2" t="s">
        <v>119</v>
      </c>
      <c r="AA1272" s="2" t="s">
        <v>120</v>
      </c>
      <c r="AB1272" s="2" t="s">
        <v>3086</v>
      </c>
      <c r="AC1272" s="2">
        <v>46.65</v>
      </c>
      <c r="AD1272" s="2">
        <v>90.84</v>
      </c>
      <c r="AE1272" s="2">
        <v>0</v>
      </c>
      <c r="AF1272" s="2" t="s">
        <v>5614</v>
      </c>
      <c r="AG1272" s="2" t="s">
        <v>993</v>
      </c>
      <c r="AH1272" s="2" t="s">
        <v>11529</v>
      </c>
      <c r="AI1272" s="2">
        <v>8.7899999999999991</v>
      </c>
      <c r="AJ1272" s="2">
        <v>15.7792197005943</v>
      </c>
      <c r="AK1272" s="2">
        <v>16.003461912599398</v>
      </c>
      <c r="AL1272" s="2">
        <v>16.164582503740299</v>
      </c>
      <c r="AM1272" s="2">
        <v>16.4637990990338</v>
      </c>
      <c r="AN1272" s="2">
        <v>16.349118439506</v>
      </c>
      <c r="AO1272" s="2">
        <v>16.946908329966501</v>
      </c>
      <c r="AP1272" s="2">
        <v>16.543672435970599</v>
      </c>
      <c r="AQ1272" s="2">
        <v>16.774095834260599</v>
      </c>
      <c r="AR1272" s="2">
        <v>15.789145409961399</v>
      </c>
      <c r="AS1272" s="2">
        <v>15.4149748687173</v>
      </c>
      <c r="AT1272" s="2">
        <v>15.615365256579301</v>
      </c>
      <c r="AU1272" s="2">
        <v>14.9936155465877</v>
      </c>
      <c r="AV1272" s="2">
        <v>16.1380171538665</v>
      </c>
      <c r="AW1272" s="2">
        <v>16.660700683639298</v>
      </c>
      <c r="AX1272" s="2">
        <v>16.660348052499401</v>
      </c>
      <c r="AY1272" s="2">
        <v>16.339060813220399</v>
      </c>
      <c r="AZ1272" s="2">
        <v>16.473857290585499</v>
      </c>
      <c r="BA1272" s="2">
        <v>15.8113132251225</v>
      </c>
      <c r="BB1272" s="2">
        <v>15.7111550141927</v>
      </c>
      <c r="BC1272" s="2">
        <v>14.70771016386</v>
      </c>
      <c r="BD1272" s="2">
        <v>15.929983504330201</v>
      </c>
      <c r="BE1272" s="2">
        <v>17.190082187561199</v>
      </c>
      <c r="BF1272" s="2">
        <v>16.849337900680801</v>
      </c>
      <c r="BG1272" s="2">
        <v>17.2294098301311</v>
      </c>
      <c r="BH1272" s="2">
        <v>16.813657955752401</v>
      </c>
      <c r="BI1272" s="2">
        <v>16.9864432680621</v>
      </c>
      <c r="BJ1272" s="2">
        <v>17.287923268116501</v>
      </c>
      <c r="BK1272" s="2">
        <v>16.770983085881799</v>
      </c>
      <c r="BL1272" s="2">
        <v>16.224238761525299</v>
      </c>
      <c r="BM1272" s="2">
        <v>16.445953417764599</v>
      </c>
      <c r="BN1272" s="2">
        <v>16.577436351887901</v>
      </c>
      <c r="BO1272" s="2">
        <v>17.029133846181502</v>
      </c>
      <c r="BP1272" s="2">
        <v>16.5084195220075</v>
      </c>
      <c r="BQ1272" s="2">
        <v>16.887996883492999</v>
      </c>
      <c r="BR1272" s="2">
        <v>16.639074842721001</v>
      </c>
      <c r="BS1272" s="2">
        <v>16.705475798937901</v>
      </c>
      <c r="BT1272" s="2">
        <v>16.695265136090502</v>
      </c>
      <c r="BU1272" s="2">
        <v>16.098098720505899</v>
      </c>
      <c r="BV1272" s="2">
        <v>15.992935902766201</v>
      </c>
      <c r="BW1272" s="2">
        <v>15.157516287335101</v>
      </c>
      <c r="BX1272" s="2">
        <v>15.7519192762761</v>
      </c>
      <c r="BY1272" s="2">
        <v>17.844776306375799</v>
      </c>
      <c r="BZ1272" s="2">
        <v>16.947582493448699</v>
      </c>
      <c r="CA1272" s="2">
        <v>17.434161836788601</v>
      </c>
      <c r="CB1272" s="2">
        <v>16.718337810084801</v>
      </c>
      <c r="CC1272" s="2">
        <v>16.7028091633595</v>
      </c>
      <c r="CD1272" s="2">
        <v>17.0987334739076</v>
      </c>
      <c r="CE1272" s="2">
        <v>17.1768343561851</v>
      </c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</row>
    <row r="1273" spans="1:97">
      <c r="A1273" s="2" t="s">
        <v>11530</v>
      </c>
      <c r="B1273" s="2">
        <v>141.09182999999999</v>
      </c>
      <c r="C1273" s="2">
        <v>5.194</v>
      </c>
      <c r="D1273" s="2" t="s">
        <v>146</v>
      </c>
      <c r="E1273" s="2" t="s">
        <v>11531</v>
      </c>
      <c r="F1273" s="2" t="s">
        <v>11532</v>
      </c>
      <c r="G1273" s="2">
        <v>1668</v>
      </c>
      <c r="H1273" s="3" t="str">
        <f>HYPERLINK("https://cloud.oebiotech.com/#/lm/network/1668", "https://cloud.oebiotech.com/#/lm/network/1668")</f>
        <v>https://cloud.oebiotech.com/#/lm/network/1668</v>
      </c>
      <c r="I1273" s="2"/>
      <c r="J1273" s="2">
        <v>35404</v>
      </c>
      <c r="K1273" s="2" t="s">
        <v>11533</v>
      </c>
      <c r="L1273" s="2">
        <v>5282896</v>
      </c>
      <c r="M1273" s="2"/>
      <c r="N1273" s="2"/>
      <c r="O1273" s="2"/>
      <c r="P1273" s="2"/>
      <c r="Q1273" s="2"/>
      <c r="R1273" s="2"/>
      <c r="S1273" s="2"/>
      <c r="T1273" s="2" t="s">
        <v>11534</v>
      </c>
      <c r="U1273" s="2" t="s">
        <v>11535</v>
      </c>
      <c r="V1273" s="2" t="s">
        <v>115</v>
      </c>
      <c r="W1273" s="2" t="s">
        <v>832</v>
      </c>
      <c r="X1273" s="2" t="s">
        <v>4084</v>
      </c>
      <c r="Y1273" s="2" t="s">
        <v>118</v>
      </c>
      <c r="Z1273" s="2" t="s">
        <v>834</v>
      </c>
      <c r="AA1273" s="2" t="s">
        <v>4085</v>
      </c>
      <c r="AB1273" s="2" t="s">
        <v>8443</v>
      </c>
      <c r="AC1273" s="2">
        <v>46.64</v>
      </c>
      <c r="AD1273" s="2">
        <v>95.11</v>
      </c>
      <c r="AE1273" s="2">
        <v>0</v>
      </c>
      <c r="AF1273" s="2" t="s">
        <v>11536</v>
      </c>
      <c r="AG1273" s="2" t="s">
        <v>993</v>
      </c>
      <c r="AH1273" s="2" t="s">
        <v>2044</v>
      </c>
      <c r="AI1273" s="2">
        <v>-1.42</v>
      </c>
      <c r="AJ1273" s="2">
        <v>18.249441776284399</v>
      </c>
      <c r="AK1273" s="2">
        <v>18.425632011622199</v>
      </c>
      <c r="AL1273" s="2">
        <v>18.287798848492098</v>
      </c>
      <c r="AM1273" s="2">
        <v>18.623835347947701</v>
      </c>
      <c r="AN1273" s="2">
        <v>18.497140673260201</v>
      </c>
      <c r="AO1273" s="2">
        <v>17.966645361666298</v>
      </c>
      <c r="AP1273" s="2">
        <v>18.5992951985201</v>
      </c>
      <c r="AQ1273" s="2">
        <v>18.556952561831999</v>
      </c>
      <c r="AR1273" s="2">
        <v>16.959603542592902</v>
      </c>
      <c r="AS1273" s="2">
        <v>17.7465553241028</v>
      </c>
      <c r="AT1273" s="2">
        <v>17.916365609076699</v>
      </c>
      <c r="AU1273" s="2">
        <v>18.171584765840102</v>
      </c>
      <c r="AV1273" s="2">
        <v>18.046818773026999</v>
      </c>
      <c r="AW1273" s="2">
        <v>18.648918883702901</v>
      </c>
      <c r="AX1273" s="2">
        <v>17.702495423594101</v>
      </c>
      <c r="AY1273" s="2">
        <v>18.7440494452471</v>
      </c>
      <c r="AZ1273" s="2">
        <v>18.074342299391098</v>
      </c>
      <c r="BA1273" s="2">
        <v>18.255631980015298</v>
      </c>
      <c r="BB1273" s="2">
        <v>18.9873765516658</v>
      </c>
      <c r="BC1273" s="2">
        <v>17.8670703790917</v>
      </c>
      <c r="BD1273" s="2">
        <v>18.057517118484</v>
      </c>
      <c r="BE1273" s="2">
        <v>18.5095258677635</v>
      </c>
      <c r="BF1273" s="2">
        <v>17.9997125814828</v>
      </c>
      <c r="BG1273" s="2">
        <v>17.606307175046201</v>
      </c>
      <c r="BH1273" s="2">
        <v>17.415171089216798</v>
      </c>
      <c r="BI1273" s="2">
        <v>17.460554364693099</v>
      </c>
      <c r="BJ1273" s="2">
        <v>18.1982553874914</v>
      </c>
      <c r="BK1273" s="2">
        <v>17.5532586438203</v>
      </c>
      <c r="BL1273" s="2">
        <v>17.6024867651386</v>
      </c>
      <c r="BM1273" s="2">
        <v>18.297486680035998</v>
      </c>
      <c r="BN1273" s="2">
        <v>18.2864983820498</v>
      </c>
      <c r="BO1273" s="2">
        <v>18.024006820163301</v>
      </c>
      <c r="BP1273" s="2">
        <v>17.253111863443301</v>
      </c>
      <c r="BQ1273" s="2">
        <v>18.618462970757101</v>
      </c>
      <c r="BR1273" s="2">
        <v>17.6533509616307</v>
      </c>
      <c r="BS1273" s="2">
        <v>18.8346028893789</v>
      </c>
      <c r="BT1273" s="2">
        <v>18.726473199298901</v>
      </c>
      <c r="BU1273" s="2">
        <v>18.407095368221398</v>
      </c>
      <c r="BV1273" s="2">
        <v>18.478816061477701</v>
      </c>
      <c r="BW1273" s="2">
        <v>17.166314924900199</v>
      </c>
      <c r="BX1273" s="2">
        <v>16.378899352336699</v>
      </c>
      <c r="BY1273" s="2">
        <v>19.224946846768699</v>
      </c>
      <c r="BZ1273" s="2">
        <v>17.621854133349299</v>
      </c>
      <c r="CA1273" s="2">
        <v>17.247016550607398</v>
      </c>
      <c r="CB1273" s="2">
        <v>17.020355285274999</v>
      </c>
      <c r="CC1273" s="2">
        <v>17.614622145741201</v>
      </c>
      <c r="CD1273" s="2">
        <v>18.4355532325288</v>
      </c>
      <c r="CE1273" s="2">
        <v>17.022213694794701</v>
      </c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</row>
    <row r="1274" spans="1:97">
      <c r="A1274" s="2" t="s">
        <v>11537</v>
      </c>
      <c r="B1274" s="2">
        <v>367.24588999999997</v>
      </c>
      <c r="C1274" s="2">
        <v>11.416</v>
      </c>
      <c r="D1274" s="2" t="s">
        <v>146</v>
      </c>
      <c r="E1274" s="2" t="s">
        <v>11538</v>
      </c>
      <c r="F1274" s="2" t="s">
        <v>11539</v>
      </c>
      <c r="G1274" s="2">
        <v>3943</v>
      </c>
      <c r="H1274" s="3" t="str">
        <f>HYPERLINK("https://cloud.oebiotech.com/#/lm/network/3943", "https://cloud.oebiotech.com/#/lm/network/3943")</f>
        <v>https://cloud.oebiotech.com/#/lm/network/3943</v>
      </c>
      <c r="I1274" s="2" t="s">
        <v>11540</v>
      </c>
      <c r="J1274" s="2">
        <v>36270</v>
      </c>
      <c r="K1274" s="2" t="s">
        <v>11541</v>
      </c>
      <c r="L1274" s="2">
        <v>5283149</v>
      </c>
      <c r="M1274" s="2"/>
      <c r="N1274" s="2"/>
      <c r="O1274" s="2"/>
      <c r="P1274" s="2"/>
      <c r="Q1274" s="2"/>
      <c r="R1274" s="2"/>
      <c r="S1274" s="2"/>
      <c r="T1274" s="2" t="s">
        <v>11542</v>
      </c>
      <c r="U1274" s="2" t="s">
        <v>11543</v>
      </c>
      <c r="V1274" s="2" t="s">
        <v>95</v>
      </c>
      <c r="W1274" s="2" t="s">
        <v>96</v>
      </c>
      <c r="X1274" s="2" t="s">
        <v>3216</v>
      </c>
      <c r="Y1274" s="2" t="s">
        <v>98</v>
      </c>
      <c r="Z1274" s="2" t="s">
        <v>99</v>
      </c>
      <c r="AA1274" s="2" t="s">
        <v>3217</v>
      </c>
      <c r="AB1274" s="2" t="s">
        <v>3086</v>
      </c>
      <c r="AC1274" s="2">
        <v>46.63</v>
      </c>
      <c r="AD1274" s="2">
        <v>86.62</v>
      </c>
      <c r="AE1274" s="2">
        <v>0</v>
      </c>
      <c r="AF1274" s="2" t="s">
        <v>5614</v>
      </c>
      <c r="AG1274" s="2" t="s">
        <v>157</v>
      </c>
      <c r="AH1274" s="2" t="s">
        <v>11544</v>
      </c>
      <c r="AI1274" s="2">
        <v>8.44</v>
      </c>
      <c r="AJ1274" s="2">
        <v>18.228221952587699</v>
      </c>
      <c r="AK1274" s="2">
        <v>18.582041288583099</v>
      </c>
      <c r="AL1274" s="2">
        <v>18.7262734489853</v>
      </c>
      <c r="AM1274" s="2">
        <v>18.587931926644799</v>
      </c>
      <c r="AN1274" s="2">
        <v>18.736110116259699</v>
      </c>
      <c r="AO1274" s="2">
        <v>18.303313467663202</v>
      </c>
      <c r="AP1274" s="2">
        <v>18.584405481276502</v>
      </c>
      <c r="AQ1274" s="2">
        <v>18.4157893353186</v>
      </c>
      <c r="AR1274" s="2">
        <v>17.047902555291699</v>
      </c>
      <c r="AS1274" s="2">
        <v>16.141125643062701</v>
      </c>
      <c r="AT1274" s="2">
        <v>17.593938303508299</v>
      </c>
      <c r="AU1274" s="2">
        <v>17.7471582939122</v>
      </c>
      <c r="AV1274" s="2">
        <v>17.2926321376234</v>
      </c>
      <c r="AW1274" s="2">
        <v>17.714386197725698</v>
      </c>
      <c r="AX1274" s="2">
        <v>16.7144769582663</v>
      </c>
      <c r="AY1274" s="2">
        <v>16.860513180067901</v>
      </c>
      <c r="AZ1274" s="2">
        <v>14.982687040714699</v>
      </c>
      <c r="BA1274" s="2">
        <v>16.7887661176043</v>
      </c>
      <c r="BB1274" s="2">
        <v>16.8870758816734</v>
      </c>
      <c r="BC1274" s="2">
        <v>17.589870553353901</v>
      </c>
      <c r="BD1274" s="2">
        <v>16.420186568430001</v>
      </c>
      <c r="BE1274" s="2">
        <v>16.609140493978501</v>
      </c>
      <c r="BF1274" s="2">
        <v>16.038372260970501</v>
      </c>
      <c r="BG1274" s="2">
        <v>16.203047218963398</v>
      </c>
      <c r="BH1274" s="2">
        <v>17.411370548134499</v>
      </c>
      <c r="BI1274" s="2">
        <v>17.828383707055501</v>
      </c>
      <c r="BJ1274" s="2">
        <v>17.048405771203601</v>
      </c>
      <c r="BK1274" s="2">
        <v>17.105911679191099</v>
      </c>
      <c r="BL1274" s="2">
        <v>18.613166760757998</v>
      </c>
      <c r="BM1274" s="2">
        <v>17.1275068334844</v>
      </c>
      <c r="BN1274" s="2">
        <v>17.940551216155999</v>
      </c>
      <c r="BO1274" s="2">
        <v>16.875394560489401</v>
      </c>
      <c r="BP1274" s="2">
        <v>17.1901604319585</v>
      </c>
      <c r="BQ1274" s="2">
        <v>17.049692128500201</v>
      </c>
      <c r="BR1274" s="2">
        <v>16.993751083189998</v>
      </c>
      <c r="BS1274" s="2">
        <v>16.536143988865199</v>
      </c>
      <c r="BT1274" s="2">
        <v>16.2454684029858</v>
      </c>
      <c r="BU1274" s="2">
        <v>18.6683433804256</v>
      </c>
      <c r="BV1274" s="2">
        <v>17.344657576744002</v>
      </c>
      <c r="BW1274" s="2">
        <v>15.9895421857951</v>
      </c>
      <c r="BX1274" s="2">
        <v>16.261983599072501</v>
      </c>
      <c r="BY1274" s="2">
        <v>18.535878183754001</v>
      </c>
      <c r="BZ1274" s="2">
        <v>17.9902514663878</v>
      </c>
      <c r="CA1274" s="2">
        <v>16.539069579163101</v>
      </c>
      <c r="CB1274" s="2">
        <v>18.3186040622174</v>
      </c>
      <c r="CC1274" s="2">
        <v>17.913194464267299</v>
      </c>
      <c r="CD1274" s="2">
        <v>16.726302257315101</v>
      </c>
      <c r="CE1274" s="2">
        <v>17.993961769786999</v>
      </c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</row>
    <row r="1275" spans="1:97">
      <c r="A1275" s="2" t="s">
        <v>11545</v>
      </c>
      <c r="B1275" s="2">
        <v>307.18797000000001</v>
      </c>
      <c r="C1275" s="2">
        <v>10.23</v>
      </c>
      <c r="D1275" s="2" t="s">
        <v>84</v>
      </c>
      <c r="E1275" s="2" t="s">
        <v>11546</v>
      </c>
      <c r="F1275" s="2" t="s">
        <v>11547</v>
      </c>
      <c r="G1275" s="2">
        <v>58752</v>
      </c>
      <c r="H1275" s="3" t="str">
        <f>HYPERLINK("https://cloud.oebiotech.com/#/lm/network/58752", "https://cloud.oebiotech.com/#/lm/network/58752")</f>
        <v>https://cloud.oebiotech.com/#/lm/network/58752</v>
      </c>
      <c r="I1275" s="2" t="s">
        <v>11548</v>
      </c>
      <c r="J1275" s="2">
        <v>90202</v>
      </c>
      <c r="K1275" s="2"/>
      <c r="L1275" s="2">
        <v>9839519</v>
      </c>
      <c r="M1275" s="2" t="s">
        <v>11549</v>
      </c>
      <c r="N1275" s="2"/>
      <c r="O1275" s="2"/>
      <c r="P1275" s="2">
        <v>134190</v>
      </c>
      <c r="Q1275" s="2"/>
      <c r="R1275" s="2"/>
      <c r="S1275" s="2"/>
      <c r="T1275" s="2" t="s">
        <v>11550</v>
      </c>
      <c r="U1275" s="2" t="s">
        <v>11551</v>
      </c>
      <c r="V1275" s="2" t="s">
        <v>385</v>
      </c>
      <c r="W1275" s="2" t="s">
        <v>3319</v>
      </c>
      <c r="X1275" s="2" t="s">
        <v>3320</v>
      </c>
      <c r="Y1275" s="2" t="s">
        <v>388</v>
      </c>
      <c r="Z1275" s="2" t="s">
        <v>3321</v>
      </c>
      <c r="AA1275" s="2" t="s">
        <v>3322</v>
      </c>
      <c r="AB1275" s="2" t="s">
        <v>3086</v>
      </c>
      <c r="AC1275" s="2">
        <v>46.63</v>
      </c>
      <c r="AD1275" s="2">
        <v>88.66</v>
      </c>
      <c r="AE1275" s="2">
        <v>0</v>
      </c>
      <c r="AF1275" s="2" t="s">
        <v>5614</v>
      </c>
      <c r="AG1275" s="2" t="s">
        <v>103</v>
      </c>
      <c r="AH1275" s="2" t="s">
        <v>11552</v>
      </c>
      <c r="AI1275" s="2">
        <v>7.81</v>
      </c>
      <c r="AJ1275" s="2">
        <v>18.698664349466899</v>
      </c>
      <c r="AK1275" s="2">
        <v>18.955901668216399</v>
      </c>
      <c r="AL1275" s="2">
        <v>18.255051628257601</v>
      </c>
      <c r="AM1275" s="2">
        <v>19.2161633396239</v>
      </c>
      <c r="AN1275" s="2">
        <v>18.692217895347</v>
      </c>
      <c r="AO1275" s="2">
        <v>19.033605687534202</v>
      </c>
      <c r="AP1275" s="2">
        <v>19.1801159621984</v>
      </c>
      <c r="AQ1275" s="2">
        <v>18.6822333810129</v>
      </c>
      <c r="AR1275" s="2">
        <v>18.780218900795699</v>
      </c>
      <c r="AS1275" s="2">
        <v>19.353026979390801</v>
      </c>
      <c r="AT1275" s="2">
        <v>19.3072000752321</v>
      </c>
      <c r="AU1275" s="2">
        <v>19.095770933309701</v>
      </c>
      <c r="AV1275" s="2">
        <v>19.233383306931302</v>
      </c>
      <c r="AW1275" s="2">
        <v>18.598210031823001</v>
      </c>
      <c r="AX1275" s="2">
        <v>18.2884753183742</v>
      </c>
      <c r="AY1275" s="2">
        <v>18.876967628435299</v>
      </c>
      <c r="AZ1275" s="2">
        <v>18.331951816220201</v>
      </c>
      <c r="BA1275" s="2">
        <v>19.366614484934601</v>
      </c>
      <c r="BB1275" s="2">
        <v>19.049452758853601</v>
      </c>
      <c r="BC1275" s="2">
        <v>18.956685893657902</v>
      </c>
      <c r="BD1275" s="2">
        <v>18.2233072911759</v>
      </c>
      <c r="BE1275" s="2">
        <v>18.235102686879401</v>
      </c>
      <c r="BF1275" s="2">
        <v>18.638581390944601</v>
      </c>
      <c r="BG1275" s="2">
        <v>18.919709627985</v>
      </c>
      <c r="BH1275" s="2">
        <v>19.1657180084209</v>
      </c>
      <c r="BI1275" s="2">
        <v>17.207307986136701</v>
      </c>
      <c r="BJ1275" s="2">
        <v>18.232458309492699</v>
      </c>
      <c r="BK1275" s="2">
        <v>19.2776254240611</v>
      </c>
      <c r="BL1275" s="2">
        <v>19.503930604675499</v>
      </c>
      <c r="BM1275" s="2">
        <v>19.091198969230199</v>
      </c>
      <c r="BN1275" s="2">
        <v>17.992048987125699</v>
      </c>
      <c r="BO1275" s="2">
        <v>18.074363782342399</v>
      </c>
      <c r="BP1275" s="2">
        <v>19.216722416104702</v>
      </c>
      <c r="BQ1275" s="2">
        <v>18.113508842447601</v>
      </c>
      <c r="BR1275" s="2">
        <v>19.0695860468748</v>
      </c>
      <c r="BS1275" s="2">
        <v>18.952084538886201</v>
      </c>
      <c r="BT1275" s="2">
        <v>19.140799870720301</v>
      </c>
      <c r="BU1275" s="2">
        <v>19.285123757194</v>
      </c>
      <c r="BV1275" s="2">
        <v>18.449090636168599</v>
      </c>
      <c r="BW1275" s="2">
        <v>19.239389034630001</v>
      </c>
      <c r="BX1275" s="2">
        <v>19.097368830500301</v>
      </c>
      <c r="BY1275" s="2">
        <v>19.222483641981501</v>
      </c>
      <c r="BZ1275" s="2">
        <v>19.020983979772499</v>
      </c>
      <c r="CA1275" s="2">
        <v>18.735852544479702</v>
      </c>
      <c r="CB1275" s="2">
        <v>18.078742963971902</v>
      </c>
      <c r="CC1275" s="2">
        <v>18.3257999614422</v>
      </c>
      <c r="CD1275" s="2">
        <v>18.675585508772102</v>
      </c>
      <c r="CE1275" s="2">
        <v>18.3227953091783</v>
      </c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</row>
    <row r="1276" spans="1:97">
      <c r="A1276" s="2" t="s">
        <v>11553</v>
      </c>
      <c r="B1276" s="2">
        <v>295.14961</v>
      </c>
      <c r="C1276" s="2">
        <v>0.623</v>
      </c>
      <c r="D1276" s="2" t="s">
        <v>84</v>
      </c>
      <c r="E1276" s="2" t="s">
        <v>11554</v>
      </c>
      <c r="F1276" s="2" t="s">
        <v>11555</v>
      </c>
      <c r="G1276" s="2">
        <v>61870</v>
      </c>
      <c r="H1276" s="3" t="str">
        <f>HYPERLINK("https://cloud.oebiotech.com/#/lm/network/61870", "https://cloud.oebiotech.com/#/lm/network/61870")</f>
        <v>https://cloud.oebiotech.com/#/lm/network/61870</v>
      </c>
      <c r="I1276" s="2" t="s">
        <v>11556</v>
      </c>
      <c r="J1276" s="2"/>
      <c r="K1276" s="2"/>
      <c r="L1276" s="2">
        <v>131752381</v>
      </c>
      <c r="M1276" s="2"/>
      <c r="N1276" s="2"/>
      <c r="O1276" s="2"/>
      <c r="P1276" s="2">
        <v>156202</v>
      </c>
      <c r="Q1276" s="2"/>
      <c r="R1276" s="2"/>
      <c r="S1276" s="2" t="s">
        <v>11557</v>
      </c>
      <c r="T1276" s="2" t="s">
        <v>11558</v>
      </c>
      <c r="U1276" s="2" t="s">
        <v>11559</v>
      </c>
      <c r="V1276" s="2" t="s">
        <v>115</v>
      </c>
      <c r="W1276" s="2" t="s">
        <v>116</v>
      </c>
      <c r="X1276" s="2" t="s">
        <v>117</v>
      </c>
      <c r="Y1276" s="2" t="s">
        <v>118</v>
      </c>
      <c r="Z1276" s="2" t="s">
        <v>119</v>
      </c>
      <c r="AA1276" s="2" t="s">
        <v>120</v>
      </c>
      <c r="AB1276" s="2" t="s">
        <v>8443</v>
      </c>
      <c r="AC1276" s="2">
        <v>46.61</v>
      </c>
      <c r="AD1276" s="2">
        <v>91.97</v>
      </c>
      <c r="AE1276" s="2">
        <v>0</v>
      </c>
      <c r="AF1276" s="2" t="s">
        <v>5614</v>
      </c>
      <c r="AG1276" s="2" t="s">
        <v>132</v>
      </c>
      <c r="AH1276" s="2" t="s">
        <v>11560</v>
      </c>
      <c r="AI1276" s="2">
        <v>1.36</v>
      </c>
      <c r="AJ1276" s="2">
        <v>20.393483870096802</v>
      </c>
      <c r="AK1276" s="2">
        <v>20.402843655488201</v>
      </c>
      <c r="AL1276" s="2">
        <v>20.182129709107901</v>
      </c>
      <c r="AM1276" s="2">
        <v>20.387195694342701</v>
      </c>
      <c r="AN1276" s="2">
        <v>20.566856422290499</v>
      </c>
      <c r="AO1276" s="2">
        <v>20.506804512612302</v>
      </c>
      <c r="AP1276" s="2">
        <v>20.5686155282723</v>
      </c>
      <c r="AQ1276" s="2">
        <v>20.676087469183098</v>
      </c>
      <c r="AR1276" s="2">
        <v>17.772109824448901</v>
      </c>
      <c r="AS1276" s="2">
        <v>17.7921171142373</v>
      </c>
      <c r="AT1276" s="2">
        <v>18.607434711731798</v>
      </c>
      <c r="AU1276" s="2">
        <v>20.312945700113499</v>
      </c>
      <c r="AV1276" s="2">
        <v>21.284669820822</v>
      </c>
      <c r="AW1276" s="2">
        <v>19.614553151408799</v>
      </c>
      <c r="AX1276" s="2">
        <v>17.121232992025401</v>
      </c>
      <c r="AY1276" s="2">
        <v>18.847431500267401</v>
      </c>
      <c r="AZ1276" s="2">
        <v>21.031931417272499</v>
      </c>
      <c r="BA1276" s="2">
        <v>19.5519096022275</v>
      </c>
      <c r="BB1276" s="2">
        <v>19.606511503000501</v>
      </c>
      <c r="BC1276" s="2">
        <v>20.2646029747598</v>
      </c>
      <c r="BD1276" s="2">
        <v>20.370781503001599</v>
      </c>
      <c r="BE1276" s="2">
        <v>19.542051577866101</v>
      </c>
      <c r="BF1276" s="2">
        <v>18.6473009111868</v>
      </c>
      <c r="BG1276" s="2">
        <v>19.354280572896698</v>
      </c>
      <c r="BH1276" s="2">
        <v>19.0623018488639</v>
      </c>
      <c r="BI1276" s="2">
        <v>20.0272269689547</v>
      </c>
      <c r="BJ1276" s="2">
        <v>20.641521854297999</v>
      </c>
      <c r="BK1276" s="2">
        <v>21.710194743389501</v>
      </c>
      <c r="BL1276" s="2">
        <v>20.798397154536101</v>
      </c>
      <c r="BM1276" s="2">
        <v>21.955408958676198</v>
      </c>
      <c r="BN1276" s="2">
        <v>20.928122648550598</v>
      </c>
      <c r="BO1276" s="2">
        <v>21.4990946056773</v>
      </c>
      <c r="BP1276" s="2">
        <v>20.574639257532699</v>
      </c>
      <c r="BQ1276" s="2">
        <v>19.1193179247411</v>
      </c>
      <c r="BR1276" s="2">
        <v>20.608692411540101</v>
      </c>
      <c r="BS1276" s="2">
        <v>22.639718016615799</v>
      </c>
      <c r="BT1276" s="2">
        <v>22.1002070687356</v>
      </c>
      <c r="BU1276" s="2">
        <v>21.2458021925564</v>
      </c>
      <c r="BV1276" s="2">
        <v>21.8626189027528</v>
      </c>
      <c r="BW1276" s="2">
        <v>19.965264045773999</v>
      </c>
      <c r="BX1276" s="2">
        <v>21.500555898753799</v>
      </c>
      <c r="BY1276" s="2">
        <v>21.0701639180105</v>
      </c>
      <c r="BZ1276" s="2">
        <v>19.8039000500792</v>
      </c>
      <c r="CA1276" s="2">
        <v>22.589797314033099</v>
      </c>
      <c r="CB1276" s="2">
        <v>18.430369200622799</v>
      </c>
      <c r="CC1276" s="2">
        <v>19.78750907069</v>
      </c>
      <c r="CD1276" s="2">
        <v>21.4263902380258</v>
      </c>
      <c r="CE1276" s="2">
        <v>20.0991041187579</v>
      </c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</row>
    <row r="1277" spans="1:97">
      <c r="A1277" s="2" t="s">
        <v>11561</v>
      </c>
      <c r="B1277" s="2">
        <v>232.05878999999999</v>
      </c>
      <c r="C1277" s="2">
        <v>4.8120000000000003</v>
      </c>
      <c r="D1277" s="2" t="s">
        <v>146</v>
      </c>
      <c r="E1277" s="2" t="s">
        <v>11562</v>
      </c>
      <c r="F1277" s="2" t="s">
        <v>11563</v>
      </c>
      <c r="G1277" s="2">
        <v>62409</v>
      </c>
      <c r="H1277" s="3" t="str">
        <f>HYPERLINK("https://cloud.oebiotech.com/#/lm/network/62409", "https://cloud.oebiotech.com/#/lm/network/62409")</f>
        <v>https://cloud.oebiotech.com/#/lm/network/62409</v>
      </c>
      <c r="I1277" s="2" t="s">
        <v>11564</v>
      </c>
      <c r="J1277" s="2">
        <v>93703</v>
      </c>
      <c r="K1277" s="2"/>
      <c r="L1277" s="2">
        <v>21257164</v>
      </c>
      <c r="M1277" s="2"/>
      <c r="N1277" s="2"/>
      <c r="O1277" s="2"/>
      <c r="P1277" s="2">
        <v>168088</v>
      </c>
      <c r="Q1277" s="2"/>
      <c r="R1277" s="2"/>
      <c r="S1277" s="2"/>
      <c r="T1277" s="2" t="s">
        <v>11565</v>
      </c>
      <c r="U1277" s="2" t="s">
        <v>11566</v>
      </c>
      <c r="V1277" s="2" t="s">
        <v>115</v>
      </c>
      <c r="W1277" s="2" t="s">
        <v>116</v>
      </c>
      <c r="X1277" s="2" t="s">
        <v>117</v>
      </c>
      <c r="Y1277" s="2" t="s">
        <v>118</v>
      </c>
      <c r="Z1277" s="2" t="s">
        <v>119</v>
      </c>
      <c r="AA1277" s="2" t="s">
        <v>120</v>
      </c>
      <c r="AB1277" s="2" t="s">
        <v>3086</v>
      </c>
      <c r="AC1277" s="2">
        <v>46.6</v>
      </c>
      <c r="AD1277" s="2">
        <v>92.2</v>
      </c>
      <c r="AE1277" s="2">
        <v>0</v>
      </c>
      <c r="AF1277" s="2" t="s">
        <v>5614</v>
      </c>
      <c r="AG1277" s="2" t="s">
        <v>993</v>
      </c>
      <c r="AH1277" s="2" t="s">
        <v>11567</v>
      </c>
      <c r="AI1277" s="2">
        <v>9.48</v>
      </c>
      <c r="AJ1277" s="2">
        <v>19.490829376200701</v>
      </c>
      <c r="AK1277" s="2">
        <v>19.512116234571899</v>
      </c>
      <c r="AL1277" s="2">
        <v>19.711680297811998</v>
      </c>
      <c r="AM1277" s="2">
        <v>19.127715438654299</v>
      </c>
      <c r="AN1277" s="2">
        <v>19.724848049152101</v>
      </c>
      <c r="AO1277" s="2">
        <v>19.4867725581447</v>
      </c>
      <c r="AP1277" s="2">
        <v>19.118692267057099</v>
      </c>
      <c r="AQ1277" s="2">
        <v>19.397772196546899</v>
      </c>
      <c r="AR1277" s="2">
        <v>18.397206837574998</v>
      </c>
      <c r="AS1277" s="2">
        <v>16.137693630227201</v>
      </c>
      <c r="AT1277" s="2">
        <v>18.451989128104799</v>
      </c>
      <c r="AU1277" s="2">
        <v>18.9204590774177</v>
      </c>
      <c r="AV1277" s="2">
        <v>17.906753575339501</v>
      </c>
      <c r="AW1277" s="2">
        <v>20.445427061789299</v>
      </c>
      <c r="AX1277" s="2">
        <v>18.425673927246599</v>
      </c>
      <c r="AY1277" s="2">
        <v>19.0703973209677</v>
      </c>
      <c r="AZ1277" s="2">
        <v>18.872447728088499</v>
      </c>
      <c r="BA1277" s="2">
        <v>20.001169434448698</v>
      </c>
      <c r="BB1277" s="2">
        <v>19.491422971024601</v>
      </c>
      <c r="BC1277" s="2">
        <v>20.223967900689601</v>
      </c>
      <c r="BD1277" s="2">
        <v>18.936761599028198</v>
      </c>
      <c r="BE1277" s="2">
        <v>18.801389387529799</v>
      </c>
      <c r="BF1277" s="2">
        <v>18.9888547687254</v>
      </c>
      <c r="BG1277" s="2">
        <v>18.516967621216899</v>
      </c>
      <c r="BH1277" s="2">
        <v>18.174765431568801</v>
      </c>
      <c r="BI1277" s="2">
        <v>18.192512872260998</v>
      </c>
      <c r="BJ1277" s="2">
        <v>18.353411343592999</v>
      </c>
      <c r="BK1277" s="2">
        <v>19.273829512127399</v>
      </c>
      <c r="BL1277" s="2">
        <v>18.015668547177999</v>
      </c>
      <c r="BM1277" s="2">
        <v>16.8574345855735</v>
      </c>
      <c r="BN1277" s="2">
        <v>18.543152759951798</v>
      </c>
      <c r="BO1277" s="2">
        <v>19.5792585129903</v>
      </c>
      <c r="BP1277" s="2">
        <v>18.976519178334598</v>
      </c>
      <c r="BQ1277" s="2">
        <v>20.051990850970999</v>
      </c>
      <c r="BR1277" s="2">
        <v>19.197964694647101</v>
      </c>
      <c r="BS1277" s="2">
        <v>18.960760802920699</v>
      </c>
      <c r="BT1277" s="2">
        <v>19.9026140010298</v>
      </c>
      <c r="BU1277" s="2">
        <v>20.614319949866101</v>
      </c>
      <c r="BV1277" s="2">
        <v>19.323070487820999</v>
      </c>
      <c r="BW1277" s="2">
        <v>19.444530671202301</v>
      </c>
      <c r="BX1277" s="2">
        <v>18.803611658607601</v>
      </c>
      <c r="BY1277" s="2">
        <v>19.194261472871201</v>
      </c>
      <c r="BZ1277" s="2">
        <v>19.4704976031766</v>
      </c>
      <c r="CA1277" s="2">
        <v>18.074718858069598</v>
      </c>
      <c r="CB1277" s="2">
        <v>17.619075796755101</v>
      </c>
      <c r="CC1277" s="2">
        <v>18.028909300522599</v>
      </c>
      <c r="CD1277" s="2">
        <v>18.910570623191099</v>
      </c>
      <c r="CE1277" s="2">
        <v>19.992042318809901</v>
      </c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</row>
    <row r="1278" spans="1:97">
      <c r="A1278" s="2" t="s">
        <v>11568</v>
      </c>
      <c r="B1278" s="2">
        <v>242.28380000000001</v>
      </c>
      <c r="C1278" s="2">
        <v>9.8930000000000007</v>
      </c>
      <c r="D1278" s="2" t="s">
        <v>84</v>
      </c>
      <c r="E1278" s="2" t="s">
        <v>11569</v>
      </c>
      <c r="F1278" s="2" t="s">
        <v>11570</v>
      </c>
      <c r="G1278" s="2">
        <v>206050</v>
      </c>
      <c r="H1278" s="3" t="str">
        <f>HYPERLINK("https://cloud.oebiotech.com/#/lm/network/206050", "https://cloud.oebiotech.com/#/lm/network/206050")</f>
        <v>https://cloud.oebiotech.com/#/lm/network/206050</v>
      </c>
      <c r="I1278" s="2" t="s">
        <v>11571</v>
      </c>
      <c r="J1278" s="2">
        <v>342738</v>
      </c>
      <c r="K1278" s="2"/>
      <c r="L1278" s="2">
        <v>3094</v>
      </c>
      <c r="M1278" s="2"/>
      <c r="N1278" s="2"/>
      <c r="O1278" s="2"/>
      <c r="P1278" s="2">
        <v>132284</v>
      </c>
      <c r="Q1278" s="2"/>
      <c r="R1278" s="2"/>
      <c r="S1278" s="2"/>
      <c r="T1278" s="2" t="s">
        <v>11572</v>
      </c>
      <c r="U1278" s="2" t="s">
        <v>11573</v>
      </c>
      <c r="V1278" s="2" t="s">
        <v>166</v>
      </c>
      <c r="W1278" s="2" t="s">
        <v>167</v>
      </c>
      <c r="X1278" s="2" t="s">
        <v>482</v>
      </c>
      <c r="Y1278" s="2" t="s">
        <v>169</v>
      </c>
      <c r="Z1278" s="2" t="s">
        <v>169</v>
      </c>
      <c r="AA1278" s="2" t="s">
        <v>483</v>
      </c>
      <c r="AB1278" s="2" t="s">
        <v>8443</v>
      </c>
      <c r="AC1278" s="2">
        <v>46.58</v>
      </c>
      <c r="AD1278" s="2">
        <v>97.62</v>
      </c>
      <c r="AE1278" s="2">
        <v>0</v>
      </c>
      <c r="AF1278" s="2" t="s">
        <v>11574</v>
      </c>
      <c r="AG1278" s="2" t="s">
        <v>103</v>
      </c>
      <c r="AH1278" s="2" t="s">
        <v>11575</v>
      </c>
      <c r="AI1278" s="2">
        <v>1.65</v>
      </c>
      <c r="AJ1278" s="2">
        <v>21.2295671409262</v>
      </c>
      <c r="AK1278" s="2">
        <v>21.260281135648398</v>
      </c>
      <c r="AL1278" s="2">
        <v>21.2464262328423</v>
      </c>
      <c r="AM1278" s="2">
        <v>21.302293974213399</v>
      </c>
      <c r="AN1278" s="2">
        <v>21.1573368128442</v>
      </c>
      <c r="AO1278" s="2">
        <v>21.3020128617956</v>
      </c>
      <c r="AP1278" s="2">
        <v>21.142795019830299</v>
      </c>
      <c r="AQ1278" s="2">
        <v>21.506704991841701</v>
      </c>
      <c r="AR1278" s="2">
        <v>21.129738743404101</v>
      </c>
      <c r="AS1278" s="2">
        <v>21.244737796585401</v>
      </c>
      <c r="AT1278" s="2">
        <v>21.433601572401201</v>
      </c>
      <c r="AU1278" s="2">
        <v>21.3095462189236</v>
      </c>
      <c r="AV1278" s="2">
        <v>21.188817339318501</v>
      </c>
      <c r="AW1278" s="2">
        <v>21.024472650076</v>
      </c>
      <c r="AX1278" s="2">
        <v>21.284654612226198</v>
      </c>
      <c r="AY1278" s="2">
        <v>21.256194611159799</v>
      </c>
      <c r="AZ1278" s="2">
        <v>21.31559497221</v>
      </c>
      <c r="BA1278" s="2">
        <v>21.224512574344001</v>
      </c>
      <c r="BB1278" s="2">
        <v>21.1986467372706</v>
      </c>
      <c r="BC1278" s="2">
        <v>21.082172682821898</v>
      </c>
      <c r="BD1278" s="2">
        <v>21.340066754383798</v>
      </c>
      <c r="BE1278" s="2">
        <v>21.4648998517184</v>
      </c>
      <c r="BF1278" s="2">
        <v>21.5314448064529</v>
      </c>
      <c r="BG1278" s="2">
        <v>21.664216541072602</v>
      </c>
      <c r="BH1278" s="2">
        <v>21.376396512603701</v>
      </c>
      <c r="BI1278" s="2">
        <v>21.1372250413275</v>
      </c>
      <c r="BJ1278" s="2">
        <v>21.123277288661299</v>
      </c>
      <c r="BK1278" s="2">
        <v>21.333696619813299</v>
      </c>
      <c r="BL1278" s="2">
        <v>20.261039989756799</v>
      </c>
      <c r="BM1278" s="2">
        <v>20.532062693949399</v>
      </c>
      <c r="BN1278" s="2">
        <v>21.133446012123699</v>
      </c>
      <c r="BO1278" s="2">
        <v>20.346945941944401</v>
      </c>
      <c r="BP1278" s="2">
        <v>20.555495843351999</v>
      </c>
      <c r="BQ1278" s="2">
        <v>20.464381201893701</v>
      </c>
      <c r="BR1278" s="2">
        <v>20.365492998430799</v>
      </c>
      <c r="BS1278" s="2">
        <v>20.435580913696899</v>
      </c>
      <c r="BT1278" s="2">
        <v>20.669703201796199</v>
      </c>
      <c r="BU1278" s="2">
        <v>20.377655901357699</v>
      </c>
      <c r="BV1278" s="2">
        <v>20.174144114209</v>
      </c>
      <c r="BW1278" s="2">
        <v>20.381352105828999</v>
      </c>
      <c r="BX1278" s="2">
        <v>20.6052836810412</v>
      </c>
      <c r="BY1278" s="2">
        <v>20.522026232995302</v>
      </c>
      <c r="BZ1278" s="2">
        <v>20.582113978366301</v>
      </c>
      <c r="CA1278" s="2">
        <v>20.700432885386501</v>
      </c>
      <c r="CB1278" s="2">
        <v>20.936539738031399</v>
      </c>
      <c r="CC1278" s="2">
        <v>20.267542507340998</v>
      </c>
      <c r="CD1278" s="2">
        <v>20.530420006713101</v>
      </c>
      <c r="CE1278" s="2">
        <v>20.428674856828302</v>
      </c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</row>
    <row r="1279" spans="1:97">
      <c r="A1279" s="2" t="s">
        <v>11576</v>
      </c>
      <c r="B1279" s="2">
        <v>102.01944</v>
      </c>
      <c r="C1279" s="2">
        <v>0.53100000000000003</v>
      </c>
      <c r="D1279" s="2" t="s">
        <v>146</v>
      </c>
      <c r="E1279" s="2" t="s">
        <v>11577</v>
      </c>
      <c r="F1279" s="2" t="s">
        <v>11578</v>
      </c>
      <c r="G1279" s="2">
        <v>203452</v>
      </c>
      <c r="H1279" s="3" t="str">
        <f>HYPERLINK("https://cloud.oebiotech.com/#/lm/network/203452", "https://cloud.oebiotech.com/#/lm/network/203452")</f>
        <v>https://cloud.oebiotech.com/#/lm/network/203452</v>
      </c>
      <c r="I1279" s="2" t="s">
        <v>11579</v>
      </c>
      <c r="J1279" s="2"/>
      <c r="K1279" s="2"/>
      <c r="L1279" s="2">
        <v>57028206</v>
      </c>
      <c r="M1279" s="2"/>
      <c r="N1279" s="2"/>
      <c r="O1279" s="2"/>
      <c r="P1279" s="2"/>
      <c r="Q1279" s="2"/>
      <c r="R1279" s="2"/>
      <c r="S1279" s="2"/>
      <c r="T1279" s="2" t="s">
        <v>11580</v>
      </c>
      <c r="U1279" s="2" t="s">
        <v>11581</v>
      </c>
      <c r="V1279" s="2" t="s">
        <v>115</v>
      </c>
      <c r="W1279" s="2" t="s">
        <v>403</v>
      </c>
      <c r="X1279" s="2" t="s">
        <v>5766</v>
      </c>
      <c r="Y1279" s="2" t="s">
        <v>118</v>
      </c>
      <c r="Z1279" s="2" t="s">
        <v>405</v>
      </c>
      <c r="AA1279" s="2" t="s">
        <v>5767</v>
      </c>
      <c r="AB1279" s="2" t="s">
        <v>8443</v>
      </c>
      <c r="AC1279" s="2">
        <v>46.56</v>
      </c>
      <c r="AD1279" s="2">
        <v>97.95</v>
      </c>
      <c r="AE1279" s="2">
        <v>0</v>
      </c>
      <c r="AF1279" s="2" t="s">
        <v>5614</v>
      </c>
      <c r="AG1279" s="2" t="s">
        <v>194</v>
      </c>
      <c r="AH1279" s="2" t="s">
        <v>11582</v>
      </c>
      <c r="AI1279" s="2">
        <v>2.25</v>
      </c>
      <c r="AJ1279" s="2">
        <v>19.719840745529599</v>
      </c>
      <c r="AK1279" s="2">
        <v>19.707645986290402</v>
      </c>
      <c r="AL1279" s="2">
        <v>19.655395121728901</v>
      </c>
      <c r="AM1279" s="2">
        <v>19.510387650875</v>
      </c>
      <c r="AN1279" s="2">
        <v>19.732272048535499</v>
      </c>
      <c r="AO1279" s="2">
        <v>19.591883935573598</v>
      </c>
      <c r="AP1279" s="2">
        <v>19.404302414979799</v>
      </c>
      <c r="AQ1279" s="2">
        <v>19.858949367438399</v>
      </c>
      <c r="AR1279" s="2">
        <v>19.486515331956401</v>
      </c>
      <c r="AS1279" s="2">
        <v>18.8596602608899</v>
      </c>
      <c r="AT1279" s="2">
        <v>18.699289802032599</v>
      </c>
      <c r="AU1279" s="2">
        <v>19.693844867785899</v>
      </c>
      <c r="AV1279" s="2">
        <v>19.408886219524501</v>
      </c>
      <c r="AW1279" s="2">
        <v>19.553846299771799</v>
      </c>
      <c r="AX1279" s="2">
        <v>19.552161041428299</v>
      </c>
      <c r="AY1279" s="2">
        <v>19.5980590446303</v>
      </c>
      <c r="AZ1279" s="2">
        <v>19.6109315594645</v>
      </c>
      <c r="BA1279" s="2">
        <v>19.435196391913699</v>
      </c>
      <c r="BB1279" s="2">
        <v>19.761037743219799</v>
      </c>
      <c r="BC1279" s="2">
        <v>19.414734220714699</v>
      </c>
      <c r="BD1279" s="2">
        <v>19.636932046166699</v>
      </c>
      <c r="BE1279" s="2">
        <v>19.614072993193499</v>
      </c>
      <c r="BF1279" s="2">
        <v>19.501639169969899</v>
      </c>
      <c r="BG1279" s="2">
        <v>19.521594574162801</v>
      </c>
      <c r="BH1279" s="2">
        <v>19.780700910850399</v>
      </c>
      <c r="BI1279" s="2">
        <v>19.809043302591999</v>
      </c>
      <c r="BJ1279" s="2">
        <v>19.516501023203698</v>
      </c>
      <c r="BK1279" s="2">
        <v>19.799504416377602</v>
      </c>
      <c r="BL1279" s="2">
        <v>19.561596281117399</v>
      </c>
      <c r="BM1279" s="2">
        <v>19.7128971916488</v>
      </c>
      <c r="BN1279" s="2">
        <v>18.619054046407701</v>
      </c>
      <c r="BO1279" s="2">
        <v>19.5882074038411</v>
      </c>
      <c r="BP1279" s="2">
        <v>19.827498347432901</v>
      </c>
      <c r="BQ1279" s="2">
        <v>19.666900124985901</v>
      </c>
      <c r="BR1279" s="2">
        <v>19.6789399499241</v>
      </c>
      <c r="BS1279" s="2">
        <v>19.615003307362901</v>
      </c>
      <c r="BT1279" s="2">
        <v>19.733163105990801</v>
      </c>
      <c r="BU1279" s="2">
        <v>19.486706144841701</v>
      </c>
      <c r="BV1279" s="2">
        <v>19.8430258806805</v>
      </c>
      <c r="BW1279" s="2">
        <v>19.748120880142299</v>
      </c>
      <c r="BX1279" s="2">
        <v>19.671822608298299</v>
      </c>
      <c r="BY1279" s="2">
        <v>19.6731381533125</v>
      </c>
      <c r="BZ1279" s="2">
        <v>19.5579262866604</v>
      </c>
      <c r="CA1279" s="2">
        <v>19.595068403850998</v>
      </c>
      <c r="CB1279" s="2">
        <v>19.473507660307199</v>
      </c>
      <c r="CC1279" s="2">
        <v>19.501188253732401</v>
      </c>
      <c r="CD1279" s="2">
        <v>19.707881655098099</v>
      </c>
      <c r="CE1279" s="2">
        <v>19.7302898321581</v>
      </c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</row>
    <row r="1280" spans="1:97">
      <c r="A1280" s="2" t="s">
        <v>11583</v>
      </c>
      <c r="B1280" s="2">
        <v>213.11283</v>
      </c>
      <c r="C1280" s="2">
        <v>6.0780000000000003</v>
      </c>
      <c r="D1280" s="2" t="s">
        <v>146</v>
      </c>
      <c r="E1280" s="2" t="s">
        <v>11584</v>
      </c>
      <c r="F1280" s="2" t="s">
        <v>11585</v>
      </c>
      <c r="G1280" s="2">
        <v>197255</v>
      </c>
      <c r="H1280" s="3" t="str">
        <f>HYPERLINK("https://cloud.oebiotech.com/#/lm/network/197255", "https://cloud.oebiotech.com/#/lm/network/197255")</f>
        <v>https://cloud.oebiotech.com/#/lm/network/197255</v>
      </c>
      <c r="I1280" s="2" t="s">
        <v>11586</v>
      </c>
      <c r="J1280" s="2"/>
      <c r="K1280" s="2"/>
      <c r="L1280" s="2">
        <v>101379802</v>
      </c>
      <c r="M1280" s="2"/>
      <c r="N1280" s="2"/>
      <c r="O1280" s="2"/>
      <c r="P1280" s="2"/>
      <c r="Q1280" s="2"/>
      <c r="R1280" s="2"/>
      <c r="S1280" s="2" t="s">
        <v>11587</v>
      </c>
      <c r="T1280" s="2" t="s">
        <v>11588</v>
      </c>
      <c r="U1280" s="2" t="s">
        <v>11589</v>
      </c>
      <c r="V1280" s="2" t="s">
        <v>95</v>
      </c>
      <c r="W1280" s="2" t="s">
        <v>180</v>
      </c>
      <c r="X1280" s="2" t="s">
        <v>5048</v>
      </c>
      <c r="Y1280" s="2" t="s">
        <v>98</v>
      </c>
      <c r="Z1280" s="2" t="s">
        <v>182</v>
      </c>
      <c r="AA1280" s="2" t="s">
        <v>5049</v>
      </c>
      <c r="AB1280" s="2" t="s">
        <v>8443</v>
      </c>
      <c r="AC1280" s="2">
        <v>46.54</v>
      </c>
      <c r="AD1280" s="2">
        <v>92.81</v>
      </c>
      <c r="AE1280" s="2">
        <v>0</v>
      </c>
      <c r="AF1280" s="2" t="s">
        <v>11590</v>
      </c>
      <c r="AG1280" s="2" t="s">
        <v>157</v>
      </c>
      <c r="AH1280" s="2" t="s">
        <v>10061</v>
      </c>
      <c r="AI1280" s="2">
        <v>1.88</v>
      </c>
      <c r="AJ1280" s="2">
        <v>20.8081173014873</v>
      </c>
      <c r="AK1280" s="2">
        <v>20.748013541846099</v>
      </c>
      <c r="AL1280" s="2">
        <v>20.737346572109601</v>
      </c>
      <c r="AM1280" s="2">
        <v>20.7380981162019</v>
      </c>
      <c r="AN1280" s="2">
        <v>20.722627158004599</v>
      </c>
      <c r="AO1280" s="2">
        <v>20.6416960695333</v>
      </c>
      <c r="AP1280" s="2">
        <v>20.727408373028599</v>
      </c>
      <c r="AQ1280" s="2">
        <v>20.6127676228603</v>
      </c>
      <c r="AR1280" s="2">
        <v>19.7693919515714</v>
      </c>
      <c r="AS1280" s="2">
        <v>19.939792482032999</v>
      </c>
      <c r="AT1280" s="2">
        <v>20.538130150067001</v>
      </c>
      <c r="AU1280" s="2">
        <v>19.810839579817898</v>
      </c>
      <c r="AV1280" s="2">
        <v>19.755350434734201</v>
      </c>
      <c r="AW1280" s="2">
        <v>20.292813073597198</v>
      </c>
      <c r="AX1280" s="2">
        <v>20.285382417614102</v>
      </c>
      <c r="AY1280" s="2">
        <v>19.911454822899302</v>
      </c>
      <c r="AZ1280" s="2">
        <v>20.163797914218101</v>
      </c>
      <c r="BA1280" s="2">
        <v>19.8762407493045</v>
      </c>
      <c r="BB1280" s="2">
        <v>21.065883251639899</v>
      </c>
      <c r="BC1280" s="2">
        <v>21.692127997285201</v>
      </c>
      <c r="BD1280" s="2">
        <v>20.349147484141699</v>
      </c>
      <c r="BE1280" s="2">
        <v>20.594792776132302</v>
      </c>
      <c r="BF1280" s="2">
        <v>20.896166240895401</v>
      </c>
      <c r="BG1280" s="2">
        <v>20.7359577348161</v>
      </c>
      <c r="BH1280" s="2">
        <v>20.085225219102099</v>
      </c>
      <c r="BI1280" s="2">
        <v>20.213295444582201</v>
      </c>
      <c r="BJ1280" s="2">
        <v>20.1886537831971</v>
      </c>
      <c r="BK1280" s="2">
        <v>19.940102342606799</v>
      </c>
      <c r="BL1280" s="2">
        <v>19.795579358785901</v>
      </c>
      <c r="BM1280" s="2">
        <v>19.926908981548699</v>
      </c>
      <c r="BN1280" s="2">
        <v>20.913187823158701</v>
      </c>
      <c r="BO1280" s="2">
        <v>20.702768056107701</v>
      </c>
      <c r="BP1280" s="2">
        <v>20.3257954277734</v>
      </c>
      <c r="BQ1280" s="2">
        <v>20.648607384544899</v>
      </c>
      <c r="BR1280" s="2">
        <v>20.6018462531826</v>
      </c>
      <c r="BS1280" s="2">
        <v>20.081117680586701</v>
      </c>
      <c r="BT1280" s="2">
        <v>20.365785736103799</v>
      </c>
      <c r="BU1280" s="2">
        <v>20.6743183291123</v>
      </c>
      <c r="BV1280" s="2">
        <v>19.9808146646659</v>
      </c>
      <c r="BW1280" s="2">
        <v>20.532514232687902</v>
      </c>
      <c r="BX1280" s="2">
        <v>20.6581096316438</v>
      </c>
      <c r="BY1280" s="2">
        <v>20.708682200072399</v>
      </c>
      <c r="BZ1280" s="2">
        <v>21.032665690119199</v>
      </c>
      <c r="CA1280" s="2">
        <v>20.425676744113101</v>
      </c>
      <c r="CB1280" s="2">
        <v>20.065435791830598</v>
      </c>
      <c r="CC1280" s="2">
        <v>20.450266590207899</v>
      </c>
      <c r="CD1280" s="2">
        <v>20.448643102801601</v>
      </c>
      <c r="CE1280" s="2">
        <v>20.822607223364798</v>
      </c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</row>
    <row r="1281" spans="1:97">
      <c r="A1281" s="2" t="s">
        <v>11591</v>
      </c>
      <c r="B1281" s="2">
        <v>177.05119999999999</v>
      </c>
      <c r="C1281" s="2">
        <v>4.6369999999999996</v>
      </c>
      <c r="D1281" s="2" t="s">
        <v>84</v>
      </c>
      <c r="E1281" s="2" t="s">
        <v>11592</v>
      </c>
      <c r="F1281" s="2" t="s">
        <v>11592</v>
      </c>
      <c r="G1281" s="2">
        <v>64191</v>
      </c>
      <c r="H1281" s="3" t="str">
        <f>HYPERLINK("https://cloud.oebiotech.com/#/lm/network/64191", "https://cloud.oebiotech.com/#/lm/network/64191")</f>
        <v>https://cloud.oebiotech.com/#/lm/network/64191</v>
      </c>
      <c r="I1281" s="2" t="s">
        <v>11593</v>
      </c>
      <c r="J1281" s="2">
        <v>95516</v>
      </c>
      <c r="K1281" s="2"/>
      <c r="L1281" s="2">
        <v>10374706</v>
      </c>
      <c r="M1281" s="2"/>
      <c r="N1281" s="2"/>
      <c r="O1281" s="2"/>
      <c r="P1281" s="2"/>
      <c r="Q1281" s="2"/>
      <c r="R1281" s="2"/>
      <c r="S1281" s="2" t="s">
        <v>11594</v>
      </c>
      <c r="T1281" s="2" t="s">
        <v>11595</v>
      </c>
      <c r="U1281" s="2" t="s">
        <v>11596</v>
      </c>
      <c r="V1281" s="2" t="s">
        <v>553</v>
      </c>
      <c r="W1281" s="2" t="s">
        <v>11597</v>
      </c>
      <c r="X1281" s="2" t="s">
        <v>375</v>
      </c>
      <c r="Y1281" s="2" t="s">
        <v>556</v>
      </c>
      <c r="Z1281" s="2" t="s">
        <v>11598</v>
      </c>
      <c r="AA1281" s="2"/>
      <c r="AB1281" s="2" t="s">
        <v>5118</v>
      </c>
      <c r="AC1281" s="2">
        <v>46.54</v>
      </c>
      <c r="AD1281" s="2">
        <v>96.07</v>
      </c>
      <c r="AE1281" s="2">
        <v>50.13</v>
      </c>
      <c r="AF1281" s="2" t="s">
        <v>11599</v>
      </c>
      <c r="AG1281" s="2" t="s">
        <v>132</v>
      </c>
      <c r="AH1281" s="2" t="s">
        <v>11600</v>
      </c>
      <c r="AI1281" s="2">
        <v>1.69</v>
      </c>
      <c r="AJ1281" s="2">
        <v>21.685352485793501</v>
      </c>
      <c r="AK1281" s="2">
        <v>21.548261256411301</v>
      </c>
      <c r="AL1281" s="2">
        <v>21.7138935687538</v>
      </c>
      <c r="AM1281" s="2">
        <v>21.685594775567601</v>
      </c>
      <c r="AN1281" s="2">
        <v>21.675085450338798</v>
      </c>
      <c r="AO1281" s="2">
        <v>21.694617911751799</v>
      </c>
      <c r="AP1281" s="2">
        <v>21.886404482875399</v>
      </c>
      <c r="AQ1281" s="2">
        <v>21.836764114712899</v>
      </c>
      <c r="AR1281" s="2">
        <v>16.529535024960001</v>
      </c>
      <c r="AS1281" s="2">
        <v>9.6233145402724691</v>
      </c>
      <c r="AT1281" s="2">
        <v>21.0505503076227</v>
      </c>
      <c r="AU1281" s="2">
        <v>21.761804330154799</v>
      </c>
      <c r="AV1281" s="2">
        <v>21.366042726916799</v>
      </c>
      <c r="AW1281" s="2">
        <v>21.278695781661501</v>
      </c>
      <c r="AX1281" s="2">
        <v>21.863941187024398</v>
      </c>
      <c r="AY1281" s="2">
        <v>21.915503602544302</v>
      </c>
      <c r="AZ1281" s="2">
        <v>21.5063982523193</v>
      </c>
      <c r="BA1281" s="2">
        <v>21.203964576684399</v>
      </c>
      <c r="BB1281" s="2">
        <v>19.925923686271101</v>
      </c>
      <c r="BC1281" s="2">
        <v>21.1595208471565</v>
      </c>
      <c r="BD1281" s="2">
        <v>22.088682743374001</v>
      </c>
      <c r="BE1281" s="2">
        <v>23.2748494828889</v>
      </c>
      <c r="BF1281" s="2">
        <v>22.354847908795801</v>
      </c>
      <c r="BG1281" s="2">
        <v>20.047924768306899</v>
      </c>
      <c r="BH1281" s="2">
        <v>22.466200040791101</v>
      </c>
      <c r="BI1281" s="2">
        <v>21.7147207147957</v>
      </c>
      <c r="BJ1281" s="2">
        <v>9.6233145402724691</v>
      </c>
      <c r="BK1281" s="2">
        <v>21.645545893359799</v>
      </c>
      <c r="BL1281" s="2">
        <v>22.091058448270498</v>
      </c>
      <c r="BM1281" s="2">
        <v>23.096846053940901</v>
      </c>
      <c r="BN1281" s="2">
        <v>22.473587032566101</v>
      </c>
      <c r="BO1281" s="2">
        <v>22.180882195897599</v>
      </c>
      <c r="BP1281" s="2">
        <v>21.646030225537601</v>
      </c>
      <c r="BQ1281" s="2">
        <v>22.0232951044953</v>
      </c>
      <c r="BR1281" s="2">
        <v>19.6563473814231</v>
      </c>
      <c r="BS1281" s="2">
        <v>22.4573175130683</v>
      </c>
      <c r="BT1281" s="2">
        <v>19.950826200488901</v>
      </c>
      <c r="BU1281" s="2">
        <v>22.418785520130399</v>
      </c>
      <c r="BV1281" s="2">
        <v>19.948646285841701</v>
      </c>
      <c r="BW1281" s="2">
        <v>20.541260499661998</v>
      </c>
      <c r="BX1281" s="2">
        <v>22.410692789948101</v>
      </c>
      <c r="BY1281" s="2">
        <v>22.898211152212799</v>
      </c>
      <c r="BZ1281" s="2">
        <v>20.493507690985101</v>
      </c>
      <c r="CA1281" s="2">
        <v>17.687675644128301</v>
      </c>
      <c r="CB1281" s="2">
        <v>19.051187641544299</v>
      </c>
      <c r="CC1281" s="2">
        <v>22.2295889788384</v>
      </c>
      <c r="CD1281" s="2">
        <v>21.758042826711002</v>
      </c>
      <c r="CE1281" s="2">
        <v>21.7953220853062</v>
      </c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</row>
    <row r="1282" spans="1:97">
      <c r="A1282" s="2" t="s">
        <v>11601</v>
      </c>
      <c r="B1282" s="2">
        <v>214.21615</v>
      </c>
      <c r="C1282" s="2">
        <v>11.272</v>
      </c>
      <c r="D1282" s="2" t="s">
        <v>84</v>
      </c>
      <c r="E1282" s="2" t="s">
        <v>11602</v>
      </c>
      <c r="F1282" s="2" t="s">
        <v>11603</v>
      </c>
      <c r="G1282" s="2">
        <v>10036</v>
      </c>
      <c r="H1282" s="3" t="str">
        <f>HYPERLINK("https://cloud.oebiotech.com/#/lm/network/10036", "https://cloud.oebiotech.com/#/lm/network/10036")</f>
        <v>https://cloud.oebiotech.com/#/lm/network/10036</v>
      </c>
      <c r="I1282" s="2"/>
      <c r="J1282" s="2">
        <v>98241</v>
      </c>
      <c r="K1282" s="2" t="s">
        <v>11604</v>
      </c>
      <c r="L1282" s="2">
        <v>11665584</v>
      </c>
      <c r="M1282" s="2"/>
      <c r="N1282" s="2"/>
      <c r="O1282" s="2"/>
      <c r="P1282" s="2"/>
      <c r="Q1282" s="2"/>
      <c r="R1282" s="2"/>
      <c r="S1282" s="2"/>
      <c r="T1282" s="2" t="s">
        <v>11605</v>
      </c>
      <c r="U1282" s="2" t="s">
        <v>11606</v>
      </c>
      <c r="V1282" s="2" t="s">
        <v>338</v>
      </c>
      <c r="W1282" s="2" t="s">
        <v>339</v>
      </c>
      <c r="X1282" s="2" t="s">
        <v>340</v>
      </c>
      <c r="Y1282" s="2" t="s">
        <v>341</v>
      </c>
      <c r="Z1282" s="2" t="s">
        <v>341</v>
      </c>
      <c r="AA1282" s="2" t="s">
        <v>342</v>
      </c>
      <c r="AB1282" s="2" t="s">
        <v>8443</v>
      </c>
      <c r="AC1282" s="2">
        <v>46.54</v>
      </c>
      <c r="AD1282" s="2">
        <v>92.33</v>
      </c>
      <c r="AE1282" s="2">
        <v>0</v>
      </c>
      <c r="AF1282" s="2" t="s">
        <v>5614</v>
      </c>
      <c r="AG1282" s="2" t="s">
        <v>132</v>
      </c>
      <c r="AH1282" s="2" t="s">
        <v>4559</v>
      </c>
      <c r="AI1282" s="2">
        <v>1.87</v>
      </c>
      <c r="AJ1282" s="2">
        <v>19.060904135685</v>
      </c>
      <c r="AK1282" s="2">
        <v>18.8817818521199</v>
      </c>
      <c r="AL1282" s="2">
        <v>18.350394814627599</v>
      </c>
      <c r="AM1282" s="2">
        <v>18.8911874301861</v>
      </c>
      <c r="AN1282" s="2">
        <v>19.290103287349599</v>
      </c>
      <c r="AO1282" s="2">
        <v>18.592668937979401</v>
      </c>
      <c r="AP1282" s="2">
        <v>18.6503924852822</v>
      </c>
      <c r="AQ1282" s="2">
        <v>18.7697064065541</v>
      </c>
      <c r="AR1282" s="2">
        <v>18.3666988061781</v>
      </c>
      <c r="AS1282" s="2">
        <v>17.363176553812</v>
      </c>
      <c r="AT1282" s="2">
        <v>18.2054492551107</v>
      </c>
      <c r="AU1282" s="2">
        <v>17.9144500706585</v>
      </c>
      <c r="AV1282" s="2">
        <v>17.8466017203815</v>
      </c>
      <c r="AW1282" s="2">
        <v>18.2199450403171</v>
      </c>
      <c r="AX1282" s="2">
        <v>18.078545709800501</v>
      </c>
      <c r="AY1282" s="2">
        <v>17.7257149327462</v>
      </c>
      <c r="AZ1282" s="2">
        <v>15.958331355319199</v>
      </c>
      <c r="BA1282" s="2">
        <v>16.832364924741501</v>
      </c>
      <c r="BB1282" s="2">
        <v>18.013960571153401</v>
      </c>
      <c r="BC1282" s="2">
        <v>17.179558673113998</v>
      </c>
      <c r="BD1282" s="2">
        <v>18.372875685125301</v>
      </c>
      <c r="BE1282" s="2">
        <v>17.350686984751601</v>
      </c>
      <c r="BF1282" s="2">
        <v>18.7282886441083</v>
      </c>
      <c r="BG1282" s="2">
        <v>18.453460026754101</v>
      </c>
      <c r="BH1282" s="2">
        <v>18.128964473842501</v>
      </c>
      <c r="BI1282" s="2">
        <v>17.9133023542553</v>
      </c>
      <c r="BJ1282" s="2">
        <v>17.4087631012329</v>
      </c>
      <c r="BK1282" s="2">
        <v>17.976336279086901</v>
      </c>
      <c r="BL1282" s="2">
        <v>17.6059913993608</v>
      </c>
      <c r="BM1282" s="2">
        <v>17.207884179520399</v>
      </c>
      <c r="BN1282" s="2">
        <v>18.418600223154499</v>
      </c>
      <c r="BO1282" s="2">
        <v>17.980917405498101</v>
      </c>
      <c r="BP1282" s="2">
        <v>17.591952087405598</v>
      </c>
      <c r="BQ1282" s="2">
        <v>16.7618102616633</v>
      </c>
      <c r="BR1282" s="2">
        <v>17.771139366625501</v>
      </c>
      <c r="BS1282" s="2">
        <v>17.529123350875601</v>
      </c>
      <c r="BT1282" s="2">
        <v>16.975673127343999</v>
      </c>
      <c r="BU1282" s="2">
        <v>17.9197996650921</v>
      </c>
      <c r="BV1282" s="2">
        <v>17.209131571585299</v>
      </c>
      <c r="BW1282" s="2">
        <v>17.109790873536198</v>
      </c>
      <c r="BX1282" s="2">
        <v>18.174875712641398</v>
      </c>
      <c r="BY1282" s="2">
        <v>18.201276092898699</v>
      </c>
      <c r="BZ1282" s="2">
        <v>18.117941839646999</v>
      </c>
      <c r="CA1282" s="2">
        <v>17.7614753975467</v>
      </c>
      <c r="CB1282" s="2">
        <v>18.191642173768699</v>
      </c>
      <c r="CC1282" s="2">
        <v>16.6220625469435</v>
      </c>
      <c r="CD1282" s="2">
        <v>17.224110893749</v>
      </c>
      <c r="CE1282" s="2">
        <v>18.357004971258199</v>
      </c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</row>
    <row r="1283" spans="1:97">
      <c r="A1283" s="2" t="s">
        <v>11607</v>
      </c>
      <c r="B1283" s="2">
        <v>146.96086</v>
      </c>
      <c r="C1283" s="2">
        <v>0.58799999999999997</v>
      </c>
      <c r="D1283" s="2" t="s">
        <v>146</v>
      </c>
      <c r="E1283" s="2" t="s">
        <v>11608</v>
      </c>
      <c r="F1283" s="2" t="s">
        <v>11609</v>
      </c>
      <c r="G1283" s="2">
        <v>83285</v>
      </c>
      <c r="H1283" s="3" t="str">
        <f>HYPERLINK("https://cloud.oebiotech.com/#/lm/network/83285", "https://cloud.oebiotech.com/#/lm/network/83285")</f>
        <v>https://cloud.oebiotech.com/#/lm/network/83285</v>
      </c>
      <c r="I1283" s="2" t="s">
        <v>11610</v>
      </c>
      <c r="J1283" s="2"/>
      <c r="K1283" s="2"/>
      <c r="L1283" s="2">
        <v>13130</v>
      </c>
      <c r="M1283" s="2"/>
      <c r="N1283" s="2"/>
      <c r="O1283" s="2"/>
      <c r="P1283" s="2">
        <v>340824</v>
      </c>
      <c r="Q1283" s="2"/>
      <c r="R1283" s="2"/>
      <c r="S1283" s="2" t="s">
        <v>11611</v>
      </c>
      <c r="T1283" s="2" t="s">
        <v>11612</v>
      </c>
      <c r="U1283" s="2" t="s">
        <v>11613</v>
      </c>
      <c r="V1283" s="2" t="s">
        <v>115</v>
      </c>
      <c r="W1283" s="2" t="s">
        <v>4566</v>
      </c>
      <c r="X1283" s="2" t="s">
        <v>4567</v>
      </c>
      <c r="Y1283" s="2" t="s">
        <v>118</v>
      </c>
      <c r="Z1283" s="2" t="s">
        <v>4568</v>
      </c>
      <c r="AA1283" s="2" t="s">
        <v>4569</v>
      </c>
      <c r="AB1283" s="2" t="s">
        <v>3086</v>
      </c>
      <c r="AC1283" s="2">
        <v>46.52</v>
      </c>
      <c r="AD1283" s="2">
        <v>83.08</v>
      </c>
      <c r="AE1283" s="2">
        <v>0</v>
      </c>
      <c r="AF1283" s="2" t="s">
        <v>5614</v>
      </c>
      <c r="AG1283" s="2" t="s">
        <v>4062</v>
      </c>
      <c r="AH1283" s="2" t="s">
        <v>11614</v>
      </c>
      <c r="AI1283" s="2">
        <v>6.8</v>
      </c>
      <c r="AJ1283" s="2">
        <v>23.7741868341082</v>
      </c>
      <c r="AK1283" s="2">
        <v>23.936204560075801</v>
      </c>
      <c r="AL1283" s="2">
        <v>23.8738233802592</v>
      </c>
      <c r="AM1283" s="2">
        <v>24.032252642458399</v>
      </c>
      <c r="AN1283" s="2">
        <v>23.8954333998899</v>
      </c>
      <c r="AO1283" s="2">
        <v>23.9539437822494</v>
      </c>
      <c r="AP1283" s="2">
        <v>23.8798496384854</v>
      </c>
      <c r="AQ1283" s="2">
        <v>23.916865530670801</v>
      </c>
      <c r="AR1283" s="2">
        <v>23.839330628993402</v>
      </c>
      <c r="AS1283" s="2">
        <v>23.6423157040775</v>
      </c>
      <c r="AT1283" s="2">
        <v>23.870512051978402</v>
      </c>
      <c r="AU1283" s="2">
        <v>23.9350305024861</v>
      </c>
      <c r="AV1283" s="2">
        <v>23.959908972574802</v>
      </c>
      <c r="AW1283" s="2">
        <v>23.795413414934799</v>
      </c>
      <c r="AX1283" s="2">
        <v>23.794249334397801</v>
      </c>
      <c r="AY1283" s="2">
        <v>23.7632276552905</v>
      </c>
      <c r="AZ1283" s="2">
        <v>23.7541457131308</v>
      </c>
      <c r="BA1283" s="2">
        <v>23.724254699039601</v>
      </c>
      <c r="BB1283" s="2">
        <v>23.821836346024298</v>
      </c>
      <c r="BC1283" s="2">
        <v>23.9016451691611</v>
      </c>
      <c r="BD1283" s="2">
        <v>23.5551643222773</v>
      </c>
      <c r="BE1283" s="2">
        <v>23.588273775748799</v>
      </c>
      <c r="BF1283" s="2">
        <v>23.7823165412753</v>
      </c>
      <c r="BG1283" s="2">
        <v>23.909498382673998</v>
      </c>
      <c r="BH1283" s="2">
        <v>23.577045959919602</v>
      </c>
      <c r="BI1283" s="2">
        <v>23.755378188401</v>
      </c>
      <c r="BJ1283" s="2">
        <v>23.740712870892501</v>
      </c>
      <c r="BK1283" s="2">
        <v>23.737635269865098</v>
      </c>
      <c r="BL1283" s="2">
        <v>23.817623581473001</v>
      </c>
      <c r="BM1283" s="2">
        <v>23.706806381334601</v>
      </c>
      <c r="BN1283" s="2">
        <v>23.817956997955999</v>
      </c>
      <c r="BO1283" s="2">
        <v>23.788351548701701</v>
      </c>
      <c r="BP1283" s="2">
        <v>23.660450485616799</v>
      </c>
      <c r="BQ1283" s="2">
        <v>23.664715105667</v>
      </c>
      <c r="BR1283" s="2">
        <v>23.7449954260106</v>
      </c>
      <c r="BS1283" s="2">
        <v>23.761726126899202</v>
      </c>
      <c r="BT1283" s="2">
        <v>23.737634312709801</v>
      </c>
      <c r="BU1283" s="2">
        <v>23.718638743177699</v>
      </c>
      <c r="BV1283" s="2">
        <v>23.822552190956898</v>
      </c>
      <c r="BW1283" s="2">
        <v>23.821070481658399</v>
      </c>
      <c r="BX1283" s="2">
        <v>23.741974933850202</v>
      </c>
      <c r="BY1283" s="2">
        <v>23.674133792758301</v>
      </c>
      <c r="BZ1283" s="2">
        <v>23.824995588260499</v>
      </c>
      <c r="CA1283" s="2">
        <v>23.6251390819553</v>
      </c>
      <c r="CB1283" s="2">
        <v>24.005973092285299</v>
      </c>
      <c r="CC1283" s="2">
        <v>23.663203381983099</v>
      </c>
      <c r="CD1283" s="2">
        <v>23.6312610487354</v>
      </c>
      <c r="CE1283" s="2">
        <v>23.801604230105902</v>
      </c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</row>
    <row r="1284" spans="1:97">
      <c r="A1284" s="2" t="s">
        <v>11615</v>
      </c>
      <c r="B1284" s="2">
        <v>202.05055999999999</v>
      </c>
      <c r="C1284" s="2">
        <v>6.07</v>
      </c>
      <c r="D1284" s="2" t="s">
        <v>146</v>
      </c>
      <c r="E1284" s="2" t="s">
        <v>11616</v>
      </c>
      <c r="F1284" s="2" t="s">
        <v>11617</v>
      </c>
      <c r="G1284" s="2">
        <v>595429</v>
      </c>
      <c r="H1284" s="3" t="str">
        <f>HYPERLINK("https://cloud.oebiotech.com/#/lm/network/595429", "https://cloud.oebiotech.com/#/lm/network/595429")</f>
        <v>https://cloud.oebiotech.com/#/lm/network/595429</v>
      </c>
      <c r="I1284" s="2"/>
      <c r="J1284" s="2"/>
      <c r="K1284" s="2"/>
      <c r="L1284" s="2">
        <v>233260</v>
      </c>
      <c r="M1284" s="2"/>
      <c r="N1284" s="2"/>
      <c r="O1284" s="2"/>
      <c r="P1284" s="2"/>
      <c r="Q1284" s="2"/>
      <c r="R1284" s="2"/>
      <c r="S1284" s="2"/>
      <c r="T1284" s="2" t="s">
        <v>11618</v>
      </c>
      <c r="U1284" s="2" t="s">
        <v>11619</v>
      </c>
      <c r="V1284" s="2" t="s">
        <v>845</v>
      </c>
      <c r="W1284" s="2" t="s">
        <v>970</v>
      </c>
      <c r="X1284" s="2" t="s">
        <v>11620</v>
      </c>
      <c r="Y1284" s="2" t="s">
        <v>847</v>
      </c>
      <c r="Z1284" s="2" t="s">
        <v>972</v>
      </c>
      <c r="AA1284" s="2" t="s">
        <v>11621</v>
      </c>
      <c r="AB1284" s="2" t="s">
        <v>8443</v>
      </c>
      <c r="AC1284" s="2">
        <v>46.52</v>
      </c>
      <c r="AD1284" s="2">
        <v>93.03</v>
      </c>
      <c r="AE1284" s="2">
        <v>0</v>
      </c>
      <c r="AF1284" s="2" t="s">
        <v>11622</v>
      </c>
      <c r="AG1284" s="2" t="s">
        <v>194</v>
      </c>
      <c r="AH1284" s="2" t="s">
        <v>11623</v>
      </c>
      <c r="AI1284" s="2">
        <v>1.98</v>
      </c>
      <c r="AJ1284" s="2">
        <v>18.4331179385429</v>
      </c>
      <c r="AK1284" s="2">
        <v>18.386886708924099</v>
      </c>
      <c r="AL1284" s="2">
        <v>17.929866859483202</v>
      </c>
      <c r="AM1284" s="2">
        <v>18.290713443011398</v>
      </c>
      <c r="AN1284" s="2">
        <v>17.9942403351236</v>
      </c>
      <c r="AO1284" s="2">
        <v>17.746158694550999</v>
      </c>
      <c r="AP1284" s="2">
        <v>17.7235470296052</v>
      </c>
      <c r="AQ1284" s="2">
        <v>17.886700827421301</v>
      </c>
      <c r="AR1284" s="2">
        <v>17.988750913793801</v>
      </c>
      <c r="AS1284" s="2">
        <v>17.4837921645256</v>
      </c>
      <c r="AT1284" s="2">
        <v>17.408203671950901</v>
      </c>
      <c r="AU1284" s="2">
        <v>17.854264841751199</v>
      </c>
      <c r="AV1284" s="2">
        <v>18.420148564934198</v>
      </c>
      <c r="AW1284" s="2">
        <v>18.297411448001199</v>
      </c>
      <c r="AX1284" s="2">
        <v>17.880911414085201</v>
      </c>
      <c r="AY1284" s="2">
        <v>18.201972211563302</v>
      </c>
      <c r="AZ1284" s="2">
        <v>18.487476111805702</v>
      </c>
      <c r="BA1284" s="2">
        <v>17.670268624881999</v>
      </c>
      <c r="BB1284" s="2">
        <v>17.8190033139606</v>
      </c>
      <c r="BC1284" s="2">
        <v>16.906533399837699</v>
      </c>
      <c r="BD1284" s="2">
        <v>18.254503936879502</v>
      </c>
      <c r="BE1284" s="2">
        <v>18.191120244701999</v>
      </c>
      <c r="BF1284" s="2">
        <v>18.491771848520401</v>
      </c>
      <c r="BG1284" s="2">
        <v>18.099026390279601</v>
      </c>
      <c r="BH1284" s="2">
        <v>17.457321235841601</v>
      </c>
      <c r="BI1284" s="2">
        <v>17.8622632819507</v>
      </c>
      <c r="BJ1284" s="2">
        <v>17.2947292376906</v>
      </c>
      <c r="BK1284" s="2">
        <v>18.304365493976</v>
      </c>
      <c r="BL1284" s="2">
        <v>17.907577790163099</v>
      </c>
      <c r="BM1284" s="2">
        <v>18.381627439377802</v>
      </c>
      <c r="BN1284" s="2">
        <v>17.716227056828401</v>
      </c>
      <c r="BO1284" s="2">
        <v>18.356674580025299</v>
      </c>
      <c r="BP1284" s="2">
        <v>18.4779452621517</v>
      </c>
      <c r="BQ1284" s="2">
        <v>18.281487989037601</v>
      </c>
      <c r="BR1284" s="2">
        <v>18.8484724786688</v>
      </c>
      <c r="BS1284" s="2">
        <v>18.323990807647</v>
      </c>
      <c r="BT1284" s="2">
        <v>18.429878185262002</v>
      </c>
      <c r="BU1284" s="2">
        <v>17.448606517042599</v>
      </c>
      <c r="BV1284" s="2">
        <v>17.948632099877798</v>
      </c>
      <c r="BW1284" s="2">
        <v>15.975744991436001</v>
      </c>
      <c r="BX1284" s="2">
        <v>18.328512820116298</v>
      </c>
      <c r="BY1284" s="2">
        <v>17.994131037382399</v>
      </c>
      <c r="BZ1284" s="2">
        <v>17.9061014646798</v>
      </c>
      <c r="CA1284" s="2">
        <v>18.4331368518842</v>
      </c>
      <c r="CB1284" s="2">
        <v>17.6088558678284</v>
      </c>
      <c r="CC1284" s="2">
        <v>17.8995704670557</v>
      </c>
      <c r="CD1284" s="2">
        <v>18.483863395111602</v>
      </c>
      <c r="CE1284" s="2">
        <v>18.3244459458802</v>
      </c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</row>
    <row r="1285" spans="1:97">
      <c r="A1285" s="2" t="s">
        <v>11624</v>
      </c>
      <c r="B1285" s="2">
        <v>85.065690000000004</v>
      </c>
      <c r="C1285" s="2">
        <v>4.3289999999999997</v>
      </c>
      <c r="D1285" s="2" t="s">
        <v>146</v>
      </c>
      <c r="E1285" s="2" t="s">
        <v>11625</v>
      </c>
      <c r="F1285" s="2" t="s">
        <v>11626</v>
      </c>
      <c r="G1285" s="2">
        <v>9850</v>
      </c>
      <c r="H1285" s="3" t="str">
        <f>HYPERLINK("https://cloud.oebiotech.com/#/lm/network/9850", "https://cloud.oebiotech.com/#/lm/network/9850")</f>
        <v>https://cloud.oebiotech.com/#/lm/network/9850</v>
      </c>
      <c r="I1285" s="2"/>
      <c r="J1285" s="2">
        <v>98091</v>
      </c>
      <c r="K1285" s="2" t="s">
        <v>11627</v>
      </c>
      <c r="L1285" s="2">
        <v>11251</v>
      </c>
      <c r="M1285" s="2"/>
      <c r="N1285" s="2"/>
      <c r="O1285" s="2"/>
      <c r="P1285" s="2"/>
      <c r="Q1285" s="2"/>
      <c r="R1285" s="2"/>
      <c r="S1285" s="2"/>
      <c r="T1285" s="2" t="s">
        <v>11628</v>
      </c>
      <c r="U1285" s="2" t="s">
        <v>11629</v>
      </c>
      <c r="V1285" s="2" t="s">
        <v>338</v>
      </c>
      <c r="W1285" s="2" t="s">
        <v>339</v>
      </c>
      <c r="X1285" s="2" t="s">
        <v>340</v>
      </c>
      <c r="Y1285" s="2" t="s">
        <v>341</v>
      </c>
      <c r="Z1285" s="2" t="s">
        <v>341</v>
      </c>
      <c r="AA1285" s="2" t="s">
        <v>342</v>
      </c>
      <c r="AB1285" s="2" t="s">
        <v>8443</v>
      </c>
      <c r="AC1285" s="2">
        <v>46.51</v>
      </c>
      <c r="AD1285" s="2">
        <v>96.86</v>
      </c>
      <c r="AE1285" s="2">
        <v>0</v>
      </c>
      <c r="AF1285" s="2" t="s">
        <v>5614</v>
      </c>
      <c r="AG1285" s="2" t="s">
        <v>194</v>
      </c>
      <c r="AH1285" s="2" t="s">
        <v>11630</v>
      </c>
      <c r="AI1285" s="2">
        <v>2.35</v>
      </c>
      <c r="AJ1285" s="2">
        <v>18.692898271901999</v>
      </c>
      <c r="AK1285" s="2">
        <v>18.960825892628002</v>
      </c>
      <c r="AL1285" s="2">
        <v>18.776160965679001</v>
      </c>
      <c r="AM1285" s="2">
        <v>18.896293404113301</v>
      </c>
      <c r="AN1285" s="2">
        <v>18.728934924722601</v>
      </c>
      <c r="AO1285" s="2">
        <v>18.7662553881284</v>
      </c>
      <c r="AP1285" s="2">
        <v>18.7641603349424</v>
      </c>
      <c r="AQ1285" s="2">
        <v>18.839345622922199</v>
      </c>
      <c r="AR1285" s="2">
        <v>17.562192255227</v>
      </c>
      <c r="AS1285" s="2">
        <v>17.309527423517402</v>
      </c>
      <c r="AT1285" s="2">
        <v>18.418480237036999</v>
      </c>
      <c r="AU1285" s="2">
        <v>17.553681261317799</v>
      </c>
      <c r="AV1285" s="2">
        <v>18.269327151166301</v>
      </c>
      <c r="AW1285" s="2">
        <v>18.546220110893699</v>
      </c>
      <c r="AX1285" s="2">
        <v>18.639999473288601</v>
      </c>
      <c r="AY1285" s="2">
        <v>18.732088903831201</v>
      </c>
      <c r="AZ1285" s="2">
        <v>17.606029003937799</v>
      </c>
      <c r="BA1285" s="2">
        <v>17.9610289751284</v>
      </c>
      <c r="BB1285" s="2">
        <v>19.021667076364601</v>
      </c>
      <c r="BC1285" s="2">
        <v>19.908620061765699</v>
      </c>
      <c r="BD1285" s="2">
        <v>18.464685893871199</v>
      </c>
      <c r="BE1285" s="2">
        <v>19.058812896221301</v>
      </c>
      <c r="BF1285" s="2">
        <v>18.777480461832798</v>
      </c>
      <c r="BG1285" s="2">
        <v>19.189201090450499</v>
      </c>
      <c r="BH1285" s="2">
        <v>18.806542605092101</v>
      </c>
      <c r="BI1285" s="2">
        <v>18.873699400951899</v>
      </c>
      <c r="BJ1285" s="2">
        <v>18.804626377165899</v>
      </c>
      <c r="BK1285" s="2">
        <v>18.1607277910676</v>
      </c>
      <c r="BL1285" s="2">
        <v>18.641874610824001</v>
      </c>
      <c r="BM1285" s="2">
        <v>19.0134731916853</v>
      </c>
      <c r="BN1285" s="2">
        <v>18.5901788367132</v>
      </c>
      <c r="BO1285" s="2">
        <v>18.402389608890701</v>
      </c>
      <c r="BP1285" s="2">
        <v>18.4194456899797</v>
      </c>
      <c r="BQ1285" s="2">
        <v>18.5371654953905</v>
      </c>
      <c r="BR1285" s="2">
        <v>18.418292537982399</v>
      </c>
      <c r="BS1285" s="2">
        <v>18.288107398485302</v>
      </c>
      <c r="BT1285" s="2">
        <v>17.643652803340199</v>
      </c>
      <c r="BU1285" s="2">
        <v>18.239561331491299</v>
      </c>
      <c r="BV1285" s="2">
        <v>19.069918077435901</v>
      </c>
      <c r="BW1285" s="2">
        <v>18.454457746471899</v>
      </c>
      <c r="BX1285" s="2">
        <v>18.311880528797101</v>
      </c>
      <c r="BY1285" s="2">
        <v>18.838261836922999</v>
      </c>
      <c r="BZ1285" s="2">
        <v>18.426630034801899</v>
      </c>
      <c r="CA1285" s="2">
        <v>19.063691126779599</v>
      </c>
      <c r="CB1285" s="2">
        <v>18.481641155302398</v>
      </c>
      <c r="CC1285" s="2">
        <v>18.8181566105504</v>
      </c>
      <c r="CD1285" s="2">
        <v>19.050059547309601</v>
      </c>
      <c r="CE1285" s="2">
        <v>18.706077862706898</v>
      </c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</row>
    <row r="1286" spans="1:97">
      <c r="A1286" s="2" t="s">
        <v>11631</v>
      </c>
      <c r="B1286" s="2">
        <v>411.20184</v>
      </c>
      <c r="C1286" s="2">
        <v>9.6389999999999993</v>
      </c>
      <c r="D1286" s="2" t="s">
        <v>146</v>
      </c>
      <c r="E1286" s="2" t="s">
        <v>11632</v>
      </c>
      <c r="F1286" s="2" t="s">
        <v>11633</v>
      </c>
      <c r="G1286" s="2">
        <v>200984</v>
      </c>
      <c r="H1286" s="3" t="str">
        <f>HYPERLINK("https://cloud.oebiotech.com/#/lm/network/200984", "https://cloud.oebiotech.com/#/lm/network/200984")</f>
        <v>https://cloud.oebiotech.com/#/lm/network/200984</v>
      </c>
      <c r="I1286" s="2" t="s">
        <v>11634</v>
      </c>
      <c r="J1286" s="2"/>
      <c r="K1286" s="2"/>
      <c r="L1286" s="2">
        <v>1588</v>
      </c>
      <c r="M1286" s="2"/>
      <c r="N1286" s="2"/>
      <c r="O1286" s="2"/>
      <c r="P1286" s="2"/>
      <c r="Q1286" s="2"/>
      <c r="R1286" s="2"/>
      <c r="S1286" s="2"/>
      <c r="T1286" s="2" t="s">
        <v>11635</v>
      </c>
      <c r="U1286" s="2" t="s">
        <v>11636</v>
      </c>
      <c r="V1286" s="2" t="s">
        <v>95</v>
      </c>
      <c r="W1286" s="2" t="s">
        <v>96</v>
      </c>
      <c r="X1286" s="2" t="s">
        <v>141</v>
      </c>
      <c r="Y1286" s="2" t="s">
        <v>98</v>
      </c>
      <c r="Z1286" s="2" t="s">
        <v>99</v>
      </c>
      <c r="AA1286" s="2" t="s">
        <v>142</v>
      </c>
      <c r="AB1286" s="2" t="s">
        <v>5118</v>
      </c>
      <c r="AC1286" s="2">
        <v>46.51</v>
      </c>
      <c r="AD1286" s="2">
        <v>95.17</v>
      </c>
      <c r="AE1286" s="2">
        <v>49.59</v>
      </c>
      <c r="AF1286" s="2" t="s">
        <v>11637</v>
      </c>
      <c r="AG1286" s="2" t="s">
        <v>157</v>
      </c>
      <c r="AH1286" s="2" t="s">
        <v>11638</v>
      </c>
      <c r="AI1286" s="2">
        <v>1.46</v>
      </c>
      <c r="AJ1286" s="2">
        <v>19.109771186762998</v>
      </c>
      <c r="AK1286" s="2">
        <v>18.9349407047795</v>
      </c>
      <c r="AL1286" s="2">
        <v>18.983618693223399</v>
      </c>
      <c r="AM1286" s="2">
        <v>18.956569431267798</v>
      </c>
      <c r="AN1286" s="2">
        <v>19.0252906914221</v>
      </c>
      <c r="AO1286" s="2">
        <v>19.202239806744</v>
      </c>
      <c r="AP1286" s="2">
        <v>18.811028272393301</v>
      </c>
      <c r="AQ1286" s="2">
        <v>18.927758521117301</v>
      </c>
      <c r="AR1286" s="2">
        <v>17.717423404515301</v>
      </c>
      <c r="AS1286" s="2">
        <v>17.711025046012601</v>
      </c>
      <c r="AT1286" s="2">
        <v>18.683588591321499</v>
      </c>
      <c r="AU1286" s="2">
        <v>17.717178175148199</v>
      </c>
      <c r="AV1286" s="2">
        <v>19.092841310125301</v>
      </c>
      <c r="AW1286" s="2">
        <v>18.500631183340801</v>
      </c>
      <c r="AX1286" s="2">
        <v>19.188710146906701</v>
      </c>
      <c r="AY1286" s="2">
        <v>19.942162170260598</v>
      </c>
      <c r="AZ1286" s="2">
        <v>17.672573336040301</v>
      </c>
      <c r="BA1286" s="2">
        <v>18.681269643656702</v>
      </c>
      <c r="BB1286" s="2">
        <v>18.126837289761301</v>
      </c>
      <c r="BC1286" s="2">
        <v>19.817133469272701</v>
      </c>
      <c r="BD1286" s="2">
        <v>17.348188788756101</v>
      </c>
      <c r="BE1286" s="2">
        <v>19.093156062530198</v>
      </c>
      <c r="BF1286" s="2">
        <v>17.1197020736263</v>
      </c>
      <c r="BG1286" s="2">
        <v>19.257879785481698</v>
      </c>
      <c r="BH1286" s="2">
        <v>19.462128186432999</v>
      </c>
      <c r="BI1286" s="2">
        <v>18.780512214317099</v>
      </c>
      <c r="BJ1286" s="2">
        <v>19.096141142894101</v>
      </c>
      <c r="BK1286" s="2">
        <v>17.601013093344701</v>
      </c>
      <c r="BL1286" s="2">
        <v>18.666954251681801</v>
      </c>
      <c r="BM1286" s="2">
        <v>18.395128295302001</v>
      </c>
      <c r="BN1286" s="2">
        <v>18.903955758668499</v>
      </c>
      <c r="BO1286" s="2">
        <v>18.7880357595173</v>
      </c>
      <c r="BP1286" s="2">
        <v>18.982845467434199</v>
      </c>
      <c r="BQ1286" s="2">
        <v>18.363369422824899</v>
      </c>
      <c r="BR1286" s="2">
        <v>19.039441439862902</v>
      </c>
      <c r="BS1286" s="2">
        <v>19.939406953157199</v>
      </c>
      <c r="BT1286" s="2">
        <v>18.027616633956999</v>
      </c>
      <c r="BU1286" s="2">
        <v>18.731582451310501</v>
      </c>
      <c r="BV1286" s="2">
        <v>19.3404066864559</v>
      </c>
      <c r="BW1286" s="2">
        <v>18.508138227119499</v>
      </c>
      <c r="BX1286" s="2">
        <v>17.822365061953899</v>
      </c>
      <c r="BY1286" s="2">
        <v>20.734412583459601</v>
      </c>
      <c r="BZ1286" s="2">
        <v>17.096336006081899</v>
      </c>
      <c r="CA1286" s="2">
        <v>17.793561462896498</v>
      </c>
      <c r="CB1286" s="2">
        <v>19.871103546110898</v>
      </c>
      <c r="CC1286" s="2">
        <v>18.433917218619602</v>
      </c>
      <c r="CD1286" s="2">
        <v>19.9560120426145</v>
      </c>
      <c r="CE1286" s="2">
        <v>18.636498736058002</v>
      </c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</row>
    <row r="1287" spans="1:97">
      <c r="A1287" s="2" t="s">
        <v>11639</v>
      </c>
      <c r="B1287" s="2">
        <v>587.11517000000003</v>
      </c>
      <c r="C1287" s="2">
        <v>5.8170000000000002</v>
      </c>
      <c r="D1287" s="2" t="s">
        <v>146</v>
      </c>
      <c r="E1287" s="2" t="s">
        <v>11640</v>
      </c>
      <c r="F1287" s="2" t="s">
        <v>11641</v>
      </c>
      <c r="G1287" s="2">
        <v>208102</v>
      </c>
      <c r="H1287" s="3" t="str">
        <f>HYPERLINK("https://cloud.oebiotech.com/#/lm/network/208102", "https://cloud.oebiotech.com/#/lm/network/208102")</f>
        <v>https://cloud.oebiotech.com/#/lm/network/208102</v>
      </c>
      <c r="I1287" s="2" t="s">
        <v>11642</v>
      </c>
      <c r="J1287" s="2"/>
      <c r="K1287" s="2"/>
      <c r="L1287" s="2">
        <v>3512640</v>
      </c>
      <c r="M1287" s="2"/>
      <c r="N1287" s="2"/>
      <c r="O1287" s="2"/>
      <c r="P1287" s="2"/>
      <c r="Q1287" s="2"/>
      <c r="R1287" s="2"/>
      <c r="S1287" s="2"/>
      <c r="T1287" s="2" t="s">
        <v>11643</v>
      </c>
      <c r="U1287" s="2" t="s">
        <v>11644</v>
      </c>
      <c r="V1287" s="2" t="s">
        <v>845</v>
      </c>
      <c r="W1287" s="2" t="s">
        <v>1853</v>
      </c>
      <c r="X1287" s="2" t="s">
        <v>11645</v>
      </c>
      <c r="Y1287" s="2" t="s">
        <v>847</v>
      </c>
      <c r="Z1287" s="2" t="s">
        <v>1855</v>
      </c>
      <c r="AA1287" s="2" t="s">
        <v>11646</v>
      </c>
      <c r="AB1287" s="2" t="s">
        <v>3086</v>
      </c>
      <c r="AC1287" s="2">
        <v>46.5</v>
      </c>
      <c r="AD1287" s="2">
        <v>78.14</v>
      </c>
      <c r="AE1287" s="2">
        <v>0</v>
      </c>
      <c r="AF1287" s="2" t="s">
        <v>5614</v>
      </c>
      <c r="AG1287" s="2" t="s">
        <v>194</v>
      </c>
      <c r="AH1287" s="2" t="s">
        <v>11647</v>
      </c>
      <c r="AI1287" s="2">
        <v>7.32</v>
      </c>
      <c r="AJ1287" s="2">
        <v>16.041860605006299</v>
      </c>
      <c r="AK1287" s="2">
        <v>16.235357031333599</v>
      </c>
      <c r="AL1287" s="2">
        <v>15.960313323594599</v>
      </c>
      <c r="AM1287" s="2">
        <v>15.762097022224699</v>
      </c>
      <c r="AN1287" s="2">
        <v>16.081937745588402</v>
      </c>
      <c r="AO1287" s="2">
        <v>16.524967090648001</v>
      </c>
      <c r="AP1287" s="2">
        <v>16.161345672658101</v>
      </c>
      <c r="AQ1287" s="2">
        <v>16.169848489300499</v>
      </c>
      <c r="AR1287" s="2">
        <v>13.1522594871621</v>
      </c>
      <c r="AS1287" s="2">
        <v>14.322039392262401</v>
      </c>
      <c r="AT1287" s="2">
        <v>14.6354120479063</v>
      </c>
      <c r="AU1287" s="2">
        <v>15.1165011381991</v>
      </c>
      <c r="AV1287" s="2">
        <v>14.685526839125499</v>
      </c>
      <c r="AW1287" s="2">
        <v>13.603830310586</v>
      </c>
      <c r="AX1287" s="2">
        <v>13.9001884988766</v>
      </c>
      <c r="AY1287" s="2">
        <v>15.243205229623699</v>
      </c>
      <c r="AZ1287" s="2">
        <v>15.1966966331689</v>
      </c>
      <c r="BA1287" s="2">
        <v>17.3212844445314</v>
      </c>
      <c r="BB1287" s="2">
        <v>16.7044633686723</v>
      </c>
      <c r="BC1287" s="2">
        <v>18.301923931516001</v>
      </c>
      <c r="BD1287" s="2">
        <v>13.675821443219199</v>
      </c>
      <c r="BE1287" s="2">
        <v>16.216211568094099</v>
      </c>
      <c r="BF1287" s="2">
        <v>15.4520005137345</v>
      </c>
      <c r="BG1287" s="2">
        <v>13.3555025163929</v>
      </c>
      <c r="BH1287" s="2">
        <v>14.7668989554804</v>
      </c>
      <c r="BI1287" s="2">
        <v>9.6233145402724691</v>
      </c>
      <c r="BJ1287" s="2">
        <v>14.1643727290133</v>
      </c>
      <c r="BK1287" s="2">
        <v>14.872671513978201</v>
      </c>
      <c r="BL1287" s="2">
        <v>12.937853780383801</v>
      </c>
      <c r="BM1287" s="2">
        <v>15.196640928781299</v>
      </c>
      <c r="BN1287" s="2">
        <v>15.668018763853199</v>
      </c>
      <c r="BO1287" s="2">
        <v>16.341764810964801</v>
      </c>
      <c r="BP1287" s="2">
        <v>15.462005653623899</v>
      </c>
      <c r="BQ1287" s="2">
        <v>12.3902334567721</v>
      </c>
      <c r="BR1287" s="2">
        <v>14.848936344401301</v>
      </c>
      <c r="BS1287" s="2">
        <v>14.085925512457401</v>
      </c>
      <c r="BT1287" s="2">
        <v>16.277940991413001</v>
      </c>
      <c r="BU1287" s="2">
        <v>18.610277536092202</v>
      </c>
      <c r="BV1287" s="2">
        <v>16.580352502169902</v>
      </c>
      <c r="BW1287" s="2">
        <v>17.022044926198198</v>
      </c>
      <c r="BX1287" s="2">
        <v>14.8412537614177</v>
      </c>
      <c r="BY1287" s="2">
        <v>14.197682053096401</v>
      </c>
      <c r="BZ1287" s="2">
        <v>16.010804528934599</v>
      </c>
      <c r="CA1287" s="2">
        <v>14.6565019569101</v>
      </c>
      <c r="CB1287" s="2">
        <v>15.9259551585947</v>
      </c>
      <c r="CC1287" s="2">
        <v>9.6233145402724691</v>
      </c>
      <c r="CD1287" s="2">
        <v>15.715909185535301</v>
      </c>
      <c r="CE1287" s="2">
        <v>16.130645366084</v>
      </c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</row>
    <row r="1288" spans="1:97">
      <c r="A1288" s="2" t="s">
        <v>11648</v>
      </c>
      <c r="B1288" s="2">
        <v>252.0121</v>
      </c>
      <c r="C1288" s="2">
        <v>6.0869999999999997</v>
      </c>
      <c r="D1288" s="2" t="s">
        <v>146</v>
      </c>
      <c r="E1288" s="2" t="s">
        <v>11649</v>
      </c>
      <c r="F1288" s="2" t="s">
        <v>11650</v>
      </c>
      <c r="G1288" s="2">
        <v>53000</v>
      </c>
      <c r="H1288" s="3" t="str">
        <f>HYPERLINK("https://cloud.oebiotech.com/#/lm/network/53000", "https://cloud.oebiotech.com/#/lm/network/53000")</f>
        <v>https://cloud.oebiotech.com/#/lm/network/53000</v>
      </c>
      <c r="I1288" s="2" t="s">
        <v>11651</v>
      </c>
      <c r="J1288" s="2">
        <v>43353</v>
      </c>
      <c r="K1288" s="2"/>
      <c r="L1288" s="2">
        <v>5487</v>
      </c>
      <c r="M1288" s="2" t="s">
        <v>11652</v>
      </c>
      <c r="N1288" s="2"/>
      <c r="O1288" s="2"/>
      <c r="P1288" s="2">
        <v>63629</v>
      </c>
      <c r="Q1288" s="2"/>
      <c r="R1288" s="2"/>
      <c r="S1288" s="2" t="s">
        <v>11653</v>
      </c>
      <c r="T1288" s="2" t="s">
        <v>11654</v>
      </c>
      <c r="U1288" s="2" t="s">
        <v>11655</v>
      </c>
      <c r="V1288" s="2" t="s">
        <v>553</v>
      </c>
      <c r="W1288" s="2" t="s">
        <v>11656</v>
      </c>
      <c r="X1288" s="2" t="s">
        <v>375</v>
      </c>
      <c r="Y1288" s="2" t="s">
        <v>556</v>
      </c>
      <c r="Z1288" s="2" t="s">
        <v>11657</v>
      </c>
      <c r="AA1288" s="2"/>
      <c r="AB1288" s="2" t="s">
        <v>5118</v>
      </c>
      <c r="AC1288" s="2">
        <v>46.49</v>
      </c>
      <c r="AD1288" s="2">
        <v>78.34</v>
      </c>
      <c r="AE1288" s="2">
        <v>73.739999999999995</v>
      </c>
      <c r="AF1288" s="2" t="s">
        <v>11658</v>
      </c>
      <c r="AG1288" s="2" t="s">
        <v>194</v>
      </c>
      <c r="AH1288" s="2" t="s">
        <v>11659</v>
      </c>
      <c r="AI1288" s="2">
        <v>-1.98</v>
      </c>
      <c r="AJ1288" s="2">
        <v>19.943252089781701</v>
      </c>
      <c r="AK1288" s="2">
        <v>20.3804313651728</v>
      </c>
      <c r="AL1288" s="2">
        <v>20.608679996153299</v>
      </c>
      <c r="AM1288" s="2">
        <v>20.2619819927306</v>
      </c>
      <c r="AN1288" s="2">
        <v>20.6080538640614</v>
      </c>
      <c r="AO1288" s="2">
        <v>20.316143730992799</v>
      </c>
      <c r="AP1288" s="2">
        <v>20.453138844275799</v>
      </c>
      <c r="AQ1288" s="2">
        <v>20.4668711825259</v>
      </c>
      <c r="AR1288" s="2">
        <v>11.8923227148719</v>
      </c>
      <c r="AS1288" s="2">
        <v>19.258436065870999</v>
      </c>
      <c r="AT1288" s="2">
        <v>19.9648537280912</v>
      </c>
      <c r="AU1288" s="2">
        <v>19.179151860227801</v>
      </c>
      <c r="AV1288" s="2">
        <v>19.931208009208301</v>
      </c>
      <c r="AW1288" s="2">
        <v>12.848157353624099</v>
      </c>
      <c r="AX1288" s="2">
        <v>20.366759723129299</v>
      </c>
      <c r="AY1288" s="2">
        <v>19.917720848495101</v>
      </c>
      <c r="AZ1288" s="2">
        <v>18.9036994148831</v>
      </c>
      <c r="BA1288" s="2">
        <v>21.577901468279801</v>
      </c>
      <c r="BB1288" s="2">
        <v>17.8924282635565</v>
      </c>
      <c r="BC1288" s="2">
        <v>18.724356402811502</v>
      </c>
      <c r="BD1288" s="2">
        <v>17.935097928276502</v>
      </c>
      <c r="BE1288" s="2">
        <v>21.754442102814899</v>
      </c>
      <c r="BF1288" s="2">
        <v>21.534673685188999</v>
      </c>
      <c r="BG1288" s="2">
        <v>19.007947278675299</v>
      </c>
      <c r="BH1288" s="2">
        <v>9.6233145402724691</v>
      </c>
      <c r="BI1288" s="2">
        <v>23.757617226579701</v>
      </c>
      <c r="BJ1288" s="2">
        <v>17.8165448350919</v>
      </c>
      <c r="BK1288" s="2">
        <v>9.6233145402724691</v>
      </c>
      <c r="BL1288" s="2">
        <v>14.330908477303799</v>
      </c>
      <c r="BM1288" s="2">
        <v>19.053647444761101</v>
      </c>
      <c r="BN1288" s="2">
        <v>18.030195097072301</v>
      </c>
      <c r="BO1288" s="2">
        <v>21.435562790272499</v>
      </c>
      <c r="BP1288" s="2">
        <v>18.157102445266901</v>
      </c>
      <c r="BQ1288" s="2">
        <v>19.893542946495799</v>
      </c>
      <c r="BR1288" s="2">
        <v>21.7099352740982</v>
      </c>
      <c r="BS1288" s="2">
        <v>19.923239917343299</v>
      </c>
      <c r="BT1288" s="2">
        <v>15.835825903024499</v>
      </c>
      <c r="BU1288" s="2">
        <v>20.8266659022661</v>
      </c>
      <c r="BV1288" s="2">
        <v>21.5778457663903</v>
      </c>
      <c r="BW1288" s="2">
        <v>17.345683314357899</v>
      </c>
      <c r="BX1288" s="2">
        <v>19.369658769239098</v>
      </c>
      <c r="BY1288" s="2">
        <v>22.580843355798699</v>
      </c>
      <c r="BZ1288" s="2">
        <v>18.991824045880598</v>
      </c>
      <c r="CA1288" s="2">
        <v>20.8600162433608</v>
      </c>
      <c r="CB1288" s="2">
        <v>17.246057215922999</v>
      </c>
      <c r="CC1288" s="2">
        <v>21.1187126561389</v>
      </c>
      <c r="CD1288" s="2">
        <v>14.9260865441466</v>
      </c>
      <c r="CE1288" s="2">
        <v>9.6233145402724691</v>
      </c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</row>
    <row r="1289" spans="1:97">
      <c r="A1289" s="2" t="s">
        <v>11660</v>
      </c>
      <c r="B1289" s="2">
        <v>188.14314999999999</v>
      </c>
      <c r="C1289" s="2">
        <v>4.7329999999999997</v>
      </c>
      <c r="D1289" s="2" t="s">
        <v>84</v>
      </c>
      <c r="E1289" s="2" t="s">
        <v>11661</v>
      </c>
      <c r="F1289" s="2" t="s">
        <v>11662</v>
      </c>
      <c r="G1289" s="2">
        <v>208430</v>
      </c>
      <c r="H1289" s="3" t="str">
        <f>HYPERLINK("https://cloud.oebiotech.com/#/lm/network/208430", "https://cloud.oebiotech.com/#/lm/network/208430")</f>
        <v>https://cloud.oebiotech.com/#/lm/network/208430</v>
      </c>
      <c r="I1289" s="2" t="s">
        <v>11663</v>
      </c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 t="s">
        <v>11664</v>
      </c>
      <c r="U1289" s="2" t="s">
        <v>11665</v>
      </c>
      <c r="V1289" s="2" t="s">
        <v>385</v>
      </c>
      <c r="W1289" s="2" t="s">
        <v>386</v>
      </c>
      <c r="X1289" s="2" t="s">
        <v>11666</v>
      </c>
      <c r="Y1289" s="2" t="s">
        <v>388</v>
      </c>
      <c r="Z1289" s="2" t="s">
        <v>389</v>
      </c>
      <c r="AA1289" s="2" t="s">
        <v>11667</v>
      </c>
      <c r="AB1289" s="2" t="s">
        <v>8443</v>
      </c>
      <c r="AC1289" s="2">
        <v>46.49</v>
      </c>
      <c r="AD1289" s="2">
        <v>92.17</v>
      </c>
      <c r="AE1289" s="2">
        <v>0</v>
      </c>
      <c r="AF1289" s="2" t="s">
        <v>5614</v>
      </c>
      <c r="AG1289" s="2" t="s">
        <v>103</v>
      </c>
      <c r="AH1289" s="2" t="s">
        <v>11668</v>
      </c>
      <c r="AI1289" s="2">
        <v>1.59</v>
      </c>
      <c r="AJ1289" s="2">
        <v>18.252681830818201</v>
      </c>
      <c r="AK1289" s="2">
        <v>17.64905825376</v>
      </c>
      <c r="AL1289" s="2">
        <v>18.3602411055838</v>
      </c>
      <c r="AM1289" s="2">
        <v>18.214627002163802</v>
      </c>
      <c r="AN1289" s="2">
        <v>18.176606196558801</v>
      </c>
      <c r="AO1289" s="2">
        <v>17.552693185253599</v>
      </c>
      <c r="AP1289" s="2">
        <v>17.823536544745899</v>
      </c>
      <c r="AQ1289" s="2">
        <v>17.989693016087202</v>
      </c>
      <c r="AR1289" s="2">
        <v>17.974230723206102</v>
      </c>
      <c r="AS1289" s="2">
        <v>17.973456512171801</v>
      </c>
      <c r="AT1289" s="2">
        <v>18.030714924297701</v>
      </c>
      <c r="AU1289" s="2">
        <v>17.983182564097302</v>
      </c>
      <c r="AV1289" s="2">
        <v>18.0850997348752</v>
      </c>
      <c r="AW1289" s="2">
        <v>18.0488605584505</v>
      </c>
      <c r="AX1289" s="2">
        <v>17.721416719742098</v>
      </c>
      <c r="AY1289" s="2">
        <v>18.065318094730699</v>
      </c>
      <c r="AZ1289" s="2">
        <v>18.421598609743199</v>
      </c>
      <c r="BA1289" s="2">
        <v>18.073529737196498</v>
      </c>
      <c r="BB1289" s="2">
        <v>18.167546189135301</v>
      </c>
      <c r="BC1289" s="2">
        <v>18.040937794902899</v>
      </c>
      <c r="BD1289" s="2">
        <v>17.838896508384799</v>
      </c>
      <c r="BE1289" s="2">
        <v>17.8416446248916</v>
      </c>
      <c r="BF1289" s="2">
        <v>18.087281902537001</v>
      </c>
      <c r="BG1289" s="2">
        <v>17.9522195680319</v>
      </c>
      <c r="BH1289" s="2">
        <v>18.214536745801698</v>
      </c>
      <c r="BI1289" s="2">
        <v>17.938939997020601</v>
      </c>
      <c r="BJ1289" s="2">
        <v>17.9779374195858</v>
      </c>
      <c r="BK1289" s="2">
        <v>18.1781695786688</v>
      </c>
      <c r="BL1289" s="2">
        <v>18.072624666960099</v>
      </c>
      <c r="BM1289" s="2">
        <v>18.300892817311102</v>
      </c>
      <c r="BN1289" s="2">
        <v>18.2860162161852</v>
      </c>
      <c r="BO1289" s="2">
        <v>18.063071818604701</v>
      </c>
      <c r="BP1289" s="2">
        <v>18.137462697617899</v>
      </c>
      <c r="BQ1289" s="2">
        <v>18.007584797062201</v>
      </c>
      <c r="BR1289" s="2">
        <v>18.075985787931</v>
      </c>
      <c r="BS1289" s="2">
        <v>18.1996105731487</v>
      </c>
      <c r="BT1289" s="2">
        <v>18.066244421963599</v>
      </c>
      <c r="BU1289" s="2">
        <v>18.2854998890015</v>
      </c>
      <c r="BV1289" s="2">
        <v>17.884637506498301</v>
      </c>
      <c r="BW1289" s="2">
        <v>17.861682270538601</v>
      </c>
      <c r="BX1289" s="2">
        <v>17.813919004590499</v>
      </c>
      <c r="BY1289" s="2">
        <v>17.906065283139601</v>
      </c>
      <c r="BZ1289" s="2">
        <v>18.0722985979403</v>
      </c>
      <c r="CA1289" s="2">
        <v>17.781207354116901</v>
      </c>
      <c r="CB1289" s="2">
        <v>17.746901473882101</v>
      </c>
      <c r="CC1289" s="2">
        <v>18.1051595356635</v>
      </c>
      <c r="CD1289" s="2">
        <v>17.902250621077801</v>
      </c>
      <c r="CE1289" s="2">
        <v>18.045645453457301</v>
      </c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</row>
    <row r="1290" spans="1:97">
      <c r="A1290" s="2" t="s">
        <v>11669</v>
      </c>
      <c r="B1290" s="2">
        <v>249.18548999999999</v>
      </c>
      <c r="C1290" s="2">
        <v>9.8179999999999996</v>
      </c>
      <c r="D1290" s="2" t="s">
        <v>146</v>
      </c>
      <c r="E1290" s="2" t="s">
        <v>11670</v>
      </c>
      <c r="F1290" s="2" t="s">
        <v>11671</v>
      </c>
      <c r="G1290" s="2">
        <v>10505</v>
      </c>
      <c r="H1290" s="3" t="str">
        <f>HYPERLINK("https://cloud.oebiotech.com/#/lm/network/10505", "https://cloud.oebiotech.com/#/lm/network/10505")</f>
        <v>https://cloud.oebiotech.com/#/lm/network/10505</v>
      </c>
      <c r="I1290" s="2"/>
      <c r="J1290" s="2"/>
      <c r="K1290" s="2" t="s">
        <v>11672</v>
      </c>
      <c r="L1290" s="2">
        <v>10849534</v>
      </c>
      <c r="M1290" s="2"/>
      <c r="N1290" s="2"/>
      <c r="O1290" s="2"/>
      <c r="P1290" s="2"/>
      <c r="Q1290" s="2"/>
      <c r="R1290" s="2"/>
      <c r="S1290" s="2"/>
      <c r="T1290" s="2" t="s">
        <v>11673</v>
      </c>
      <c r="U1290" s="2" t="s">
        <v>11674</v>
      </c>
      <c r="V1290" s="2" t="s">
        <v>95</v>
      </c>
      <c r="W1290" s="2" t="s">
        <v>7709</v>
      </c>
      <c r="X1290" s="2" t="s">
        <v>11675</v>
      </c>
      <c r="Y1290" s="2" t="s">
        <v>98</v>
      </c>
      <c r="Z1290" s="2" t="s">
        <v>7711</v>
      </c>
      <c r="AA1290" s="2" t="s">
        <v>11676</v>
      </c>
      <c r="AB1290" s="2" t="s">
        <v>8443</v>
      </c>
      <c r="AC1290" s="2">
        <v>46.47</v>
      </c>
      <c r="AD1290" s="2">
        <v>90.28</v>
      </c>
      <c r="AE1290" s="2">
        <v>0</v>
      </c>
      <c r="AF1290" s="2" t="s">
        <v>11677</v>
      </c>
      <c r="AG1290" s="2" t="s">
        <v>993</v>
      </c>
      <c r="AH1290" s="2" t="s">
        <v>6247</v>
      </c>
      <c r="AI1290" s="2">
        <v>0</v>
      </c>
      <c r="AJ1290" s="2">
        <v>19.3260310828366</v>
      </c>
      <c r="AK1290" s="2">
        <v>19.442368573697799</v>
      </c>
      <c r="AL1290" s="2">
        <v>19.4846647132836</v>
      </c>
      <c r="AM1290" s="2">
        <v>19.4171284480616</v>
      </c>
      <c r="AN1290" s="2">
        <v>19.412745227983802</v>
      </c>
      <c r="AO1290" s="2">
        <v>19.245023733139899</v>
      </c>
      <c r="AP1290" s="2">
        <v>19.306284622751999</v>
      </c>
      <c r="AQ1290" s="2">
        <v>19.4056351107265</v>
      </c>
      <c r="AR1290" s="2">
        <v>18.994728675512199</v>
      </c>
      <c r="AS1290" s="2">
        <v>17.834306851120701</v>
      </c>
      <c r="AT1290" s="2">
        <v>18.370429741442699</v>
      </c>
      <c r="AU1290" s="2">
        <v>18.972806307931901</v>
      </c>
      <c r="AV1290" s="2">
        <v>19.485477045230301</v>
      </c>
      <c r="AW1290" s="2">
        <v>19.520165657270098</v>
      </c>
      <c r="AX1290" s="2">
        <v>19.339519747526602</v>
      </c>
      <c r="AY1290" s="2">
        <v>21.276032586429501</v>
      </c>
      <c r="AZ1290" s="2">
        <v>18.879459585763499</v>
      </c>
      <c r="BA1290" s="2">
        <v>18.7790755496451</v>
      </c>
      <c r="BB1290" s="2">
        <v>19.8512008761403</v>
      </c>
      <c r="BC1290" s="2">
        <v>20.276388262447099</v>
      </c>
      <c r="BD1290" s="2">
        <v>18.890898268155102</v>
      </c>
      <c r="BE1290" s="2">
        <v>20.347401293733199</v>
      </c>
      <c r="BF1290" s="2">
        <v>17.886983034916799</v>
      </c>
      <c r="BG1290" s="2">
        <v>19.1543090915847</v>
      </c>
      <c r="BH1290" s="2">
        <v>19.265239761274799</v>
      </c>
      <c r="BI1290" s="2">
        <v>19.023444122322999</v>
      </c>
      <c r="BJ1290" s="2">
        <v>19.703065552176099</v>
      </c>
      <c r="BK1290" s="2">
        <v>19.6467217023398</v>
      </c>
      <c r="BL1290" s="2">
        <v>19.145821893181399</v>
      </c>
      <c r="BM1290" s="2">
        <v>18.289669509965499</v>
      </c>
      <c r="BN1290" s="2">
        <v>18.318300466079901</v>
      </c>
      <c r="BO1290" s="2">
        <v>19.660592741287601</v>
      </c>
      <c r="BP1290" s="2">
        <v>19.0226854809152</v>
      </c>
      <c r="BQ1290" s="2">
        <v>19.173579474917499</v>
      </c>
      <c r="BR1290" s="2">
        <v>19.1499175146967</v>
      </c>
      <c r="BS1290" s="2">
        <v>21.4734011631794</v>
      </c>
      <c r="BT1290" s="2">
        <v>18.461903328557099</v>
      </c>
      <c r="BU1290" s="2">
        <v>19.395248523594098</v>
      </c>
      <c r="BV1290" s="2">
        <v>19.548208001950901</v>
      </c>
      <c r="BW1290" s="2">
        <v>19.118583740085</v>
      </c>
      <c r="BX1290" s="2">
        <v>19.128282086930199</v>
      </c>
      <c r="BY1290" s="2">
        <v>20.431682012150901</v>
      </c>
      <c r="BZ1290" s="2">
        <v>16.129082539252298</v>
      </c>
      <c r="CA1290" s="2">
        <v>18.4492255573916</v>
      </c>
      <c r="CB1290" s="2">
        <v>19.971920450780502</v>
      </c>
      <c r="CC1290" s="2">
        <v>18.9615959167737</v>
      </c>
      <c r="CD1290" s="2">
        <v>19.981696974032101</v>
      </c>
      <c r="CE1290" s="2">
        <v>20.040544568324101</v>
      </c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</row>
    <row r="1291" spans="1:97">
      <c r="A1291" s="2" t="s">
        <v>11678</v>
      </c>
      <c r="B1291" s="2">
        <v>313.11894000000001</v>
      </c>
      <c r="C1291" s="2">
        <v>8.4700000000000006</v>
      </c>
      <c r="D1291" s="2" t="s">
        <v>146</v>
      </c>
      <c r="E1291" s="2" t="s">
        <v>11679</v>
      </c>
      <c r="F1291" s="2" t="s">
        <v>11680</v>
      </c>
      <c r="G1291" s="2">
        <v>213369</v>
      </c>
      <c r="H1291" s="3" t="str">
        <f>HYPERLINK("https://cloud.oebiotech.com/#/lm/network/213369", "https://cloud.oebiotech.com/#/lm/network/213369")</f>
        <v>https://cloud.oebiotech.com/#/lm/network/213369</v>
      </c>
      <c r="I1291" s="2" t="s">
        <v>11681</v>
      </c>
      <c r="J1291" s="2"/>
      <c r="K1291" s="2"/>
      <c r="L1291" s="2">
        <v>90994944</v>
      </c>
      <c r="M1291" s="2"/>
      <c r="N1291" s="2"/>
      <c r="O1291" s="2"/>
      <c r="P1291" s="2"/>
      <c r="Q1291" s="2"/>
      <c r="R1291" s="2"/>
      <c r="S1291" s="2"/>
      <c r="T1291" s="2" t="s">
        <v>11682</v>
      </c>
      <c r="U1291" s="2" t="s">
        <v>11683</v>
      </c>
      <c r="V1291" s="2" t="s">
        <v>385</v>
      </c>
      <c r="W1291" s="2" t="s">
        <v>386</v>
      </c>
      <c r="X1291" s="2" t="s">
        <v>3600</v>
      </c>
      <c r="Y1291" s="2" t="s">
        <v>388</v>
      </c>
      <c r="Z1291" s="2" t="s">
        <v>389</v>
      </c>
      <c r="AA1291" s="2" t="s">
        <v>3601</v>
      </c>
      <c r="AB1291" s="2" t="s">
        <v>5118</v>
      </c>
      <c r="AC1291" s="2">
        <v>46.45</v>
      </c>
      <c r="AD1291" s="2">
        <v>89.17</v>
      </c>
      <c r="AE1291" s="2">
        <v>57.59</v>
      </c>
      <c r="AF1291" s="2" t="s">
        <v>11684</v>
      </c>
      <c r="AG1291" s="2" t="s">
        <v>157</v>
      </c>
      <c r="AH1291" s="2" t="s">
        <v>4384</v>
      </c>
      <c r="AI1291" s="2">
        <v>1.6</v>
      </c>
      <c r="AJ1291" s="2">
        <v>18.799856191748599</v>
      </c>
      <c r="AK1291" s="2">
        <v>18.990935781662099</v>
      </c>
      <c r="AL1291" s="2">
        <v>18.733313258675299</v>
      </c>
      <c r="AM1291" s="2">
        <v>18.9410270534311</v>
      </c>
      <c r="AN1291" s="2">
        <v>19.040059223988798</v>
      </c>
      <c r="AO1291" s="2">
        <v>18.911703342009499</v>
      </c>
      <c r="AP1291" s="2">
        <v>19.1478515238922</v>
      </c>
      <c r="AQ1291" s="2">
        <v>19.0468016176915</v>
      </c>
      <c r="AR1291" s="2">
        <v>18.196915732232199</v>
      </c>
      <c r="AS1291" s="2">
        <v>17.496901824822402</v>
      </c>
      <c r="AT1291" s="2">
        <v>18.560390457263399</v>
      </c>
      <c r="AU1291" s="2">
        <v>18.143396119339901</v>
      </c>
      <c r="AV1291" s="2">
        <v>18.3224663194367</v>
      </c>
      <c r="AW1291" s="2">
        <v>19.175087134254301</v>
      </c>
      <c r="AX1291" s="2">
        <v>17.894927687424399</v>
      </c>
      <c r="AY1291" s="2">
        <v>18.593780705815501</v>
      </c>
      <c r="AZ1291" s="2">
        <v>18.204780550983902</v>
      </c>
      <c r="BA1291" s="2">
        <v>18.166725593822299</v>
      </c>
      <c r="BB1291" s="2">
        <v>19.095359598077401</v>
      </c>
      <c r="BC1291" s="2">
        <v>18.936291484981201</v>
      </c>
      <c r="BD1291" s="2">
        <v>18.4781448371278</v>
      </c>
      <c r="BE1291" s="2">
        <v>19.277353381066799</v>
      </c>
      <c r="BF1291" s="2">
        <v>18.848824631761499</v>
      </c>
      <c r="BG1291" s="2">
        <v>18.651207010292399</v>
      </c>
      <c r="BH1291" s="2">
        <v>18.251289291884198</v>
      </c>
      <c r="BI1291" s="2">
        <v>19.564919181810598</v>
      </c>
      <c r="BJ1291" s="2">
        <v>18.896517690284401</v>
      </c>
      <c r="BK1291" s="2">
        <v>18.1262088847322</v>
      </c>
      <c r="BL1291" s="2">
        <v>18.3798714337698</v>
      </c>
      <c r="BM1291" s="2">
        <v>18.0222554774193</v>
      </c>
      <c r="BN1291" s="2">
        <v>18.8766176631154</v>
      </c>
      <c r="BO1291" s="2">
        <v>18.536541826921699</v>
      </c>
      <c r="BP1291" s="2">
        <v>18.417780009201302</v>
      </c>
      <c r="BQ1291" s="2">
        <v>19.0894627918073</v>
      </c>
      <c r="BR1291" s="2">
        <v>18.6113107611753</v>
      </c>
      <c r="BS1291" s="2">
        <v>18.617642044879599</v>
      </c>
      <c r="BT1291" s="2">
        <v>18.374033852245599</v>
      </c>
      <c r="BU1291" s="2">
        <v>18.489484035037002</v>
      </c>
      <c r="BV1291" s="2">
        <v>19.259368470819599</v>
      </c>
      <c r="BW1291" s="2">
        <v>17.851639132245101</v>
      </c>
      <c r="BX1291" s="2">
        <v>18.441523389137199</v>
      </c>
      <c r="BY1291" s="2">
        <v>19.3815088165512</v>
      </c>
      <c r="BZ1291" s="2">
        <v>19.0256514283091</v>
      </c>
      <c r="CA1291" s="2">
        <v>18.8341046941845</v>
      </c>
      <c r="CB1291" s="2">
        <v>18.167125901881899</v>
      </c>
      <c r="CC1291" s="2">
        <v>19.363424865755501</v>
      </c>
      <c r="CD1291" s="2">
        <v>18.8426064977556</v>
      </c>
      <c r="CE1291" s="2">
        <v>18.898903560549901</v>
      </c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</row>
    <row r="1292" spans="1:97">
      <c r="A1292" s="2" t="s">
        <v>11685</v>
      </c>
      <c r="B1292" s="2">
        <v>491.34100999999998</v>
      </c>
      <c r="C1292" s="2">
        <v>10.032999999999999</v>
      </c>
      <c r="D1292" s="2" t="s">
        <v>146</v>
      </c>
      <c r="E1292" s="2" t="s">
        <v>11686</v>
      </c>
      <c r="F1292" s="2" t="s">
        <v>11687</v>
      </c>
      <c r="G1292" s="2">
        <v>43975</v>
      </c>
      <c r="H1292" s="3" t="str">
        <f>HYPERLINK("https://cloud.oebiotech.com/#/lm/network/43975", "https://cloud.oebiotech.com/#/lm/network/43975")</f>
        <v>https://cloud.oebiotech.com/#/lm/network/43975</v>
      </c>
      <c r="I1292" s="2"/>
      <c r="J1292" s="2">
        <v>64147</v>
      </c>
      <c r="K1292" s="2" t="s">
        <v>11688</v>
      </c>
      <c r="L1292" s="2">
        <v>14353979</v>
      </c>
      <c r="M1292" s="2" t="s">
        <v>11689</v>
      </c>
      <c r="N1292" s="2"/>
      <c r="O1292" s="2"/>
      <c r="P1292" s="2">
        <v>20000</v>
      </c>
      <c r="Q1292" s="2"/>
      <c r="R1292" s="2"/>
      <c r="S1292" s="2"/>
      <c r="T1292" s="2" t="s">
        <v>11690</v>
      </c>
      <c r="U1292" s="2" t="s">
        <v>11691</v>
      </c>
      <c r="V1292" s="2" t="s">
        <v>95</v>
      </c>
      <c r="W1292" s="2" t="s">
        <v>152</v>
      </c>
      <c r="X1292" s="2" t="s">
        <v>278</v>
      </c>
      <c r="Y1292" s="2" t="s">
        <v>98</v>
      </c>
      <c r="Z1292" s="2" t="s">
        <v>154</v>
      </c>
      <c r="AA1292" s="2" t="s">
        <v>279</v>
      </c>
      <c r="AB1292" s="2" t="s">
        <v>3086</v>
      </c>
      <c r="AC1292" s="2">
        <v>46.45</v>
      </c>
      <c r="AD1292" s="2">
        <v>80.319999999999993</v>
      </c>
      <c r="AE1292" s="2">
        <v>0</v>
      </c>
      <c r="AF1292" s="2" t="s">
        <v>5614</v>
      </c>
      <c r="AG1292" s="2" t="s">
        <v>157</v>
      </c>
      <c r="AH1292" s="2" t="s">
        <v>11692</v>
      </c>
      <c r="AI1292" s="2">
        <v>-6.51</v>
      </c>
      <c r="AJ1292" s="2">
        <v>18.5064793682524</v>
      </c>
      <c r="AK1292" s="2">
        <v>18.504108224144399</v>
      </c>
      <c r="AL1292" s="2">
        <v>18.3741056601095</v>
      </c>
      <c r="AM1292" s="2">
        <v>18.180800393949099</v>
      </c>
      <c r="AN1292" s="2">
        <v>18.3242176034727</v>
      </c>
      <c r="AO1292" s="2">
        <v>18.462375297896099</v>
      </c>
      <c r="AP1292" s="2">
        <v>18.345235347868101</v>
      </c>
      <c r="AQ1292" s="2">
        <v>18.237821708318702</v>
      </c>
      <c r="AR1292" s="2">
        <v>18.458754195692201</v>
      </c>
      <c r="AS1292" s="2">
        <v>18.538609128852801</v>
      </c>
      <c r="AT1292" s="2">
        <v>18.278878547536898</v>
      </c>
      <c r="AU1292" s="2">
        <v>18.058818047724898</v>
      </c>
      <c r="AV1292" s="2">
        <v>18.427297824168701</v>
      </c>
      <c r="AW1292" s="2">
        <v>18.560062564827799</v>
      </c>
      <c r="AX1292" s="2">
        <v>18.2727187114975</v>
      </c>
      <c r="AY1292" s="2">
        <v>18.302301779010499</v>
      </c>
      <c r="AZ1292" s="2">
        <v>18.306785490607201</v>
      </c>
      <c r="BA1292" s="2">
        <v>18.360856255275099</v>
      </c>
      <c r="BB1292" s="2">
        <v>18.347739956299002</v>
      </c>
      <c r="BC1292" s="2">
        <v>18.149419318796799</v>
      </c>
      <c r="BD1292" s="2">
        <v>18.384522519533601</v>
      </c>
      <c r="BE1292" s="2">
        <v>18.3817476153082</v>
      </c>
      <c r="BF1292" s="2">
        <v>18.223211494476399</v>
      </c>
      <c r="BG1292" s="2">
        <v>18.157653057109101</v>
      </c>
      <c r="BH1292" s="2">
        <v>18.413009251796801</v>
      </c>
      <c r="BI1292" s="2">
        <v>18.198043640134401</v>
      </c>
      <c r="BJ1292" s="2">
        <v>18.229281387024201</v>
      </c>
      <c r="BK1292" s="2">
        <v>18.197933772554101</v>
      </c>
      <c r="BL1292" s="2">
        <v>18.371774347592801</v>
      </c>
      <c r="BM1292" s="2">
        <v>18.402202344868201</v>
      </c>
      <c r="BN1292" s="2">
        <v>18.366966911141802</v>
      </c>
      <c r="BO1292" s="2">
        <v>18.245707605314401</v>
      </c>
      <c r="BP1292" s="2">
        <v>18.3395358402034</v>
      </c>
      <c r="BQ1292" s="2">
        <v>18.525930913209699</v>
      </c>
      <c r="BR1292" s="2">
        <v>18.265259611964801</v>
      </c>
      <c r="BS1292" s="2">
        <v>17.8384213081181</v>
      </c>
      <c r="BT1292" s="2">
        <v>18.1748463149302</v>
      </c>
      <c r="BU1292" s="2">
        <v>18.0468301742862</v>
      </c>
      <c r="BV1292" s="2">
        <v>18.276680124854099</v>
      </c>
      <c r="BW1292" s="2">
        <v>18.0095072307859</v>
      </c>
      <c r="BX1292" s="2">
        <v>18.393790042706701</v>
      </c>
      <c r="BY1292" s="2">
        <v>18.316431495283801</v>
      </c>
      <c r="BZ1292" s="2">
        <v>18.248465754207601</v>
      </c>
      <c r="CA1292" s="2">
        <v>18.3131358672854</v>
      </c>
      <c r="CB1292" s="2">
        <v>18.295191771456501</v>
      </c>
      <c r="CC1292" s="2">
        <v>18.171727390651601</v>
      </c>
      <c r="CD1292" s="2">
        <v>18.134040606052199</v>
      </c>
      <c r="CE1292" s="2">
        <v>18.302682740129399</v>
      </c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</row>
    <row r="1293" spans="1:97">
      <c r="A1293" s="2" t="s">
        <v>11693</v>
      </c>
      <c r="B1293" s="2">
        <v>271.08188000000001</v>
      </c>
      <c r="C1293" s="2">
        <v>5.734</v>
      </c>
      <c r="D1293" s="2" t="s">
        <v>146</v>
      </c>
      <c r="E1293" s="2" t="s">
        <v>11694</v>
      </c>
      <c r="F1293" s="2" t="s">
        <v>11695</v>
      </c>
      <c r="G1293" s="2">
        <v>2656</v>
      </c>
      <c r="H1293" s="3" t="str">
        <f>HYPERLINK("https://cloud.oebiotech.com/#/lm/network/2656", "https://cloud.oebiotech.com/#/lm/network/2656")</f>
        <v>https://cloud.oebiotech.com/#/lm/network/2656</v>
      </c>
      <c r="I1293" s="2"/>
      <c r="J1293" s="2"/>
      <c r="K1293" s="2" t="s">
        <v>11696</v>
      </c>
      <c r="L1293" s="2">
        <v>86080306</v>
      </c>
      <c r="M1293" s="2"/>
      <c r="N1293" s="2"/>
      <c r="O1293" s="2"/>
      <c r="P1293" s="2"/>
      <c r="Q1293" s="2"/>
      <c r="R1293" s="2"/>
      <c r="S1293" s="2"/>
      <c r="T1293" s="2" t="s">
        <v>11697</v>
      </c>
      <c r="U1293" s="2" t="s">
        <v>11698</v>
      </c>
      <c r="V1293" s="2" t="s">
        <v>95</v>
      </c>
      <c r="W1293" s="2" t="s">
        <v>96</v>
      </c>
      <c r="X1293" s="2" t="s">
        <v>141</v>
      </c>
      <c r="Y1293" s="2" t="s">
        <v>98</v>
      </c>
      <c r="Z1293" s="2" t="s">
        <v>99</v>
      </c>
      <c r="AA1293" s="2" t="s">
        <v>142</v>
      </c>
      <c r="AB1293" s="2" t="s">
        <v>8443</v>
      </c>
      <c r="AC1293" s="2">
        <v>46.44</v>
      </c>
      <c r="AD1293" s="2">
        <v>92.5</v>
      </c>
      <c r="AE1293" s="2">
        <v>0</v>
      </c>
      <c r="AF1293" s="2" t="s">
        <v>11699</v>
      </c>
      <c r="AG1293" s="2" t="s">
        <v>157</v>
      </c>
      <c r="AH1293" s="2" t="s">
        <v>6691</v>
      </c>
      <c r="AI1293" s="2">
        <v>1.48</v>
      </c>
      <c r="AJ1293" s="2">
        <v>17.5443756376742</v>
      </c>
      <c r="AK1293" s="2">
        <v>17.757010546194302</v>
      </c>
      <c r="AL1293" s="2">
        <v>17.240529186455898</v>
      </c>
      <c r="AM1293" s="2">
        <v>17.190347197976902</v>
      </c>
      <c r="AN1293" s="2">
        <v>16.577945079800401</v>
      </c>
      <c r="AO1293" s="2">
        <v>17.260559954142501</v>
      </c>
      <c r="AP1293" s="2">
        <v>17.267248561664399</v>
      </c>
      <c r="AQ1293" s="2">
        <v>16.752049729632599</v>
      </c>
      <c r="AR1293" s="2">
        <v>17.984673231131001</v>
      </c>
      <c r="AS1293" s="2">
        <v>16.829988880834499</v>
      </c>
      <c r="AT1293" s="2">
        <v>17.9506567577887</v>
      </c>
      <c r="AU1293" s="2">
        <v>17.1355780349603</v>
      </c>
      <c r="AV1293" s="2">
        <v>16.455679758948399</v>
      </c>
      <c r="AW1293" s="2">
        <v>18.189423743862601</v>
      </c>
      <c r="AX1293" s="2">
        <v>15.6696352697032</v>
      </c>
      <c r="AY1293" s="2">
        <v>16.3218914634935</v>
      </c>
      <c r="AZ1293" s="2">
        <v>15.8265077718921</v>
      </c>
      <c r="BA1293" s="2">
        <v>19.050833101604699</v>
      </c>
      <c r="BB1293" s="2">
        <v>17.134270683023999</v>
      </c>
      <c r="BC1293" s="2">
        <v>14.577525602434999</v>
      </c>
      <c r="BD1293" s="2">
        <v>17.8334315905057</v>
      </c>
      <c r="BE1293" s="2">
        <v>15.7389261294503</v>
      </c>
      <c r="BF1293" s="2">
        <v>16.681666126778602</v>
      </c>
      <c r="BG1293" s="2">
        <v>16.724894034594499</v>
      </c>
      <c r="BH1293" s="2">
        <v>17.132463481058601</v>
      </c>
      <c r="BI1293" s="2">
        <v>16.1860190371033</v>
      </c>
      <c r="BJ1293" s="2">
        <v>19.4224781295746</v>
      </c>
      <c r="BK1293" s="2">
        <v>18.4453462285705</v>
      </c>
      <c r="BL1293" s="2">
        <v>17.2684316155791</v>
      </c>
      <c r="BM1293" s="2">
        <v>16.456865653373999</v>
      </c>
      <c r="BN1293" s="2">
        <v>17.711652052949301</v>
      </c>
      <c r="BO1293" s="2">
        <v>17.912501052260101</v>
      </c>
      <c r="BP1293" s="2">
        <v>13.135164165003999</v>
      </c>
      <c r="BQ1293" s="2">
        <v>17.3618228360702</v>
      </c>
      <c r="BR1293" s="2">
        <v>13.7928777153935</v>
      </c>
      <c r="BS1293" s="2">
        <v>16.650985941859901</v>
      </c>
      <c r="BT1293" s="2">
        <v>19.985742686614699</v>
      </c>
      <c r="BU1293" s="2">
        <v>18.550369080461898</v>
      </c>
      <c r="BV1293" s="2">
        <v>16.858391212919798</v>
      </c>
      <c r="BW1293" s="2">
        <v>14.8357612740961</v>
      </c>
      <c r="BX1293" s="2">
        <v>17.384755846164499</v>
      </c>
      <c r="BY1293" s="2">
        <v>16.164289832089601</v>
      </c>
      <c r="BZ1293" s="2">
        <v>13.547018616969201</v>
      </c>
      <c r="CA1293" s="2">
        <v>16.5545931982216</v>
      </c>
      <c r="CB1293" s="2">
        <v>15.2599782267471</v>
      </c>
      <c r="CC1293" s="2">
        <v>17.4011165091134</v>
      </c>
      <c r="CD1293" s="2">
        <v>18.094821094996</v>
      </c>
      <c r="CE1293" s="2">
        <v>18.079947947749002</v>
      </c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</row>
    <row r="1294" spans="1:97">
      <c r="A1294" s="2" t="s">
        <v>11700</v>
      </c>
      <c r="B1294" s="2">
        <v>357.06103999999999</v>
      </c>
      <c r="C1294" s="2">
        <v>6.6559999999999997</v>
      </c>
      <c r="D1294" s="2" t="s">
        <v>146</v>
      </c>
      <c r="E1294" s="2" t="s">
        <v>11701</v>
      </c>
      <c r="F1294" s="2" t="s">
        <v>11702</v>
      </c>
      <c r="G1294" s="2">
        <v>29251</v>
      </c>
      <c r="H1294" s="3" t="str">
        <f>HYPERLINK("https://cloud.oebiotech.com/#/lm/network/29251", "https://cloud.oebiotech.com/#/lm/network/29251")</f>
        <v>https://cloud.oebiotech.com/#/lm/network/29251</v>
      </c>
      <c r="I1294" s="2"/>
      <c r="J1294" s="2">
        <v>47629</v>
      </c>
      <c r="K1294" s="2" t="s">
        <v>11703</v>
      </c>
      <c r="L1294" s="2">
        <v>9883229</v>
      </c>
      <c r="M1294" s="2"/>
      <c r="N1294" s="2"/>
      <c r="O1294" s="2"/>
      <c r="P1294" s="2"/>
      <c r="Q1294" s="2"/>
      <c r="R1294" s="2"/>
      <c r="S1294" s="2"/>
      <c r="T1294" s="2" t="s">
        <v>11704</v>
      </c>
      <c r="U1294" s="2" t="s">
        <v>11705</v>
      </c>
      <c r="V1294" s="2" t="s">
        <v>845</v>
      </c>
      <c r="W1294" s="2" t="s">
        <v>3853</v>
      </c>
      <c r="X1294" s="2" t="s">
        <v>3854</v>
      </c>
      <c r="Y1294" s="2" t="s">
        <v>847</v>
      </c>
      <c r="Z1294" s="2" t="s">
        <v>3855</v>
      </c>
      <c r="AA1294" s="2" t="s">
        <v>3856</v>
      </c>
      <c r="AB1294" s="2" t="s">
        <v>5118</v>
      </c>
      <c r="AC1294" s="2">
        <v>46.43</v>
      </c>
      <c r="AD1294" s="2">
        <v>88.67</v>
      </c>
      <c r="AE1294" s="2">
        <v>58.57</v>
      </c>
      <c r="AF1294" s="2" t="s">
        <v>11706</v>
      </c>
      <c r="AG1294" s="2" t="s">
        <v>157</v>
      </c>
      <c r="AH1294" s="2" t="s">
        <v>11707</v>
      </c>
      <c r="AI1294" s="2">
        <v>1.68</v>
      </c>
      <c r="AJ1294" s="2">
        <v>20.090897496093401</v>
      </c>
      <c r="AK1294" s="2">
        <v>20.0389297433601</v>
      </c>
      <c r="AL1294" s="2">
        <v>19.977160554958399</v>
      </c>
      <c r="AM1294" s="2">
        <v>20.119194940528999</v>
      </c>
      <c r="AN1294" s="2">
        <v>20.030347664524101</v>
      </c>
      <c r="AO1294" s="2">
        <v>19.620698300542301</v>
      </c>
      <c r="AP1294" s="2">
        <v>19.9132141901522</v>
      </c>
      <c r="AQ1294" s="2">
        <v>19.892782684600299</v>
      </c>
      <c r="AR1294" s="2">
        <v>20.0763163751467</v>
      </c>
      <c r="AS1294" s="2">
        <v>19.9753027102416</v>
      </c>
      <c r="AT1294" s="2">
        <v>20.025808882781899</v>
      </c>
      <c r="AU1294" s="2">
        <v>20.000999959506299</v>
      </c>
      <c r="AV1294" s="2">
        <v>19.9732800779603</v>
      </c>
      <c r="AW1294" s="2">
        <v>19.974868609668999</v>
      </c>
      <c r="AX1294" s="2">
        <v>20.045664075511102</v>
      </c>
      <c r="AY1294" s="2">
        <v>19.988658408667099</v>
      </c>
      <c r="AZ1294" s="2">
        <v>20.0272240796543</v>
      </c>
      <c r="BA1294" s="2">
        <v>19.8945483782956</v>
      </c>
      <c r="BB1294" s="2">
        <v>20.028774046544299</v>
      </c>
      <c r="BC1294" s="2">
        <v>19.9992635887528</v>
      </c>
      <c r="BD1294" s="2">
        <v>19.821341258019299</v>
      </c>
      <c r="BE1294" s="2">
        <v>19.9773406243458</v>
      </c>
      <c r="BF1294" s="2">
        <v>19.826426042812201</v>
      </c>
      <c r="BG1294" s="2">
        <v>20.043840800319501</v>
      </c>
      <c r="BH1294" s="2">
        <v>19.777239692975499</v>
      </c>
      <c r="BI1294" s="2">
        <v>20.050174495994298</v>
      </c>
      <c r="BJ1294" s="2">
        <v>19.952865510618601</v>
      </c>
      <c r="BK1294" s="2">
        <v>19.924824621098601</v>
      </c>
      <c r="BL1294" s="2">
        <v>20.040251454590699</v>
      </c>
      <c r="BM1294" s="2">
        <v>19.9108113180366</v>
      </c>
      <c r="BN1294" s="2">
        <v>19.901668748751401</v>
      </c>
      <c r="BO1294" s="2">
        <v>19.975298567368899</v>
      </c>
      <c r="BP1294" s="2">
        <v>19.925207849521399</v>
      </c>
      <c r="BQ1294" s="2">
        <v>19.909726498035699</v>
      </c>
      <c r="BR1294" s="2">
        <v>19.774025998350599</v>
      </c>
      <c r="BS1294" s="2">
        <v>19.398672724290801</v>
      </c>
      <c r="BT1294" s="2">
        <v>19.6799666830394</v>
      </c>
      <c r="BU1294" s="2">
        <v>19.633327630120501</v>
      </c>
      <c r="BV1294" s="2">
        <v>19.461468376030101</v>
      </c>
      <c r="BW1294" s="2">
        <v>19.992708292627199</v>
      </c>
      <c r="BX1294" s="2">
        <v>19.924447945600399</v>
      </c>
      <c r="BY1294" s="2">
        <v>19.851745458216399</v>
      </c>
      <c r="BZ1294" s="2">
        <v>19.857863952983699</v>
      </c>
      <c r="CA1294" s="2">
        <v>19.917653114566399</v>
      </c>
      <c r="CB1294" s="2">
        <v>19.812754408507899</v>
      </c>
      <c r="CC1294" s="2">
        <v>19.903849991124101</v>
      </c>
      <c r="CD1294" s="2">
        <v>19.7632116858817</v>
      </c>
      <c r="CE1294" s="2">
        <v>19.720238963487599</v>
      </c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</row>
    <row r="1295" spans="1:97">
      <c r="A1295" s="2" t="s">
        <v>11708</v>
      </c>
      <c r="B1295" s="2">
        <v>355.26278000000002</v>
      </c>
      <c r="C1295" s="2">
        <v>8.8239999999999998</v>
      </c>
      <c r="D1295" s="2" t="s">
        <v>84</v>
      </c>
      <c r="E1295" s="2" t="s">
        <v>11709</v>
      </c>
      <c r="F1295" s="2" t="s">
        <v>11710</v>
      </c>
      <c r="G1295" s="2">
        <v>46184</v>
      </c>
      <c r="H1295" s="3" t="str">
        <f>HYPERLINK("https://cloud.oebiotech.com/#/lm/network/46184", "https://cloud.oebiotech.com/#/lm/network/46184")</f>
        <v>https://cloud.oebiotech.com/#/lm/network/46184</v>
      </c>
      <c r="I1295" s="2"/>
      <c r="J1295" s="2">
        <v>84636</v>
      </c>
      <c r="K1295" s="2" t="s">
        <v>11711</v>
      </c>
      <c r="L1295" s="2">
        <v>5284074</v>
      </c>
      <c r="M1295" s="2"/>
      <c r="N1295" s="2"/>
      <c r="O1295" s="2"/>
      <c r="P1295" s="2">
        <v>142528</v>
      </c>
      <c r="Q1295" s="2"/>
      <c r="R1295" s="2"/>
      <c r="S1295" s="2"/>
      <c r="T1295" s="2" t="s">
        <v>11712</v>
      </c>
      <c r="U1295" s="2" t="s">
        <v>11713</v>
      </c>
      <c r="V1295" s="2" t="s">
        <v>95</v>
      </c>
      <c r="W1295" s="2" t="s">
        <v>152</v>
      </c>
      <c r="X1295" s="2" t="s">
        <v>278</v>
      </c>
      <c r="Y1295" s="2" t="s">
        <v>98</v>
      </c>
      <c r="Z1295" s="2" t="s">
        <v>154</v>
      </c>
      <c r="AA1295" s="2" t="s">
        <v>279</v>
      </c>
      <c r="AB1295" s="2" t="s">
        <v>8443</v>
      </c>
      <c r="AC1295" s="2">
        <v>46.43</v>
      </c>
      <c r="AD1295" s="2">
        <v>97.82</v>
      </c>
      <c r="AE1295" s="2">
        <v>43.72</v>
      </c>
      <c r="AF1295" s="2" t="s">
        <v>11714</v>
      </c>
      <c r="AG1295" s="2" t="s">
        <v>103</v>
      </c>
      <c r="AH1295" s="2" t="s">
        <v>11715</v>
      </c>
      <c r="AI1295" s="2">
        <v>1.1299999999999999</v>
      </c>
      <c r="AJ1295" s="2">
        <v>22.401909016695399</v>
      </c>
      <c r="AK1295" s="2">
        <v>22.408437846889299</v>
      </c>
      <c r="AL1295" s="2">
        <v>22.384268718169899</v>
      </c>
      <c r="AM1295" s="2">
        <v>22.433968905556299</v>
      </c>
      <c r="AN1295" s="2">
        <v>22.4764852232796</v>
      </c>
      <c r="AO1295" s="2">
        <v>22.341377567099599</v>
      </c>
      <c r="AP1295" s="2">
        <v>22.4366279445325</v>
      </c>
      <c r="AQ1295" s="2">
        <v>22.257907720234599</v>
      </c>
      <c r="AR1295" s="2">
        <v>21.731797540546602</v>
      </c>
      <c r="AS1295" s="2">
        <v>21.277483722010999</v>
      </c>
      <c r="AT1295" s="2">
        <v>21.2677951281688</v>
      </c>
      <c r="AU1295" s="2">
        <v>21.5482275444962</v>
      </c>
      <c r="AV1295" s="2">
        <v>21.734509415299801</v>
      </c>
      <c r="AW1295" s="2">
        <v>21.9228381714824</v>
      </c>
      <c r="AX1295" s="2">
        <v>21.472933893028902</v>
      </c>
      <c r="AY1295" s="2">
        <v>21.3289354209675</v>
      </c>
      <c r="AZ1295" s="2">
        <v>21.542578791722001</v>
      </c>
      <c r="BA1295" s="2">
        <v>21.997023006608</v>
      </c>
      <c r="BB1295" s="2">
        <v>21.429595717511798</v>
      </c>
      <c r="BC1295" s="2">
        <v>21.796038515321499</v>
      </c>
      <c r="BD1295" s="2">
        <v>21.510349540746201</v>
      </c>
      <c r="BE1295" s="2">
        <v>21.552807568386299</v>
      </c>
      <c r="BF1295" s="2">
        <v>21.122741905133999</v>
      </c>
      <c r="BG1295" s="2">
        <v>21.538165159935701</v>
      </c>
      <c r="BH1295" s="2">
        <v>20.8043460093634</v>
      </c>
      <c r="BI1295" s="2">
        <v>21.2055304111277</v>
      </c>
      <c r="BJ1295" s="2">
        <v>21.595277293999001</v>
      </c>
      <c r="BK1295" s="2">
        <v>21.690443977329299</v>
      </c>
      <c r="BL1295" s="2">
        <v>22.398419161244298</v>
      </c>
      <c r="BM1295" s="2">
        <v>21.716512036168201</v>
      </c>
      <c r="BN1295" s="2">
        <v>21.677427217410202</v>
      </c>
      <c r="BO1295" s="2">
        <v>21.0198035719052</v>
      </c>
      <c r="BP1295" s="2">
        <v>21.9788919721334</v>
      </c>
      <c r="BQ1295" s="2">
        <v>22.4117951129906</v>
      </c>
      <c r="BR1295" s="2">
        <v>21.6535836155387</v>
      </c>
      <c r="BS1295" s="2">
        <v>21.4063882418668</v>
      </c>
      <c r="BT1295" s="2">
        <v>21.148766484802099</v>
      </c>
      <c r="BU1295" s="2">
        <v>21.556936134545801</v>
      </c>
      <c r="BV1295" s="2">
        <v>21.878004588068499</v>
      </c>
      <c r="BW1295" s="2">
        <v>22.56370354113</v>
      </c>
      <c r="BX1295" s="2">
        <v>21.2206298378333</v>
      </c>
      <c r="BY1295" s="2">
        <v>21.4959734793294</v>
      </c>
      <c r="BZ1295" s="2">
        <v>22.438671097821601</v>
      </c>
      <c r="CA1295" s="2">
        <v>21.492468553466001</v>
      </c>
      <c r="CB1295" s="2">
        <v>24.053711881784999</v>
      </c>
      <c r="CC1295" s="2">
        <v>23.149475460946</v>
      </c>
      <c r="CD1295" s="2">
        <v>20.630402460227401</v>
      </c>
      <c r="CE1295" s="2">
        <v>21.611472714369299</v>
      </c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</row>
    <row r="1296" spans="1:97">
      <c r="A1296" s="2" t="s">
        <v>11716</v>
      </c>
      <c r="B1296" s="2">
        <v>223.08758</v>
      </c>
      <c r="C1296" s="2">
        <v>5.298</v>
      </c>
      <c r="D1296" s="2" t="s">
        <v>84</v>
      </c>
      <c r="E1296" s="2" t="s">
        <v>11717</v>
      </c>
      <c r="F1296" s="2" t="s">
        <v>11718</v>
      </c>
      <c r="G1296" s="2">
        <v>211012</v>
      </c>
      <c r="H1296" s="3" t="str">
        <f>HYPERLINK("https://cloud.oebiotech.com/#/lm/network/211012", "https://cloud.oebiotech.com/#/lm/network/211012")</f>
        <v>https://cloud.oebiotech.com/#/lm/network/211012</v>
      </c>
      <c r="I1296" s="2" t="s">
        <v>11719</v>
      </c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 t="s">
        <v>11720</v>
      </c>
      <c r="U1296" s="2" t="s">
        <v>11721</v>
      </c>
      <c r="V1296" s="2" t="s">
        <v>385</v>
      </c>
      <c r="W1296" s="2" t="s">
        <v>4381</v>
      </c>
      <c r="X1296" s="2" t="s">
        <v>11722</v>
      </c>
      <c r="Y1296" s="2" t="s">
        <v>388</v>
      </c>
      <c r="Z1296" s="2" t="s">
        <v>4382</v>
      </c>
      <c r="AA1296" s="2" t="s">
        <v>11723</v>
      </c>
      <c r="AB1296" s="2" t="s">
        <v>8443</v>
      </c>
      <c r="AC1296" s="2">
        <v>46.41</v>
      </c>
      <c r="AD1296" s="2">
        <v>91.42</v>
      </c>
      <c r="AE1296" s="2">
        <v>0</v>
      </c>
      <c r="AF1296" s="2" t="s">
        <v>5614</v>
      </c>
      <c r="AG1296" s="2" t="s">
        <v>1088</v>
      </c>
      <c r="AH1296" s="2" t="s">
        <v>11724</v>
      </c>
      <c r="AI1296" s="2">
        <v>-1.79</v>
      </c>
      <c r="AJ1296" s="2">
        <v>17.373705469387101</v>
      </c>
      <c r="AK1296" s="2">
        <v>16.658026781859501</v>
      </c>
      <c r="AL1296" s="2">
        <v>17.384981338304399</v>
      </c>
      <c r="AM1296" s="2">
        <v>17.1896280740281</v>
      </c>
      <c r="AN1296" s="2">
        <v>16.604978237986199</v>
      </c>
      <c r="AO1296" s="2">
        <v>17.342973467345001</v>
      </c>
      <c r="AP1296" s="2">
        <v>16.9080762693868</v>
      </c>
      <c r="AQ1296" s="2">
        <v>17.742103476244999</v>
      </c>
      <c r="AR1296" s="2">
        <v>14.3486520898915</v>
      </c>
      <c r="AS1296" s="2">
        <v>9.6233145402724691</v>
      </c>
      <c r="AT1296" s="2">
        <v>16.916153895081301</v>
      </c>
      <c r="AU1296" s="2">
        <v>17.704402913683801</v>
      </c>
      <c r="AV1296" s="2">
        <v>17.055881139018801</v>
      </c>
      <c r="AW1296" s="2">
        <v>17.333403292213902</v>
      </c>
      <c r="AX1296" s="2">
        <v>17.987416968281899</v>
      </c>
      <c r="AY1296" s="2">
        <v>17.197676006682901</v>
      </c>
      <c r="AZ1296" s="2">
        <v>17.298951981705301</v>
      </c>
      <c r="BA1296" s="2">
        <v>16.182250208615599</v>
      </c>
      <c r="BB1296" s="2">
        <v>13.792768946485401</v>
      </c>
      <c r="BC1296" s="2">
        <v>15.882679823098099</v>
      </c>
      <c r="BD1296" s="2">
        <v>17.8552680486806</v>
      </c>
      <c r="BE1296" s="2">
        <v>17.903696355542799</v>
      </c>
      <c r="BF1296" s="2">
        <v>17.885489523928999</v>
      </c>
      <c r="BG1296" s="2">
        <v>9.6233145402724691</v>
      </c>
      <c r="BH1296" s="2">
        <v>17.431951639612201</v>
      </c>
      <c r="BI1296" s="2">
        <v>17.669152958480002</v>
      </c>
      <c r="BJ1296" s="2">
        <v>15.7386137486063</v>
      </c>
      <c r="BK1296" s="2">
        <v>17.541544740381799</v>
      </c>
      <c r="BL1296" s="2">
        <v>17.538456850545899</v>
      </c>
      <c r="BM1296" s="2">
        <v>18.4624465952271</v>
      </c>
      <c r="BN1296" s="2">
        <v>16.976868269998999</v>
      </c>
      <c r="BO1296" s="2">
        <v>17.837780607854199</v>
      </c>
      <c r="BP1296" s="2">
        <v>17.585522789351501</v>
      </c>
      <c r="BQ1296" s="2">
        <v>17.949260482713399</v>
      </c>
      <c r="BR1296" s="2">
        <v>9.6233145402724691</v>
      </c>
      <c r="BS1296" s="2">
        <v>17.8834670695861</v>
      </c>
      <c r="BT1296" s="2">
        <v>9.6233145402724691</v>
      </c>
      <c r="BU1296" s="2">
        <v>18.082968143778601</v>
      </c>
      <c r="BV1296" s="2">
        <v>9.6233145402724691</v>
      </c>
      <c r="BW1296" s="2">
        <v>9.6233145402724691</v>
      </c>
      <c r="BX1296" s="2">
        <v>18.3130135589251</v>
      </c>
      <c r="BY1296" s="2">
        <v>18.643612362162798</v>
      </c>
      <c r="BZ1296" s="2">
        <v>9.6233145402724691</v>
      </c>
      <c r="CA1296" s="2">
        <v>9.6233145402724691</v>
      </c>
      <c r="CB1296" s="2">
        <v>9.6233145402724691</v>
      </c>
      <c r="CC1296" s="2">
        <v>17.3059608161916</v>
      </c>
      <c r="CD1296" s="2">
        <v>17.659453205407999</v>
      </c>
      <c r="CE1296" s="2">
        <v>17.3625164626059</v>
      </c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</row>
    <row r="1297" spans="1:97">
      <c r="A1297" s="2" t="s">
        <v>11725</v>
      </c>
      <c r="B1297" s="2">
        <v>101.06053</v>
      </c>
      <c r="C1297" s="2">
        <v>4.0750000000000002</v>
      </c>
      <c r="D1297" s="2" t="s">
        <v>146</v>
      </c>
      <c r="E1297" s="2" t="s">
        <v>11726</v>
      </c>
      <c r="F1297" s="2" t="s">
        <v>11727</v>
      </c>
      <c r="G1297" s="2">
        <v>63047</v>
      </c>
      <c r="H1297" s="3" t="str">
        <f>HYPERLINK("https://cloud.oebiotech.com/#/lm/network/63047", "https://cloud.oebiotech.com/#/lm/network/63047")</f>
        <v>https://cloud.oebiotech.com/#/lm/network/63047</v>
      </c>
      <c r="I1297" s="2" t="s">
        <v>11728</v>
      </c>
      <c r="J1297" s="2">
        <v>94348</v>
      </c>
      <c r="K1297" s="2"/>
      <c r="L1297" s="2">
        <v>34742</v>
      </c>
      <c r="M1297" s="2"/>
      <c r="N1297" s="2"/>
      <c r="O1297" s="2"/>
      <c r="P1297" s="2">
        <v>173358</v>
      </c>
      <c r="Q1297" s="2"/>
      <c r="R1297" s="2"/>
      <c r="S1297" s="2" t="s">
        <v>11729</v>
      </c>
      <c r="T1297" s="2" t="s">
        <v>11730</v>
      </c>
      <c r="U1297" s="2" t="s">
        <v>11731</v>
      </c>
      <c r="V1297" s="2" t="s">
        <v>553</v>
      </c>
      <c r="W1297" s="2" t="s">
        <v>1466</v>
      </c>
      <c r="X1297" s="2" t="s">
        <v>375</v>
      </c>
      <c r="Y1297" s="2" t="s">
        <v>556</v>
      </c>
      <c r="Z1297" s="2" t="s">
        <v>1467</v>
      </c>
      <c r="AA1297" s="2"/>
      <c r="AB1297" s="2" t="s">
        <v>8443</v>
      </c>
      <c r="AC1297" s="2">
        <v>46.39</v>
      </c>
      <c r="AD1297" s="2">
        <v>96.81</v>
      </c>
      <c r="AE1297" s="2">
        <v>0</v>
      </c>
      <c r="AF1297" s="2" t="s">
        <v>5614</v>
      </c>
      <c r="AG1297" s="2" t="s">
        <v>194</v>
      </c>
      <c r="AH1297" s="2" t="s">
        <v>11732</v>
      </c>
      <c r="AI1297" s="2">
        <v>2.77</v>
      </c>
      <c r="AJ1297" s="2">
        <v>20.4834140522639</v>
      </c>
      <c r="AK1297" s="2">
        <v>20.5248610358178</v>
      </c>
      <c r="AL1297" s="2">
        <v>20.6209410482194</v>
      </c>
      <c r="AM1297" s="2">
        <v>20.558222465857501</v>
      </c>
      <c r="AN1297" s="2">
        <v>20.692506711481101</v>
      </c>
      <c r="AO1297" s="2">
        <v>20.6607529895178</v>
      </c>
      <c r="AP1297" s="2">
        <v>20.411478506816099</v>
      </c>
      <c r="AQ1297" s="2">
        <v>20.655575015346098</v>
      </c>
      <c r="AR1297" s="2">
        <v>20.066309232614099</v>
      </c>
      <c r="AS1297" s="2">
        <v>19.124826009860101</v>
      </c>
      <c r="AT1297" s="2">
        <v>20.094164355728498</v>
      </c>
      <c r="AU1297" s="2">
        <v>19.475774568939102</v>
      </c>
      <c r="AV1297" s="2">
        <v>20.455669475784401</v>
      </c>
      <c r="AW1297" s="2">
        <v>20.385026706435699</v>
      </c>
      <c r="AX1297" s="2">
        <v>20.265963367929501</v>
      </c>
      <c r="AY1297" s="2">
        <v>20.226684840940202</v>
      </c>
      <c r="AZ1297" s="2">
        <v>20.0698215096238</v>
      </c>
      <c r="BA1297" s="2">
        <v>19.752881990701798</v>
      </c>
      <c r="BB1297" s="2">
        <v>20.876639836298398</v>
      </c>
      <c r="BC1297" s="2">
        <v>21.206667904623998</v>
      </c>
      <c r="BD1297" s="2">
        <v>20.299280182642899</v>
      </c>
      <c r="BE1297" s="2">
        <v>20.764849064644299</v>
      </c>
      <c r="BF1297" s="2">
        <v>20.803272403660799</v>
      </c>
      <c r="BG1297" s="2">
        <v>20.752679249602</v>
      </c>
      <c r="BH1297" s="2">
        <v>20.2638195910314</v>
      </c>
      <c r="BI1297" s="2">
        <v>20.4373373931193</v>
      </c>
      <c r="BJ1297" s="2">
        <v>20.750039800408899</v>
      </c>
      <c r="BK1297" s="2">
        <v>19.378322779235901</v>
      </c>
      <c r="BL1297" s="2">
        <v>20.215308355059701</v>
      </c>
      <c r="BM1297" s="2">
        <v>20.682888185181199</v>
      </c>
      <c r="BN1297" s="2">
        <v>20.563948640545402</v>
      </c>
      <c r="BO1297" s="2">
        <v>20.0818650145238</v>
      </c>
      <c r="BP1297" s="2">
        <v>20.390021446495702</v>
      </c>
      <c r="BQ1297" s="2">
        <v>20.734737309780499</v>
      </c>
      <c r="BR1297" s="2">
        <v>20.4489238920624</v>
      </c>
      <c r="BS1297" s="2">
        <v>19.827894179562598</v>
      </c>
      <c r="BT1297" s="2">
        <v>19.642053897059402</v>
      </c>
      <c r="BU1297" s="2">
        <v>20.179517234040599</v>
      </c>
      <c r="BV1297" s="2">
        <v>20.759062174648101</v>
      </c>
      <c r="BW1297" s="2">
        <v>20.4276469263405</v>
      </c>
      <c r="BX1297" s="2">
        <v>20.371564392632902</v>
      </c>
      <c r="BY1297" s="2">
        <v>20.7472397702854</v>
      </c>
      <c r="BZ1297" s="2">
        <v>20.605471804457999</v>
      </c>
      <c r="CA1297" s="2">
        <v>20.943494955776501</v>
      </c>
      <c r="CB1297" s="2">
        <v>19.924481059412201</v>
      </c>
      <c r="CC1297" s="2">
        <v>20.307886828194398</v>
      </c>
      <c r="CD1297" s="2">
        <v>20.8398011472188</v>
      </c>
      <c r="CE1297" s="2">
        <v>20.855515798728799</v>
      </c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</row>
    <row r="1298" spans="1:97">
      <c r="A1298" s="2" t="s">
        <v>11733</v>
      </c>
      <c r="B1298" s="2">
        <v>321.09401000000003</v>
      </c>
      <c r="C1298" s="2">
        <v>5.0369999999999999</v>
      </c>
      <c r="D1298" s="2" t="s">
        <v>84</v>
      </c>
      <c r="E1298" s="2" t="s">
        <v>11734</v>
      </c>
      <c r="F1298" s="2" t="s">
        <v>11735</v>
      </c>
      <c r="G1298" s="2">
        <v>256997</v>
      </c>
      <c r="H1298" s="3" t="str">
        <f>HYPERLINK("https://cloud.oebiotech.com/#/lm/network/256997", "https://cloud.oebiotech.com/#/lm/network/256997")</f>
        <v>https://cloud.oebiotech.com/#/lm/network/256997</v>
      </c>
      <c r="I1298" s="2" t="s">
        <v>11736</v>
      </c>
      <c r="J1298" s="2"/>
      <c r="K1298" s="2"/>
      <c r="L1298" s="2">
        <v>53859007</v>
      </c>
      <c r="M1298" s="2"/>
      <c r="N1298" s="2"/>
      <c r="O1298" s="2"/>
      <c r="P1298" s="2"/>
      <c r="Q1298" s="2"/>
      <c r="R1298" s="2"/>
      <c r="S1298" s="2"/>
      <c r="T1298" s="2" t="s">
        <v>11737</v>
      </c>
      <c r="U1298" s="2" t="s">
        <v>11738</v>
      </c>
      <c r="V1298" s="2" t="s">
        <v>845</v>
      </c>
      <c r="W1298" s="2" t="s">
        <v>970</v>
      </c>
      <c r="X1298" s="2" t="s">
        <v>971</v>
      </c>
      <c r="Y1298" s="2" t="s">
        <v>847</v>
      </c>
      <c r="Z1298" s="2" t="s">
        <v>972</v>
      </c>
      <c r="AA1298" s="2" t="s">
        <v>973</v>
      </c>
      <c r="AB1298" s="2" t="s">
        <v>3086</v>
      </c>
      <c r="AC1298" s="2">
        <v>46.39</v>
      </c>
      <c r="AD1298" s="2">
        <v>89.55</v>
      </c>
      <c r="AE1298" s="2">
        <v>0</v>
      </c>
      <c r="AF1298" s="2" t="s">
        <v>11739</v>
      </c>
      <c r="AG1298" s="2" t="s">
        <v>103</v>
      </c>
      <c r="AH1298" s="2" t="s">
        <v>11740</v>
      </c>
      <c r="AI1298" s="2">
        <v>9.0299999999999994</v>
      </c>
      <c r="AJ1298" s="2">
        <v>18.203626932235501</v>
      </c>
      <c r="AK1298" s="2">
        <v>17.998761193199499</v>
      </c>
      <c r="AL1298" s="2">
        <v>18.677433605105801</v>
      </c>
      <c r="AM1298" s="2">
        <v>18.6995605925372</v>
      </c>
      <c r="AN1298" s="2">
        <v>18.619545302151501</v>
      </c>
      <c r="AO1298" s="2">
        <v>18.736516454169301</v>
      </c>
      <c r="AP1298" s="2">
        <v>18.892470184402701</v>
      </c>
      <c r="AQ1298" s="2">
        <v>18.783405176049399</v>
      </c>
      <c r="AR1298" s="2">
        <v>18.610102784116201</v>
      </c>
      <c r="AS1298" s="2">
        <v>18.3071473885106</v>
      </c>
      <c r="AT1298" s="2">
        <v>18.475458593673</v>
      </c>
      <c r="AU1298" s="2">
        <v>18.164741925882101</v>
      </c>
      <c r="AV1298" s="2">
        <v>18.6024426522754</v>
      </c>
      <c r="AW1298" s="2">
        <v>18.345326884334</v>
      </c>
      <c r="AX1298" s="2">
        <v>18.451013371773701</v>
      </c>
      <c r="AY1298" s="2">
        <v>18.586858621786501</v>
      </c>
      <c r="AZ1298" s="2">
        <v>18.312419456170101</v>
      </c>
      <c r="BA1298" s="2">
        <v>18.441442701641201</v>
      </c>
      <c r="BB1298" s="2">
        <v>18.664933913428701</v>
      </c>
      <c r="BC1298" s="2">
        <v>18.285575880194902</v>
      </c>
      <c r="BD1298" s="2">
        <v>18.435146244827401</v>
      </c>
      <c r="BE1298" s="2">
        <v>18.540859638976301</v>
      </c>
      <c r="BF1298" s="2">
        <v>18.375935617686501</v>
      </c>
      <c r="BG1298" s="2">
        <v>18.6324727871181</v>
      </c>
      <c r="BH1298" s="2">
        <v>18.467218254581098</v>
      </c>
      <c r="BI1298" s="2">
        <v>18.5410757372711</v>
      </c>
      <c r="BJ1298" s="2">
        <v>18.382111334660301</v>
      </c>
      <c r="BK1298" s="2">
        <v>18.359928865317102</v>
      </c>
      <c r="BL1298" s="2">
        <v>18.340143750938999</v>
      </c>
      <c r="BM1298" s="2">
        <v>18.465053576323498</v>
      </c>
      <c r="BN1298" s="2">
        <v>18.703849379464501</v>
      </c>
      <c r="BO1298" s="2">
        <v>18.716778006289601</v>
      </c>
      <c r="BP1298" s="2">
        <v>18.613738359007201</v>
      </c>
      <c r="BQ1298" s="2">
        <v>18.697387345893201</v>
      </c>
      <c r="BR1298" s="2">
        <v>18.6191582444355</v>
      </c>
      <c r="BS1298" s="2">
        <v>18.6336036915758</v>
      </c>
      <c r="BT1298" s="2">
        <v>18.5353822350244</v>
      </c>
      <c r="BU1298" s="2">
        <v>18.522143073463699</v>
      </c>
      <c r="BV1298" s="2">
        <v>18.5527685600204</v>
      </c>
      <c r="BW1298" s="2">
        <v>18.544633052876001</v>
      </c>
      <c r="BX1298" s="2">
        <v>18.556084862872702</v>
      </c>
      <c r="BY1298" s="2">
        <v>18.680946172186101</v>
      </c>
      <c r="BZ1298" s="2">
        <v>18.597065363478901</v>
      </c>
      <c r="CA1298" s="2">
        <v>18.974497719843999</v>
      </c>
      <c r="CB1298" s="2">
        <v>18.7372866954423</v>
      </c>
      <c r="CC1298" s="2">
        <v>18.527354859612799</v>
      </c>
      <c r="CD1298" s="2">
        <v>18.623366593775401</v>
      </c>
      <c r="CE1298" s="2">
        <v>18.368923566653599</v>
      </c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</row>
    <row r="1299" spans="1:97">
      <c r="A1299" s="2" t="s">
        <v>11741</v>
      </c>
      <c r="B1299" s="2">
        <v>185.11462</v>
      </c>
      <c r="C1299" s="2">
        <v>5.3849999999999998</v>
      </c>
      <c r="D1299" s="2" t="s">
        <v>84</v>
      </c>
      <c r="E1299" s="2" t="s">
        <v>11742</v>
      </c>
      <c r="F1299" s="2" t="s">
        <v>11743</v>
      </c>
      <c r="G1299" s="2">
        <v>200370</v>
      </c>
      <c r="H1299" s="3" t="str">
        <f>HYPERLINK("https://cloud.oebiotech.com/#/lm/network/200370", "https://cloud.oebiotech.com/#/lm/network/200370")</f>
        <v>https://cloud.oebiotech.com/#/lm/network/200370</v>
      </c>
      <c r="I1299" s="2" t="s">
        <v>11744</v>
      </c>
      <c r="J1299" s="2">
        <v>268694</v>
      </c>
      <c r="K1299" s="2"/>
      <c r="L1299" s="2">
        <v>8177</v>
      </c>
      <c r="M1299" s="2"/>
      <c r="N1299" s="2"/>
      <c r="O1299" s="2"/>
      <c r="P1299" s="2"/>
      <c r="Q1299" s="2"/>
      <c r="R1299" s="2"/>
      <c r="S1299" s="2"/>
      <c r="T1299" s="2" t="s">
        <v>11745</v>
      </c>
      <c r="U1299" s="2" t="s">
        <v>11746</v>
      </c>
      <c r="V1299" s="2" t="s">
        <v>338</v>
      </c>
      <c r="W1299" s="2" t="s">
        <v>339</v>
      </c>
      <c r="X1299" s="2" t="s">
        <v>1663</v>
      </c>
      <c r="Y1299" s="2" t="s">
        <v>341</v>
      </c>
      <c r="Z1299" s="2" t="s">
        <v>341</v>
      </c>
      <c r="AA1299" s="2" t="s">
        <v>1664</v>
      </c>
      <c r="AB1299" s="2" t="s">
        <v>8443</v>
      </c>
      <c r="AC1299" s="2">
        <v>46.38</v>
      </c>
      <c r="AD1299" s="2">
        <v>90.4</v>
      </c>
      <c r="AE1299" s="2">
        <v>0</v>
      </c>
      <c r="AF1299" s="2" t="s">
        <v>11747</v>
      </c>
      <c r="AG1299" s="2" t="s">
        <v>1578</v>
      </c>
      <c r="AH1299" s="2" t="s">
        <v>10941</v>
      </c>
      <c r="AI1299" s="2">
        <v>1.08</v>
      </c>
      <c r="AJ1299" s="2">
        <v>23.557799134483201</v>
      </c>
      <c r="AK1299" s="2">
        <v>23.6471816872575</v>
      </c>
      <c r="AL1299" s="2">
        <v>23.707599206600101</v>
      </c>
      <c r="AM1299" s="2">
        <v>23.496086389619698</v>
      </c>
      <c r="AN1299" s="2">
        <v>23.5637089517259</v>
      </c>
      <c r="AO1299" s="2">
        <v>23.664684268441999</v>
      </c>
      <c r="AP1299" s="2">
        <v>23.4400802137339</v>
      </c>
      <c r="AQ1299" s="2">
        <v>23.3860715209948</v>
      </c>
      <c r="AR1299" s="2">
        <v>22.5157431578643</v>
      </c>
      <c r="AS1299" s="2">
        <v>22.0486437815076</v>
      </c>
      <c r="AT1299" s="2">
        <v>22.010253733687001</v>
      </c>
      <c r="AU1299" s="2">
        <v>23.074650375668899</v>
      </c>
      <c r="AV1299" s="2">
        <v>23.551738055738699</v>
      </c>
      <c r="AW1299" s="2">
        <v>22.041240894371001</v>
      </c>
      <c r="AX1299" s="2">
        <v>24.046989228105701</v>
      </c>
      <c r="AY1299" s="2">
        <v>23.158621650718299</v>
      </c>
      <c r="AZ1299" s="2">
        <v>22.106484657521499</v>
      </c>
      <c r="BA1299" s="2">
        <v>23.444389948756999</v>
      </c>
      <c r="BB1299" s="2">
        <v>22.463661263797299</v>
      </c>
      <c r="BC1299" s="2">
        <v>23.3988746885239</v>
      </c>
      <c r="BD1299" s="2">
        <v>22.9866220697924</v>
      </c>
      <c r="BE1299" s="2">
        <v>23.7505091353481</v>
      </c>
      <c r="BF1299" s="2">
        <v>22.9867580584271</v>
      </c>
      <c r="BG1299" s="2">
        <v>22.633671514823099</v>
      </c>
      <c r="BH1299" s="2">
        <v>23.108571291131</v>
      </c>
      <c r="BI1299" s="2">
        <v>22.225193527551799</v>
      </c>
      <c r="BJ1299" s="2">
        <v>23.1781544543575</v>
      </c>
      <c r="BK1299" s="2">
        <v>23.568404937020698</v>
      </c>
      <c r="BL1299" s="2">
        <v>23.715099765193301</v>
      </c>
      <c r="BM1299" s="2">
        <v>23.5875555030842</v>
      </c>
      <c r="BN1299" s="2">
        <v>23.443204263451101</v>
      </c>
      <c r="BO1299" s="2">
        <v>22.822071729325401</v>
      </c>
      <c r="BP1299" s="2">
        <v>23.958664409244701</v>
      </c>
      <c r="BQ1299" s="2">
        <v>23.263891108005598</v>
      </c>
      <c r="BR1299" s="2">
        <v>21.589209187277099</v>
      </c>
      <c r="BS1299" s="2">
        <v>22.971137601341098</v>
      </c>
      <c r="BT1299" s="2">
        <v>23.696226291566202</v>
      </c>
      <c r="BU1299" s="2">
        <v>23.0716153804869</v>
      </c>
      <c r="BV1299" s="2">
        <v>23.9347656153376</v>
      </c>
      <c r="BW1299" s="2">
        <v>23.620951064900002</v>
      </c>
      <c r="BX1299" s="2">
        <v>23.7191994106214</v>
      </c>
      <c r="BY1299" s="2">
        <v>25.047026615419199</v>
      </c>
      <c r="BZ1299" s="2">
        <v>23.1195339229245</v>
      </c>
      <c r="CA1299" s="2">
        <v>22.7585188523678</v>
      </c>
      <c r="CB1299" s="2">
        <v>22.8094322832162</v>
      </c>
      <c r="CC1299" s="2">
        <v>23.312102649342101</v>
      </c>
      <c r="CD1299" s="2">
        <v>23.095172323085102</v>
      </c>
      <c r="CE1299" s="2">
        <v>23.615100014790698</v>
      </c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</row>
    <row r="1300" spans="1:97">
      <c r="A1300" s="2" t="s">
        <v>11748</v>
      </c>
      <c r="B1300" s="2">
        <v>259.02764000000002</v>
      </c>
      <c r="C1300" s="2">
        <v>6.468</v>
      </c>
      <c r="D1300" s="2" t="s">
        <v>146</v>
      </c>
      <c r="E1300" s="2" t="s">
        <v>11749</v>
      </c>
      <c r="F1300" s="2" t="s">
        <v>11750</v>
      </c>
      <c r="G1300" s="2">
        <v>197316</v>
      </c>
      <c r="H1300" s="3" t="str">
        <f>HYPERLINK("https://cloud.oebiotech.com/#/lm/network/197316", "https://cloud.oebiotech.com/#/lm/network/197316")</f>
        <v>https://cloud.oebiotech.com/#/lm/network/197316</v>
      </c>
      <c r="I1300" s="2" t="s">
        <v>11751</v>
      </c>
      <c r="J1300" s="2"/>
      <c r="K1300" s="2"/>
      <c r="L1300" s="2">
        <v>122198220</v>
      </c>
      <c r="M1300" s="2"/>
      <c r="N1300" s="2"/>
      <c r="O1300" s="2"/>
      <c r="P1300" s="2">
        <v>133707</v>
      </c>
      <c r="Q1300" s="2"/>
      <c r="R1300" s="2"/>
      <c r="S1300" s="2"/>
      <c r="T1300" s="2" t="s">
        <v>11752</v>
      </c>
      <c r="U1300" s="2" t="s">
        <v>11753</v>
      </c>
      <c r="V1300" s="2" t="s">
        <v>115</v>
      </c>
      <c r="W1300" s="2" t="s">
        <v>613</v>
      </c>
      <c r="X1300" s="2" t="s">
        <v>614</v>
      </c>
      <c r="Y1300" s="2" t="s">
        <v>118</v>
      </c>
      <c r="Z1300" s="2" t="s">
        <v>615</v>
      </c>
      <c r="AA1300" s="2" t="s">
        <v>616</v>
      </c>
      <c r="AB1300" s="2" t="s">
        <v>5118</v>
      </c>
      <c r="AC1300" s="2">
        <v>46.35</v>
      </c>
      <c r="AD1300" s="2">
        <v>90.42</v>
      </c>
      <c r="AE1300" s="2">
        <v>59.94</v>
      </c>
      <c r="AF1300" s="2" t="s">
        <v>11754</v>
      </c>
      <c r="AG1300" s="2" t="s">
        <v>11755</v>
      </c>
      <c r="AH1300" s="2" t="s">
        <v>11756</v>
      </c>
      <c r="AI1300" s="2">
        <v>2.3199999999999998</v>
      </c>
      <c r="AJ1300" s="2">
        <v>17.148400810893602</v>
      </c>
      <c r="AK1300" s="2">
        <v>17.414856644746401</v>
      </c>
      <c r="AL1300" s="2">
        <v>17.708402742739601</v>
      </c>
      <c r="AM1300" s="2">
        <v>17.2815508351323</v>
      </c>
      <c r="AN1300" s="2">
        <v>17.580579510242899</v>
      </c>
      <c r="AO1300" s="2">
        <v>17.467036074309899</v>
      </c>
      <c r="AP1300" s="2">
        <v>17.1260862470352</v>
      </c>
      <c r="AQ1300" s="2">
        <v>17.664210454897301</v>
      </c>
      <c r="AR1300" s="2">
        <v>11.2492616265998</v>
      </c>
      <c r="AS1300" s="2">
        <v>13.8693962398614</v>
      </c>
      <c r="AT1300" s="2">
        <v>9.6233145402724691</v>
      </c>
      <c r="AU1300" s="2">
        <v>11.418543113642301</v>
      </c>
      <c r="AV1300" s="2">
        <v>13.447074183501099</v>
      </c>
      <c r="AW1300" s="2">
        <v>15.368561707376101</v>
      </c>
      <c r="AX1300" s="2">
        <v>19.241385106061699</v>
      </c>
      <c r="AY1300" s="2">
        <v>19.480987746528001</v>
      </c>
      <c r="AZ1300" s="2">
        <v>9.6233145402724691</v>
      </c>
      <c r="BA1300" s="2">
        <v>20.669204500253201</v>
      </c>
      <c r="BB1300" s="2">
        <v>9.6233145402724691</v>
      </c>
      <c r="BC1300" s="2">
        <v>11.3409572025793</v>
      </c>
      <c r="BD1300" s="2">
        <v>18.933490343566099</v>
      </c>
      <c r="BE1300" s="2">
        <v>21.318666812457099</v>
      </c>
      <c r="BF1300" s="2">
        <v>11.541600018399199</v>
      </c>
      <c r="BG1300" s="2">
        <v>11.5419919702851</v>
      </c>
      <c r="BH1300" s="2">
        <v>17.662155906938199</v>
      </c>
      <c r="BI1300" s="2">
        <v>14.999424445016899</v>
      </c>
      <c r="BJ1300" s="2">
        <v>17.366661416045002</v>
      </c>
      <c r="BK1300" s="2">
        <v>18.008950771356002</v>
      </c>
      <c r="BL1300" s="2">
        <v>13.9975102958929</v>
      </c>
      <c r="BM1300" s="2">
        <v>18.413586860152702</v>
      </c>
      <c r="BN1300" s="2">
        <v>17.615756349956701</v>
      </c>
      <c r="BO1300" s="2">
        <v>9.6233145402724691</v>
      </c>
      <c r="BP1300" s="2">
        <v>9.6233145402724691</v>
      </c>
      <c r="BQ1300" s="2">
        <v>9.6233145402724691</v>
      </c>
      <c r="BR1300" s="2">
        <v>15.8668104442984</v>
      </c>
      <c r="BS1300" s="2">
        <v>18.8569790051132</v>
      </c>
      <c r="BT1300" s="2">
        <v>9.6233145402724691</v>
      </c>
      <c r="BU1300" s="2">
        <v>9.6233145402724691</v>
      </c>
      <c r="BV1300" s="2">
        <v>15.115831291007799</v>
      </c>
      <c r="BW1300" s="2">
        <v>9.6233145402724691</v>
      </c>
      <c r="BX1300" s="2">
        <v>17.856352878949899</v>
      </c>
      <c r="BY1300" s="2">
        <v>15.0923656973383</v>
      </c>
      <c r="BZ1300" s="2">
        <v>9.6233145402724691</v>
      </c>
      <c r="CA1300" s="2">
        <v>9.6233145402724691</v>
      </c>
      <c r="CB1300" s="2">
        <v>18.732904759127901</v>
      </c>
      <c r="CC1300" s="2">
        <v>19.1465395158794</v>
      </c>
      <c r="CD1300" s="2">
        <v>13.8730643553549</v>
      </c>
      <c r="CE1300" s="2">
        <v>9.6233145402724691</v>
      </c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</row>
    <row r="1301" spans="1:97">
      <c r="A1301" s="2" t="s">
        <v>11757</v>
      </c>
      <c r="B1301" s="2">
        <v>413.04358999999999</v>
      </c>
      <c r="C1301" s="2">
        <v>4.9530000000000003</v>
      </c>
      <c r="D1301" s="2" t="s">
        <v>146</v>
      </c>
      <c r="E1301" s="2" t="s">
        <v>11758</v>
      </c>
      <c r="F1301" s="2" t="s">
        <v>11759</v>
      </c>
      <c r="G1301" s="2">
        <v>202201</v>
      </c>
      <c r="H1301" s="3" t="str">
        <f>HYPERLINK("https://cloud.oebiotech.com/#/lm/network/202201", "https://cloud.oebiotech.com/#/lm/network/202201")</f>
        <v>https://cloud.oebiotech.com/#/lm/network/202201</v>
      </c>
      <c r="I1301" s="2" t="s">
        <v>11760</v>
      </c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 t="s">
        <v>11761</v>
      </c>
      <c r="U1301" s="2" t="s">
        <v>11762</v>
      </c>
      <c r="V1301" s="2" t="s">
        <v>845</v>
      </c>
      <c r="W1301" s="2" t="s">
        <v>846</v>
      </c>
      <c r="X1301" s="2" t="s">
        <v>375</v>
      </c>
      <c r="Y1301" s="2" t="s">
        <v>847</v>
      </c>
      <c r="Z1301" s="2" t="s">
        <v>848</v>
      </c>
      <c r="AA1301" s="2"/>
      <c r="AB1301" s="2" t="s">
        <v>5118</v>
      </c>
      <c r="AC1301" s="2">
        <v>46.35</v>
      </c>
      <c r="AD1301" s="2">
        <v>94.38</v>
      </c>
      <c r="AE1301" s="2">
        <v>46.71</v>
      </c>
      <c r="AF1301" s="2" t="s">
        <v>11763</v>
      </c>
      <c r="AG1301" s="2" t="s">
        <v>194</v>
      </c>
      <c r="AH1301" s="2" t="s">
        <v>11764</v>
      </c>
      <c r="AI1301" s="2">
        <v>-0.97</v>
      </c>
      <c r="AJ1301" s="2">
        <v>20.382553031956402</v>
      </c>
      <c r="AK1301" s="2">
        <v>20.375992954662099</v>
      </c>
      <c r="AL1301" s="2">
        <v>20.3398649178224</v>
      </c>
      <c r="AM1301" s="2">
        <v>20.528420342990898</v>
      </c>
      <c r="AN1301" s="2">
        <v>20.6386844179356</v>
      </c>
      <c r="AO1301" s="2">
        <v>20.546440721044799</v>
      </c>
      <c r="AP1301" s="2">
        <v>20.216913753994799</v>
      </c>
      <c r="AQ1301" s="2">
        <v>20.4228872899183</v>
      </c>
      <c r="AR1301" s="2">
        <v>19.288948397368699</v>
      </c>
      <c r="AS1301" s="2">
        <v>18.968430554138699</v>
      </c>
      <c r="AT1301" s="2">
        <v>19.517089419617999</v>
      </c>
      <c r="AU1301" s="2">
        <v>20.947628413299601</v>
      </c>
      <c r="AV1301" s="2">
        <v>19.829259959291701</v>
      </c>
      <c r="AW1301" s="2">
        <v>19.931219077402702</v>
      </c>
      <c r="AX1301" s="2">
        <v>18.910874017398299</v>
      </c>
      <c r="AY1301" s="2">
        <v>18.599557818373398</v>
      </c>
      <c r="AZ1301" s="2">
        <v>19.426627844216</v>
      </c>
      <c r="BA1301" s="2">
        <v>21.293709533804101</v>
      </c>
      <c r="BB1301" s="2">
        <v>21.227387155288799</v>
      </c>
      <c r="BC1301" s="2">
        <v>20.907015936623001</v>
      </c>
      <c r="BD1301" s="2">
        <v>21.044402217738199</v>
      </c>
      <c r="BE1301" s="2">
        <v>19.805734993807199</v>
      </c>
      <c r="BF1301" s="2">
        <v>19.999923885350199</v>
      </c>
      <c r="BG1301" s="2">
        <v>20.212686847751101</v>
      </c>
      <c r="BH1301" s="2">
        <v>21.092596162024002</v>
      </c>
      <c r="BI1301" s="2">
        <v>19.063143488350899</v>
      </c>
      <c r="BJ1301" s="2">
        <v>21.380563704771099</v>
      </c>
      <c r="BK1301" s="2">
        <v>21.563104747862798</v>
      </c>
      <c r="BL1301" s="2">
        <v>20.4891364858393</v>
      </c>
      <c r="BM1301" s="2">
        <v>20.227904282989599</v>
      </c>
      <c r="BN1301" s="2">
        <v>20.646008895375498</v>
      </c>
      <c r="BO1301" s="2">
        <v>20.999604089774198</v>
      </c>
      <c r="BP1301" s="2">
        <v>19.112466767815601</v>
      </c>
      <c r="BQ1301" s="2">
        <v>19.467048416794299</v>
      </c>
      <c r="BR1301" s="2">
        <v>19.029209271225699</v>
      </c>
      <c r="BS1301" s="2">
        <v>19.4143544151231</v>
      </c>
      <c r="BT1301" s="2">
        <v>21.773662326316501</v>
      </c>
      <c r="BU1301" s="2">
        <v>21.24604441971</v>
      </c>
      <c r="BV1301" s="2">
        <v>20.813225781355399</v>
      </c>
      <c r="BW1301" s="2">
        <v>20.0488148041984</v>
      </c>
      <c r="BX1301" s="2">
        <v>20.907434321539402</v>
      </c>
      <c r="BY1301" s="2">
        <v>20.0477585417085</v>
      </c>
      <c r="BZ1301" s="2">
        <v>19.501749442900799</v>
      </c>
      <c r="CA1301" s="2">
        <v>19.941365436864999</v>
      </c>
      <c r="CB1301" s="2">
        <v>20.102873345491702</v>
      </c>
      <c r="CC1301" s="2">
        <v>19.084923895926298</v>
      </c>
      <c r="CD1301" s="2">
        <v>20.950128171434901</v>
      </c>
      <c r="CE1301" s="2">
        <v>21.428257196940699</v>
      </c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</row>
    <row r="1302" spans="1:97">
      <c r="A1302" s="2" t="s">
        <v>11765</v>
      </c>
      <c r="B1302" s="2">
        <v>332.24256000000003</v>
      </c>
      <c r="C1302" s="2">
        <v>5.8310000000000004</v>
      </c>
      <c r="D1302" s="2" t="s">
        <v>84</v>
      </c>
      <c r="E1302" s="2" t="s">
        <v>11766</v>
      </c>
      <c r="F1302" s="2" t="s">
        <v>11767</v>
      </c>
      <c r="G1302" s="2">
        <v>197616</v>
      </c>
      <c r="H1302" s="3" t="str">
        <f>HYPERLINK("https://cloud.oebiotech.com/#/lm/network/197616", "https://cloud.oebiotech.com/#/lm/network/197616")</f>
        <v>https://cloud.oebiotech.com/#/lm/network/197616</v>
      </c>
      <c r="I1302" s="2" t="s">
        <v>11768</v>
      </c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 t="s">
        <v>11769</v>
      </c>
      <c r="U1302" s="2" t="s">
        <v>11770</v>
      </c>
      <c r="V1302" s="2" t="s">
        <v>95</v>
      </c>
      <c r="W1302" s="2" t="s">
        <v>96</v>
      </c>
      <c r="X1302" s="2" t="s">
        <v>97</v>
      </c>
      <c r="Y1302" s="2" t="s">
        <v>98</v>
      </c>
      <c r="Z1302" s="2" t="s">
        <v>99</v>
      </c>
      <c r="AA1302" s="2" t="s">
        <v>100</v>
      </c>
      <c r="AB1302" s="2" t="s">
        <v>8443</v>
      </c>
      <c r="AC1302" s="2">
        <v>46.34</v>
      </c>
      <c r="AD1302" s="2">
        <v>98.22</v>
      </c>
      <c r="AE1302" s="2">
        <v>0</v>
      </c>
      <c r="AF1302" s="2" t="s">
        <v>11771</v>
      </c>
      <c r="AG1302" s="2" t="s">
        <v>103</v>
      </c>
      <c r="AH1302" s="2" t="s">
        <v>4952</v>
      </c>
      <c r="AI1302" s="2">
        <v>1.81</v>
      </c>
      <c r="AJ1302" s="2">
        <v>20.813741186244201</v>
      </c>
      <c r="AK1302" s="2">
        <v>20.985381281363399</v>
      </c>
      <c r="AL1302" s="2">
        <v>20.709739635163601</v>
      </c>
      <c r="AM1302" s="2">
        <v>20.744497998479002</v>
      </c>
      <c r="AN1302" s="2">
        <v>20.7919412368556</v>
      </c>
      <c r="AO1302" s="2">
        <v>20.595293417962601</v>
      </c>
      <c r="AP1302" s="2">
        <v>19.987659652356299</v>
      </c>
      <c r="AQ1302" s="2">
        <v>20.7926351501164</v>
      </c>
      <c r="AR1302" s="2">
        <v>18.870363003636498</v>
      </c>
      <c r="AS1302" s="2">
        <v>19.965744159148301</v>
      </c>
      <c r="AT1302" s="2">
        <v>20.430809434471598</v>
      </c>
      <c r="AU1302" s="2">
        <v>18.643489270279002</v>
      </c>
      <c r="AV1302" s="2">
        <v>19.0342860599016</v>
      </c>
      <c r="AW1302" s="2">
        <v>19.8444890300769</v>
      </c>
      <c r="AX1302" s="2">
        <v>19.9243576036611</v>
      </c>
      <c r="AY1302" s="2">
        <v>20.4752739871318</v>
      </c>
      <c r="AZ1302" s="2">
        <v>15.6596099221101</v>
      </c>
      <c r="BA1302" s="2">
        <v>21.215054421907801</v>
      </c>
      <c r="BB1302" s="2">
        <v>21.1440322685268</v>
      </c>
      <c r="BC1302" s="2">
        <v>21.253245261353499</v>
      </c>
      <c r="BD1302" s="2">
        <v>17.997782389469201</v>
      </c>
      <c r="BE1302" s="2">
        <v>20.593242421096999</v>
      </c>
      <c r="BF1302" s="2">
        <v>20.371114349759701</v>
      </c>
      <c r="BG1302" s="2">
        <v>20.525892509123899</v>
      </c>
      <c r="BH1302" s="2">
        <v>19.884882611399998</v>
      </c>
      <c r="BI1302" s="2">
        <v>21.027362827048002</v>
      </c>
      <c r="BJ1302" s="2">
        <v>20.266464314469701</v>
      </c>
      <c r="BK1302" s="2">
        <v>18.3216269149511</v>
      </c>
      <c r="BL1302" s="2">
        <v>21.340993901617299</v>
      </c>
      <c r="BM1302" s="2">
        <v>20.0980586792172</v>
      </c>
      <c r="BN1302" s="2">
        <v>19.688060396434398</v>
      </c>
      <c r="BO1302" s="2">
        <v>20.391268242027</v>
      </c>
      <c r="BP1302" s="2">
        <v>20.567328801009602</v>
      </c>
      <c r="BQ1302" s="2">
        <v>21.565094940937801</v>
      </c>
      <c r="BR1302" s="2">
        <v>21.043573846248599</v>
      </c>
      <c r="BS1302" s="2">
        <v>19.0382081859849</v>
      </c>
      <c r="BT1302" s="2">
        <v>20.769274947654601</v>
      </c>
      <c r="BU1302" s="2">
        <v>21.039561802432399</v>
      </c>
      <c r="BV1302" s="2">
        <v>20.3546835299191</v>
      </c>
      <c r="BW1302" s="2">
        <v>19.7131459528458</v>
      </c>
      <c r="BX1302" s="2">
        <v>20.014109932902699</v>
      </c>
      <c r="BY1302" s="2">
        <v>18.761133052060799</v>
      </c>
      <c r="BZ1302" s="2">
        <v>21.3747745202595</v>
      </c>
      <c r="CA1302" s="2">
        <v>20.664100899351201</v>
      </c>
      <c r="CB1302" s="2">
        <v>19.914621819493998</v>
      </c>
      <c r="CC1302" s="2">
        <v>21.601572579382701</v>
      </c>
      <c r="CD1302" s="2">
        <v>18.8982840625679</v>
      </c>
      <c r="CE1302" s="2">
        <v>21.1189469768387</v>
      </c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</row>
    <row r="1303" spans="1:97">
      <c r="A1303" s="2" t="s">
        <v>11772</v>
      </c>
      <c r="B1303" s="2">
        <v>173.11058</v>
      </c>
      <c r="C1303" s="2">
        <v>7.2060000000000004</v>
      </c>
      <c r="D1303" s="2" t="s">
        <v>84</v>
      </c>
      <c r="E1303" s="2" t="s">
        <v>11773</v>
      </c>
      <c r="F1303" s="2" t="s">
        <v>11774</v>
      </c>
      <c r="G1303" s="2">
        <v>63297</v>
      </c>
      <c r="H1303" s="3" t="str">
        <f>HYPERLINK("https://cloud.oebiotech.com/#/lm/network/63297", "https://cloud.oebiotech.com/#/lm/network/63297")</f>
        <v>https://cloud.oebiotech.com/#/lm/network/63297</v>
      </c>
      <c r="I1303" s="2" t="s">
        <v>11775</v>
      </c>
      <c r="J1303" s="2">
        <v>94605</v>
      </c>
      <c r="K1303" s="2"/>
      <c r="L1303" s="2">
        <v>93597</v>
      </c>
      <c r="M1303" s="2"/>
      <c r="N1303" s="2"/>
      <c r="O1303" s="2"/>
      <c r="P1303" s="2"/>
      <c r="Q1303" s="2"/>
      <c r="R1303" s="2"/>
      <c r="S1303" s="2" t="s">
        <v>11776</v>
      </c>
      <c r="T1303" s="2" t="s">
        <v>11777</v>
      </c>
      <c r="U1303" s="2" t="s">
        <v>11778</v>
      </c>
      <c r="V1303" s="2" t="s">
        <v>553</v>
      </c>
      <c r="W1303" s="2" t="s">
        <v>554</v>
      </c>
      <c r="X1303" s="2" t="s">
        <v>10017</v>
      </c>
      <c r="Y1303" s="2" t="s">
        <v>556</v>
      </c>
      <c r="Z1303" s="2" t="s">
        <v>557</v>
      </c>
      <c r="AA1303" s="2" t="s">
        <v>10018</v>
      </c>
      <c r="AB1303" s="2" t="s">
        <v>8443</v>
      </c>
      <c r="AC1303" s="2">
        <v>46.33</v>
      </c>
      <c r="AD1303" s="2">
        <v>91.88</v>
      </c>
      <c r="AE1303" s="2">
        <v>0</v>
      </c>
      <c r="AF1303" s="2" t="s">
        <v>5614</v>
      </c>
      <c r="AG1303" s="2" t="s">
        <v>132</v>
      </c>
      <c r="AH1303" s="2" t="s">
        <v>11779</v>
      </c>
      <c r="AI1303" s="2">
        <v>0.57999999999999996</v>
      </c>
      <c r="AJ1303" s="2">
        <v>16.783831846983698</v>
      </c>
      <c r="AK1303" s="2">
        <v>17.2145104693729</v>
      </c>
      <c r="AL1303" s="2">
        <v>17.2633056084473</v>
      </c>
      <c r="AM1303" s="2">
        <v>16.821035756974101</v>
      </c>
      <c r="AN1303" s="2">
        <v>16.979250676019699</v>
      </c>
      <c r="AO1303" s="2">
        <v>16.9583021250894</v>
      </c>
      <c r="AP1303" s="2">
        <v>16.645942502567902</v>
      </c>
      <c r="AQ1303" s="2">
        <v>16.655855052706499</v>
      </c>
      <c r="AR1303" s="2">
        <v>9.6233145402724691</v>
      </c>
      <c r="AS1303" s="2">
        <v>9.6233145402724691</v>
      </c>
      <c r="AT1303" s="2">
        <v>17.215577836803501</v>
      </c>
      <c r="AU1303" s="2">
        <v>17.514842552310199</v>
      </c>
      <c r="AV1303" s="2">
        <v>15.9383779222809</v>
      </c>
      <c r="AW1303" s="2">
        <v>15.311578751483101</v>
      </c>
      <c r="AX1303" s="2">
        <v>17.566009131685799</v>
      </c>
      <c r="AY1303" s="2">
        <v>16.422152500288998</v>
      </c>
      <c r="AZ1303" s="2">
        <v>17.067041448490102</v>
      </c>
      <c r="BA1303" s="2">
        <v>16.4588669948124</v>
      </c>
      <c r="BB1303" s="2">
        <v>17.964463219552599</v>
      </c>
      <c r="BC1303" s="2">
        <v>19.639556538510401</v>
      </c>
      <c r="BD1303" s="2">
        <v>14.823620505540701</v>
      </c>
      <c r="BE1303" s="2">
        <v>17.519724468417301</v>
      </c>
      <c r="BF1303" s="2">
        <v>18.163903178780998</v>
      </c>
      <c r="BG1303" s="2">
        <v>17.426634538799899</v>
      </c>
      <c r="BH1303" s="2">
        <v>16.885661463624</v>
      </c>
      <c r="BI1303" s="2">
        <v>17.510210860835201</v>
      </c>
      <c r="BJ1303" s="2">
        <v>9.6233145402724691</v>
      </c>
      <c r="BK1303" s="2">
        <v>16.8704744155316</v>
      </c>
      <c r="BL1303" s="2">
        <v>16.6667016777272</v>
      </c>
      <c r="BM1303" s="2">
        <v>16.126669590623401</v>
      </c>
      <c r="BN1303" s="2">
        <v>16.011021915390199</v>
      </c>
      <c r="BO1303" s="2">
        <v>15.339327056399201</v>
      </c>
      <c r="BP1303" s="2">
        <v>16.3082440941551</v>
      </c>
      <c r="BQ1303" s="2">
        <v>16.489941072965401</v>
      </c>
      <c r="BR1303" s="2">
        <v>17.5605268923062</v>
      </c>
      <c r="BS1303" s="2">
        <v>16.5253256552426</v>
      </c>
      <c r="BT1303" s="2">
        <v>9.6233145402724691</v>
      </c>
      <c r="BU1303" s="2">
        <v>18.1766432031325</v>
      </c>
      <c r="BV1303" s="2">
        <v>15.1723857055135</v>
      </c>
      <c r="BW1303" s="2">
        <v>16.786230950689902</v>
      </c>
      <c r="BX1303" s="2">
        <v>15.548684963907901</v>
      </c>
      <c r="BY1303" s="2">
        <v>17.433233656591401</v>
      </c>
      <c r="BZ1303" s="2">
        <v>17.155829973957399</v>
      </c>
      <c r="CA1303" s="2">
        <v>9.6233145402724691</v>
      </c>
      <c r="CB1303" s="2">
        <v>9.6233145402724691</v>
      </c>
      <c r="CC1303" s="2">
        <v>17.987949273804201</v>
      </c>
      <c r="CD1303" s="2">
        <v>14.879561233796</v>
      </c>
      <c r="CE1303" s="2">
        <v>17.654663087196599</v>
      </c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</row>
    <row r="1304" spans="1:97">
      <c r="A1304" s="2" t="s">
        <v>11780</v>
      </c>
      <c r="B1304" s="2">
        <v>402.31024000000002</v>
      </c>
      <c r="C1304" s="2">
        <v>10.035</v>
      </c>
      <c r="D1304" s="2" t="s">
        <v>84</v>
      </c>
      <c r="E1304" s="2" t="s">
        <v>11781</v>
      </c>
      <c r="F1304" s="2" t="s">
        <v>11782</v>
      </c>
      <c r="G1304" s="2">
        <v>8710</v>
      </c>
      <c r="H1304" s="3" t="str">
        <f>HYPERLINK("https://cloud.oebiotech.com/#/lm/network/8710", "https://cloud.oebiotech.com/#/lm/network/8710")</f>
        <v>https://cloud.oebiotech.com/#/lm/network/8710</v>
      </c>
      <c r="I1304" s="2"/>
      <c r="J1304" s="2">
        <v>75515</v>
      </c>
      <c r="K1304" s="2" t="s">
        <v>11783</v>
      </c>
      <c r="L1304" s="2">
        <v>52922077</v>
      </c>
      <c r="M1304" s="2"/>
      <c r="N1304" s="2"/>
      <c r="O1304" s="2"/>
      <c r="P1304" s="2"/>
      <c r="Q1304" s="2"/>
      <c r="R1304" s="2"/>
      <c r="S1304" s="2"/>
      <c r="T1304" s="2" t="s">
        <v>11784</v>
      </c>
      <c r="U1304" s="2" t="s">
        <v>11785</v>
      </c>
      <c r="V1304" s="2" t="s">
        <v>115</v>
      </c>
      <c r="W1304" s="2" t="s">
        <v>116</v>
      </c>
      <c r="X1304" s="2" t="s">
        <v>117</v>
      </c>
      <c r="Y1304" s="2" t="s">
        <v>118</v>
      </c>
      <c r="Z1304" s="2" t="s">
        <v>119</v>
      </c>
      <c r="AA1304" s="2" t="s">
        <v>120</v>
      </c>
      <c r="AB1304" s="2" t="s">
        <v>3086</v>
      </c>
      <c r="AC1304" s="2">
        <v>46.31</v>
      </c>
      <c r="AD1304" s="2">
        <v>83.67</v>
      </c>
      <c r="AE1304" s="2">
        <v>0</v>
      </c>
      <c r="AF1304" s="2" t="s">
        <v>5614</v>
      </c>
      <c r="AG1304" s="2" t="s">
        <v>1088</v>
      </c>
      <c r="AH1304" s="2" t="s">
        <v>11786</v>
      </c>
      <c r="AI1304" s="2">
        <v>4.72</v>
      </c>
      <c r="AJ1304" s="2">
        <v>20.756431293091701</v>
      </c>
      <c r="AK1304" s="2">
        <v>21.0655138524133</v>
      </c>
      <c r="AL1304" s="2">
        <v>21.0349148851259</v>
      </c>
      <c r="AM1304" s="2">
        <v>21.6590319971775</v>
      </c>
      <c r="AN1304" s="2">
        <v>21.495634828384901</v>
      </c>
      <c r="AO1304" s="2">
        <v>21.614542889141099</v>
      </c>
      <c r="AP1304" s="2">
        <v>20.808051277812499</v>
      </c>
      <c r="AQ1304" s="2">
        <v>20.932794670768502</v>
      </c>
      <c r="AR1304" s="2">
        <v>21.316545957402599</v>
      </c>
      <c r="AS1304" s="2">
        <v>21.383698065329298</v>
      </c>
      <c r="AT1304" s="2">
        <v>20.723989573874899</v>
      </c>
      <c r="AU1304" s="2">
        <v>21.162628120729401</v>
      </c>
      <c r="AV1304" s="2">
        <v>21.389551472404101</v>
      </c>
      <c r="AW1304" s="2">
        <v>19.983491762296602</v>
      </c>
      <c r="AX1304" s="2">
        <v>20.963732092525401</v>
      </c>
      <c r="AY1304" s="2">
        <v>21.509217359105001</v>
      </c>
      <c r="AZ1304" s="2">
        <v>21.465793621428201</v>
      </c>
      <c r="BA1304" s="2">
        <v>20.910595537644099</v>
      </c>
      <c r="BB1304" s="2">
        <v>20.933660719503202</v>
      </c>
      <c r="BC1304" s="2">
        <v>21.3086051264955</v>
      </c>
      <c r="BD1304" s="2">
        <v>20.7095922501918</v>
      </c>
      <c r="BE1304" s="2">
        <v>21.151384362580501</v>
      </c>
      <c r="BF1304" s="2">
        <v>21.568745102616401</v>
      </c>
      <c r="BG1304" s="2">
        <v>20.738176435382201</v>
      </c>
      <c r="BH1304" s="2">
        <v>20.685926635651001</v>
      </c>
      <c r="BI1304" s="2">
        <v>20.955791753535799</v>
      </c>
      <c r="BJ1304" s="2">
        <v>21.3755123424218</v>
      </c>
      <c r="BK1304" s="2">
        <v>20.802720717404402</v>
      </c>
      <c r="BL1304" s="2">
        <v>20.2647321364866</v>
      </c>
      <c r="BM1304" s="2">
        <v>21.327540879595499</v>
      </c>
      <c r="BN1304" s="2">
        <v>20.803197051022099</v>
      </c>
      <c r="BO1304" s="2">
        <v>21.461176231039101</v>
      </c>
      <c r="BP1304" s="2">
        <v>21.677836286839899</v>
      </c>
      <c r="BQ1304" s="2">
        <v>19.9053728132915</v>
      </c>
      <c r="BR1304" s="2">
        <v>20.931964123713801</v>
      </c>
      <c r="BS1304" s="2">
        <v>21.0117868156632</v>
      </c>
      <c r="BT1304" s="2">
        <v>19.971819760972298</v>
      </c>
      <c r="BU1304" s="2">
        <v>20.958635631764501</v>
      </c>
      <c r="BV1304" s="2">
        <v>20.553090096657598</v>
      </c>
      <c r="BW1304" s="2">
        <v>21.267869515108899</v>
      </c>
      <c r="BX1304" s="2">
        <v>21.6338188872598</v>
      </c>
      <c r="BY1304" s="2">
        <v>19.442705201046799</v>
      </c>
      <c r="BZ1304" s="2">
        <v>21.545895955524198</v>
      </c>
      <c r="CA1304" s="2">
        <v>21.808088297648101</v>
      </c>
      <c r="CB1304" s="2">
        <v>21.480282214193199</v>
      </c>
      <c r="CC1304" s="2">
        <v>22.371256133410899</v>
      </c>
      <c r="CD1304" s="2">
        <v>22.318871586732001</v>
      </c>
      <c r="CE1304" s="2">
        <v>22.0657261145546</v>
      </c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</row>
    <row r="1305" spans="1:97">
      <c r="A1305" s="2" t="s">
        <v>11787</v>
      </c>
      <c r="B1305" s="2">
        <v>619.43854999999996</v>
      </c>
      <c r="C1305" s="2">
        <v>12.423999999999999</v>
      </c>
      <c r="D1305" s="2" t="s">
        <v>84</v>
      </c>
      <c r="E1305" s="2" t="s">
        <v>11788</v>
      </c>
      <c r="F1305" s="2" t="s">
        <v>11789</v>
      </c>
      <c r="G1305" s="2">
        <v>37292</v>
      </c>
      <c r="H1305" s="3" t="str">
        <f>HYPERLINK("https://cloud.oebiotech.com/#/lm/network/37292", "https://cloud.oebiotech.com/#/lm/network/37292")</f>
        <v>https://cloud.oebiotech.com/#/lm/network/37292</v>
      </c>
      <c r="I1305" s="2"/>
      <c r="J1305" s="2"/>
      <c r="K1305" s="2" t="s">
        <v>11790</v>
      </c>
      <c r="L1305" s="2">
        <v>102507352</v>
      </c>
      <c r="M1305" s="2"/>
      <c r="N1305" s="2"/>
      <c r="O1305" s="2"/>
      <c r="P1305" s="2"/>
      <c r="Q1305" s="2"/>
      <c r="R1305" s="2"/>
      <c r="S1305" s="2"/>
      <c r="T1305" s="2" t="s">
        <v>11791</v>
      </c>
      <c r="U1305" s="2" t="s">
        <v>11792</v>
      </c>
      <c r="V1305" s="2" t="s">
        <v>95</v>
      </c>
      <c r="W1305" s="2" t="s">
        <v>180</v>
      </c>
      <c r="X1305" s="2" t="s">
        <v>9478</v>
      </c>
      <c r="Y1305" s="2" t="s">
        <v>98</v>
      </c>
      <c r="Z1305" s="2" t="s">
        <v>182</v>
      </c>
      <c r="AA1305" s="2" t="s">
        <v>9479</v>
      </c>
      <c r="AB1305" s="2" t="s">
        <v>3086</v>
      </c>
      <c r="AC1305" s="2">
        <v>46.31</v>
      </c>
      <c r="AD1305" s="2">
        <v>71.55</v>
      </c>
      <c r="AE1305" s="2">
        <v>0</v>
      </c>
      <c r="AF1305" s="2" t="s">
        <v>5614</v>
      </c>
      <c r="AG1305" s="2" t="s">
        <v>103</v>
      </c>
      <c r="AH1305" s="2" t="s">
        <v>11793</v>
      </c>
      <c r="AI1305" s="2">
        <v>-4.5199999999999996</v>
      </c>
      <c r="AJ1305" s="2">
        <v>19.225967303264198</v>
      </c>
      <c r="AK1305" s="2">
        <v>19.083681101464101</v>
      </c>
      <c r="AL1305" s="2">
        <v>18.694961106043301</v>
      </c>
      <c r="AM1305" s="2">
        <v>18.853095298062499</v>
      </c>
      <c r="AN1305" s="2">
        <v>19.189793341193901</v>
      </c>
      <c r="AO1305" s="2">
        <v>19.479081751280098</v>
      </c>
      <c r="AP1305" s="2">
        <v>18.8157801674975</v>
      </c>
      <c r="AQ1305" s="2">
        <v>18.753293052072902</v>
      </c>
      <c r="AR1305" s="2">
        <v>19.126449036833801</v>
      </c>
      <c r="AS1305" s="2">
        <v>19.1984125468746</v>
      </c>
      <c r="AT1305" s="2">
        <v>19.405463433600602</v>
      </c>
      <c r="AU1305" s="2">
        <v>19.476928506678998</v>
      </c>
      <c r="AV1305" s="2">
        <v>18.960339939247199</v>
      </c>
      <c r="AW1305" s="2">
        <v>19.503298572385599</v>
      </c>
      <c r="AX1305" s="2">
        <v>19.440850416183501</v>
      </c>
      <c r="AY1305" s="2">
        <v>19.1083676846287</v>
      </c>
      <c r="AZ1305" s="2">
        <v>19.327621452889002</v>
      </c>
      <c r="BA1305" s="2">
        <v>19.2177524904492</v>
      </c>
      <c r="BB1305" s="2">
        <v>19.4369367626851</v>
      </c>
      <c r="BC1305" s="2">
        <v>19.340751666367201</v>
      </c>
      <c r="BD1305" s="2">
        <v>18.9046441758694</v>
      </c>
      <c r="BE1305" s="2">
        <v>19.379405613658701</v>
      </c>
      <c r="BF1305" s="2">
        <v>18.920403713845801</v>
      </c>
      <c r="BG1305" s="2">
        <v>19.314497303792201</v>
      </c>
      <c r="BH1305" s="2">
        <v>19.166287926985401</v>
      </c>
      <c r="BI1305" s="2">
        <v>18.747562745222201</v>
      </c>
      <c r="BJ1305" s="2">
        <v>18.6326993725981</v>
      </c>
      <c r="BK1305" s="2">
        <v>19.049619494923999</v>
      </c>
      <c r="BL1305" s="2">
        <v>18.2952396267799</v>
      </c>
      <c r="BM1305" s="2">
        <v>18.7642213829008</v>
      </c>
      <c r="BN1305" s="2">
        <v>18.891172296911201</v>
      </c>
      <c r="BO1305" s="2">
        <v>19.134449709476002</v>
      </c>
      <c r="BP1305" s="2">
        <v>19.196352888378598</v>
      </c>
      <c r="BQ1305" s="2">
        <v>19.196550884813501</v>
      </c>
      <c r="BR1305" s="2">
        <v>19.348883382189602</v>
      </c>
      <c r="BS1305" s="2">
        <v>18.985513271618998</v>
      </c>
      <c r="BT1305" s="2">
        <v>19.209452770661802</v>
      </c>
      <c r="BU1305" s="2">
        <v>18.784311820830901</v>
      </c>
      <c r="BV1305" s="2">
        <v>19.194463507896302</v>
      </c>
      <c r="BW1305" s="2">
        <v>19.630790067634699</v>
      </c>
      <c r="BX1305" s="2">
        <v>19.094094855109201</v>
      </c>
      <c r="BY1305" s="2">
        <v>19.574567381948501</v>
      </c>
      <c r="BZ1305" s="2">
        <v>18.816836136086302</v>
      </c>
      <c r="CA1305" s="2">
        <v>18.9610851761215</v>
      </c>
      <c r="CB1305" s="2">
        <v>18.974561240512799</v>
      </c>
      <c r="CC1305" s="2">
        <v>18.410472344829898</v>
      </c>
      <c r="CD1305" s="2">
        <v>18.9554245823382</v>
      </c>
      <c r="CE1305" s="2">
        <v>19.156653924755801</v>
      </c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</row>
    <row r="1306" spans="1:97">
      <c r="A1306" s="2" t="s">
        <v>11794</v>
      </c>
      <c r="B1306" s="2">
        <v>295.13923</v>
      </c>
      <c r="C1306" s="2">
        <v>3.9980000000000002</v>
      </c>
      <c r="D1306" s="2" t="s">
        <v>146</v>
      </c>
      <c r="E1306" s="2" t="s">
        <v>11795</v>
      </c>
      <c r="F1306" s="2" t="s">
        <v>11796</v>
      </c>
      <c r="G1306" s="2">
        <v>256623</v>
      </c>
      <c r="H1306" s="3" t="str">
        <f>HYPERLINK("https://cloud.oebiotech.com/#/lm/network/256623", "https://cloud.oebiotech.com/#/lm/network/256623")</f>
        <v>https://cloud.oebiotech.com/#/lm/network/256623</v>
      </c>
      <c r="I1306" s="2" t="s">
        <v>11797</v>
      </c>
      <c r="J1306" s="2"/>
      <c r="K1306" s="2"/>
      <c r="L1306" s="2">
        <v>13944077</v>
      </c>
      <c r="M1306" s="2"/>
      <c r="N1306" s="2"/>
      <c r="O1306" s="2"/>
      <c r="P1306" s="2"/>
      <c r="Q1306" s="2"/>
      <c r="R1306" s="2"/>
      <c r="S1306" s="2"/>
      <c r="T1306" s="2" t="s">
        <v>11798</v>
      </c>
      <c r="U1306" s="2" t="s">
        <v>11799</v>
      </c>
      <c r="V1306" s="2" t="s">
        <v>95</v>
      </c>
      <c r="W1306" s="2" t="s">
        <v>96</v>
      </c>
      <c r="X1306" s="2" t="s">
        <v>2173</v>
      </c>
      <c r="Y1306" s="2" t="s">
        <v>98</v>
      </c>
      <c r="Z1306" s="2" t="s">
        <v>99</v>
      </c>
      <c r="AA1306" s="2" t="s">
        <v>2174</v>
      </c>
      <c r="AB1306" s="2" t="s">
        <v>8443</v>
      </c>
      <c r="AC1306" s="2">
        <v>46.3</v>
      </c>
      <c r="AD1306" s="2">
        <v>92.26</v>
      </c>
      <c r="AE1306" s="2">
        <v>0</v>
      </c>
      <c r="AF1306" s="2" t="s">
        <v>5614</v>
      </c>
      <c r="AG1306" s="2" t="s">
        <v>157</v>
      </c>
      <c r="AH1306" s="2" t="s">
        <v>11800</v>
      </c>
      <c r="AI1306" s="2">
        <v>2.0299999999999998</v>
      </c>
      <c r="AJ1306" s="2">
        <v>17.080048538921002</v>
      </c>
      <c r="AK1306" s="2">
        <v>17.308187467377302</v>
      </c>
      <c r="AL1306" s="2">
        <v>17.146553561410499</v>
      </c>
      <c r="AM1306" s="2">
        <v>17.008839902235501</v>
      </c>
      <c r="AN1306" s="2">
        <v>17.002600893614702</v>
      </c>
      <c r="AO1306" s="2">
        <v>16.757933470062198</v>
      </c>
      <c r="AP1306" s="2">
        <v>17.022877196453301</v>
      </c>
      <c r="AQ1306" s="2">
        <v>16.514040098745902</v>
      </c>
      <c r="AR1306" s="2">
        <v>9.6233145402724691</v>
      </c>
      <c r="AS1306" s="2">
        <v>11.672597712515101</v>
      </c>
      <c r="AT1306" s="2">
        <v>16.0788913167763</v>
      </c>
      <c r="AU1306" s="2">
        <v>17.246098422902101</v>
      </c>
      <c r="AV1306" s="2">
        <v>17.245098543096798</v>
      </c>
      <c r="AW1306" s="2">
        <v>17.7528614647679</v>
      </c>
      <c r="AX1306" s="2">
        <v>17.250623465163301</v>
      </c>
      <c r="AY1306" s="2">
        <v>17.047261651040699</v>
      </c>
      <c r="AZ1306" s="2">
        <v>16.8442476173669</v>
      </c>
      <c r="BA1306" s="2">
        <v>16.6278833730854</v>
      </c>
      <c r="BB1306" s="2">
        <v>9.6233145402724691</v>
      </c>
      <c r="BC1306" s="2">
        <v>9.6233145402724691</v>
      </c>
      <c r="BD1306" s="2">
        <v>17.108451356417302</v>
      </c>
      <c r="BE1306" s="2">
        <v>17.763160485306098</v>
      </c>
      <c r="BF1306" s="2">
        <v>17.137492416754899</v>
      </c>
      <c r="BG1306" s="2">
        <v>9.6233145402724691</v>
      </c>
      <c r="BH1306" s="2">
        <v>17.4554061315871</v>
      </c>
      <c r="BI1306" s="2">
        <v>17.602037671587201</v>
      </c>
      <c r="BJ1306" s="2">
        <v>9.6233145402724691</v>
      </c>
      <c r="BK1306" s="2">
        <v>17.504596264323901</v>
      </c>
      <c r="BL1306" s="2">
        <v>17.421925842909801</v>
      </c>
      <c r="BM1306" s="2">
        <v>18.4043556000825</v>
      </c>
      <c r="BN1306" s="2">
        <v>17.6039442319438</v>
      </c>
      <c r="BO1306" s="2">
        <v>17.0653698505538</v>
      </c>
      <c r="BP1306" s="2">
        <v>17.318432301469901</v>
      </c>
      <c r="BQ1306" s="2">
        <v>17.550167111294002</v>
      </c>
      <c r="BR1306" s="2">
        <v>9.6233145402724691</v>
      </c>
      <c r="BS1306" s="2">
        <v>17.502468769834401</v>
      </c>
      <c r="BT1306" s="2">
        <v>9.6233145402724691</v>
      </c>
      <c r="BU1306" s="2">
        <v>17.4210820753317</v>
      </c>
      <c r="BV1306" s="2">
        <v>9.6233145402724691</v>
      </c>
      <c r="BW1306" s="2">
        <v>9.6233145402724691</v>
      </c>
      <c r="BX1306" s="2">
        <v>18.184917124607701</v>
      </c>
      <c r="BY1306" s="2">
        <v>18.255963524555199</v>
      </c>
      <c r="BZ1306" s="2">
        <v>9.6233145402724691</v>
      </c>
      <c r="CA1306" s="2">
        <v>14.313522924180401</v>
      </c>
      <c r="CB1306" s="2">
        <v>9.6233145402724691</v>
      </c>
      <c r="CC1306" s="2">
        <v>17.0502157689752</v>
      </c>
      <c r="CD1306" s="2">
        <v>17.293641019053201</v>
      </c>
      <c r="CE1306" s="2">
        <v>16.943995247474099</v>
      </c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</row>
    <row r="1307" spans="1:97">
      <c r="A1307" s="2" t="s">
        <v>11801</v>
      </c>
      <c r="B1307" s="2">
        <v>832.58115999999995</v>
      </c>
      <c r="C1307" s="2">
        <v>13.099</v>
      </c>
      <c r="D1307" s="2" t="s">
        <v>84</v>
      </c>
      <c r="E1307" s="2" t="s">
        <v>11802</v>
      </c>
      <c r="F1307" s="2" t="s">
        <v>11803</v>
      </c>
      <c r="G1307" s="2">
        <v>242636</v>
      </c>
      <c r="H1307" s="3" t="str">
        <f>HYPERLINK("https://cloud.oebiotech.com/#/lm/network/242636", "https://cloud.oebiotech.com/#/lm/network/242636")</f>
        <v>https://cloud.oebiotech.com/#/lm/network/242636</v>
      </c>
      <c r="I1307" s="2" t="s">
        <v>11804</v>
      </c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 t="s">
        <v>11805</v>
      </c>
      <c r="U1307" s="2" t="s">
        <v>11806</v>
      </c>
      <c r="V1307" s="2" t="s">
        <v>95</v>
      </c>
      <c r="W1307" s="2" t="s">
        <v>202</v>
      </c>
      <c r="X1307" s="2" t="s">
        <v>203</v>
      </c>
      <c r="Y1307" s="2" t="s">
        <v>98</v>
      </c>
      <c r="Z1307" s="2" t="s">
        <v>204</v>
      </c>
      <c r="AA1307" s="2" t="s">
        <v>205</v>
      </c>
      <c r="AB1307" s="2" t="s">
        <v>5118</v>
      </c>
      <c r="AC1307" s="2">
        <v>46.28</v>
      </c>
      <c r="AD1307" s="2">
        <v>71.5</v>
      </c>
      <c r="AE1307" s="2">
        <v>79.849999999999994</v>
      </c>
      <c r="AF1307" s="2" t="s">
        <v>11807</v>
      </c>
      <c r="AG1307" s="2" t="s">
        <v>1578</v>
      </c>
      <c r="AH1307" s="2" t="s">
        <v>11808</v>
      </c>
      <c r="AI1307" s="2">
        <v>1.8</v>
      </c>
      <c r="AJ1307" s="2">
        <v>25.201906397269799</v>
      </c>
      <c r="AK1307" s="2">
        <v>24.596303411597301</v>
      </c>
      <c r="AL1307" s="2">
        <v>25.039882911751</v>
      </c>
      <c r="AM1307" s="2">
        <v>25.3496220533235</v>
      </c>
      <c r="AN1307" s="2">
        <v>25.1754715186722</v>
      </c>
      <c r="AO1307" s="2">
        <v>24.915306619302001</v>
      </c>
      <c r="AP1307" s="2">
        <v>24.7669076520781</v>
      </c>
      <c r="AQ1307" s="2">
        <v>25.0195769393526</v>
      </c>
      <c r="AR1307" s="2">
        <v>24.966819969332899</v>
      </c>
      <c r="AS1307" s="2">
        <v>23.929497531164198</v>
      </c>
      <c r="AT1307" s="2">
        <v>23.642882196010699</v>
      </c>
      <c r="AU1307" s="2">
        <v>25.174772834029302</v>
      </c>
      <c r="AV1307" s="2">
        <v>25.1562728252886</v>
      </c>
      <c r="AW1307" s="2">
        <v>25.127326605215099</v>
      </c>
      <c r="AX1307" s="2">
        <v>25.2315391817713</v>
      </c>
      <c r="AY1307" s="2">
        <v>24.946661124955099</v>
      </c>
      <c r="AZ1307" s="2">
        <v>24.451221194108001</v>
      </c>
      <c r="BA1307" s="2">
        <v>24.698532041392699</v>
      </c>
      <c r="BB1307" s="2">
        <v>24.857242003533099</v>
      </c>
      <c r="BC1307" s="2">
        <v>25.045257209456899</v>
      </c>
      <c r="BD1307" s="2">
        <v>23.546640022910001</v>
      </c>
      <c r="BE1307" s="2">
        <v>25.226799679183301</v>
      </c>
      <c r="BF1307" s="2">
        <v>25.7249238511958</v>
      </c>
      <c r="BG1307" s="2">
        <v>24.949007686818</v>
      </c>
      <c r="BH1307" s="2">
        <v>24.022409845187699</v>
      </c>
      <c r="BI1307" s="2">
        <v>25.406621441797299</v>
      </c>
      <c r="BJ1307" s="2">
        <v>24.974980243094301</v>
      </c>
      <c r="BK1307" s="2">
        <v>23.209413654009399</v>
      </c>
      <c r="BL1307" s="2">
        <v>23.457497866136599</v>
      </c>
      <c r="BM1307" s="2">
        <v>25.059369538984399</v>
      </c>
      <c r="BN1307" s="2">
        <v>23.3150579225833</v>
      </c>
      <c r="BO1307" s="2">
        <v>22.788570500037402</v>
      </c>
      <c r="BP1307" s="2">
        <v>24.591848203868199</v>
      </c>
      <c r="BQ1307" s="2">
        <v>22.994123482450199</v>
      </c>
      <c r="BR1307" s="2">
        <v>25.034813961668601</v>
      </c>
      <c r="BS1307" s="2">
        <v>24.5815702217919</v>
      </c>
      <c r="BT1307" s="2">
        <v>22.798547133970899</v>
      </c>
      <c r="BU1307" s="2">
        <v>24.462385439757</v>
      </c>
      <c r="BV1307" s="2">
        <v>25.026223583263199</v>
      </c>
      <c r="BW1307" s="2">
        <v>24.797560797177098</v>
      </c>
      <c r="BX1307" s="2">
        <v>24.843232348134201</v>
      </c>
      <c r="BY1307" s="2">
        <v>24.836322938892302</v>
      </c>
      <c r="BZ1307" s="2">
        <v>24.9845399771337</v>
      </c>
      <c r="CA1307" s="2">
        <v>24.2420970249708</v>
      </c>
      <c r="CB1307" s="2">
        <v>24.7984439495084</v>
      </c>
      <c r="CC1307" s="2">
        <v>24.738331766670601</v>
      </c>
      <c r="CD1307" s="2">
        <v>25.2743284437299</v>
      </c>
      <c r="CE1307" s="2">
        <v>25.2467920300993</v>
      </c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</row>
    <row r="1308" spans="1:97">
      <c r="A1308" s="2" t="s">
        <v>11809</v>
      </c>
      <c r="B1308" s="2">
        <v>101.06050999999999</v>
      </c>
      <c r="C1308" s="2">
        <v>4.3319999999999999</v>
      </c>
      <c r="D1308" s="2" t="s">
        <v>146</v>
      </c>
      <c r="E1308" s="2" t="s">
        <v>11810</v>
      </c>
      <c r="F1308" s="2" t="s">
        <v>11811</v>
      </c>
      <c r="G1308" s="2">
        <v>168</v>
      </c>
      <c r="H1308" s="3" t="str">
        <f>HYPERLINK("https://cloud.oebiotech.com/#/lm/network/168", "https://cloud.oebiotech.com/#/lm/network/168")</f>
        <v>https://cloud.oebiotech.com/#/lm/network/168</v>
      </c>
      <c r="I1308" s="2" t="s">
        <v>11812</v>
      </c>
      <c r="J1308" s="2">
        <v>4472</v>
      </c>
      <c r="K1308" s="2" t="s">
        <v>11813</v>
      </c>
      <c r="L1308" s="2">
        <v>6417</v>
      </c>
      <c r="M1308" s="2"/>
      <c r="N1308" s="2"/>
      <c r="O1308" s="2"/>
      <c r="P1308" s="2">
        <v>45133</v>
      </c>
      <c r="Q1308" s="2"/>
      <c r="R1308" s="2"/>
      <c r="S1308" s="2" t="s">
        <v>11814</v>
      </c>
      <c r="T1308" s="2" t="s">
        <v>11815</v>
      </c>
      <c r="U1308" s="2" t="s">
        <v>11816</v>
      </c>
      <c r="V1308" s="2" t="s">
        <v>115</v>
      </c>
      <c r="W1308" s="2" t="s">
        <v>116</v>
      </c>
      <c r="X1308" s="2" t="s">
        <v>2388</v>
      </c>
      <c r="Y1308" s="2" t="s">
        <v>118</v>
      </c>
      <c r="Z1308" s="2" t="s">
        <v>119</v>
      </c>
      <c r="AA1308" s="2" t="s">
        <v>2389</v>
      </c>
      <c r="AB1308" s="2" t="s">
        <v>8443</v>
      </c>
      <c r="AC1308" s="2">
        <v>46.26</v>
      </c>
      <c r="AD1308" s="2">
        <v>98.45</v>
      </c>
      <c r="AE1308" s="2">
        <v>0</v>
      </c>
      <c r="AF1308" s="2" t="s">
        <v>5614</v>
      </c>
      <c r="AG1308" s="2" t="s">
        <v>194</v>
      </c>
      <c r="AH1308" s="2" t="s">
        <v>11732</v>
      </c>
      <c r="AI1308" s="2">
        <v>2.97</v>
      </c>
      <c r="AJ1308" s="2">
        <v>21.668245289711901</v>
      </c>
      <c r="AK1308" s="2">
        <v>21.667065215458202</v>
      </c>
      <c r="AL1308" s="2">
        <v>21.561344117525</v>
      </c>
      <c r="AM1308" s="2">
        <v>22.3791848126424</v>
      </c>
      <c r="AN1308" s="2">
        <v>21.6639376923507</v>
      </c>
      <c r="AO1308" s="2">
        <v>21.588737172941901</v>
      </c>
      <c r="AP1308" s="2">
        <v>21.561386507584199</v>
      </c>
      <c r="AQ1308" s="2">
        <v>21.778075737501599</v>
      </c>
      <c r="AR1308" s="2">
        <v>20.606929178217801</v>
      </c>
      <c r="AS1308" s="2">
        <v>20.418623486294798</v>
      </c>
      <c r="AT1308" s="2">
        <v>21.197799035412402</v>
      </c>
      <c r="AU1308" s="2">
        <v>20.680101737775001</v>
      </c>
      <c r="AV1308" s="2">
        <v>21.416423527665899</v>
      </c>
      <c r="AW1308" s="2">
        <v>21.406537502676201</v>
      </c>
      <c r="AX1308" s="2">
        <v>21.550887521121702</v>
      </c>
      <c r="AY1308" s="2">
        <v>21.5122557395181</v>
      </c>
      <c r="AZ1308" s="2">
        <v>20.7109526860459</v>
      </c>
      <c r="BA1308" s="2">
        <v>20.775538500742101</v>
      </c>
      <c r="BB1308" s="2">
        <v>22.041390272755699</v>
      </c>
      <c r="BC1308" s="2">
        <v>22.664043020744501</v>
      </c>
      <c r="BD1308" s="2">
        <v>21.383362925146798</v>
      </c>
      <c r="BE1308" s="2">
        <v>22.178096141433102</v>
      </c>
      <c r="BF1308" s="2">
        <v>21.670672671574401</v>
      </c>
      <c r="BG1308" s="2">
        <v>22.128942911141301</v>
      </c>
      <c r="BH1308" s="2">
        <v>22.0805640366926</v>
      </c>
      <c r="BI1308" s="2">
        <v>21.806705286775198</v>
      </c>
      <c r="BJ1308" s="2">
        <v>21.5710538836579</v>
      </c>
      <c r="BK1308" s="2">
        <v>21.0769352752976</v>
      </c>
      <c r="BL1308" s="2">
        <v>21.336209716108101</v>
      </c>
      <c r="BM1308" s="2">
        <v>21.9722742193504</v>
      </c>
      <c r="BN1308" s="2">
        <v>21.557409028092</v>
      </c>
      <c r="BO1308" s="2">
        <v>21.300600249771001</v>
      </c>
      <c r="BP1308" s="2">
        <v>21.3787383526554</v>
      </c>
      <c r="BQ1308" s="2">
        <v>21.4069677802398</v>
      </c>
      <c r="BR1308" s="2">
        <v>21.3988209487772</v>
      </c>
      <c r="BS1308" s="2">
        <v>21.236252998640399</v>
      </c>
      <c r="BT1308" s="2">
        <v>20.6893474876513</v>
      </c>
      <c r="BU1308" s="2">
        <v>21.088571915791398</v>
      </c>
      <c r="BV1308" s="2">
        <v>21.929824808840699</v>
      </c>
      <c r="BW1308" s="2">
        <v>21.340517355219301</v>
      </c>
      <c r="BX1308" s="2">
        <v>21.323236138356801</v>
      </c>
      <c r="BY1308" s="2">
        <v>21.896695418815298</v>
      </c>
      <c r="BZ1308" s="2">
        <v>21.491764348717702</v>
      </c>
      <c r="CA1308" s="2">
        <v>22.171825098098701</v>
      </c>
      <c r="CB1308" s="2">
        <v>21.384110812561801</v>
      </c>
      <c r="CC1308" s="2">
        <v>21.861873048581501</v>
      </c>
      <c r="CD1308" s="2">
        <v>21.911650179283299</v>
      </c>
      <c r="CE1308" s="2">
        <v>21.775859799245598</v>
      </c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</row>
    <row r="1309" spans="1:97">
      <c r="A1309" s="2" t="s">
        <v>11817</v>
      </c>
      <c r="B1309" s="2">
        <v>263.05079999999998</v>
      </c>
      <c r="C1309" s="2">
        <v>4.7919999999999998</v>
      </c>
      <c r="D1309" s="2" t="s">
        <v>146</v>
      </c>
      <c r="E1309" s="2" t="s">
        <v>11818</v>
      </c>
      <c r="F1309" s="2" t="s">
        <v>11819</v>
      </c>
      <c r="G1309" s="2">
        <v>61847</v>
      </c>
      <c r="H1309" s="3" t="str">
        <f>HYPERLINK("https://cloud.oebiotech.com/#/lm/network/61847", "https://cloud.oebiotech.com/#/lm/network/61847")</f>
        <v>https://cloud.oebiotech.com/#/lm/network/61847</v>
      </c>
      <c r="I1309" s="2" t="s">
        <v>11820</v>
      </c>
      <c r="J1309" s="2">
        <v>93151</v>
      </c>
      <c r="K1309" s="2"/>
      <c r="L1309" s="2">
        <v>14206111</v>
      </c>
      <c r="M1309" s="2"/>
      <c r="N1309" s="2"/>
      <c r="O1309" s="2"/>
      <c r="P1309" s="2">
        <v>136932</v>
      </c>
      <c r="Q1309" s="2"/>
      <c r="R1309" s="2"/>
      <c r="S1309" s="2" t="s">
        <v>11821</v>
      </c>
      <c r="T1309" s="2" t="s">
        <v>11822</v>
      </c>
      <c r="U1309" s="2" t="s">
        <v>11823</v>
      </c>
      <c r="V1309" s="2" t="s">
        <v>553</v>
      </c>
      <c r="W1309" s="2" t="s">
        <v>933</v>
      </c>
      <c r="X1309" s="2" t="s">
        <v>3434</v>
      </c>
      <c r="Y1309" s="2" t="s">
        <v>556</v>
      </c>
      <c r="Z1309" s="2" t="s">
        <v>935</v>
      </c>
      <c r="AA1309" s="2" t="s">
        <v>3435</v>
      </c>
      <c r="AB1309" s="2" t="s">
        <v>5118</v>
      </c>
      <c r="AC1309" s="2">
        <v>46.26</v>
      </c>
      <c r="AD1309" s="2">
        <v>88.51</v>
      </c>
      <c r="AE1309" s="2">
        <v>75.73</v>
      </c>
      <c r="AF1309" s="2" t="s">
        <v>11824</v>
      </c>
      <c r="AG1309" s="2" t="s">
        <v>157</v>
      </c>
      <c r="AH1309" s="2" t="s">
        <v>11825</v>
      </c>
      <c r="AI1309" s="2">
        <v>-4.5599999999999996</v>
      </c>
      <c r="AJ1309" s="2">
        <v>17.0091065863197</v>
      </c>
      <c r="AK1309" s="2">
        <v>17.504803007934399</v>
      </c>
      <c r="AL1309" s="2">
        <v>17.256091180919999</v>
      </c>
      <c r="AM1309" s="2">
        <v>17.251296088697099</v>
      </c>
      <c r="AN1309" s="2">
        <v>17.410827280403002</v>
      </c>
      <c r="AO1309" s="2">
        <v>17.1820801458075</v>
      </c>
      <c r="AP1309" s="2">
        <v>17.386631036798398</v>
      </c>
      <c r="AQ1309" s="2">
        <v>17.336834019579101</v>
      </c>
      <c r="AR1309" s="2">
        <v>18.419520416279799</v>
      </c>
      <c r="AS1309" s="2">
        <v>17.300916539120099</v>
      </c>
      <c r="AT1309" s="2">
        <v>17.021059669380801</v>
      </c>
      <c r="AU1309" s="2">
        <v>17.096548292052301</v>
      </c>
      <c r="AV1309" s="2">
        <v>16.414111082200598</v>
      </c>
      <c r="AW1309" s="2">
        <v>18.472113647366999</v>
      </c>
      <c r="AX1309" s="2">
        <v>17.083904759909899</v>
      </c>
      <c r="AY1309" s="2">
        <v>17.5104936835945</v>
      </c>
      <c r="AZ1309" s="2">
        <v>17.289736502784599</v>
      </c>
      <c r="BA1309" s="2">
        <v>17.0468558534279</v>
      </c>
      <c r="BB1309" s="2">
        <v>17.152590752656401</v>
      </c>
      <c r="BC1309" s="2">
        <v>16.899811352213401</v>
      </c>
      <c r="BD1309" s="2">
        <v>17.127388639048299</v>
      </c>
      <c r="BE1309" s="2">
        <v>14.792303790651401</v>
      </c>
      <c r="BF1309" s="2">
        <v>17.291415259586302</v>
      </c>
      <c r="BG1309" s="2">
        <v>17.053995860043699</v>
      </c>
      <c r="BH1309" s="2">
        <v>16.844903714440001</v>
      </c>
      <c r="BI1309" s="2">
        <v>17.128230198125401</v>
      </c>
      <c r="BJ1309" s="2">
        <v>17.180087958342298</v>
      </c>
      <c r="BK1309" s="2">
        <v>17.083096164465001</v>
      </c>
      <c r="BL1309" s="2">
        <v>17.1410022704958</v>
      </c>
      <c r="BM1309" s="2">
        <v>17.499938979257799</v>
      </c>
      <c r="BN1309" s="2">
        <v>17.9445871647996</v>
      </c>
      <c r="BO1309" s="2">
        <v>17.1464144424742</v>
      </c>
      <c r="BP1309" s="2">
        <v>16.750704631272502</v>
      </c>
      <c r="BQ1309" s="2">
        <v>17.389836329349599</v>
      </c>
      <c r="BR1309" s="2">
        <v>17.228148470620798</v>
      </c>
      <c r="BS1309" s="2">
        <v>18.756303027305101</v>
      </c>
      <c r="BT1309" s="2">
        <v>15.571725095064</v>
      </c>
      <c r="BU1309" s="2">
        <v>17.0418179428667</v>
      </c>
      <c r="BV1309" s="2">
        <v>17.038430887193101</v>
      </c>
      <c r="BW1309" s="2">
        <v>17.109021869669998</v>
      </c>
      <c r="BX1309" s="2">
        <v>17.169552480205802</v>
      </c>
      <c r="BY1309" s="2">
        <v>15.847360323311101</v>
      </c>
      <c r="BZ1309" s="2">
        <v>17.448316298314001</v>
      </c>
      <c r="CA1309" s="2">
        <v>17.533476355044201</v>
      </c>
      <c r="CB1309" s="2">
        <v>17.178205669651099</v>
      </c>
      <c r="CC1309" s="2">
        <v>17.565624692815899</v>
      </c>
      <c r="CD1309" s="2">
        <v>16.1482439924098</v>
      </c>
      <c r="CE1309" s="2">
        <v>16.939952993040801</v>
      </c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</row>
    <row r="1310" spans="1:97">
      <c r="A1310" s="2" t="s">
        <v>11826</v>
      </c>
      <c r="B1310" s="2">
        <v>345.20402000000001</v>
      </c>
      <c r="C1310" s="2">
        <v>12.205</v>
      </c>
      <c r="D1310" s="2" t="s">
        <v>146</v>
      </c>
      <c r="E1310" s="2" t="s">
        <v>11827</v>
      </c>
      <c r="F1310" s="2" t="s">
        <v>11828</v>
      </c>
      <c r="G1310" s="2">
        <v>60375</v>
      </c>
      <c r="H1310" s="3" t="str">
        <f>HYPERLINK("https://cloud.oebiotech.com/#/lm/network/60375", "https://cloud.oebiotech.com/#/lm/network/60375")</f>
        <v>https://cloud.oebiotech.com/#/lm/network/60375</v>
      </c>
      <c r="I1310" s="2" t="s">
        <v>11829</v>
      </c>
      <c r="J1310" s="2">
        <v>91732</v>
      </c>
      <c r="K1310" s="2"/>
      <c r="L1310" s="2">
        <v>14635430</v>
      </c>
      <c r="M1310" s="2"/>
      <c r="N1310" s="2"/>
      <c r="O1310" s="2"/>
      <c r="P1310" s="2"/>
      <c r="Q1310" s="2"/>
      <c r="R1310" s="2"/>
      <c r="S1310" s="2" t="s">
        <v>11830</v>
      </c>
      <c r="T1310" s="2" t="s">
        <v>11831</v>
      </c>
      <c r="U1310" s="2" t="s">
        <v>11832</v>
      </c>
      <c r="V1310" s="2" t="s">
        <v>95</v>
      </c>
      <c r="W1310" s="2" t="s">
        <v>180</v>
      </c>
      <c r="X1310" s="2" t="s">
        <v>3643</v>
      </c>
      <c r="Y1310" s="2" t="s">
        <v>98</v>
      </c>
      <c r="Z1310" s="2" t="s">
        <v>182</v>
      </c>
      <c r="AA1310" s="2" t="s">
        <v>3644</v>
      </c>
      <c r="AB1310" s="2" t="s">
        <v>3086</v>
      </c>
      <c r="AC1310" s="2">
        <v>46.25</v>
      </c>
      <c r="AD1310" s="2">
        <v>86.69</v>
      </c>
      <c r="AE1310" s="2">
        <v>0</v>
      </c>
      <c r="AF1310" s="2" t="s">
        <v>5614</v>
      </c>
      <c r="AG1310" s="2" t="s">
        <v>157</v>
      </c>
      <c r="AH1310" s="2" t="s">
        <v>11833</v>
      </c>
      <c r="AI1310" s="2">
        <v>8.98</v>
      </c>
      <c r="AJ1310" s="2">
        <v>17.2414822407226</v>
      </c>
      <c r="AK1310" s="2">
        <v>18.0319753753163</v>
      </c>
      <c r="AL1310" s="2">
        <v>17.1976882914329</v>
      </c>
      <c r="AM1310" s="2">
        <v>17.487647251367299</v>
      </c>
      <c r="AN1310" s="2">
        <v>17.218272325669101</v>
      </c>
      <c r="AO1310" s="2">
        <v>17.448054502882201</v>
      </c>
      <c r="AP1310" s="2">
        <v>17.429001367948501</v>
      </c>
      <c r="AQ1310" s="2">
        <v>17.591869713287799</v>
      </c>
      <c r="AR1310" s="2">
        <v>13.6562471970477</v>
      </c>
      <c r="AS1310" s="2">
        <v>17.2653058147046</v>
      </c>
      <c r="AT1310" s="2">
        <v>17.3784811423142</v>
      </c>
      <c r="AU1310" s="2">
        <v>17.268493296824499</v>
      </c>
      <c r="AV1310" s="2">
        <v>16.728922140745201</v>
      </c>
      <c r="AW1310" s="2">
        <v>17.678869546484801</v>
      </c>
      <c r="AX1310" s="2">
        <v>17.8958864601016</v>
      </c>
      <c r="AY1310" s="2">
        <v>16.383570147184798</v>
      </c>
      <c r="AZ1310" s="2">
        <v>15.034259054314999</v>
      </c>
      <c r="BA1310" s="2">
        <v>17.7711225332359</v>
      </c>
      <c r="BB1310" s="2">
        <v>16.494722793948299</v>
      </c>
      <c r="BC1310" s="2">
        <v>18.2674910383091</v>
      </c>
      <c r="BD1310" s="2">
        <v>9.6233145402724691</v>
      </c>
      <c r="BE1310" s="2">
        <v>14.8514464965305</v>
      </c>
      <c r="BF1310" s="2">
        <v>16.90177810794</v>
      </c>
      <c r="BG1310" s="2">
        <v>18.4894337014548</v>
      </c>
      <c r="BH1310" s="2">
        <v>15.158500424856101</v>
      </c>
      <c r="BI1310" s="2">
        <v>17.494125241501699</v>
      </c>
      <c r="BJ1310" s="2">
        <v>15.8847500569487</v>
      </c>
      <c r="BK1310" s="2">
        <v>14.694429715451999</v>
      </c>
      <c r="BL1310" s="2">
        <v>17.8941439473335</v>
      </c>
      <c r="BM1310" s="2">
        <v>17.154839365709801</v>
      </c>
      <c r="BN1310" s="2">
        <v>14.984711721204</v>
      </c>
      <c r="BO1310" s="2">
        <v>18.168724114851202</v>
      </c>
      <c r="BP1310" s="2">
        <v>17.994074893361901</v>
      </c>
      <c r="BQ1310" s="2">
        <v>17.464167207002902</v>
      </c>
      <c r="BR1310" s="2">
        <v>17.224785534603601</v>
      </c>
      <c r="BS1310" s="2">
        <v>17.150800023225301</v>
      </c>
      <c r="BT1310" s="2">
        <v>17.817628315987999</v>
      </c>
      <c r="BU1310" s="2">
        <v>17.945733928281701</v>
      </c>
      <c r="BV1310" s="2">
        <v>18.135384893720701</v>
      </c>
      <c r="BW1310" s="2">
        <v>15.945955858351301</v>
      </c>
      <c r="BX1310" s="2">
        <v>16.994265365240899</v>
      </c>
      <c r="BY1310" s="2">
        <v>15.3214303215012</v>
      </c>
      <c r="BZ1310" s="2">
        <v>17.1400131119712</v>
      </c>
      <c r="CA1310" s="2">
        <v>16.488446157376501</v>
      </c>
      <c r="CB1310" s="2">
        <v>18.257624478606299</v>
      </c>
      <c r="CC1310" s="2">
        <v>17.939058494023701</v>
      </c>
      <c r="CD1310" s="2">
        <v>17.4915922730647</v>
      </c>
      <c r="CE1310" s="2">
        <v>17.753455667924602</v>
      </c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</row>
    <row r="1311" spans="1:97">
      <c r="A1311" s="2" t="s">
        <v>11834</v>
      </c>
      <c r="B1311" s="2">
        <v>140.06802999999999</v>
      </c>
      <c r="C1311" s="2">
        <v>0.71299999999999997</v>
      </c>
      <c r="D1311" s="2" t="s">
        <v>84</v>
      </c>
      <c r="E1311" s="2" t="s">
        <v>11835</v>
      </c>
      <c r="F1311" s="2" t="s">
        <v>11836</v>
      </c>
      <c r="G1311" s="2">
        <v>257396</v>
      </c>
      <c r="H1311" s="3" t="str">
        <f>HYPERLINK("https://cloud.oebiotech.com/#/lm/network/257396", "https://cloud.oebiotech.com/#/lm/network/257396")</f>
        <v>https://cloud.oebiotech.com/#/lm/network/257396</v>
      </c>
      <c r="I1311" s="2" t="s">
        <v>11837</v>
      </c>
      <c r="J1311" s="2"/>
      <c r="K1311" s="2"/>
      <c r="L1311" s="2">
        <v>11073391</v>
      </c>
      <c r="M1311" s="2"/>
      <c r="N1311" s="2"/>
      <c r="O1311" s="2"/>
      <c r="P1311" s="2"/>
      <c r="Q1311" s="2"/>
      <c r="R1311" s="2"/>
      <c r="S1311" s="2"/>
      <c r="T1311" s="2" t="s">
        <v>11838</v>
      </c>
      <c r="U1311" s="2" t="s">
        <v>11839</v>
      </c>
      <c r="V1311" s="2" t="s">
        <v>553</v>
      </c>
      <c r="W1311" s="2" t="s">
        <v>2238</v>
      </c>
      <c r="X1311" s="2" t="s">
        <v>375</v>
      </c>
      <c r="Y1311" s="2" t="s">
        <v>556</v>
      </c>
      <c r="Z1311" s="2" t="s">
        <v>2240</v>
      </c>
      <c r="AA1311" s="2"/>
      <c r="AB1311" s="2" t="s">
        <v>8443</v>
      </c>
      <c r="AC1311" s="2">
        <v>46.24</v>
      </c>
      <c r="AD1311" s="2">
        <v>91.2</v>
      </c>
      <c r="AE1311" s="2">
        <v>0</v>
      </c>
      <c r="AF1311" s="2" t="s">
        <v>11840</v>
      </c>
      <c r="AG1311" s="2" t="s">
        <v>1578</v>
      </c>
      <c r="AH1311" s="2" t="s">
        <v>3545</v>
      </c>
      <c r="AI1311" s="2">
        <v>1.43</v>
      </c>
      <c r="AJ1311" s="2">
        <v>25.701756862321702</v>
      </c>
      <c r="AK1311" s="2">
        <v>25.893242469065999</v>
      </c>
      <c r="AL1311" s="2">
        <v>25.633096255703499</v>
      </c>
      <c r="AM1311" s="2">
        <v>25.958348670215798</v>
      </c>
      <c r="AN1311" s="2">
        <v>25.768352270039301</v>
      </c>
      <c r="AO1311" s="2">
        <v>25.754525364698001</v>
      </c>
      <c r="AP1311" s="2">
        <v>25.8812672022896</v>
      </c>
      <c r="AQ1311" s="2">
        <v>25.828192036071201</v>
      </c>
      <c r="AR1311" s="2">
        <v>24.200543425382101</v>
      </c>
      <c r="AS1311" s="2">
        <v>23.709358362689699</v>
      </c>
      <c r="AT1311" s="2">
        <v>24.575741031277399</v>
      </c>
      <c r="AU1311" s="2">
        <v>24.385243100086399</v>
      </c>
      <c r="AV1311" s="2">
        <v>25.518621716892898</v>
      </c>
      <c r="AW1311" s="2">
        <v>25.140332841415798</v>
      </c>
      <c r="AX1311" s="2">
        <v>24.5646408317969</v>
      </c>
      <c r="AY1311" s="2">
        <v>25.007395195377299</v>
      </c>
      <c r="AZ1311" s="2">
        <v>24.979840123855301</v>
      </c>
      <c r="BA1311" s="2">
        <v>25.207076390995201</v>
      </c>
      <c r="BB1311" s="2">
        <v>25.444243227143598</v>
      </c>
      <c r="BC1311" s="2">
        <v>27.650041768744099</v>
      </c>
      <c r="BD1311" s="2">
        <v>26.178813931101701</v>
      </c>
      <c r="BE1311" s="2">
        <v>26.425258798151699</v>
      </c>
      <c r="BF1311" s="2">
        <v>25.542228485867799</v>
      </c>
      <c r="BG1311" s="2">
        <v>25.840154959762401</v>
      </c>
      <c r="BH1311" s="2">
        <v>24.972388901106399</v>
      </c>
      <c r="BI1311" s="2">
        <v>24.350479641348802</v>
      </c>
      <c r="BJ1311" s="2">
        <v>25.588604720883598</v>
      </c>
      <c r="BK1311" s="2">
        <v>25.3627995350558</v>
      </c>
      <c r="BL1311" s="2">
        <v>25.378446008726701</v>
      </c>
      <c r="BM1311" s="2">
        <v>26.032559391669899</v>
      </c>
      <c r="BN1311" s="2">
        <v>25.801130657687999</v>
      </c>
      <c r="BO1311" s="2">
        <v>24.527372770331102</v>
      </c>
      <c r="BP1311" s="2">
        <v>25.019484105619298</v>
      </c>
      <c r="BQ1311" s="2">
        <v>24.766400033521698</v>
      </c>
      <c r="BR1311" s="2">
        <v>24.856896132585899</v>
      </c>
      <c r="BS1311" s="2">
        <v>25.980934204623999</v>
      </c>
      <c r="BT1311" s="2">
        <v>26.396960824658802</v>
      </c>
      <c r="BU1311" s="2">
        <v>25.612035713275901</v>
      </c>
      <c r="BV1311" s="2">
        <v>26.8066539153481</v>
      </c>
      <c r="BW1311" s="2">
        <v>25.978141601236899</v>
      </c>
      <c r="BX1311" s="2">
        <v>25.330366460437499</v>
      </c>
      <c r="BY1311" s="2">
        <v>27.509199181916198</v>
      </c>
      <c r="BZ1311" s="2">
        <v>26.115628052607299</v>
      </c>
      <c r="CA1311" s="2">
        <v>26.6819016423999</v>
      </c>
      <c r="CB1311" s="2">
        <v>25.1063696035791</v>
      </c>
      <c r="CC1311" s="2">
        <v>25.148302534813901</v>
      </c>
      <c r="CD1311" s="2">
        <v>26.117627025692599</v>
      </c>
      <c r="CE1311" s="2">
        <v>24.388206326638802</v>
      </c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</row>
    <row r="1312" spans="1:97">
      <c r="A1312" s="2" t="s">
        <v>11841</v>
      </c>
      <c r="B1312" s="2">
        <v>261.11502000000002</v>
      </c>
      <c r="C1312" s="2">
        <v>4.8849999999999998</v>
      </c>
      <c r="D1312" s="2" t="s">
        <v>84</v>
      </c>
      <c r="E1312" s="2" t="s">
        <v>11842</v>
      </c>
      <c r="F1312" s="2" t="s">
        <v>11843</v>
      </c>
      <c r="G1312" s="2">
        <v>57513</v>
      </c>
      <c r="H1312" s="3" t="str">
        <f>HYPERLINK("https://cloud.oebiotech.com/#/lm/network/57513", "https://cloud.oebiotech.com/#/lm/network/57513")</f>
        <v>https://cloud.oebiotech.com/#/lm/network/57513</v>
      </c>
      <c r="I1312" s="2" t="s">
        <v>11844</v>
      </c>
      <c r="J1312" s="2">
        <v>89125</v>
      </c>
      <c r="K1312" s="2"/>
      <c r="L1312" s="2">
        <v>131751401</v>
      </c>
      <c r="M1312" s="2"/>
      <c r="N1312" s="2"/>
      <c r="O1312" s="2"/>
      <c r="P1312" s="2">
        <v>174654</v>
      </c>
      <c r="Q1312" s="2"/>
      <c r="R1312" s="2"/>
      <c r="S1312" s="2" t="s">
        <v>11845</v>
      </c>
      <c r="T1312" s="2" t="s">
        <v>11846</v>
      </c>
      <c r="U1312" s="2" t="s">
        <v>11847</v>
      </c>
      <c r="V1312" s="2" t="s">
        <v>385</v>
      </c>
      <c r="W1312" s="2" t="s">
        <v>11848</v>
      </c>
      <c r="X1312" s="2" t="s">
        <v>11849</v>
      </c>
      <c r="Y1312" s="2" t="s">
        <v>388</v>
      </c>
      <c r="Z1312" s="2" t="s">
        <v>11850</v>
      </c>
      <c r="AA1312" s="2" t="s">
        <v>11851</v>
      </c>
      <c r="AB1312" s="2" t="s">
        <v>3086</v>
      </c>
      <c r="AC1312" s="2">
        <v>46.24</v>
      </c>
      <c r="AD1312" s="2">
        <v>90.67</v>
      </c>
      <c r="AE1312" s="2">
        <v>0</v>
      </c>
      <c r="AF1312" s="2" t="s">
        <v>11852</v>
      </c>
      <c r="AG1312" s="2" t="s">
        <v>1088</v>
      </c>
      <c r="AH1312" s="2" t="s">
        <v>9494</v>
      </c>
      <c r="AI1312" s="2">
        <v>-8.81</v>
      </c>
      <c r="AJ1312" s="2">
        <v>16.9120498427265</v>
      </c>
      <c r="AK1312" s="2">
        <v>17.884232299864902</v>
      </c>
      <c r="AL1312" s="2">
        <v>16.8838694491476</v>
      </c>
      <c r="AM1312" s="2">
        <v>16.746703253111601</v>
      </c>
      <c r="AN1312" s="2">
        <v>17.120559972794201</v>
      </c>
      <c r="AO1312" s="2">
        <v>17.283358435047202</v>
      </c>
      <c r="AP1312" s="2">
        <v>17.547122198591399</v>
      </c>
      <c r="AQ1312" s="2">
        <v>17.336246334492699</v>
      </c>
      <c r="AR1312" s="2">
        <v>9.6233145402724691</v>
      </c>
      <c r="AS1312" s="2">
        <v>9.6233145402724691</v>
      </c>
      <c r="AT1312" s="2">
        <v>14.089578755433401</v>
      </c>
      <c r="AU1312" s="2">
        <v>9.6233145402724691</v>
      </c>
      <c r="AV1312" s="2">
        <v>19.458051535316599</v>
      </c>
      <c r="AW1312" s="2">
        <v>9.6233145402724691</v>
      </c>
      <c r="AX1312" s="2">
        <v>17.920224320114801</v>
      </c>
      <c r="AY1312" s="2">
        <v>9.6233145402724691</v>
      </c>
      <c r="AZ1312" s="2">
        <v>9.6233145402724691</v>
      </c>
      <c r="BA1312" s="2">
        <v>19.994767616297001</v>
      </c>
      <c r="BB1312" s="2">
        <v>9.6233145402724691</v>
      </c>
      <c r="BC1312" s="2">
        <v>17.243032995400998</v>
      </c>
      <c r="BD1312" s="2">
        <v>9.6233145402724691</v>
      </c>
      <c r="BE1312" s="2">
        <v>9.6233145402724691</v>
      </c>
      <c r="BF1312" s="2">
        <v>9.6233145402724691</v>
      </c>
      <c r="BG1312" s="2">
        <v>9.6233145402724691</v>
      </c>
      <c r="BH1312" s="2">
        <v>21.908237635442799</v>
      </c>
      <c r="BI1312" s="2">
        <v>9.6233145402724691</v>
      </c>
      <c r="BJ1312" s="2">
        <v>20.0456782185138</v>
      </c>
      <c r="BK1312" s="2">
        <v>16.718819005398501</v>
      </c>
      <c r="BL1312" s="2">
        <v>16.2368470375649</v>
      </c>
      <c r="BM1312" s="2">
        <v>16.659715830383501</v>
      </c>
      <c r="BN1312" s="2">
        <v>18.465645355831398</v>
      </c>
      <c r="BO1312" s="2">
        <v>9.6233145402724691</v>
      </c>
      <c r="BP1312" s="2">
        <v>18.662691251197401</v>
      </c>
      <c r="BQ1312" s="2">
        <v>9.6233145402724691</v>
      </c>
      <c r="BR1312" s="2">
        <v>9.6233145402724691</v>
      </c>
      <c r="BS1312" s="2">
        <v>20.0730222092043</v>
      </c>
      <c r="BT1312" s="2">
        <v>22.987385368608301</v>
      </c>
      <c r="BU1312" s="2">
        <v>9.6233145402724691</v>
      </c>
      <c r="BV1312" s="2">
        <v>17.918784698705</v>
      </c>
      <c r="BW1312" s="2">
        <v>19.8548000371771</v>
      </c>
      <c r="BX1312" s="2">
        <v>19.7745585646134</v>
      </c>
      <c r="BY1312" s="2">
        <v>15.8549567475728</v>
      </c>
      <c r="BZ1312" s="2">
        <v>9.6233145402724691</v>
      </c>
      <c r="CA1312" s="2">
        <v>19.911917362683401</v>
      </c>
      <c r="CB1312" s="2">
        <v>9.6233145402724691</v>
      </c>
      <c r="CC1312" s="2">
        <v>20.180004732920199</v>
      </c>
      <c r="CD1312" s="2">
        <v>9.6233145402724691</v>
      </c>
      <c r="CE1312" s="2">
        <v>17.338147991865501</v>
      </c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</row>
    <row r="1313" spans="1:97">
      <c r="A1313" s="2" t="s">
        <v>11853</v>
      </c>
      <c r="B1313" s="2">
        <v>235.09711999999999</v>
      </c>
      <c r="C1313" s="2">
        <v>7.9109999999999996</v>
      </c>
      <c r="D1313" s="2" t="s">
        <v>146</v>
      </c>
      <c r="E1313" s="2" t="s">
        <v>11854</v>
      </c>
      <c r="F1313" s="2" t="s">
        <v>11855</v>
      </c>
      <c r="G1313" s="2">
        <v>55624</v>
      </c>
      <c r="H1313" s="3" t="str">
        <f>HYPERLINK("https://cloud.oebiotech.com/#/lm/network/55624", "https://cloud.oebiotech.com/#/lm/network/55624")</f>
        <v>https://cloud.oebiotech.com/#/lm/network/55624</v>
      </c>
      <c r="I1313" s="2" t="s">
        <v>11856</v>
      </c>
      <c r="J1313" s="2">
        <v>87273</v>
      </c>
      <c r="K1313" s="2"/>
      <c r="L1313" s="2">
        <v>5803450</v>
      </c>
      <c r="M1313" s="2"/>
      <c r="N1313" s="2"/>
      <c r="O1313" s="2"/>
      <c r="P1313" s="2"/>
      <c r="Q1313" s="2"/>
      <c r="R1313" s="2"/>
      <c r="S1313" s="2" t="s">
        <v>11857</v>
      </c>
      <c r="T1313" s="2" t="s">
        <v>11858</v>
      </c>
      <c r="U1313" s="2" t="s">
        <v>11859</v>
      </c>
      <c r="V1313" s="2" t="s">
        <v>385</v>
      </c>
      <c r="W1313" s="2" t="s">
        <v>3055</v>
      </c>
      <c r="X1313" s="2" t="s">
        <v>4768</v>
      </c>
      <c r="Y1313" s="2" t="s">
        <v>388</v>
      </c>
      <c r="Z1313" s="2" t="s">
        <v>3056</v>
      </c>
      <c r="AA1313" s="2" t="s">
        <v>4769</v>
      </c>
      <c r="AB1313" s="2" t="s">
        <v>8443</v>
      </c>
      <c r="AC1313" s="2">
        <v>46.21</v>
      </c>
      <c r="AD1313" s="2">
        <v>97.34</v>
      </c>
      <c r="AE1313" s="2">
        <v>0</v>
      </c>
      <c r="AF1313" s="2" t="s">
        <v>5614</v>
      </c>
      <c r="AG1313" s="2" t="s">
        <v>157</v>
      </c>
      <c r="AH1313" s="2" t="s">
        <v>11860</v>
      </c>
      <c r="AI1313" s="2">
        <v>2.13</v>
      </c>
      <c r="AJ1313" s="2">
        <v>20.128894138299401</v>
      </c>
      <c r="AK1313" s="2">
        <v>19.920698607970898</v>
      </c>
      <c r="AL1313" s="2">
        <v>19.551292407892301</v>
      </c>
      <c r="AM1313" s="2">
        <v>19.832656850090899</v>
      </c>
      <c r="AN1313" s="2">
        <v>19.902388305211101</v>
      </c>
      <c r="AO1313" s="2">
        <v>19.4629121979813</v>
      </c>
      <c r="AP1313" s="2">
        <v>19.897453795711499</v>
      </c>
      <c r="AQ1313" s="2">
        <v>19.2720816634016</v>
      </c>
      <c r="AR1313" s="2">
        <v>20.031223793097901</v>
      </c>
      <c r="AS1313" s="2">
        <v>19.9020132941633</v>
      </c>
      <c r="AT1313" s="2">
        <v>20.048513973760301</v>
      </c>
      <c r="AU1313" s="2">
        <v>19.640224102981499</v>
      </c>
      <c r="AV1313" s="2">
        <v>19.980336249722701</v>
      </c>
      <c r="AW1313" s="2">
        <v>19.897717439968599</v>
      </c>
      <c r="AX1313" s="2">
        <v>19.4904333800087</v>
      </c>
      <c r="AY1313" s="2">
        <v>20.126370309870101</v>
      </c>
      <c r="AZ1313" s="2">
        <v>19.974487538912399</v>
      </c>
      <c r="BA1313" s="2">
        <v>19.9870894944935</v>
      </c>
      <c r="BB1313" s="2">
        <v>19.768545467121399</v>
      </c>
      <c r="BC1313" s="2">
        <v>20.1572967600368</v>
      </c>
      <c r="BD1313" s="2">
        <v>19.957764602486101</v>
      </c>
      <c r="BE1313" s="2">
        <v>19.785278682289999</v>
      </c>
      <c r="BF1313" s="2">
        <v>19.7906036957963</v>
      </c>
      <c r="BG1313" s="2">
        <v>20.078101945684701</v>
      </c>
      <c r="BH1313" s="2">
        <v>19.9124176052159</v>
      </c>
      <c r="BI1313" s="2">
        <v>19.942165850856298</v>
      </c>
      <c r="BJ1313" s="2">
        <v>19.746743168385201</v>
      </c>
      <c r="BK1313" s="2">
        <v>20.268897734805499</v>
      </c>
      <c r="BL1313" s="2">
        <v>19.819072643990499</v>
      </c>
      <c r="BM1313" s="2">
        <v>20.177018620111301</v>
      </c>
      <c r="BN1313" s="2">
        <v>19.789115807213498</v>
      </c>
      <c r="BO1313" s="2">
        <v>20.046563939363299</v>
      </c>
      <c r="BP1313" s="2">
        <v>19.747144244100699</v>
      </c>
      <c r="BQ1313" s="2">
        <v>19.517780806590299</v>
      </c>
      <c r="BR1313" s="2">
        <v>20.066745616851399</v>
      </c>
      <c r="BS1313" s="2">
        <v>19.492242599583999</v>
      </c>
      <c r="BT1313" s="2">
        <v>19.296842625082999</v>
      </c>
      <c r="BU1313" s="2">
        <v>19.598525625092702</v>
      </c>
      <c r="BV1313" s="2">
        <v>19.537002197767698</v>
      </c>
      <c r="BW1313" s="2">
        <v>19.6168214590977</v>
      </c>
      <c r="BX1313" s="2">
        <v>19.6247204860497</v>
      </c>
      <c r="BY1313" s="2">
        <v>19.966429774446599</v>
      </c>
      <c r="BZ1313" s="2">
        <v>19.971296431183699</v>
      </c>
      <c r="CA1313" s="2">
        <v>19.785388416492101</v>
      </c>
      <c r="CB1313" s="2">
        <v>19.523081324774001</v>
      </c>
      <c r="CC1313" s="2">
        <v>19.5142760883055</v>
      </c>
      <c r="CD1313" s="2">
        <v>19.561543628506399</v>
      </c>
      <c r="CE1313" s="2">
        <v>19.8609923411686</v>
      </c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</row>
    <row r="1314" spans="1:97">
      <c r="A1314" s="2" t="s">
        <v>11861</v>
      </c>
      <c r="B1314" s="2">
        <v>188.10273000000001</v>
      </c>
      <c r="C1314" s="2">
        <v>0.72099999999999997</v>
      </c>
      <c r="D1314" s="2" t="s">
        <v>84</v>
      </c>
      <c r="E1314" s="2" t="s">
        <v>11862</v>
      </c>
      <c r="F1314" s="2"/>
      <c r="G1314" s="2">
        <v>595663</v>
      </c>
      <c r="H1314" s="3" t="str">
        <f>HYPERLINK("https://cloud.oebiotech.com/#/lm/network/595663", "https://cloud.oebiotech.com/#/lm/network/595663")</f>
        <v>https://cloud.oebiotech.com/#/lm/network/595663</v>
      </c>
      <c r="I1314" s="2"/>
      <c r="J1314" s="2"/>
      <c r="K1314" s="2"/>
      <c r="L1314" s="2">
        <v>79287500</v>
      </c>
      <c r="M1314" s="2"/>
      <c r="N1314" s="2"/>
      <c r="O1314" s="2"/>
      <c r="P1314" s="2"/>
      <c r="Q1314" s="2"/>
      <c r="R1314" s="2"/>
      <c r="S1314" s="2"/>
      <c r="T1314" s="2" t="s">
        <v>11863</v>
      </c>
      <c r="U1314" s="2" t="s">
        <v>11864</v>
      </c>
      <c r="V1314" s="2" t="s">
        <v>115</v>
      </c>
      <c r="W1314" s="2" t="s">
        <v>116</v>
      </c>
      <c r="X1314" s="2" t="s">
        <v>117</v>
      </c>
      <c r="Y1314" s="2" t="s">
        <v>118</v>
      </c>
      <c r="Z1314" s="2" t="s">
        <v>119</v>
      </c>
      <c r="AA1314" s="2" t="s">
        <v>120</v>
      </c>
      <c r="AB1314" s="2" t="s">
        <v>5118</v>
      </c>
      <c r="AC1314" s="2">
        <v>46.2</v>
      </c>
      <c r="AD1314" s="2">
        <v>95.02</v>
      </c>
      <c r="AE1314" s="2">
        <v>48.69</v>
      </c>
      <c r="AF1314" s="2" t="s">
        <v>11865</v>
      </c>
      <c r="AG1314" s="2" t="s">
        <v>132</v>
      </c>
      <c r="AH1314" s="2" t="s">
        <v>11866</v>
      </c>
      <c r="AI1314" s="2">
        <v>1.59</v>
      </c>
      <c r="AJ1314" s="2">
        <v>22.549538414513599</v>
      </c>
      <c r="AK1314" s="2">
        <v>23.173400795168501</v>
      </c>
      <c r="AL1314" s="2">
        <v>23.058119872782399</v>
      </c>
      <c r="AM1314" s="2">
        <v>23.369114164252402</v>
      </c>
      <c r="AN1314" s="2">
        <v>23.257069075291898</v>
      </c>
      <c r="AO1314" s="2">
        <v>23.369980769701399</v>
      </c>
      <c r="AP1314" s="2">
        <v>23.306074428847001</v>
      </c>
      <c r="AQ1314" s="2">
        <v>23.4919157840962</v>
      </c>
      <c r="AR1314" s="2">
        <v>22.686566229337899</v>
      </c>
      <c r="AS1314" s="2">
        <v>22.927672167302902</v>
      </c>
      <c r="AT1314" s="2">
        <v>23.625932145820201</v>
      </c>
      <c r="AU1314" s="2">
        <v>22.126651166220299</v>
      </c>
      <c r="AV1314" s="2">
        <v>23.151697305296299</v>
      </c>
      <c r="AW1314" s="2">
        <v>23.20325003068</v>
      </c>
      <c r="AX1314" s="2">
        <v>23.205077930331601</v>
      </c>
      <c r="AY1314" s="2">
        <v>23.068079562814098</v>
      </c>
      <c r="AZ1314" s="2">
        <v>23.427982029302701</v>
      </c>
      <c r="BA1314" s="2">
        <v>23.062679308622901</v>
      </c>
      <c r="BB1314" s="2">
        <v>22.925690303653699</v>
      </c>
      <c r="BC1314" s="2">
        <v>21.320875369694701</v>
      </c>
      <c r="BD1314" s="2">
        <v>23.464626675266199</v>
      </c>
      <c r="BE1314" s="2">
        <v>23.547974235368802</v>
      </c>
      <c r="BF1314" s="2">
        <v>23.7972599514972</v>
      </c>
      <c r="BG1314" s="2">
        <v>23.634801874688598</v>
      </c>
      <c r="BH1314" s="2">
        <v>23.0773326537184</v>
      </c>
      <c r="BI1314" s="2">
        <v>23.021640953407299</v>
      </c>
      <c r="BJ1314" s="2">
        <v>23.616679432020401</v>
      </c>
      <c r="BK1314" s="2">
        <v>23.341329823885399</v>
      </c>
      <c r="BL1314" s="2">
        <v>23.061011584642699</v>
      </c>
      <c r="BM1314" s="2">
        <v>22.6461907587395</v>
      </c>
      <c r="BN1314" s="2">
        <v>22.888787049152199</v>
      </c>
      <c r="BO1314" s="2">
        <v>23.2582590806342</v>
      </c>
      <c r="BP1314" s="2">
        <v>23.925554073165799</v>
      </c>
      <c r="BQ1314" s="2">
        <v>23.1768303061307</v>
      </c>
      <c r="BR1314" s="2">
        <v>23.074697207302201</v>
      </c>
      <c r="BS1314" s="2">
        <v>23.2571884416251</v>
      </c>
      <c r="BT1314" s="2">
        <v>23.3419257766156</v>
      </c>
      <c r="BU1314" s="2">
        <v>23.131955362378001</v>
      </c>
      <c r="BV1314" s="2">
        <v>22.978310918053801</v>
      </c>
      <c r="BW1314" s="2">
        <v>23.808187332432599</v>
      </c>
      <c r="BX1314" s="2">
        <v>23.159936993305401</v>
      </c>
      <c r="BY1314" s="2">
        <v>23.1294803161021</v>
      </c>
      <c r="BZ1314" s="2">
        <v>23.593227163396001</v>
      </c>
      <c r="CA1314" s="2">
        <v>23.3548432570493</v>
      </c>
      <c r="CB1314" s="2">
        <v>24.326461179072801</v>
      </c>
      <c r="CC1314" s="2">
        <v>23.693763393241198</v>
      </c>
      <c r="CD1314" s="2">
        <v>24.088434253342299</v>
      </c>
      <c r="CE1314" s="2">
        <v>23.5416550615451</v>
      </c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</row>
    <row r="1315" spans="1:97">
      <c r="A1315" s="2" t="s">
        <v>11867</v>
      </c>
      <c r="B1315" s="2">
        <v>112.00633000000001</v>
      </c>
      <c r="C1315" s="2">
        <v>0.58299999999999996</v>
      </c>
      <c r="D1315" s="2" t="s">
        <v>84</v>
      </c>
      <c r="E1315" s="2" t="s">
        <v>11868</v>
      </c>
      <c r="F1315" s="2" t="s">
        <v>11869</v>
      </c>
      <c r="G1315" s="2">
        <v>203431</v>
      </c>
      <c r="H1315" s="3" t="str">
        <f>HYPERLINK("https://cloud.oebiotech.com/#/lm/network/203431", "https://cloud.oebiotech.com/#/lm/network/203431")</f>
        <v>https://cloud.oebiotech.com/#/lm/network/203431</v>
      </c>
      <c r="I1315" s="2" t="s">
        <v>11870</v>
      </c>
      <c r="J1315" s="2">
        <v>357762</v>
      </c>
      <c r="K1315" s="2"/>
      <c r="L1315" s="2">
        <v>83791</v>
      </c>
      <c r="M1315" s="2"/>
      <c r="N1315" s="2"/>
      <c r="O1315" s="2"/>
      <c r="P1315" s="2"/>
      <c r="Q1315" s="2"/>
      <c r="R1315" s="2"/>
      <c r="S1315" s="2"/>
      <c r="T1315" s="2" t="s">
        <v>11871</v>
      </c>
      <c r="U1315" s="2" t="s">
        <v>11872</v>
      </c>
      <c r="V1315" s="2" t="s">
        <v>115</v>
      </c>
      <c r="W1315" s="2" t="s">
        <v>2162</v>
      </c>
      <c r="X1315" s="2" t="s">
        <v>2163</v>
      </c>
      <c r="Y1315" s="2" t="s">
        <v>118</v>
      </c>
      <c r="Z1315" s="2" t="s">
        <v>2164</v>
      </c>
      <c r="AA1315" s="2" t="s">
        <v>2164</v>
      </c>
      <c r="AB1315" s="2" t="s">
        <v>8443</v>
      </c>
      <c r="AC1315" s="2">
        <v>46.19</v>
      </c>
      <c r="AD1315" s="2">
        <v>96.08</v>
      </c>
      <c r="AE1315" s="2">
        <v>0</v>
      </c>
      <c r="AF1315" s="2" t="s">
        <v>5614</v>
      </c>
      <c r="AG1315" s="2" t="s">
        <v>103</v>
      </c>
      <c r="AH1315" s="2" t="s">
        <v>11873</v>
      </c>
      <c r="AI1315" s="2">
        <v>0</v>
      </c>
      <c r="AJ1315" s="2">
        <v>24.956308297375799</v>
      </c>
      <c r="AK1315" s="2">
        <v>24.724939030584501</v>
      </c>
      <c r="AL1315" s="2">
        <v>25.0327358794651</v>
      </c>
      <c r="AM1315" s="2">
        <v>24.910252893708801</v>
      </c>
      <c r="AN1315" s="2">
        <v>25.123141157073899</v>
      </c>
      <c r="AO1315" s="2">
        <v>24.907317095395999</v>
      </c>
      <c r="AP1315" s="2">
        <v>24.581175929730101</v>
      </c>
      <c r="AQ1315" s="2">
        <v>24.8346789405633</v>
      </c>
      <c r="AR1315" s="2">
        <v>24.445563467679801</v>
      </c>
      <c r="AS1315" s="2">
        <v>24.5250964076338</v>
      </c>
      <c r="AT1315" s="2">
        <v>24.520640432823502</v>
      </c>
      <c r="AU1315" s="2">
        <v>24.451259186609501</v>
      </c>
      <c r="AV1315" s="2">
        <v>24.842019870106199</v>
      </c>
      <c r="AW1315" s="2">
        <v>24.697127429178501</v>
      </c>
      <c r="AX1315" s="2">
        <v>24.716735636492299</v>
      </c>
      <c r="AY1315" s="2">
        <v>24.875187496304999</v>
      </c>
      <c r="AZ1315" s="2">
        <v>24.6153163428048</v>
      </c>
      <c r="BA1315" s="2">
        <v>24.7031673166234</v>
      </c>
      <c r="BB1315" s="2">
        <v>24.8316060058193</v>
      </c>
      <c r="BC1315" s="2">
        <v>24.942904095730299</v>
      </c>
      <c r="BD1315" s="2">
        <v>24.744819718849499</v>
      </c>
      <c r="BE1315" s="2">
        <v>25.052078110454101</v>
      </c>
      <c r="BF1315" s="2">
        <v>24.738764691382201</v>
      </c>
      <c r="BG1315" s="2">
        <v>24.8036947002172</v>
      </c>
      <c r="BH1315" s="2">
        <v>24.906308426500399</v>
      </c>
      <c r="BI1315" s="2">
        <v>24.448585145726302</v>
      </c>
      <c r="BJ1315" s="2">
        <v>24.730809405426498</v>
      </c>
      <c r="BK1315" s="2">
        <v>24.776638677692699</v>
      </c>
      <c r="BL1315" s="2">
        <v>24.629124413279701</v>
      </c>
      <c r="BM1315" s="2">
        <v>25.0074409570928</v>
      </c>
      <c r="BN1315" s="2">
        <v>24.7885635116406</v>
      </c>
      <c r="BO1315" s="2">
        <v>24.518027446920801</v>
      </c>
      <c r="BP1315" s="2">
        <v>24.4668208053976</v>
      </c>
      <c r="BQ1315" s="2">
        <v>24.561635925456802</v>
      </c>
      <c r="BR1315" s="2">
        <v>24.301851598033601</v>
      </c>
      <c r="BS1315" s="2">
        <v>24.8769421011378</v>
      </c>
      <c r="BT1315" s="2">
        <v>24.988164904153201</v>
      </c>
      <c r="BU1315" s="2">
        <v>24.803690824713399</v>
      </c>
      <c r="BV1315" s="2">
        <v>25.0018656820105</v>
      </c>
      <c r="BW1315" s="2">
        <v>24.765564269917899</v>
      </c>
      <c r="BX1315" s="2">
        <v>24.7776400923339</v>
      </c>
      <c r="BY1315" s="2">
        <v>25.489464745176001</v>
      </c>
      <c r="BZ1315" s="2">
        <v>24.507156583947999</v>
      </c>
      <c r="CA1315" s="2">
        <v>24.6305180808383</v>
      </c>
      <c r="CB1315" s="2">
        <v>24.649760036742698</v>
      </c>
      <c r="CC1315" s="2">
        <v>24.617692986472498</v>
      </c>
      <c r="CD1315" s="2">
        <v>24.933457993762701</v>
      </c>
      <c r="CE1315" s="2">
        <v>24.8169261065954</v>
      </c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</row>
    <row r="1316" spans="1:97">
      <c r="A1316" s="2" t="s">
        <v>11874</v>
      </c>
      <c r="B1316" s="2">
        <v>270.31511</v>
      </c>
      <c r="C1316" s="2">
        <v>10.144</v>
      </c>
      <c r="D1316" s="2" t="s">
        <v>84</v>
      </c>
      <c r="E1316" s="2" t="s">
        <v>11875</v>
      </c>
      <c r="F1316" s="2" t="s">
        <v>11876</v>
      </c>
      <c r="G1316" s="2">
        <v>54508</v>
      </c>
      <c r="H1316" s="3" t="str">
        <f>HYPERLINK("https://cloud.oebiotech.com/#/lm/network/54508", "https://cloud.oebiotech.com/#/lm/network/54508")</f>
        <v>https://cloud.oebiotech.com/#/lm/network/54508</v>
      </c>
      <c r="I1316" s="2" t="s">
        <v>11877</v>
      </c>
      <c r="J1316" s="2">
        <v>24042</v>
      </c>
      <c r="K1316" s="2"/>
      <c r="L1316" s="2">
        <v>15793</v>
      </c>
      <c r="M1316" s="2"/>
      <c r="N1316" s="2"/>
      <c r="O1316" s="2"/>
      <c r="P1316" s="2">
        <v>63866</v>
      </c>
      <c r="Q1316" s="2"/>
      <c r="R1316" s="2"/>
      <c r="S1316" s="2" t="s">
        <v>11878</v>
      </c>
      <c r="T1316" s="2" t="s">
        <v>11879</v>
      </c>
      <c r="U1316" s="2" t="s">
        <v>11880</v>
      </c>
      <c r="V1316" s="2" t="s">
        <v>166</v>
      </c>
      <c r="W1316" s="2" t="s">
        <v>167</v>
      </c>
      <c r="X1316" s="2" t="s">
        <v>482</v>
      </c>
      <c r="Y1316" s="2" t="s">
        <v>169</v>
      </c>
      <c r="Z1316" s="2" t="s">
        <v>169</v>
      </c>
      <c r="AA1316" s="2" t="s">
        <v>483</v>
      </c>
      <c r="AB1316" s="2" t="s">
        <v>8443</v>
      </c>
      <c r="AC1316" s="2">
        <v>46.17</v>
      </c>
      <c r="AD1316" s="2">
        <v>88.78</v>
      </c>
      <c r="AE1316" s="2">
        <v>0</v>
      </c>
      <c r="AF1316" s="2" t="s">
        <v>11881</v>
      </c>
      <c r="AG1316" s="2" t="s">
        <v>103</v>
      </c>
      <c r="AH1316" s="2" t="s">
        <v>11882</v>
      </c>
      <c r="AI1316" s="2">
        <v>1.48</v>
      </c>
      <c r="AJ1316" s="2">
        <v>20.361854313386001</v>
      </c>
      <c r="AK1316" s="2">
        <v>20.618620538741599</v>
      </c>
      <c r="AL1316" s="2">
        <v>20.5505945147872</v>
      </c>
      <c r="AM1316" s="2">
        <v>20.447200251507901</v>
      </c>
      <c r="AN1316" s="2">
        <v>20.586327232171602</v>
      </c>
      <c r="AO1316" s="2">
        <v>20.4026679406679</v>
      </c>
      <c r="AP1316" s="2">
        <v>20.231054906658901</v>
      </c>
      <c r="AQ1316" s="2">
        <v>19.832954246625601</v>
      </c>
      <c r="AR1316" s="2">
        <v>20.4040038725235</v>
      </c>
      <c r="AS1316" s="2">
        <v>20.308576020604601</v>
      </c>
      <c r="AT1316" s="2">
        <v>20.3355650149404</v>
      </c>
      <c r="AU1316" s="2">
        <v>20.250573297191501</v>
      </c>
      <c r="AV1316" s="2">
        <v>19.3691168407438</v>
      </c>
      <c r="AW1316" s="2">
        <v>20.129265846094899</v>
      </c>
      <c r="AX1316" s="2">
        <v>19.9912279161796</v>
      </c>
      <c r="AY1316" s="2">
        <v>20.398806255373099</v>
      </c>
      <c r="AZ1316" s="2">
        <v>20.031347737707001</v>
      </c>
      <c r="BA1316" s="2">
        <v>20.0121421923829</v>
      </c>
      <c r="BB1316" s="2">
        <v>20.539022470726799</v>
      </c>
      <c r="BC1316" s="2">
        <v>20.4411795342136</v>
      </c>
      <c r="BD1316" s="2">
        <v>20.318531545223401</v>
      </c>
      <c r="BE1316" s="2">
        <v>20.2330745681979</v>
      </c>
      <c r="BF1316" s="2">
        <v>20.813452508599799</v>
      </c>
      <c r="BG1316" s="2">
        <v>20.317696912688099</v>
      </c>
      <c r="BH1316" s="2">
        <v>20.466212004505302</v>
      </c>
      <c r="BI1316" s="2">
        <v>19.001904860023</v>
      </c>
      <c r="BJ1316" s="2">
        <v>20.2107643388815</v>
      </c>
      <c r="BK1316" s="2">
        <v>20.527506233381601</v>
      </c>
      <c r="BL1316" s="2">
        <v>20.341529410180001</v>
      </c>
      <c r="BM1316" s="2">
        <v>19.623145040766801</v>
      </c>
      <c r="BN1316" s="2">
        <v>20.670902912010799</v>
      </c>
      <c r="BO1316" s="2">
        <v>20.419286070939101</v>
      </c>
      <c r="BP1316" s="2">
        <v>20.187081073607501</v>
      </c>
      <c r="BQ1316" s="2">
        <v>19.5643700180472</v>
      </c>
      <c r="BR1316" s="2">
        <v>19.437147883913301</v>
      </c>
      <c r="BS1316" s="2">
        <v>19.815155386087099</v>
      </c>
      <c r="BT1316" s="2">
        <v>19.390270031010399</v>
      </c>
      <c r="BU1316" s="2">
        <v>20.372749784319701</v>
      </c>
      <c r="BV1316" s="2">
        <v>20.228276145489399</v>
      </c>
      <c r="BW1316" s="2">
        <v>20.3870173792819</v>
      </c>
      <c r="BX1316" s="2">
        <v>20.3993807102818</v>
      </c>
      <c r="BY1316" s="2">
        <v>20.065101162931199</v>
      </c>
      <c r="BZ1316" s="2">
        <v>19.899952749526499</v>
      </c>
      <c r="CA1316" s="2">
        <v>19.699180064875499</v>
      </c>
      <c r="CB1316" s="2">
        <v>20.422196909543999</v>
      </c>
      <c r="CC1316" s="2">
        <v>19.607511542375899</v>
      </c>
      <c r="CD1316" s="2">
        <v>19.720572581432801</v>
      </c>
      <c r="CE1316" s="2">
        <v>20.178166222453399</v>
      </c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</row>
    <row r="1317" spans="1:97">
      <c r="A1317" s="2" t="s">
        <v>11883</v>
      </c>
      <c r="B1317" s="2">
        <v>246.96080000000001</v>
      </c>
      <c r="C1317" s="2">
        <v>0.58499999999999996</v>
      </c>
      <c r="D1317" s="2" t="s">
        <v>146</v>
      </c>
      <c r="E1317" s="2" t="s">
        <v>11884</v>
      </c>
      <c r="F1317" s="2" t="s">
        <v>11885</v>
      </c>
      <c r="G1317" s="2">
        <v>206599</v>
      </c>
      <c r="H1317" s="3" t="str">
        <f>HYPERLINK("https://cloud.oebiotech.com/#/lm/network/206599", "https://cloud.oebiotech.com/#/lm/network/206599")</f>
        <v>https://cloud.oebiotech.com/#/lm/network/206599</v>
      </c>
      <c r="I1317" s="2" t="s">
        <v>11886</v>
      </c>
      <c r="J1317" s="2"/>
      <c r="K1317" s="2"/>
      <c r="L1317" s="2">
        <v>14075</v>
      </c>
      <c r="M1317" s="2"/>
      <c r="N1317" s="2"/>
      <c r="O1317" s="2"/>
      <c r="P1317" s="2"/>
      <c r="Q1317" s="2"/>
      <c r="R1317" s="2"/>
      <c r="S1317" s="2"/>
      <c r="T1317" s="2" t="s">
        <v>11887</v>
      </c>
      <c r="U1317" s="2" t="s">
        <v>11888</v>
      </c>
      <c r="V1317" s="2" t="s">
        <v>115</v>
      </c>
      <c r="W1317" s="2" t="s">
        <v>613</v>
      </c>
      <c r="X1317" s="2" t="s">
        <v>7162</v>
      </c>
      <c r="Y1317" s="2" t="s">
        <v>118</v>
      </c>
      <c r="Z1317" s="2" t="s">
        <v>615</v>
      </c>
      <c r="AA1317" s="2" t="s">
        <v>7163</v>
      </c>
      <c r="AB1317" s="2" t="s">
        <v>3086</v>
      </c>
      <c r="AC1317" s="2">
        <v>46.16</v>
      </c>
      <c r="AD1317" s="2">
        <v>90.5</v>
      </c>
      <c r="AE1317" s="2">
        <v>0</v>
      </c>
      <c r="AF1317" s="2" t="s">
        <v>5614</v>
      </c>
      <c r="AG1317" s="2" t="s">
        <v>3880</v>
      </c>
      <c r="AH1317" s="2" t="s">
        <v>11889</v>
      </c>
      <c r="AI1317" s="2">
        <v>-8.1</v>
      </c>
      <c r="AJ1317" s="2">
        <v>18.423565122680799</v>
      </c>
      <c r="AK1317" s="2">
        <v>18.498970519110301</v>
      </c>
      <c r="AL1317" s="2">
        <v>18.320315300800299</v>
      </c>
      <c r="AM1317" s="2">
        <v>18.2018673797545</v>
      </c>
      <c r="AN1317" s="2">
        <v>18.2976115207322</v>
      </c>
      <c r="AO1317" s="2">
        <v>18.766657303623901</v>
      </c>
      <c r="AP1317" s="2">
        <v>18.4602246571649</v>
      </c>
      <c r="AQ1317" s="2">
        <v>18.458739699745099</v>
      </c>
      <c r="AR1317" s="2">
        <v>18.412972009467101</v>
      </c>
      <c r="AS1317" s="2">
        <v>18.345266062833701</v>
      </c>
      <c r="AT1317" s="2">
        <v>18.259406655645702</v>
      </c>
      <c r="AU1317" s="2">
        <v>18.310173676187699</v>
      </c>
      <c r="AV1317" s="2">
        <v>18.5445163123591</v>
      </c>
      <c r="AW1317" s="2">
        <v>18.485624033567699</v>
      </c>
      <c r="AX1317" s="2">
        <v>18.395708253132</v>
      </c>
      <c r="AY1317" s="2">
        <v>18.9896214831424</v>
      </c>
      <c r="AZ1317" s="2">
        <v>18.189439477445099</v>
      </c>
      <c r="BA1317" s="2">
        <v>18.532656163778899</v>
      </c>
      <c r="BB1317" s="2">
        <v>18.654236242238099</v>
      </c>
      <c r="BC1317" s="2">
        <v>19.164787878609001</v>
      </c>
      <c r="BD1317" s="2">
        <v>18.293154048539201</v>
      </c>
      <c r="BE1317" s="2">
        <v>18.755333350900401</v>
      </c>
      <c r="BF1317" s="2">
        <v>18.083195861019199</v>
      </c>
      <c r="BG1317" s="2">
        <v>18.8582986569428</v>
      </c>
      <c r="BH1317" s="2">
        <v>18.552079160054099</v>
      </c>
      <c r="BI1317" s="2">
        <v>18.211356575310599</v>
      </c>
      <c r="BJ1317" s="2">
        <v>17.7970639728841</v>
      </c>
      <c r="BK1317" s="2">
        <v>18.1398768073682</v>
      </c>
      <c r="BL1317" s="2">
        <v>19.081236254697899</v>
      </c>
      <c r="BM1317" s="2">
        <v>19.044849345852899</v>
      </c>
      <c r="BN1317" s="2">
        <v>18.464215557585</v>
      </c>
      <c r="BO1317" s="2">
        <v>18.290150861676501</v>
      </c>
      <c r="BP1317" s="2">
        <v>18.286921701291099</v>
      </c>
      <c r="BQ1317" s="2">
        <v>18.195472802267101</v>
      </c>
      <c r="BR1317" s="2">
        <v>18.220604959189199</v>
      </c>
      <c r="BS1317" s="2">
        <v>19.199709674931</v>
      </c>
      <c r="BT1317" s="2">
        <v>18.849312333211699</v>
      </c>
      <c r="BU1317" s="2">
        <v>18.3161485713707</v>
      </c>
      <c r="BV1317" s="2">
        <v>18.476305616383598</v>
      </c>
      <c r="BW1317" s="2">
        <v>18.787963089042002</v>
      </c>
      <c r="BX1317" s="2">
        <v>18.737216606460699</v>
      </c>
      <c r="BY1317" s="2">
        <v>19.281119845200699</v>
      </c>
      <c r="BZ1317" s="2">
        <v>17.628690093470301</v>
      </c>
      <c r="CA1317" s="2">
        <v>18.248779542643</v>
      </c>
      <c r="CB1317" s="2">
        <v>18.3171173366738</v>
      </c>
      <c r="CC1317" s="2">
        <v>18.638687899762299</v>
      </c>
      <c r="CD1317" s="2">
        <v>18.715982093066899</v>
      </c>
      <c r="CE1317" s="2">
        <v>18.915662283849901</v>
      </c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</row>
    <row r="1318" spans="1:97">
      <c r="A1318" s="2" t="s">
        <v>11890</v>
      </c>
      <c r="B1318" s="2">
        <v>82.026740000000004</v>
      </c>
      <c r="C1318" s="2">
        <v>0.66400000000000003</v>
      </c>
      <c r="D1318" s="2" t="s">
        <v>84</v>
      </c>
      <c r="E1318" s="2" t="s">
        <v>11891</v>
      </c>
      <c r="F1318" s="2" t="s">
        <v>11892</v>
      </c>
      <c r="G1318" s="2">
        <v>56139</v>
      </c>
      <c r="H1318" s="3" t="str">
        <f>HYPERLINK("https://cloud.oebiotech.com/#/lm/network/56139", "https://cloud.oebiotech.com/#/lm/network/56139")</f>
        <v>https://cloud.oebiotech.com/#/lm/network/56139</v>
      </c>
      <c r="I1318" s="2" t="s">
        <v>11893</v>
      </c>
      <c r="J1318" s="2">
        <v>3711</v>
      </c>
      <c r="K1318" s="2"/>
      <c r="L1318" s="2">
        <v>178</v>
      </c>
      <c r="M1318" s="2" t="s">
        <v>11894</v>
      </c>
      <c r="N1318" s="2"/>
      <c r="O1318" s="2"/>
      <c r="P1318" s="2">
        <v>27856</v>
      </c>
      <c r="Q1318" s="2"/>
      <c r="R1318" s="2"/>
      <c r="S1318" s="2" t="s">
        <v>11895</v>
      </c>
      <c r="T1318" s="2" t="s">
        <v>11896</v>
      </c>
      <c r="U1318" s="2" t="s">
        <v>11897</v>
      </c>
      <c r="V1318" s="2" t="s">
        <v>115</v>
      </c>
      <c r="W1318" s="2" t="s">
        <v>4313</v>
      </c>
      <c r="X1318" s="2" t="s">
        <v>4314</v>
      </c>
      <c r="Y1318" s="2" t="s">
        <v>118</v>
      </c>
      <c r="Z1318" s="2" t="s">
        <v>4315</v>
      </c>
      <c r="AA1318" s="2" t="s">
        <v>4316</v>
      </c>
      <c r="AB1318" s="2" t="s">
        <v>3086</v>
      </c>
      <c r="AC1318" s="2">
        <v>46.16</v>
      </c>
      <c r="AD1318" s="2">
        <v>73.12</v>
      </c>
      <c r="AE1318" s="2">
        <v>0</v>
      </c>
      <c r="AF1318" s="2" t="s">
        <v>5614</v>
      </c>
      <c r="AG1318" s="2" t="s">
        <v>1578</v>
      </c>
      <c r="AH1318" s="2" t="s">
        <v>11898</v>
      </c>
      <c r="AI1318" s="2">
        <v>-5</v>
      </c>
      <c r="AJ1318" s="2">
        <v>21.211306253105001</v>
      </c>
      <c r="AK1318" s="2">
        <v>21.454218232935698</v>
      </c>
      <c r="AL1318" s="2">
        <v>21.300678940444701</v>
      </c>
      <c r="AM1318" s="2">
        <v>21.4213849540204</v>
      </c>
      <c r="AN1318" s="2">
        <v>21.1703832433145</v>
      </c>
      <c r="AO1318" s="2">
        <v>20.5532018979006</v>
      </c>
      <c r="AP1318" s="2">
        <v>21.2819621762632</v>
      </c>
      <c r="AQ1318" s="2">
        <v>20.042472932322301</v>
      </c>
      <c r="AR1318" s="2">
        <v>21.338200456436699</v>
      </c>
      <c r="AS1318" s="2">
        <v>21.227301901310401</v>
      </c>
      <c r="AT1318" s="2">
        <v>21.2003895761219</v>
      </c>
      <c r="AU1318" s="2">
        <v>20.632008482783998</v>
      </c>
      <c r="AV1318" s="2">
        <v>21.161710761911799</v>
      </c>
      <c r="AW1318" s="2">
        <v>19.631323923719499</v>
      </c>
      <c r="AX1318" s="2">
        <v>21.196397935255501</v>
      </c>
      <c r="AY1318" s="2">
        <v>21.340967646991299</v>
      </c>
      <c r="AZ1318" s="2">
        <v>20.847619878966899</v>
      </c>
      <c r="BA1318" s="2">
        <v>21.284906722145699</v>
      </c>
      <c r="BB1318" s="2">
        <v>21.0988811086232</v>
      </c>
      <c r="BC1318" s="2">
        <v>21.356031716177998</v>
      </c>
      <c r="BD1318" s="2">
        <v>21.162339459825901</v>
      </c>
      <c r="BE1318" s="2">
        <v>20.478916502990199</v>
      </c>
      <c r="BF1318" s="2">
        <v>20.5097821066975</v>
      </c>
      <c r="BG1318" s="2">
        <v>20.222260713958899</v>
      </c>
      <c r="BH1318" s="2">
        <v>21.206449113153699</v>
      </c>
      <c r="BI1318" s="2">
        <v>20.7506002408714</v>
      </c>
      <c r="BJ1318" s="2">
        <v>20.708389573433799</v>
      </c>
      <c r="BK1318" s="2">
        <v>20.908048539881101</v>
      </c>
      <c r="BL1318" s="2">
        <v>21.3215393286996</v>
      </c>
      <c r="BM1318" s="2">
        <v>20.2775290468417</v>
      </c>
      <c r="BN1318" s="2">
        <v>20.387895527579602</v>
      </c>
      <c r="BO1318" s="2">
        <v>20.942934688981001</v>
      </c>
      <c r="BP1318" s="2">
        <v>21.489263474498099</v>
      </c>
      <c r="BQ1318" s="2">
        <v>21.173259034246499</v>
      </c>
      <c r="BR1318" s="2">
        <v>20.893839812934502</v>
      </c>
      <c r="BS1318" s="2">
        <v>20.7380389141431</v>
      </c>
      <c r="BT1318" s="2">
        <v>21.105656179030401</v>
      </c>
      <c r="BU1318" s="2">
        <v>21.096814602681501</v>
      </c>
      <c r="BV1318" s="2">
        <v>21.134814876119801</v>
      </c>
      <c r="BW1318" s="2">
        <v>20.872721173507799</v>
      </c>
      <c r="BX1318" s="2">
        <v>20.448543011479</v>
      </c>
      <c r="BY1318" s="2">
        <v>21.089541431628302</v>
      </c>
      <c r="BZ1318" s="2">
        <v>20.324937627441098</v>
      </c>
      <c r="CA1318" s="2">
        <v>20.897401863235601</v>
      </c>
      <c r="CB1318" s="2">
        <v>21.3230107664819</v>
      </c>
      <c r="CC1318" s="2">
        <v>20.923657990689701</v>
      </c>
      <c r="CD1318" s="2">
        <v>21.445203541834399</v>
      </c>
      <c r="CE1318" s="2">
        <v>21.5217251012152</v>
      </c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</row>
    <row r="1319" spans="1:97">
      <c r="A1319" s="2" t="s">
        <v>11899</v>
      </c>
      <c r="B1319" s="2">
        <v>291.10746</v>
      </c>
      <c r="C1319" s="2">
        <v>0.80600000000000005</v>
      </c>
      <c r="D1319" s="2" t="s">
        <v>146</v>
      </c>
      <c r="E1319" s="2" t="s">
        <v>11900</v>
      </c>
      <c r="F1319" s="2"/>
      <c r="G1319" s="2">
        <v>595493</v>
      </c>
      <c r="H1319" s="3" t="str">
        <f>HYPERLINK("https://cloud.oebiotech.com/#/lm/network/595493", "https://cloud.oebiotech.com/#/lm/network/595493")</f>
        <v>https://cloud.oebiotech.com/#/lm/network/595493</v>
      </c>
      <c r="I1319" s="2"/>
      <c r="J1319" s="2"/>
      <c r="K1319" s="2"/>
      <c r="L1319" s="2">
        <v>14585977</v>
      </c>
      <c r="M1319" s="2"/>
      <c r="N1319" s="2"/>
      <c r="O1319" s="2"/>
      <c r="P1319" s="2"/>
      <c r="Q1319" s="2"/>
      <c r="R1319" s="2"/>
      <c r="S1319" s="2"/>
      <c r="T1319" s="2" t="s">
        <v>11901</v>
      </c>
      <c r="U1319" s="2" t="s">
        <v>11902</v>
      </c>
      <c r="V1319" s="2" t="s">
        <v>338</v>
      </c>
      <c r="W1319" s="2" t="s">
        <v>339</v>
      </c>
      <c r="X1319" s="2" t="s">
        <v>663</v>
      </c>
      <c r="Y1319" s="2" t="s">
        <v>341</v>
      </c>
      <c r="Z1319" s="2" t="s">
        <v>341</v>
      </c>
      <c r="AA1319" s="2" t="s">
        <v>664</v>
      </c>
      <c r="AB1319" s="2" t="s">
        <v>8443</v>
      </c>
      <c r="AC1319" s="2">
        <v>46.16</v>
      </c>
      <c r="AD1319" s="2">
        <v>91.54</v>
      </c>
      <c r="AE1319" s="2">
        <v>0</v>
      </c>
      <c r="AF1319" s="2" t="s">
        <v>5614</v>
      </c>
      <c r="AG1319" s="2" t="s">
        <v>993</v>
      </c>
      <c r="AH1319" s="2" t="s">
        <v>11903</v>
      </c>
      <c r="AI1319" s="2">
        <v>1.72</v>
      </c>
      <c r="AJ1319" s="2">
        <v>22.0494452438436</v>
      </c>
      <c r="AK1319" s="2">
        <v>21.438512480186901</v>
      </c>
      <c r="AL1319" s="2">
        <v>22.4205565489316</v>
      </c>
      <c r="AM1319" s="2">
        <v>22.492322974855501</v>
      </c>
      <c r="AN1319" s="2">
        <v>22.288864652331899</v>
      </c>
      <c r="AO1319" s="2">
        <v>22.159860708548202</v>
      </c>
      <c r="AP1319" s="2">
        <v>22.143975190389401</v>
      </c>
      <c r="AQ1319" s="2">
        <v>22.364044974965299</v>
      </c>
      <c r="AR1319" s="2">
        <v>22.259080301990899</v>
      </c>
      <c r="AS1319" s="2">
        <v>22.092352937117301</v>
      </c>
      <c r="AT1319" s="2">
        <v>22.365994174310401</v>
      </c>
      <c r="AU1319" s="2">
        <v>22.913628092076699</v>
      </c>
      <c r="AV1319" s="2">
        <v>21.3586346011</v>
      </c>
      <c r="AW1319" s="2">
        <v>21.688555056518101</v>
      </c>
      <c r="AX1319" s="2">
        <v>21.730767522408001</v>
      </c>
      <c r="AY1319" s="2">
        <v>22.143217548745501</v>
      </c>
      <c r="AZ1319" s="2">
        <v>21.328495113872702</v>
      </c>
      <c r="BA1319" s="2">
        <v>22.2773235810348</v>
      </c>
      <c r="BB1319" s="2">
        <v>21.852328975535698</v>
      </c>
      <c r="BC1319" s="2">
        <v>22.826177585987601</v>
      </c>
      <c r="BD1319" s="2">
        <v>21.764095104093901</v>
      </c>
      <c r="BE1319" s="2">
        <v>20.977196261724298</v>
      </c>
      <c r="BF1319" s="2">
        <v>21.747045965367501</v>
      </c>
      <c r="BG1319" s="2">
        <v>21.4121418832727</v>
      </c>
      <c r="BH1319" s="2">
        <v>22.225677184900398</v>
      </c>
      <c r="BI1319" s="2">
        <v>21.8918391861442</v>
      </c>
      <c r="BJ1319" s="2">
        <v>21.945872517156602</v>
      </c>
      <c r="BK1319" s="2">
        <v>22.4634343122761</v>
      </c>
      <c r="BL1319" s="2">
        <v>22.716949544736401</v>
      </c>
      <c r="BM1319" s="2">
        <v>23.4249348475375</v>
      </c>
      <c r="BN1319" s="2">
        <v>22.498509486771901</v>
      </c>
      <c r="BO1319" s="2">
        <v>20.852702290913999</v>
      </c>
      <c r="BP1319" s="2">
        <v>21.9501655327023</v>
      </c>
      <c r="BQ1319" s="2">
        <v>21.6912299397294</v>
      </c>
      <c r="BR1319" s="2">
        <v>22.2433680607522</v>
      </c>
      <c r="BS1319" s="2">
        <v>21.221508598152699</v>
      </c>
      <c r="BT1319" s="2">
        <v>22.008949181809001</v>
      </c>
      <c r="BU1319" s="2">
        <v>22.051738917106501</v>
      </c>
      <c r="BV1319" s="2">
        <v>21.946228742252799</v>
      </c>
      <c r="BW1319" s="2">
        <v>22.555660707129501</v>
      </c>
      <c r="BX1319" s="2">
        <v>22.0879684771268</v>
      </c>
      <c r="BY1319" s="2">
        <v>21.583756825198002</v>
      </c>
      <c r="BZ1319" s="2">
        <v>21.290236374497599</v>
      </c>
      <c r="CA1319" s="2">
        <v>21.354660358501299</v>
      </c>
      <c r="CB1319" s="2">
        <v>21.449514550494399</v>
      </c>
      <c r="CC1319" s="2">
        <v>21.882804636377099</v>
      </c>
      <c r="CD1319" s="2">
        <v>21.088471632490901</v>
      </c>
      <c r="CE1319" s="2">
        <v>21.7575970415451</v>
      </c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</row>
    <row r="1320" spans="1:97">
      <c r="A1320" s="2" t="s">
        <v>11904</v>
      </c>
      <c r="B1320" s="2">
        <v>257.01571999999999</v>
      </c>
      <c r="C1320" s="2">
        <v>0.88</v>
      </c>
      <c r="D1320" s="2" t="s">
        <v>146</v>
      </c>
      <c r="E1320" s="2" t="s">
        <v>11905</v>
      </c>
      <c r="F1320" s="2" t="s">
        <v>11906</v>
      </c>
      <c r="G1320" s="2">
        <v>212214</v>
      </c>
      <c r="H1320" s="3" t="str">
        <f>HYPERLINK("https://cloud.oebiotech.com/#/lm/network/212214", "https://cloud.oebiotech.com/#/lm/network/212214")</f>
        <v>https://cloud.oebiotech.com/#/lm/network/212214</v>
      </c>
      <c r="I1320" s="2" t="s">
        <v>11907</v>
      </c>
      <c r="J1320" s="2"/>
      <c r="K1320" s="2"/>
      <c r="L1320" s="2"/>
      <c r="M1320" s="2"/>
      <c r="N1320" s="2"/>
      <c r="O1320" s="2"/>
      <c r="P1320" s="2">
        <v>147411</v>
      </c>
      <c r="Q1320" s="2" t="s">
        <v>11908</v>
      </c>
      <c r="R1320" s="2" t="s">
        <v>11909</v>
      </c>
      <c r="S1320" s="2"/>
      <c r="T1320" s="2" t="s">
        <v>11910</v>
      </c>
      <c r="U1320" s="2" t="s">
        <v>11911</v>
      </c>
      <c r="V1320" s="2" t="s">
        <v>385</v>
      </c>
      <c r="W1320" s="2" t="s">
        <v>386</v>
      </c>
      <c r="X1320" s="2" t="s">
        <v>375</v>
      </c>
      <c r="Y1320" s="2" t="s">
        <v>388</v>
      </c>
      <c r="Z1320" s="2" t="s">
        <v>389</v>
      </c>
      <c r="AA1320" s="2"/>
      <c r="AB1320" s="2" t="s">
        <v>5118</v>
      </c>
      <c r="AC1320" s="2">
        <v>46.15</v>
      </c>
      <c r="AD1320" s="2">
        <v>71.34</v>
      </c>
      <c r="AE1320" s="2">
        <v>74.27</v>
      </c>
      <c r="AF1320" s="2" t="s">
        <v>11912</v>
      </c>
      <c r="AG1320" s="2" t="s">
        <v>4062</v>
      </c>
      <c r="AH1320" s="2" t="s">
        <v>11913</v>
      </c>
      <c r="AI1320" s="2">
        <v>0</v>
      </c>
      <c r="AJ1320" s="2">
        <v>21.516590522283</v>
      </c>
      <c r="AK1320" s="2">
        <v>21.503006282225201</v>
      </c>
      <c r="AL1320" s="2">
        <v>21.6100485641579</v>
      </c>
      <c r="AM1320" s="2">
        <v>21.755962381002099</v>
      </c>
      <c r="AN1320" s="2">
        <v>21.556531182319802</v>
      </c>
      <c r="AO1320" s="2">
        <v>21.406410145629799</v>
      </c>
      <c r="AP1320" s="2">
        <v>21.566989725722401</v>
      </c>
      <c r="AQ1320" s="2">
        <v>21.7834225222072</v>
      </c>
      <c r="AR1320" s="2">
        <v>21.164840402108801</v>
      </c>
      <c r="AS1320" s="2">
        <v>20.789643159490101</v>
      </c>
      <c r="AT1320" s="2">
        <v>21.4292972348494</v>
      </c>
      <c r="AU1320" s="2">
        <v>21.410135648750199</v>
      </c>
      <c r="AV1320" s="2">
        <v>21.062465268612701</v>
      </c>
      <c r="AW1320" s="2">
        <v>21.752536211394201</v>
      </c>
      <c r="AX1320" s="2">
        <v>21.784586560195201</v>
      </c>
      <c r="AY1320" s="2">
        <v>21.416830919884401</v>
      </c>
      <c r="AZ1320" s="2">
        <v>21.266799422986701</v>
      </c>
      <c r="BA1320" s="2">
        <v>22.117024477875301</v>
      </c>
      <c r="BB1320" s="2">
        <v>21.355656022595301</v>
      </c>
      <c r="BC1320" s="2">
        <v>21.586193059682401</v>
      </c>
      <c r="BD1320" s="2">
        <v>20.976032223159201</v>
      </c>
      <c r="BE1320" s="2">
        <v>21.346967631197799</v>
      </c>
      <c r="BF1320" s="2">
        <v>21.195143824294401</v>
      </c>
      <c r="BG1320" s="2">
        <v>21.779631329397301</v>
      </c>
      <c r="BH1320" s="2">
        <v>21.3663100252314</v>
      </c>
      <c r="BI1320" s="2">
        <v>22.0532858613565</v>
      </c>
      <c r="BJ1320" s="2">
        <v>21.1841789342363</v>
      </c>
      <c r="BK1320" s="2">
        <v>21.566634132728701</v>
      </c>
      <c r="BL1320" s="2">
        <v>20.7801733716143</v>
      </c>
      <c r="BM1320" s="2">
        <v>20.737902072777999</v>
      </c>
      <c r="BN1320" s="2">
        <v>21.401656425446401</v>
      </c>
      <c r="BO1320" s="2">
        <v>21.8124263771495</v>
      </c>
      <c r="BP1320" s="2">
        <v>20.8400800202797</v>
      </c>
      <c r="BQ1320" s="2">
        <v>21.447159900247001</v>
      </c>
      <c r="BR1320" s="2">
        <v>21.897202296170999</v>
      </c>
      <c r="BS1320" s="2">
        <v>21.165144876772899</v>
      </c>
      <c r="BT1320" s="2">
        <v>20.710734180459799</v>
      </c>
      <c r="BU1320" s="2">
        <v>21.1495508858726</v>
      </c>
      <c r="BV1320" s="2">
        <v>21.505721708255798</v>
      </c>
      <c r="BW1320" s="2">
        <v>21.152937088861801</v>
      </c>
      <c r="BX1320" s="2">
        <v>21.064479177153899</v>
      </c>
      <c r="BY1320" s="2">
        <v>21.162160701194601</v>
      </c>
      <c r="BZ1320" s="2">
        <v>21.1908454981983</v>
      </c>
      <c r="CA1320" s="2">
        <v>20.605628944039399</v>
      </c>
      <c r="CB1320" s="2">
        <v>21.284534423100698</v>
      </c>
      <c r="CC1320" s="2">
        <v>21.4405137561887</v>
      </c>
      <c r="CD1320" s="2">
        <v>20.946927072086599</v>
      </c>
      <c r="CE1320" s="2">
        <v>21.435924610356601</v>
      </c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</row>
    <row r="1321" spans="1:97">
      <c r="A1321" s="2" t="s">
        <v>11914</v>
      </c>
      <c r="B1321" s="2">
        <v>203.09325999999999</v>
      </c>
      <c r="C1321" s="2">
        <v>3.677</v>
      </c>
      <c r="D1321" s="2" t="s">
        <v>146</v>
      </c>
      <c r="E1321" s="2" t="s">
        <v>11915</v>
      </c>
      <c r="F1321" s="2" t="s">
        <v>11916</v>
      </c>
      <c r="G1321" s="2">
        <v>211632</v>
      </c>
      <c r="H1321" s="3" t="str">
        <f>HYPERLINK("https://cloud.oebiotech.com/#/lm/network/211632", "https://cloud.oebiotech.com/#/lm/network/211632")</f>
        <v>https://cloud.oebiotech.com/#/lm/network/211632</v>
      </c>
      <c r="I1321" s="2" t="s">
        <v>11917</v>
      </c>
      <c r="J1321" s="2"/>
      <c r="K1321" s="2"/>
      <c r="L1321" s="2">
        <v>57283441</v>
      </c>
      <c r="M1321" s="2"/>
      <c r="N1321" s="2"/>
      <c r="O1321" s="2"/>
      <c r="P1321" s="2"/>
      <c r="Q1321" s="2"/>
      <c r="R1321" s="2"/>
      <c r="S1321" s="2"/>
      <c r="T1321" s="2" t="s">
        <v>11918</v>
      </c>
      <c r="U1321" s="2" t="s">
        <v>11919</v>
      </c>
      <c r="V1321" s="2" t="s">
        <v>553</v>
      </c>
      <c r="W1321" s="2" t="s">
        <v>949</v>
      </c>
      <c r="X1321" s="2" t="s">
        <v>950</v>
      </c>
      <c r="Y1321" s="2" t="s">
        <v>556</v>
      </c>
      <c r="Z1321" s="2" t="s">
        <v>951</v>
      </c>
      <c r="AA1321" s="2" t="s">
        <v>952</v>
      </c>
      <c r="AB1321" s="2" t="s">
        <v>8443</v>
      </c>
      <c r="AC1321" s="2">
        <v>46.14</v>
      </c>
      <c r="AD1321" s="2">
        <v>93.49</v>
      </c>
      <c r="AE1321" s="2">
        <v>0</v>
      </c>
      <c r="AF1321" s="2" t="s">
        <v>5614</v>
      </c>
      <c r="AG1321" s="2" t="s">
        <v>993</v>
      </c>
      <c r="AH1321" s="2" t="s">
        <v>11920</v>
      </c>
      <c r="AI1321" s="2">
        <v>0</v>
      </c>
      <c r="AJ1321" s="2">
        <v>16.911727622586401</v>
      </c>
      <c r="AK1321" s="2">
        <v>17.260225190867398</v>
      </c>
      <c r="AL1321" s="2">
        <v>17.267773609578501</v>
      </c>
      <c r="AM1321" s="2">
        <v>17.102339396087899</v>
      </c>
      <c r="AN1321" s="2">
        <v>17.355335265237802</v>
      </c>
      <c r="AO1321" s="2">
        <v>17.560361571384401</v>
      </c>
      <c r="AP1321" s="2">
        <v>17.624918297278001</v>
      </c>
      <c r="AQ1321" s="2">
        <v>16.906537510088199</v>
      </c>
      <c r="AR1321" s="2">
        <v>14.5431019227011</v>
      </c>
      <c r="AS1321" s="2">
        <v>13.9575673227606</v>
      </c>
      <c r="AT1321" s="2">
        <v>16.476887619088</v>
      </c>
      <c r="AU1321" s="2">
        <v>16.487216694607199</v>
      </c>
      <c r="AV1321" s="2">
        <v>16.9416351179988</v>
      </c>
      <c r="AW1321" s="2">
        <v>16.318119443127099</v>
      </c>
      <c r="AX1321" s="2">
        <v>16.0643682771804</v>
      </c>
      <c r="AY1321" s="2">
        <v>16.780179484449</v>
      </c>
      <c r="AZ1321" s="2">
        <v>16.174290034387202</v>
      </c>
      <c r="BA1321" s="2">
        <v>15.6561787506022</v>
      </c>
      <c r="BB1321" s="2">
        <v>17.3008890199985</v>
      </c>
      <c r="BC1321" s="2">
        <v>17.324382743264199</v>
      </c>
      <c r="BD1321" s="2">
        <v>15.915411659254</v>
      </c>
      <c r="BE1321" s="2">
        <v>17.122796051374401</v>
      </c>
      <c r="BF1321" s="2">
        <v>17.407612411524401</v>
      </c>
      <c r="BG1321" s="2">
        <v>17.876094879746098</v>
      </c>
      <c r="BH1321" s="2">
        <v>16.703918574411102</v>
      </c>
      <c r="BI1321" s="2">
        <v>16.209945628735401</v>
      </c>
      <c r="BJ1321" s="2">
        <v>17.414656748244099</v>
      </c>
      <c r="BK1321" s="2">
        <v>16.331327233165101</v>
      </c>
      <c r="BL1321" s="2">
        <v>17.038533664894501</v>
      </c>
      <c r="BM1321" s="2">
        <v>17.954305153767798</v>
      </c>
      <c r="BN1321" s="2">
        <v>16.893930249973401</v>
      </c>
      <c r="BO1321" s="2">
        <v>16.062868511064099</v>
      </c>
      <c r="BP1321" s="2">
        <v>16.931635855051798</v>
      </c>
      <c r="BQ1321" s="2">
        <v>16.694983679348798</v>
      </c>
      <c r="BR1321" s="2">
        <v>17.017467646019</v>
      </c>
      <c r="BS1321" s="2">
        <v>16.249261256184099</v>
      </c>
      <c r="BT1321" s="2">
        <v>16.292371785428699</v>
      </c>
      <c r="BU1321" s="2">
        <v>15.5701139296478</v>
      </c>
      <c r="BV1321" s="2">
        <v>17.426046361482101</v>
      </c>
      <c r="BW1321" s="2">
        <v>15.314420032644099</v>
      </c>
      <c r="BX1321" s="2">
        <v>16.8690078221466</v>
      </c>
      <c r="BY1321" s="2">
        <v>17.603778090605999</v>
      </c>
      <c r="BZ1321" s="2">
        <v>16.989946470805499</v>
      </c>
      <c r="CA1321" s="2">
        <v>16.9981571507276</v>
      </c>
      <c r="CB1321" s="2">
        <v>16.4733051038951</v>
      </c>
      <c r="CC1321" s="2">
        <v>15.5997562589826</v>
      </c>
      <c r="CD1321" s="2">
        <v>17.683939767422999</v>
      </c>
      <c r="CE1321" s="2">
        <v>16.615009128586902</v>
      </c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</row>
    <row r="1322" spans="1:97">
      <c r="A1322" s="2" t="s">
        <v>11921</v>
      </c>
      <c r="B1322" s="2">
        <v>347.02238</v>
      </c>
      <c r="C1322" s="2">
        <v>6.907</v>
      </c>
      <c r="D1322" s="2" t="s">
        <v>146</v>
      </c>
      <c r="E1322" s="2" t="s">
        <v>11922</v>
      </c>
      <c r="F1322" s="2"/>
      <c r="G1322" s="2">
        <v>595913</v>
      </c>
      <c r="H1322" s="3" t="str">
        <f>HYPERLINK("https://cloud.oebiotech.com/#/lm/network/595913", "https://cloud.oebiotech.com/#/lm/network/595913")</f>
        <v>https://cloud.oebiotech.com/#/lm/network/595913</v>
      </c>
      <c r="I1322" s="2"/>
      <c r="J1322" s="2"/>
      <c r="K1322" s="2"/>
      <c r="L1322" s="2">
        <v>168292906</v>
      </c>
      <c r="M1322" s="2"/>
      <c r="N1322" s="2"/>
      <c r="O1322" s="2"/>
      <c r="P1322" s="2"/>
      <c r="Q1322" s="2"/>
      <c r="R1322" s="2"/>
      <c r="S1322" s="2"/>
      <c r="T1322" s="2" t="s">
        <v>11923</v>
      </c>
      <c r="U1322" s="2" t="s">
        <v>11924</v>
      </c>
      <c r="V1322" s="2" t="s">
        <v>385</v>
      </c>
      <c r="W1322" s="2" t="s">
        <v>11163</v>
      </c>
      <c r="X1322" s="2" t="s">
        <v>11925</v>
      </c>
      <c r="Y1322" s="2" t="s">
        <v>388</v>
      </c>
      <c r="Z1322" s="2" t="s">
        <v>11164</v>
      </c>
      <c r="AA1322" s="2" t="s">
        <v>11926</v>
      </c>
      <c r="AB1322" s="2" t="s">
        <v>5118</v>
      </c>
      <c r="AC1322" s="2">
        <v>46.14</v>
      </c>
      <c r="AD1322" s="2">
        <v>86.75</v>
      </c>
      <c r="AE1322" s="2">
        <v>61.34</v>
      </c>
      <c r="AF1322" s="2" t="s">
        <v>11927</v>
      </c>
      <c r="AG1322" s="2" t="s">
        <v>194</v>
      </c>
      <c r="AH1322" s="2" t="s">
        <v>11928</v>
      </c>
      <c r="AI1322" s="2">
        <v>2.02</v>
      </c>
      <c r="AJ1322" s="2">
        <v>17.3608527411239</v>
      </c>
      <c r="AK1322" s="2">
        <v>17.777213505715402</v>
      </c>
      <c r="AL1322" s="2">
        <v>17.402900390860601</v>
      </c>
      <c r="AM1322" s="2">
        <v>17.768394866163501</v>
      </c>
      <c r="AN1322" s="2">
        <v>17.7257179944278</v>
      </c>
      <c r="AO1322" s="2">
        <v>17.871432726259901</v>
      </c>
      <c r="AP1322" s="2">
        <v>17.605288809045302</v>
      </c>
      <c r="AQ1322" s="2">
        <v>17.369858524863101</v>
      </c>
      <c r="AR1322" s="2">
        <v>9.6233145402724691</v>
      </c>
      <c r="AS1322" s="2">
        <v>12.7778984247484</v>
      </c>
      <c r="AT1322" s="2">
        <v>9.6233145402724691</v>
      </c>
      <c r="AU1322" s="2">
        <v>17.3578354712917</v>
      </c>
      <c r="AV1322" s="2">
        <v>16.2952179194073</v>
      </c>
      <c r="AW1322" s="2">
        <v>9.6233145402724691</v>
      </c>
      <c r="AX1322" s="2">
        <v>9.6233145402724691</v>
      </c>
      <c r="AY1322" s="2">
        <v>15.2671762177254</v>
      </c>
      <c r="AZ1322" s="2">
        <v>9.6233145402724691</v>
      </c>
      <c r="BA1322" s="2">
        <v>14.7549141141312</v>
      </c>
      <c r="BB1322" s="2">
        <v>9.6233145402724691</v>
      </c>
      <c r="BC1322" s="2">
        <v>19.189594897680401</v>
      </c>
      <c r="BD1322" s="2">
        <v>9.6233145402724691</v>
      </c>
      <c r="BE1322" s="2">
        <v>9.6233145402724691</v>
      </c>
      <c r="BF1322" s="2">
        <v>13.929973105469699</v>
      </c>
      <c r="BG1322" s="2">
        <v>9.6233145402724691</v>
      </c>
      <c r="BH1322" s="2">
        <v>9.6233145402724691</v>
      </c>
      <c r="BI1322" s="2">
        <v>9.6233145402724691</v>
      </c>
      <c r="BJ1322" s="2">
        <v>9.6233145402724691</v>
      </c>
      <c r="BK1322" s="2">
        <v>11.7674437608479</v>
      </c>
      <c r="BL1322" s="2">
        <v>18.236611359440602</v>
      </c>
      <c r="BM1322" s="2">
        <v>19.237312419130799</v>
      </c>
      <c r="BN1322" s="2">
        <v>18.588508118972701</v>
      </c>
      <c r="BO1322" s="2">
        <v>17.890510164594701</v>
      </c>
      <c r="BP1322" s="2">
        <v>18.642734318941098</v>
      </c>
      <c r="BQ1322" s="2">
        <v>9.6233145402724691</v>
      </c>
      <c r="BR1322" s="2">
        <v>14.3113658820303</v>
      </c>
      <c r="BS1322" s="2">
        <v>19.900817643650001</v>
      </c>
      <c r="BT1322" s="2">
        <v>9.6233145402724691</v>
      </c>
      <c r="BU1322" s="2">
        <v>19.077925577584399</v>
      </c>
      <c r="BV1322" s="2">
        <v>21.935033290106102</v>
      </c>
      <c r="BW1322" s="2">
        <v>19.398041459567001</v>
      </c>
      <c r="BX1322" s="2">
        <v>19.249335869884899</v>
      </c>
      <c r="BY1322" s="2">
        <v>9.6233145402724691</v>
      </c>
      <c r="BZ1322" s="2">
        <v>9.6233145402724691</v>
      </c>
      <c r="CA1322" s="2">
        <v>19.8537956063054</v>
      </c>
      <c r="CB1322" s="2">
        <v>15.9751697544837</v>
      </c>
      <c r="CC1322" s="2">
        <v>9.6233145402724691</v>
      </c>
      <c r="CD1322" s="2">
        <v>9.6233145402724691</v>
      </c>
      <c r="CE1322" s="2">
        <v>14.164293368074601</v>
      </c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</row>
    <row r="1323" spans="1:97">
      <c r="A1323" s="2" t="s">
        <v>11929</v>
      </c>
      <c r="B1323" s="2">
        <v>214.08938000000001</v>
      </c>
      <c r="C1323" s="2">
        <v>6.8159999999999998</v>
      </c>
      <c r="D1323" s="2" t="s">
        <v>84</v>
      </c>
      <c r="E1323" s="2" t="s">
        <v>11930</v>
      </c>
      <c r="F1323" s="2" t="s">
        <v>11931</v>
      </c>
      <c r="G1323" s="2">
        <v>56772</v>
      </c>
      <c r="H1323" s="3" t="str">
        <f>HYPERLINK("https://cloud.oebiotech.com/#/lm/network/56772", "https://cloud.oebiotech.com/#/lm/network/56772")</f>
        <v>https://cloud.oebiotech.com/#/lm/network/56772</v>
      </c>
      <c r="I1323" s="2" t="s">
        <v>11932</v>
      </c>
      <c r="J1323" s="2">
        <v>88446</v>
      </c>
      <c r="K1323" s="2"/>
      <c r="L1323" s="2">
        <v>3023273</v>
      </c>
      <c r="M1323" s="2"/>
      <c r="N1323" s="2"/>
      <c r="O1323" s="2"/>
      <c r="P1323" s="2"/>
      <c r="Q1323" s="2"/>
      <c r="R1323" s="2"/>
      <c r="S1323" s="2" t="s">
        <v>11933</v>
      </c>
      <c r="T1323" s="2" t="s">
        <v>11934</v>
      </c>
      <c r="U1323" s="2" t="s">
        <v>11935</v>
      </c>
      <c r="V1323" s="2" t="s">
        <v>553</v>
      </c>
      <c r="W1323" s="2" t="s">
        <v>554</v>
      </c>
      <c r="X1323" s="2" t="s">
        <v>10017</v>
      </c>
      <c r="Y1323" s="2" t="s">
        <v>556</v>
      </c>
      <c r="Z1323" s="2" t="s">
        <v>557</v>
      </c>
      <c r="AA1323" s="2" t="s">
        <v>10018</v>
      </c>
      <c r="AB1323" s="2" t="s">
        <v>8443</v>
      </c>
      <c r="AC1323" s="2">
        <v>46.12</v>
      </c>
      <c r="AD1323" s="2">
        <v>90.89</v>
      </c>
      <c r="AE1323" s="2">
        <v>0</v>
      </c>
      <c r="AF1323" s="2" t="s">
        <v>5614</v>
      </c>
      <c r="AG1323" s="2" t="s">
        <v>103</v>
      </c>
      <c r="AH1323" s="2" t="s">
        <v>11936</v>
      </c>
      <c r="AI1323" s="2">
        <v>0.93</v>
      </c>
      <c r="AJ1323" s="2">
        <v>20.2028989550716</v>
      </c>
      <c r="AK1323" s="2">
        <v>19.825603544322</v>
      </c>
      <c r="AL1323" s="2">
        <v>20.6606746779476</v>
      </c>
      <c r="AM1323" s="2">
        <v>20.312597052419299</v>
      </c>
      <c r="AN1323" s="2">
        <v>19.839888994090199</v>
      </c>
      <c r="AO1323" s="2">
        <v>20.286973992876899</v>
      </c>
      <c r="AP1323" s="2">
        <v>20.304816261319399</v>
      </c>
      <c r="AQ1323" s="2">
        <v>20.247001096365398</v>
      </c>
      <c r="AR1323" s="2">
        <v>20.365774909263401</v>
      </c>
      <c r="AS1323" s="2">
        <v>20.5466282828564</v>
      </c>
      <c r="AT1323" s="2">
        <v>20.3540275063507</v>
      </c>
      <c r="AU1323" s="2">
        <v>20.367513209639299</v>
      </c>
      <c r="AV1323" s="2">
        <v>20.451717314781</v>
      </c>
      <c r="AW1323" s="2">
        <v>20.347330869616702</v>
      </c>
      <c r="AX1323" s="2">
        <v>20.418109118662102</v>
      </c>
      <c r="AY1323" s="2">
        <v>20.4224092849641</v>
      </c>
      <c r="AZ1323" s="2">
        <v>20.582515980746599</v>
      </c>
      <c r="BA1323" s="2">
        <v>20.690016119614199</v>
      </c>
      <c r="BB1323" s="2">
        <v>20.4688825699597</v>
      </c>
      <c r="BC1323" s="2">
        <v>20.679795216500899</v>
      </c>
      <c r="BD1323" s="2">
        <v>20.223748123861</v>
      </c>
      <c r="BE1323" s="2">
        <v>20.741698832530599</v>
      </c>
      <c r="BF1323" s="2">
        <v>20.320806453175098</v>
      </c>
      <c r="BG1323" s="2">
        <v>20.398172146687301</v>
      </c>
      <c r="BH1323" s="2">
        <v>20.3298633433932</v>
      </c>
      <c r="BI1323" s="2">
        <v>20.4227399267346</v>
      </c>
      <c r="BJ1323" s="2">
        <v>20.490124733129299</v>
      </c>
      <c r="BK1323" s="2">
        <v>20.4403721115827</v>
      </c>
      <c r="BL1323" s="2">
        <v>20.607890768265499</v>
      </c>
      <c r="BM1323" s="2">
        <v>20.478056116400801</v>
      </c>
      <c r="BN1323" s="2">
        <v>20.4867618363932</v>
      </c>
      <c r="BO1323" s="2">
        <v>20.5637640897776</v>
      </c>
      <c r="BP1323" s="2">
        <v>20.4758635586883</v>
      </c>
      <c r="BQ1323" s="2">
        <v>20.505660057250001</v>
      </c>
      <c r="BR1323" s="2">
        <v>20.442869740211801</v>
      </c>
      <c r="BS1323" s="2">
        <v>20.571252607440901</v>
      </c>
      <c r="BT1323" s="2">
        <v>20.4322883711258</v>
      </c>
      <c r="BU1323" s="2">
        <v>20.4606792103008</v>
      </c>
      <c r="BV1323" s="2">
        <v>20.499852474174698</v>
      </c>
      <c r="BW1323" s="2">
        <v>20.204139603669901</v>
      </c>
      <c r="BX1323" s="2">
        <v>20.457335375278099</v>
      </c>
      <c r="BY1323" s="2">
        <v>20.176775201744299</v>
      </c>
      <c r="BZ1323" s="2">
        <v>20.041138827517099</v>
      </c>
      <c r="CA1323" s="2">
        <v>20.519365449545901</v>
      </c>
      <c r="CB1323" s="2">
        <v>20.569095390450101</v>
      </c>
      <c r="CC1323" s="2">
        <v>20.367355749778898</v>
      </c>
      <c r="CD1323" s="2">
        <v>20.548761855735101</v>
      </c>
      <c r="CE1323" s="2">
        <v>20.478021237052499</v>
      </c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</row>
    <row r="1324" spans="1:97">
      <c r="A1324" s="2" t="s">
        <v>11937</v>
      </c>
      <c r="B1324" s="2">
        <v>216.17436000000001</v>
      </c>
      <c r="C1324" s="2">
        <v>5.5880000000000001</v>
      </c>
      <c r="D1324" s="2" t="s">
        <v>84</v>
      </c>
      <c r="E1324" s="2" t="s">
        <v>11938</v>
      </c>
      <c r="F1324" s="2" t="s">
        <v>11939</v>
      </c>
      <c r="G1324" s="2">
        <v>53559</v>
      </c>
      <c r="H1324" s="3" t="str">
        <f>HYPERLINK("https://cloud.oebiotech.com/#/lm/network/53559", "https://cloud.oebiotech.com/#/lm/network/53559")</f>
        <v>https://cloud.oebiotech.com/#/lm/network/53559</v>
      </c>
      <c r="I1324" s="2" t="s">
        <v>11940</v>
      </c>
      <c r="J1324" s="2">
        <v>85519</v>
      </c>
      <c r="K1324" s="2"/>
      <c r="L1324" s="2">
        <v>14584</v>
      </c>
      <c r="M1324" s="2"/>
      <c r="N1324" s="2"/>
      <c r="O1324" s="2"/>
      <c r="P1324" s="2">
        <v>101009</v>
      </c>
      <c r="Q1324" s="2"/>
      <c r="R1324" s="2"/>
      <c r="S1324" s="2" t="s">
        <v>11941</v>
      </c>
      <c r="T1324" s="2" t="s">
        <v>11942</v>
      </c>
      <c r="U1324" s="2" t="s">
        <v>11943</v>
      </c>
      <c r="V1324" s="2" t="s">
        <v>95</v>
      </c>
      <c r="W1324" s="2" t="s">
        <v>180</v>
      </c>
      <c r="X1324" s="2" t="s">
        <v>5048</v>
      </c>
      <c r="Y1324" s="2" t="s">
        <v>98</v>
      </c>
      <c r="Z1324" s="2" t="s">
        <v>182</v>
      </c>
      <c r="AA1324" s="2" t="s">
        <v>5049</v>
      </c>
      <c r="AB1324" s="2" t="s">
        <v>8443</v>
      </c>
      <c r="AC1324" s="2">
        <v>46.12</v>
      </c>
      <c r="AD1324" s="2">
        <v>90.15</v>
      </c>
      <c r="AE1324" s="2">
        <v>0</v>
      </c>
      <c r="AF1324" s="2" t="s">
        <v>5614</v>
      </c>
      <c r="AG1324" s="2" t="s">
        <v>103</v>
      </c>
      <c r="AH1324" s="2" t="s">
        <v>11944</v>
      </c>
      <c r="AI1324" s="2">
        <v>1.39</v>
      </c>
      <c r="AJ1324" s="2">
        <v>18.963488376415398</v>
      </c>
      <c r="AK1324" s="2">
        <v>19.054687775403899</v>
      </c>
      <c r="AL1324" s="2">
        <v>18.833773693265002</v>
      </c>
      <c r="AM1324" s="2">
        <v>19.034357911110099</v>
      </c>
      <c r="AN1324" s="2">
        <v>19.043458136791202</v>
      </c>
      <c r="AO1324" s="2">
        <v>19.079096755268701</v>
      </c>
      <c r="AP1324" s="2">
        <v>19.115416314167302</v>
      </c>
      <c r="AQ1324" s="2">
        <v>18.5871012776554</v>
      </c>
      <c r="AR1324" s="2">
        <v>19.0620368857257</v>
      </c>
      <c r="AS1324" s="2">
        <v>18.978698757938901</v>
      </c>
      <c r="AT1324" s="2">
        <v>19.217859108252402</v>
      </c>
      <c r="AU1324" s="2">
        <v>18.8400124380391</v>
      </c>
      <c r="AV1324" s="2">
        <v>19.131771596416701</v>
      </c>
      <c r="AW1324" s="2">
        <v>18.897944989928799</v>
      </c>
      <c r="AX1324" s="2">
        <v>19.180806972747501</v>
      </c>
      <c r="AY1324" s="2">
        <v>19.106614285448501</v>
      </c>
      <c r="AZ1324" s="2">
        <v>19.0856068704948</v>
      </c>
      <c r="BA1324" s="2">
        <v>19.075309368579301</v>
      </c>
      <c r="BB1324" s="2">
        <v>18.833135620689699</v>
      </c>
      <c r="BC1324" s="2">
        <v>19.038983485712901</v>
      </c>
      <c r="BD1324" s="2">
        <v>19.030529797400298</v>
      </c>
      <c r="BE1324" s="2">
        <v>18.854479473361799</v>
      </c>
      <c r="BF1324" s="2">
        <v>19.131960224689699</v>
      </c>
      <c r="BG1324" s="2">
        <v>19.1059024997158</v>
      </c>
      <c r="BH1324" s="2">
        <v>19.049084653523</v>
      </c>
      <c r="BI1324" s="2">
        <v>18.743831902730498</v>
      </c>
      <c r="BJ1324" s="2">
        <v>20.120623932737299</v>
      </c>
      <c r="BK1324" s="2">
        <v>19.010027650906899</v>
      </c>
      <c r="BL1324" s="2">
        <v>18.9854038944293</v>
      </c>
      <c r="BM1324" s="2">
        <v>19.0248772863008</v>
      </c>
      <c r="BN1324" s="2">
        <v>19.097609073584302</v>
      </c>
      <c r="BO1324" s="2">
        <v>19.175909516768598</v>
      </c>
      <c r="BP1324" s="2">
        <v>18.960112035662899</v>
      </c>
      <c r="BQ1324" s="2">
        <v>19.072599625587799</v>
      </c>
      <c r="BR1324" s="2">
        <v>18.6441005396421</v>
      </c>
      <c r="BS1324" s="2">
        <v>18.818241041076899</v>
      </c>
      <c r="BT1324" s="2">
        <v>18.970484876408001</v>
      </c>
      <c r="BU1324" s="2">
        <v>19.023722439944901</v>
      </c>
      <c r="BV1324" s="2">
        <v>18.775679043486601</v>
      </c>
      <c r="BW1324" s="2">
        <v>18.877400854028199</v>
      </c>
      <c r="BX1324" s="2">
        <v>19.002914759897202</v>
      </c>
      <c r="BY1324" s="2">
        <v>18.968725368871301</v>
      </c>
      <c r="BZ1324" s="2">
        <v>19.225399041570601</v>
      </c>
      <c r="CA1324" s="2">
        <v>19.433597828663199</v>
      </c>
      <c r="CB1324" s="2">
        <v>18.671417466801401</v>
      </c>
      <c r="CC1324" s="2">
        <v>19.176509195876701</v>
      </c>
      <c r="CD1324" s="2">
        <v>19.127364983883801</v>
      </c>
      <c r="CE1324" s="2">
        <v>19.108495206868799</v>
      </c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</row>
    <row r="1325" spans="1:97">
      <c r="A1325" s="2" t="s">
        <v>11945</v>
      </c>
      <c r="B1325" s="2">
        <v>93.034270000000006</v>
      </c>
      <c r="C1325" s="2">
        <v>3.915</v>
      </c>
      <c r="D1325" s="2" t="s">
        <v>146</v>
      </c>
      <c r="E1325" s="2" t="s">
        <v>11946</v>
      </c>
      <c r="F1325" s="2" t="s">
        <v>11947</v>
      </c>
      <c r="G1325" s="2">
        <v>56062</v>
      </c>
      <c r="H1325" s="3" t="str">
        <f>HYPERLINK("https://cloud.oebiotech.com/#/lm/network/56062", "https://cloud.oebiotech.com/#/lm/network/56062")</f>
        <v>https://cloud.oebiotech.com/#/lm/network/56062</v>
      </c>
      <c r="I1325" s="2" t="s">
        <v>11948</v>
      </c>
      <c r="J1325" s="2">
        <v>318978</v>
      </c>
      <c r="K1325" s="2"/>
      <c r="L1325" s="2">
        <v>16211403</v>
      </c>
      <c r="M1325" s="2"/>
      <c r="N1325" s="2"/>
      <c r="O1325" s="2"/>
      <c r="P1325" s="2"/>
      <c r="Q1325" s="2"/>
      <c r="R1325" s="2"/>
      <c r="S1325" s="2" t="s">
        <v>11949</v>
      </c>
      <c r="T1325" s="2" t="s">
        <v>11950</v>
      </c>
      <c r="U1325" s="2" t="s">
        <v>11951</v>
      </c>
      <c r="V1325" s="2" t="s">
        <v>338</v>
      </c>
      <c r="W1325" s="2" t="s">
        <v>339</v>
      </c>
      <c r="X1325" s="2" t="s">
        <v>340</v>
      </c>
      <c r="Y1325" s="2" t="s">
        <v>341</v>
      </c>
      <c r="Z1325" s="2" t="s">
        <v>341</v>
      </c>
      <c r="AA1325" s="2" t="s">
        <v>342</v>
      </c>
      <c r="AB1325" s="2" t="s">
        <v>8443</v>
      </c>
      <c r="AC1325" s="2">
        <v>46.11</v>
      </c>
      <c r="AD1325" s="2">
        <v>98.69</v>
      </c>
      <c r="AE1325" s="2">
        <v>0</v>
      </c>
      <c r="AF1325" s="2" t="s">
        <v>11952</v>
      </c>
      <c r="AG1325" s="2" t="s">
        <v>993</v>
      </c>
      <c r="AH1325" s="2" t="s">
        <v>11953</v>
      </c>
      <c r="AI1325" s="2">
        <v>-2.4700000000000002</v>
      </c>
      <c r="AJ1325" s="2">
        <v>22.799378929521598</v>
      </c>
      <c r="AK1325" s="2">
        <v>22.843797140249301</v>
      </c>
      <c r="AL1325" s="2">
        <v>22.807582927482901</v>
      </c>
      <c r="AM1325" s="2">
        <v>22.733908362840999</v>
      </c>
      <c r="AN1325" s="2">
        <v>22.817522203309299</v>
      </c>
      <c r="AO1325" s="2">
        <v>22.780675114703499</v>
      </c>
      <c r="AP1325" s="2">
        <v>22.694810371731201</v>
      </c>
      <c r="AQ1325" s="2">
        <v>21.984335004822999</v>
      </c>
      <c r="AR1325" s="2">
        <v>21.664360049292199</v>
      </c>
      <c r="AS1325" s="2">
        <v>21.8529838765437</v>
      </c>
      <c r="AT1325" s="2">
        <v>20.651060286384201</v>
      </c>
      <c r="AU1325" s="2">
        <v>22.471296684000201</v>
      </c>
      <c r="AV1325" s="2">
        <v>21.1157632708215</v>
      </c>
      <c r="AW1325" s="2">
        <v>23.409652007591401</v>
      </c>
      <c r="AX1325" s="2">
        <v>22.7212305100518</v>
      </c>
      <c r="AY1325" s="2">
        <v>21.267659725980099</v>
      </c>
      <c r="AZ1325" s="2">
        <v>20.480507204001199</v>
      </c>
      <c r="BA1325" s="2">
        <v>20.994149832154999</v>
      </c>
      <c r="BB1325" s="2">
        <v>23.746609229952</v>
      </c>
      <c r="BC1325" s="2">
        <v>21.481957478864999</v>
      </c>
      <c r="BD1325" s="2">
        <v>21.447839368493799</v>
      </c>
      <c r="BE1325" s="2">
        <v>21.6772342741682</v>
      </c>
      <c r="BF1325" s="2">
        <v>20.702456387335999</v>
      </c>
      <c r="BG1325" s="2">
        <v>23.545356670315801</v>
      </c>
      <c r="BH1325" s="2">
        <v>24.178883047849698</v>
      </c>
      <c r="BI1325" s="2">
        <v>24.677174214500699</v>
      </c>
      <c r="BJ1325" s="2">
        <v>21.869324357178101</v>
      </c>
      <c r="BK1325" s="2">
        <v>20.811270987609198</v>
      </c>
      <c r="BL1325" s="2">
        <v>21.9513330324022</v>
      </c>
      <c r="BM1325" s="2">
        <v>22.6632886586283</v>
      </c>
      <c r="BN1325" s="2">
        <v>22.156494566072301</v>
      </c>
      <c r="BO1325" s="2">
        <v>22.439417228087098</v>
      </c>
      <c r="BP1325" s="2">
        <v>22.9034930842489</v>
      </c>
      <c r="BQ1325" s="2">
        <v>22.9214658061886</v>
      </c>
      <c r="BR1325" s="2">
        <v>23.1817555517204</v>
      </c>
      <c r="BS1325" s="2">
        <v>22.158527747634999</v>
      </c>
      <c r="BT1325" s="2">
        <v>20.661778889180699</v>
      </c>
      <c r="BU1325" s="2">
        <v>21.272126064489001</v>
      </c>
      <c r="BV1325" s="2">
        <v>21.686066602401901</v>
      </c>
      <c r="BW1325" s="2">
        <v>20.409243141002602</v>
      </c>
      <c r="BX1325" s="2">
        <v>20.522025610204</v>
      </c>
      <c r="BY1325" s="2">
        <v>22.158653790596802</v>
      </c>
      <c r="BZ1325" s="2">
        <v>21.716210893584002</v>
      </c>
      <c r="CA1325" s="2">
        <v>20.8334211590808</v>
      </c>
      <c r="CB1325" s="2">
        <v>22.2240059944879</v>
      </c>
      <c r="CC1325" s="2">
        <v>23.629880266199802</v>
      </c>
      <c r="CD1325" s="2">
        <v>21.5654796185989</v>
      </c>
      <c r="CE1325" s="2">
        <v>20.623346426391901</v>
      </c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</row>
    <row r="1326" spans="1:97">
      <c r="A1326" s="2" t="s">
        <v>11954</v>
      </c>
      <c r="B1326" s="2">
        <v>159.02754999999999</v>
      </c>
      <c r="C1326" s="2">
        <v>0.78300000000000003</v>
      </c>
      <c r="D1326" s="2" t="s">
        <v>84</v>
      </c>
      <c r="E1326" s="2" t="s">
        <v>11955</v>
      </c>
      <c r="F1326" s="2" t="s">
        <v>11956</v>
      </c>
      <c r="G1326" s="2">
        <v>47124</v>
      </c>
      <c r="H1326" s="3" t="str">
        <f>HYPERLINK("https://cloud.oebiotech.com/#/lm/network/47124", "https://cloud.oebiotech.com/#/lm/network/47124")</f>
        <v>https://cloud.oebiotech.com/#/lm/network/47124</v>
      </c>
      <c r="I1326" s="2" t="s">
        <v>11957</v>
      </c>
      <c r="J1326" s="2">
        <v>45855</v>
      </c>
      <c r="K1326" s="2"/>
      <c r="L1326" s="2">
        <v>2781043</v>
      </c>
      <c r="M1326" s="2"/>
      <c r="N1326" s="2"/>
      <c r="O1326" s="2"/>
      <c r="P1326" s="2">
        <v>37655</v>
      </c>
      <c r="Q1326" s="2"/>
      <c r="R1326" s="2"/>
      <c r="S1326" s="2" t="s">
        <v>11958</v>
      </c>
      <c r="T1326" s="2" t="s">
        <v>11959</v>
      </c>
      <c r="U1326" s="2" t="s">
        <v>11960</v>
      </c>
      <c r="V1326" s="2" t="s">
        <v>338</v>
      </c>
      <c r="W1326" s="2" t="s">
        <v>339</v>
      </c>
      <c r="X1326" s="2" t="s">
        <v>663</v>
      </c>
      <c r="Y1326" s="2" t="s">
        <v>341</v>
      </c>
      <c r="Z1326" s="2" t="s">
        <v>341</v>
      </c>
      <c r="AA1326" s="2" t="s">
        <v>664</v>
      </c>
      <c r="AB1326" s="2" t="s">
        <v>3086</v>
      </c>
      <c r="AC1326" s="2">
        <v>46.11</v>
      </c>
      <c r="AD1326" s="2">
        <v>73.040000000000006</v>
      </c>
      <c r="AE1326" s="2">
        <v>0</v>
      </c>
      <c r="AF1326" s="2" t="s">
        <v>5614</v>
      </c>
      <c r="AG1326" s="2" t="s">
        <v>1578</v>
      </c>
      <c r="AH1326" s="2" t="s">
        <v>11961</v>
      </c>
      <c r="AI1326" s="2">
        <v>-6.92</v>
      </c>
      <c r="AJ1326" s="2">
        <v>21.657489607671199</v>
      </c>
      <c r="AK1326" s="2">
        <v>21.973556092883701</v>
      </c>
      <c r="AL1326" s="2">
        <v>21.6412914855397</v>
      </c>
      <c r="AM1326" s="2">
        <v>21.892885217315701</v>
      </c>
      <c r="AN1326" s="2">
        <v>22.160930088071499</v>
      </c>
      <c r="AO1326" s="2">
        <v>22.245445379468102</v>
      </c>
      <c r="AP1326" s="2">
        <v>21.351979259338901</v>
      </c>
      <c r="AQ1326" s="2">
        <v>22.2346490277519</v>
      </c>
      <c r="AR1326" s="2">
        <v>21.273462328295</v>
      </c>
      <c r="AS1326" s="2">
        <v>21.1696241150844</v>
      </c>
      <c r="AT1326" s="2">
        <v>22.565412524393601</v>
      </c>
      <c r="AU1326" s="2">
        <v>20.3468260015174</v>
      </c>
      <c r="AV1326" s="2">
        <v>20.775085547630798</v>
      </c>
      <c r="AW1326" s="2">
        <v>21.408824993323801</v>
      </c>
      <c r="AX1326" s="2">
        <v>21.4183943383063</v>
      </c>
      <c r="AY1326" s="2">
        <v>20.401573289617701</v>
      </c>
      <c r="AZ1326" s="2">
        <v>20.3875790670482</v>
      </c>
      <c r="BA1326" s="2">
        <v>19.561357781497399</v>
      </c>
      <c r="BB1326" s="2">
        <v>20.993327509756099</v>
      </c>
      <c r="BC1326" s="2">
        <v>22.2671997030372</v>
      </c>
      <c r="BD1326" s="2">
        <v>16.769251061383802</v>
      </c>
      <c r="BE1326" s="2">
        <v>20.0656336370192</v>
      </c>
      <c r="BF1326" s="2">
        <v>21.337322842897301</v>
      </c>
      <c r="BG1326" s="2">
        <v>21.044057469384999</v>
      </c>
      <c r="BH1326" s="2">
        <v>20.328346311481699</v>
      </c>
      <c r="BI1326" s="2">
        <v>21.9830877557912</v>
      </c>
      <c r="BJ1326" s="2">
        <v>23.9798811920699</v>
      </c>
      <c r="BK1326" s="2">
        <v>22.5108729514175</v>
      </c>
      <c r="BL1326" s="2">
        <v>20.716149982487298</v>
      </c>
      <c r="BM1326" s="2">
        <v>19.0326153571406</v>
      </c>
      <c r="BN1326" s="2">
        <v>19.317890406171198</v>
      </c>
      <c r="BO1326" s="2">
        <v>20.094538237897101</v>
      </c>
      <c r="BP1326" s="2">
        <v>22.845166176585799</v>
      </c>
      <c r="BQ1326" s="2">
        <v>21.214016796205101</v>
      </c>
      <c r="BR1326" s="2">
        <v>23.8186649868952</v>
      </c>
      <c r="BS1326" s="2">
        <v>21.236414411872701</v>
      </c>
      <c r="BT1326" s="2">
        <v>21.3067222659365</v>
      </c>
      <c r="BU1326" s="2">
        <v>21.5033909033626</v>
      </c>
      <c r="BV1326" s="2">
        <v>21.4908682551299</v>
      </c>
      <c r="BW1326" s="2">
        <v>20.879280697150399</v>
      </c>
      <c r="BX1326" s="2">
        <v>19.730658926612001</v>
      </c>
      <c r="BY1326" s="2">
        <v>22.808523384363902</v>
      </c>
      <c r="BZ1326" s="2">
        <v>19.6539277779464</v>
      </c>
      <c r="CA1326" s="2">
        <v>21.543535983440702</v>
      </c>
      <c r="CB1326" s="2">
        <v>22.222583670074201</v>
      </c>
      <c r="CC1326" s="2">
        <v>20.123393130040998</v>
      </c>
      <c r="CD1326" s="2">
        <v>23.543060046011501</v>
      </c>
      <c r="CE1326" s="2">
        <v>22.330627522407799</v>
      </c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</row>
    <row r="1327" spans="1:97">
      <c r="A1327" s="2" t="s">
        <v>11962</v>
      </c>
      <c r="B1327" s="2">
        <v>147.05853999999999</v>
      </c>
      <c r="C1327" s="2">
        <v>4.2460000000000004</v>
      </c>
      <c r="D1327" s="2" t="s">
        <v>84</v>
      </c>
      <c r="E1327" s="2" t="s">
        <v>11963</v>
      </c>
      <c r="F1327" s="2" t="s">
        <v>11964</v>
      </c>
      <c r="G1327" s="2">
        <v>64381</v>
      </c>
      <c r="H1327" s="3" t="str">
        <f>HYPERLINK("https://cloud.oebiotech.com/#/lm/network/64381", "https://cloud.oebiotech.com/#/lm/network/64381")</f>
        <v>https://cloud.oebiotech.com/#/lm/network/64381</v>
      </c>
      <c r="I1327" s="2" t="s">
        <v>11965</v>
      </c>
      <c r="J1327" s="2">
        <v>95696</v>
      </c>
      <c r="K1327" s="2"/>
      <c r="L1327" s="2">
        <v>61809</v>
      </c>
      <c r="M1327" s="2"/>
      <c r="N1327" s="2"/>
      <c r="O1327" s="2"/>
      <c r="P1327" s="2"/>
      <c r="Q1327" s="2"/>
      <c r="R1327" s="2"/>
      <c r="S1327" s="2" t="s">
        <v>11966</v>
      </c>
      <c r="T1327" s="2" t="s">
        <v>11967</v>
      </c>
      <c r="U1327" s="2" t="s">
        <v>11968</v>
      </c>
      <c r="V1327" s="2" t="s">
        <v>338</v>
      </c>
      <c r="W1327" s="2" t="s">
        <v>339</v>
      </c>
      <c r="X1327" s="2" t="s">
        <v>1663</v>
      </c>
      <c r="Y1327" s="2" t="s">
        <v>341</v>
      </c>
      <c r="Z1327" s="2" t="s">
        <v>341</v>
      </c>
      <c r="AA1327" s="2" t="s">
        <v>1664</v>
      </c>
      <c r="AB1327" s="2" t="s">
        <v>8443</v>
      </c>
      <c r="AC1327" s="2">
        <v>46.1</v>
      </c>
      <c r="AD1327" s="2">
        <v>93.56</v>
      </c>
      <c r="AE1327" s="2">
        <v>0</v>
      </c>
      <c r="AF1327" s="2" t="s">
        <v>5614</v>
      </c>
      <c r="AG1327" s="2" t="s">
        <v>132</v>
      </c>
      <c r="AH1327" s="2" t="s">
        <v>11969</v>
      </c>
      <c r="AI1327" s="2">
        <v>1.36</v>
      </c>
      <c r="AJ1327" s="2">
        <v>18.0052009453231</v>
      </c>
      <c r="AK1327" s="2">
        <v>18.577140826786302</v>
      </c>
      <c r="AL1327" s="2">
        <v>18.4751539317121</v>
      </c>
      <c r="AM1327" s="2">
        <v>18.307977253250002</v>
      </c>
      <c r="AN1327" s="2">
        <v>18.027673431346201</v>
      </c>
      <c r="AO1327" s="2">
        <v>18.2759568294946</v>
      </c>
      <c r="AP1327" s="2">
        <v>17.852820125833201</v>
      </c>
      <c r="AQ1327" s="2">
        <v>18.052866883232198</v>
      </c>
      <c r="AR1327" s="2">
        <v>9.6233145402724691</v>
      </c>
      <c r="AS1327" s="2">
        <v>9.6233145402724691</v>
      </c>
      <c r="AT1327" s="2">
        <v>18.5349432448076</v>
      </c>
      <c r="AU1327" s="2">
        <v>18.362532686049999</v>
      </c>
      <c r="AV1327" s="2">
        <v>18.817653483206701</v>
      </c>
      <c r="AW1327" s="2">
        <v>17.887055943931401</v>
      </c>
      <c r="AX1327" s="2">
        <v>18.971905888581698</v>
      </c>
      <c r="AY1327" s="2">
        <v>18.863176173162</v>
      </c>
      <c r="AZ1327" s="2">
        <v>18.206814059108801</v>
      </c>
      <c r="BA1327" s="2">
        <v>19.1833487551743</v>
      </c>
      <c r="BB1327" s="2">
        <v>17.371877527386001</v>
      </c>
      <c r="BC1327" s="2">
        <v>19.2798818361521</v>
      </c>
      <c r="BD1327" s="2">
        <v>18.3787985358688</v>
      </c>
      <c r="BE1327" s="2">
        <v>20.605482095282301</v>
      </c>
      <c r="BF1327" s="2">
        <v>19.0876169294765</v>
      </c>
      <c r="BG1327" s="2">
        <v>17.804128814878901</v>
      </c>
      <c r="BH1327" s="2">
        <v>19.112489243145301</v>
      </c>
      <c r="BI1327" s="2">
        <v>18.8434843698012</v>
      </c>
      <c r="BJ1327" s="2">
        <v>9.6233145402724691</v>
      </c>
      <c r="BK1327" s="2">
        <v>18.849634230325201</v>
      </c>
      <c r="BL1327" s="2">
        <v>18.8928877254321</v>
      </c>
      <c r="BM1327" s="2">
        <v>19.050132610551501</v>
      </c>
      <c r="BN1327" s="2">
        <v>19.373796555129399</v>
      </c>
      <c r="BO1327" s="2">
        <v>18.913552147639599</v>
      </c>
      <c r="BP1327" s="2">
        <v>17.793920324461599</v>
      </c>
      <c r="BQ1327" s="2">
        <v>19.0040251302112</v>
      </c>
      <c r="BR1327" s="2">
        <v>16.007018504142401</v>
      </c>
      <c r="BS1327" s="2">
        <v>18.803625973137901</v>
      </c>
      <c r="BT1327" s="2">
        <v>17.1044668935982</v>
      </c>
      <c r="BU1327" s="2">
        <v>18.5889041817825</v>
      </c>
      <c r="BV1327" s="2">
        <v>14.919295850508799</v>
      </c>
      <c r="BW1327" s="2">
        <v>17.818326465382999</v>
      </c>
      <c r="BX1327" s="2">
        <v>18.4847593801152</v>
      </c>
      <c r="BY1327" s="2">
        <v>18.158108418839099</v>
      </c>
      <c r="BZ1327" s="2">
        <v>16.644745624450699</v>
      </c>
      <c r="CA1327" s="2">
        <v>9.6233145402724691</v>
      </c>
      <c r="CB1327" s="2">
        <v>9.6233145402724691</v>
      </c>
      <c r="CC1327" s="2">
        <v>19.624318570023402</v>
      </c>
      <c r="CD1327" s="2">
        <v>18.030262733168399</v>
      </c>
      <c r="CE1327" s="2">
        <v>18.216822243617301</v>
      </c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</row>
    <row r="1328" spans="1:97">
      <c r="A1328" s="2" t="s">
        <v>11970</v>
      </c>
      <c r="B1328" s="2">
        <v>161.07411999999999</v>
      </c>
      <c r="C1328" s="2">
        <v>3.8050000000000002</v>
      </c>
      <c r="D1328" s="2" t="s">
        <v>84</v>
      </c>
      <c r="E1328" s="2" t="s">
        <v>11971</v>
      </c>
      <c r="F1328" s="2" t="s">
        <v>11972</v>
      </c>
      <c r="G1328" s="2">
        <v>57247</v>
      </c>
      <c r="H1328" s="3" t="str">
        <f>HYPERLINK("https://cloud.oebiotech.com/#/lm/network/57247", "https://cloud.oebiotech.com/#/lm/network/57247")</f>
        <v>https://cloud.oebiotech.com/#/lm/network/57247</v>
      </c>
      <c r="I1328" s="2" t="s">
        <v>11973</v>
      </c>
      <c r="J1328" s="2">
        <v>1873</v>
      </c>
      <c r="K1328" s="2"/>
      <c r="L1328" s="2">
        <v>1136</v>
      </c>
      <c r="M1328" s="2" t="s">
        <v>11974</v>
      </c>
      <c r="N1328" s="2" t="s">
        <v>11975</v>
      </c>
      <c r="O1328" s="2" t="s">
        <v>11976</v>
      </c>
      <c r="P1328" s="2">
        <v>17957</v>
      </c>
      <c r="Q1328" s="2"/>
      <c r="R1328" s="2"/>
      <c r="S1328" s="2" t="s">
        <v>11977</v>
      </c>
      <c r="T1328" s="2" t="s">
        <v>11978</v>
      </c>
      <c r="U1328" s="2" t="s">
        <v>11979</v>
      </c>
      <c r="V1328" s="2" t="s">
        <v>553</v>
      </c>
      <c r="W1328" s="2" t="s">
        <v>554</v>
      </c>
      <c r="X1328" s="2" t="s">
        <v>10017</v>
      </c>
      <c r="Y1328" s="2" t="s">
        <v>556</v>
      </c>
      <c r="Z1328" s="2" t="s">
        <v>557</v>
      </c>
      <c r="AA1328" s="2" t="s">
        <v>10018</v>
      </c>
      <c r="AB1328" s="2" t="s">
        <v>8443</v>
      </c>
      <c r="AC1328" s="2">
        <v>46.08</v>
      </c>
      <c r="AD1328" s="2">
        <v>92.98</v>
      </c>
      <c r="AE1328" s="2">
        <v>0</v>
      </c>
      <c r="AF1328" s="2" t="s">
        <v>5614</v>
      </c>
      <c r="AG1328" s="2" t="s">
        <v>132</v>
      </c>
      <c r="AH1328" s="2" t="s">
        <v>11980</v>
      </c>
      <c r="AI1328" s="2">
        <v>1.24</v>
      </c>
      <c r="AJ1328" s="2">
        <v>20.446596686331599</v>
      </c>
      <c r="AK1328" s="2">
        <v>20.2373789466474</v>
      </c>
      <c r="AL1328" s="2">
        <v>20.5983020324637</v>
      </c>
      <c r="AM1328" s="2">
        <v>20.567332338669502</v>
      </c>
      <c r="AN1328" s="2">
        <v>20.5827288136941</v>
      </c>
      <c r="AO1328" s="2">
        <v>20.689702672989799</v>
      </c>
      <c r="AP1328" s="2">
        <v>20.596496200910501</v>
      </c>
      <c r="AQ1328" s="2">
        <v>20.702800338459099</v>
      </c>
      <c r="AR1328" s="2">
        <v>14.622429378997101</v>
      </c>
      <c r="AS1328" s="2">
        <v>9.6233145402724691</v>
      </c>
      <c r="AT1328" s="2">
        <v>19.762401472551701</v>
      </c>
      <c r="AU1328" s="2">
        <v>20.527941967143999</v>
      </c>
      <c r="AV1328" s="2">
        <v>19.528897158494601</v>
      </c>
      <c r="AW1328" s="2">
        <v>20.349578386426501</v>
      </c>
      <c r="AX1328" s="2">
        <v>20.229090672984199</v>
      </c>
      <c r="AY1328" s="2">
        <v>20.356203691191801</v>
      </c>
      <c r="AZ1328" s="2">
        <v>20.412923781081599</v>
      </c>
      <c r="BA1328" s="2">
        <v>20.056756347349701</v>
      </c>
      <c r="BB1328" s="2">
        <v>18.781503860555102</v>
      </c>
      <c r="BC1328" s="2">
        <v>20.111372460151099</v>
      </c>
      <c r="BD1328" s="2">
        <v>20.701854036531302</v>
      </c>
      <c r="BE1328" s="2">
        <v>21.5174688151479</v>
      </c>
      <c r="BF1328" s="2">
        <v>21.059090886017799</v>
      </c>
      <c r="BG1328" s="2">
        <v>17.381827741113</v>
      </c>
      <c r="BH1328" s="2">
        <v>20.483234083017201</v>
      </c>
      <c r="BI1328" s="2">
        <v>20.302898143687401</v>
      </c>
      <c r="BJ1328" s="2">
        <v>16.660171843906099</v>
      </c>
      <c r="BK1328" s="2">
        <v>20.310305002437001</v>
      </c>
      <c r="BL1328" s="2">
        <v>20.4463590245179</v>
      </c>
      <c r="BM1328" s="2">
        <v>21.8132194311017</v>
      </c>
      <c r="BN1328" s="2">
        <v>20.7168069964804</v>
      </c>
      <c r="BO1328" s="2">
        <v>20.6859206660342</v>
      </c>
      <c r="BP1328" s="2">
        <v>20.485007678964699</v>
      </c>
      <c r="BQ1328" s="2">
        <v>20.342665495883299</v>
      </c>
      <c r="BR1328" s="2">
        <v>18.096986817947698</v>
      </c>
      <c r="BS1328" s="2">
        <v>21.2365887225526</v>
      </c>
      <c r="BT1328" s="2">
        <v>18.6253288942812</v>
      </c>
      <c r="BU1328" s="2">
        <v>20.9126726239835</v>
      </c>
      <c r="BV1328" s="2">
        <v>19.0961347842991</v>
      </c>
      <c r="BW1328" s="2">
        <v>19.228838320783101</v>
      </c>
      <c r="BX1328" s="2">
        <v>21.4030268458935</v>
      </c>
      <c r="BY1328" s="2">
        <v>21.611558146067399</v>
      </c>
      <c r="BZ1328" s="2">
        <v>19.3861900916705</v>
      </c>
      <c r="CA1328" s="2">
        <v>18.694099452862901</v>
      </c>
      <c r="CB1328" s="2">
        <v>17.0102803727255</v>
      </c>
      <c r="CC1328" s="2">
        <v>20.265013519670401</v>
      </c>
      <c r="CD1328" s="2">
        <v>20.571257135568199</v>
      </c>
      <c r="CE1328" s="2">
        <v>20.801592320790899</v>
      </c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</row>
    <row r="1329" spans="1:97">
      <c r="A1329" s="2" t="s">
        <v>11981</v>
      </c>
      <c r="B1329" s="2">
        <v>272.25803999999999</v>
      </c>
      <c r="C1329" s="2">
        <v>8.1780000000000008</v>
      </c>
      <c r="D1329" s="2" t="s">
        <v>84</v>
      </c>
      <c r="E1329" s="2" t="s">
        <v>11982</v>
      </c>
      <c r="F1329" s="2" t="s">
        <v>11983</v>
      </c>
      <c r="G1329" s="2">
        <v>9051</v>
      </c>
      <c r="H1329" s="3" t="str">
        <f>HYPERLINK("https://cloud.oebiotech.com/#/lm/network/9051", "https://cloud.oebiotech.com/#/lm/network/9051")</f>
        <v>https://cloud.oebiotech.com/#/lm/network/9051</v>
      </c>
      <c r="I1329" s="2"/>
      <c r="J1329" s="2">
        <v>46563</v>
      </c>
      <c r="K1329" s="2" t="s">
        <v>11984</v>
      </c>
      <c r="L1329" s="2">
        <v>8890</v>
      </c>
      <c r="M1329" s="2"/>
      <c r="N1329" s="2"/>
      <c r="O1329" s="2"/>
      <c r="P1329" s="2">
        <v>85262</v>
      </c>
      <c r="Q1329" s="2" t="s">
        <v>6766</v>
      </c>
      <c r="R1329" s="2" t="s">
        <v>6767</v>
      </c>
      <c r="S1329" s="2"/>
      <c r="T1329" s="2" t="s">
        <v>11985</v>
      </c>
      <c r="U1329" s="2" t="s">
        <v>11986</v>
      </c>
      <c r="V1329" s="2" t="s">
        <v>166</v>
      </c>
      <c r="W1329" s="2" t="s">
        <v>167</v>
      </c>
      <c r="X1329" s="2" t="s">
        <v>482</v>
      </c>
      <c r="Y1329" s="2" t="s">
        <v>169</v>
      </c>
      <c r="Z1329" s="2" t="s">
        <v>169</v>
      </c>
      <c r="AA1329" s="2" t="s">
        <v>483</v>
      </c>
      <c r="AB1329" s="2" t="s">
        <v>5118</v>
      </c>
      <c r="AC1329" s="2">
        <v>46.07</v>
      </c>
      <c r="AD1329" s="2">
        <v>93.13</v>
      </c>
      <c r="AE1329" s="2">
        <v>49.46</v>
      </c>
      <c r="AF1329" s="2" t="s">
        <v>11987</v>
      </c>
      <c r="AG1329" s="2" t="s">
        <v>103</v>
      </c>
      <c r="AH1329" s="2" t="s">
        <v>11988</v>
      </c>
      <c r="AI1329" s="2">
        <v>1.47</v>
      </c>
      <c r="AJ1329" s="2">
        <v>20.164631653005198</v>
      </c>
      <c r="AK1329" s="2">
        <v>20.2893279918354</v>
      </c>
      <c r="AL1329" s="2">
        <v>20.258367109057499</v>
      </c>
      <c r="AM1329" s="2">
        <v>20.3545675238394</v>
      </c>
      <c r="AN1329" s="2">
        <v>20.344662853299699</v>
      </c>
      <c r="AO1329" s="2">
        <v>20.3503845839323</v>
      </c>
      <c r="AP1329" s="2">
        <v>20.228863774011501</v>
      </c>
      <c r="AQ1329" s="2">
        <v>19.991349517628301</v>
      </c>
      <c r="AR1329" s="2">
        <v>19.997650717690298</v>
      </c>
      <c r="AS1329" s="2">
        <v>19.595395029848799</v>
      </c>
      <c r="AT1329" s="2">
        <v>19.683428546579101</v>
      </c>
      <c r="AU1329" s="2">
        <v>19.375167922441701</v>
      </c>
      <c r="AV1329" s="2">
        <v>19.447464139193201</v>
      </c>
      <c r="AW1329" s="2">
        <v>19.889504498147801</v>
      </c>
      <c r="AX1329" s="2">
        <v>19.962784744553499</v>
      </c>
      <c r="AY1329" s="2">
        <v>19.689864292014899</v>
      </c>
      <c r="AZ1329" s="2">
        <v>19.1061238392005</v>
      </c>
      <c r="BA1329" s="2">
        <v>19.4970806626539</v>
      </c>
      <c r="BB1329" s="2">
        <v>19.7128763239071</v>
      </c>
      <c r="BC1329" s="2">
        <v>19.811211686782201</v>
      </c>
      <c r="BD1329" s="2">
        <v>19.9957893533606</v>
      </c>
      <c r="BE1329" s="2">
        <v>20.1643536626516</v>
      </c>
      <c r="BF1329" s="2">
        <v>20.618274167615098</v>
      </c>
      <c r="BG1329" s="2">
        <v>20.348660906645399</v>
      </c>
      <c r="BH1329" s="2">
        <v>20.1556961560647</v>
      </c>
      <c r="BI1329" s="2">
        <v>19.602552678189301</v>
      </c>
      <c r="BJ1329" s="2">
        <v>19.4954005030792</v>
      </c>
      <c r="BK1329" s="2">
        <v>20.1076794034336</v>
      </c>
      <c r="BL1329" s="2">
        <v>19.376455701926499</v>
      </c>
      <c r="BM1329" s="2">
        <v>18.7419771879241</v>
      </c>
      <c r="BN1329" s="2">
        <v>19.7789651417641</v>
      </c>
      <c r="BO1329" s="2">
        <v>19.415141496878999</v>
      </c>
      <c r="BP1329" s="2">
        <v>19.886932085695999</v>
      </c>
      <c r="BQ1329" s="2">
        <v>19.321983722635199</v>
      </c>
      <c r="BR1329" s="2">
        <v>19.475438960434101</v>
      </c>
      <c r="BS1329" s="2">
        <v>19.367954099662299</v>
      </c>
      <c r="BT1329" s="2">
        <v>19.678518474934499</v>
      </c>
      <c r="BU1329" s="2">
        <v>19.212936900766</v>
      </c>
      <c r="BV1329" s="2">
        <v>19.5873464201246</v>
      </c>
      <c r="BW1329" s="2">
        <v>18.683358961585501</v>
      </c>
      <c r="BX1329" s="2">
        <v>19.666723293492598</v>
      </c>
      <c r="BY1329" s="2">
        <v>19.931006948686001</v>
      </c>
      <c r="BZ1329" s="2">
        <v>19.61172202533</v>
      </c>
      <c r="CA1329" s="2">
        <v>19.7834971962338</v>
      </c>
      <c r="CB1329" s="2">
        <v>19.356752758249598</v>
      </c>
      <c r="CC1329" s="2">
        <v>19.414176751442099</v>
      </c>
      <c r="CD1329" s="2">
        <v>19.422933780402701</v>
      </c>
      <c r="CE1329" s="2">
        <v>19.368978519555601</v>
      </c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</row>
    <row r="1330" spans="1:97">
      <c r="A1330" s="2" t="s">
        <v>11989</v>
      </c>
      <c r="B1330" s="2">
        <v>437.16093999999998</v>
      </c>
      <c r="C1330" s="2">
        <v>7.8330000000000002</v>
      </c>
      <c r="D1330" s="2" t="s">
        <v>146</v>
      </c>
      <c r="E1330" s="2" t="s">
        <v>11990</v>
      </c>
      <c r="F1330" s="2" t="s">
        <v>11991</v>
      </c>
      <c r="G1330" s="2">
        <v>57946</v>
      </c>
      <c r="H1330" s="3" t="str">
        <f>HYPERLINK("https://cloud.oebiotech.com/#/lm/network/57946", "https://cloud.oebiotech.com/#/lm/network/57946")</f>
        <v>https://cloud.oebiotech.com/#/lm/network/57946</v>
      </c>
      <c r="I1330" s="2" t="s">
        <v>11992</v>
      </c>
      <c r="J1330" s="2">
        <v>89515</v>
      </c>
      <c r="K1330" s="2"/>
      <c r="L1330" s="2">
        <v>131676030</v>
      </c>
      <c r="M1330" s="2"/>
      <c r="N1330" s="2"/>
      <c r="O1330" s="2"/>
      <c r="P1330" s="2">
        <v>175534</v>
      </c>
      <c r="Q1330" s="2"/>
      <c r="R1330" s="2"/>
      <c r="S1330" s="2" t="s">
        <v>11993</v>
      </c>
      <c r="T1330" s="2" t="s">
        <v>11994</v>
      </c>
      <c r="U1330" s="2" t="s">
        <v>11995</v>
      </c>
      <c r="V1330" s="2" t="s">
        <v>845</v>
      </c>
      <c r="W1330" s="2" t="s">
        <v>1853</v>
      </c>
      <c r="X1330" s="2" t="s">
        <v>11996</v>
      </c>
      <c r="Y1330" s="2" t="s">
        <v>847</v>
      </c>
      <c r="Z1330" s="2" t="s">
        <v>1855</v>
      </c>
      <c r="AA1330" s="2" t="s">
        <v>11997</v>
      </c>
      <c r="AB1330" s="2" t="s">
        <v>5118</v>
      </c>
      <c r="AC1330" s="2">
        <v>46.03</v>
      </c>
      <c r="AD1330" s="2">
        <v>83.77</v>
      </c>
      <c r="AE1330" s="2">
        <v>57.99</v>
      </c>
      <c r="AF1330" s="2" t="s">
        <v>11998</v>
      </c>
      <c r="AG1330" s="2" t="s">
        <v>194</v>
      </c>
      <c r="AH1330" s="2" t="s">
        <v>5633</v>
      </c>
      <c r="AI1330" s="2">
        <v>-0.69</v>
      </c>
      <c r="AJ1330" s="2">
        <v>19.943608021723701</v>
      </c>
      <c r="AK1330" s="2">
        <v>19.615566222420799</v>
      </c>
      <c r="AL1330" s="2">
        <v>19.164727049846</v>
      </c>
      <c r="AM1330" s="2">
        <v>19.869482092215598</v>
      </c>
      <c r="AN1330" s="2">
        <v>19.048595003952201</v>
      </c>
      <c r="AO1330" s="2">
        <v>19.828922299137201</v>
      </c>
      <c r="AP1330" s="2">
        <v>19.820946879157699</v>
      </c>
      <c r="AQ1330" s="2">
        <v>19.821152445575901</v>
      </c>
      <c r="AR1330" s="2">
        <v>18.553807497562101</v>
      </c>
      <c r="AS1330" s="2">
        <v>15.4656646047188</v>
      </c>
      <c r="AT1330" s="2">
        <v>17.9568292539753</v>
      </c>
      <c r="AU1330" s="2">
        <v>18.242751303495702</v>
      </c>
      <c r="AV1330" s="2">
        <v>21.6104636397144</v>
      </c>
      <c r="AW1330" s="2">
        <v>21.2330451972967</v>
      </c>
      <c r="AX1330" s="2">
        <v>21.441452965130502</v>
      </c>
      <c r="AY1330" s="2">
        <v>20.964709879952899</v>
      </c>
      <c r="AZ1330" s="2">
        <v>19.508007292148299</v>
      </c>
      <c r="BA1330" s="2">
        <v>16.124461625231</v>
      </c>
      <c r="BB1330" s="2">
        <v>16.702526739768</v>
      </c>
      <c r="BC1330" s="2">
        <v>18.847064964129601</v>
      </c>
      <c r="BD1330" s="2">
        <v>20.5678059260865</v>
      </c>
      <c r="BE1330" s="2">
        <v>20.206797631699398</v>
      </c>
      <c r="BF1330" s="2">
        <v>19.7235213158764</v>
      </c>
      <c r="BG1330" s="2">
        <v>21.3538664306109</v>
      </c>
      <c r="BH1330" s="2">
        <v>18.016451344924299</v>
      </c>
      <c r="BI1330" s="2">
        <v>18.9782915596371</v>
      </c>
      <c r="BJ1330" s="2">
        <v>19.506516927016701</v>
      </c>
      <c r="BK1330" s="2">
        <v>19.542829312323601</v>
      </c>
      <c r="BL1330" s="2">
        <v>18.581811605607101</v>
      </c>
      <c r="BM1330" s="2">
        <v>15.204286092123001</v>
      </c>
      <c r="BN1330" s="2">
        <v>17.973521816369701</v>
      </c>
      <c r="BO1330" s="2">
        <v>17.971611807330699</v>
      </c>
      <c r="BP1330" s="2">
        <v>20.724104053437799</v>
      </c>
      <c r="BQ1330" s="2">
        <v>20.7516097536571</v>
      </c>
      <c r="BR1330" s="2">
        <v>21.465571212336801</v>
      </c>
      <c r="BS1330" s="2">
        <v>20.155841595211601</v>
      </c>
      <c r="BT1330" s="2">
        <v>17.977255156038499</v>
      </c>
      <c r="BU1330" s="2">
        <v>15.6042369968107</v>
      </c>
      <c r="BV1330" s="2">
        <v>13.1444973325787</v>
      </c>
      <c r="BW1330" s="2">
        <v>15.985306740517901</v>
      </c>
      <c r="BX1330" s="2">
        <v>20.392418472969599</v>
      </c>
      <c r="BY1330" s="2">
        <v>20.672258675086098</v>
      </c>
      <c r="BZ1330" s="2">
        <v>18.6192913117168</v>
      </c>
      <c r="CA1330" s="2">
        <v>19.028780560711901</v>
      </c>
      <c r="CB1330" s="2">
        <v>17.2895474021478</v>
      </c>
      <c r="CC1330" s="2">
        <v>19.496294601307699</v>
      </c>
      <c r="CD1330" s="2">
        <v>19.104208334252299</v>
      </c>
      <c r="CE1330" s="2">
        <v>18.514794790537199</v>
      </c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</row>
    <row r="1331" spans="1:97">
      <c r="A1331" s="2" t="s">
        <v>11999</v>
      </c>
      <c r="B1331" s="2">
        <v>246.12343999999999</v>
      </c>
      <c r="C1331" s="2">
        <v>4.0419999999999998</v>
      </c>
      <c r="D1331" s="2" t="s">
        <v>84</v>
      </c>
      <c r="E1331" s="2" t="s">
        <v>12000</v>
      </c>
      <c r="F1331" s="2" t="s">
        <v>12001</v>
      </c>
      <c r="G1331" s="2">
        <v>82718</v>
      </c>
      <c r="H1331" s="3" t="str">
        <f>HYPERLINK("https://cloud.oebiotech.com/#/lm/network/82718", "https://cloud.oebiotech.com/#/lm/network/82718")</f>
        <v>https://cloud.oebiotech.com/#/lm/network/82718</v>
      </c>
      <c r="I1331" s="2" t="s">
        <v>12002</v>
      </c>
      <c r="J1331" s="2"/>
      <c r="K1331" s="2"/>
      <c r="L1331" s="2">
        <v>9816296</v>
      </c>
      <c r="M1331" s="2"/>
      <c r="N1331" s="2"/>
      <c r="O1331" s="2"/>
      <c r="P1331" s="2"/>
      <c r="Q1331" s="2"/>
      <c r="R1331" s="2"/>
      <c r="S1331" s="2"/>
      <c r="T1331" s="2" t="s">
        <v>12003</v>
      </c>
      <c r="U1331" s="2" t="s">
        <v>12004</v>
      </c>
      <c r="V1331" s="2" t="s">
        <v>385</v>
      </c>
      <c r="W1331" s="2" t="s">
        <v>386</v>
      </c>
      <c r="X1331" s="2" t="s">
        <v>8386</v>
      </c>
      <c r="Y1331" s="2" t="s">
        <v>388</v>
      </c>
      <c r="Z1331" s="2" t="s">
        <v>389</v>
      </c>
      <c r="AA1331" s="2" t="s">
        <v>8387</v>
      </c>
      <c r="AB1331" s="2" t="s">
        <v>8443</v>
      </c>
      <c r="AC1331" s="2">
        <v>46.02</v>
      </c>
      <c r="AD1331" s="2">
        <v>96.67</v>
      </c>
      <c r="AE1331" s="2">
        <v>43.15</v>
      </c>
      <c r="AF1331" s="2" t="s">
        <v>12005</v>
      </c>
      <c r="AG1331" s="2" t="s">
        <v>103</v>
      </c>
      <c r="AH1331" s="2" t="s">
        <v>12006</v>
      </c>
      <c r="AI1331" s="2">
        <v>1.22</v>
      </c>
      <c r="AJ1331" s="2">
        <v>21.7518155824425</v>
      </c>
      <c r="AK1331" s="2">
        <v>21.637527274743601</v>
      </c>
      <c r="AL1331" s="2">
        <v>22.124964384138199</v>
      </c>
      <c r="AM1331" s="2">
        <v>22.027522963320902</v>
      </c>
      <c r="AN1331" s="2">
        <v>22.065734958406601</v>
      </c>
      <c r="AO1331" s="2">
        <v>22.075055717698799</v>
      </c>
      <c r="AP1331" s="2">
        <v>22.1692691383351</v>
      </c>
      <c r="AQ1331" s="2">
        <v>22.281810600884501</v>
      </c>
      <c r="AR1331" s="2">
        <v>21.208215589005199</v>
      </c>
      <c r="AS1331" s="2">
        <v>21.017317897406599</v>
      </c>
      <c r="AT1331" s="2">
        <v>21.347935143148799</v>
      </c>
      <c r="AU1331" s="2">
        <v>20.676514733847799</v>
      </c>
      <c r="AV1331" s="2">
        <v>21.3566156480784</v>
      </c>
      <c r="AW1331" s="2">
        <v>21.643026542508501</v>
      </c>
      <c r="AX1331" s="2">
        <v>21.959275775575701</v>
      </c>
      <c r="AY1331" s="2">
        <v>21.785089657410701</v>
      </c>
      <c r="AZ1331" s="2">
        <v>22.037992073863698</v>
      </c>
      <c r="BA1331" s="2">
        <v>21.169058823348401</v>
      </c>
      <c r="BB1331" s="2">
        <v>22.234784748779798</v>
      </c>
      <c r="BC1331" s="2">
        <v>21.001448178593598</v>
      </c>
      <c r="BD1331" s="2">
        <v>21.867563195687602</v>
      </c>
      <c r="BE1331" s="2">
        <v>22.337898531854801</v>
      </c>
      <c r="BF1331" s="2">
        <v>22.054985347997</v>
      </c>
      <c r="BG1331" s="2">
        <v>22.983431996452001</v>
      </c>
      <c r="BH1331" s="2">
        <v>22.073365166515298</v>
      </c>
      <c r="BI1331" s="2">
        <v>21.934561449884601</v>
      </c>
      <c r="BJ1331" s="2">
        <v>22.157595260263101</v>
      </c>
      <c r="BK1331" s="2">
        <v>22.484180392514201</v>
      </c>
      <c r="BL1331" s="2">
        <v>21.7778751502548</v>
      </c>
      <c r="BM1331" s="2">
        <v>21.533064615700098</v>
      </c>
      <c r="BN1331" s="2">
        <v>21.923351788789599</v>
      </c>
      <c r="BO1331" s="2">
        <v>22.139977825847801</v>
      </c>
      <c r="BP1331" s="2">
        <v>22.298739441554801</v>
      </c>
      <c r="BQ1331" s="2">
        <v>22.087518350516799</v>
      </c>
      <c r="BR1331" s="2">
        <v>22.1635221155917</v>
      </c>
      <c r="BS1331" s="2">
        <v>21.748721128611201</v>
      </c>
      <c r="BT1331" s="2">
        <v>21.7373903370387</v>
      </c>
      <c r="BU1331" s="2">
        <v>21.2627962647346</v>
      </c>
      <c r="BV1331" s="2">
        <v>21.745392446242398</v>
      </c>
      <c r="BW1331" s="2">
        <v>21.395445928602101</v>
      </c>
      <c r="BX1331" s="2">
        <v>21.681152855275201</v>
      </c>
      <c r="BY1331" s="2">
        <v>22.8852712911963</v>
      </c>
      <c r="BZ1331" s="2">
        <v>21.980897367497199</v>
      </c>
      <c r="CA1331" s="2">
        <v>22.086684787541</v>
      </c>
      <c r="CB1331" s="2">
        <v>22.4937339744742</v>
      </c>
      <c r="CC1331" s="2">
        <v>21.806783712591599</v>
      </c>
      <c r="CD1331" s="2">
        <v>23.062809466692698</v>
      </c>
      <c r="CE1331" s="2">
        <v>22.649684640749101</v>
      </c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</row>
    <row r="1332" spans="1:97">
      <c r="A1332" s="2" t="s">
        <v>12007</v>
      </c>
      <c r="B1332" s="2">
        <v>291.06754000000001</v>
      </c>
      <c r="C1332" s="2">
        <v>0.79900000000000004</v>
      </c>
      <c r="D1332" s="2" t="s">
        <v>146</v>
      </c>
      <c r="E1332" s="2" t="s">
        <v>12008</v>
      </c>
      <c r="F1332" s="2" t="s">
        <v>12009</v>
      </c>
      <c r="G1332" s="2">
        <v>200259</v>
      </c>
      <c r="H1332" s="3" t="str">
        <f>HYPERLINK("https://cloud.oebiotech.com/#/lm/network/200259", "https://cloud.oebiotech.com/#/lm/network/200259")</f>
        <v>https://cloud.oebiotech.com/#/lm/network/200259</v>
      </c>
      <c r="I1332" s="2" t="s">
        <v>12010</v>
      </c>
      <c r="J1332" s="2">
        <v>344265</v>
      </c>
      <c r="K1332" s="2"/>
      <c r="L1332" s="2">
        <v>74460</v>
      </c>
      <c r="M1332" s="2"/>
      <c r="N1332" s="2"/>
      <c r="O1332" s="2"/>
      <c r="P1332" s="2"/>
      <c r="Q1332" s="2"/>
      <c r="R1332" s="2"/>
      <c r="S1332" s="2"/>
      <c r="T1332" s="2" t="s">
        <v>12011</v>
      </c>
      <c r="U1332" s="2" t="s">
        <v>12012</v>
      </c>
      <c r="V1332" s="2" t="s">
        <v>553</v>
      </c>
      <c r="W1332" s="2" t="s">
        <v>554</v>
      </c>
      <c r="X1332" s="2" t="s">
        <v>12013</v>
      </c>
      <c r="Y1332" s="2" t="s">
        <v>556</v>
      </c>
      <c r="Z1332" s="2" t="s">
        <v>557</v>
      </c>
      <c r="AA1332" s="2" t="s">
        <v>12014</v>
      </c>
      <c r="AB1332" s="2" t="s">
        <v>8443</v>
      </c>
      <c r="AC1332" s="2">
        <v>46.02</v>
      </c>
      <c r="AD1332" s="2">
        <v>88.9</v>
      </c>
      <c r="AE1332" s="2">
        <v>0</v>
      </c>
      <c r="AF1332" s="2" t="s">
        <v>5614</v>
      </c>
      <c r="AG1332" s="2" t="s">
        <v>3880</v>
      </c>
      <c r="AH1332" s="2" t="s">
        <v>12015</v>
      </c>
      <c r="AI1332" s="2">
        <v>0.69</v>
      </c>
      <c r="AJ1332" s="2">
        <v>23.621991816691899</v>
      </c>
      <c r="AK1332" s="2">
        <v>23.4119031161752</v>
      </c>
      <c r="AL1332" s="2">
        <v>23.1677076450718</v>
      </c>
      <c r="AM1332" s="2">
        <v>23.774719171127199</v>
      </c>
      <c r="AN1332" s="2">
        <v>22.864572248685601</v>
      </c>
      <c r="AO1332" s="2">
        <v>23.421956134671898</v>
      </c>
      <c r="AP1332" s="2">
        <v>24.010010679265001</v>
      </c>
      <c r="AQ1332" s="2">
        <v>23.794145753808699</v>
      </c>
      <c r="AR1332" s="2">
        <v>23.575793032134801</v>
      </c>
      <c r="AS1332" s="2">
        <v>23.863456751501602</v>
      </c>
      <c r="AT1332" s="2">
        <v>23.5159557913226</v>
      </c>
      <c r="AU1332" s="2">
        <v>23.220663088882201</v>
      </c>
      <c r="AV1332" s="2">
        <v>23.4684795855229</v>
      </c>
      <c r="AW1332" s="2">
        <v>23.212038932207498</v>
      </c>
      <c r="AX1332" s="2">
        <v>22.663781597068301</v>
      </c>
      <c r="AY1332" s="2">
        <v>23.7702253480767</v>
      </c>
      <c r="AZ1332" s="2">
        <v>23.7598346554832</v>
      </c>
      <c r="BA1332" s="2">
        <v>23.749388369902999</v>
      </c>
      <c r="BB1332" s="2">
        <v>23.0765706281165</v>
      </c>
      <c r="BC1332" s="2">
        <v>24.271800924778599</v>
      </c>
      <c r="BD1332" s="2">
        <v>22.755171996093701</v>
      </c>
      <c r="BE1332" s="2">
        <v>23.281095659759899</v>
      </c>
      <c r="BF1332" s="2">
        <v>23.5356505031693</v>
      </c>
      <c r="BG1332" s="2">
        <v>22.455661106238001</v>
      </c>
      <c r="BH1332" s="2">
        <v>22.460432975549299</v>
      </c>
      <c r="BI1332" s="2">
        <v>23.023492715370001</v>
      </c>
      <c r="BJ1332" s="2">
        <v>23.651499329426301</v>
      </c>
      <c r="BK1332" s="2">
        <v>23.8975345907212</v>
      </c>
      <c r="BL1332" s="2">
        <v>22.988129732276001</v>
      </c>
      <c r="BM1332" s="2">
        <v>23.842919542936901</v>
      </c>
      <c r="BN1332" s="2">
        <v>24.0045634503843</v>
      </c>
      <c r="BO1332" s="2">
        <v>23.822943296368202</v>
      </c>
      <c r="BP1332" s="2">
        <v>23.154441038664299</v>
      </c>
      <c r="BQ1332" s="2">
        <v>23.560330563438299</v>
      </c>
      <c r="BR1332" s="2">
        <v>23.668116831005399</v>
      </c>
      <c r="BS1332" s="2">
        <v>23.0128522145543</v>
      </c>
      <c r="BT1332" s="2">
        <v>23.664671517408401</v>
      </c>
      <c r="BU1332" s="2">
        <v>23.794598615748999</v>
      </c>
      <c r="BV1332" s="2">
        <v>23.367802816144199</v>
      </c>
      <c r="BW1332" s="2">
        <v>24.322002044844002</v>
      </c>
      <c r="BX1332" s="2">
        <v>23.880335803968201</v>
      </c>
      <c r="BY1332" s="2">
        <v>23.092744974425202</v>
      </c>
      <c r="BZ1332" s="2">
        <v>23.952570501675901</v>
      </c>
      <c r="CA1332" s="2">
        <v>22.9167576244248</v>
      </c>
      <c r="CB1332" s="2">
        <v>22.966129841998601</v>
      </c>
      <c r="CC1332" s="2">
        <v>23.6541486201236</v>
      </c>
      <c r="CD1332" s="2">
        <v>22.703915597035699</v>
      </c>
      <c r="CE1332" s="2">
        <v>23.476890576211201</v>
      </c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</row>
    <row r="1333" spans="1:97">
      <c r="A1333" s="2" t="s">
        <v>12016</v>
      </c>
      <c r="B1333" s="2">
        <v>269.10261000000003</v>
      </c>
      <c r="C1333" s="2">
        <v>7.1189999999999998</v>
      </c>
      <c r="D1333" s="2" t="s">
        <v>146</v>
      </c>
      <c r="E1333" s="2" t="s">
        <v>12017</v>
      </c>
      <c r="F1333" s="2" t="s">
        <v>12018</v>
      </c>
      <c r="G1333" s="2">
        <v>35227</v>
      </c>
      <c r="H1333" s="3" t="str">
        <f>HYPERLINK("https://cloud.oebiotech.com/#/lm/network/35227", "https://cloud.oebiotech.com/#/lm/network/35227")</f>
        <v>https://cloud.oebiotech.com/#/lm/network/35227</v>
      </c>
      <c r="I1333" s="2"/>
      <c r="J1333" s="2"/>
      <c r="K1333" s="2" t="s">
        <v>12019</v>
      </c>
      <c r="L1333" s="2">
        <v>2826719</v>
      </c>
      <c r="M1333" s="2"/>
      <c r="N1333" s="2"/>
      <c r="O1333" s="2"/>
      <c r="P1333" s="2">
        <v>66955</v>
      </c>
      <c r="Q1333" s="2"/>
      <c r="R1333" s="2"/>
      <c r="S1333" s="2"/>
      <c r="T1333" s="2" t="s">
        <v>12020</v>
      </c>
      <c r="U1333" s="2" t="s">
        <v>12021</v>
      </c>
      <c r="V1333" s="2" t="s">
        <v>385</v>
      </c>
      <c r="W1333" s="2" t="s">
        <v>386</v>
      </c>
      <c r="X1333" s="2" t="s">
        <v>1059</v>
      </c>
      <c r="Y1333" s="2" t="s">
        <v>388</v>
      </c>
      <c r="Z1333" s="2" t="s">
        <v>389</v>
      </c>
      <c r="AA1333" s="2" t="s">
        <v>1060</v>
      </c>
      <c r="AB1333" s="2" t="s">
        <v>8443</v>
      </c>
      <c r="AC1333" s="2">
        <v>46.01</v>
      </c>
      <c r="AD1333" s="2">
        <v>91.25</v>
      </c>
      <c r="AE1333" s="2">
        <v>0</v>
      </c>
      <c r="AF1333" s="2" t="s">
        <v>12022</v>
      </c>
      <c r="AG1333" s="2" t="s">
        <v>157</v>
      </c>
      <c r="AH1333" s="2" t="s">
        <v>12023</v>
      </c>
      <c r="AI1333" s="2">
        <v>1.86</v>
      </c>
      <c r="AJ1333" s="2">
        <v>17.850201124827901</v>
      </c>
      <c r="AK1333" s="2">
        <v>18.328348546918299</v>
      </c>
      <c r="AL1333" s="2">
        <v>18.1311458651025</v>
      </c>
      <c r="AM1333" s="2">
        <v>18.223340196251598</v>
      </c>
      <c r="AN1333" s="2">
        <v>18.344472895972899</v>
      </c>
      <c r="AO1333" s="2">
        <v>18.170767491791501</v>
      </c>
      <c r="AP1333" s="2">
        <v>18.222599886288599</v>
      </c>
      <c r="AQ1333" s="2">
        <v>18.571272877413701</v>
      </c>
      <c r="AR1333" s="2">
        <v>17.3619876239819</v>
      </c>
      <c r="AS1333" s="2">
        <v>15.5066110036521</v>
      </c>
      <c r="AT1333" s="2">
        <v>17.124830022449999</v>
      </c>
      <c r="AU1333" s="2">
        <v>17.3790560228909</v>
      </c>
      <c r="AV1333" s="2">
        <v>16.1221438868223</v>
      </c>
      <c r="AW1333" s="2">
        <v>18.131889557899601</v>
      </c>
      <c r="AX1333" s="2">
        <v>15.737050036552301</v>
      </c>
      <c r="AY1333" s="2">
        <v>15.6418265363881</v>
      </c>
      <c r="AZ1333" s="2">
        <v>16.256840945544901</v>
      </c>
      <c r="BA1333" s="2">
        <v>19.386339783084001</v>
      </c>
      <c r="BB1333" s="2">
        <v>17.607560412772202</v>
      </c>
      <c r="BC1333" s="2">
        <v>17.230182688480699</v>
      </c>
      <c r="BD1333" s="2">
        <v>18.1709282851665</v>
      </c>
      <c r="BE1333" s="2">
        <v>16.156362602981801</v>
      </c>
      <c r="BF1333" s="2">
        <v>17.084495026748598</v>
      </c>
      <c r="BG1333" s="2">
        <v>16.967695603345401</v>
      </c>
      <c r="BH1333" s="2">
        <v>17.082294601141601</v>
      </c>
      <c r="BI1333" s="2">
        <v>16.6660368564721</v>
      </c>
      <c r="BJ1333" s="2">
        <v>19.705033564231599</v>
      </c>
      <c r="BK1333" s="2">
        <v>18.240904597160998</v>
      </c>
      <c r="BL1333" s="2">
        <v>17.153495922731299</v>
      </c>
      <c r="BM1333" s="2">
        <v>16.818322657757601</v>
      </c>
      <c r="BN1333" s="2">
        <v>18.144601040097999</v>
      </c>
      <c r="BO1333" s="2">
        <v>17.922322723270199</v>
      </c>
      <c r="BP1333" s="2">
        <v>13.5680142857505</v>
      </c>
      <c r="BQ1333" s="2">
        <v>17.5992674444729</v>
      </c>
      <c r="BR1333" s="2">
        <v>16.4170087516667</v>
      </c>
      <c r="BS1333" s="2">
        <v>16.262942311917701</v>
      </c>
      <c r="BT1333" s="2">
        <v>20.678702823077099</v>
      </c>
      <c r="BU1333" s="2">
        <v>18.9704964477848</v>
      </c>
      <c r="BV1333" s="2">
        <v>17.671721005381201</v>
      </c>
      <c r="BW1333" s="2">
        <v>15.910597762650699</v>
      </c>
      <c r="BX1333" s="2">
        <v>17.862795034754502</v>
      </c>
      <c r="BY1333" s="2">
        <v>16.757389228010801</v>
      </c>
      <c r="BZ1333" s="2">
        <v>15.596777362277001</v>
      </c>
      <c r="CA1333" s="2">
        <v>17.2755756550537</v>
      </c>
      <c r="CB1333" s="2">
        <v>15.2756214831391</v>
      </c>
      <c r="CC1333" s="2">
        <v>17.687596098087301</v>
      </c>
      <c r="CD1333" s="2">
        <v>17.485249290841001</v>
      </c>
      <c r="CE1333" s="2">
        <v>18.333615162283799</v>
      </c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</row>
    <row r="1334" spans="1:97">
      <c r="A1334" s="2" t="s">
        <v>12024</v>
      </c>
      <c r="B1334" s="2">
        <v>337.14168999999998</v>
      </c>
      <c r="C1334" s="2">
        <v>6.5069999999999997</v>
      </c>
      <c r="D1334" s="2" t="s">
        <v>146</v>
      </c>
      <c r="E1334" s="2" t="s">
        <v>12025</v>
      </c>
      <c r="F1334" s="2" t="s">
        <v>12026</v>
      </c>
      <c r="G1334" s="2">
        <v>64492</v>
      </c>
      <c r="H1334" s="3" t="str">
        <f>HYPERLINK("https://cloud.oebiotech.com/#/lm/network/64492", "https://cloud.oebiotech.com/#/lm/network/64492")</f>
        <v>https://cloud.oebiotech.com/#/lm/network/64492</v>
      </c>
      <c r="I1334" s="2" t="s">
        <v>12027</v>
      </c>
      <c r="J1334" s="2">
        <v>95801</v>
      </c>
      <c r="K1334" s="2"/>
      <c r="L1334" s="2">
        <v>131753135</v>
      </c>
      <c r="M1334" s="2"/>
      <c r="N1334" s="2"/>
      <c r="O1334" s="2"/>
      <c r="P1334" s="2">
        <v>175584</v>
      </c>
      <c r="Q1334" s="2"/>
      <c r="R1334" s="2"/>
      <c r="S1334" s="2" t="s">
        <v>12028</v>
      </c>
      <c r="T1334" s="2" t="s">
        <v>12029</v>
      </c>
      <c r="U1334" s="2" t="s">
        <v>12030</v>
      </c>
      <c r="V1334" s="2" t="s">
        <v>385</v>
      </c>
      <c r="W1334" s="2" t="s">
        <v>9654</v>
      </c>
      <c r="X1334" s="2" t="s">
        <v>375</v>
      </c>
      <c r="Y1334" s="2" t="s">
        <v>388</v>
      </c>
      <c r="Z1334" s="2" t="s">
        <v>9655</v>
      </c>
      <c r="AA1334" s="2"/>
      <c r="AB1334" s="2" t="s">
        <v>3086</v>
      </c>
      <c r="AC1334" s="2">
        <v>46.01</v>
      </c>
      <c r="AD1334" s="2">
        <v>92.88</v>
      </c>
      <c r="AE1334" s="2">
        <v>0</v>
      </c>
      <c r="AF1334" s="2" t="s">
        <v>12031</v>
      </c>
      <c r="AG1334" s="2" t="s">
        <v>993</v>
      </c>
      <c r="AH1334" s="2" t="s">
        <v>12032</v>
      </c>
      <c r="AI1334" s="2">
        <v>6.82</v>
      </c>
      <c r="AJ1334" s="2">
        <v>20.3080625161295</v>
      </c>
      <c r="AK1334" s="2">
        <v>20.315380571635199</v>
      </c>
      <c r="AL1334" s="2">
        <v>20.328850687234201</v>
      </c>
      <c r="AM1334" s="2">
        <v>20.420927076883299</v>
      </c>
      <c r="AN1334" s="2">
        <v>20.289741927806201</v>
      </c>
      <c r="AO1334" s="2">
        <v>20.3083170967485</v>
      </c>
      <c r="AP1334" s="2">
        <v>20.228135878706102</v>
      </c>
      <c r="AQ1334" s="2">
        <v>20.169433961687801</v>
      </c>
      <c r="AR1334" s="2">
        <v>20.391837547417101</v>
      </c>
      <c r="AS1334" s="2">
        <v>21.252388704975999</v>
      </c>
      <c r="AT1334" s="2">
        <v>20.0437733173084</v>
      </c>
      <c r="AU1334" s="2">
        <v>19.4764824766964</v>
      </c>
      <c r="AV1334" s="2">
        <v>19.710446821381701</v>
      </c>
      <c r="AW1334" s="2">
        <v>18.057105890622498</v>
      </c>
      <c r="AX1334" s="2">
        <v>19.509980871923599</v>
      </c>
      <c r="AY1334" s="2">
        <v>19.919886598659801</v>
      </c>
      <c r="AZ1334" s="2">
        <v>19.892066801376199</v>
      </c>
      <c r="BA1334" s="2">
        <v>20.805930226065399</v>
      </c>
      <c r="BB1334" s="2">
        <v>20.170301974847099</v>
      </c>
      <c r="BC1334" s="2">
        <v>21.199536440037701</v>
      </c>
      <c r="BD1334" s="2">
        <v>20.310850707766502</v>
      </c>
      <c r="BE1334" s="2">
        <v>21.266821116208799</v>
      </c>
      <c r="BF1334" s="2">
        <v>18.587036321840699</v>
      </c>
      <c r="BG1334" s="2">
        <v>18.716692011745302</v>
      </c>
      <c r="BH1334" s="2">
        <v>20.420868230042799</v>
      </c>
      <c r="BI1334" s="2">
        <v>19.997993934876799</v>
      </c>
      <c r="BJ1334" s="2">
        <v>20.699091447088598</v>
      </c>
      <c r="BK1334" s="2">
        <v>20.106029281257101</v>
      </c>
      <c r="BL1334" s="2">
        <v>19.902268303447499</v>
      </c>
      <c r="BM1334" s="2">
        <v>21.650970678196501</v>
      </c>
      <c r="BN1334" s="2">
        <v>19.981905596850801</v>
      </c>
      <c r="BO1334" s="2">
        <v>20.140093307901601</v>
      </c>
      <c r="BP1334" s="2">
        <v>18.425386680413801</v>
      </c>
      <c r="BQ1334" s="2">
        <v>18.8267165813111</v>
      </c>
      <c r="BR1334" s="2">
        <v>19.010166572779699</v>
      </c>
      <c r="BS1334" s="2">
        <v>20.859381234351801</v>
      </c>
      <c r="BT1334" s="2">
        <v>17.838993855576401</v>
      </c>
      <c r="BU1334" s="2">
        <v>20.799256187105801</v>
      </c>
      <c r="BV1334" s="2">
        <v>20.318760491456199</v>
      </c>
      <c r="BW1334" s="2">
        <v>19.9986417710765</v>
      </c>
      <c r="BX1334" s="2">
        <v>20.099313454852702</v>
      </c>
      <c r="BY1334" s="2">
        <v>20.896273342017999</v>
      </c>
      <c r="BZ1334" s="2">
        <v>18.888094868942598</v>
      </c>
      <c r="CA1334" s="2">
        <v>18.729394840118399</v>
      </c>
      <c r="CB1334" s="2">
        <v>21.3961552799354</v>
      </c>
      <c r="CC1334" s="2">
        <v>19.359918294617099</v>
      </c>
      <c r="CD1334" s="2">
        <v>21.3655876048776</v>
      </c>
      <c r="CE1334" s="2">
        <v>20.475856178535398</v>
      </c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</row>
    <row r="1335" spans="1:97">
      <c r="A1335" s="2" t="s">
        <v>12033</v>
      </c>
      <c r="B1335" s="2">
        <v>336.25051000000002</v>
      </c>
      <c r="C1335" s="2">
        <v>8.4550000000000001</v>
      </c>
      <c r="D1335" s="2" t="s">
        <v>84</v>
      </c>
      <c r="E1335" s="2" t="s">
        <v>12034</v>
      </c>
      <c r="F1335" s="2" t="s">
        <v>12035</v>
      </c>
      <c r="G1335" s="2">
        <v>60427</v>
      </c>
      <c r="H1335" s="3" t="str">
        <f>HYPERLINK("https://cloud.oebiotech.com/#/lm/network/60427", "https://cloud.oebiotech.com/#/lm/network/60427")</f>
        <v>https://cloud.oebiotech.com/#/lm/network/60427</v>
      </c>
      <c r="I1335" s="2" t="s">
        <v>12036</v>
      </c>
      <c r="J1335" s="2">
        <v>91779</v>
      </c>
      <c r="K1335" s="2"/>
      <c r="L1335" s="2">
        <v>14191204</v>
      </c>
      <c r="M1335" s="2"/>
      <c r="N1335" s="2"/>
      <c r="O1335" s="2"/>
      <c r="P1335" s="2"/>
      <c r="Q1335" s="2"/>
      <c r="R1335" s="2"/>
      <c r="S1335" s="2" t="s">
        <v>12037</v>
      </c>
      <c r="T1335" s="2" t="s">
        <v>12038</v>
      </c>
      <c r="U1335" s="2" t="s">
        <v>12039</v>
      </c>
      <c r="V1335" s="2" t="s">
        <v>95</v>
      </c>
      <c r="W1335" s="2" t="s">
        <v>180</v>
      </c>
      <c r="X1335" s="2" t="s">
        <v>3643</v>
      </c>
      <c r="Y1335" s="2" t="s">
        <v>98</v>
      </c>
      <c r="Z1335" s="2" t="s">
        <v>182</v>
      </c>
      <c r="AA1335" s="2" t="s">
        <v>3644</v>
      </c>
      <c r="AB1335" s="2" t="s">
        <v>3086</v>
      </c>
      <c r="AC1335" s="2">
        <v>46</v>
      </c>
      <c r="AD1335" s="2">
        <v>87.18</v>
      </c>
      <c r="AE1335" s="2">
        <v>0</v>
      </c>
      <c r="AF1335" s="2" t="s">
        <v>5614</v>
      </c>
      <c r="AG1335" s="2" t="s">
        <v>132</v>
      </c>
      <c r="AH1335" s="2" t="s">
        <v>8253</v>
      </c>
      <c r="AI1335" s="2">
        <v>8.33</v>
      </c>
      <c r="AJ1335" s="2">
        <v>19.0325912257418</v>
      </c>
      <c r="AK1335" s="2">
        <v>19.048703285431099</v>
      </c>
      <c r="AL1335" s="2">
        <v>18.473484512442301</v>
      </c>
      <c r="AM1335" s="2">
        <v>17.990811749888501</v>
      </c>
      <c r="AN1335" s="2">
        <v>18.733086111710598</v>
      </c>
      <c r="AO1335" s="2">
        <v>19.202640544557699</v>
      </c>
      <c r="AP1335" s="2">
        <v>18.99466979284</v>
      </c>
      <c r="AQ1335" s="2">
        <v>19.262164943571602</v>
      </c>
      <c r="AR1335" s="2">
        <v>18.8452256776038</v>
      </c>
      <c r="AS1335" s="2">
        <v>18.9487969335975</v>
      </c>
      <c r="AT1335" s="2">
        <v>19.116184583778299</v>
      </c>
      <c r="AU1335" s="2">
        <v>19.066169857203999</v>
      </c>
      <c r="AV1335" s="2">
        <v>18.957549441003898</v>
      </c>
      <c r="AW1335" s="2">
        <v>19.124411542598899</v>
      </c>
      <c r="AX1335" s="2">
        <v>17.569704924252999</v>
      </c>
      <c r="AY1335" s="2">
        <v>18.677884535046001</v>
      </c>
      <c r="AZ1335" s="2">
        <v>18.959817747198699</v>
      </c>
      <c r="BA1335" s="2">
        <v>18.917205014585999</v>
      </c>
      <c r="BB1335" s="2">
        <v>19.114162022955401</v>
      </c>
      <c r="BC1335" s="2">
        <v>18.672987990768899</v>
      </c>
      <c r="BD1335" s="2">
        <v>18.3327364256354</v>
      </c>
      <c r="BE1335" s="2">
        <v>18.728011165096301</v>
      </c>
      <c r="BF1335" s="2">
        <v>19.0476983232641</v>
      </c>
      <c r="BG1335" s="2">
        <v>18.826621629370301</v>
      </c>
      <c r="BH1335" s="2">
        <v>18.8243066552294</v>
      </c>
      <c r="BI1335" s="2">
        <v>19.0024607742731</v>
      </c>
      <c r="BJ1335" s="2">
        <v>18.602073820308298</v>
      </c>
      <c r="BK1335" s="2">
        <v>18.887445245459499</v>
      </c>
      <c r="BL1335" s="2">
        <v>18.944569693331999</v>
      </c>
      <c r="BM1335" s="2">
        <v>18.832000043172101</v>
      </c>
      <c r="BN1335" s="2">
        <v>18.839778823360199</v>
      </c>
      <c r="BO1335" s="2">
        <v>18.942891790077098</v>
      </c>
      <c r="BP1335" s="2">
        <v>18.687961946236499</v>
      </c>
      <c r="BQ1335" s="2">
        <v>17.71435694921</v>
      </c>
      <c r="BR1335" s="2">
        <v>19.0217033451353</v>
      </c>
      <c r="BS1335" s="2">
        <v>18.716800776572299</v>
      </c>
      <c r="BT1335" s="2">
        <v>18.865167734802</v>
      </c>
      <c r="BU1335" s="2">
        <v>18.6689472575781</v>
      </c>
      <c r="BV1335" s="2">
        <v>18.5789192597815</v>
      </c>
      <c r="BW1335" s="2">
        <v>18.903719447518299</v>
      </c>
      <c r="BX1335" s="2">
        <v>19.001097464679599</v>
      </c>
      <c r="BY1335" s="2">
        <v>18.069405290917899</v>
      </c>
      <c r="BZ1335" s="2">
        <v>18.922550780782199</v>
      </c>
      <c r="CA1335" s="2">
        <v>18.966414762405901</v>
      </c>
      <c r="CB1335" s="2">
        <v>19.1932463965775</v>
      </c>
      <c r="CC1335" s="2">
        <v>18.8497610574275</v>
      </c>
      <c r="CD1335" s="2">
        <v>17.893890030107201</v>
      </c>
      <c r="CE1335" s="2">
        <v>18.832331853038198</v>
      </c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</row>
    <row r="1336" spans="1:97">
      <c r="A1336" s="2" t="s">
        <v>12040</v>
      </c>
      <c r="B1336" s="2">
        <v>178.0532</v>
      </c>
      <c r="C1336" s="2">
        <v>1.556</v>
      </c>
      <c r="D1336" s="2" t="s">
        <v>84</v>
      </c>
      <c r="E1336" s="2" t="s">
        <v>12041</v>
      </c>
      <c r="F1336" s="2" t="s">
        <v>12042</v>
      </c>
      <c r="G1336" s="2">
        <v>54398</v>
      </c>
      <c r="H1336" s="3" t="str">
        <f>HYPERLINK("https://cloud.oebiotech.com/#/lm/network/54398", "https://cloud.oebiotech.com/#/lm/network/54398")</f>
        <v>https://cloud.oebiotech.com/#/lm/network/54398</v>
      </c>
      <c r="I1336" s="2" t="s">
        <v>12043</v>
      </c>
      <c r="J1336" s="2"/>
      <c r="K1336" s="2"/>
      <c r="L1336" s="2">
        <v>6122729</v>
      </c>
      <c r="M1336" s="2" t="s">
        <v>12044</v>
      </c>
      <c r="N1336" s="2"/>
      <c r="O1336" s="2"/>
      <c r="P1336" s="2"/>
      <c r="Q1336" s="2"/>
      <c r="R1336" s="2"/>
      <c r="S1336" s="2" t="s">
        <v>12045</v>
      </c>
      <c r="T1336" s="2" t="s">
        <v>12046</v>
      </c>
      <c r="U1336" s="2" t="s">
        <v>12047</v>
      </c>
      <c r="V1336" s="2" t="s">
        <v>115</v>
      </c>
      <c r="W1336" s="2" t="s">
        <v>116</v>
      </c>
      <c r="X1336" s="2" t="s">
        <v>117</v>
      </c>
      <c r="Y1336" s="2" t="s">
        <v>118</v>
      </c>
      <c r="Z1336" s="2" t="s">
        <v>119</v>
      </c>
      <c r="AA1336" s="2" t="s">
        <v>120</v>
      </c>
      <c r="AB1336" s="2" t="s">
        <v>8443</v>
      </c>
      <c r="AC1336" s="2">
        <v>45.97</v>
      </c>
      <c r="AD1336" s="2">
        <v>93.17</v>
      </c>
      <c r="AE1336" s="2">
        <v>0</v>
      </c>
      <c r="AF1336" s="2" t="s">
        <v>5614</v>
      </c>
      <c r="AG1336" s="2" t="s">
        <v>103</v>
      </c>
      <c r="AH1336" s="2" t="s">
        <v>7002</v>
      </c>
      <c r="AI1336" s="2">
        <v>0</v>
      </c>
      <c r="AJ1336" s="2">
        <v>18.702539590701001</v>
      </c>
      <c r="AK1336" s="2">
        <v>18.759171539261899</v>
      </c>
      <c r="AL1336" s="2">
        <v>18.8348522155949</v>
      </c>
      <c r="AM1336" s="2">
        <v>18.9311214088399</v>
      </c>
      <c r="AN1336" s="2">
        <v>18.6572082123581</v>
      </c>
      <c r="AO1336" s="2">
        <v>18.733750832083999</v>
      </c>
      <c r="AP1336" s="2">
        <v>18.184080630882399</v>
      </c>
      <c r="AQ1336" s="2">
        <v>18.210649847773698</v>
      </c>
      <c r="AR1336" s="2">
        <v>15.684098505227301</v>
      </c>
      <c r="AS1336" s="2">
        <v>16.246780672798799</v>
      </c>
      <c r="AT1336" s="2">
        <v>18.5890119705019</v>
      </c>
      <c r="AU1336" s="2">
        <v>18.226044425396001</v>
      </c>
      <c r="AV1336" s="2">
        <v>18.649660713772398</v>
      </c>
      <c r="AW1336" s="2">
        <v>19.360445020054801</v>
      </c>
      <c r="AX1336" s="2">
        <v>18.442970823040099</v>
      </c>
      <c r="AY1336" s="2">
        <v>18.9651288930352</v>
      </c>
      <c r="AZ1336" s="2">
        <v>18.394841975204599</v>
      </c>
      <c r="BA1336" s="2">
        <v>18.481094266689599</v>
      </c>
      <c r="BB1336" s="2">
        <v>17.598531476838399</v>
      </c>
      <c r="BC1336" s="2">
        <v>19.828525571405802</v>
      </c>
      <c r="BD1336" s="2">
        <v>18.224776539583299</v>
      </c>
      <c r="BE1336" s="2">
        <v>19.537709681027302</v>
      </c>
      <c r="BF1336" s="2">
        <v>18.6521689013497</v>
      </c>
      <c r="BG1336" s="2">
        <v>18.187751869592802</v>
      </c>
      <c r="BH1336" s="2">
        <v>18.345493697097499</v>
      </c>
      <c r="BI1336" s="2">
        <v>18.90444323034</v>
      </c>
      <c r="BJ1336" s="2">
        <v>18.823330633533999</v>
      </c>
      <c r="BK1336" s="2">
        <v>18.5751732973686</v>
      </c>
      <c r="BL1336" s="2">
        <v>17.065784145798499</v>
      </c>
      <c r="BM1336" s="2">
        <v>19.267788922893999</v>
      </c>
      <c r="BN1336" s="2">
        <v>18.8807029209737</v>
      </c>
      <c r="BO1336" s="2">
        <v>18.457963914088399</v>
      </c>
      <c r="BP1336" s="2">
        <v>17.746632603321999</v>
      </c>
      <c r="BQ1336" s="2">
        <v>18.689719272442598</v>
      </c>
      <c r="BR1336" s="2">
        <v>18.967762266251199</v>
      </c>
      <c r="BS1336" s="2">
        <v>18.114404341129902</v>
      </c>
      <c r="BT1336" s="2">
        <v>18.662999481254602</v>
      </c>
      <c r="BU1336" s="2">
        <v>18.208084959106198</v>
      </c>
      <c r="BV1336" s="2">
        <v>19.077436180385899</v>
      </c>
      <c r="BW1336" s="2">
        <v>17.421925103483499</v>
      </c>
      <c r="BX1336" s="2">
        <v>18.604894975922399</v>
      </c>
      <c r="BY1336" s="2">
        <v>18.875056185998002</v>
      </c>
      <c r="BZ1336" s="2">
        <v>18.2097528647299</v>
      </c>
      <c r="CA1336" s="2">
        <v>19.129831646946901</v>
      </c>
      <c r="CB1336" s="2">
        <v>17.688517579151998</v>
      </c>
      <c r="CC1336" s="2">
        <v>18.483375808462998</v>
      </c>
      <c r="CD1336" s="2">
        <v>18.547736529565402</v>
      </c>
      <c r="CE1336" s="2">
        <v>18.5589196775991</v>
      </c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</row>
    <row r="1337" spans="1:97">
      <c r="A1337" s="2" t="s">
        <v>12048</v>
      </c>
      <c r="B1337" s="2">
        <v>218.94544999999999</v>
      </c>
      <c r="C1337" s="2">
        <v>0.57999999999999996</v>
      </c>
      <c r="D1337" s="2" t="s">
        <v>146</v>
      </c>
      <c r="E1337" s="2" t="s">
        <v>12049</v>
      </c>
      <c r="F1337" s="2" t="s">
        <v>12050</v>
      </c>
      <c r="G1337" s="2">
        <v>47351</v>
      </c>
      <c r="H1337" s="3" t="str">
        <f>HYPERLINK("https://cloud.oebiotech.com/#/lm/network/47351", "https://cloud.oebiotech.com/#/lm/network/47351")</f>
        <v>https://cloud.oebiotech.com/#/lm/network/47351</v>
      </c>
      <c r="I1337" s="2" t="s">
        <v>12051</v>
      </c>
      <c r="J1337" s="2">
        <v>484</v>
      </c>
      <c r="K1337" s="2"/>
      <c r="L1337" s="2">
        <v>105</v>
      </c>
      <c r="M1337" s="2" t="s">
        <v>12052</v>
      </c>
      <c r="N1337" s="2" t="s">
        <v>12053</v>
      </c>
      <c r="O1337" s="2" t="s">
        <v>12054</v>
      </c>
      <c r="P1337" s="2">
        <v>30933</v>
      </c>
      <c r="Q1337" s="2" t="s">
        <v>12055</v>
      </c>
      <c r="R1337" s="2" t="s">
        <v>12056</v>
      </c>
      <c r="S1337" s="2" t="s">
        <v>12057</v>
      </c>
      <c r="T1337" s="2" t="s">
        <v>12058</v>
      </c>
      <c r="U1337" s="2" t="s">
        <v>12059</v>
      </c>
      <c r="V1337" s="2" t="s">
        <v>338</v>
      </c>
      <c r="W1337" s="2" t="s">
        <v>339</v>
      </c>
      <c r="X1337" s="2" t="s">
        <v>340</v>
      </c>
      <c r="Y1337" s="2" t="s">
        <v>341</v>
      </c>
      <c r="Z1337" s="2" t="s">
        <v>341</v>
      </c>
      <c r="AA1337" s="2" t="s">
        <v>342</v>
      </c>
      <c r="AB1337" s="2" t="s">
        <v>8443</v>
      </c>
      <c r="AC1337" s="2">
        <v>45.95</v>
      </c>
      <c r="AD1337" s="2">
        <v>80.72</v>
      </c>
      <c r="AE1337" s="2">
        <v>44.15</v>
      </c>
      <c r="AF1337" s="2" t="s">
        <v>12060</v>
      </c>
      <c r="AG1337" s="2" t="s">
        <v>4062</v>
      </c>
      <c r="AH1337" s="2" t="s">
        <v>12061</v>
      </c>
      <c r="AI1337" s="2">
        <v>5.94</v>
      </c>
      <c r="AJ1337" s="2">
        <v>19.327420652673698</v>
      </c>
      <c r="AK1337" s="2">
        <v>19.065156792951299</v>
      </c>
      <c r="AL1337" s="2">
        <v>18.831905129165001</v>
      </c>
      <c r="AM1337" s="2">
        <v>19.3297552644053</v>
      </c>
      <c r="AN1337" s="2">
        <v>19.3731658239777</v>
      </c>
      <c r="AO1337" s="2">
        <v>19.447598062496699</v>
      </c>
      <c r="AP1337" s="2">
        <v>19.1318302393218</v>
      </c>
      <c r="AQ1337" s="2">
        <v>19.289732698504199</v>
      </c>
      <c r="AR1337" s="2">
        <v>19.431356158234401</v>
      </c>
      <c r="AS1337" s="2">
        <v>19.196409972734099</v>
      </c>
      <c r="AT1337" s="2">
        <v>19.215592339824099</v>
      </c>
      <c r="AU1337" s="2">
        <v>19.3771514408845</v>
      </c>
      <c r="AV1337" s="2">
        <v>19.358083780984799</v>
      </c>
      <c r="AW1337" s="2">
        <v>19.070503559159398</v>
      </c>
      <c r="AX1337" s="2">
        <v>19.236745433534701</v>
      </c>
      <c r="AY1337" s="2">
        <v>19.208967838456498</v>
      </c>
      <c r="AZ1337" s="2">
        <v>19.1574532761176</v>
      </c>
      <c r="BA1337" s="2">
        <v>19.376862399227601</v>
      </c>
      <c r="BB1337" s="2">
        <v>19.306791007617999</v>
      </c>
      <c r="BC1337" s="2">
        <v>19.281656734569601</v>
      </c>
      <c r="BD1337" s="2">
        <v>19.099547326130999</v>
      </c>
      <c r="BE1337" s="2">
        <v>18.993534063725299</v>
      </c>
      <c r="BF1337" s="2">
        <v>19.0670355644986</v>
      </c>
      <c r="BG1337" s="2">
        <v>19.072982786906699</v>
      </c>
      <c r="BH1337" s="2">
        <v>19.269465821316501</v>
      </c>
      <c r="BI1337" s="2">
        <v>19.060294872283301</v>
      </c>
      <c r="BJ1337" s="2">
        <v>19.132267913851599</v>
      </c>
      <c r="BK1337" s="2">
        <v>19.2885340533898</v>
      </c>
      <c r="BL1337" s="2">
        <v>19.480042047625901</v>
      </c>
      <c r="BM1337" s="2">
        <v>19.3810996661717</v>
      </c>
      <c r="BN1337" s="2">
        <v>19.1899820845032</v>
      </c>
      <c r="BO1337" s="2">
        <v>19.1444772673252</v>
      </c>
      <c r="BP1337" s="2">
        <v>18.9116076491547</v>
      </c>
      <c r="BQ1337" s="2">
        <v>19.276293938339801</v>
      </c>
      <c r="BR1337" s="2">
        <v>19.247008945239699</v>
      </c>
      <c r="BS1337" s="2">
        <v>19.2901156649271</v>
      </c>
      <c r="BT1337" s="2">
        <v>19.285650535499801</v>
      </c>
      <c r="BU1337" s="2">
        <v>19.103863567570802</v>
      </c>
      <c r="BV1337" s="2">
        <v>19.2663831232455</v>
      </c>
      <c r="BW1337" s="2">
        <v>19.326749061625801</v>
      </c>
      <c r="BX1337" s="2">
        <v>18.969212048352802</v>
      </c>
      <c r="BY1337" s="2">
        <v>19.0132971538299</v>
      </c>
      <c r="BZ1337" s="2">
        <v>19.304689324581201</v>
      </c>
      <c r="CA1337" s="2">
        <v>19.024616937407501</v>
      </c>
      <c r="CB1337" s="2">
        <v>19.503207987649599</v>
      </c>
      <c r="CC1337" s="2">
        <v>19.070685251836899</v>
      </c>
      <c r="CD1337" s="2">
        <v>19.024434272924498</v>
      </c>
      <c r="CE1337" s="2">
        <v>19.1698669083551</v>
      </c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</row>
    <row r="1338" spans="1:97">
      <c r="A1338" s="2" t="s">
        <v>12062</v>
      </c>
      <c r="B1338" s="2">
        <v>252.05330000000001</v>
      </c>
      <c r="C1338" s="2">
        <v>1.036</v>
      </c>
      <c r="D1338" s="2" t="s">
        <v>84</v>
      </c>
      <c r="E1338" s="2" t="s">
        <v>12063</v>
      </c>
      <c r="F1338" s="2" t="s">
        <v>12064</v>
      </c>
      <c r="G1338" s="2">
        <v>595490</v>
      </c>
      <c r="H1338" s="3" t="str">
        <f>HYPERLINK("https://cloud.oebiotech.com/#/lm/network/595490", "https://cloud.oebiotech.com/#/lm/network/595490")</f>
        <v>https://cloud.oebiotech.com/#/lm/network/595490</v>
      </c>
      <c r="I1338" s="2"/>
      <c r="J1338" s="2"/>
      <c r="K1338" s="2"/>
      <c r="L1338" s="2">
        <v>132256192</v>
      </c>
      <c r="M1338" s="2"/>
      <c r="N1338" s="2"/>
      <c r="O1338" s="2"/>
      <c r="P1338" s="2"/>
      <c r="Q1338" s="2"/>
      <c r="R1338" s="2"/>
      <c r="S1338" s="2"/>
      <c r="T1338" s="2" t="s">
        <v>12065</v>
      </c>
      <c r="U1338" s="2" t="s">
        <v>12066</v>
      </c>
      <c r="V1338" s="2" t="s">
        <v>115</v>
      </c>
      <c r="W1338" s="2" t="s">
        <v>613</v>
      </c>
      <c r="X1338" s="2" t="s">
        <v>614</v>
      </c>
      <c r="Y1338" s="2" t="s">
        <v>118</v>
      </c>
      <c r="Z1338" s="2" t="s">
        <v>615</v>
      </c>
      <c r="AA1338" s="2" t="s">
        <v>616</v>
      </c>
      <c r="AB1338" s="2" t="s">
        <v>5118</v>
      </c>
      <c r="AC1338" s="2">
        <v>45.95</v>
      </c>
      <c r="AD1338" s="2">
        <v>91.66</v>
      </c>
      <c r="AE1338" s="2">
        <v>48.8</v>
      </c>
      <c r="AF1338" s="2" t="s">
        <v>12067</v>
      </c>
      <c r="AG1338" s="2" t="s">
        <v>132</v>
      </c>
      <c r="AH1338" s="2" t="s">
        <v>12068</v>
      </c>
      <c r="AI1338" s="2">
        <v>1.19</v>
      </c>
      <c r="AJ1338" s="2">
        <v>20.743470568364799</v>
      </c>
      <c r="AK1338" s="2">
        <v>20.650690979338101</v>
      </c>
      <c r="AL1338" s="2">
        <v>20.3378252827283</v>
      </c>
      <c r="AM1338" s="2">
        <v>20.566468316346199</v>
      </c>
      <c r="AN1338" s="2">
        <v>20.155987723568501</v>
      </c>
      <c r="AO1338" s="2">
        <v>20.366814651816401</v>
      </c>
      <c r="AP1338" s="2">
        <v>19.823056646130201</v>
      </c>
      <c r="AQ1338" s="2">
        <v>19.8599471249203</v>
      </c>
      <c r="AR1338" s="2">
        <v>20.760852782264301</v>
      </c>
      <c r="AS1338" s="2">
        <v>20.5335430261974</v>
      </c>
      <c r="AT1338" s="2">
        <v>21.483274185841299</v>
      </c>
      <c r="AU1338" s="2">
        <v>22.799078521094401</v>
      </c>
      <c r="AV1338" s="2">
        <v>22.529999814074099</v>
      </c>
      <c r="AW1338" s="2">
        <v>21.5156131278525</v>
      </c>
      <c r="AX1338" s="2">
        <v>21.179026872420199</v>
      </c>
      <c r="AY1338" s="2">
        <v>22.312601181853601</v>
      </c>
      <c r="AZ1338" s="2">
        <v>21.8289534546937</v>
      </c>
      <c r="BA1338" s="2">
        <v>21.846793868006401</v>
      </c>
      <c r="BB1338" s="2">
        <v>21.726602431831299</v>
      </c>
      <c r="BC1338" s="2">
        <v>20.995668787975099</v>
      </c>
      <c r="BD1338" s="2">
        <v>21.9504361905156</v>
      </c>
      <c r="BE1338" s="2">
        <v>20.151080488568699</v>
      </c>
      <c r="BF1338" s="2">
        <v>20.7718796963442</v>
      </c>
      <c r="BG1338" s="2">
        <v>20.864242151156802</v>
      </c>
      <c r="BH1338" s="2">
        <v>21.442421067422998</v>
      </c>
      <c r="BI1338" s="2">
        <v>20.8880157673978</v>
      </c>
      <c r="BJ1338" s="2">
        <v>21.029049200671501</v>
      </c>
      <c r="BK1338" s="2">
        <v>20.462412454830002</v>
      </c>
      <c r="BL1338" s="2">
        <v>22.073723452425799</v>
      </c>
      <c r="BM1338" s="2">
        <v>22.532183407805501</v>
      </c>
      <c r="BN1338" s="2">
        <v>21.627096423563</v>
      </c>
      <c r="BO1338" s="2">
        <v>21.418362742675999</v>
      </c>
      <c r="BP1338" s="2">
        <v>20.244749872852999</v>
      </c>
      <c r="BQ1338" s="2">
        <v>20.9159873161516</v>
      </c>
      <c r="BR1338" s="2">
        <v>20.534070830543602</v>
      </c>
      <c r="BS1338" s="2">
        <v>21.067651250548899</v>
      </c>
      <c r="BT1338" s="2">
        <v>21.118547837200499</v>
      </c>
      <c r="BU1338" s="2">
        <v>17.315864663490601</v>
      </c>
      <c r="BV1338" s="2">
        <v>22.144484934973601</v>
      </c>
      <c r="BW1338" s="2">
        <v>22.2371996888373</v>
      </c>
      <c r="BX1338" s="2">
        <v>21.711931406622298</v>
      </c>
      <c r="BY1338" s="2">
        <v>18.667419314408502</v>
      </c>
      <c r="BZ1338" s="2">
        <v>20.281012853258201</v>
      </c>
      <c r="CA1338" s="2">
        <v>21.145582892342901</v>
      </c>
      <c r="CB1338" s="2">
        <v>20.314767432619998</v>
      </c>
      <c r="CC1338" s="2">
        <v>20.790705406466699</v>
      </c>
      <c r="CD1338" s="2">
        <v>18.339506307829101</v>
      </c>
      <c r="CE1338" s="2">
        <v>9.6233145402724691</v>
      </c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</row>
    <row r="1339" spans="1:97">
      <c r="A1339" s="2" t="s">
        <v>12069</v>
      </c>
      <c r="B1339" s="2">
        <v>317.11453999999998</v>
      </c>
      <c r="C1339" s="2">
        <v>0.66900000000000004</v>
      </c>
      <c r="D1339" s="2" t="s">
        <v>84</v>
      </c>
      <c r="E1339" s="2" t="s">
        <v>12070</v>
      </c>
      <c r="F1339" s="2" t="s">
        <v>12071</v>
      </c>
      <c r="G1339" s="2">
        <v>201052</v>
      </c>
      <c r="H1339" s="3" t="str">
        <f>HYPERLINK("https://cloud.oebiotech.com/#/lm/network/201052", "https://cloud.oebiotech.com/#/lm/network/201052")</f>
        <v>https://cloud.oebiotech.com/#/lm/network/201052</v>
      </c>
      <c r="I1339" s="2" t="s">
        <v>12072</v>
      </c>
      <c r="J1339" s="2"/>
      <c r="K1339" s="2"/>
      <c r="L1339" s="2">
        <v>90900</v>
      </c>
      <c r="M1339" s="2"/>
      <c r="N1339" s="2"/>
      <c r="O1339" s="2"/>
      <c r="P1339" s="2"/>
      <c r="Q1339" s="2"/>
      <c r="R1339" s="2"/>
      <c r="S1339" s="2"/>
      <c r="T1339" s="2" t="s">
        <v>12073</v>
      </c>
      <c r="U1339" s="2" t="s">
        <v>12074</v>
      </c>
      <c r="V1339" s="2" t="s">
        <v>385</v>
      </c>
      <c r="W1339" s="2" t="s">
        <v>386</v>
      </c>
      <c r="X1339" s="2" t="s">
        <v>1059</v>
      </c>
      <c r="Y1339" s="2" t="s">
        <v>388</v>
      </c>
      <c r="Z1339" s="2" t="s">
        <v>389</v>
      </c>
      <c r="AA1339" s="2" t="s">
        <v>1060</v>
      </c>
      <c r="AB1339" s="2" t="s">
        <v>5118</v>
      </c>
      <c r="AC1339" s="2">
        <v>45.95</v>
      </c>
      <c r="AD1339" s="2">
        <v>90.53</v>
      </c>
      <c r="AE1339" s="2">
        <v>52.62</v>
      </c>
      <c r="AF1339" s="2" t="s">
        <v>12075</v>
      </c>
      <c r="AG1339" s="2" t="s">
        <v>3544</v>
      </c>
      <c r="AH1339" s="2" t="s">
        <v>4808</v>
      </c>
      <c r="AI1339" s="2">
        <v>1.58</v>
      </c>
      <c r="AJ1339" s="2">
        <v>23.898617674510501</v>
      </c>
      <c r="AK1339" s="2">
        <v>23.375158775573802</v>
      </c>
      <c r="AL1339" s="2">
        <v>23.739973593084699</v>
      </c>
      <c r="AM1339" s="2">
        <v>23.901382664387199</v>
      </c>
      <c r="AN1339" s="2">
        <v>23.635946775427598</v>
      </c>
      <c r="AO1339" s="2">
        <v>23.796472529402099</v>
      </c>
      <c r="AP1339" s="2">
        <v>23.6698266178518</v>
      </c>
      <c r="AQ1339" s="2">
        <v>23.655488735593799</v>
      </c>
      <c r="AR1339" s="2">
        <v>23.524358737692001</v>
      </c>
      <c r="AS1339" s="2">
        <v>23.2316838002758</v>
      </c>
      <c r="AT1339" s="2">
        <v>23.452580008587201</v>
      </c>
      <c r="AU1339" s="2">
        <v>23.912807727654499</v>
      </c>
      <c r="AV1339" s="2">
        <v>23.596771469295899</v>
      </c>
      <c r="AW1339" s="2">
        <v>23.602039247674</v>
      </c>
      <c r="AX1339" s="2">
        <v>23.442700374922499</v>
      </c>
      <c r="AY1339" s="2">
        <v>23.824701077179402</v>
      </c>
      <c r="AZ1339" s="2">
        <v>23.479925915132998</v>
      </c>
      <c r="BA1339" s="2">
        <v>23.509687562583299</v>
      </c>
      <c r="BB1339" s="2">
        <v>24.042660507861399</v>
      </c>
      <c r="BC1339" s="2">
        <v>24.464560368157201</v>
      </c>
      <c r="BD1339" s="2">
        <v>23.953541500415099</v>
      </c>
      <c r="BE1339" s="2">
        <v>23.955789161793302</v>
      </c>
      <c r="BF1339" s="2">
        <v>23.7178120675845</v>
      </c>
      <c r="BG1339" s="2">
        <v>23.8666041467559</v>
      </c>
      <c r="BH1339" s="2">
        <v>23.5285987762209</v>
      </c>
      <c r="BI1339" s="2">
        <v>23.842009391699101</v>
      </c>
      <c r="BJ1339" s="2">
        <v>23.682462849183299</v>
      </c>
      <c r="BK1339" s="2">
        <v>23.639027965916501</v>
      </c>
      <c r="BL1339" s="2">
        <v>23.5959588694394</v>
      </c>
      <c r="BM1339" s="2">
        <v>23.915886082312301</v>
      </c>
      <c r="BN1339" s="2">
        <v>23.608067734748701</v>
      </c>
      <c r="BO1339" s="2">
        <v>23.472626478873501</v>
      </c>
      <c r="BP1339" s="2">
        <v>23.454499509405998</v>
      </c>
      <c r="BQ1339" s="2">
        <v>23.711970104405601</v>
      </c>
      <c r="BR1339" s="2">
        <v>23.776730779625399</v>
      </c>
      <c r="BS1339" s="2">
        <v>23.296577419487701</v>
      </c>
      <c r="BT1339" s="2">
        <v>23.672579655706802</v>
      </c>
      <c r="BU1339" s="2">
        <v>23.630751130308202</v>
      </c>
      <c r="BV1339" s="2">
        <v>23.960451684804099</v>
      </c>
      <c r="BW1339" s="2">
        <v>23.857629541239302</v>
      </c>
      <c r="BX1339" s="2">
        <v>23.7278226778798</v>
      </c>
      <c r="BY1339" s="2">
        <v>23.247522017682499</v>
      </c>
      <c r="BZ1339" s="2">
        <v>23.1012732752543</v>
      </c>
      <c r="CA1339" s="2">
        <v>23.759048847987401</v>
      </c>
      <c r="CB1339" s="2">
        <v>23.066179511481199</v>
      </c>
      <c r="CC1339" s="2">
        <v>23.551390586438401</v>
      </c>
      <c r="CD1339" s="2">
        <v>23.4221463252406</v>
      </c>
      <c r="CE1339" s="2">
        <v>23.6226323535025</v>
      </c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</row>
    <row r="1340" spans="1:97">
      <c r="A1340" s="2" t="s">
        <v>12076</v>
      </c>
      <c r="B1340" s="2">
        <v>186.18499</v>
      </c>
      <c r="C1340" s="2">
        <v>9.8439999999999994</v>
      </c>
      <c r="D1340" s="2" t="s">
        <v>84</v>
      </c>
      <c r="E1340" s="2" t="s">
        <v>12077</v>
      </c>
      <c r="F1340" s="2" t="s">
        <v>12078</v>
      </c>
      <c r="G1340" s="2">
        <v>6530</v>
      </c>
      <c r="H1340" s="3" t="str">
        <f>HYPERLINK("https://cloud.oebiotech.com/#/lm/network/6530", "https://cloud.oebiotech.com/#/lm/network/6530")</f>
        <v>https://cloud.oebiotech.com/#/lm/network/6530</v>
      </c>
      <c r="I1340" s="2" t="s">
        <v>12079</v>
      </c>
      <c r="J1340" s="2">
        <v>36585</v>
      </c>
      <c r="K1340" s="2" t="s">
        <v>12080</v>
      </c>
      <c r="L1340" s="2">
        <v>5283356</v>
      </c>
      <c r="M1340" s="2"/>
      <c r="N1340" s="2"/>
      <c r="O1340" s="2"/>
      <c r="P1340" s="2">
        <v>132843</v>
      </c>
      <c r="Q1340" s="2"/>
      <c r="R1340" s="2"/>
      <c r="S1340" s="2" t="s">
        <v>12081</v>
      </c>
      <c r="T1340" s="2" t="s">
        <v>12082</v>
      </c>
      <c r="U1340" s="2" t="s">
        <v>12083</v>
      </c>
      <c r="V1340" s="2" t="s">
        <v>338</v>
      </c>
      <c r="W1340" s="2" t="s">
        <v>339</v>
      </c>
      <c r="X1340" s="2" t="s">
        <v>340</v>
      </c>
      <c r="Y1340" s="2" t="s">
        <v>341</v>
      </c>
      <c r="Z1340" s="2" t="s">
        <v>341</v>
      </c>
      <c r="AA1340" s="2" t="s">
        <v>342</v>
      </c>
      <c r="AB1340" s="2" t="s">
        <v>8443</v>
      </c>
      <c r="AC1340" s="2">
        <v>45.94</v>
      </c>
      <c r="AD1340" s="2">
        <v>92.94</v>
      </c>
      <c r="AE1340" s="2">
        <v>0</v>
      </c>
      <c r="AF1340" s="2" t="s">
        <v>5614</v>
      </c>
      <c r="AG1340" s="2" t="s">
        <v>132</v>
      </c>
      <c r="AH1340" s="2" t="s">
        <v>12084</v>
      </c>
      <c r="AI1340" s="2">
        <v>1.07</v>
      </c>
      <c r="AJ1340" s="2">
        <v>19.096738108143999</v>
      </c>
      <c r="AK1340" s="2">
        <v>19.554606893496299</v>
      </c>
      <c r="AL1340" s="2">
        <v>19.701459916149702</v>
      </c>
      <c r="AM1340" s="2">
        <v>19.5393817153582</v>
      </c>
      <c r="AN1340" s="2">
        <v>19.331150265458401</v>
      </c>
      <c r="AO1340" s="2">
        <v>19.422849070128802</v>
      </c>
      <c r="AP1340" s="2">
        <v>19.678680010777398</v>
      </c>
      <c r="AQ1340" s="2">
        <v>19.601709590503201</v>
      </c>
      <c r="AR1340" s="2">
        <v>19.037664968127</v>
      </c>
      <c r="AS1340" s="2">
        <v>19.2566282047604</v>
      </c>
      <c r="AT1340" s="2">
        <v>19.439178147124402</v>
      </c>
      <c r="AU1340" s="2">
        <v>19.186257853690801</v>
      </c>
      <c r="AV1340" s="2">
        <v>18.814938014176001</v>
      </c>
      <c r="AW1340" s="2">
        <v>18.856685183313299</v>
      </c>
      <c r="AX1340" s="2">
        <v>19.289089270639</v>
      </c>
      <c r="AY1340" s="2">
        <v>19.216088956602299</v>
      </c>
      <c r="AZ1340" s="2">
        <v>19.536996337597799</v>
      </c>
      <c r="BA1340" s="2">
        <v>19.096460761333301</v>
      </c>
      <c r="BB1340" s="2">
        <v>19.905051743264799</v>
      </c>
      <c r="BC1340" s="2">
        <v>20.132572324441401</v>
      </c>
      <c r="BD1340" s="2">
        <v>19.346179047028599</v>
      </c>
      <c r="BE1340" s="2">
        <v>19.388336288220799</v>
      </c>
      <c r="BF1340" s="2">
        <v>19.579223169394801</v>
      </c>
      <c r="BG1340" s="2">
        <v>19.410963840885799</v>
      </c>
      <c r="BH1340" s="2">
        <v>19.235518614952699</v>
      </c>
      <c r="BI1340" s="2">
        <v>19.497557968437</v>
      </c>
      <c r="BJ1340" s="2">
        <v>19.271391214176798</v>
      </c>
      <c r="BK1340" s="2">
        <v>19.524357735661098</v>
      </c>
      <c r="BL1340" s="2">
        <v>19.6231669081794</v>
      </c>
      <c r="BM1340" s="2">
        <v>19.469550862999501</v>
      </c>
      <c r="BN1340" s="2">
        <v>19.2833777214557</v>
      </c>
      <c r="BO1340" s="2">
        <v>19.1803026002077</v>
      </c>
      <c r="BP1340" s="2">
        <v>19.051756295900098</v>
      </c>
      <c r="BQ1340" s="2">
        <v>19.463113523934499</v>
      </c>
      <c r="BR1340" s="2">
        <v>19.140934640684002</v>
      </c>
      <c r="BS1340" s="2">
        <v>18.890412788389401</v>
      </c>
      <c r="BT1340" s="2">
        <v>19.505401001205001</v>
      </c>
      <c r="BU1340" s="2">
        <v>19.607557450977101</v>
      </c>
      <c r="BV1340" s="2">
        <v>19.292387176902199</v>
      </c>
      <c r="BW1340" s="2">
        <v>19.216215950267099</v>
      </c>
      <c r="BX1340" s="2">
        <v>19.508728670307001</v>
      </c>
      <c r="BY1340" s="2">
        <v>19.6900436826012</v>
      </c>
      <c r="BZ1340" s="2">
        <v>19.671630831549201</v>
      </c>
      <c r="CA1340" s="2">
        <v>19.113149729122199</v>
      </c>
      <c r="CB1340" s="2">
        <v>19.519262006047601</v>
      </c>
      <c r="CC1340" s="2">
        <v>19.668105423156501</v>
      </c>
      <c r="CD1340" s="2">
        <v>19.610480455449899</v>
      </c>
      <c r="CE1340" s="2">
        <v>19.5543849803095</v>
      </c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</row>
    <row r="1341" spans="1:97">
      <c r="A1341" s="2" t="s">
        <v>12085</v>
      </c>
      <c r="B1341" s="2">
        <v>385.34553</v>
      </c>
      <c r="C1341" s="2">
        <v>10.236000000000001</v>
      </c>
      <c r="D1341" s="2" t="s">
        <v>84</v>
      </c>
      <c r="E1341" s="2" t="s">
        <v>12086</v>
      </c>
      <c r="F1341" s="2" t="s">
        <v>12087</v>
      </c>
      <c r="G1341" s="2">
        <v>198447</v>
      </c>
      <c r="H1341" s="3" t="str">
        <f>HYPERLINK("https://cloud.oebiotech.com/#/lm/network/198447", "https://cloud.oebiotech.com/#/lm/network/198447")</f>
        <v>https://cloud.oebiotech.com/#/lm/network/198447</v>
      </c>
      <c r="I1341" s="2" t="s">
        <v>12088</v>
      </c>
      <c r="J1341" s="2"/>
      <c r="K1341" s="2"/>
      <c r="L1341" s="2">
        <v>9821462</v>
      </c>
      <c r="M1341" s="2"/>
      <c r="N1341" s="2"/>
      <c r="O1341" s="2"/>
      <c r="P1341" s="2"/>
      <c r="Q1341" s="2"/>
      <c r="R1341" s="2"/>
      <c r="S1341" s="2"/>
      <c r="T1341" s="2" t="s">
        <v>12089</v>
      </c>
      <c r="U1341" s="2" t="s">
        <v>12090</v>
      </c>
      <c r="V1341" s="2" t="s">
        <v>115</v>
      </c>
      <c r="W1341" s="2" t="s">
        <v>116</v>
      </c>
      <c r="X1341" s="2" t="s">
        <v>117</v>
      </c>
      <c r="Y1341" s="2" t="s">
        <v>118</v>
      </c>
      <c r="Z1341" s="2" t="s">
        <v>119</v>
      </c>
      <c r="AA1341" s="2" t="s">
        <v>120</v>
      </c>
      <c r="AB1341" s="2" t="s">
        <v>3086</v>
      </c>
      <c r="AC1341" s="2">
        <v>45.93</v>
      </c>
      <c r="AD1341" s="2">
        <v>85.34</v>
      </c>
      <c r="AE1341" s="2">
        <v>0</v>
      </c>
      <c r="AF1341" s="2" t="s">
        <v>5614</v>
      </c>
      <c r="AG1341" s="2" t="s">
        <v>103</v>
      </c>
      <c r="AH1341" s="2" t="s">
        <v>12091</v>
      </c>
      <c r="AI1341" s="2">
        <v>-7.79</v>
      </c>
      <c r="AJ1341" s="2">
        <v>19.1991683898719</v>
      </c>
      <c r="AK1341" s="2">
        <v>18.6777201233099</v>
      </c>
      <c r="AL1341" s="2">
        <v>19.185436341604198</v>
      </c>
      <c r="AM1341" s="2">
        <v>18.8633816786291</v>
      </c>
      <c r="AN1341" s="2">
        <v>18.7743590884673</v>
      </c>
      <c r="AO1341" s="2">
        <v>18.526020273525202</v>
      </c>
      <c r="AP1341" s="2">
        <v>19.1018248268111</v>
      </c>
      <c r="AQ1341" s="2">
        <v>19.063609926360101</v>
      </c>
      <c r="AR1341" s="2">
        <v>18.915615284113901</v>
      </c>
      <c r="AS1341" s="2">
        <v>18.8096438905905</v>
      </c>
      <c r="AT1341" s="2">
        <v>18.568336627512601</v>
      </c>
      <c r="AU1341" s="2">
        <v>18.703037848083898</v>
      </c>
      <c r="AV1341" s="2">
        <v>18.759046671240402</v>
      </c>
      <c r="AW1341" s="2">
        <v>18.753841876479999</v>
      </c>
      <c r="AX1341" s="2">
        <v>18.709429275479099</v>
      </c>
      <c r="AY1341" s="2">
        <v>19.132285839857101</v>
      </c>
      <c r="AZ1341" s="2">
        <v>18.654650012399401</v>
      </c>
      <c r="BA1341" s="2">
        <v>19.003467045978301</v>
      </c>
      <c r="BB1341" s="2">
        <v>19.204133823125801</v>
      </c>
      <c r="BC1341" s="2">
        <v>18.196917460692202</v>
      </c>
      <c r="BD1341" s="2">
        <v>19.092363193698301</v>
      </c>
      <c r="BE1341" s="2">
        <v>18.8367728041435</v>
      </c>
      <c r="BF1341" s="2">
        <v>18.4477263645752</v>
      </c>
      <c r="BG1341" s="2">
        <v>18.758831346070799</v>
      </c>
      <c r="BH1341" s="2">
        <v>19.044891998468302</v>
      </c>
      <c r="BI1341" s="2">
        <v>15.6472422645934</v>
      </c>
      <c r="BJ1341" s="2">
        <v>18.857209152594798</v>
      </c>
      <c r="BK1341" s="2">
        <v>18.698456031100701</v>
      </c>
      <c r="BL1341" s="2">
        <v>18.837073974579798</v>
      </c>
      <c r="BM1341" s="2">
        <v>18.874081363133499</v>
      </c>
      <c r="BN1341" s="2">
        <v>19.039387540522299</v>
      </c>
      <c r="BO1341" s="2">
        <v>18.4655541293507</v>
      </c>
      <c r="BP1341" s="2">
        <v>18.616316117207699</v>
      </c>
      <c r="BQ1341" s="2">
        <v>18.732198998849402</v>
      </c>
      <c r="BR1341" s="2">
        <v>18.7786094859547</v>
      </c>
      <c r="BS1341" s="2">
        <v>19.108605235515501</v>
      </c>
      <c r="BT1341" s="2">
        <v>19.1407325059767</v>
      </c>
      <c r="BU1341" s="2">
        <v>18.914030137849601</v>
      </c>
      <c r="BV1341" s="2">
        <v>18.711917811702001</v>
      </c>
      <c r="BW1341" s="2">
        <v>18.591721201609801</v>
      </c>
      <c r="BX1341" s="2">
        <v>18.5638589370033</v>
      </c>
      <c r="BY1341" s="2">
        <v>18.8865428838008</v>
      </c>
      <c r="BZ1341" s="2">
        <v>18.7315293203247</v>
      </c>
      <c r="CA1341" s="2">
        <v>19.311922181169098</v>
      </c>
      <c r="CB1341" s="2">
        <v>18.6814343377334</v>
      </c>
      <c r="CC1341" s="2">
        <v>18.749643694098001</v>
      </c>
      <c r="CD1341" s="2">
        <v>18.840379479189</v>
      </c>
      <c r="CE1341" s="2">
        <v>19.1611040249986</v>
      </c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</row>
    <row r="1342" spans="1:97">
      <c r="A1342" s="2" t="s">
        <v>12092</v>
      </c>
      <c r="B1342" s="2">
        <v>119.03583</v>
      </c>
      <c r="C1342" s="2">
        <v>0.58199999999999996</v>
      </c>
      <c r="D1342" s="2" t="s">
        <v>84</v>
      </c>
      <c r="E1342" s="2" t="s">
        <v>12093</v>
      </c>
      <c r="F1342" s="2" t="s">
        <v>12094</v>
      </c>
      <c r="G1342" s="2">
        <v>200606</v>
      </c>
      <c r="H1342" s="3" t="str">
        <f>HYPERLINK("https://cloud.oebiotech.com/#/lm/network/200606", "https://cloud.oebiotech.com/#/lm/network/200606")</f>
        <v>https://cloud.oebiotech.com/#/lm/network/200606</v>
      </c>
      <c r="I1342" s="2" t="s">
        <v>12095</v>
      </c>
      <c r="J1342" s="2">
        <v>456454</v>
      </c>
      <c r="K1342" s="2"/>
      <c r="L1342" s="2">
        <v>75323</v>
      </c>
      <c r="M1342" s="2"/>
      <c r="N1342" s="2"/>
      <c r="O1342" s="2"/>
      <c r="P1342" s="2"/>
      <c r="Q1342" s="2"/>
      <c r="R1342" s="2"/>
      <c r="S1342" s="2"/>
      <c r="T1342" s="2" t="s">
        <v>12096</v>
      </c>
      <c r="U1342" s="2" t="s">
        <v>12097</v>
      </c>
      <c r="V1342" s="2" t="s">
        <v>553</v>
      </c>
      <c r="W1342" s="2" t="s">
        <v>949</v>
      </c>
      <c r="X1342" s="2" t="s">
        <v>950</v>
      </c>
      <c r="Y1342" s="2" t="s">
        <v>556</v>
      </c>
      <c r="Z1342" s="2" t="s">
        <v>951</v>
      </c>
      <c r="AA1342" s="2" t="s">
        <v>952</v>
      </c>
      <c r="AB1342" s="2" t="s">
        <v>8443</v>
      </c>
      <c r="AC1342" s="2">
        <v>45.91</v>
      </c>
      <c r="AD1342" s="2">
        <v>96.38</v>
      </c>
      <c r="AE1342" s="2">
        <v>0</v>
      </c>
      <c r="AF1342" s="2" t="s">
        <v>5614</v>
      </c>
      <c r="AG1342" s="2" t="s">
        <v>1088</v>
      </c>
      <c r="AH1342" s="2" t="s">
        <v>954</v>
      </c>
      <c r="AI1342" s="2">
        <v>0</v>
      </c>
      <c r="AJ1342" s="2">
        <v>20.831263909594501</v>
      </c>
      <c r="AK1342" s="2">
        <v>20.657144889321099</v>
      </c>
      <c r="AL1342" s="2">
        <v>20.552277014885799</v>
      </c>
      <c r="AM1342" s="2">
        <v>20.856667852674001</v>
      </c>
      <c r="AN1342" s="2">
        <v>20.778605515908001</v>
      </c>
      <c r="AO1342" s="2">
        <v>20.617405431904899</v>
      </c>
      <c r="AP1342" s="2">
        <v>20.725612029842999</v>
      </c>
      <c r="AQ1342" s="2">
        <v>20.0421053934033</v>
      </c>
      <c r="AR1342" s="2">
        <v>20.425007691396601</v>
      </c>
      <c r="AS1342" s="2">
        <v>20.345083517956699</v>
      </c>
      <c r="AT1342" s="2">
        <v>20.114105492293501</v>
      </c>
      <c r="AU1342" s="2">
        <v>19.894674100521101</v>
      </c>
      <c r="AV1342" s="2">
        <v>20.411441504256899</v>
      </c>
      <c r="AW1342" s="2">
        <v>20.676074277118499</v>
      </c>
      <c r="AX1342" s="2">
        <v>20.677812205135201</v>
      </c>
      <c r="AY1342" s="2">
        <v>20.789631300262499</v>
      </c>
      <c r="AZ1342" s="2">
        <v>20.499450470288298</v>
      </c>
      <c r="BA1342" s="2">
        <v>20.484178085952902</v>
      </c>
      <c r="BB1342" s="2">
        <v>19.340097340463899</v>
      </c>
      <c r="BC1342" s="2">
        <v>20.2618435767133</v>
      </c>
      <c r="BD1342" s="2">
        <v>19.965863701147601</v>
      </c>
      <c r="BE1342" s="2">
        <v>20.9298792451408</v>
      </c>
      <c r="BF1342" s="2">
        <v>20.756444014794099</v>
      </c>
      <c r="BG1342" s="2">
        <v>20.7547486374526</v>
      </c>
      <c r="BH1342" s="2">
        <v>20.635513264457799</v>
      </c>
      <c r="BI1342" s="2">
        <v>20.920906378726599</v>
      </c>
      <c r="BJ1342" s="2">
        <v>20.222148688556999</v>
      </c>
      <c r="BK1342" s="2">
        <v>20.653064899325599</v>
      </c>
      <c r="BL1342" s="2">
        <v>20.673040129196199</v>
      </c>
      <c r="BM1342" s="2">
        <v>20.8981907531895</v>
      </c>
      <c r="BN1342" s="2">
        <v>20.6920980300198</v>
      </c>
      <c r="BO1342" s="2">
        <v>19.586201032851601</v>
      </c>
      <c r="BP1342" s="2">
        <v>20.346192381415399</v>
      </c>
      <c r="BQ1342" s="2">
        <v>19.833103199934399</v>
      </c>
      <c r="BR1342" s="2">
        <v>20.4503555964802</v>
      </c>
      <c r="BS1342" s="2">
        <v>20.293207147715599</v>
      </c>
      <c r="BT1342" s="2">
        <v>20.9351594874597</v>
      </c>
      <c r="BU1342" s="2">
        <v>20.4533808280807</v>
      </c>
      <c r="BV1342" s="2">
        <v>20.7489392246327</v>
      </c>
      <c r="BW1342" s="2">
        <v>20.122151433900498</v>
      </c>
      <c r="BX1342" s="2">
        <v>19.794795341926701</v>
      </c>
      <c r="BY1342" s="2">
        <v>20.8875533900958</v>
      </c>
      <c r="BZ1342" s="2">
        <v>19.851302628209702</v>
      </c>
      <c r="CA1342" s="2">
        <v>19.8058925920386</v>
      </c>
      <c r="CB1342" s="2">
        <v>19.767501841235301</v>
      </c>
      <c r="CC1342" s="2">
        <v>20.2423538904461</v>
      </c>
      <c r="CD1342" s="2">
        <v>20.632735249214601</v>
      </c>
      <c r="CE1342" s="2">
        <v>20.349653592141799</v>
      </c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</row>
    <row r="1343" spans="1:97">
      <c r="A1343" s="2" t="s">
        <v>12098</v>
      </c>
      <c r="B1343" s="2">
        <v>223.09717000000001</v>
      </c>
      <c r="C1343" s="2">
        <v>6.9539999999999997</v>
      </c>
      <c r="D1343" s="2" t="s">
        <v>146</v>
      </c>
      <c r="E1343" s="2" t="s">
        <v>12099</v>
      </c>
      <c r="F1343" s="2" t="s">
        <v>12100</v>
      </c>
      <c r="G1343" s="2">
        <v>64635</v>
      </c>
      <c r="H1343" s="3" t="str">
        <f>HYPERLINK("https://cloud.oebiotech.com/#/lm/network/64635", "https://cloud.oebiotech.com/#/lm/network/64635")</f>
        <v>https://cloud.oebiotech.com/#/lm/network/64635</v>
      </c>
      <c r="I1343" s="2" t="s">
        <v>12101</v>
      </c>
      <c r="J1343" s="2"/>
      <c r="K1343" s="2"/>
      <c r="L1343" s="2">
        <v>1549045</v>
      </c>
      <c r="M1343" s="2" t="s">
        <v>12102</v>
      </c>
      <c r="N1343" s="2"/>
      <c r="O1343" s="2"/>
      <c r="P1343" s="2">
        <v>50550</v>
      </c>
      <c r="Q1343" s="2"/>
      <c r="R1343" s="2"/>
      <c r="S1343" s="2" t="s">
        <v>12103</v>
      </c>
      <c r="T1343" s="2" t="s">
        <v>12104</v>
      </c>
      <c r="U1343" s="2" t="s">
        <v>12105</v>
      </c>
      <c r="V1343" s="2" t="s">
        <v>385</v>
      </c>
      <c r="W1343" s="2" t="s">
        <v>386</v>
      </c>
      <c r="X1343" s="2" t="s">
        <v>4857</v>
      </c>
      <c r="Y1343" s="2" t="s">
        <v>388</v>
      </c>
      <c r="Z1343" s="2" t="s">
        <v>389</v>
      </c>
      <c r="AA1343" s="2" t="s">
        <v>4858</v>
      </c>
      <c r="AB1343" s="2" t="s">
        <v>8443</v>
      </c>
      <c r="AC1343" s="2">
        <v>45.9</v>
      </c>
      <c r="AD1343" s="2">
        <v>92.56</v>
      </c>
      <c r="AE1343" s="2">
        <v>0</v>
      </c>
      <c r="AF1343" s="2" t="s">
        <v>12106</v>
      </c>
      <c r="AG1343" s="2" t="s">
        <v>157</v>
      </c>
      <c r="AH1343" s="2" t="s">
        <v>4850</v>
      </c>
      <c r="AI1343" s="2">
        <v>1.79</v>
      </c>
      <c r="AJ1343" s="2">
        <v>19.381938482263902</v>
      </c>
      <c r="AK1343" s="2">
        <v>18.959182227910599</v>
      </c>
      <c r="AL1343" s="2">
        <v>19.516160519139699</v>
      </c>
      <c r="AM1343" s="2">
        <v>19.519775809854899</v>
      </c>
      <c r="AN1343" s="2">
        <v>19.3781586187527</v>
      </c>
      <c r="AO1343" s="2">
        <v>19.574007331879098</v>
      </c>
      <c r="AP1343" s="2">
        <v>19.584966995194101</v>
      </c>
      <c r="AQ1343" s="2">
        <v>19.692717959097202</v>
      </c>
      <c r="AR1343" s="2">
        <v>18.6573617535111</v>
      </c>
      <c r="AS1343" s="2">
        <v>18.211382148704899</v>
      </c>
      <c r="AT1343" s="2">
        <v>18.7401602493645</v>
      </c>
      <c r="AU1343" s="2">
        <v>18.800220728512301</v>
      </c>
      <c r="AV1343" s="2">
        <v>18.726704748645499</v>
      </c>
      <c r="AW1343" s="2">
        <v>19.216618224426799</v>
      </c>
      <c r="AX1343" s="2">
        <v>18.688371416659098</v>
      </c>
      <c r="AY1343" s="2">
        <v>19.0018798246915</v>
      </c>
      <c r="AZ1343" s="2">
        <v>19.043206273937798</v>
      </c>
      <c r="BA1343" s="2">
        <v>19.015055967428498</v>
      </c>
      <c r="BB1343" s="2">
        <v>19.148180574902</v>
      </c>
      <c r="BC1343" s="2">
        <v>18.5966155251282</v>
      </c>
      <c r="BD1343" s="2">
        <v>19.526002998138701</v>
      </c>
      <c r="BE1343" s="2">
        <v>19.219997489611099</v>
      </c>
      <c r="BF1343" s="2">
        <v>19.118399210284501</v>
      </c>
      <c r="BG1343" s="2">
        <v>19.304857449868599</v>
      </c>
      <c r="BH1343" s="2">
        <v>19.0917406332916</v>
      </c>
      <c r="BI1343" s="2">
        <v>19.9640437309444</v>
      </c>
      <c r="BJ1343" s="2">
        <v>18.796313942284598</v>
      </c>
      <c r="BK1343" s="2">
        <v>19.2422219069114</v>
      </c>
      <c r="BL1343" s="2">
        <v>19.064456224183999</v>
      </c>
      <c r="BM1343" s="2">
        <v>19.3491560062388</v>
      </c>
      <c r="BN1343" s="2">
        <v>19.1575199633156</v>
      </c>
      <c r="BO1343" s="2">
        <v>19.411806057557399</v>
      </c>
      <c r="BP1343" s="2">
        <v>19.144367351586698</v>
      </c>
      <c r="BQ1343" s="2">
        <v>19.366494727920699</v>
      </c>
      <c r="BR1343" s="2">
        <v>19.431921675561199</v>
      </c>
      <c r="BS1343" s="2">
        <v>19.452046578350799</v>
      </c>
      <c r="BT1343" s="2">
        <v>19.283067547555799</v>
      </c>
      <c r="BU1343" s="2">
        <v>19.0064804513908</v>
      </c>
      <c r="BV1343" s="2">
        <v>19.286188156316801</v>
      </c>
      <c r="BW1343" s="2">
        <v>18.7205612093639</v>
      </c>
      <c r="BX1343" s="2">
        <v>19.656543173079299</v>
      </c>
      <c r="BY1343" s="2">
        <v>19.354414757331998</v>
      </c>
      <c r="BZ1343" s="2">
        <v>19.206960753065101</v>
      </c>
      <c r="CA1343" s="2">
        <v>19.731866965434001</v>
      </c>
      <c r="CB1343" s="2">
        <v>19.261546860651301</v>
      </c>
      <c r="CC1343" s="2">
        <v>19.886026231424498</v>
      </c>
      <c r="CD1343" s="2">
        <v>19.106495644798699</v>
      </c>
      <c r="CE1343" s="2">
        <v>18.679593183616099</v>
      </c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</row>
    <row r="1344" spans="1:97">
      <c r="A1344" s="2" t="s">
        <v>12107</v>
      </c>
      <c r="B1344" s="2">
        <v>328.24777999999998</v>
      </c>
      <c r="C1344" s="2">
        <v>7.1980000000000004</v>
      </c>
      <c r="D1344" s="2" t="s">
        <v>84</v>
      </c>
      <c r="E1344" s="2" t="s">
        <v>12108</v>
      </c>
      <c r="F1344" s="2" t="s">
        <v>12109</v>
      </c>
      <c r="G1344" s="2">
        <v>197698</v>
      </c>
      <c r="H1344" s="3" t="str">
        <f>HYPERLINK("https://cloud.oebiotech.com/#/lm/network/197698", "https://cloud.oebiotech.com/#/lm/network/197698")</f>
        <v>https://cloud.oebiotech.com/#/lm/network/197698</v>
      </c>
      <c r="I1344" s="2" t="s">
        <v>12110</v>
      </c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 t="s">
        <v>12111</v>
      </c>
      <c r="U1344" s="2" t="s">
        <v>12112</v>
      </c>
      <c r="V1344" s="2" t="s">
        <v>95</v>
      </c>
      <c r="W1344" s="2" t="s">
        <v>96</v>
      </c>
      <c r="X1344" s="2" t="s">
        <v>97</v>
      </c>
      <c r="Y1344" s="2" t="s">
        <v>98</v>
      </c>
      <c r="Z1344" s="2" t="s">
        <v>99</v>
      </c>
      <c r="AA1344" s="2" t="s">
        <v>100</v>
      </c>
      <c r="AB1344" s="2" t="s">
        <v>8443</v>
      </c>
      <c r="AC1344" s="2">
        <v>45.9</v>
      </c>
      <c r="AD1344" s="2">
        <v>96.6</v>
      </c>
      <c r="AE1344" s="2">
        <v>0</v>
      </c>
      <c r="AF1344" s="2" t="s">
        <v>12113</v>
      </c>
      <c r="AG1344" s="2" t="s">
        <v>1088</v>
      </c>
      <c r="AH1344" s="2" t="s">
        <v>10452</v>
      </c>
      <c r="AI1344" s="2">
        <v>3.05</v>
      </c>
      <c r="AJ1344" s="2">
        <v>22.198916855788699</v>
      </c>
      <c r="AK1344" s="2">
        <v>22.218075410406598</v>
      </c>
      <c r="AL1344" s="2">
        <v>22.097067762891399</v>
      </c>
      <c r="AM1344" s="2">
        <v>22.2354724504685</v>
      </c>
      <c r="AN1344" s="2">
        <v>22.228521846705199</v>
      </c>
      <c r="AO1344" s="2">
        <v>22.357789398326201</v>
      </c>
      <c r="AP1344" s="2">
        <v>22.119318991892701</v>
      </c>
      <c r="AQ1344" s="2">
        <v>22.268544664437901</v>
      </c>
      <c r="AR1344" s="2">
        <v>21.353899244691501</v>
      </c>
      <c r="AS1344" s="2">
        <v>21.915285717817898</v>
      </c>
      <c r="AT1344" s="2">
        <v>21.645239638216601</v>
      </c>
      <c r="AU1344" s="2">
        <v>20.678299317045699</v>
      </c>
      <c r="AV1344" s="2">
        <v>21.716761271576999</v>
      </c>
      <c r="AW1344" s="2">
        <v>21.639416106153401</v>
      </c>
      <c r="AX1344" s="2">
        <v>21.103225419211999</v>
      </c>
      <c r="AY1344" s="2">
        <v>21.494595591604199</v>
      </c>
      <c r="AZ1344" s="2">
        <v>20.892480642189099</v>
      </c>
      <c r="BA1344" s="2">
        <v>22.603761938967299</v>
      </c>
      <c r="BB1344" s="2">
        <v>22.126914576901001</v>
      </c>
      <c r="BC1344" s="2">
        <v>22.810318264781799</v>
      </c>
      <c r="BD1344" s="2">
        <v>20.6996626595724</v>
      </c>
      <c r="BE1344" s="2">
        <v>21.903558880774298</v>
      </c>
      <c r="BF1344" s="2">
        <v>20.834402402009001</v>
      </c>
      <c r="BG1344" s="2">
        <v>22.315490727890499</v>
      </c>
      <c r="BH1344" s="2">
        <v>22.598375700089399</v>
      </c>
      <c r="BI1344" s="2">
        <v>21.2353905918681</v>
      </c>
      <c r="BJ1344" s="2">
        <v>22.2900451338182</v>
      </c>
      <c r="BK1344" s="2">
        <v>21.0850970110655</v>
      </c>
      <c r="BL1344" s="2">
        <v>21.2776053625572</v>
      </c>
      <c r="BM1344" s="2">
        <v>22.04615790878</v>
      </c>
      <c r="BN1344" s="2">
        <v>22.240579632128501</v>
      </c>
      <c r="BO1344" s="2">
        <v>22.7202977376005</v>
      </c>
      <c r="BP1344" s="2">
        <v>22.116262615054801</v>
      </c>
      <c r="BQ1344" s="2">
        <v>22.411542710780001</v>
      </c>
      <c r="BR1344" s="2">
        <v>21.744991334670999</v>
      </c>
      <c r="BS1344" s="2">
        <v>21.114651638093001</v>
      </c>
      <c r="BT1344" s="2">
        <v>21.847925937124</v>
      </c>
      <c r="BU1344" s="2">
        <v>22.1172451197985</v>
      </c>
      <c r="BV1344" s="2">
        <v>21.534790265648301</v>
      </c>
      <c r="BW1344" s="2">
        <v>21.472646837039299</v>
      </c>
      <c r="BX1344" s="2">
        <v>21.334553986714798</v>
      </c>
      <c r="BY1344" s="2">
        <v>22.2287781522855</v>
      </c>
      <c r="BZ1344" s="2">
        <v>21.721894645427099</v>
      </c>
      <c r="CA1344" s="2">
        <v>21.951207206592901</v>
      </c>
      <c r="CB1344" s="2">
        <v>22.2243510958406</v>
      </c>
      <c r="CC1344" s="2">
        <v>21.077774570275899</v>
      </c>
      <c r="CD1344" s="2">
        <v>21.405726648621499</v>
      </c>
      <c r="CE1344" s="2">
        <v>22.553028847507498</v>
      </c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</row>
    <row r="1345" spans="1:97">
      <c r="A1345" s="2" t="s">
        <v>12114</v>
      </c>
      <c r="B1345" s="2">
        <v>217.10448</v>
      </c>
      <c r="C1345" s="2">
        <v>0.66400000000000003</v>
      </c>
      <c r="D1345" s="2" t="s">
        <v>84</v>
      </c>
      <c r="E1345" s="2" t="s">
        <v>12115</v>
      </c>
      <c r="F1345" s="2" t="s">
        <v>12116</v>
      </c>
      <c r="G1345" s="2">
        <v>212642</v>
      </c>
      <c r="H1345" s="3" t="str">
        <f>HYPERLINK("https://cloud.oebiotech.com/#/lm/network/212642", "https://cloud.oebiotech.com/#/lm/network/212642")</f>
        <v>https://cloud.oebiotech.com/#/lm/network/212642</v>
      </c>
      <c r="I1345" s="2" t="s">
        <v>12117</v>
      </c>
      <c r="J1345" s="2">
        <v>342337</v>
      </c>
      <c r="K1345" s="2"/>
      <c r="L1345" s="2">
        <v>70549</v>
      </c>
      <c r="M1345" s="2"/>
      <c r="N1345" s="2"/>
      <c r="O1345" s="2"/>
      <c r="P1345" s="2"/>
      <c r="Q1345" s="2"/>
      <c r="R1345" s="2"/>
      <c r="S1345" s="2"/>
      <c r="T1345" s="2" t="s">
        <v>12118</v>
      </c>
      <c r="U1345" s="2" t="s">
        <v>12119</v>
      </c>
      <c r="V1345" s="2" t="s">
        <v>553</v>
      </c>
      <c r="W1345" s="2" t="s">
        <v>10313</v>
      </c>
      <c r="X1345" s="2" t="s">
        <v>10314</v>
      </c>
      <c r="Y1345" s="2" t="s">
        <v>556</v>
      </c>
      <c r="Z1345" s="2" t="s">
        <v>10315</v>
      </c>
      <c r="AA1345" s="2" t="s">
        <v>10316</v>
      </c>
      <c r="AB1345" s="2" t="s">
        <v>8443</v>
      </c>
      <c r="AC1345" s="2">
        <v>45.89</v>
      </c>
      <c r="AD1345" s="2">
        <v>94.78</v>
      </c>
      <c r="AE1345" s="2">
        <v>0</v>
      </c>
      <c r="AF1345" s="2" t="s">
        <v>5614</v>
      </c>
      <c r="AG1345" s="2" t="s">
        <v>103</v>
      </c>
      <c r="AH1345" s="2" t="s">
        <v>12120</v>
      </c>
      <c r="AI1345" s="2">
        <v>-0.46</v>
      </c>
      <c r="AJ1345" s="2">
        <v>20.618025663729501</v>
      </c>
      <c r="AK1345" s="2">
        <v>20.5995894076305</v>
      </c>
      <c r="AL1345" s="2">
        <v>20.479540211235499</v>
      </c>
      <c r="AM1345" s="2">
        <v>19.676946785956201</v>
      </c>
      <c r="AN1345" s="2">
        <v>20.281031514293101</v>
      </c>
      <c r="AO1345" s="2">
        <v>20.581059990366999</v>
      </c>
      <c r="AP1345" s="2">
        <v>19.9402301516423</v>
      </c>
      <c r="AQ1345" s="2">
        <v>20.343424891009001</v>
      </c>
      <c r="AR1345" s="2">
        <v>20.133252823578701</v>
      </c>
      <c r="AS1345" s="2">
        <v>20.074043752570802</v>
      </c>
      <c r="AT1345" s="2">
        <v>19.786584014979098</v>
      </c>
      <c r="AU1345" s="2">
        <v>19.736848046803001</v>
      </c>
      <c r="AV1345" s="2">
        <v>20.200533686016001</v>
      </c>
      <c r="AW1345" s="2">
        <v>20.268782386803998</v>
      </c>
      <c r="AX1345" s="2">
        <v>19.886549894292401</v>
      </c>
      <c r="AY1345" s="2">
        <v>20.094951791211301</v>
      </c>
      <c r="AZ1345" s="2">
        <v>19.636948874726599</v>
      </c>
      <c r="BA1345" s="2">
        <v>19.649426145681701</v>
      </c>
      <c r="BB1345" s="2">
        <v>20.506430796095199</v>
      </c>
      <c r="BC1345" s="2">
        <v>20.616233623624101</v>
      </c>
      <c r="BD1345" s="2">
        <v>20.5058801940969</v>
      </c>
      <c r="BE1345" s="2">
        <v>20.061279958575302</v>
      </c>
      <c r="BF1345" s="2">
        <v>20.056916369004501</v>
      </c>
      <c r="BG1345" s="2">
        <v>20.5291873347057</v>
      </c>
      <c r="BH1345" s="2">
        <v>20.138927874897199</v>
      </c>
      <c r="BI1345" s="2">
        <v>19.834833749035301</v>
      </c>
      <c r="BJ1345" s="2">
        <v>20.124752241833399</v>
      </c>
      <c r="BK1345" s="2">
        <v>19.506376546374899</v>
      </c>
      <c r="BL1345" s="2">
        <v>20.033937850608599</v>
      </c>
      <c r="BM1345" s="2">
        <v>20.192686428858401</v>
      </c>
      <c r="BN1345" s="2">
        <v>20.230659171189899</v>
      </c>
      <c r="BO1345" s="2">
        <v>20.4111662879872</v>
      </c>
      <c r="BP1345" s="2">
        <v>20.344791272429799</v>
      </c>
      <c r="BQ1345" s="2">
        <v>20.108328335769102</v>
      </c>
      <c r="BR1345" s="2">
        <v>19.951749172743099</v>
      </c>
      <c r="BS1345" s="2">
        <v>20.339957360907</v>
      </c>
      <c r="BT1345" s="2">
        <v>21.0024337432165</v>
      </c>
      <c r="BU1345" s="2">
        <v>20.052023286436899</v>
      </c>
      <c r="BV1345" s="2">
        <v>20.396666831269499</v>
      </c>
      <c r="BW1345" s="2">
        <v>20.5214095188051</v>
      </c>
      <c r="BX1345" s="2">
        <v>20.291881913759799</v>
      </c>
      <c r="BY1345" s="2">
        <v>20.7078195489498</v>
      </c>
      <c r="BZ1345" s="2">
        <v>20.067958558646499</v>
      </c>
      <c r="CA1345" s="2">
        <v>20.1659763722581</v>
      </c>
      <c r="CB1345" s="2">
        <v>20.0262637688407</v>
      </c>
      <c r="CC1345" s="2">
        <v>19.206020394331802</v>
      </c>
      <c r="CD1345" s="2">
        <v>20.819702357457299</v>
      </c>
      <c r="CE1345" s="2">
        <v>20.158396306334801</v>
      </c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</row>
    <row r="1346" spans="1:97">
      <c r="A1346" s="2" t="s">
        <v>12121</v>
      </c>
      <c r="B1346" s="2">
        <v>318.16451999999998</v>
      </c>
      <c r="C1346" s="2">
        <v>4.7489999999999997</v>
      </c>
      <c r="D1346" s="2" t="s">
        <v>84</v>
      </c>
      <c r="E1346" s="2" t="s">
        <v>12122</v>
      </c>
      <c r="F1346" s="2" t="s">
        <v>12123</v>
      </c>
      <c r="G1346" s="2">
        <v>205545</v>
      </c>
      <c r="H1346" s="3" t="str">
        <f>HYPERLINK("https://cloud.oebiotech.com/#/lm/network/205545", "https://cloud.oebiotech.com/#/lm/network/205545")</f>
        <v>https://cloud.oebiotech.com/#/lm/network/205545</v>
      </c>
      <c r="I1346" s="2" t="s">
        <v>12124</v>
      </c>
      <c r="J1346" s="2"/>
      <c r="K1346" s="2"/>
      <c r="L1346" s="2">
        <v>4247</v>
      </c>
      <c r="M1346" s="2"/>
      <c r="N1346" s="2"/>
      <c r="O1346" s="2"/>
      <c r="P1346" s="2">
        <v>52007</v>
      </c>
      <c r="Q1346" s="2"/>
      <c r="R1346" s="2"/>
      <c r="S1346" s="2"/>
      <c r="T1346" s="2" t="s">
        <v>12125</v>
      </c>
      <c r="U1346" s="2" t="s">
        <v>12126</v>
      </c>
      <c r="V1346" s="2" t="s">
        <v>385</v>
      </c>
      <c r="W1346" s="2" t="s">
        <v>4381</v>
      </c>
      <c r="X1346" s="2" t="s">
        <v>10854</v>
      </c>
      <c r="Y1346" s="2" t="s">
        <v>388</v>
      </c>
      <c r="Z1346" s="2" t="s">
        <v>4382</v>
      </c>
      <c r="AA1346" s="2" t="s">
        <v>10855</v>
      </c>
      <c r="AB1346" s="2" t="s">
        <v>8443</v>
      </c>
      <c r="AC1346" s="2">
        <v>45.89</v>
      </c>
      <c r="AD1346" s="2">
        <v>86.14</v>
      </c>
      <c r="AE1346" s="2">
        <v>0</v>
      </c>
      <c r="AF1346" s="2" t="s">
        <v>12127</v>
      </c>
      <c r="AG1346" s="2" t="s">
        <v>1088</v>
      </c>
      <c r="AH1346" s="2" t="s">
        <v>12128</v>
      </c>
      <c r="AI1346" s="2">
        <v>-1.26</v>
      </c>
      <c r="AJ1346" s="2">
        <v>18.8722668404376</v>
      </c>
      <c r="AK1346" s="2">
        <v>18.8546418489167</v>
      </c>
      <c r="AL1346" s="2">
        <v>18.838429956795</v>
      </c>
      <c r="AM1346" s="2">
        <v>19.026847948647902</v>
      </c>
      <c r="AN1346" s="2">
        <v>18.6714688154361</v>
      </c>
      <c r="AO1346" s="2">
        <v>19.109076137829199</v>
      </c>
      <c r="AP1346" s="2">
        <v>18.737587151395498</v>
      </c>
      <c r="AQ1346" s="2">
        <v>18.513291952477299</v>
      </c>
      <c r="AR1346" s="2">
        <v>16.7458671728456</v>
      </c>
      <c r="AS1346" s="2">
        <v>17.525527920394499</v>
      </c>
      <c r="AT1346" s="2">
        <v>17.624102108688401</v>
      </c>
      <c r="AU1346" s="2">
        <v>17.088565698429498</v>
      </c>
      <c r="AV1346" s="2">
        <v>14.995334789805201</v>
      </c>
      <c r="AW1346" s="2">
        <v>17.273026449708901</v>
      </c>
      <c r="AX1346" s="2">
        <v>15.9721478433142</v>
      </c>
      <c r="AY1346" s="2">
        <v>16.860641206303999</v>
      </c>
      <c r="AZ1346" s="2">
        <v>15.9053900607754</v>
      </c>
      <c r="BA1346" s="2">
        <v>15.6416140444177</v>
      </c>
      <c r="BB1346" s="2">
        <v>15.1474100554864</v>
      </c>
      <c r="BC1346" s="2">
        <v>9.6233145402724691</v>
      </c>
      <c r="BD1346" s="2">
        <v>17.404755402788702</v>
      </c>
      <c r="BE1346" s="2">
        <v>14.9796993813712</v>
      </c>
      <c r="BF1346" s="2">
        <v>18.248111814934799</v>
      </c>
      <c r="BG1346" s="2">
        <v>15.841078781455501</v>
      </c>
      <c r="BH1346" s="2">
        <v>17.7204210299798</v>
      </c>
      <c r="BI1346" s="2">
        <v>17.385251713810501</v>
      </c>
      <c r="BJ1346" s="2">
        <v>14.621970001864</v>
      </c>
      <c r="BK1346" s="2">
        <v>17.631120557190801</v>
      </c>
      <c r="BL1346" s="2">
        <v>17.7392202438396</v>
      </c>
      <c r="BM1346" s="2">
        <v>20.364762315361698</v>
      </c>
      <c r="BN1346" s="2">
        <v>15.7989078952691</v>
      </c>
      <c r="BO1346" s="2">
        <v>14.9398619959629</v>
      </c>
      <c r="BP1346" s="2">
        <v>15.898365910003401</v>
      </c>
      <c r="BQ1346" s="2">
        <v>17.635261680212601</v>
      </c>
      <c r="BR1346" s="2">
        <v>14.8501541109177</v>
      </c>
      <c r="BS1346" s="2">
        <v>18.705611093684201</v>
      </c>
      <c r="BT1346" s="2">
        <v>15.033072351682399</v>
      </c>
      <c r="BU1346" s="2">
        <v>15.728783601652299</v>
      </c>
      <c r="BV1346" s="2">
        <v>14.7007404288921</v>
      </c>
      <c r="BW1346" s="2">
        <v>15.6240614728205</v>
      </c>
      <c r="BX1346" s="2">
        <v>17.893732753149902</v>
      </c>
      <c r="BY1346" s="2">
        <v>18.1484805046987</v>
      </c>
      <c r="BZ1346" s="2">
        <v>13.9575138185238</v>
      </c>
      <c r="CA1346" s="2">
        <v>23.744770922901701</v>
      </c>
      <c r="CB1346" s="2">
        <v>17.524436040242701</v>
      </c>
      <c r="CC1346" s="2">
        <v>15.5813606632241</v>
      </c>
      <c r="CD1346" s="2">
        <v>17.835498658457801</v>
      </c>
      <c r="CE1346" s="2">
        <v>16.0538402062455</v>
      </c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</row>
    <row r="1347" spans="1:97">
      <c r="A1347" s="2" t="s">
        <v>12129</v>
      </c>
      <c r="B1347" s="2">
        <v>420.15818000000002</v>
      </c>
      <c r="C1347" s="2">
        <v>5.6139999999999999</v>
      </c>
      <c r="D1347" s="2" t="s">
        <v>84</v>
      </c>
      <c r="E1347" s="2" t="s">
        <v>12130</v>
      </c>
      <c r="F1347" s="2" t="s">
        <v>12131</v>
      </c>
      <c r="G1347" s="2">
        <v>209702</v>
      </c>
      <c r="H1347" s="3" t="str">
        <f>HYPERLINK("https://cloud.oebiotech.com/#/lm/network/209702", "https://cloud.oebiotech.com/#/lm/network/209702")</f>
        <v>https://cloud.oebiotech.com/#/lm/network/209702</v>
      </c>
      <c r="I1347" s="2" t="s">
        <v>12132</v>
      </c>
      <c r="J1347" s="2"/>
      <c r="K1347" s="2"/>
      <c r="L1347" s="2">
        <v>6914697</v>
      </c>
      <c r="M1347" s="2"/>
      <c r="N1347" s="2"/>
      <c r="O1347" s="2"/>
      <c r="P1347" s="2"/>
      <c r="Q1347" s="2"/>
      <c r="R1347" s="2"/>
      <c r="S1347" s="2"/>
      <c r="T1347" s="2" t="s">
        <v>12133</v>
      </c>
      <c r="U1347" s="2" t="s">
        <v>12134</v>
      </c>
      <c r="V1347" s="2" t="s">
        <v>115</v>
      </c>
      <c r="W1347" s="2" t="s">
        <v>116</v>
      </c>
      <c r="X1347" s="2" t="s">
        <v>117</v>
      </c>
      <c r="Y1347" s="2" t="s">
        <v>118</v>
      </c>
      <c r="Z1347" s="2" t="s">
        <v>119</v>
      </c>
      <c r="AA1347" s="2" t="s">
        <v>120</v>
      </c>
      <c r="AB1347" s="2" t="s">
        <v>5118</v>
      </c>
      <c r="AC1347" s="2">
        <v>45.86</v>
      </c>
      <c r="AD1347" s="2">
        <v>74.150000000000006</v>
      </c>
      <c r="AE1347" s="2">
        <v>77.56</v>
      </c>
      <c r="AF1347" s="2" t="s">
        <v>12135</v>
      </c>
      <c r="AG1347" s="2" t="s">
        <v>3544</v>
      </c>
      <c r="AH1347" s="2" t="s">
        <v>12136</v>
      </c>
      <c r="AI1347" s="2">
        <v>-2.38</v>
      </c>
      <c r="AJ1347" s="2">
        <v>19.781194480642899</v>
      </c>
      <c r="AK1347" s="2">
        <v>19.803595972367901</v>
      </c>
      <c r="AL1347" s="2">
        <v>19.571507077266102</v>
      </c>
      <c r="AM1347" s="2">
        <v>19.263835439116999</v>
      </c>
      <c r="AN1347" s="2">
        <v>19.5121433822246</v>
      </c>
      <c r="AO1347" s="2">
        <v>19.610228198835198</v>
      </c>
      <c r="AP1347" s="2">
        <v>19.588244413248301</v>
      </c>
      <c r="AQ1347" s="2">
        <v>19.561358788458499</v>
      </c>
      <c r="AR1347" s="2">
        <v>17.9284045614497</v>
      </c>
      <c r="AS1347" s="2">
        <v>18.980653574508199</v>
      </c>
      <c r="AT1347" s="2">
        <v>19.686339471368701</v>
      </c>
      <c r="AU1347" s="2">
        <v>17.741384360354999</v>
      </c>
      <c r="AV1347" s="2">
        <v>18.633100096473399</v>
      </c>
      <c r="AW1347" s="2">
        <v>19.4620468253292</v>
      </c>
      <c r="AX1347" s="2">
        <v>19.434444491225499</v>
      </c>
      <c r="AY1347" s="2">
        <v>19.709234152780301</v>
      </c>
      <c r="AZ1347" s="2">
        <v>18.247163409816299</v>
      </c>
      <c r="BA1347" s="2">
        <v>19.387807388733702</v>
      </c>
      <c r="BB1347" s="2">
        <v>19.605266777491</v>
      </c>
      <c r="BC1347" s="2">
        <v>21.088974259936901</v>
      </c>
      <c r="BD1347" s="2">
        <v>18.020855886878</v>
      </c>
      <c r="BE1347" s="2">
        <v>20.883276056612299</v>
      </c>
      <c r="BF1347" s="2">
        <v>18.717652026782002</v>
      </c>
      <c r="BG1347" s="2">
        <v>19.628929872113002</v>
      </c>
      <c r="BH1347" s="2">
        <v>19.404341856973701</v>
      </c>
      <c r="BI1347" s="2">
        <v>19.3273299468093</v>
      </c>
      <c r="BJ1347" s="2">
        <v>20.087523442617002</v>
      </c>
      <c r="BK1347" s="2">
        <v>18.527817541106501</v>
      </c>
      <c r="BL1347" s="2">
        <v>19.113251593396502</v>
      </c>
      <c r="BM1347" s="2">
        <v>18.1089236357933</v>
      </c>
      <c r="BN1347" s="2">
        <v>18.986272373732401</v>
      </c>
      <c r="BO1347" s="2">
        <v>19.692714452034799</v>
      </c>
      <c r="BP1347" s="2">
        <v>19.526375634306302</v>
      </c>
      <c r="BQ1347" s="2">
        <v>19.321934038595501</v>
      </c>
      <c r="BR1347" s="2">
        <v>20.327715999345799</v>
      </c>
      <c r="BS1347" s="2">
        <v>18.920795807333398</v>
      </c>
      <c r="BT1347" s="2">
        <v>19.003587551603001</v>
      </c>
      <c r="BU1347" s="2">
        <v>19.2940484678324</v>
      </c>
      <c r="BV1347" s="2">
        <v>19.714752760138602</v>
      </c>
      <c r="BW1347" s="2">
        <v>19.499170205049001</v>
      </c>
      <c r="BX1347" s="2">
        <v>18.081446716976401</v>
      </c>
      <c r="BY1347" s="2">
        <v>19.905537184890701</v>
      </c>
      <c r="BZ1347" s="2">
        <v>17.882785363291202</v>
      </c>
      <c r="CA1347" s="2">
        <v>16.273216999492899</v>
      </c>
      <c r="CB1347" s="2">
        <v>19.512008063371699</v>
      </c>
      <c r="CC1347" s="2">
        <v>18.366273969908299</v>
      </c>
      <c r="CD1347" s="2">
        <v>20.403200670304901</v>
      </c>
      <c r="CE1347" s="2">
        <v>19.000401227881699</v>
      </c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</row>
    <row r="1348" spans="1:97">
      <c r="A1348" s="2" t="s">
        <v>12137</v>
      </c>
      <c r="B1348" s="2">
        <v>299.13848000000002</v>
      </c>
      <c r="C1348" s="2">
        <v>4.7190000000000003</v>
      </c>
      <c r="D1348" s="2" t="s">
        <v>84</v>
      </c>
      <c r="E1348" s="2" t="s">
        <v>12138</v>
      </c>
      <c r="F1348" s="2" t="s">
        <v>12138</v>
      </c>
      <c r="G1348" s="2">
        <v>255126</v>
      </c>
      <c r="H1348" s="3" t="str">
        <f>HYPERLINK("https://cloud.oebiotech.com/#/lm/network/255126", "https://cloud.oebiotech.com/#/lm/network/255126")</f>
        <v>https://cloud.oebiotech.com/#/lm/network/255126</v>
      </c>
      <c r="I1348" s="2" t="s">
        <v>12139</v>
      </c>
      <c r="J1348" s="2"/>
      <c r="K1348" s="2"/>
      <c r="L1348" s="2">
        <v>5319820</v>
      </c>
      <c r="M1348" s="2"/>
      <c r="N1348" s="2"/>
      <c r="O1348" s="2"/>
      <c r="P1348" s="2"/>
      <c r="Q1348" s="2"/>
      <c r="R1348" s="2"/>
      <c r="S1348" s="2"/>
      <c r="T1348" s="2" t="s">
        <v>12140</v>
      </c>
      <c r="U1348" s="2" t="s">
        <v>12141</v>
      </c>
      <c r="V1348" s="2" t="s">
        <v>374</v>
      </c>
      <c r="W1348" s="2" t="s">
        <v>6758</v>
      </c>
      <c r="X1348" s="2" t="s">
        <v>12142</v>
      </c>
      <c r="Y1348" s="2" t="s">
        <v>376</v>
      </c>
      <c r="Z1348" s="2" t="s">
        <v>6759</v>
      </c>
      <c r="AA1348" s="2" t="s">
        <v>12143</v>
      </c>
      <c r="AB1348" s="2" t="s">
        <v>8443</v>
      </c>
      <c r="AC1348" s="2">
        <v>45.85</v>
      </c>
      <c r="AD1348" s="2">
        <v>89.15</v>
      </c>
      <c r="AE1348" s="2">
        <v>0</v>
      </c>
      <c r="AF1348" s="2" t="s">
        <v>5614</v>
      </c>
      <c r="AG1348" s="2" t="s">
        <v>132</v>
      </c>
      <c r="AH1348" s="2" t="s">
        <v>6493</v>
      </c>
      <c r="AI1348" s="2">
        <v>1.67</v>
      </c>
      <c r="AJ1348" s="2">
        <v>17.854553830546699</v>
      </c>
      <c r="AK1348" s="2">
        <v>18.709138786511399</v>
      </c>
      <c r="AL1348" s="2">
        <v>18.398152216022101</v>
      </c>
      <c r="AM1348" s="2">
        <v>18.479619634660502</v>
      </c>
      <c r="AN1348" s="2">
        <v>18.5043229526764</v>
      </c>
      <c r="AO1348" s="2">
        <v>18.4824462294496</v>
      </c>
      <c r="AP1348" s="2">
        <v>18.237851997203698</v>
      </c>
      <c r="AQ1348" s="2">
        <v>18.314310093362501</v>
      </c>
      <c r="AR1348" s="2">
        <v>16.291258850131602</v>
      </c>
      <c r="AS1348" s="2">
        <v>17.508468423802899</v>
      </c>
      <c r="AT1348" s="2">
        <v>18.0689131255536</v>
      </c>
      <c r="AU1348" s="2">
        <v>15.9676108421761</v>
      </c>
      <c r="AV1348" s="2">
        <v>17.504371721942199</v>
      </c>
      <c r="AW1348" s="2">
        <v>17.5949647831881</v>
      </c>
      <c r="AX1348" s="2">
        <v>18.2508449327858</v>
      </c>
      <c r="AY1348" s="2">
        <v>18.068249994869799</v>
      </c>
      <c r="AZ1348" s="2">
        <v>17.042903456927601</v>
      </c>
      <c r="BA1348" s="2">
        <v>18.187124507539401</v>
      </c>
      <c r="BB1348" s="2">
        <v>17.871366243428501</v>
      </c>
      <c r="BC1348" s="2">
        <v>19.614756818059998</v>
      </c>
      <c r="BD1348" s="2">
        <v>17.364792296863399</v>
      </c>
      <c r="BE1348" s="2">
        <v>19.229752336120001</v>
      </c>
      <c r="BF1348" s="2">
        <v>16.723864622190899</v>
      </c>
      <c r="BG1348" s="2">
        <v>18.602202853340799</v>
      </c>
      <c r="BH1348" s="2">
        <v>18.9989497807004</v>
      </c>
      <c r="BI1348" s="2">
        <v>17.692816255521802</v>
      </c>
      <c r="BJ1348" s="2">
        <v>18.6863306306468</v>
      </c>
      <c r="BK1348" s="2">
        <v>17.5447343913795</v>
      </c>
      <c r="BL1348" s="2">
        <v>17.7429405560563</v>
      </c>
      <c r="BM1348" s="2">
        <v>16.678540172264601</v>
      </c>
      <c r="BN1348" s="2">
        <v>18.0672763157323</v>
      </c>
      <c r="BO1348" s="2">
        <v>18.129680216633702</v>
      </c>
      <c r="BP1348" s="2">
        <v>18.871249845972098</v>
      </c>
      <c r="BQ1348" s="2">
        <v>18.104517571020299</v>
      </c>
      <c r="BR1348" s="2">
        <v>18.703494601877701</v>
      </c>
      <c r="BS1348" s="2">
        <v>18.086298593738601</v>
      </c>
      <c r="BT1348" s="2">
        <v>17.344162469793801</v>
      </c>
      <c r="BU1348" s="2">
        <v>18.264554115216999</v>
      </c>
      <c r="BV1348" s="2">
        <v>17.939578755208501</v>
      </c>
      <c r="BW1348" s="2">
        <v>17.915411600896299</v>
      </c>
      <c r="BX1348" s="2">
        <v>17.649017683055</v>
      </c>
      <c r="BY1348" s="2">
        <v>19.974218635481201</v>
      </c>
      <c r="BZ1348" s="2">
        <v>15.565033929645899</v>
      </c>
      <c r="CA1348" s="2">
        <v>18.025805287875801</v>
      </c>
      <c r="CB1348" s="2">
        <v>17.430792113489499</v>
      </c>
      <c r="CC1348" s="2">
        <v>17.950307331502099</v>
      </c>
      <c r="CD1348" s="2">
        <v>19.809587749158698</v>
      </c>
      <c r="CE1348" s="2">
        <v>17.5298358891379</v>
      </c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</row>
    <row r="1349" spans="1:97">
      <c r="A1349" s="2" t="s">
        <v>12144</v>
      </c>
      <c r="B1349" s="2">
        <v>123.04033</v>
      </c>
      <c r="C1349" s="2">
        <v>0.58199999999999996</v>
      </c>
      <c r="D1349" s="2" t="s">
        <v>84</v>
      </c>
      <c r="E1349" s="2" t="s">
        <v>12145</v>
      </c>
      <c r="F1349" s="2" t="s">
        <v>12146</v>
      </c>
      <c r="G1349" s="2">
        <v>207769</v>
      </c>
      <c r="H1349" s="3" t="str">
        <f>HYPERLINK("https://cloud.oebiotech.com/#/lm/network/207769", "https://cloud.oebiotech.com/#/lm/network/207769")</f>
        <v>https://cloud.oebiotech.com/#/lm/network/207769</v>
      </c>
      <c r="I1349" s="2" t="s">
        <v>12147</v>
      </c>
      <c r="J1349" s="2"/>
      <c r="K1349" s="2"/>
      <c r="L1349" s="2">
        <v>13267551</v>
      </c>
      <c r="M1349" s="2"/>
      <c r="N1349" s="2"/>
      <c r="O1349" s="2"/>
      <c r="P1349" s="2"/>
      <c r="Q1349" s="2"/>
      <c r="R1349" s="2"/>
      <c r="S1349" s="2"/>
      <c r="T1349" s="2" t="s">
        <v>12148</v>
      </c>
      <c r="U1349" s="2" t="s">
        <v>12149</v>
      </c>
      <c r="V1349" s="2" t="s">
        <v>115</v>
      </c>
      <c r="W1349" s="2" t="s">
        <v>116</v>
      </c>
      <c r="X1349" s="2" t="s">
        <v>117</v>
      </c>
      <c r="Y1349" s="2" t="s">
        <v>118</v>
      </c>
      <c r="Z1349" s="2" t="s">
        <v>119</v>
      </c>
      <c r="AA1349" s="2" t="s">
        <v>120</v>
      </c>
      <c r="AB1349" s="2" t="s">
        <v>8443</v>
      </c>
      <c r="AC1349" s="2">
        <v>45.85</v>
      </c>
      <c r="AD1349" s="2">
        <v>98</v>
      </c>
      <c r="AE1349" s="2">
        <v>0</v>
      </c>
      <c r="AF1349" s="2" t="s">
        <v>12150</v>
      </c>
      <c r="AG1349" s="2" t="s">
        <v>132</v>
      </c>
      <c r="AH1349" s="2" t="s">
        <v>12151</v>
      </c>
      <c r="AI1349" s="2">
        <v>-2.44</v>
      </c>
      <c r="AJ1349" s="2">
        <v>29.132643946724802</v>
      </c>
      <c r="AK1349" s="2">
        <v>28.9812957144722</v>
      </c>
      <c r="AL1349" s="2">
        <v>29.311376245959998</v>
      </c>
      <c r="AM1349" s="2">
        <v>29.015842464758101</v>
      </c>
      <c r="AN1349" s="2">
        <v>29.2528750462095</v>
      </c>
      <c r="AO1349" s="2">
        <v>29.148886333154699</v>
      </c>
      <c r="AP1349" s="2">
        <v>28.904843973854099</v>
      </c>
      <c r="AQ1349" s="2">
        <v>29.122125661689498</v>
      </c>
      <c r="AR1349" s="2">
        <v>28.881199569501</v>
      </c>
      <c r="AS1349" s="2">
        <v>28.711311896771999</v>
      </c>
      <c r="AT1349" s="2">
        <v>28.821836527356499</v>
      </c>
      <c r="AU1349" s="2">
        <v>28.730823133535001</v>
      </c>
      <c r="AV1349" s="2">
        <v>28.959230970372499</v>
      </c>
      <c r="AW1349" s="2">
        <v>28.989727117803302</v>
      </c>
      <c r="AX1349" s="2">
        <v>29.009621637098</v>
      </c>
      <c r="AY1349" s="2">
        <v>29.077407134783702</v>
      </c>
      <c r="AZ1349" s="2">
        <v>28.708951865141898</v>
      </c>
      <c r="BA1349" s="2">
        <v>28.9197810622173</v>
      </c>
      <c r="BB1349" s="2">
        <v>29.078627571896298</v>
      </c>
      <c r="BC1349" s="2">
        <v>29.141372862979001</v>
      </c>
      <c r="BD1349" s="2">
        <v>28.9813584416498</v>
      </c>
      <c r="BE1349" s="2">
        <v>29.363280311884299</v>
      </c>
      <c r="BF1349" s="2">
        <v>29.093331654970601</v>
      </c>
      <c r="BG1349" s="2">
        <v>29.004653494111501</v>
      </c>
      <c r="BH1349" s="2">
        <v>29.253161063624098</v>
      </c>
      <c r="BI1349" s="2">
        <v>28.669388189536299</v>
      </c>
      <c r="BJ1349" s="2">
        <v>29.028214184973699</v>
      </c>
      <c r="BK1349" s="2">
        <v>28.865837791374101</v>
      </c>
      <c r="BL1349" s="2">
        <v>28.995865817936</v>
      </c>
      <c r="BM1349" s="2">
        <v>29.2271145306559</v>
      </c>
      <c r="BN1349" s="2">
        <v>29.058187041068901</v>
      </c>
      <c r="BO1349" s="2">
        <v>28.8422498220101</v>
      </c>
      <c r="BP1349" s="2">
        <v>28.806904570298599</v>
      </c>
      <c r="BQ1349" s="2">
        <v>28.740371529200001</v>
      </c>
      <c r="BR1349" s="2">
        <v>28.519593938042402</v>
      </c>
      <c r="BS1349" s="2">
        <v>28.895176319281902</v>
      </c>
      <c r="BT1349" s="2">
        <v>29.206048304038699</v>
      </c>
      <c r="BU1349" s="2">
        <v>29.198696099124799</v>
      </c>
      <c r="BV1349" s="2">
        <v>29.1481020278502</v>
      </c>
      <c r="BW1349" s="2">
        <v>29.047327704690499</v>
      </c>
      <c r="BX1349" s="2">
        <v>28.9958056840177</v>
      </c>
      <c r="BY1349" s="2">
        <v>29.616824029121599</v>
      </c>
      <c r="BZ1349" s="2">
        <v>28.694912093136601</v>
      </c>
      <c r="CA1349" s="2">
        <v>28.803217914087799</v>
      </c>
      <c r="CB1349" s="2">
        <v>28.953784831125599</v>
      </c>
      <c r="CC1349" s="2">
        <v>28.7881041969035</v>
      </c>
      <c r="CD1349" s="2">
        <v>29.276207129708698</v>
      </c>
      <c r="CE1349" s="2">
        <v>29.184390186320101</v>
      </c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</row>
    <row r="1350" spans="1:97">
      <c r="A1350" s="2" t="s">
        <v>12152</v>
      </c>
      <c r="B1350" s="2">
        <v>141.10208</v>
      </c>
      <c r="C1350" s="2">
        <v>0.52800000000000002</v>
      </c>
      <c r="D1350" s="2" t="s">
        <v>84</v>
      </c>
      <c r="E1350" s="2" t="s">
        <v>12153</v>
      </c>
      <c r="F1350" s="2" t="s">
        <v>12154</v>
      </c>
      <c r="G1350" s="2">
        <v>56870</v>
      </c>
      <c r="H1350" s="3" t="str">
        <f>HYPERLINK("https://cloud.oebiotech.com/#/lm/network/56870", "https://cloud.oebiotech.com/#/lm/network/56870")</f>
        <v>https://cloud.oebiotech.com/#/lm/network/56870</v>
      </c>
      <c r="I1350" s="2" t="s">
        <v>12155</v>
      </c>
      <c r="J1350" s="2">
        <v>88539</v>
      </c>
      <c r="K1350" s="2"/>
      <c r="L1350" s="2">
        <v>97472</v>
      </c>
      <c r="M1350" s="2"/>
      <c r="N1350" s="2"/>
      <c r="O1350" s="2"/>
      <c r="P1350" s="2"/>
      <c r="Q1350" s="2"/>
      <c r="R1350" s="2"/>
      <c r="S1350" s="2" t="s">
        <v>12156</v>
      </c>
      <c r="T1350" s="2" t="s">
        <v>12157</v>
      </c>
      <c r="U1350" s="2" t="s">
        <v>12158</v>
      </c>
      <c r="V1350" s="2" t="s">
        <v>385</v>
      </c>
      <c r="W1350" s="2" t="s">
        <v>386</v>
      </c>
      <c r="X1350" s="2" t="s">
        <v>12159</v>
      </c>
      <c r="Y1350" s="2" t="s">
        <v>388</v>
      </c>
      <c r="Z1350" s="2" t="s">
        <v>389</v>
      </c>
      <c r="AA1350" s="2" t="s">
        <v>12160</v>
      </c>
      <c r="AB1350" s="2" t="s">
        <v>8443</v>
      </c>
      <c r="AC1350" s="2">
        <v>45.82</v>
      </c>
      <c r="AD1350" s="2">
        <v>95.61</v>
      </c>
      <c r="AE1350" s="2">
        <v>0</v>
      </c>
      <c r="AF1350" s="2" t="s">
        <v>5614</v>
      </c>
      <c r="AG1350" s="2" t="s">
        <v>132</v>
      </c>
      <c r="AH1350" s="2" t="s">
        <v>12161</v>
      </c>
      <c r="AI1350" s="2">
        <v>0.71</v>
      </c>
      <c r="AJ1350" s="2">
        <v>19.411808022554599</v>
      </c>
      <c r="AK1350" s="2">
        <v>19.629732521982099</v>
      </c>
      <c r="AL1350" s="2">
        <v>19.9846075397761</v>
      </c>
      <c r="AM1350" s="2">
        <v>19.4669471654882</v>
      </c>
      <c r="AN1350" s="2">
        <v>19.968783717216301</v>
      </c>
      <c r="AO1350" s="2">
        <v>19.687745738733099</v>
      </c>
      <c r="AP1350" s="2">
        <v>19.637724668767699</v>
      </c>
      <c r="AQ1350" s="2">
        <v>19.745193894891202</v>
      </c>
      <c r="AR1350" s="2">
        <v>19.2693411694658</v>
      </c>
      <c r="AS1350" s="2">
        <v>19.931647251766101</v>
      </c>
      <c r="AT1350" s="2">
        <v>19.8205885865348</v>
      </c>
      <c r="AU1350" s="2">
        <v>19.031370166692898</v>
      </c>
      <c r="AV1350" s="2">
        <v>19.366798038990101</v>
      </c>
      <c r="AW1350" s="2">
        <v>19.517341060156401</v>
      </c>
      <c r="AX1350" s="2">
        <v>19.858072402552601</v>
      </c>
      <c r="AY1350" s="2">
        <v>20.002997073951601</v>
      </c>
      <c r="AZ1350" s="2">
        <v>19.440895338114501</v>
      </c>
      <c r="BA1350" s="2">
        <v>17.660179366293701</v>
      </c>
      <c r="BB1350" s="2">
        <v>19.289378338701098</v>
      </c>
      <c r="BC1350" s="2">
        <v>19.8128735388674</v>
      </c>
      <c r="BD1350" s="2">
        <v>19.619976589385701</v>
      </c>
      <c r="BE1350" s="2">
        <v>19.986054920878502</v>
      </c>
      <c r="BF1350" s="2">
        <v>19.466708382550099</v>
      </c>
      <c r="BG1350" s="2">
        <v>19.860043062061401</v>
      </c>
      <c r="BH1350" s="2">
        <v>19.931902644386</v>
      </c>
      <c r="BI1350" s="2">
        <v>19.8551366848844</v>
      </c>
      <c r="BJ1350" s="2">
        <v>19.809301764457398</v>
      </c>
      <c r="BK1350" s="2">
        <v>19.8148151903527</v>
      </c>
      <c r="BL1350" s="2">
        <v>20.0842665151884</v>
      </c>
      <c r="BM1350" s="2">
        <v>19.532457140530699</v>
      </c>
      <c r="BN1350" s="2">
        <v>19.7136814856811</v>
      </c>
      <c r="BO1350" s="2">
        <v>19.976256136233701</v>
      </c>
      <c r="BP1350" s="2">
        <v>19.858913394818799</v>
      </c>
      <c r="BQ1350" s="2">
        <v>19.944444756164501</v>
      </c>
      <c r="BR1350" s="2">
        <v>19.821217296185701</v>
      </c>
      <c r="BS1350" s="2">
        <v>19.853878890257299</v>
      </c>
      <c r="BT1350" s="2">
        <v>19.959723240764699</v>
      </c>
      <c r="BU1350" s="2">
        <v>18.610518880381999</v>
      </c>
      <c r="BV1350" s="2">
        <v>19.921345797170002</v>
      </c>
      <c r="BW1350" s="2">
        <v>19.794520830577699</v>
      </c>
      <c r="BX1350" s="2">
        <v>19.8423194796692</v>
      </c>
      <c r="BY1350" s="2">
        <v>19.8769991532143</v>
      </c>
      <c r="BZ1350" s="2">
        <v>19.530600366808201</v>
      </c>
      <c r="CA1350" s="2">
        <v>19.655762711448499</v>
      </c>
      <c r="CB1350" s="2">
        <v>19.978950828678499</v>
      </c>
      <c r="CC1350" s="2">
        <v>19.826530208949901</v>
      </c>
      <c r="CD1350" s="2">
        <v>20.025667728685399</v>
      </c>
      <c r="CE1350" s="2">
        <v>19.294349536073799</v>
      </c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</row>
    <row r="1351" spans="1:97">
      <c r="A1351" s="2" t="s">
        <v>12162</v>
      </c>
      <c r="B1351" s="2">
        <v>242.05742000000001</v>
      </c>
      <c r="C1351" s="2">
        <v>5.4189999999999996</v>
      </c>
      <c r="D1351" s="2" t="s">
        <v>84</v>
      </c>
      <c r="E1351" s="2" t="s">
        <v>12163</v>
      </c>
      <c r="F1351" s="2" t="s">
        <v>12164</v>
      </c>
      <c r="G1351" s="2">
        <v>199495</v>
      </c>
      <c r="H1351" s="3" t="str">
        <f>HYPERLINK("https://cloud.oebiotech.com/#/lm/network/199495", "https://cloud.oebiotech.com/#/lm/network/199495")</f>
        <v>https://cloud.oebiotech.com/#/lm/network/199495</v>
      </c>
      <c r="I1351" s="2" t="s">
        <v>12165</v>
      </c>
      <c r="J1351" s="2"/>
      <c r="K1351" s="2"/>
      <c r="L1351" s="2"/>
      <c r="M1351" s="2"/>
      <c r="N1351" s="2"/>
      <c r="O1351" s="2"/>
      <c r="P1351" s="2">
        <v>75442</v>
      </c>
      <c r="Q1351" s="2"/>
      <c r="R1351" s="2"/>
      <c r="S1351" s="2"/>
      <c r="T1351" s="2" t="s">
        <v>12166</v>
      </c>
      <c r="U1351" s="2" t="s">
        <v>12167</v>
      </c>
      <c r="V1351" s="2" t="s">
        <v>385</v>
      </c>
      <c r="W1351" s="2" t="s">
        <v>4381</v>
      </c>
      <c r="X1351" s="2" t="s">
        <v>375</v>
      </c>
      <c r="Y1351" s="2" t="s">
        <v>388</v>
      </c>
      <c r="Z1351" s="2" t="s">
        <v>4382</v>
      </c>
      <c r="AA1351" s="2"/>
      <c r="AB1351" s="2" t="s">
        <v>8443</v>
      </c>
      <c r="AC1351" s="2">
        <v>45.82</v>
      </c>
      <c r="AD1351" s="2">
        <v>93.33</v>
      </c>
      <c r="AE1351" s="2">
        <v>0</v>
      </c>
      <c r="AF1351" s="2" t="s">
        <v>12168</v>
      </c>
      <c r="AG1351" s="2" t="s">
        <v>132</v>
      </c>
      <c r="AH1351" s="2" t="s">
        <v>12169</v>
      </c>
      <c r="AI1351" s="2">
        <v>1.24</v>
      </c>
      <c r="AJ1351" s="2">
        <v>19.309613216504101</v>
      </c>
      <c r="AK1351" s="2">
        <v>19.3697195932832</v>
      </c>
      <c r="AL1351" s="2">
        <v>19.330791189000301</v>
      </c>
      <c r="AM1351" s="2">
        <v>19.4557248033592</v>
      </c>
      <c r="AN1351" s="2">
        <v>19.683672127590398</v>
      </c>
      <c r="AO1351" s="2">
        <v>19.552028167173301</v>
      </c>
      <c r="AP1351" s="2">
        <v>19.609156820030801</v>
      </c>
      <c r="AQ1351" s="2">
        <v>20.0117002864068</v>
      </c>
      <c r="AR1351" s="2">
        <v>19.0772675946871</v>
      </c>
      <c r="AS1351" s="2">
        <v>20.372815684651702</v>
      </c>
      <c r="AT1351" s="2">
        <v>20.0629832603293</v>
      </c>
      <c r="AU1351" s="2">
        <v>19.525593143903301</v>
      </c>
      <c r="AV1351" s="2">
        <v>19.846929592633298</v>
      </c>
      <c r="AW1351" s="2">
        <v>19.806329045492902</v>
      </c>
      <c r="AX1351" s="2">
        <v>19.9618840224827</v>
      </c>
      <c r="AY1351" s="2">
        <v>19.859337377758902</v>
      </c>
      <c r="AZ1351" s="2">
        <v>20.123941882847198</v>
      </c>
      <c r="BA1351" s="2">
        <v>19.9722169798114</v>
      </c>
      <c r="BB1351" s="2">
        <v>19.841124909290201</v>
      </c>
      <c r="BC1351" s="2">
        <v>18.532431647135098</v>
      </c>
      <c r="BD1351" s="2">
        <v>20.2608041431155</v>
      </c>
      <c r="BE1351" s="2">
        <v>19.371331368957001</v>
      </c>
      <c r="BF1351" s="2">
        <v>19.944480631310899</v>
      </c>
      <c r="BG1351" s="2">
        <v>20.3157412265973</v>
      </c>
      <c r="BH1351" s="2">
        <v>19.783059536356902</v>
      </c>
      <c r="BI1351" s="2">
        <v>19.661791542964799</v>
      </c>
      <c r="BJ1351" s="2">
        <v>19.8828920298381</v>
      </c>
      <c r="BK1351" s="2">
        <v>20.330637590568401</v>
      </c>
      <c r="BL1351" s="2">
        <v>20.1766855769282</v>
      </c>
      <c r="BM1351" s="2">
        <v>18.941504195265001</v>
      </c>
      <c r="BN1351" s="2">
        <v>19.159270170712801</v>
      </c>
      <c r="BO1351" s="2">
        <v>20.1512416078724</v>
      </c>
      <c r="BP1351" s="2">
        <v>19.796777823002301</v>
      </c>
      <c r="BQ1351" s="2">
        <v>20.018837322788201</v>
      </c>
      <c r="BR1351" s="2">
        <v>19.496494677447799</v>
      </c>
      <c r="BS1351" s="2">
        <v>19.491712651365699</v>
      </c>
      <c r="BT1351" s="2">
        <v>19.773326825382401</v>
      </c>
      <c r="BU1351" s="2">
        <v>19.217321679969999</v>
      </c>
      <c r="BV1351" s="2">
        <v>19.6290686600044</v>
      </c>
      <c r="BW1351" s="2">
        <v>20.187854627830401</v>
      </c>
      <c r="BX1351" s="2">
        <v>19.539609109612101</v>
      </c>
      <c r="BY1351" s="2">
        <v>19.225895800448001</v>
      </c>
      <c r="BZ1351" s="2">
        <v>19.665533667617201</v>
      </c>
      <c r="CA1351" s="2">
        <v>19.538699071215198</v>
      </c>
      <c r="CB1351" s="2">
        <v>20.260431107503901</v>
      </c>
      <c r="CC1351" s="2">
        <v>19.915563483438198</v>
      </c>
      <c r="CD1351" s="2">
        <v>19.563205081193502</v>
      </c>
      <c r="CE1351" s="2">
        <v>20.1337232873666</v>
      </c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</row>
    <row r="1352" spans="1:97">
      <c r="A1352" s="2" t="s">
        <v>12170</v>
      </c>
      <c r="B1352" s="2">
        <v>413.19972999999999</v>
      </c>
      <c r="C1352" s="2">
        <v>5.742</v>
      </c>
      <c r="D1352" s="2" t="s">
        <v>146</v>
      </c>
      <c r="E1352" s="2" t="s">
        <v>12171</v>
      </c>
      <c r="F1352" s="2" t="s">
        <v>12172</v>
      </c>
      <c r="G1352" s="2">
        <v>44762</v>
      </c>
      <c r="H1352" s="3" t="str">
        <f>HYPERLINK("https://cloud.oebiotech.com/#/lm/network/44762", "https://cloud.oebiotech.com/#/lm/network/44762")</f>
        <v>https://cloud.oebiotech.com/#/lm/network/44762</v>
      </c>
      <c r="I1352" s="2"/>
      <c r="J1352" s="2"/>
      <c r="K1352" s="2" t="s">
        <v>12173</v>
      </c>
      <c r="L1352" s="2"/>
      <c r="M1352" s="2"/>
      <c r="N1352" s="2"/>
      <c r="O1352" s="2"/>
      <c r="P1352" s="2"/>
      <c r="Q1352" s="2"/>
      <c r="R1352" s="2"/>
      <c r="S1352" s="2"/>
      <c r="T1352" s="2" t="s">
        <v>12174</v>
      </c>
      <c r="U1352" s="2" t="s">
        <v>12175</v>
      </c>
      <c r="V1352" s="2" t="s">
        <v>95</v>
      </c>
      <c r="W1352" s="2" t="s">
        <v>152</v>
      </c>
      <c r="X1352" s="2" t="s">
        <v>9622</v>
      </c>
      <c r="Y1352" s="2" t="s">
        <v>98</v>
      </c>
      <c r="Z1352" s="2" t="s">
        <v>154</v>
      </c>
      <c r="AA1352" s="2" t="s">
        <v>9623</v>
      </c>
      <c r="AB1352" s="2" t="s">
        <v>3086</v>
      </c>
      <c r="AC1352" s="2">
        <v>45.82</v>
      </c>
      <c r="AD1352" s="2">
        <v>83.56</v>
      </c>
      <c r="AE1352" s="2">
        <v>0</v>
      </c>
      <c r="AF1352" s="2" t="s">
        <v>5614</v>
      </c>
      <c r="AG1352" s="2" t="s">
        <v>993</v>
      </c>
      <c r="AH1352" s="2" t="s">
        <v>12176</v>
      </c>
      <c r="AI1352" s="2">
        <v>-7.99</v>
      </c>
      <c r="AJ1352" s="2">
        <v>17.621512839351102</v>
      </c>
      <c r="AK1352" s="2">
        <v>17.543940093123599</v>
      </c>
      <c r="AL1352" s="2">
        <v>17.5950243186136</v>
      </c>
      <c r="AM1352" s="2">
        <v>17.641026918524101</v>
      </c>
      <c r="AN1352" s="2">
        <v>17.626721099416098</v>
      </c>
      <c r="AO1352" s="2">
        <v>17.269827707256098</v>
      </c>
      <c r="AP1352" s="2">
        <v>17.5095967282038</v>
      </c>
      <c r="AQ1352" s="2">
        <v>17.446991827653601</v>
      </c>
      <c r="AR1352" s="2">
        <v>16.768744666569798</v>
      </c>
      <c r="AS1352" s="2">
        <v>15.6766705980711</v>
      </c>
      <c r="AT1352" s="2">
        <v>17.556606562637398</v>
      </c>
      <c r="AU1352" s="2">
        <v>16.4963791450059</v>
      </c>
      <c r="AV1352" s="2">
        <v>15.8605300326555</v>
      </c>
      <c r="AW1352" s="2">
        <v>18.304737356011898</v>
      </c>
      <c r="AX1352" s="2">
        <v>17.060602003171599</v>
      </c>
      <c r="AY1352" s="2">
        <v>17.4172787964031</v>
      </c>
      <c r="AZ1352" s="2">
        <v>17.141427541940601</v>
      </c>
      <c r="BA1352" s="2">
        <v>17.447606476428099</v>
      </c>
      <c r="BB1352" s="2">
        <v>16.960380639598402</v>
      </c>
      <c r="BC1352" s="2">
        <v>17.824904496779901</v>
      </c>
      <c r="BD1352" s="2">
        <v>16.313865116627799</v>
      </c>
      <c r="BE1352" s="2">
        <v>17.841822913885899</v>
      </c>
      <c r="BF1352" s="2">
        <v>16.976685387039701</v>
      </c>
      <c r="BG1352" s="2">
        <v>18.0901580201845</v>
      </c>
      <c r="BH1352" s="2">
        <v>16.8906631625869</v>
      </c>
      <c r="BI1352" s="2">
        <v>16.406849728479202</v>
      </c>
      <c r="BJ1352" s="2">
        <v>16.6946257284682</v>
      </c>
      <c r="BK1352" s="2">
        <v>18.069429155253498</v>
      </c>
      <c r="BL1352" s="2">
        <v>18.050070604043601</v>
      </c>
      <c r="BM1352" s="2">
        <v>15.8807060892424</v>
      </c>
      <c r="BN1352" s="2">
        <v>17.545969424560099</v>
      </c>
      <c r="BO1352" s="2">
        <v>17.3370473470445</v>
      </c>
      <c r="BP1352" s="2">
        <v>16.970710782331199</v>
      </c>
      <c r="BQ1352" s="2">
        <v>17.2184885038019</v>
      </c>
      <c r="BR1352" s="2">
        <v>17.4887440250894</v>
      </c>
      <c r="BS1352" s="2">
        <v>16.4797775804421</v>
      </c>
      <c r="BT1352" s="2">
        <v>16.528699809524301</v>
      </c>
      <c r="BU1352" s="2">
        <v>17.9472395714103</v>
      </c>
      <c r="BV1352" s="2">
        <v>16.7602213363784</v>
      </c>
      <c r="BW1352" s="2">
        <v>16.915012554031101</v>
      </c>
      <c r="BX1352" s="2">
        <v>16.8735270208788</v>
      </c>
      <c r="BY1352" s="2">
        <v>17.9575346196652</v>
      </c>
      <c r="BZ1352" s="2">
        <v>17.742209618326001</v>
      </c>
      <c r="CA1352" s="2">
        <v>15.5181438322919</v>
      </c>
      <c r="CB1352" s="2">
        <v>18.115053610121802</v>
      </c>
      <c r="CC1352" s="2">
        <v>17.487844272235801</v>
      </c>
      <c r="CD1352" s="2">
        <v>17.287752954776899</v>
      </c>
      <c r="CE1352" s="2">
        <v>18.164706429344299</v>
      </c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</row>
    <row r="1353" spans="1:97">
      <c r="A1353" s="2" t="s">
        <v>12177</v>
      </c>
      <c r="B1353" s="2">
        <v>999.64148999999998</v>
      </c>
      <c r="C1353" s="2">
        <v>10.872</v>
      </c>
      <c r="D1353" s="2" t="s">
        <v>146</v>
      </c>
      <c r="E1353" s="2" t="s">
        <v>12178</v>
      </c>
      <c r="F1353" s="2" t="s">
        <v>12179</v>
      </c>
      <c r="G1353" s="2">
        <v>240897</v>
      </c>
      <c r="H1353" s="3" t="str">
        <f>HYPERLINK("https://cloud.oebiotech.com/#/lm/network/240897", "https://cloud.oebiotech.com/#/lm/network/240897")</f>
        <v>https://cloud.oebiotech.com/#/lm/network/240897</v>
      </c>
      <c r="I1353" s="2" t="s">
        <v>12180</v>
      </c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 t="s">
        <v>12181</v>
      </c>
      <c r="U1353" s="2" t="s">
        <v>12182</v>
      </c>
      <c r="V1353" s="2" t="s">
        <v>95</v>
      </c>
      <c r="W1353" s="2" t="s">
        <v>202</v>
      </c>
      <c r="X1353" s="2" t="s">
        <v>203</v>
      </c>
      <c r="Y1353" s="2" t="s">
        <v>98</v>
      </c>
      <c r="Z1353" s="2" t="s">
        <v>204</v>
      </c>
      <c r="AA1353" s="2" t="s">
        <v>205</v>
      </c>
      <c r="AB1353" s="2" t="s">
        <v>5118</v>
      </c>
      <c r="AC1353" s="2">
        <v>45.81</v>
      </c>
      <c r="AD1353" s="2">
        <v>54.89</v>
      </c>
      <c r="AE1353" s="2">
        <v>78.62</v>
      </c>
      <c r="AF1353" s="2" t="s">
        <v>12183</v>
      </c>
      <c r="AG1353" s="2" t="s">
        <v>194</v>
      </c>
      <c r="AH1353" s="2" t="s">
        <v>12184</v>
      </c>
      <c r="AI1353" s="2">
        <v>6.3</v>
      </c>
      <c r="AJ1353" s="2">
        <v>17.774468385507099</v>
      </c>
      <c r="AK1353" s="2">
        <v>17.669078753089501</v>
      </c>
      <c r="AL1353" s="2">
        <v>17.433599051109301</v>
      </c>
      <c r="AM1353" s="2">
        <v>17.308047179851801</v>
      </c>
      <c r="AN1353" s="2">
        <v>17.611607041664001</v>
      </c>
      <c r="AO1353" s="2">
        <v>17.759418024326099</v>
      </c>
      <c r="AP1353" s="2">
        <v>17.880278907983602</v>
      </c>
      <c r="AQ1353" s="2">
        <v>17.2064741238311</v>
      </c>
      <c r="AR1353" s="2">
        <v>19.091289041143099</v>
      </c>
      <c r="AS1353" s="2">
        <v>9.6233145402724691</v>
      </c>
      <c r="AT1353" s="2">
        <v>9.6233145402724691</v>
      </c>
      <c r="AU1353" s="2">
        <v>17.805833848885499</v>
      </c>
      <c r="AV1353" s="2">
        <v>17.6424182025197</v>
      </c>
      <c r="AW1353" s="2">
        <v>17.6907988672817</v>
      </c>
      <c r="AX1353" s="2">
        <v>17.9498187332462</v>
      </c>
      <c r="AY1353" s="2">
        <v>16.6851658493262</v>
      </c>
      <c r="AZ1353" s="2">
        <v>17.907460434477802</v>
      </c>
      <c r="BA1353" s="2">
        <v>14.4320224575503</v>
      </c>
      <c r="BB1353" s="2">
        <v>15.3110564557538</v>
      </c>
      <c r="BC1353" s="2">
        <v>16.865418782598699</v>
      </c>
      <c r="BD1353" s="2">
        <v>16.386237548267001</v>
      </c>
      <c r="BE1353" s="2">
        <v>17.4451733111094</v>
      </c>
      <c r="BF1353" s="2">
        <v>16.9986395676234</v>
      </c>
      <c r="BG1353" s="2">
        <v>17.351292804233399</v>
      </c>
      <c r="BH1353" s="2">
        <v>18.2369771437921</v>
      </c>
      <c r="BI1353" s="2">
        <v>18.083040208768701</v>
      </c>
      <c r="BJ1353" s="2">
        <v>17.036209572137999</v>
      </c>
      <c r="BK1353" s="2">
        <v>16.536692979657399</v>
      </c>
      <c r="BL1353" s="2">
        <v>17.977942896064</v>
      </c>
      <c r="BM1353" s="2">
        <v>18.334575633940801</v>
      </c>
      <c r="BN1353" s="2">
        <v>19.266232670623499</v>
      </c>
      <c r="BO1353" s="2">
        <v>16.692277534770401</v>
      </c>
      <c r="BP1353" s="2">
        <v>16.850183296356501</v>
      </c>
      <c r="BQ1353" s="2">
        <v>17.853488906341202</v>
      </c>
      <c r="BR1353" s="2">
        <v>18.726173679896402</v>
      </c>
      <c r="BS1353" s="2">
        <v>18.761428810348299</v>
      </c>
      <c r="BT1353" s="2">
        <v>17.621039071594598</v>
      </c>
      <c r="BU1353" s="2">
        <v>15.042760172256999</v>
      </c>
      <c r="BV1353" s="2">
        <v>15.405823882124</v>
      </c>
      <c r="BW1353" s="2">
        <v>16.307003663406999</v>
      </c>
      <c r="BX1353" s="2">
        <v>18.2638198087575</v>
      </c>
      <c r="BY1353" s="2">
        <v>18.836985648037501</v>
      </c>
      <c r="BZ1353" s="2">
        <v>17.6260185498247</v>
      </c>
      <c r="CA1353" s="2">
        <v>18.237807333709998</v>
      </c>
      <c r="CB1353" s="2">
        <v>17.5779366737512</v>
      </c>
      <c r="CC1353" s="2">
        <v>16.965623212294801</v>
      </c>
      <c r="CD1353" s="2">
        <v>17.0475170670837</v>
      </c>
      <c r="CE1353" s="2">
        <v>15.214222345870599</v>
      </c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</row>
    <row r="1354" spans="1:97">
      <c r="A1354" s="2" t="s">
        <v>12185</v>
      </c>
      <c r="B1354" s="2">
        <v>227.03631999999999</v>
      </c>
      <c r="C1354" s="2">
        <v>4.7809999999999997</v>
      </c>
      <c r="D1354" s="2" t="s">
        <v>146</v>
      </c>
      <c r="E1354" s="2" t="s">
        <v>12186</v>
      </c>
      <c r="F1354" s="2" t="s">
        <v>12187</v>
      </c>
      <c r="G1354" s="2">
        <v>207555</v>
      </c>
      <c r="H1354" s="3" t="str">
        <f>HYPERLINK("https://cloud.oebiotech.com/#/lm/network/207555", "https://cloud.oebiotech.com/#/lm/network/207555")</f>
        <v>https://cloud.oebiotech.com/#/lm/network/207555</v>
      </c>
      <c r="I1354" s="2" t="s">
        <v>12188</v>
      </c>
      <c r="J1354" s="2"/>
      <c r="K1354" s="2"/>
      <c r="L1354" s="2">
        <v>54722180</v>
      </c>
      <c r="M1354" s="2"/>
      <c r="N1354" s="2"/>
      <c r="O1354" s="2"/>
      <c r="P1354" s="2">
        <v>131178</v>
      </c>
      <c r="Q1354" s="2"/>
      <c r="R1354" s="2"/>
      <c r="S1354" s="2"/>
      <c r="T1354" s="2" t="s">
        <v>12189</v>
      </c>
      <c r="U1354" s="2" t="s">
        <v>12190</v>
      </c>
      <c r="V1354" s="2" t="s">
        <v>385</v>
      </c>
      <c r="W1354" s="2" t="s">
        <v>3319</v>
      </c>
      <c r="X1354" s="2" t="s">
        <v>4101</v>
      </c>
      <c r="Y1354" s="2" t="s">
        <v>388</v>
      </c>
      <c r="Z1354" s="2" t="s">
        <v>3321</v>
      </c>
      <c r="AA1354" s="2" t="s">
        <v>4102</v>
      </c>
      <c r="AB1354" s="2" t="s">
        <v>3086</v>
      </c>
      <c r="AC1354" s="2">
        <v>45.8</v>
      </c>
      <c r="AD1354" s="2">
        <v>91.92</v>
      </c>
      <c r="AE1354" s="2">
        <v>0</v>
      </c>
      <c r="AF1354" s="2" t="s">
        <v>5614</v>
      </c>
      <c r="AG1354" s="2" t="s">
        <v>993</v>
      </c>
      <c r="AH1354" s="2" t="s">
        <v>12191</v>
      </c>
      <c r="AI1354" s="2">
        <v>-8.3699999999999992</v>
      </c>
      <c r="AJ1354" s="2">
        <v>17.008409581521899</v>
      </c>
      <c r="AK1354" s="2">
        <v>17.1536946198351</v>
      </c>
      <c r="AL1354" s="2">
        <v>16.907600145338701</v>
      </c>
      <c r="AM1354" s="2">
        <v>17.257138734554999</v>
      </c>
      <c r="AN1354" s="2">
        <v>16.624037476410201</v>
      </c>
      <c r="AO1354" s="2">
        <v>16.8479361227838</v>
      </c>
      <c r="AP1354" s="2">
        <v>16.998979740931201</v>
      </c>
      <c r="AQ1354" s="2">
        <v>16.695531041868499</v>
      </c>
      <c r="AR1354" s="2">
        <v>13.850638097717001</v>
      </c>
      <c r="AS1354" s="2">
        <v>14.582621271107</v>
      </c>
      <c r="AT1354" s="2">
        <v>16.551817288626001</v>
      </c>
      <c r="AU1354" s="2">
        <v>15.501234485107901</v>
      </c>
      <c r="AV1354" s="2">
        <v>17.284639776208</v>
      </c>
      <c r="AW1354" s="2">
        <v>12.4412713017249</v>
      </c>
      <c r="AX1354" s="2">
        <v>18.644293405230201</v>
      </c>
      <c r="AY1354" s="2">
        <v>17.1750973706223</v>
      </c>
      <c r="AZ1354" s="2">
        <v>15.605881689637901</v>
      </c>
      <c r="BA1354" s="2">
        <v>18.545857202775899</v>
      </c>
      <c r="BB1354" s="2">
        <v>15.5515613775041</v>
      </c>
      <c r="BC1354" s="2">
        <v>9.6233145402724691</v>
      </c>
      <c r="BD1354" s="2">
        <v>16.000189746299199</v>
      </c>
      <c r="BE1354" s="2">
        <v>18.358315176163298</v>
      </c>
      <c r="BF1354" s="2">
        <v>18.210727697959999</v>
      </c>
      <c r="BG1354" s="2">
        <v>16.629985783440901</v>
      </c>
      <c r="BH1354" s="2">
        <v>9.6233145402724691</v>
      </c>
      <c r="BI1354" s="2">
        <v>20.0223402311927</v>
      </c>
      <c r="BJ1354" s="2">
        <v>9.6233145402724691</v>
      </c>
      <c r="BK1354" s="2">
        <v>9.6233145402724691</v>
      </c>
      <c r="BL1354" s="2">
        <v>9.6233145402724691</v>
      </c>
      <c r="BM1354" s="2">
        <v>14.3707357591634</v>
      </c>
      <c r="BN1354" s="2">
        <v>15.3407062097963</v>
      </c>
      <c r="BO1354" s="2">
        <v>17.9106726496872</v>
      </c>
      <c r="BP1354" s="2">
        <v>14.0365720161687</v>
      </c>
      <c r="BQ1354" s="2">
        <v>17.0921785060013</v>
      </c>
      <c r="BR1354" s="2">
        <v>18.943973420599502</v>
      </c>
      <c r="BS1354" s="2">
        <v>17.3615029704651</v>
      </c>
      <c r="BT1354" s="2">
        <v>9.6233145402724691</v>
      </c>
      <c r="BU1354" s="2">
        <v>17.753216096162902</v>
      </c>
      <c r="BV1354" s="2">
        <v>17.8489372610447</v>
      </c>
      <c r="BW1354" s="2">
        <v>14.611110120417999</v>
      </c>
      <c r="BX1354" s="2">
        <v>15.118338066908599</v>
      </c>
      <c r="BY1354" s="2">
        <v>18.1027249655973</v>
      </c>
      <c r="BZ1354" s="2">
        <v>15.8166022063232</v>
      </c>
      <c r="CA1354" s="2">
        <v>17.367218582305199</v>
      </c>
      <c r="CB1354" s="2">
        <v>9.6233145402724691</v>
      </c>
      <c r="CC1354" s="2">
        <v>17.908291165983002</v>
      </c>
      <c r="CD1354" s="2">
        <v>9.6233145402724691</v>
      </c>
      <c r="CE1354" s="2">
        <v>9.6233145402724691</v>
      </c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</row>
    <row r="1355" spans="1:97">
      <c r="A1355" s="2" t="s">
        <v>12192</v>
      </c>
      <c r="B1355" s="2">
        <v>227.2012</v>
      </c>
      <c r="C1355" s="2">
        <v>9.5239999999999991</v>
      </c>
      <c r="D1355" s="2" t="s">
        <v>146</v>
      </c>
      <c r="E1355" s="2" t="s">
        <v>12193</v>
      </c>
      <c r="F1355" s="2" t="s">
        <v>12194</v>
      </c>
      <c r="G1355" s="2">
        <v>58555</v>
      </c>
      <c r="H1355" s="3" t="str">
        <f>HYPERLINK("https://cloud.oebiotech.com/#/lm/network/58555", "https://cloud.oebiotech.com/#/lm/network/58555")</f>
        <v>https://cloud.oebiotech.com/#/lm/network/58555</v>
      </c>
      <c r="I1355" s="2" t="s">
        <v>12195</v>
      </c>
      <c r="J1355" s="2">
        <v>90022</v>
      </c>
      <c r="K1355" s="2"/>
      <c r="L1355" s="2">
        <v>5463911</v>
      </c>
      <c r="M1355" s="2"/>
      <c r="N1355" s="2"/>
      <c r="O1355" s="2"/>
      <c r="P1355" s="2"/>
      <c r="Q1355" s="2"/>
      <c r="R1355" s="2"/>
      <c r="S1355" s="2" t="s">
        <v>12196</v>
      </c>
      <c r="T1355" s="2" t="s">
        <v>12197</v>
      </c>
      <c r="U1355" s="2" t="s">
        <v>12198</v>
      </c>
      <c r="V1355" s="2" t="s">
        <v>338</v>
      </c>
      <c r="W1355" s="2" t="s">
        <v>339</v>
      </c>
      <c r="X1355" s="2" t="s">
        <v>3877</v>
      </c>
      <c r="Y1355" s="2" t="s">
        <v>341</v>
      </c>
      <c r="Z1355" s="2" t="s">
        <v>341</v>
      </c>
      <c r="AA1355" s="2" t="s">
        <v>3878</v>
      </c>
      <c r="AB1355" s="2" t="s">
        <v>8443</v>
      </c>
      <c r="AC1355" s="2">
        <v>45.79</v>
      </c>
      <c r="AD1355" s="2">
        <v>91.75</v>
      </c>
      <c r="AE1355" s="2">
        <v>0</v>
      </c>
      <c r="AF1355" s="2" t="s">
        <v>5614</v>
      </c>
      <c r="AG1355" s="2" t="s">
        <v>993</v>
      </c>
      <c r="AH1355" s="2" t="s">
        <v>12199</v>
      </c>
      <c r="AI1355" s="2">
        <v>-0.44</v>
      </c>
      <c r="AJ1355" s="2">
        <v>17.644581018276</v>
      </c>
      <c r="AK1355" s="2">
        <v>17.4803193270089</v>
      </c>
      <c r="AL1355" s="2">
        <v>17.1846529064027</v>
      </c>
      <c r="AM1355" s="2">
        <v>17.2203047285686</v>
      </c>
      <c r="AN1355" s="2">
        <v>17.398748283842199</v>
      </c>
      <c r="AO1355" s="2">
        <v>17.416144367662302</v>
      </c>
      <c r="AP1355" s="2">
        <v>17.463702448142701</v>
      </c>
      <c r="AQ1355" s="2">
        <v>17.208176334582099</v>
      </c>
      <c r="AR1355" s="2">
        <v>17.036985758624699</v>
      </c>
      <c r="AS1355" s="2">
        <v>17.084672526794101</v>
      </c>
      <c r="AT1355" s="2">
        <v>17.206028576703201</v>
      </c>
      <c r="AU1355" s="2">
        <v>16.773300727997299</v>
      </c>
      <c r="AV1355" s="2">
        <v>17.484266785086799</v>
      </c>
      <c r="AW1355" s="2">
        <v>16.985507434672201</v>
      </c>
      <c r="AX1355" s="2">
        <v>16.6923873384312</v>
      </c>
      <c r="AY1355" s="2">
        <v>17.278655081333198</v>
      </c>
      <c r="AZ1355" s="2">
        <v>17.2367398055225</v>
      </c>
      <c r="BA1355" s="2">
        <v>17.389800374178101</v>
      </c>
      <c r="BB1355" s="2">
        <v>17.333936249254499</v>
      </c>
      <c r="BC1355" s="2">
        <v>17.796251892216699</v>
      </c>
      <c r="BD1355" s="2">
        <v>17.204129117459299</v>
      </c>
      <c r="BE1355" s="2">
        <v>17.404767458345798</v>
      </c>
      <c r="BF1355" s="2">
        <v>17.080618110859099</v>
      </c>
      <c r="BG1355" s="2">
        <v>17.023511480058001</v>
      </c>
      <c r="BH1355" s="2">
        <v>17.430329136501999</v>
      </c>
      <c r="BI1355" s="2">
        <v>17.933334558611499</v>
      </c>
      <c r="BJ1355" s="2">
        <v>17.255137217959899</v>
      </c>
      <c r="BK1355" s="2">
        <v>17.218392008156499</v>
      </c>
      <c r="BL1355" s="2">
        <v>17.030678234853099</v>
      </c>
      <c r="BM1355" s="2">
        <v>17.097047277850201</v>
      </c>
      <c r="BN1355" s="2">
        <v>17.2687122211088</v>
      </c>
      <c r="BO1355" s="2">
        <v>17.5519938768727</v>
      </c>
      <c r="BP1355" s="2">
        <v>17.469091592641099</v>
      </c>
      <c r="BQ1355" s="2">
        <v>17.0748325119201</v>
      </c>
      <c r="BR1355" s="2">
        <v>17.430028027814402</v>
      </c>
      <c r="BS1355" s="2">
        <v>17.205593009647199</v>
      </c>
      <c r="BT1355" s="2">
        <v>17.649662327480002</v>
      </c>
      <c r="BU1355" s="2">
        <v>17.4109190948462</v>
      </c>
      <c r="BV1355" s="2">
        <v>17.365464761598702</v>
      </c>
      <c r="BW1355" s="2">
        <v>17.108181996584001</v>
      </c>
      <c r="BX1355" s="2">
        <v>17.093049931565002</v>
      </c>
      <c r="BY1355" s="2">
        <v>17.096397471333599</v>
      </c>
      <c r="BZ1355" s="2">
        <v>17.204735711369398</v>
      </c>
      <c r="CA1355" s="2">
        <v>17.026310000713899</v>
      </c>
      <c r="CB1355" s="2">
        <v>17.120778037470501</v>
      </c>
      <c r="CC1355" s="2">
        <v>17.503918496106898</v>
      </c>
      <c r="CD1355" s="2">
        <v>16.906084137594402</v>
      </c>
      <c r="CE1355" s="2">
        <v>17.462716494604901</v>
      </c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</row>
    <row r="1356" spans="1:97">
      <c r="A1356" s="2" t="s">
        <v>12200</v>
      </c>
      <c r="B1356" s="2">
        <v>389.04840999999999</v>
      </c>
      <c r="C1356" s="2">
        <v>4.7690000000000001</v>
      </c>
      <c r="D1356" s="2" t="s">
        <v>146</v>
      </c>
      <c r="E1356" s="2" t="s">
        <v>12201</v>
      </c>
      <c r="F1356" s="2" t="s">
        <v>12202</v>
      </c>
      <c r="G1356" s="2">
        <v>33473</v>
      </c>
      <c r="H1356" s="3" t="str">
        <f>HYPERLINK("https://cloud.oebiotech.com/#/lm/network/33473", "https://cloud.oebiotech.com/#/lm/network/33473")</f>
        <v>https://cloud.oebiotech.com/#/lm/network/33473</v>
      </c>
      <c r="I1356" s="2"/>
      <c r="J1356" s="2">
        <v>51800</v>
      </c>
      <c r="K1356" s="2" t="s">
        <v>12203</v>
      </c>
      <c r="L1356" s="2">
        <v>44260088</v>
      </c>
      <c r="M1356" s="2"/>
      <c r="N1356" s="2"/>
      <c r="O1356" s="2"/>
      <c r="P1356" s="2"/>
      <c r="Q1356" s="2"/>
      <c r="R1356" s="2"/>
      <c r="S1356" s="2"/>
      <c r="T1356" s="2" t="s">
        <v>12204</v>
      </c>
      <c r="U1356" s="2" t="s">
        <v>12205</v>
      </c>
      <c r="V1356" s="2" t="s">
        <v>845</v>
      </c>
      <c r="W1356" s="2" t="s">
        <v>1853</v>
      </c>
      <c r="X1356" s="2" t="s">
        <v>5701</v>
      </c>
      <c r="Y1356" s="2" t="s">
        <v>847</v>
      </c>
      <c r="Z1356" s="2" t="s">
        <v>1855</v>
      </c>
      <c r="AA1356" s="2" t="s">
        <v>5702</v>
      </c>
      <c r="AB1356" s="2" t="s">
        <v>5118</v>
      </c>
      <c r="AC1356" s="2">
        <v>45.77</v>
      </c>
      <c r="AD1356" s="2">
        <v>96.91</v>
      </c>
      <c r="AE1356" s="2">
        <v>85.27</v>
      </c>
      <c r="AF1356" s="2" t="s">
        <v>12206</v>
      </c>
      <c r="AG1356" s="2" t="s">
        <v>157</v>
      </c>
      <c r="AH1356" s="2" t="s">
        <v>12207</v>
      </c>
      <c r="AI1356" s="2">
        <v>7.71</v>
      </c>
      <c r="AJ1356" s="2">
        <v>20.328750146074398</v>
      </c>
      <c r="AK1356" s="2">
        <v>20.442269078951</v>
      </c>
      <c r="AL1356" s="2">
        <v>20.191260734440501</v>
      </c>
      <c r="AM1356" s="2">
        <v>20.4931350298328</v>
      </c>
      <c r="AN1356" s="2">
        <v>20.265086166773202</v>
      </c>
      <c r="AO1356" s="2">
        <v>20.192117921891899</v>
      </c>
      <c r="AP1356" s="2">
        <v>20.224511702936098</v>
      </c>
      <c r="AQ1356" s="2">
        <v>20.4562948597904</v>
      </c>
      <c r="AR1356" s="2">
        <v>16.657965395662998</v>
      </c>
      <c r="AS1356" s="2">
        <v>18.129905507784901</v>
      </c>
      <c r="AT1356" s="2">
        <v>19.989991096506099</v>
      </c>
      <c r="AU1356" s="2">
        <v>18.781823321264302</v>
      </c>
      <c r="AV1356" s="2">
        <v>19.5903646450632</v>
      </c>
      <c r="AW1356" s="2">
        <v>16.8990218209175</v>
      </c>
      <c r="AX1356" s="2">
        <v>23.156862441383801</v>
      </c>
      <c r="AY1356" s="2">
        <v>20.512103384118902</v>
      </c>
      <c r="AZ1356" s="2">
        <v>18.388123935863799</v>
      </c>
      <c r="BA1356" s="2">
        <v>22.917239156567199</v>
      </c>
      <c r="BB1356" s="2">
        <v>18.7032352640481</v>
      </c>
      <c r="BC1356" s="2">
        <v>15.7820573256021</v>
      </c>
      <c r="BD1356" s="2">
        <v>19.019697001371199</v>
      </c>
      <c r="BE1356" s="2">
        <v>21.001368621450801</v>
      </c>
      <c r="BF1356" s="2">
        <v>22.141086715964899</v>
      </c>
      <c r="BG1356" s="2">
        <v>19.928223484722999</v>
      </c>
      <c r="BH1356" s="2">
        <v>9.6233145402724691</v>
      </c>
      <c r="BI1356" s="2">
        <v>24.392706947254901</v>
      </c>
      <c r="BJ1356" s="2">
        <v>9.6233145402724691</v>
      </c>
      <c r="BK1356" s="2">
        <v>9.6233145402724691</v>
      </c>
      <c r="BL1356" s="2">
        <v>9.6233145402724691</v>
      </c>
      <c r="BM1356" s="2">
        <v>18.142528463387499</v>
      </c>
      <c r="BN1356" s="2">
        <v>17.9525383880551</v>
      </c>
      <c r="BO1356" s="2">
        <v>23.1090459503014</v>
      </c>
      <c r="BP1356" s="2">
        <v>13.9749934876838</v>
      </c>
      <c r="BQ1356" s="2">
        <v>20.295693085937799</v>
      </c>
      <c r="BR1356" s="2">
        <v>23.534544236601</v>
      </c>
      <c r="BS1356" s="2">
        <v>21.075521069316999</v>
      </c>
      <c r="BT1356" s="2">
        <v>9.6233145402724691</v>
      </c>
      <c r="BU1356" s="2">
        <v>21.861158753394701</v>
      </c>
      <c r="BV1356" s="2">
        <v>22.0210638151095</v>
      </c>
      <c r="BW1356" s="2">
        <v>17.4617300266402</v>
      </c>
      <c r="BX1356" s="2">
        <v>17.233055920261801</v>
      </c>
      <c r="BY1356" s="2">
        <v>20.711877517571001</v>
      </c>
      <c r="BZ1356" s="2">
        <v>19.191224317844501</v>
      </c>
      <c r="CA1356" s="2">
        <v>20.297680138214201</v>
      </c>
      <c r="CB1356" s="2">
        <v>13.1772669132129</v>
      </c>
      <c r="CC1356" s="2">
        <v>22.039997609369699</v>
      </c>
      <c r="CD1356" s="2">
        <v>9.6233145402724691</v>
      </c>
      <c r="CE1356" s="2">
        <v>9.6233145402724691</v>
      </c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</row>
    <row r="1357" spans="1:97">
      <c r="A1357" s="2" t="s">
        <v>12208</v>
      </c>
      <c r="B1357" s="2">
        <v>303.01168000000001</v>
      </c>
      <c r="C1357" s="2">
        <v>4.452</v>
      </c>
      <c r="D1357" s="2" t="s">
        <v>146</v>
      </c>
      <c r="E1357" s="2" t="s">
        <v>12209</v>
      </c>
      <c r="F1357" s="2" t="s">
        <v>12210</v>
      </c>
      <c r="G1357" s="2">
        <v>52698</v>
      </c>
      <c r="H1357" s="3" t="str">
        <f>HYPERLINK("https://cloud.oebiotech.com/#/lm/network/52698", "https://cloud.oebiotech.com/#/lm/network/52698")</f>
        <v>https://cloud.oebiotech.com/#/lm/network/52698</v>
      </c>
      <c r="I1357" s="2" t="s">
        <v>12211</v>
      </c>
      <c r="J1357" s="2">
        <v>85362</v>
      </c>
      <c r="K1357" s="2"/>
      <c r="L1357" s="2">
        <v>3295</v>
      </c>
      <c r="M1357" s="2"/>
      <c r="N1357" s="2"/>
      <c r="O1357" s="2"/>
      <c r="P1357" s="2">
        <v>101096</v>
      </c>
      <c r="Q1357" s="2"/>
      <c r="R1357" s="2"/>
      <c r="S1357" s="2" t="s">
        <v>12212</v>
      </c>
      <c r="T1357" s="2" t="s">
        <v>12213</v>
      </c>
      <c r="U1357" s="2" t="s">
        <v>12214</v>
      </c>
      <c r="V1357" s="2" t="s">
        <v>553</v>
      </c>
      <c r="W1357" s="2" t="s">
        <v>2781</v>
      </c>
      <c r="X1357" s="2" t="s">
        <v>375</v>
      </c>
      <c r="Y1357" s="2" t="s">
        <v>556</v>
      </c>
      <c r="Z1357" s="2" t="s">
        <v>2782</v>
      </c>
      <c r="AA1357" s="2"/>
      <c r="AB1357" s="2" t="s">
        <v>8443</v>
      </c>
      <c r="AC1357" s="2">
        <v>45.73</v>
      </c>
      <c r="AD1357" s="2">
        <v>87.09</v>
      </c>
      <c r="AE1357" s="2">
        <v>0</v>
      </c>
      <c r="AF1357" s="2" t="s">
        <v>5614</v>
      </c>
      <c r="AG1357" s="2" t="s">
        <v>157</v>
      </c>
      <c r="AH1357" s="2" t="s">
        <v>12215</v>
      </c>
      <c r="AI1357" s="2">
        <v>-0.66</v>
      </c>
      <c r="AJ1357" s="2">
        <v>16.551724781393499</v>
      </c>
      <c r="AK1357" s="2">
        <v>16.514650417113401</v>
      </c>
      <c r="AL1357" s="2">
        <v>16.721465184479801</v>
      </c>
      <c r="AM1357" s="2">
        <v>16.7660597442108</v>
      </c>
      <c r="AN1357" s="2">
        <v>16.678131478672899</v>
      </c>
      <c r="AO1357" s="2">
        <v>16.467128361684399</v>
      </c>
      <c r="AP1357" s="2">
        <v>16.684668091073998</v>
      </c>
      <c r="AQ1357" s="2">
        <v>16.537950302492</v>
      </c>
      <c r="AR1357" s="2">
        <v>16.823939885071301</v>
      </c>
      <c r="AS1357" s="2">
        <v>16.727751112973198</v>
      </c>
      <c r="AT1357" s="2">
        <v>16.689207962586298</v>
      </c>
      <c r="AU1357" s="2">
        <v>16.528170055268699</v>
      </c>
      <c r="AV1357" s="2">
        <v>16.372369762684201</v>
      </c>
      <c r="AW1357" s="2">
        <v>16.2823389860669</v>
      </c>
      <c r="AX1357" s="2">
        <v>16.710354848332599</v>
      </c>
      <c r="AY1357" s="2">
        <v>16.8503986886174</v>
      </c>
      <c r="AZ1357" s="2">
        <v>16.5998360052428</v>
      </c>
      <c r="BA1357" s="2">
        <v>16.777252104061599</v>
      </c>
      <c r="BB1357" s="2">
        <v>16.378409001525</v>
      </c>
      <c r="BC1357" s="2">
        <v>16.606349543167301</v>
      </c>
      <c r="BD1357" s="2">
        <v>16.663376449515098</v>
      </c>
      <c r="BE1357" s="2">
        <v>16.2953176629841</v>
      </c>
      <c r="BF1357" s="2">
        <v>16.394319664028998</v>
      </c>
      <c r="BG1357" s="2">
        <v>16.350735839455901</v>
      </c>
      <c r="BH1357" s="2">
        <v>16.273846946240901</v>
      </c>
      <c r="BI1357" s="2">
        <v>16.508208110997401</v>
      </c>
      <c r="BJ1357" s="2">
        <v>16.743207945555501</v>
      </c>
      <c r="BK1357" s="2">
        <v>16.337745059577799</v>
      </c>
      <c r="BL1357" s="2">
        <v>16.734992294931899</v>
      </c>
      <c r="BM1357" s="2">
        <v>16.0786511933253</v>
      </c>
      <c r="BN1357" s="2">
        <v>16.724780816529801</v>
      </c>
      <c r="BO1357" s="2">
        <v>16.636613292805698</v>
      </c>
      <c r="BP1357" s="2">
        <v>16.594488921591399</v>
      </c>
      <c r="BQ1357" s="2">
        <v>16.747444309804798</v>
      </c>
      <c r="BR1357" s="2">
        <v>16.377244427900099</v>
      </c>
      <c r="BS1357" s="2">
        <v>16.545552308999799</v>
      </c>
      <c r="BT1357" s="2">
        <v>16.534352586722999</v>
      </c>
      <c r="BU1357" s="2">
        <v>16.6463010630352</v>
      </c>
      <c r="BV1357" s="2">
        <v>15.9137007642619</v>
      </c>
      <c r="BW1357" s="2">
        <v>16.4399555174782</v>
      </c>
      <c r="BX1357" s="2">
        <v>15.806445151697</v>
      </c>
      <c r="BY1357" s="2">
        <v>16.345718653695901</v>
      </c>
      <c r="BZ1357" s="2">
        <v>16.767062858503401</v>
      </c>
      <c r="CA1357" s="2">
        <v>16.359295730341699</v>
      </c>
      <c r="CB1357" s="2">
        <v>16.382135615954599</v>
      </c>
      <c r="CC1357" s="2">
        <v>16.850873561334499</v>
      </c>
      <c r="CD1357" s="2">
        <v>16.510614136889998</v>
      </c>
      <c r="CE1357" s="2">
        <v>16.833317064616601</v>
      </c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</row>
    <row r="1358" spans="1:97">
      <c r="A1358" s="2" t="s">
        <v>12216</v>
      </c>
      <c r="B1358" s="2">
        <v>262.16464999999999</v>
      </c>
      <c r="C1358" s="2">
        <v>1.5780000000000001</v>
      </c>
      <c r="D1358" s="2" t="s">
        <v>84</v>
      </c>
      <c r="E1358" s="2" t="s">
        <v>12217</v>
      </c>
      <c r="F1358" s="2" t="s">
        <v>12218</v>
      </c>
      <c r="G1358" s="2">
        <v>198185</v>
      </c>
      <c r="H1358" s="3" t="str">
        <f>HYPERLINK("https://cloud.oebiotech.com/#/lm/network/198185", "https://cloud.oebiotech.com/#/lm/network/198185")</f>
        <v>https://cloud.oebiotech.com/#/lm/network/198185</v>
      </c>
      <c r="I1358" s="2" t="s">
        <v>12219</v>
      </c>
      <c r="J1358" s="2"/>
      <c r="K1358" s="2"/>
      <c r="L1358" s="2">
        <v>118194969</v>
      </c>
      <c r="M1358" s="2"/>
      <c r="N1358" s="2"/>
      <c r="O1358" s="2"/>
      <c r="P1358" s="2"/>
      <c r="Q1358" s="2"/>
      <c r="R1358" s="2"/>
      <c r="S1358" s="2"/>
      <c r="T1358" s="2" t="s">
        <v>12220</v>
      </c>
      <c r="U1358" s="2" t="s">
        <v>12221</v>
      </c>
      <c r="V1358" s="2" t="s">
        <v>95</v>
      </c>
      <c r="W1358" s="2" t="s">
        <v>96</v>
      </c>
      <c r="X1358" s="2" t="s">
        <v>97</v>
      </c>
      <c r="Y1358" s="2" t="s">
        <v>98</v>
      </c>
      <c r="Z1358" s="2" t="s">
        <v>99</v>
      </c>
      <c r="AA1358" s="2" t="s">
        <v>100</v>
      </c>
      <c r="AB1358" s="2" t="s">
        <v>8443</v>
      </c>
      <c r="AC1358" s="2">
        <v>45.73</v>
      </c>
      <c r="AD1358" s="2">
        <v>91.58</v>
      </c>
      <c r="AE1358" s="2">
        <v>0</v>
      </c>
      <c r="AF1358" s="2" t="s">
        <v>12222</v>
      </c>
      <c r="AG1358" s="2" t="s">
        <v>103</v>
      </c>
      <c r="AH1358" s="2" t="s">
        <v>7610</v>
      </c>
      <c r="AI1358" s="2">
        <v>1.1399999999999999</v>
      </c>
      <c r="AJ1358" s="2">
        <v>20.553193984049098</v>
      </c>
      <c r="AK1358" s="2">
        <v>20.531748322882201</v>
      </c>
      <c r="AL1358" s="2">
        <v>20.738374288883801</v>
      </c>
      <c r="AM1358" s="2">
        <v>20.296748542433701</v>
      </c>
      <c r="AN1358" s="2">
        <v>20.354804443497098</v>
      </c>
      <c r="AO1358" s="2">
        <v>20.231823041543699</v>
      </c>
      <c r="AP1358" s="2">
        <v>20.3840063373605</v>
      </c>
      <c r="AQ1358" s="2">
        <v>20.508637700584</v>
      </c>
      <c r="AR1358" s="2">
        <v>20.427616852289599</v>
      </c>
      <c r="AS1358" s="2">
        <v>19.6782581674974</v>
      </c>
      <c r="AT1358" s="2">
        <v>18.609863894530601</v>
      </c>
      <c r="AU1358" s="2">
        <v>19.2114137107821</v>
      </c>
      <c r="AV1358" s="2">
        <v>20.151350493219699</v>
      </c>
      <c r="AW1358" s="2">
        <v>21.416650602706099</v>
      </c>
      <c r="AX1358" s="2">
        <v>20.120466204467601</v>
      </c>
      <c r="AY1358" s="2">
        <v>19.5335923004161</v>
      </c>
      <c r="AZ1358" s="2">
        <v>20.409252413608598</v>
      </c>
      <c r="BA1358" s="2">
        <v>19.1776349178072</v>
      </c>
      <c r="BB1358" s="2">
        <v>20.2406112751375</v>
      </c>
      <c r="BC1358" s="2">
        <v>20.946884041929199</v>
      </c>
      <c r="BD1358" s="2">
        <v>19.3870481748963</v>
      </c>
      <c r="BE1358" s="2">
        <v>20.516839148719701</v>
      </c>
      <c r="BF1358" s="2">
        <v>19.4140523077598</v>
      </c>
      <c r="BG1358" s="2">
        <v>19.800235550784599</v>
      </c>
      <c r="BH1358" s="2">
        <v>19.580793088985899</v>
      </c>
      <c r="BI1358" s="2">
        <v>22.5973222714305</v>
      </c>
      <c r="BJ1358" s="2">
        <v>19.990262132308398</v>
      </c>
      <c r="BK1358" s="2">
        <v>20.730100919770798</v>
      </c>
      <c r="BL1358" s="2">
        <v>20.4949416770047</v>
      </c>
      <c r="BM1358" s="2">
        <v>20.184166939587801</v>
      </c>
      <c r="BN1358" s="2">
        <v>19.4176616646814</v>
      </c>
      <c r="BO1358" s="2">
        <v>19.691009572520201</v>
      </c>
      <c r="BP1358" s="2">
        <v>19.853383120008701</v>
      </c>
      <c r="BQ1358" s="2">
        <v>20.893515676863402</v>
      </c>
      <c r="BR1358" s="2">
        <v>19.278074252096101</v>
      </c>
      <c r="BS1358" s="2">
        <v>19.9048081601956</v>
      </c>
      <c r="BT1358" s="2">
        <v>21.199469282634102</v>
      </c>
      <c r="BU1358" s="2">
        <v>19.115298420585699</v>
      </c>
      <c r="BV1358" s="2">
        <v>20.717415279407799</v>
      </c>
      <c r="BW1358" s="2">
        <v>19.659099728980198</v>
      </c>
      <c r="BX1358" s="2">
        <v>19.248585158427002</v>
      </c>
      <c r="BY1358" s="2">
        <v>20.6265831994405</v>
      </c>
      <c r="BZ1358" s="2">
        <v>18.744809075120699</v>
      </c>
      <c r="CA1358" s="2">
        <v>19.750226250918299</v>
      </c>
      <c r="CB1358" s="2">
        <v>19.795441843338399</v>
      </c>
      <c r="CC1358" s="2">
        <v>20.823693928360498</v>
      </c>
      <c r="CD1358" s="2">
        <v>20.333472783435401</v>
      </c>
      <c r="CE1358" s="2">
        <v>20.831473261158202</v>
      </c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</row>
    <row r="1359" spans="1:97">
      <c r="A1359" s="2" t="s">
        <v>12223</v>
      </c>
      <c r="B1359" s="2">
        <v>258.2423</v>
      </c>
      <c r="C1359" s="2">
        <v>10.922000000000001</v>
      </c>
      <c r="D1359" s="2" t="s">
        <v>84</v>
      </c>
      <c r="E1359" s="2" t="s">
        <v>12224</v>
      </c>
      <c r="F1359" s="2" t="s">
        <v>12225</v>
      </c>
      <c r="G1359" s="2">
        <v>10048</v>
      </c>
      <c r="H1359" s="3" t="str">
        <f>HYPERLINK("https://cloud.oebiotech.com/#/lm/network/10048", "https://cloud.oebiotech.com/#/lm/network/10048")</f>
        <v>https://cloud.oebiotech.com/#/lm/network/10048</v>
      </c>
      <c r="I1359" s="2"/>
      <c r="J1359" s="2">
        <v>98253</v>
      </c>
      <c r="K1359" s="2" t="s">
        <v>12226</v>
      </c>
      <c r="L1359" s="2">
        <v>11622836</v>
      </c>
      <c r="M1359" s="2"/>
      <c r="N1359" s="2"/>
      <c r="O1359" s="2"/>
      <c r="P1359" s="2"/>
      <c r="Q1359" s="2"/>
      <c r="R1359" s="2"/>
      <c r="S1359" s="2"/>
      <c r="T1359" s="2" t="s">
        <v>12227</v>
      </c>
      <c r="U1359" s="2" t="s">
        <v>12228</v>
      </c>
      <c r="V1359" s="2" t="s">
        <v>338</v>
      </c>
      <c r="W1359" s="2" t="s">
        <v>339</v>
      </c>
      <c r="X1359" s="2" t="s">
        <v>340</v>
      </c>
      <c r="Y1359" s="2" t="s">
        <v>341</v>
      </c>
      <c r="Z1359" s="2" t="s">
        <v>341</v>
      </c>
      <c r="AA1359" s="2" t="s">
        <v>342</v>
      </c>
      <c r="AB1359" s="2" t="s">
        <v>8443</v>
      </c>
      <c r="AC1359" s="2">
        <v>45.72</v>
      </c>
      <c r="AD1359" s="2">
        <v>90.62</v>
      </c>
      <c r="AE1359" s="2">
        <v>0</v>
      </c>
      <c r="AF1359" s="2" t="s">
        <v>5614</v>
      </c>
      <c r="AG1359" s="2" t="s">
        <v>132</v>
      </c>
      <c r="AH1359" s="2" t="s">
        <v>12229</v>
      </c>
      <c r="AI1359" s="2">
        <v>1.94</v>
      </c>
      <c r="AJ1359" s="2">
        <v>19.956885278582298</v>
      </c>
      <c r="AK1359" s="2">
        <v>19.902696280247898</v>
      </c>
      <c r="AL1359" s="2">
        <v>20.138250385508801</v>
      </c>
      <c r="AM1359" s="2">
        <v>19.945302469731999</v>
      </c>
      <c r="AN1359" s="2">
        <v>20.024482849542</v>
      </c>
      <c r="AO1359" s="2">
        <v>20.0427747845259</v>
      </c>
      <c r="AP1359" s="2">
        <v>20.016523790611402</v>
      </c>
      <c r="AQ1359" s="2">
        <v>19.892604314032202</v>
      </c>
      <c r="AR1359" s="2">
        <v>17.1959672156168</v>
      </c>
      <c r="AS1359" s="2">
        <v>16.112438488618999</v>
      </c>
      <c r="AT1359" s="2">
        <v>17.0556497573331</v>
      </c>
      <c r="AU1359" s="2">
        <v>16.8756802478206</v>
      </c>
      <c r="AV1359" s="2">
        <v>15.3504233479559</v>
      </c>
      <c r="AW1359" s="2">
        <v>9.6233145402724691</v>
      </c>
      <c r="AX1359" s="2">
        <v>15.7928601807735</v>
      </c>
      <c r="AY1359" s="2">
        <v>17.441971282757901</v>
      </c>
      <c r="AZ1359" s="2">
        <v>9.6233145402724691</v>
      </c>
      <c r="BA1359" s="2">
        <v>15.224465635329601</v>
      </c>
      <c r="BB1359" s="2">
        <v>17.177493995110002</v>
      </c>
      <c r="BC1359" s="2">
        <v>9.6233145402724691</v>
      </c>
      <c r="BD1359" s="2">
        <v>16.733668524134799</v>
      </c>
      <c r="BE1359" s="2">
        <v>16.848175696283501</v>
      </c>
      <c r="BF1359" s="2">
        <v>17.1571037285286</v>
      </c>
      <c r="BG1359" s="2">
        <v>18.077236217420499</v>
      </c>
      <c r="BH1359" s="2">
        <v>16.154086491426401</v>
      </c>
      <c r="BI1359" s="2">
        <v>16.724049746745099</v>
      </c>
      <c r="BJ1359" s="2">
        <v>15.3300446829051</v>
      </c>
      <c r="BK1359" s="2">
        <v>16.378534144867501</v>
      </c>
      <c r="BL1359" s="2">
        <v>15.1848009752678</v>
      </c>
      <c r="BM1359" s="2">
        <v>16.8356732063538</v>
      </c>
      <c r="BN1359" s="2">
        <v>14.7371945193073</v>
      </c>
      <c r="BO1359" s="2">
        <v>9.6233145402724691</v>
      </c>
      <c r="BP1359" s="2">
        <v>15.3907789087887</v>
      </c>
      <c r="BQ1359" s="2">
        <v>16.287294298088899</v>
      </c>
      <c r="BR1359" s="2">
        <v>15.3041876614753</v>
      </c>
      <c r="BS1359" s="2">
        <v>16.698432833771001</v>
      </c>
      <c r="BT1359" s="2">
        <v>15.142035239943301</v>
      </c>
      <c r="BU1359" s="2">
        <v>15.283516698068301</v>
      </c>
      <c r="BV1359" s="2">
        <v>17.106880335241101</v>
      </c>
      <c r="BW1359" s="2">
        <v>9.6233145402724691</v>
      </c>
      <c r="BX1359" s="2">
        <v>15.2194495130246</v>
      </c>
      <c r="BY1359" s="2">
        <v>9.6233145402724691</v>
      </c>
      <c r="BZ1359" s="2">
        <v>15.915659308120601</v>
      </c>
      <c r="CA1359" s="2">
        <v>9.6233145402724691</v>
      </c>
      <c r="CB1359" s="2">
        <v>9.6233145402724691</v>
      </c>
      <c r="CC1359" s="2">
        <v>9.6233145402724691</v>
      </c>
      <c r="CD1359" s="2">
        <v>9.6233145402724691</v>
      </c>
      <c r="CE1359" s="2">
        <v>17.3712631032279</v>
      </c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</row>
    <row r="1360" spans="1:97">
      <c r="A1360" s="2" t="s">
        <v>12230</v>
      </c>
      <c r="B1360" s="2">
        <v>102.01935</v>
      </c>
      <c r="C1360" s="2">
        <v>0.79400000000000004</v>
      </c>
      <c r="D1360" s="2" t="s">
        <v>146</v>
      </c>
      <c r="E1360" s="2" t="s">
        <v>12231</v>
      </c>
      <c r="F1360" s="2" t="s">
        <v>12232</v>
      </c>
      <c r="G1360" s="2">
        <v>47945</v>
      </c>
      <c r="H1360" s="3" t="str">
        <f>HYPERLINK("https://cloud.oebiotech.com/#/lm/network/47945", "https://cloud.oebiotech.com/#/lm/network/47945")</f>
        <v>https://cloud.oebiotech.com/#/lm/network/47945</v>
      </c>
      <c r="I1360" s="2" t="s">
        <v>12233</v>
      </c>
      <c r="J1360" s="2">
        <v>6687</v>
      </c>
      <c r="K1360" s="2"/>
      <c r="L1360" s="2">
        <v>6419427</v>
      </c>
      <c r="M1360" s="2" t="s">
        <v>12234</v>
      </c>
      <c r="N1360" s="2"/>
      <c r="O1360" s="2"/>
      <c r="P1360" s="2"/>
      <c r="Q1360" s="2"/>
      <c r="R1360" s="2"/>
      <c r="S1360" s="2" t="s">
        <v>12235</v>
      </c>
      <c r="T1360" s="2" t="s">
        <v>12236</v>
      </c>
      <c r="U1360" s="2" t="s">
        <v>12237</v>
      </c>
      <c r="V1360" s="2" t="s">
        <v>166</v>
      </c>
      <c r="W1360" s="2" t="s">
        <v>167</v>
      </c>
      <c r="X1360" s="2" t="s">
        <v>12238</v>
      </c>
      <c r="Y1360" s="2" t="s">
        <v>169</v>
      </c>
      <c r="Z1360" s="2" t="s">
        <v>169</v>
      </c>
      <c r="AA1360" s="2" t="s">
        <v>12239</v>
      </c>
      <c r="AB1360" s="2" t="s">
        <v>8443</v>
      </c>
      <c r="AC1360" s="2">
        <v>45.69</v>
      </c>
      <c r="AD1360" s="2">
        <v>97.95</v>
      </c>
      <c r="AE1360" s="2">
        <v>0</v>
      </c>
      <c r="AF1360" s="2" t="s">
        <v>5614</v>
      </c>
      <c r="AG1360" s="2" t="s">
        <v>194</v>
      </c>
      <c r="AH1360" s="2" t="s">
        <v>11582</v>
      </c>
      <c r="AI1360" s="2">
        <v>3.14</v>
      </c>
      <c r="AJ1360" s="2">
        <v>20.304005739322399</v>
      </c>
      <c r="AK1360" s="2">
        <v>20.2839723759908</v>
      </c>
      <c r="AL1360" s="2">
        <v>20.7499438704018</v>
      </c>
      <c r="AM1360" s="2">
        <v>20.238011470062698</v>
      </c>
      <c r="AN1360" s="2">
        <v>20.622168056467999</v>
      </c>
      <c r="AO1360" s="2">
        <v>20.693228145826499</v>
      </c>
      <c r="AP1360" s="2">
        <v>21.202081760080102</v>
      </c>
      <c r="AQ1360" s="2">
        <v>20.911198601090501</v>
      </c>
      <c r="AR1360" s="2">
        <v>20.636466484356099</v>
      </c>
      <c r="AS1360" s="2">
        <v>20.599561541202</v>
      </c>
      <c r="AT1360" s="2">
        <v>20.2037022233763</v>
      </c>
      <c r="AU1360" s="2">
        <v>20.3482945553815</v>
      </c>
      <c r="AV1360" s="2">
        <v>20.4620313336391</v>
      </c>
      <c r="AW1360" s="2">
        <v>20.586971619571401</v>
      </c>
      <c r="AX1360" s="2">
        <v>20.9211644135057</v>
      </c>
      <c r="AY1360" s="2">
        <v>19.668027873369301</v>
      </c>
      <c r="AZ1360" s="2">
        <v>20.4890757394442</v>
      </c>
      <c r="BA1360" s="2">
        <v>20.2498315837516</v>
      </c>
      <c r="BB1360" s="2">
        <v>21.1860683503803</v>
      </c>
      <c r="BC1360" s="2">
        <v>20.435093165168201</v>
      </c>
      <c r="BD1360" s="2">
        <v>20.057702859841299</v>
      </c>
      <c r="BE1360" s="2">
        <v>20.721970070516502</v>
      </c>
      <c r="BF1360" s="2">
        <v>20.4385541298542</v>
      </c>
      <c r="BG1360" s="2">
        <v>20.512623205507801</v>
      </c>
      <c r="BH1360" s="2">
        <v>20.877302244395</v>
      </c>
      <c r="BI1360" s="2">
        <v>20.220337749437</v>
      </c>
      <c r="BJ1360" s="2">
        <v>19.277194940004101</v>
      </c>
      <c r="BK1360" s="2">
        <v>20.179398377113898</v>
      </c>
      <c r="BL1360" s="2">
        <v>20.227217700128801</v>
      </c>
      <c r="BM1360" s="2">
        <v>20.852523192662002</v>
      </c>
      <c r="BN1360" s="2">
        <v>20.1089436913567</v>
      </c>
      <c r="BO1360" s="2">
        <v>20.411909764388898</v>
      </c>
      <c r="BP1360" s="2">
        <v>20.6380018529788</v>
      </c>
      <c r="BQ1360" s="2">
        <v>20.0726811327437</v>
      </c>
      <c r="BR1360" s="2">
        <v>20.3477160297819</v>
      </c>
      <c r="BS1360" s="2">
        <v>20.6477676797698</v>
      </c>
      <c r="BT1360" s="2">
        <v>20.793543111064899</v>
      </c>
      <c r="BU1360" s="2">
        <v>20.867634921112</v>
      </c>
      <c r="BV1360" s="2">
        <v>20.4214330750331</v>
      </c>
      <c r="BW1360" s="2">
        <v>20.1181664992591</v>
      </c>
      <c r="BX1360" s="2">
        <v>21.225911182440498</v>
      </c>
      <c r="BY1360" s="2">
        <v>20.7715802218517</v>
      </c>
      <c r="BZ1360" s="2">
        <v>20.2040440186829</v>
      </c>
      <c r="CA1360" s="2">
        <v>19.538862517822299</v>
      </c>
      <c r="CB1360" s="2">
        <v>21.114423704236302</v>
      </c>
      <c r="CC1360" s="2">
        <v>19.939664160791299</v>
      </c>
      <c r="CD1360" s="2">
        <v>20.592125519570398</v>
      </c>
      <c r="CE1360" s="2">
        <v>20.523203086823699</v>
      </c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</row>
    <row r="1361" spans="1:97">
      <c r="A1361" s="2" t="s">
        <v>12240</v>
      </c>
      <c r="B1361" s="2">
        <v>525.17030999999997</v>
      </c>
      <c r="C1361" s="2">
        <v>7.4009999999999998</v>
      </c>
      <c r="D1361" s="2" t="s">
        <v>84</v>
      </c>
      <c r="E1361" s="2" t="s">
        <v>12241</v>
      </c>
      <c r="F1361" s="2" t="s">
        <v>12242</v>
      </c>
      <c r="G1361" s="2">
        <v>202062</v>
      </c>
      <c r="H1361" s="3" t="str">
        <f>HYPERLINK("https://cloud.oebiotech.com/#/lm/network/202062", "https://cloud.oebiotech.com/#/lm/network/202062")</f>
        <v>https://cloud.oebiotech.com/#/lm/network/202062</v>
      </c>
      <c r="I1361" s="2" t="s">
        <v>12243</v>
      </c>
      <c r="J1361" s="2"/>
      <c r="K1361" s="2"/>
      <c r="L1361" s="2">
        <v>14475365</v>
      </c>
      <c r="M1361" s="2"/>
      <c r="N1361" s="2"/>
      <c r="O1361" s="2"/>
      <c r="P1361" s="2"/>
      <c r="Q1361" s="2"/>
      <c r="R1361" s="2"/>
      <c r="S1361" s="2"/>
      <c r="T1361" s="2" t="s">
        <v>12244</v>
      </c>
      <c r="U1361" s="2" t="s">
        <v>12245</v>
      </c>
      <c r="V1361" s="2" t="s">
        <v>95</v>
      </c>
      <c r="W1361" s="2" t="s">
        <v>96</v>
      </c>
      <c r="X1361" s="2" t="s">
        <v>2173</v>
      </c>
      <c r="Y1361" s="2" t="s">
        <v>98</v>
      </c>
      <c r="Z1361" s="2" t="s">
        <v>99</v>
      </c>
      <c r="AA1361" s="2" t="s">
        <v>2174</v>
      </c>
      <c r="AB1361" s="2" t="s">
        <v>5118</v>
      </c>
      <c r="AC1361" s="2">
        <v>45.69</v>
      </c>
      <c r="AD1361" s="2">
        <v>74.459999999999994</v>
      </c>
      <c r="AE1361" s="2">
        <v>73.099999999999994</v>
      </c>
      <c r="AF1361" s="2" t="s">
        <v>12246</v>
      </c>
      <c r="AG1361" s="2" t="s">
        <v>3544</v>
      </c>
      <c r="AH1361" s="2" t="s">
        <v>12247</v>
      </c>
      <c r="AI1361" s="2">
        <v>-1.9</v>
      </c>
      <c r="AJ1361" s="2">
        <v>19.1399572980669</v>
      </c>
      <c r="AK1361" s="2">
        <v>19.098408318480399</v>
      </c>
      <c r="AL1361" s="2">
        <v>18.817818370709901</v>
      </c>
      <c r="AM1361" s="2">
        <v>19.2184051584331</v>
      </c>
      <c r="AN1361" s="2">
        <v>18.735498609799802</v>
      </c>
      <c r="AO1361" s="2">
        <v>18.797206907780801</v>
      </c>
      <c r="AP1361" s="2">
        <v>18.997733883838301</v>
      </c>
      <c r="AQ1361" s="2">
        <v>19.447649453297899</v>
      </c>
      <c r="AR1361" s="2">
        <v>18.953370514758699</v>
      </c>
      <c r="AS1361" s="2">
        <v>16.238535544811601</v>
      </c>
      <c r="AT1361" s="2">
        <v>19.453171024030201</v>
      </c>
      <c r="AU1361" s="2">
        <v>18.506271237398799</v>
      </c>
      <c r="AV1361" s="2">
        <v>16.9552497466101</v>
      </c>
      <c r="AW1361" s="2">
        <v>19.892424439033899</v>
      </c>
      <c r="AX1361" s="2">
        <v>15.8495597718503</v>
      </c>
      <c r="AY1361" s="2">
        <v>16.771611073126898</v>
      </c>
      <c r="AZ1361" s="2">
        <v>14.8814968627768</v>
      </c>
      <c r="BA1361" s="2">
        <v>20.319320651405199</v>
      </c>
      <c r="BB1361" s="2">
        <v>18.872133076614499</v>
      </c>
      <c r="BC1361" s="2">
        <v>19.5419536606253</v>
      </c>
      <c r="BD1361" s="2">
        <v>19.5198030824513</v>
      </c>
      <c r="BE1361" s="2">
        <v>17.753310911003599</v>
      </c>
      <c r="BF1361" s="2">
        <v>17.535788938470901</v>
      </c>
      <c r="BG1361" s="2">
        <v>17.526872243730001</v>
      </c>
      <c r="BH1361" s="2">
        <v>18.4259830327339</v>
      </c>
      <c r="BI1361" s="2">
        <v>17.908967083894101</v>
      </c>
      <c r="BJ1361" s="2">
        <v>22.698845986722301</v>
      </c>
      <c r="BK1361" s="2">
        <v>19.770503237566899</v>
      </c>
      <c r="BL1361" s="2">
        <v>18.646017168983601</v>
      </c>
      <c r="BM1361" s="2">
        <v>17.9912994525702</v>
      </c>
      <c r="BN1361" s="2">
        <v>20.394638113813201</v>
      </c>
      <c r="BO1361" s="2">
        <v>19.8206470591618</v>
      </c>
      <c r="BP1361" s="2">
        <v>9.6233145402724691</v>
      </c>
      <c r="BQ1361" s="2">
        <v>19.009981058258901</v>
      </c>
      <c r="BR1361" s="2">
        <v>16.3599540374227</v>
      </c>
      <c r="BS1361" s="2">
        <v>15.6859341275707</v>
      </c>
      <c r="BT1361" s="2">
        <v>22.839612536643699</v>
      </c>
      <c r="BU1361" s="2">
        <v>20.3390307490161</v>
      </c>
      <c r="BV1361" s="2">
        <v>18.318532483014</v>
      </c>
      <c r="BW1361" s="2">
        <v>9.6233145402724691</v>
      </c>
      <c r="BX1361" s="2">
        <v>19.281696620285999</v>
      </c>
      <c r="BY1361" s="2">
        <v>17.737077309770701</v>
      </c>
      <c r="BZ1361" s="2">
        <v>13.635435855868201</v>
      </c>
      <c r="CA1361" s="2">
        <v>18.3284464644114</v>
      </c>
      <c r="CB1361" s="2">
        <v>9.6233145402724691</v>
      </c>
      <c r="CC1361" s="2">
        <v>19.131237070109201</v>
      </c>
      <c r="CD1361" s="2">
        <v>19.904320694219301</v>
      </c>
      <c r="CE1361" s="2">
        <v>20.1711179484453</v>
      </c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</row>
    <row r="1362" spans="1:97">
      <c r="A1362" s="2" t="s">
        <v>12248</v>
      </c>
      <c r="B1362" s="2">
        <v>217.04692</v>
      </c>
      <c r="C1362" s="2">
        <v>1.286</v>
      </c>
      <c r="D1362" s="2" t="s">
        <v>84</v>
      </c>
      <c r="E1362" s="2" t="s">
        <v>12249</v>
      </c>
      <c r="F1362" s="2" t="s">
        <v>12250</v>
      </c>
      <c r="G1362" s="2">
        <v>256887</v>
      </c>
      <c r="H1362" s="3" t="str">
        <f>HYPERLINK("https://cloud.oebiotech.com/#/lm/network/256887", "https://cloud.oebiotech.com/#/lm/network/256887")</f>
        <v>https://cloud.oebiotech.com/#/lm/network/256887</v>
      </c>
      <c r="I1362" s="2" t="s">
        <v>12251</v>
      </c>
      <c r="J1362" s="2">
        <v>64013</v>
      </c>
      <c r="K1362" s="2"/>
      <c r="L1362" s="2">
        <v>443198</v>
      </c>
      <c r="M1362" s="2" t="s">
        <v>12252</v>
      </c>
      <c r="N1362" s="2" t="s">
        <v>12253</v>
      </c>
      <c r="O1362" s="2" t="s">
        <v>12254</v>
      </c>
      <c r="P1362" s="2">
        <v>17764</v>
      </c>
      <c r="Q1362" s="2"/>
      <c r="R1362" s="2"/>
      <c r="S1362" s="2"/>
      <c r="T1362" s="2" t="s">
        <v>12255</v>
      </c>
      <c r="U1362" s="2" t="s">
        <v>12256</v>
      </c>
      <c r="V1362" s="2" t="s">
        <v>115</v>
      </c>
      <c r="W1362" s="2" t="s">
        <v>4566</v>
      </c>
      <c r="X1362" s="2" t="s">
        <v>4567</v>
      </c>
      <c r="Y1362" s="2" t="s">
        <v>118</v>
      </c>
      <c r="Z1362" s="2" t="s">
        <v>4568</v>
      </c>
      <c r="AA1362" s="2" t="s">
        <v>4569</v>
      </c>
      <c r="AB1362" s="2" t="s">
        <v>8443</v>
      </c>
      <c r="AC1362" s="2">
        <v>45.68</v>
      </c>
      <c r="AD1362" s="2">
        <v>96.43</v>
      </c>
      <c r="AE1362" s="2">
        <v>0</v>
      </c>
      <c r="AF1362" s="2" t="s">
        <v>12257</v>
      </c>
      <c r="AG1362" s="2" t="s">
        <v>103</v>
      </c>
      <c r="AH1362" s="2" t="s">
        <v>12258</v>
      </c>
      <c r="AI1362" s="2">
        <v>1.38</v>
      </c>
      <c r="AJ1362" s="2">
        <v>24.5939115890944</v>
      </c>
      <c r="AK1362" s="2">
        <v>24.556185572707999</v>
      </c>
      <c r="AL1362" s="2">
        <v>24.5798338872358</v>
      </c>
      <c r="AM1362" s="2">
        <v>23.025494340212301</v>
      </c>
      <c r="AN1362" s="2">
        <v>24.533749972072499</v>
      </c>
      <c r="AO1362" s="2">
        <v>24.487208998703402</v>
      </c>
      <c r="AP1362" s="2">
        <v>24.486571747104701</v>
      </c>
      <c r="AQ1362" s="2">
        <v>24.409361459386101</v>
      </c>
      <c r="AR1362" s="2">
        <v>24.394734347854602</v>
      </c>
      <c r="AS1362" s="2">
        <v>24.441159532129099</v>
      </c>
      <c r="AT1362" s="2">
        <v>24.653968883004499</v>
      </c>
      <c r="AU1362" s="2">
        <v>24.6270948284015</v>
      </c>
      <c r="AV1362" s="2">
        <v>24.153999242182</v>
      </c>
      <c r="AW1362" s="2">
        <v>24.611040148317901</v>
      </c>
      <c r="AX1362" s="2">
        <v>24.656189416653401</v>
      </c>
      <c r="AY1362" s="2">
        <v>24.993086297036701</v>
      </c>
      <c r="AZ1362" s="2">
        <v>22.331743235574599</v>
      </c>
      <c r="BA1362" s="2">
        <v>24.669796730768301</v>
      </c>
      <c r="BB1362" s="2">
        <v>24.568294401161801</v>
      </c>
      <c r="BC1362" s="2">
        <v>23.591625340559698</v>
      </c>
      <c r="BD1362" s="2">
        <v>24.678445633583401</v>
      </c>
      <c r="BE1362" s="2">
        <v>24.454619835748002</v>
      </c>
      <c r="BF1362" s="2">
        <v>23.9854572750431</v>
      </c>
      <c r="BG1362" s="2">
        <v>24.548510187297001</v>
      </c>
      <c r="BH1362" s="2">
        <v>23.075184347724299</v>
      </c>
      <c r="BI1362" s="2">
        <v>24.523736723512901</v>
      </c>
      <c r="BJ1362" s="2">
        <v>22.484868357760799</v>
      </c>
      <c r="BK1362" s="2">
        <v>24.546257709733698</v>
      </c>
      <c r="BL1362" s="2">
        <v>23.272231972997499</v>
      </c>
      <c r="BM1362" s="2">
        <v>24.296251745924302</v>
      </c>
      <c r="BN1362" s="2">
        <v>24.464112796946999</v>
      </c>
      <c r="BO1362" s="2">
        <v>25.436563569868401</v>
      </c>
      <c r="BP1362" s="2">
        <v>24.542845574021701</v>
      </c>
      <c r="BQ1362" s="2">
        <v>24.453503443757899</v>
      </c>
      <c r="BR1362" s="2">
        <v>24.515015699553601</v>
      </c>
      <c r="BS1362" s="2">
        <v>24.152715680095501</v>
      </c>
      <c r="BT1362" s="2">
        <v>22.7781754009143</v>
      </c>
      <c r="BU1362" s="2">
        <v>24.601085491129499</v>
      </c>
      <c r="BV1362" s="2">
        <v>24.4920247281689</v>
      </c>
      <c r="BW1362" s="2">
        <v>22.7505607081698</v>
      </c>
      <c r="BX1362" s="2">
        <v>23.4714869018153</v>
      </c>
      <c r="BY1362" s="2">
        <v>24.3343859825885</v>
      </c>
      <c r="BZ1362" s="2">
        <v>24.4743410270972</v>
      </c>
      <c r="CA1362" s="2">
        <v>24.5144836075904</v>
      </c>
      <c r="CB1362" s="2">
        <v>24.8710136875122</v>
      </c>
      <c r="CC1362" s="2">
        <v>24.395355303851201</v>
      </c>
      <c r="CD1362" s="2">
        <v>24.338528511964999</v>
      </c>
      <c r="CE1362" s="2">
        <v>24.4900472770025</v>
      </c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</row>
    <row r="1363" spans="1:97">
      <c r="A1363" s="2" t="s">
        <v>12259</v>
      </c>
      <c r="B1363" s="2">
        <v>103.03979</v>
      </c>
      <c r="C1363" s="2">
        <v>0.53500000000000003</v>
      </c>
      <c r="D1363" s="2" t="s">
        <v>146</v>
      </c>
      <c r="E1363" s="2" t="s">
        <v>12260</v>
      </c>
      <c r="F1363" s="2" t="s">
        <v>12261</v>
      </c>
      <c r="G1363" s="2">
        <v>549740</v>
      </c>
      <c r="H1363" s="3" t="str">
        <f>HYPERLINK("https://cloud.oebiotech.com/#/lm/network/549740", "https://cloud.oebiotech.com/#/lm/network/549740")</f>
        <v>https://cloud.oebiotech.com/#/lm/network/549740</v>
      </c>
      <c r="I1363" s="2"/>
      <c r="J1363" s="2"/>
      <c r="K1363" s="2"/>
      <c r="L1363" s="2">
        <v>8998</v>
      </c>
      <c r="M1363" s="2"/>
      <c r="N1363" s="2"/>
      <c r="O1363" s="2"/>
      <c r="P1363" s="2"/>
      <c r="Q1363" s="2"/>
      <c r="R1363" s="2"/>
      <c r="S1363" s="2"/>
      <c r="T1363" s="2" t="s">
        <v>12262</v>
      </c>
      <c r="U1363" s="2" t="s">
        <v>12263</v>
      </c>
      <c r="V1363" s="2" t="s">
        <v>338</v>
      </c>
      <c r="W1363" s="2" t="s">
        <v>339</v>
      </c>
      <c r="X1363" s="2" t="s">
        <v>663</v>
      </c>
      <c r="Y1363" s="2" t="s">
        <v>341</v>
      </c>
      <c r="Z1363" s="2" t="s">
        <v>341</v>
      </c>
      <c r="AA1363" s="2" t="s">
        <v>664</v>
      </c>
      <c r="AB1363" s="2" t="s">
        <v>8443</v>
      </c>
      <c r="AC1363" s="2">
        <v>45.68</v>
      </c>
      <c r="AD1363" s="2">
        <v>97.47</v>
      </c>
      <c r="AE1363" s="2">
        <v>0</v>
      </c>
      <c r="AF1363" s="2" t="s">
        <v>12264</v>
      </c>
      <c r="AG1363" s="2" t="s">
        <v>993</v>
      </c>
      <c r="AH1363" s="2" t="s">
        <v>6399</v>
      </c>
      <c r="AI1363" s="2">
        <v>-2.62</v>
      </c>
      <c r="AJ1363" s="2">
        <v>21.973228926364101</v>
      </c>
      <c r="AK1363" s="2">
        <v>21.6748374029887</v>
      </c>
      <c r="AL1363" s="2">
        <v>21.713654198636299</v>
      </c>
      <c r="AM1363" s="2">
        <v>21.190694052185101</v>
      </c>
      <c r="AN1363" s="2">
        <v>21.5887229744921</v>
      </c>
      <c r="AO1363" s="2">
        <v>22.357144941947499</v>
      </c>
      <c r="AP1363" s="2">
        <v>21.886907949660198</v>
      </c>
      <c r="AQ1363" s="2">
        <v>21.918854930232801</v>
      </c>
      <c r="AR1363" s="2">
        <v>22.110570073557501</v>
      </c>
      <c r="AS1363" s="2">
        <v>22.0286077668434</v>
      </c>
      <c r="AT1363" s="2">
        <v>21.631540294516899</v>
      </c>
      <c r="AU1363" s="2">
        <v>21.9504503658708</v>
      </c>
      <c r="AV1363" s="2">
        <v>21.728888337370901</v>
      </c>
      <c r="AW1363" s="2">
        <v>22.010354764758599</v>
      </c>
      <c r="AX1363" s="2">
        <v>22.028746458786099</v>
      </c>
      <c r="AY1363" s="2">
        <v>21.939781924114701</v>
      </c>
      <c r="AZ1363" s="2">
        <v>21.8524528189308</v>
      </c>
      <c r="BA1363" s="2">
        <v>21.728086104972501</v>
      </c>
      <c r="BB1363" s="2">
        <v>21.869447266146199</v>
      </c>
      <c r="BC1363" s="2">
        <v>22.013154197577801</v>
      </c>
      <c r="BD1363" s="2">
        <v>22.061203926863001</v>
      </c>
      <c r="BE1363" s="2">
        <v>21.903387034520801</v>
      </c>
      <c r="BF1363" s="2">
        <v>21.829447450462599</v>
      </c>
      <c r="BG1363" s="2">
        <v>20.881517019386202</v>
      </c>
      <c r="BH1363" s="2">
        <v>21.945497732961801</v>
      </c>
      <c r="BI1363" s="2">
        <v>21.879938286781201</v>
      </c>
      <c r="BJ1363" s="2">
        <v>22.149137069330799</v>
      </c>
      <c r="BK1363" s="2">
        <v>21.9401910729942</v>
      </c>
      <c r="BL1363" s="2">
        <v>21.956132868854802</v>
      </c>
      <c r="BM1363" s="2">
        <v>22.066891225167399</v>
      </c>
      <c r="BN1363" s="2">
        <v>21.976206387381001</v>
      </c>
      <c r="BO1363" s="2">
        <v>21.653038751252002</v>
      </c>
      <c r="BP1363" s="2">
        <v>21.575988911049201</v>
      </c>
      <c r="BQ1363" s="2">
        <v>21.5605821521042</v>
      </c>
      <c r="BR1363" s="2">
        <v>21.976020363854399</v>
      </c>
      <c r="BS1363" s="2">
        <v>21.748356184633401</v>
      </c>
      <c r="BT1363" s="2">
        <v>21.6103811217172</v>
      </c>
      <c r="BU1363" s="2">
        <v>21.013287495254101</v>
      </c>
      <c r="BV1363" s="2">
        <v>21.667067602660602</v>
      </c>
      <c r="BW1363" s="2">
        <v>21.929062672766801</v>
      </c>
      <c r="BX1363" s="2">
        <v>21.8379066261997</v>
      </c>
      <c r="BY1363" s="2">
        <v>20.939541294521099</v>
      </c>
      <c r="BZ1363" s="2">
        <v>21.805288022919498</v>
      </c>
      <c r="CA1363" s="2">
        <v>21.692236777741201</v>
      </c>
      <c r="CB1363" s="2">
        <v>21.812872614685499</v>
      </c>
      <c r="CC1363" s="2">
        <v>21.520353395071702</v>
      </c>
      <c r="CD1363" s="2">
        <v>21.8011501837642</v>
      </c>
      <c r="CE1363" s="2">
        <v>21.885668672013299</v>
      </c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</row>
    <row r="1364" spans="1:97">
      <c r="A1364" s="2" t="s">
        <v>12265</v>
      </c>
      <c r="B1364" s="2">
        <v>259.19089000000002</v>
      </c>
      <c r="C1364" s="2">
        <v>11.409000000000001</v>
      </c>
      <c r="D1364" s="2" t="s">
        <v>146</v>
      </c>
      <c r="E1364" s="2" t="s">
        <v>12266</v>
      </c>
      <c r="F1364" s="2" t="s">
        <v>12267</v>
      </c>
      <c r="G1364" s="2">
        <v>101</v>
      </c>
      <c r="H1364" s="3" t="str">
        <f>HYPERLINK("https://cloud.oebiotech.com/#/lm/network/101", "https://cloud.oebiotech.com/#/lm/network/101")</f>
        <v>https://cloud.oebiotech.com/#/lm/network/101</v>
      </c>
      <c r="I1364" s="2"/>
      <c r="J1364" s="2">
        <v>4284</v>
      </c>
      <c r="K1364" s="2" t="s">
        <v>12268</v>
      </c>
      <c r="L1364" s="2">
        <v>3014565</v>
      </c>
      <c r="M1364" s="2"/>
      <c r="N1364" s="2"/>
      <c r="O1364" s="2"/>
      <c r="P1364" s="2">
        <v>84872</v>
      </c>
      <c r="Q1364" s="2"/>
      <c r="R1364" s="2"/>
      <c r="S1364" s="2" t="s">
        <v>12269</v>
      </c>
      <c r="T1364" s="2" t="s">
        <v>12270</v>
      </c>
      <c r="U1364" s="2" t="s">
        <v>12271</v>
      </c>
      <c r="V1364" s="2" t="s">
        <v>95</v>
      </c>
      <c r="W1364" s="2" t="s">
        <v>96</v>
      </c>
      <c r="X1364" s="2" t="s">
        <v>141</v>
      </c>
      <c r="Y1364" s="2" t="s">
        <v>98</v>
      </c>
      <c r="Z1364" s="2" t="s">
        <v>99</v>
      </c>
      <c r="AA1364" s="2" t="s">
        <v>142</v>
      </c>
      <c r="AB1364" s="2" t="s">
        <v>8443</v>
      </c>
      <c r="AC1364" s="2">
        <v>45.68</v>
      </c>
      <c r="AD1364" s="2">
        <v>91.06</v>
      </c>
      <c r="AE1364" s="2">
        <v>0</v>
      </c>
      <c r="AF1364" s="2" t="s">
        <v>5614</v>
      </c>
      <c r="AG1364" s="2" t="s">
        <v>157</v>
      </c>
      <c r="AH1364" s="2" t="s">
        <v>12272</v>
      </c>
      <c r="AI1364" s="2">
        <v>2.31</v>
      </c>
      <c r="AJ1364" s="2">
        <v>16.478822380001901</v>
      </c>
      <c r="AK1364" s="2">
        <v>17.025510637294499</v>
      </c>
      <c r="AL1364" s="2">
        <v>16.6613568327735</v>
      </c>
      <c r="AM1364" s="2">
        <v>16.535563048452801</v>
      </c>
      <c r="AN1364" s="2">
        <v>17.0224665397572</v>
      </c>
      <c r="AO1364" s="2">
        <v>16.428140787595499</v>
      </c>
      <c r="AP1364" s="2">
        <v>16.767187034662399</v>
      </c>
      <c r="AQ1364" s="2">
        <v>17.041074841927301</v>
      </c>
      <c r="AR1364" s="2">
        <v>15.3150993105236</v>
      </c>
      <c r="AS1364" s="2">
        <v>16.300808693326498</v>
      </c>
      <c r="AT1364" s="2">
        <v>15.8140676980313</v>
      </c>
      <c r="AU1364" s="2">
        <v>14.8597201584562</v>
      </c>
      <c r="AV1364" s="2">
        <v>15.579060732430399</v>
      </c>
      <c r="AW1364" s="2">
        <v>16.641535445500999</v>
      </c>
      <c r="AX1364" s="2">
        <v>13.272756612938799</v>
      </c>
      <c r="AY1364" s="2">
        <v>17.007739610077198</v>
      </c>
      <c r="AZ1364" s="2">
        <v>17.2497328110124</v>
      </c>
      <c r="BA1364" s="2">
        <v>17.448963201222</v>
      </c>
      <c r="BB1364" s="2">
        <v>16.558268082553699</v>
      </c>
      <c r="BC1364" s="2">
        <v>17.7123772045069</v>
      </c>
      <c r="BD1364" s="2">
        <v>14.3657271164411</v>
      </c>
      <c r="BE1364" s="2">
        <v>18.322490173275401</v>
      </c>
      <c r="BF1364" s="2">
        <v>16.57053126848</v>
      </c>
      <c r="BG1364" s="2">
        <v>17.258737803743099</v>
      </c>
      <c r="BH1364" s="2">
        <v>14.7186859134942</v>
      </c>
      <c r="BI1364" s="2">
        <v>14.249291259550899</v>
      </c>
      <c r="BJ1364" s="2">
        <v>17.359153546668601</v>
      </c>
      <c r="BK1364" s="2">
        <v>14.493807300241199</v>
      </c>
      <c r="BL1364" s="2">
        <v>15.535607697754999</v>
      </c>
      <c r="BM1364" s="2">
        <v>16.805554455620001</v>
      </c>
      <c r="BN1364" s="2">
        <v>15.8076175539865</v>
      </c>
      <c r="BO1364" s="2">
        <v>15.1896261437888</v>
      </c>
      <c r="BP1364" s="2">
        <v>15.2840537585402</v>
      </c>
      <c r="BQ1364" s="2">
        <v>16.040649322405098</v>
      </c>
      <c r="BR1364" s="2">
        <v>14.849508705408001</v>
      </c>
      <c r="BS1364" s="2">
        <v>17.163817602013999</v>
      </c>
      <c r="BT1364" s="2">
        <v>16.899704218446701</v>
      </c>
      <c r="BU1364" s="2">
        <v>17.459256778610499</v>
      </c>
      <c r="BV1364" s="2">
        <v>16.4833993492859</v>
      </c>
      <c r="BW1364" s="2">
        <v>16.493435185595299</v>
      </c>
      <c r="BX1364" s="2">
        <v>13.8010545527444</v>
      </c>
      <c r="BY1364" s="2">
        <v>18.490561708780099</v>
      </c>
      <c r="BZ1364" s="2">
        <v>15.982468238986099</v>
      </c>
      <c r="CA1364" s="2">
        <v>17.209324180608402</v>
      </c>
      <c r="CB1364" s="2">
        <v>13.1824517745042</v>
      </c>
      <c r="CC1364" s="2">
        <v>15.0767521437902</v>
      </c>
      <c r="CD1364" s="2">
        <v>17.483716443736999</v>
      </c>
      <c r="CE1364" s="2">
        <v>15.347331734798701</v>
      </c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</row>
    <row r="1365" spans="1:97">
      <c r="A1365" s="2" t="s">
        <v>12273</v>
      </c>
      <c r="B1365" s="2">
        <v>851.16434000000004</v>
      </c>
      <c r="C1365" s="2">
        <v>0.749</v>
      </c>
      <c r="D1365" s="2" t="s">
        <v>146</v>
      </c>
      <c r="E1365" s="2" t="s">
        <v>12274</v>
      </c>
      <c r="F1365" s="2" t="s">
        <v>12275</v>
      </c>
      <c r="G1365" s="2">
        <v>205451</v>
      </c>
      <c r="H1365" s="3" t="str">
        <f>HYPERLINK("https://cloud.oebiotech.com/#/lm/network/205451", "https://cloud.oebiotech.com/#/lm/network/205451")</f>
        <v>https://cloud.oebiotech.com/#/lm/network/205451</v>
      </c>
      <c r="I1365" s="2" t="s">
        <v>12276</v>
      </c>
      <c r="J1365" s="2"/>
      <c r="K1365" s="2"/>
      <c r="L1365" s="2">
        <v>78301986</v>
      </c>
      <c r="M1365" s="2"/>
      <c r="N1365" s="2"/>
      <c r="O1365" s="2"/>
      <c r="P1365" s="2"/>
      <c r="Q1365" s="2"/>
      <c r="R1365" s="2"/>
      <c r="S1365" s="2"/>
      <c r="T1365" s="2" t="s">
        <v>12277</v>
      </c>
      <c r="U1365" s="2" t="s">
        <v>12278</v>
      </c>
      <c r="V1365" s="2" t="s">
        <v>115</v>
      </c>
      <c r="W1365" s="2" t="s">
        <v>116</v>
      </c>
      <c r="X1365" s="2" t="s">
        <v>117</v>
      </c>
      <c r="Y1365" s="2" t="s">
        <v>118</v>
      </c>
      <c r="Z1365" s="2" t="s">
        <v>119</v>
      </c>
      <c r="AA1365" s="2" t="s">
        <v>120</v>
      </c>
      <c r="AB1365" s="2" t="s">
        <v>3086</v>
      </c>
      <c r="AC1365" s="2">
        <v>45.68</v>
      </c>
      <c r="AD1365" s="2">
        <v>61.53</v>
      </c>
      <c r="AE1365" s="2">
        <v>0</v>
      </c>
      <c r="AF1365" s="2" t="s">
        <v>12279</v>
      </c>
      <c r="AG1365" s="2" t="s">
        <v>3880</v>
      </c>
      <c r="AH1365" s="2" t="s">
        <v>12280</v>
      </c>
      <c r="AI1365" s="2">
        <v>4.93</v>
      </c>
      <c r="AJ1365" s="2">
        <v>18.9661825487694</v>
      </c>
      <c r="AK1365" s="2">
        <v>19.8922871349234</v>
      </c>
      <c r="AL1365" s="2">
        <v>19.674737283484301</v>
      </c>
      <c r="AM1365" s="2">
        <v>19.317042149517601</v>
      </c>
      <c r="AN1365" s="2">
        <v>18.905861921302499</v>
      </c>
      <c r="AO1365" s="2">
        <v>19.705519891772401</v>
      </c>
      <c r="AP1365" s="2">
        <v>19.688405909610299</v>
      </c>
      <c r="AQ1365" s="2">
        <v>19.123131068428201</v>
      </c>
      <c r="AR1365" s="2">
        <v>18.1265279863619</v>
      </c>
      <c r="AS1365" s="2">
        <v>19.7125461436422</v>
      </c>
      <c r="AT1365" s="2">
        <v>19.1924489871964</v>
      </c>
      <c r="AU1365" s="2">
        <v>18.9298935805942</v>
      </c>
      <c r="AV1365" s="2">
        <v>19.742279300665999</v>
      </c>
      <c r="AW1365" s="2">
        <v>19.4546866590223</v>
      </c>
      <c r="AX1365" s="2">
        <v>18.451656491273301</v>
      </c>
      <c r="AY1365" s="2">
        <v>20.044301978743501</v>
      </c>
      <c r="AZ1365" s="2">
        <v>19.035621574120501</v>
      </c>
      <c r="BA1365" s="2">
        <v>19.740588850833198</v>
      </c>
      <c r="BB1365" s="2">
        <v>19.3078621314773</v>
      </c>
      <c r="BC1365" s="2">
        <v>18.874902364083901</v>
      </c>
      <c r="BD1365" s="2">
        <v>20.547168930301499</v>
      </c>
      <c r="BE1365" s="2">
        <v>19.469179494789302</v>
      </c>
      <c r="BF1365" s="2">
        <v>19.458164569657601</v>
      </c>
      <c r="BG1365" s="2">
        <v>18.7914767520213</v>
      </c>
      <c r="BH1365" s="2">
        <v>19.323807221551299</v>
      </c>
      <c r="BI1365" s="2">
        <v>18.680763500958601</v>
      </c>
      <c r="BJ1365" s="2">
        <v>19.824208140953001</v>
      </c>
      <c r="BK1365" s="2">
        <v>19.905566167233498</v>
      </c>
      <c r="BL1365" s="2">
        <v>19.939727368857199</v>
      </c>
      <c r="BM1365" s="2">
        <v>18.949227305743999</v>
      </c>
      <c r="BN1365" s="2">
        <v>19.146412155202999</v>
      </c>
      <c r="BO1365" s="2">
        <v>18.778871051865998</v>
      </c>
      <c r="BP1365" s="2">
        <v>18.483748125735499</v>
      </c>
      <c r="BQ1365" s="2">
        <v>17.9721481799576</v>
      </c>
      <c r="BR1365" s="2">
        <v>18.688420901834</v>
      </c>
      <c r="BS1365" s="2">
        <v>19.560640049713101</v>
      </c>
      <c r="BT1365" s="2">
        <v>19.193803308164401</v>
      </c>
      <c r="BU1365" s="2">
        <v>19.509818912844199</v>
      </c>
      <c r="BV1365" s="2">
        <v>18.876738423780601</v>
      </c>
      <c r="BW1365" s="2">
        <v>19.888269040607799</v>
      </c>
      <c r="BX1365" s="2">
        <v>19.236873470720202</v>
      </c>
      <c r="BY1365" s="2">
        <v>18.6253353161791</v>
      </c>
      <c r="BZ1365" s="2">
        <v>18.962521346578399</v>
      </c>
      <c r="CA1365" s="2">
        <v>20.2230788206288</v>
      </c>
      <c r="CB1365" s="2">
        <v>19.086836296654798</v>
      </c>
      <c r="CC1365" s="2">
        <v>19.952580176411601</v>
      </c>
      <c r="CD1365" s="2">
        <v>18.041547720015899</v>
      </c>
      <c r="CE1365" s="2">
        <v>19.397000781500701</v>
      </c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</row>
    <row r="1366" spans="1:97">
      <c r="A1366" s="2" t="s">
        <v>12281</v>
      </c>
      <c r="B1366" s="2">
        <v>239.10626999999999</v>
      </c>
      <c r="C1366" s="2">
        <v>7.4029999999999996</v>
      </c>
      <c r="D1366" s="2" t="s">
        <v>146</v>
      </c>
      <c r="E1366" s="2" t="s">
        <v>12282</v>
      </c>
      <c r="F1366" s="2" t="s">
        <v>12283</v>
      </c>
      <c r="G1366" s="2">
        <v>54547</v>
      </c>
      <c r="H1366" s="3" t="str">
        <f>HYPERLINK("https://cloud.oebiotech.com/#/lm/network/54547", "https://cloud.oebiotech.com/#/lm/network/54547")</f>
        <v>https://cloud.oebiotech.com/#/lm/network/54547</v>
      </c>
      <c r="I1366" s="2" t="s">
        <v>12284</v>
      </c>
      <c r="J1366" s="2">
        <v>66605</v>
      </c>
      <c r="K1366" s="2"/>
      <c r="L1366" s="2">
        <v>12105</v>
      </c>
      <c r="M1366" s="2" t="s">
        <v>12285</v>
      </c>
      <c r="N1366" s="2"/>
      <c r="O1366" s="2"/>
      <c r="P1366" s="2">
        <v>28476</v>
      </c>
      <c r="Q1366" s="2"/>
      <c r="R1366" s="2"/>
      <c r="S1366" s="2" t="s">
        <v>12286</v>
      </c>
      <c r="T1366" s="2" t="s">
        <v>12287</v>
      </c>
      <c r="U1366" s="2" t="s">
        <v>12288</v>
      </c>
      <c r="V1366" s="2" t="s">
        <v>385</v>
      </c>
      <c r="W1366" s="2" t="s">
        <v>386</v>
      </c>
      <c r="X1366" s="2" t="s">
        <v>12289</v>
      </c>
      <c r="Y1366" s="2" t="s">
        <v>388</v>
      </c>
      <c r="Z1366" s="2" t="s">
        <v>389</v>
      </c>
      <c r="AA1366" s="2" t="s">
        <v>12290</v>
      </c>
      <c r="AB1366" s="2" t="s">
        <v>3086</v>
      </c>
      <c r="AC1366" s="2">
        <v>45.64</v>
      </c>
      <c r="AD1366" s="2">
        <v>90.25</v>
      </c>
      <c r="AE1366" s="2">
        <v>0</v>
      </c>
      <c r="AF1366" s="2" t="s">
        <v>5614</v>
      </c>
      <c r="AG1366" s="2" t="s">
        <v>3880</v>
      </c>
      <c r="AH1366" s="2" t="s">
        <v>12291</v>
      </c>
      <c r="AI1366" s="2">
        <v>6.27</v>
      </c>
      <c r="AJ1366" s="2">
        <v>19.862685721801601</v>
      </c>
      <c r="AK1366" s="2">
        <v>19.673693382531301</v>
      </c>
      <c r="AL1366" s="2">
        <v>19.757864572296899</v>
      </c>
      <c r="AM1366" s="2">
        <v>19.397180760915401</v>
      </c>
      <c r="AN1366" s="2">
        <v>19.7278357862528</v>
      </c>
      <c r="AO1366" s="2">
        <v>19.7994874364182</v>
      </c>
      <c r="AP1366" s="2">
        <v>19.677984862067301</v>
      </c>
      <c r="AQ1366" s="2">
        <v>19.690135492886199</v>
      </c>
      <c r="AR1366" s="2">
        <v>19.741201018973499</v>
      </c>
      <c r="AS1366" s="2">
        <v>18.402166988091999</v>
      </c>
      <c r="AT1366" s="2">
        <v>20.101832314262499</v>
      </c>
      <c r="AU1366" s="2">
        <v>19.740232567599801</v>
      </c>
      <c r="AV1366" s="2">
        <v>18.421282563108999</v>
      </c>
      <c r="AW1366" s="2">
        <v>20.6368581291261</v>
      </c>
      <c r="AX1366" s="2">
        <v>17.897085050159099</v>
      </c>
      <c r="AY1366" s="2">
        <v>18.794389497171299</v>
      </c>
      <c r="AZ1366" s="2">
        <v>17.908309522204998</v>
      </c>
      <c r="BA1366" s="2">
        <v>20.4064493535734</v>
      </c>
      <c r="BB1366" s="2">
        <v>19.9442145706392</v>
      </c>
      <c r="BC1366" s="2">
        <v>20.161563895911399</v>
      </c>
      <c r="BD1366" s="2">
        <v>20.258977771175999</v>
      </c>
      <c r="BE1366" s="2">
        <v>18.686784806064399</v>
      </c>
      <c r="BF1366" s="2">
        <v>19.110713835704502</v>
      </c>
      <c r="BG1366" s="2">
        <v>19.170846937398402</v>
      </c>
      <c r="BH1366" s="2">
        <v>19.499410099254</v>
      </c>
      <c r="BI1366" s="2">
        <v>19.026675264179001</v>
      </c>
      <c r="BJ1366" s="2">
        <v>22.125213293203998</v>
      </c>
      <c r="BK1366" s="2">
        <v>20.624832314737301</v>
      </c>
      <c r="BL1366" s="2">
        <v>19.383015273310399</v>
      </c>
      <c r="BM1366" s="2">
        <v>19.122466264845599</v>
      </c>
      <c r="BN1366" s="2">
        <v>20.4261539341047</v>
      </c>
      <c r="BO1366" s="2">
        <v>20.187167517203498</v>
      </c>
      <c r="BP1366" s="2">
        <v>15.1198607084676</v>
      </c>
      <c r="BQ1366" s="2">
        <v>19.441271727311499</v>
      </c>
      <c r="BR1366" s="2">
        <v>18.626220943146699</v>
      </c>
      <c r="BS1366" s="2">
        <v>18.907773606208298</v>
      </c>
      <c r="BT1366" s="2">
        <v>22.072459567746598</v>
      </c>
      <c r="BU1366" s="2">
        <v>20.3318541691532</v>
      </c>
      <c r="BV1366" s="2">
        <v>19.731569723916301</v>
      </c>
      <c r="BW1366" s="2">
        <v>17.7052551964087</v>
      </c>
      <c r="BX1366" s="2">
        <v>19.924312930809201</v>
      </c>
      <c r="BY1366" s="2">
        <v>19.009897952914699</v>
      </c>
      <c r="BZ1366" s="2">
        <v>17.4964060637407</v>
      </c>
      <c r="CA1366" s="2">
        <v>19.208939508216201</v>
      </c>
      <c r="CB1366" s="2">
        <v>16.776938277923499</v>
      </c>
      <c r="CC1366" s="2">
        <v>19.534482729313599</v>
      </c>
      <c r="CD1366" s="2">
        <v>19.9395557279766</v>
      </c>
      <c r="CE1366" s="2">
        <v>20.000604179231001</v>
      </c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</row>
    <row r="1367" spans="1:97">
      <c r="A1367" s="2" t="s">
        <v>12292</v>
      </c>
      <c r="B1367" s="2">
        <v>465.03591999999998</v>
      </c>
      <c r="C1367" s="2">
        <v>7.41</v>
      </c>
      <c r="D1367" s="2" t="s">
        <v>146</v>
      </c>
      <c r="E1367" s="2" t="s">
        <v>12293</v>
      </c>
      <c r="F1367" s="2" t="s">
        <v>12294</v>
      </c>
      <c r="G1367" s="2">
        <v>82073</v>
      </c>
      <c r="H1367" s="3" t="str">
        <f>HYPERLINK("https://cloud.oebiotech.com/#/lm/network/82073", "https://cloud.oebiotech.com/#/lm/network/82073")</f>
        <v>https://cloud.oebiotech.com/#/lm/network/82073</v>
      </c>
      <c r="I1367" s="2" t="s">
        <v>12295</v>
      </c>
      <c r="J1367" s="2">
        <v>63350</v>
      </c>
      <c r="K1367" s="2"/>
      <c r="L1367" s="2">
        <v>440754</v>
      </c>
      <c r="M1367" s="2" t="s">
        <v>12296</v>
      </c>
      <c r="N1367" s="2" t="s">
        <v>5344</v>
      </c>
      <c r="O1367" s="2" t="s">
        <v>5345</v>
      </c>
      <c r="P1367" s="2">
        <v>3276</v>
      </c>
      <c r="Q1367" s="2"/>
      <c r="R1367" s="2"/>
      <c r="S1367" s="2"/>
      <c r="T1367" s="2" t="s">
        <v>12297</v>
      </c>
      <c r="U1367" s="2" t="s">
        <v>12298</v>
      </c>
      <c r="V1367" s="2" t="s">
        <v>338</v>
      </c>
      <c r="W1367" s="2" t="s">
        <v>339</v>
      </c>
      <c r="X1367" s="2" t="s">
        <v>663</v>
      </c>
      <c r="Y1367" s="2" t="s">
        <v>341</v>
      </c>
      <c r="Z1367" s="2" t="s">
        <v>341</v>
      </c>
      <c r="AA1367" s="2" t="s">
        <v>664</v>
      </c>
      <c r="AB1367" s="2" t="s">
        <v>5118</v>
      </c>
      <c r="AC1367" s="2">
        <v>45.62</v>
      </c>
      <c r="AD1367" s="2">
        <v>79.53</v>
      </c>
      <c r="AE1367" s="2">
        <v>67.91</v>
      </c>
      <c r="AF1367" s="2" t="s">
        <v>12299</v>
      </c>
      <c r="AG1367" s="2" t="s">
        <v>4062</v>
      </c>
      <c r="AH1367" s="2" t="s">
        <v>12300</v>
      </c>
      <c r="AI1367" s="2">
        <v>-2.15</v>
      </c>
      <c r="AJ1367" s="2">
        <v>20.735191544341699</v>
      </c>
      <c r="AK1367" s="2">
        <v>20.641864796785601</v>
      </c>
      <c r="AL1367" s="2">
        <v>20.478877053825698</v>
      </c>
      <c r="AM1367" s="2">
        <v>20.653005200352801</v>
      </c>
      <c r="AN1367" s="2">
        <v>20.5645641292849</v>
      </c>
      <c r="AO1367" s="2">
        <v>20.6290801005131</v>
      </c>
      <c r="AP1367" s="2">
        <v>20.565395281985101</v>
      </c>
      <c r="AQ1367" s="2">
        <v>20.626735534709599</v>
      </c>
      <c r="AR1367" s="2">
        <v>20.487714769367599</v>
      </c>
      <c r="AS1367" s="2">
        <v>19.113510826391401</v>
      </c>
      <c r="AT1367" s="2">
        <v>20.834515784762299</v>
      </c>
      <c r="AU1367" s="2">
        <v>20.7526376608843</v>
      </c>
      <c r="AV1367" s="2">
        <v>19.494401409779599</v>
      </c>
      <c r="AW1367" s="2">
        <v>21.3587418686595</v>
      </c>
      <c r="AX1367" s="2">
        <v>19.139366637159601</v>
      </c>
      <c r="AY1367" s="2">
        <v>19.7260990232209</v>
      </c>
      <c r="AZ1367" s="2">
        <v>18.808708543090599</v>
      </c>
      <c r="BA1367" s="2">
        <v>21.237932144173001</v>
      </c>
      <c r="BB1367" s="2">
        <v>20.5687137768961</v>
      </c>
      <c r="BC1367" s="2">
        <v>20.733343308854401</v>
      </c>
      <c r="BD1367" s="2">
        <v>20.683155910489699</v>
      </c>
      <c r="BE1367" s="2">
        <v>19.703366966713901</v>
      </c>
      <c r="BF1367" s="2">
        <v>20.166245013728599</v>
      </c>
      <c r="BG1367" s="2">
        <v>20.185758685856399</v>
      </c>
      <c r="BH1367" s="2">
        <v>20.426793336686298</v>
      </c>
      <c r="BI1367" s="2">
        <v>20.005030627104698</v>
      </c>
      <c r="BJ1367" s="2">
        <v>22.1028058743141</v>
      </c>
      <c r="BK1367" s="2">
        <v>21.1370735781109</v>
      </c>
      <c r="BL1367" s="2">
        <v>20.536247073376799</v>
      </c>
      <c r="BM1367" s="2">
        <v>20.152810242232299</v>
      </c>
      <c r="BN1367" s="2">
        <v>21.309317315729601</v>
      </c>
      <c r="BO1367" s="2">
        <v>21.157834884829999</v>
      </c>
      <c r="BP1367" s="2">
        <v>17.387185679236399</v>
      </c>
      <c r="BQ1367" s="2">
        <v>20.6883298020356</v>
      </c>
      <c r="BR1367" s="2">
        <v>19.668806022411101</v>
      </c>
      <c r="BS1367" s="2">
        <v>19.909148366353701</v>
      </c>
      <c r="BT1367" s="2">
        <v>21.576935127791302</v>
      </c>
      <c r="BU1367" s="2">
        <v>21.003975489388001</v>
      </c>
      <c r="BV1367" s="2">
        <v>20.536806864907099</v>
      </c>
      <c r="BW1367" s="2">
        <v>19.037790210220699</v>
      </c>
      <c r="BX1367" s="2">
        <v>20.839948603617199</v>
      </c>
      <c r="BY1367" s="2">
        <v>19.812307531098298</v>
      </c>
      <c r="BZ1367" s="2">
        <v>18.728914271071599</v>
      </c>
      <c r="CA1367" s="2">
        <v>20.113184685355598</v>
      </c>
      <c r="CB1367" s="2">
        <v>18.769723288754399</v>
      </c>
      <c r="CC1367" s="2">
        <v>20.807744961359798</v>
      </c>
      <c r="CD1367" s="2">
        <v>20.951454119508401</v>
      </c>
      <c r="CE1367" s="2">
        <v>21.014095987949599</v>
      </c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</row>
    <row r="1368" spans="1:97">
      <c r="A1368" s="2" t="s">
        <v>12301</v>
      </c>
      <c r="B1368" s="2">
        <v>474.30009999999999</v>
      </c>
      <c r="C1368" s="2">
        <v>8.7959999999999994</v>
      </c>
      <c r="D1368" s="2" t="s">
        <v>146</v>
      </c>
      <c r="E1368" s="2" t="s">
        <v>12302</v>
      </c>
      <c r="F1368" s="2"/>
      <c r="G1368" s="2">
        <v>595331</v>
      </c>
      <c r="H1368" s="3" t="str">
        <f>HYPERLINK("https://cloud.oebiotech.com/#/lm/network/595331", "https://cloud.oebiotech.com/#/lm/network/595331")</f>
        <v>https://cloud.oebiotech.com/#/lm/network/595331</v>
      </c>
      <c r="I1368" s="2"/>
      <c r="J1368" s="2"/>
      <c r="K1368" s="2"/>
      <c r="L1368" s="2">
        <v>156962394</v>
      </c>
      <c r="M1368" s="2"/>
      <c r="N1368" s="2"/>
      <c r="O1368" s="2"/>
      <c r="P1368" s="2"/>
      <c r="Q1368" s="2"/>
      <c r="R1368" s="2"/>
      <c r="S1368" s="2"/>
      <c r="T1368" s="2" t="s">
        <v>12303</v>
      </c>
      <c r="U1368" s="2" t="s">
        <v>12304</v>
      </c>
      <c r="V1368" s="2" t="s">
        <v>95</v>
      </c>
      <c r="W1368" s="2" t="s">
        <v>96</v>
      </c>
      <c r="X1368" s="2" t="s">
        <v>97</v>
      </c>
      <c r="Y1368" s="2" t="s">
        <v>98</v>
      </c>
      <c r="Z1368" s="2" t="s">
        <v>99</v>
      </c>
      <c r="AA1368" s="2" t="s">
        <v>100</v>
      </c>
      <c r="AB1368" s="2" t="s">
        <v>5118</v>
      </c>
      <c r="AC1368" s="2">
        <v>45.62</v>
      </c>
      <c r="AD1368" s="2">
        <v>78.5</v>
      </c>
      <c r="AE1368" s="2">
        <v>67.62</v>
      </c>
      <c r="AF1368" s="2" t="s">
        <v>12305</v>
      </c>
      <c r="AG1368" s="2" t="s">
        <v>4062</v>
      </c>
      <c r="AH1368" s="2" t="s">
        <v>3416</v>
      </c>
      <c r="AI1368" s="2">
        <v>-1.9</v>
      </c>
      <c r="AJ1368" s="2">
        <v>22.1950641160274</v>
      </c>
      <c r="AK1368" s="2">
        <v>22.179289574288099</v>
      </c>
      <c r="AL1368" s="2">
        <v>22.088475757183499</v>
      </c>
      <c r="AM1368" s="2">
        <v>22.1570705391897</v>
      </c>
      <c r="AN1368" s="2">
        <v>21.992862459867201</v>
      </c>
      <c r="AO1368" s="2">
        <v>21.980483621138301</v>
      </c>
      <c r="AP1368" s="2">
        <v>21.887173795793501</v>
      </c>
      <c r="AQ1368" s="2">
        <v>21.9559020831468</v>
      </c>
      <c r="AR1368" s="2">
        <v>22.151050834287702</v>
      </c>
      <c r="AS1368" s="2">
        <v>21.740470467367501</v>
      </c>
      <c r="AT1368" s="2">
        <v>22.131643565774802</v>
      </c>
      <c r="AU1368" s="2">
        <v>22.012842939940001</v>
      </c>
      <c r="AV1368" s="2">
        <v>22.065848076713799</v>
      </c>
      <c r="AW1368" s="2">
        <v>22.381887505223201</v>
      </c>
      <c r="AX1368" s="2">
        <v>21.9650092548906</v>
      </c>
      <c r="AY1368" s="2">
        <v>22.178635405804101</v>
      </c>
      <c r="AZ1368" s="2">
        <v>22.1516899220453</v>
      </c>
      <c r="BA1368" s="2">
        <v>21.9403495536577</v>
      </c>
      <c r="BB1368" s="2">
        <v>22.1518576761611</v>
      </c>
      <c r="BC1368" s="2">
        <v>22.059176042075201</v>
      </c>
      <c r="BD1368" s="2">
        <v>22.036257334606901</v>
      </c>
      <c r="BE1368" s="2">
        <v>22.062385593503599</v>
      </c>
      <c r="BF1368" s="2">
        <v>22.033033651280899</v>
      </c>
      <c r="BG1368" s="2">
        <v>22.044111941822301</v>
      </c>
      <c r="BH1368" s="2">
        <v>21.9191888952912</v>
      </c>
      <c r="BI1368" s="2">
        <v>21.979426364165601</v>
      </c>
      <c r="BJ1368" s="2">
        <v>21.975903283398299</v>
      </c>
      <c r="BK1368" s="2">
        <v>22.074502502365998</v>
      </c>
      <c r="BL1368" s="2">
        <v>21.9233153662273</v>
      </c>
      <c r="BM1368" s="2">
        <v>22.163365777425302</v>
      </c>
      <c r="BN1368" s="2">
        <v>21.910882355886098</v>
      </c>
      <c r="BO1368" s="2">
        <v>21.995155299406601</v>
      </c>
      <c r="BP1368" s="2">
        <v>21.638968075316601</v>
      </c>
      <c r="BQ1368" s="2">
        <v>22.039506451757202</v>
      </c>
      <c r="BR1368" s="2">
        <v>21.768452431734399</v>
      </c>
      <c r="BS1368" s="2">
        <v>21.639905029913798</v>
      </c>
      <c r="BT1368" s="2">
        <v>21.874957584767198</v>
      </c>
      <c r="BU1368" s="2">
        <v>21.870154745531998</v>
      </c>
      <c r="BV1368" s="2">
        <v>21.990066697965698</v>
      </c>
      <c r="BW1368" s="2">
        <v>21.9163239066472</v>
      </c>
      <c r="BX1368" s="2">
        <v>21.830804459105799</v>
      </c>
      <c r="BY1368" s="2">
        <v>21.836088578565199</v>
      </c>
      <c r="BZ1368" s="2">
        <v>22.038979103234901</v>
      </c>
      <c r="CA1368" s="2">
        <v>21.8965891619792</v>
      </c>
      <c r="CB1368" s="2">
        <v>21.7465256175714</v>
      </c>
      <c r="CC1368" s="2">
        <v>22.0341942724354</v>
      </c>
      <c r="CD1368" s="2">
        <v>21.875247746520301</v>
      </c>
      <c r="CE1368" s="2">
        <v>21.875824191173599</v>
      </c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</row>
    <row r="1369" spans="1:97">
      <c r="A1369" s="2" t="s">
        <v>12306</v>
      </c>
      <c r="B1369" s="2">
        <v>144.99178000000001</v>
      </c>
      <c r="C1369" s="2">
        <v>0.58299999999999996</v>
      </c>
      <c r="D1369" s="2" t="s">
        <v>84</v>
      </c>
      <c r="E1369" s="2" t="s">
        <v>12307</v>
      </c>
      <c r="F1369" s="2" t="s">
        <v>12308</v>
      </c>
      <c r="G1369" s="2">
        <v>58774</v>
      </c>
      <c r="H1369" s="3" t="str">
        <f>HYPERLINK("https://cloud.oebiotech.com/#/lm/network/58774", "https://cloud.oebiotech.com/#/lm/network/58774")</f>
        <v>https://cloud.oebiotech.com/#/lm/network/58774</v>
      </c>
      <c r="I1369" s="2" t="s">
        <v>12309</v>
      </c>
      <c r="J1369" s="2">
        <v>90227</v>
      </c>
      <c r="K1369" s="2"/>
      <c r="L1369" s="2">
        <v>82157</v>
      </c>
      <c r="M1369" s="2"/>
      <c r="N1369" s="2"/>
      <c r="O1369" s="2"/>
      <c r="P1369" s="2"/>
      <c r="Q1369" s="2"/>
      <c r="R1369" s="2"/>
      <c r="S1369" s="2" t="s">
        <v>12310</v>
      </c>
      <c r="T1369" s="2" t="s">
        <v>12311</v>
      </c>
      <c r="U1369" s="2" t="s">
        <v>12312</v>
      </c>
      <c r="V1369" s="2" t="s">
        <v>2756</v>
      </c>
      <c r="W1369" s="2" t="s">
        <v>2757</v>
      </c>
      <c r="X1369" s="2" t="s">
        <v>9870</v>
      </c>
      <c r="Y1369" s="2" t="s">
        <v>2759</v>
      </c>
      <c r="Z1369" s="2" t="s">
        <v>2760</v>
      </c>
      <c r="AA1369" s="2" t="s">
        <v>9871</v>
      </c>
      <c r="AB1369" s="2" t="s">
        <v>8443</v>
      </c>
      <c r="AC1369" s="2">
        <v>45.59</v>
      </c>
      <c r="AD1369" s="2">
        <v>96.11</v>
      </c>
      <c r="AE1369" s="2">
        <v>0</v>
      </c>
      <c r="AF1369" s="2" t="s">
        <v>5614</v>
      </c>
      <c r="AG1369" s="2" t="s">
        <v>132</v>
      </c>
      <c r="AH1369" s="2" t="s">
        <v>12313</v>
      </c>
      <c r="AI1369" s="2">
        <v>-2.76</v>
      </c>
      <c r="AJ1369" s="2">
        <v>22.9011823386972</v>
      </c>
      <c r="AK1369" s="2">
        <v>22.525660701224101</v>
      </c>
      <c r="AL1369" s="2">
        <v>22.751532260472398</v>
      </c>
      <c r="AM1369" s="2">
        <v>22.727735697282402</v>
      </c>
      <c r="AN1369" s="2">
        <v>22.734445982681802</v>
      </c>
      <c r="AO1369" s="2">
        <v>22.788962534805599</v>
      </c>
      <c r="AP1369" s="2">
        <v>22.553946393407301</v>
      </c>
      <c r="AQ1369" s="2">
        <v>22.6215734556028</v>
      </c>
      <c r="AR1369" s="2">
        <v>22.491026587093799</v>
      </c>
      <c r="AS1369" s="2">
        <v>22.358025902237198</v>
      </c>
      <c r="AT1369" s="2">
        <v>22.443107084378401</v>
      </c>
      <c r="AU1369" s="2">
        <v>22.2326330109649</v>
      </c>
      <c r="AV1369" s="2">
        <v>22.4633615544127</v>
      </c>
      <c r="AW1369" s="2">
        <v>22.339156089441101</v>
      </c>
      <c r="AX1369" s="2">
        <v>22.375460345010602</v>
      </c>
      <c r="AY1369" s="2">
        <v>22.251547279561699</v>
      </c>
      <c r="AZ1369" s="2">
        <v>22.393414633444898</v>
      </c>
      <c r="BA1369" s="2">
        <v>22.5287696080952</v>
      </c>
      <c r="BB1369" s="2">
        <v>22.632410665579801</v>
      </c>
      <c r="BC1369" s="2">
        <v>22.398769583823899</v>
      </c>
      <c r="BD1369" s="2">
        <v>22.551335399456502</v>
      </c>
      <c r="BE1369" s="2">
        <v>22.5824014021387</v>
      </c>
      <c r="BF1369" s="2">
        <v>22.734526755778401</v>
      </c>
      <c r="BG1369" s="2">
        <v>22.343909272472398</v>
      </c>
      <c r="BH1369" s="2">
        <v>22.6879053906992</v>
      </c>
      <c r="BI1369" s="2">
        <v>22.171518740900598</v>
      </c>
      <c r="BJ1369" s="2">
        <v>22.608026122286802</v>
      </c>
      <c r="BK1369" s="2">
        <v>22.459518002623899</v>
      </c>
      <c r="BL1369" s="2">
        <v>22.452478071029301</v>
      </c>
      <c r="BM1369" s="2">
        <v>22.589282470177402</v>
      </c>
      <c r="BN1369" s="2">
        <v>22.8188241829615</v>
      </c>
      <c r="BO1369" s="2">
        <v>22.190837596902998</v>
      </c>
      <c r="BP1369" s="2">
        <v>22.3014017398691</v>
      </c>
      <c r="BQ1369" s="2">
        <v>22.3871668744241</v>
      </c>
      <c r="BR1369" s="2">
        <v>22.2900835392673</v>
      </c>
      <c r="BS1369" s="2">
        <v>22.542828445814902</v>
      </c>
      <c r="BT1369" s="2">
        <v>22.573388605838701</v>
      </c>
      <c r="BU1369" s="2">
        <v>22.5505009168944</v>
      </c>
      <c r="BV1369" s="2">
        <v>22.632739561802399</v>
      </c>
      <c r="BW1369" s="2">
        <v>22.603671159591201</v>
      </c>
      <c r="BX1369" s="2">
        <v>22.252440412425301</v>
      </c>
      <c r="BY1369" s="2">
        <v>22.759095083269798</v>
      </c>
      <c r="BZ1369" s="2">
        <v>22.8508166481794</v>
      </c>
      <c r="CA1369" s="2">
        <v>22.339019387759802</v>
      </c>
      <c r="CB1369" s="2">
        <v>22.627796694483301</v>
      </c>
      <c r="CC1369" s="2">
        <v>22.516632184997199</v>
      </c>
      <c r="CD1369" s="2">
        <v>22.573632728816801</v>
      </c>
      <c r="CE1369" s="2">
        <v>22.639200131608099</v>
      </c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</row>
    <row r="1370" spans="1:97">
      <c r="A1370" s="2" t="s">
        <v>12314</v>
      </c>
      <c r="B1370" s="2">
        <v>291.06571000000002</v>
      </c>
      <c r="C1370" s="2">
        <v>9.3170000000000002</v>
      </c>
      <c r="D1370" s="2" t="s">
        <v>146</v>
      </c>
      <c r="E1370" s="2" t="s">
        <v>12315</v>
      </c>
      <c r="F1370" s="2" t="s">
        <v>12316</v>
      </c>
      <c r="G1370" s="2">
        <v>30104</v>
      </c>
      <c r="H1370" s="3" t="str">
        <f>HYPERLINK("https://cloud.oebiotech.com/#/lm/network/30104", "https://cloud.oebiotech.com/#/lm/network/30104")</f>
        <v>https://cloud.oebiotech.com/#/lm/network/30104</v>
      </c>
      <c r="I1370" s="2"/>
      <c r="J1370" s="2">
        <v>48447</v>
      </c>
      <c r="K1370" s="2" t="s">
        <v>12317</v>
      </c>
      <c r="L1370" s="2">
        <v>44257567</v>
      </c>
      <c r="M1370" s="2"/>
      <c r="N1370" s="2"/>
      <c r="O1370" s="2"/>
      <c r="P1370" s="2"/>
      <c r="Q1370" s="2"/>
      <c r="R1370" s="2"/>
      <c r="S1370" s="2"/>
      <c r="T1370" s="2" t="s">
        <v>12318</v>
      </c>
      <c r="U1370" s="2" t="s">
        <v>12319</v>
      </c>
      <c r="V1370" s="2" t="s">
        <v>845</v>
      </c>
      <c r="W1370" s="2" t="s">
        <v>1853</v>
      </c>
      <c r="X1370" s="2" t="s">
        <v>11996</v>
      </c>
      <c r="Y1370" s="2" t="s">
        <v>847</v>
      </c>
      <c r="Z1370" s="2" t="s">
        <v>1855</v>
      </c>
      <c r="AA1370" s="2" t="s">
        <v>11997</v>
      </c>
      <c r="AB1370" s="2" t="s">
        <v>8443</v>
      </c>
      <c r="AC1370" s="2">
        <v>45.59</v>
      </c>
      <c r="AD1370" s="2">
        <v>88.25</v>
      </c>
      <c r="AE1370" s="2">
        <v>0</v>
      </c>
      <c r="AF1370" s="2" t="s">
        <v>12320</v>
      </c>
      <c r="AG1370" s="2" t="s">
        <v>194</v>
      </c>
      <c r="AH1370" s="2" t="s">
        <v>12321</v>
      </c>
      <c r="AI1370" s="2">
        <v>2.06</v>
      </c>
      <c r="AJ1370" s="2">
        <v>17.244630859147101</v>
      </c>
      <c r="AK1370" s="2">
        <v>17.412682552952798</v>
      </c>
      <c r="AL1370" s="2">
        <v>17.809777045060599</v>
      </c>
      <c r="AM1370" s="2">
        <v>17.838154620263499</v>
      </c>
      <c r="AN1370" s="2">
        <v>17.464503712594901</v>
      </c>
      <c r="AO1370" s="2">
        <v>17.869515287089602</v>
      </c>
      <c r="AP1370" s="2">
        <v>17.4318587061912</v>
      </c>
      <c r="AQ1370" s="2">
        <v>17.621459395314702</v>
      </c>
      <c r="AR1370" s="2">
        <v>18.476745689821101</v>
      </c>
      <c r="AS1370" s="2">
        <v>17.751000867202801</v>
      </c>
      <c r="AT1370" s="2">
        <v>14.1836028181265</v>
      </c>
      <c r="AU1370" s="2">
        <v>16.067137690373499</v>
      </c>
      <c r="AV1370" s="2">
        <v>16.496064197508499</v>
      </c>
      <c r="AW1370" s="2">
        <v>16.328955887544701</v>
      </c>
      <c r="AX1370" s="2">
        <v>9.6233145402724691</v>
      </c>
      <c r="AY1370" s="2">
        <v>18.082704740817</v>
      </c>
      <c r="AZ1370" s="2">
        <v>19.180377127235499</v>
      </c>
      <c r="BA1370" s="2">
        <v>15.2602598378294</v>
      </c>
      <c r="BB1370" s="2">
        <v>17.805465909974899</v>
      </c>
      <c r="BC1370" s="2">
        <v>19.0941341687417</v>
      </c>
      <c r="BD1370" s="2">
        <v>17.899599849765099</v>
      </c>
      <c r="BE1370" s="2">
        <v>17.405272703448901</v>
      </c>
      <c r="BF1370" s="2">
        <v>16.134609613635099</v>
      </c>
      <c r="BG1370" s="2">
        <v>15.509156741856</v>
      </c>
      <c r="BH1370" s="2">
        <v>16.525496798642401</v>
      </c>
      <c r="BI1370" s="2">
        <v>16.8424160283502</v>
      </c>
      <c r="BJ1370" s="2">
        <v>17.808257016228499</v>
      </c>
      <c r="BK1370" s="2">
        <v>14.330188626190401</v>
      </c>
      <c r="BL1370" s="2">
        <v>17.547100126912898</v>
      </c>
      <c r="BM1370" s="2">
        <v>18.208757848160801</v>
      </c>
      <c r="BN1370" s="2">
        <v>13.695104290965901</v>
      </c>
      <c r="BO1370" s="2">
        <v>16.307488294700399</v>
      </c>
      <c r="BP1370" s="2">
        <v>15.717859264937299</v>
      </c>
      <c r="BQ1370" s="2">
        <v>17.4802079166551</v>
      </c>
      <c r="BR1370" s="2">
        <v>21.216970788186401</v>
      </c>
      <c r="BS1370" s="2">
        <v>18.652204340834</v>
      </c>
      <c r="BT1370" s="2">
        <v>17.639159583088599</v>
      </c>
      <c r="BU1370" s="2">
        <v>14.0891409206322</v>
      </c>
      <c r="BV1370" s="2">
        <v>16.794989712914902</v>
      </c>
      <c r="BW1370" s="2">
        <v>17.2373074469511</v>
      </c>
      <c r="BX1370" s="2">
        <v>17.296036742826399</v>
      </c>
      <c r="BY1370" s="2">
        <v>16.953469416935999</v>
      </c>
      <c r="BZ1370" s="2">
        <v>16.313501844455601</v>
      </c>
      <c r="CA1370" s="2">
        <v>17.4687600527668</v>
      </c>
      <c r="CB1370" s="2">
        <v>17.042940744936999</v>
      </c>
      <c r="CC1370" s="2">
        <v>17.679366147388201</v>
      </c>
      <c r="CD1370" s="2">
        <v>16.917651089782801</v>
      </c>
      <c r="CE1370" s="2">
        <v>15.012876342590699</v>
      </c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</row>
    <row r="1371" spans="1:97">
      <c r="A1371" s="2" t="s">
        <v>12322</v>
      </c>
      <c r="B1371" s="2">
        <v>600.32416999999998</v>
      </c>
      <c r="C1371" s="2">
        <v>11.09</v>
      </c>
      <c r="D1371" s="2" t="s">
        <v>84</v>
      </c>
      <c r="E1371" s="2" t="s">
        <v>12323</v>
      </c>
      <c r="F1371" s="2" t="s">
        <v>12324</v>
      </c>
      <c r="G1371" s="2">
        <v>27910</v>
      </c>
      <c r="H1371" s="3" t="str">
        <f>HYPERLINK("https://cloud.oebiotech.com/#/lm/network/27910", "https://cloud.oebiotech.com/#/lm/network/27910")</f>
        <v>https://cloud.oebiotech.com/#/lm/network/27910</v>
      </c>
      <c r="I1371" s="2"/>
      <c r="J1371" s="2"/>
      <c r="K1371" s="2" t="s">
        <v>12325</v>
      </c>
      <c r="L1371" s="2">
        <v>134812367</v>
      </c>
      <c r="M1371" s="2"/>
      <c r="N1371" s="2"/>
      <c r="O1371" s="2"/>
      <c r="P1371" s="2"/>
      <c r="Q1371" s="2"/>
      <c r="R1371" s="2"/>
      <c r="S1371" s="2"/>
      <c r="T1371" s="2" t="s">
        <v>12326</v>
      </c>
      <c r="U1371" s="2" t="s">
        <v>12327</v>
      </c>
      <c r="V1371" s="2" t="s">
        <v>95</v>
      </c>
      <c r="W1371" s="2" t="s">
        <v>202</v>
      </c>
      <c r="X1371" s="2" t="s">
        <v>327</v>
      </c>
      <c r="Y1371" s="2" t="s">
        <v>98</v>
      </c>
      <c r="Z1371" s="2" t="s">
        <v>204</v>
      </c>
      <c r="AA1371" s="2" t="s">
        <v>328</v>
      </c>
      <c r="AB1371" s="2" t="s">
        <v>3086</v>
      </c>
      <c r="AC1371" s="2">
        <v>45.59</v>
      </c>
      <c r="AD1371" s="2">
        <v>75.02</v>
      </c>
      <c r="AE1371" s="2">
        <v>0</v>
      </c>
      <c r="AF1371" s="2" t="s">
        <v>5614</v>
      </c>
      <c r="AG1371" s="2" t="s">
        <v>1578</v>
      </c>
      <c r="AH1371" s="2" t="s">
        <v>12328</v>
      </c>
      <c r="AI1371" s="2">
        <v>5</v>
      </c>
      <c r="AJ1371" s="2">
        <v>18.5913639733465</v>
      </c>
      <c r="AK1371" s="2">
        <v>17.943133536007899</v>
      </c>
      <c r="AL1371" s="2">
        <v>18.255100003664801</v>
      </c>
      <c r="AM1371" s="2">
        <v>18.417666134964101</v>
      </c>
      <c r="AN1371" s="2">
        <v>18.508616860002501</v>
      </c>
      <c r="AO1371" s="2">
        <v>17.793544317593899</v>
      </c>
      <c r="AP1371" s="2">
        <v>17.9029376742292</v>
      </c>
      <c r="AQ1371" s="2">
        <v>18.353504042692698</v>
      </c>
      <c r="AR1371" s="2">
        <v>18.9714474268355</v>
      </c>
      <c r="AS1371" s="2">
        <v>17.150733297333101</v>
      </c>
      <c r="AT1371" s="2">
        <v>17.455688025555901</v>
      </c>
      <c r="AU1371" s="2">
        <v>17.348228649396301</v>
      </c>
      <c r="AV1371" s="2">
        <v>17.691170585057201</v>
      </c>
      <c r="AW1371" s="2">
        <v>17.579668759489302</v>
      </c>
      <c r="AX1371" s="2">
        <v>18.239493972208201</v>
      </c>
      <c r="AY1371" s="2">
        <v>18.0821091658065</v>
      </c>
      <c r="AZ1371" s="2">
        <v>18.769814055439198</v>
      </c>
      <c r="BA1371" s="2">
        <v>14.9668582417937</v>
      </c>
      <c r="BB1371" s="2">
        <v>18.192208038232899</v>
      </c>
      <c r="BC1371" s="2">
        <v>18.525689215131699</v>
      </c>
      <c r="BD1371" s="2">
        <v>17.521473845653901</v>
      </c>
      <c r="BE1371" s="2">
        <v>18.913282834129401</v>
      </c>
      <c r="BF1371" s="2">
        <v>17.176681864249499</v>
      </c>
      <c r="BG1371" s="2">
        <v>18.497629594538001</v>
      </c>
      <c r="BH1371" s="2">
        <v>18.171436555953999</v>
      </c>
      <c r="BI1371" s="2">
        <v>9.6233145402724691</v>
      </c>
      <c r="BJ1371" s="2">
        <v>16.560754951837701</v>
      </c>
      <c r="BK1371" s="2">
        <v>9.6233145402724691</v>
      </c>
      <c r="BL1371" s="2">
        <v>17.424433520960498</v>
      </c>
      <c r="BM1371" s="2">
        <v>18.091169340101999</v>
      </c>
      <c r="BN1371" s="2">
        <v>17.3642193137112</v>
      </c>
      <c r="BO1371" s="2">
        <v>18.3971430241454</v>
      </c>
      <c r="BP1371" s="2">
        <v>18.483113211706499</v>
      </c>
      <c r="BQ1371" s="2">
        <v>17.668316196200401</v>
      </c>
      <c r="BR1371" s="2">
        <v>17.790750405662301</v>
      </c>
      <c r="BS1371" s="2">
        <v>18.5236415863132</v>
      </c>
      <c r="BT1371" s="2">
        <v>18.028465014629401</v>
      </c>
      <c r="BU1371" s="2">
        <v>16.540692616280399</v>
      </c>
      <c r="BV1371" s="2">
        <v>17.713509491070099</v>
      </c>
      <c r="BW1371" s="2">
        <v>9.6233145402724691</v>
      </c>
      <c r="BX1371" s="2">
        <v>17.775714950536599</v>
      </c>
      <c r="BY1371" s="2">
        <v>19.288292632009298</v>
      </c>
      <c r="BZ1371" s="2">
        <v>17.492600549319199</v>
      </c>
      <c r="CA1371" s="2">
        <v>18.457643792955501</v>
      </c>
      <c r="CB1371" s="2">
        <v>17.774832220313399</v>
      </c>
      <c r="CC1371" s="2">
        <v>9.6233145402724691</v>
      </c>
      <c r="CD1371" s="2">
        <v>17.9528657807139</v>
      </c>
      <c r="CE1371" s="2">
        <v>9.6233145402724691</v>
      </c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</row>
    <row r="1372" spans="1:97">
      <c r="A1372" s="2" t="s">
        <v>12329</v>
      </c>
      <c r="B1372" s="2">
        <v>192.02265</v>
      </c>
      <c r="C1372" s="2">
        <v>1.004</v>
      </c>
      <c r="D1372" s="2" t="s">
        <v>146</v>
      </c>
      <c r="E1372" s="2" t="s">
        <v>12330</v>
      </c>
      <c r="F1372" s="2" t="s">
        <v>12331</v>
      </c>
      <c r="G1372" s="2">
        <v>83458</v>
      </c>
      <c r="H1372" s="3" t="str">
        <f>HYPERLINK("https://cloud.oebiotech.com/#/lm/network/83458", "https://cloud.oebiotech.com/#/lm/network/83458")</f>
        <v>https://cloud.oebiotech.com/#/lm/network/83458</v>
      </c>
      <c r="I1372" s="2" t="s">
        <v>12332</v>
      </c>
      <c r="J1372" s="2">
        <v>70322</v>
      </c>
      <c r="K1372" s="2"/>
      <c r="L1372" s="2">
        <v>30767</v>
      </c>
      <c r="M1372" s="2" t="s">
        <v>12333</v>
      </c>
      <c r="N1372" s="2" t="s">
        <v>8437</v>
      </c>
      <c r="O1372" s="2" t="s">
        <v>8438</v>
      </c>
      <c r="P1372" s="2"/>
      <c r="Q1372" s="2"/>
      <c r="R1372" s="2"/>
      <c r="S1372" s="2" t="s">
        <v>12334</v>
      </c>
      <c r="T1372" s="2" t="s">
        <v>12335</v>
      </c>
      <c r="U1372" s="2" t="s">
        <v>12336</v>
      </c>
      <c r="V1372" s="2" t="s">
        <v>385</v>
      </c>
      <c r="W1372" s="2" t="s">
        <v>4381</v>
      </c>
      <c r="X1372" s="2" t="s">
        <v>375</v>
      </c>
      <c r="Y1372" s="2" t="s">
        <v>388</v>
      </c>
      <c r="Z1372" s="2" t="s">
        <v>4382</v>
      </c>
      <c r="AA1372" s="2"/>
      <c r="AB1372" s="2" t="s">
        <v>5118</v>
      </c>
      <c r="AC1372" s="2">
        <v>45.58</v>
      </c>
      <c r="AD1372" s="2">
        <v>76.03</v>
      </c>
      <c r="AE1372" s="2">
        <v>71.58</v>
      </c>
      <c r="AF1372" s="2" t="s">
        <v>12337</v>
      </c>
      <c r="AG1372" s="2" t="s">
        <v>4062</v>
      </c>
      <c r="AH1372" s="2" t="s">
        <v>12338</v>
      </c>
      <c r="AI1372" s="2">
        <v>-2.08</v>
      </c>
      <c r="AJ1372" s="2">
        <v>24.061398760199701</v>
      </c>
      <c r="AK1372" s="2">
        <v>23.9169740709976</v>
      </c>
      <c r="AL1372" s="2">
        <v>24.078139723010899</v>
      </c>
      <c r="AM1372" s="2">
        <v>24.156053338665501</v>
      </c>
      <c r="AN1372" s="2">
        <v>24.1322898199838</v>
      </c>
      <c r="AO1372" s="2">
        <v>23.966619003773701</v>
      </c>
      <c r="AP1372" s="2">
        <v>24.158091594600101</v>
      </c>
      <c r="AQ1372" s="2">
        <v>23.9506076479672</v>
      </c>
      <c r="AR1372" s="2">
        <v>23.3936146381741</v>
      </c>
      <c r="AS1372" s="2">
        <v>22.939599454296001</v>
      </c>
      <c r="AT1372" s="2">
        <v>23.161856017237099</v>
      </c>
      <c r="AU1372" s="2">
        <v>23.461965565766899</v>
      </c>
      <c r="AV1372" s="2">
        <v>24.028626487038299</v>
      </c>
      <c r="AW1372" s="2">
        <v>23.870429942867499</v>
      </c>
      <c r="AX1372" s="2">
        <v>23.191960411011099</v>
      </c>
      <c r="AY1372" s="2">
        <v>23.6463727848733</v>
      </c>
      <c r="AZ1372" s="2">
        <v>23.711501807995401</v>
      </c>
      <c r="BA1372" s="2">
        <v>23.249295953308302</v>
      </c>
      <c r="BB1372" s="2">
        <v>23.933715662208702</v>
      </c>
      <c r="BC1372" s="2">
        <v>24.509019058470201</v>
      </c>
      <c r="BD1372" s="2">
        <v>23.995904159341801</v>
      </c>
      <c r="BE1372" s="2">
        <v>24.172402479104701</v>
      </c>
      <c r="BF1372" s="2">
        <v>23.945636690985602</v>
      </c>
      <c r="BG1372" s="2">
        <v>23.626370914649598</v>
      </c>
      <c r="BH1372" s="2">
        <v>23.925731304372601</v>
      </c>
      <c r="BI1372" s="2">
        <v>23.152824867289301</v>
      </c>
      <c r="BJ1372" s="2">
        <v>23.905350984608202</v>
      </c>
      <c r="BK1372" s="2">
        <v>23.399890665809099</v>
      </c>
      <c r="BL1372" s="2">
        <v>23.697673223586499</v>
      </c>
      <c r="BM1372" s="2">
        <v>24.4814855204331</v>
      </c>
      <c r="BN1372" s="2">
        <v>24.1538823351015</v>
      </c>
      <c r="BO1372" s="2">
        <v>23.172659143681301</v>
      </c>
      <c r="BP1372" s="2">
        <v>23.706228405808499</v>
      </c>
      <c r="BQ1372" s="2">
        <v>24.0117503044095</v>
      </c>
      <c r="BR1372" s="2">
        <v>23.098533540395099</v>
      </c>
      <c r="BS1372" s="2">
        <v>23.060982131897799</v>
      </c>
      <c r="BT1372" s="2">
        <v>22.883227249524101</v>
      </c>
      <c r="BU1372" s="2">
        <v>23.354101556132299</v>
      </c>
      <c r="BV1372" s="2">
        <v>23.939965793526799</v>
      </c>
      <c r="BW1372" s="2">
        <v>23.175947670812999</v>
      </c>
      <c r="BX1372" s="2">
        <v>23.994060950269098</v>
      </c>
      <c r="BY1372" s="2">
        <v>23.921452340177499</v>
      </c>
      <c r="BZ1372" s="2">
        <v>23.8012665110925</v>
      </c>
      <c r="CA1372" s="2">
        <v>22.941855896044999</v>
      </c>
      <c r="CB1372" s="2">
        <v>22.915847731515999</v>
      </c>
      <c r="CC1372" s="2">
        <v>23.791873051189</v>
      </c>
      <c r="CD1372" s="2">
        <v>23.8110998403019</v>
      </c>
      <c r="CE1372" s="2">
        <v>23.766567638177101</v>
      </c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</row>
    <row r="1373" spans="1:97">
      <c r="A1373" s="2" t="s">
        <v>12339</v>
      </c>
      <c r="B1373" s="2">
        <v>387.33033</v>
      </c>
      <c r="C1373" s="2">
        <v>10.029999999999999</v>
      </c>
      <c r="D1373" s="2" t="s">
        <v>146</v>
      </c>
      <c r="E1373" s="2" t="s">
        <v>12340</v>
      </c>
      <c r="F1373" s="2" t="s">
        <v>12341</v>
      </c>
      <c r="G1373" s="2">
        <v>59973</v>
      </c>
      <c r="H1373" s="3" t="str">
        <f>HYPERLINK("https://cloud.oebiotech.com/#/lm/network/59973", "https://cloud.oebiotech.com/#/lm/network/59973")</f>
        <v>https://cloud.oebiotech.com/#/lm/network/59973</v>
      </c>
      <c r="I1373" s="2" t="s">
        <v>12342</v>
      </c>
      <c r="J1373" s="2">
        <v>91333</v>
      </c>
      <c r="K1373" s="2"/>
      <c r="L1373" s="2">
        <v>62126</v>
      </c>
      <c r="M1373" s="2"/>
      <c r="N1373" s="2"/>
      <c r="O1373" s="2"/>
      <c r="P1373" s="2"/>
      <c r="Q1373" s="2"/>
      <c r="R1373" s="2"/>
      <c r="S1373" s="2" t="s">
        <v>12343</v>
      </c>
      <c r="T1373" s="2" t="s">
        <v>12344</v>
      </c>
      <c r="U1373" s="2" t="s">
        <v>12345</v>
      </c>
      <c r="V1373" s="2" t="s">
        <v>95</v>
      </c>
      <c r="W1373" s="2" t="s">
        <v>180</v>
      </c>
      <c r="X1373" s="2" t="s">
        <v>181</v>
      </c>
      <c r="Y1373" s="2" t="s">
        <v>98</v>
      </c>
      <c r="Z1373" s="2" t="s">
        <v>182</v>
      </c>
      <c r="AA1373" s="2" t="s">
        <v>183</v>
      </c>
      <c r="AB1373" s="2" t="s">
        <v>3086</v>
      </c>
      <c r="AC1373" s="2">
        <v>45.58</v>
      </c>
      <c r="AD1373" s="2">
        <v>83</v>
      </c>
      <c r="AE1373" s="2">
        <v>0</v>
      </c>
      <c r="AF1373" s="2" t="s">
        <v>5614</v>
      </c>
      <c r="AG1373" s="2" t="s">
        <v>3880</v>
      </c>
      <c r="AH1373" s="2" t="s">
        <v>4029</v>
      </c>
      <c r="AI1373" s="2">
        <v>-9.0399999999999991</v>
      </c>
      <c r="AJ1373" s="2">
        <v>17.394549443955999</v>
      </c>
      <c r="AK1373" s="2">
        <v>17.428266271454401</v>
      </c>
      <c r="AL1373" s="2">
        <v>17.457615499951</v>
      </c>
      <c r="AM1373" s="2">
        <v>17.336032888542199</v>
      </c>
      <c r="AN1373" s="2">
        <v>17.124566530593299</v>
      </c>
      <c r="AO1373" s="2">
        <v>17.424020922619398</v>
      </c>
      <c r="AP1373" s="2">
        <v>17.226447285045801</v>
      </c>
      <c r="AQ1373" s="2">
        <v>17.291985169655799</v>
      </c>
      <c r="AR1373" s="2">
        <v>17.398252190226302</v>
      </c>
      <c r="AS1373" s="2">
        <v>17.402768851297399</v>
      </c>
      <c r="AT1373" s="2">
        <v>17.271052433157799</v>
      </c>
      <c r="AU1373" s="2">
        <v>17.656831862737999</v>
      </c>
      <c r="AV1373" s="2">
        <v>16.8100048328421</v>
      </c>
      <c r="AW1373" s="2">
        <v>17.417484593263499</v>
      </c>
      <c r="AX1373" s="2">
        <v>17.276771436866401</v>
      </c>
      <c r="AY1373" s="2">
        <v>17.320273118681499</v>
      </c>
      <c r="AZ1373" s="2">
        <v>17.186280345012801</v>
      </c>
      <c r="BA1373" s="2">
        <v>17.4090194407488</v>
      </c>
      <c r="BB1373" s="2">
        <v>17.277812348682399</v>
      </c>
      <c r="BC1373" s="2">
        <v>16.794109433732402</v>
      </c>
      <c r="BD1373" s="2">
        <v>17.266439584687799</v>
      </c>
      <c r="BE1373" s="2">
        <v>17.232689608604002</v>
      </c>
      <c r="BF1373" s="2">
        <v>16.460683059377001</v>
      </c>
      <c r="BG1373" s="2">
        <v>17.3026394592295</v>
      </c>
      <c r="BH1373" s="2">
        <v>17.3018363406856</v>
      </c>
      <c r="BI1373" s="2">
        <v>17.189564953863499</v>
      </c>
      <c r="BJ1373" s="2">
        <v>16.2075926325066</v>
      </c>
      <c r="BK1373" s="2">
        <v>16.8548766600371</v>
      </c>
      <c r="BL1373" s="2">
        <v>17.7263026565027</v>
      </c>
      <c r="BM1373" s="2">
        <v>17.107757943958699</v>
      </c>
      <c r="BN1373" s="2">
        <v>17.078267579896899</v>
      </c>
      <c r="BO1373" s="2">
        <v>17.142363974581698</v>
      </c>
      <c r="BP1373" s="2">
        <v>16.6938798935468</v>
      </c>
      <c r="BQ1373" s="2">
        <v>17.010567879104801</v>
      </c>
      <c r="BR1373" s="2">
        <v>16.586778961090101</v>
      </c>
      <c r="BS1373" s="2">
        <v>17.004570298519099</v>
      </c>
      <c r="BT1373" s="2">
        <v>17.3844545167943</v>
      </c>
      <c r="BU1373" s="2">
        <v>17.095457806909302</v>
      </c>
      <c r="BV1373" s="2">
        <v>17.073285110331302</v>
      </c>
      <c r="BW1373" s="2">
        <v>16.878399542664599</v>
      </c>
      <c r="BX1373" s="2">
        <v>17.367405877716699</v>
      </c>
      <c r="BY1373" s="2">
        <v>17.304691596976198</v>
      </c>
      <c r="BZ1373" s="2">
        <v>17.033276298286498</v>
      </c>
      <c r="CA1373" s="2">
        <v>17.189616975116699</v>
      </c>
      <c r="CB1373" s="2">
        <v>17.102719430364299</v>
      </c>
      <c r="CC1373" s="2">
        <v>17.2268861954317</v>
      </c>
      <c r="CD1373" s="2">
        <v>17.086107606425301</v>
      </c>
      <c r="CE1373" s="2">
        <v>17.476195596827701</v>
      </c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</row>
    <row r="1374" spans="1:97">
      <c r="A1374" s="2" t="s">
        <v>12346</v>
      </c>
      <c r="B1374" s="2">
        <v>151.09756999999999</v>
      </c>
      <c r="C1374" s="2">
        <v>15.204000000000001</v>
      </c>
      <c r="D1374" s="2" t="s">
        <v>84</v>
      </c>
      <c r="E1374" s="2" t="s">
        <v>12347</v>
      </c>
      <c r="F1374" s="2" t="s">
        <v>12348</v>
      </c>
      <c r="G1374" s="2">
        <v>200334</v>
      </c>
      <c r="H1374" s="3" t="str">
        <f>HYPERLINK("https://cloud.oebiotech.com/#/lm/network/200334", "https://cloud.oebiotech.com/#/lm/network/200334")</f>
        <v>https://cloud.oebiotech.com/#/lm/network/200334</v>
      </c>
      <c r="I1374" s="2" t="s">
        <v>12349</v>
      </c>
      <c r="J1374" s="2">
        <v>341715</v>
      </c>
      <c r="K1374" s="2"/>
      <c r="L1374" s="2">
        <v>13399</v>
      </c>
      <c r="M1374" s="2"/>
      <c r="N1374" s="2"/>
      <c r="O1374" s="2"/>
      <c r="P1374" s="2"/>
      <c r="Q1374" s="2"/>
      <c r="R1374" s="2"/>
      <c r="S1374" s="2"/>
      <c r="T1374" s="2" t="s">
        <v>12350</v>
      </c>
      <c r="U1374" s="2" t="s">
        <v>12351</v>
      </c>
      <c r="V1374" s="2" t="s">
        <v>553</v>
      </c>
      <c r="W1374" s="2" t="s">
        <v>12352</v>
      </c>
      <c r="X1374" s="2" t="s">
        <v>12353</v>
      </c>
      <c r="Y1374" s="2" t="s">
        <v>556</v>
      </c>
      <c r="Z1374" s="2" t="s">
        <v>12354</v>
      </c>
      <c r="AA1374" s="2" t="s">
        <v>12355</v>
      </c>
      <c r="AB1374" s="2" t="s">
        <v>8443</v>
      </c>
      <c r="AC1374" s="2">
        <v>45.57</v>
      </c>
      <c r="AD1374" s="2">
        <v>95.12</v>
      </c>
      <c r="AE1374" s="2">
        <v>42.92</v>
      </c>
      <c r="AF1374" s="2" t="s">
        <v>12356</v>
      </c>
      <c r="AG1374" s="2" t="s">
        <v>132</v>
      </c>
      <c r="AH1374" s="2" t="s">
        <v>12357</v>
      </c>
      <c r="AI1374" s="2">
        <v>1.32</v>
      </c>
      <c r="AJ1374" s="2">
        <v>21.8956755498699</v>
      </c>
      <c r="AK1374" s="2">
        <v>21.411474493165301</v>
      </c>
      <c r="AL1374" s="2">
        <v>22.000800938172301</v>
      </c>
      <c r="AM1374" s="2">
        <v>22.442561154403901</v>
      </c>
      <c r="AN1374" s="2">
        <v>21.808593903250301</v>
      </c>
      <c r="AO1374" s="2">
        <v>22.2990889405914</v>
      </c>
      <c r="AP1374" s="2">
        <v>21.760090551578202</v>
      </c>
      <c r="AQ1374" s="2">
        <v>22.204381392395401</v>
      </c>
      <c r="AR1374" s="2">
        <v>22.8476639479426</v>
      </c>
      <c r="AS1374" s="2">
        <v>22.299649040019599</v>
      </c>
      <c r="AT1374" s="2">
        <v>22.100922503180001</v>
      </c>
      <c r="AU1374" s="2">
        <v>21.917363782056601</v>
      </c>
      <c r="AV1374" s="2">
        <v>22.239294655383102</v>
      </c>
      <c r="AW1374" s="2">
        <v>22.575283206458899</v>
      </c>
      <c r="AX1374" s="2">
        <v>21.472177512389401</v>
      </c>
      <c r="AY1374" s="2">
        <v>22.177731043057499</v>
      </c>
      <c r="AZ1374" s="2">
        <v>21.478801731159699</v>
      </c>
      <c r="BA1374" s="2">
        <v>22.5394480786725</v>
      </c>
      <c r="BB1374" s="2">
        <v>22.685149567491699</v>
      </c>
      <c r="BC1374" s="2">
        <v>21.581322166434099</v>
      </c>
      <c r="BD1374" s="2">
        <v>22.772965016137899</v>
      </c>
      <c r="BE1374" s="2">
        <v>22.624913247495599</v>
      </c>
      <c r="BF1374" s="2">
        <v>22.744500675646801</v>
      </c>
      <c r="BG1374" s="2">
        <v>22.592899690407599</v>
      </c>
      <c r="BH1374" s="2">
        <v>22.4329680420533</v>
      </c>
      <c r="BI1374" s="2">
        <v>21.318368630717799</v>
      </c>
      <c r="BJ1374" s="2">
        <v>22.0511251724216</v>
      </c>
      <c r="BK1374" s="2">
        <v>21.733164492379899</v>
      </c>
      <c r="BL1374" s="2">
        <v>22.372620511787702</v>
      </c>
      <c r="BM1374" s="2">
        <v>21.593165994172399</v>
      </c>
      <c r="BN1374" s="2">
        <v>21.468985748127398</v>
      </c>
      <c r="BO1374" s="2">
        <v>21.8925097471957</v>
      </c>
      <c r="BP1374" s="2">
        <v>21.903777591328499</v>
      </c>
      <c r="BQ1374" s="2">
        <v>21.573581091484701</v>
      </c>
      <c r="BR1374" s="2">
        <v>21.915153085894602</v>
      </c>
      <c r="BS1374" s="2">
        <v>21.499641253884398</v>
      </c>
      <c r="BT1374" s="2">
        <v>21.240349108356298</v>
      </c>
      <c r="BU1374" s="2">
        <v>22.718298997353799</v>
      </c>
      <c r="BV1374" s="2">
        <v>21.366858258241798</v>
      </c>
      <c r="BW1374" s="2">
        <v>20.6003640314084</v>
      </c>
      <c r="BX1374" s="2">
        <v>21.1351176974316</v>
      </c>
      <c r="BY1374" s="2">
        <v>20.875731468481799</v>
      </c>
      <c r="BZ1374" s="2">
        <v>22.140676286205199</v>
      </c>
      <c r="CA1374" s="2">
        <v>21.925455463432201</v>
      </c>
      <c r="CB1374" s="2">
        <v>22.3197749612488</v>
      </c>
      <c r="CC1374" s="2">
        <v>21.8941137314828</v>
      </c>
      <c r="CD1374" s="2">
        <v>21.1241056575012</v>
      </c>
      <c r="CE1374" s="2">
        <v>21.678311938527401</v>
      </c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</row>
    <row r="1375" spans="1:97">
      <c r="A1375" s="2" t="s">
        <v>12358</v>
      </c>
      <c r="B1375" s="2">
        <v>427.21523999999999</v>
      </c>
      <c r="C1375" s="2">
        <v>8.1300000000000008</v>
      </c>
      <c r="D1375" s="2" t="s">
        <v>146</v>
      </c>
      <c r="E1375" s="2" t="s">
        <v>12359</v>
      </c>
      <c r="F1375" s="2" t="s">
        <v>12360</v>
      </c>
      <c r="G1375" s="2">
        <v>210553</v>
      </c>
      <c r="H1375" s="3" t="str">
        <f>HYPERLINK("https://cloud.oebiotech.com/#/lm/network/210553", "https://cloud.oebiotech.com/#/lm/network/210553")</f>
        <v>https://cloud.oebiotech.com/#/lm/network/210553</v>
      </c>
      <c r="I1375" s="2" t="s">
        <v>12361</v>
      </c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 t="s">
        <v>12362</v>
      </c>
      <c r="U1375" s="2" t="s">
        <v>12363</v>
      </c>
      <c r="V1375" s="2" t="s">
        <v>95</v>
      </c>
      <c r="W1375" s="2" t="s">
        <v>152</v>
      </c>
      <c r="X1375" s="2" t="s">
        <v>153</v>
      </c>
      <c r="Y1375" s="2" t="s">
        <v>98</v>
      </c>
      <c r="Z1375" s="2" t="s">
        <v>154</v>
      </c>
      <c r="AA1375" s="2" t="s">
        <v>155</v>
      </c>
      <c r="AB1375" s="2" t="s">
        <v>3086</v>
      </c>
      <c r="AC1375" s="2">
        <v>45.53</v>
      </c>
      <c r="AD1375" s="2">
        <v>83.27</v>
      </c>
      <c r="AE1375" s="2">
        <v>0</v>
      </c>
      <c r="AF1375" s="2" t="s">
        <v>12364</v>
      </c>
      <c r="AG1375" s="2" t="s">
        <v>993</v>
      </c>
      <c r="AH1375" s="2" t="s">
        <v>12365</v>
      </c>
      <c r="AI1375" s="2">
        <v>-7.26</v>
      </c>
      <c r="AJ1375" s="2">
        <v>19.124365169176201</v>
      </c>
      <c r="AK1375" s="2">
        <v>19.162737532843799</v>
      </c>
      <c r="AL1375" s="2">
        <v>18.790379585690602</v>
      </c>
      <c r="AM1375" s="2">
        <v>19.023970013851802</v>
      </c>
      <c r="AN1375" s="2">
        <v>18.848746464436999</v>
      </c>
      <c r="AO1375" s="2">
        <v>19.0896409747142</v>
      </c>
      <c r="AP1375" s="2">
        <v>18.953987519436701</v>
      </c>
      <c r="AQ1375" s="2">
        <v>19.0570783566478</v>
      </c>
      <c r="AR1375" s="2">
        <v>17.244777264704599</v>
      </c>
      <c r="AS1375" s="2">
        <v>15.823109948432</v>
      </c>
      <c r="AT1375" s="2">
        <v>18.603264952309999</v>
      </c>
      <c r="AU1375" s="2">
        <v>17.369614725578501</v>
      </c>
      <c r="AV1375" s="2">
        <v>20.7137048753643</v>
      </c>
      <c r="AW1375" s="2">
        <v>17.906534867785702</v>
      </c>
      <c r="AX1375" s="2">
        <v>17.9435062806551</v>
      </c>
      <c r="AY1375" s="2">
        <v>19.7875461511317</v>
      </c>
      <c r="AZ1375" s="2">
        <v>16.211605445069299</v>
      </c>
      <c r="BA1375" s="2">
        <v>19.315670997599501</v>
      </c>
      <c r="BB1375" s="2">
        <v>17.310449830276202</v>
      </c>
      <c r="BC1375" s="2">
        <v>19.364432947957301</v>
      </c>
      <c r="BD1375" s="2">
        <v>17.705552272907699</v>
      </c>
      <c r="BE1375" s="2">
        <v>18.093705321573399</v>
      </c>
      <c r="BF1375" s="2">
        <v>17.619713040285699</v>
      </c>
      <c r="BG1375" s="2">
        <v>19.141384331859602</v>
      </c>
      <c r="BH1375" s="2">
        <v>15.2121102773365</v>
      </c>
      <c r="BI1375" s="2">
        <v>19.3519725811204</v>
      </c>
      <c r="BJ1375" s="2">
        <v>19.868062356929599</v>
      </c>
      <c r="BK1375" s="2">
        <v>19.235078512471901</v>
      </c>
      <c r="BL1375" s="2">
        <v>18.211840491556199</v>
      </c>
      <c r="BM1375" s="2">
        <v>15.5496475139681</v>
      </c>
      <c r="BN1375" s="2">
        <v>17.295769293085701</v>
      </c>
      <c r="BO1375" s="2">
        <v>16.458346211293499</v>
      </c>
      <c r="BP1375" s="2">
        <v>21.322771405381999</v>
      </c>
      <c r="BQ1375" s="2">
        <v>18.1212232264322</v>
      </c>
      <c r="BR1375" s="2">
        <v>19.556700123048799</v>
      </c>
      <c r="BS1375" s="2">
        <v>19.802108804647599</v>
      </c>
      <c r="BT1375" s="2">
        <v>17.052291129854801</v>
      </c>
      <c r="BU1375" s="2">
        <v>18.9008094789076</v>
      </c>
      <c r="BV1375" s="2">
        <v>15.8251071081988</v>
      </c>
      <c r="BW1375" s="2">
        <v>19.611717649455301</v>
      </c>
      <c r="BX1375" s="2">
        <v>18.887834888095199</v>
      </c>
      <c r="BY1375" s="2">
        <v>19.7128571011426</v>
      </c>
      <c r="BZ1375" s="2">
        <v>17.124750475190499</v>
      </c>
      <c r="CA1375" s="2">
        <v>17.133689502471</v>
      </c>
      <c r="CB1375" s="2">
        <v>17.5523278488557</v>
      </c>
      <c r="CC1375" s="2">
        <v>19.397919229197701</v>
      </c>
      <c r="CD1375" s="2">
        <v>20.9457529928094</v>
      </c>
      <c r="CE1375" s="2">
        <v>18.5127981284109</v>
      </c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</row>
    <row r="1376" spans="1:97">
      <c r="A1376" s="2" t="s">
        <v>12366</v>
      </c>
      <c r="B1376" s="2">
        <v>188.09251</v>
      </c>
      <c r="C1376" s="2">
        <v>4.173</v>
      </c>
      <c r="D1376" s="2" t="s">
        <v>146</v>
      </c>
      <c r="E1376" s="2" t="s">
        <v>12367</v>
      </c>
      <c r="F1376" s="2"/>
      <c r="G1376" s="2">
        <v>595792</v>
      </c>
      <c r="H1376" s="3" t="str">
        <f>HYPERLINK("https://cloud.oebiotech.com/#/lm/network/595792", "https://cloud.oebiotech.com/#/lm/network/595792")</f>
        <v>https://cloud.oebiotech.com/#/lm/network/595792</v>
      </c>
      <c r="I1376" s="2"/>
      <c r="J1376" s="2"/>
      <c r="K1376" s="2"/>
      <c r="L1376" s="2">
        <v>88397</v>
      </c>
      <c r="M1376" s="2"/>
      <c r="N1376" s="2"/>
      <c r="O1376" s="2"/>
      <c r="P1376" s="2"/>
      <c r="Q1376" s="2"/>
      <c r="R1376" s="2"/>
      <c r="S1376" s="2"/>
      <c r="T1376" s="2" t="s">
        <v>12368</v>
      </c>
      <c r="U1376" s="2" t="s">
        <v>12369</v>
      </c>
      <c r="V1376" s="2" t="s">
        <v>115</v>
      </c>
      <c r="W1376" s="2" t="s">
        <v>5480</v>
      </c>
      <c r="X1376" s="2" t="s">
        <v>375</v>
      </c>
      <c r="Y1376" s="2" t="s">
        <v>118</v>
      </c>
      <c r="Z1376" s="2" t="s">
        <v>5482</v>
      </c>
      <c r="AA1376" s="2"/>
      <c r="AB1376" s="2" t="s">
        <v>8443</v>
      </c>
      <c r="AC1376" s="2">
        <v>45.52</v>
      </c>
      <c r="AD1376" s="2">
        <v>94.72</v>
      </c>
      <c r="AE1376" s="2">
        <v>0</v>
      </c>
      <c r="AF1376" s="2" t="s">
        <v>5614</v>
      </c>
      <c r="AG1376" s="2" t="s">
        <v>157</v>
      </c>
      <c r="AH1376" s="2" t="s">
        <v>258</v>
      </c>
      <c r="AI1376" s="2">
        <v>1.59</v>
      </c>
      <c r="AJ1376" s="2">
        <v>18.230892247829502</v>
      </c>
      <c r="AK1376" s="2">
        <v>18.218595398305101</v>
      </c>
      <c r="AL1376" s="2">
        <v>18.279111911645799</v>
      </c>
      <c r="AM1376" s="2">
        <v>18.166463808956902</v>
      </c>
      <c r="AN1376" s="2">
        <v>18.095032521932399</v>
      </c>
      <c r="AO1376" s="2">
        <v>18.209026449338999</v>
      </c>
      <c r="AP1376" s="2">
        <v>18.245936372454299</v>
      </c>
      <c r="AQ1376" s="2">
        <v>18.072784795866699</v>
      </c>
      <c r="AR1376" s="2">
        <v>18.2878493389087</v>
      </c>
      <c r="AS1376" s="2">
        <v>16.0696882807873</v>
      </c>
      <c r="AT1376" s="2">
        <v>16.617108124279699</v>
      </c>
      <c r="AU1376" s="2">
        <v>17.4388668827225</v>
      </c>
      <c r="AV1376" s="2">
        <v>17.809485162946299</v>
      </c>
      <c r="AW1376" s="2">
        <v>18.418974817032499</v>
      </c>
      <c r="AX1376" s="2">
        <v>17.414746833078599</v>
      </c>
      <c r="AY1376" s="2">
        <v>17.5426200507084</v>
      </c>
      <c r="AZ1376" s="2">
        <v>18.2243934221028</v>
      </c>
      <c r="BA1376" s="2">
        <v>16.5436570319041</v>
      </c>
      <c r="BB1376" s="2">
        <v>17.795946927098999</v>
      </c>
      <c r="BC1376" s="2">
        <v>17.222419938298199</v>
      </c>
      <c r="BD1376" s="2">
        <v>18.051916740361602</v>
      </c>
      <c r="BE1376" s="2">
        <v>17.238630609260198</v>
      </c>
      <c r="BF1376" s="2">
        <v>18.4703908140979</v>
      </c>
      <c r="BG1376" s="2">
        <v>18.1317762427296</v>
      </c>
      <c r="BH1376" s="2">
        <v>17.879034668510801</v>
      </c>
      <c r="BI1376" s="2">
        <v>18.418118694851898</v>
      </c>
      <c r="BJ1376" s="2">
        <v>17.378222790492099</v>
      </c>
      <c r="BK1376" s="2">
        <v>18.3692539769871</v>
      </c>
      <c r="BL1376" s="2">
        <v>17.332081317101999</v>
      </c>
      <c r="BM1376" s="2">
        <v>18.814653463670101</v>
      </c>
      <c r="BN1376" s="2">
        <v>18.2818798721521</v>
      </c>
      <c r="BO1376" s="2">
        <v>17.183344611287499</v>
      </c>
      <c r="BP1376" s="2">
        <v>16.795555087643699</v>
      </c>
      <c r="BQ1376" s="2">
        <v>17.742896950953799</v>
      </c>
      <c r="BR1376" s="2">
        <v>17.610966423015402</v>
      </c>
      <c r="BS1376" s="2">
        <v>18.9891927654574</v>
      </c>
      <c r="BT1376" s="2">
        <v>16.773624360155701</v>
      </c>
      <c r="BU1376" s="2">
        <v>17.9796334631421</v>
      </c>
      <c r="BV1376" s="2">
        <v>17.638348938987001</v>
      </c>
      <c r="BW1376" s="2">
        <v>15.5831594732957</v>
      </c>
      <c r="BX1376" s="2">
        <v>17.458409897619799</v>
      </c>
      <c r="BY1376" s="2">
        <v>18.928457826041701</v>
      </c>
      <c r="BZ1376" s="2">
        <v>17.838846909249199</v>
      </c>
      <c r="CA1376" s="2">
        <v>18.8920511287021</v>
      </c>
      <c r="CB1376" s="2">
        <v>16.486195532204</v>
      </c>
      <c r="CC1376" s="2">
        <v>18.174134736866499</v>
      </c>
      <c r="CD1376" s="2">
        <v>17.93754847936</v>
      </c>
      <c r="CE1376" s="2">
        <v>18.1093158679341</v>
      </c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</row>
    <row r="1377" spans="1:97">
      <c r="A1377" s="2" t="s">
        <v>12370</v>
      </c>
      <c r="B1377" s="2">
        <v>200.12790000000001</v>
      </c>
      <c r="C1377" s="2">
        <v>1.1180000000000001</v>
      </c>
      <c r="D1377" s="2" t="s">
        <v>84</v>
      </c>
      <c r="E1377" s="2" t="s">
        <v>12371</v>
      </c>
      <c r="F1377" s="2" t="s">
        <v>12372</v>
      </c>
      <c r="G1377" s="2">
        <v>83768</v>
      </c>
      <c r="H1377" s="3" t="str">
        <f>HYPERLINK("https://cloud.oebiotech.com/#/lm/network/83768", "https://cloud.oebiotech.com/#/lm/network/83768")</f>
        <v>https://cloud.oebiotech.com/#/lm/network/83768</v>
      </c>
      <c r="I1377" s="2" t="s">
        <v>12373</v>
      </c>
      <c r="J1377" s="2"/>
      <c r="K1377" s="2"/>
      <c r="L1377" s="2"/>
      <c r="M1377" s="2"/>
      <c r="N1377" s="2"/>
      <c r="O1377" s="2"/>
      <c r="P1377" s="2">
        <v>59908</v>
      </c>
      <c r="Q1377" s="2"/>
      <c r="R1377" s="2"/>
      <c r="S1377" s="2"/>
      <c r="T1377" s="2" t="s">
        <v>12374</v>
      </c>
      <c r="U1377" s="2" t="s">
        <v>12375</v>
      </c>
      <c r="V1377" s="2" t="s">
        <v>115</v>
      </c>
      <c r="W1377" s="2" t="s">
        <v>116</v>
      </c>
      <c r="X1377" s="2" t="s">
        <v>117</v>
      </c>
      <c r="Y1377" s="2" t="s">
        <v>118</v>
      </c>
      <c r="Z1377" s="2" t="s">
        <v>119</v>
      </c>
      <c r="AA1377" s="2" t="s">
        <v>120</v>
      </c>
      <c r="AB1377" s="2" t="s">
        <v>8443</v>
      </c>
      <c r="AC1377" s="2">
        <v>45.52</v>
      </c>
      <c r="AD1377" s="2">
        <v>93.58</v>
      </c>
      <c r="AE1377" s="2">
        <v>0</v>
      </c>
      <c r="AF1377" s="2" t="s">
        <v>5614</v>
      </c>
      <c r="AG1377" s="2" t="s">
        <v>4104</v>
      </c>
      <c r="AH1377" s="2" t="s">
        <v>12376</v>
      </c>
      <c r="AI1377" s="2">
        <v>1</v>
      </c>
      <c r="AJ1377" s="2">
        <v>18.981422233636799</v>
      </c>
      <c r="AK1377" s="2">
        <v>19.0620925813109</v>
      </c>
      <c r="AL1377" s="2">
        <v>19.3093550228044</v>
      </c>
      <c r="AM1377" s="2">
        <v>18.4820126989427</v>
      </c>
      <c r="AN1377" s="2">
        <v>18.5232442335247</v>
      </c>
      <c r="AO1377" s="2">
        <v>18.122018930798799</v>
      </c>
      <c r="AP1377" s="2">
        <v>18.746303416280298</v>
      </c>
      <c r="AQ1377" s="2">
        <v>18.620363678243301</v>
      </c>
      <c r="AR1377" s="2">
        <v>16.617657145182399</v>
      </c>
      <c r="AS1377" s="2">
        <v>19.1356204173603</v>
      </c>
      <c r="AT1377" s="2">
        <v>18.295601831577098</v>
      </c>
      <c r="AU1377" s="2">
        <v>19.284213572280901</v>
      </c>
      <c r="AV1377" s="2">
        <v>18.6911888548482</v>
      </c>
      <c r="AW1377" s="2">
        <v>18.644072542585398</v>
      </c>
      <c r="AX1377" s="2">
        <v>19.198944838149501</v>
      </c>
      <c r="AY1377" s="2">
        <v>19.1721185715041</v>
      </c>
      <c r="AZ1377" s="2">
        <v>18.256657801952201</v>
      </c>
      <c r="BA1377" s="2">
        <v>18.480792567305599</v>
      </c>
      <c r="BB1377" s="2">
        <v>18.70693074143</v>
      </c>
      <c r="BC1377" s="2">
        <v>18.919498491477398</v>
      </c>
      <c r="BD1377" s="2">
        <v>18.502041370876501</v>
      </c>
      <c r="BE1377" s="2">
        <v>19.005785245972199</v>
      </c>
      <c r="BF1377" s="2">
        <v>18.7755071787487</v>
      </c>
      <c r="BG1377" s="2">
        <v>18.3346996191523</v>
      </c>
      <c r="BH1377" s="2">
        <v>18.237453150387701</v>
      </c>
      <c r="BI1377" s="2">
        <v>19.113017401676402</v>
      </c>
      <c r="BJ1377" s="2">
        <v>18.428319316596198</v>
      </c>
      <c r="BK1377" s="2">
        <v>19.527191669720199</v>
      </c>
      <c r="BL1377" s="2">
        <v>17.706368530118699</v>
      </c>
      <c r="BM1377" s="2">
        <v>19.075720558630099</v>
      </c>
      <c r="BN1377" s="2">
        <v>18.7549348554716</v>
      </c>
      <c r="BO1377" s="2">
        <v>19.307258297492599</v>
      </c>
      <c r="BP1377" s="2">
        <v>18.4259067559973</v>
      </c>
      <c r="BQ1377" s="2">
        <v>17.596248221737302</v>
      </c>
      <c r="BR1377" s="2">
        <v>18.606125325037301</v>
      </c>
      <c r="BS1377" s="2">
        <v>19.1690692677798</v>
      </c>
      <c r="BT1377" s="2">
        <v>19.0470565825017</v>
      </c>
      <c r="BU1377" s="2">
        <v>17.3137143990038</v>
      </c>
      <c r="BV1377" s="2">
        <v>18.8668010587322</v>
      </c>
      <c r="BW1377" s="2">
        <v>18.378932744651301</v>
      </c>
      <c r="BX1377" s="2">
        <v>17.805941385443798</v>
      </c>
      <c r="BY1377" s="2">
        <v>19.8735686384804</v>
      </c>
      <c r="BZ1377" s="2">
        <v>18.5535162789783</v>
      </c>
      <c r="CA1377" s="2">
        <v>19.143351199254202</v>
      </c>
      <c r="CB1377" s="2">
        <v>18.009761601682399</v>
      </c>
      <c r="CC1377" s="2">
        <v>17.6532470346114</v>
      </c>
      <c r="CD1377" s="2">
        <v>17.7188548511694</v>
      </c>
      <c r="CE1377" s="2">
        <v>19.829430509584</v>
      </c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</row>
    <row r="1378" spans="1:97">
      <c r="A1378" s="2" t="s">
        <v>12377</v>
      </c>
      <c r="B1378" s="2">
        <v>789.61613999999997</v>
      </c>
      <c r="C1378" s="2">
        <v>12.247999999999999</v>
      </c>
      <c r="D1378" s="2" t="s">
        <v>84</v>
      </c>
      <c r="E1378" s="2" t="s">
        <v>12378</v>
      </c>
      <c r="F1378" s="2" t="s">
        <v>12379</v>
      </c>
      <c r="G1378" s="2">
        <v>40012</v>
      </c>
      <c r="H1378" s="3" t="str">
        <f>HYPERLINK("https://cloud.oebiotech.com/#/lm/network/40012", "https://cloud.oebiotech.com/#/lm/network/40012")</f>
        <v>https://cloud.oebiotech.com/#/lm/network/40012</v>
      </c>
      <c r="I1378" s="2"/>
      <c r="J1378" s="2"/>
      <c r="K1378" s="2" t="s">
        <v>12380</v>
      </c>
      <c r="L1378" s="2">
        <v>10395414</v>
      </c>
      <c r="M1378" s="2"/>
      <c r="N1378" s="2"/>
      <c r="O1378" s="2"/>
      <c r="P1378" s="2"/>
      <c r="Q1378" s="2"/>
      <c r="R1378" s="2"/>
      <c r="S1378" s="2"/>
      <c r="T1378" s="2" t="s">
        <v>12381</v>
      </c>
      <c r="U1378" s="2" t="s">
        <v>12382</v>
      </c>
      <c r="V1378" s="2" t="s">
        <v>95</v>
      </c>
      <c r="W1378" s="2" t="s">
        <v>2361</v>
      </c>
      <c r="X1378" s="2" t="s">
        <v>12383</v>
      </c>
      <c r="Y1378" s="2" t="s">
        <v>98</v>
      </c>
      <c r="Z1378" s="2" t="s">
        <v>2363</v>
      </c>
      <c r="AA1378" s="2" t="s">
        <v>12384</v>
      </c>
      <c r="AB1378" s="2" t="s">
        <v>3086</v>
      </c>
      <c r="AC1378" s="2">
        <v>45.52</v>
      </c>
      <c r="AD1378" s="2">
        <v>66.83</v>
      </c>
      <c r="AE1378" s="2">
        <v>0</v>
      </c>
      <c r="AF1378" s="2" t="s">
        <v>5614</v>
      </c>
      <c r="AG1378" s="2" t="s">
        <v>132</v>
      </c>
      <c r="AH1378" s="2" t="s">
        <v>12385</v>
      </c>
      <c r="AI1378" s="2">
        <v>4.8099999999999996</v>
      </c>
      <c r="AJ1378" s="2">
        <v>24.8593592047899</v>
      </c>
      <c r="AK1378" s="2">
        <v>24.299277086888399</v>
      </c>
      <c r="AL1378" s="2">
        <v>24.528611178354598</v>
      </c>
      <c r="AM1378" s="2">
        <v>24.726304641523701</v>
      </c>
      <c r="AN1378" s="2">
        <v>24.5434792490971</v>
      </c>
      <c r="AO1378" s="2">
        <v>24.5749744306252</v>
      </c>
      <c r="AP1378" s="2">
        <v>23.875622089995201</v>
      </c>
      <c r="AQ1378" s="2">
        <v>24.7184764021079</v>
      </c>
      <c r="AR1378" s="2">
        <v>24.921474776952099</v>
      </c>
      <c r="AS1378" s="2">
        <v>24.8082968627211</v>
      </c>
      <c r="AT1378" s="2">
        <v>23.539391946597799</v>
      </c>
      <c r="AU1378" s="2">
        <v>21.649794825132599</v>
      </c>
      <c r="AV1378" s="2">
        <v>23.301941512100498</v>
      </c>
      <c r="AW1378" s="2">
        <v>24.634973148320501</v>
      </c>
      <c r="AX1378" s="2">
        <v>24.799391957480101</v>
      </c>
      <c r="AY1378" s="2">
        <v>23.602368555397302</v>
      </c>
      <c r="AZ1378" s="2">
        <v>23.472278430768199</v>
      </c>
      <c r="BA1378" s="2">
        <v>24.511622226784102</v>
      </c>
      <c r="BB1378" s="2">
        <v>22.7246458485718</v>
      </c>
      <c r="BC1378" s="2">
        <v>24.692756639428801</v>
      </c>
      <c r="BD1378" s="2">
        <v>22.8064599632594</v>
      </c>
      <c r="BE1378" s="2">
        <v>24.6830093639038</v>
      </c>
      <c r="BF1378" s="2">
        <v>24.565199189133601</v>
      </c>
      <c r="BG1378" s="2">
        <v>24.540243807196699</v>
      </c>
      <c r="BH1378" s="2">
        <v>24.609298757573502</v>
      </c>
      <c r="BI1378" s="2">
        <v>24.0482724060085</v>
      </c>
      <c r="BJ1378" s="2">
        <v>23.692122697280301</v>
      </c>
      <c r="BK1378" s="2">
        <v>23.7092083488822</v>
      </c>
      <c r="BL1378" s="2">
        <v>23.805504726116901</v>
      </c>
      <c r="BM1378" s="2">
        <v>24.0215370117456</v>
      </c>
      <c r="BN1378" s="2">
        <v>24.2282410162065</v>
      </c>
      <c r="BO1378" s="2">
        <v>22.966587055260799</v>
      </c>
      <c r="BP1378" s="2">
        <v>24.402035947812799</v>
      </c>
      <c r="BQ1378" s="2">
        <v>24.975298609794901</v>
      </c>
      <c r="BR1378" s="2">
        <v>23.278650416912701</v>
      </c>
      <c r="BS1378" s="2">
        <v>23.6984433249707</v>
      </c>
      <c r="BT1378" s="2">
        <v>25.161182698735999</v>
      </c>
      <c r="BU1378" s="2">
        <v>23.5273383937269</v>
      </c>
      <c r="BV1378" s="2">
        <v>23.7305123211361</v>
      </c>
      <c r="BW1378" s="2">
        <v>24.767101721798099</v>
      </c>
      <c r="BX1378" s="2">
        <v>24.7132045078469</v>
      </c>
      <c r="BY1378" s="2">
        <v>24.692880070026199</v>
      </c>
      <c r="BZ1378" s="2">
        <v>24.673451855827199</v>
      </c>
      <c r="CA1378" s="2">
        <v>24.3533563700142</v>
      </c>
      <c r="CB1378" s="2">
        <v>24.729154160087099</v>
      </c>
      <c r="CC1378" s="2">
        <v>24.251132715746699</v>
      </c>
      <c r="CD1378" s="2">
        <v>24.476540832430501</v>
      </c>
      <c r="CE1378" s="2">
        <v>23.8495583249417</v>
      </c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</row>
    <row r="1379" spans="1:97">
      <c r="A1379" s="2" t="s">
        <v>12386</v>
      </c>
      <c r="B1379" s="2">
        <v>219.02286000000001</v>
      </c>
      <c r="C1379" s="2">
        <v>6.4930000000000003</v>
      </c>
      <c r="D1379" s="2" t="s">
        <v>146</v>
      </c>
      <c r="E1379" s="2" t="s">
        <v>12387</v>
      </c>
      <c r="F1379" s="2" t="s">
        <v>12388</v>
      </c>
      <c r="G1379" s="2">
        <v>62897</v>
      </c>
      <c r="H1379" s="3" t="str">
        <f>HYPERLINK("https://cloud.oebiotech.com/#/lm/network/62897", "https://cloud.oebiotech.com/#/lm/network/62897")</f>
        <v>https://cloud.oebiotech.com/#/lm/network/62897</v>
      </c>
      <c r="I1379" s="2" t="s">
        <v>12389</v>
      </c>
      <c r="J1379" s="2">
        <v>94193</v>
      </c>
      <c r="K1379" s="2"/>
      <c r="L1379" s="2">
        <v>135413564</v>
      </c>
      <c r="M1379" s="2"/>
      <c r="N1379" s="2"/>
      <c r="O1379" s="2"/>
      <c r="P1379" s="2">
        <v>169691</v>
      </c>
      <c r="Q1379" s="2"/>
      <c r="R1379" s="2"/>
      <c r="S1379" s="2" t="s">
        <v>12390</v>
      </c>
      <c r="T1379" s="2" t="s">
        <v>12391</v>
      </c>
      <c r="U1379" s="2" t="s">
        <v>12392</v>
      </c>
      <c r="V1379" s="2" t="s">
        <v>553</v>
      </c>
      <c r="W1379" s="2" t="s">
        <v>933</v>
      </c>
      <c r="X1379" s="2" t="s">
        <v>3434</v>
      </c>
      <c r="Y1379" s="2" t="s">
        <v>556</v>
      </c>
      <c r="Z1379" s="2" t="s">
        <v>935</v>
      </c>
      <c r="AA1379" s="2" t="s">
        <v>3435</v>
      </c>
      <c r="AB1379" s="2" t="s">
        <v>8443</v>
      </c>
      <c r="AC1379" s="2">
        <v>45.49</v>
      </c>
      <c r="AD1379" s="2">
        <v>90.52</v>
      </c>
      <c r="AE1379" s="2">
        <v>0</v>
      </c>
      <c r="AF1379" s="2" t="s">
        <v>5614</v>
      </c>
      <c r="AG1379" s="2" t="s">
        <v>157</v>
      </c>
      <c r="AH1379" s="2" t="s">
        <v>12393</v>
      </c>
      <c r="AI1379" s="2">
        <v>2.2799999999999998</v>
      </c>
      <c r="AJ1379" s="2">
        <v>16.520424243673698</v>
      </c>
      <c r="AK1379" s="2">
        <v>16.715519389389701</v>
      </c>
      <c r="AL1379" s="2">
        <v>16.5995473580818</v>
      </c>
      <c r="AM1379" s="2">
        <v>16.788834415426798</v>
      </c>
      <c r="AN1379" s="2">
        <v>16.848725989887399</v>
      </c>
      <c r="AO1379" s="2">
        <v>16.831684174849698</v>
      </c>
      <c r="AP1379" s="2">
        <v>16.503403399742599</v>
      </c>
      <c r="AQ1379" s="2">
        <v>16.6421882369198</v>
      </c>
      <c r="AR1379" s="2">
        <v>16.194209739082101</v>
      </c>
      <c r="AS1379" s="2">
        <v>16.586162779566799</v>
      </c>
      <c r="AT1379" s="2">
        <v>16.557023113333202</v>
      </c>
      <c r="AU1379" s="2">
        <v>16.5946110906538</v>
      </c>
      <c r="AV1379" s="2">
        <v>16.607847677997999</v>
      </c>
      <c r="AW1379" s="2">
        <v>16.962095176809601</v>
      </c>
      <c r="AX1379" s="2">
        <v>16.842836095666499</v>
      </c>
      <c r="AY1379" s="2">
        <v>16.622955938138102</v>
      </c>
      <c r="AZ1379" s="2">
        <v>16.954252891791398</v>
      </c>
      <c r="BA1379" s="2">
        <v>16.367807009126601</v>
      </c>
      <c r="BB1379" s="2">
        <v>16.901072171792698</v>
      </c>
      <c r="BC1379" s="2">
        <v>16.4624056146708</v>
      </c>
      <c r="BD1379" s="2">
        <v>16.136683777936302</v>
      </c>
      <c r="BE1379" s="2">
        <v>16.293349682784701</v>
      </c>
      <c r="BF1379" s="2">
        <v>16.402644377185901</v>
      </c>
      <c r="BG1379" s="2">
        <v>16.963005662436402</v>
      </c>
      <c r="BH1379" s="2">
        <v>16.807652769192298</v>
      </c>
      <c r="BI1379" s="2">
        <v>16.7993382919312</v>
      </c>
      <c r="BJ1379" s="2">
        <v>16.634148103132301</v>
      </c>
      <c r="BK1379" s="2">
        <v>16.777815612223101</v>
      </c>
      <c r="BL1379" s="2">
        <v>17.104847493824501</v>
      </c>
      <c r="BM1379" s="2">
        <v>16.7380430304021</v>
      </c>
      <c r="BN1379" s="2">
        <v>16.213231642454499</v>
      </c>
      <c r="BO1379" s="2">
        <v>16.643877745506401</v>
      </c>
      <c r="BP1379" s="2">
        <v>16.686782139286802</v>
      </c>
      <c r="BQ1379" s="2">
        <v>16.658022596519999</v>
      </c>
      <c r="BR1379" s="2">
        <v>16.444917170865899</v>
      </c>
      <c r="BS1379" s="2">
        <v>16.6128040075656</v>
      </c>
      <c r="BT1379" s="2">
        <v>16.6076244871916</v>
      </c>
      <c r="BU1379" s="2">
        <v>16.5524571681052</v>
      </c>
      <c r="BV1379" s="2">
        <v>16.670375897604501</v>
      </c>
      <c r="BW1379" s="2">
        <v>15.4511776203087</v>
      </c>
      <c r="BX1379" s="2">
        <v>16.702132092759602</v>
      </c>
      <c r="BY1379" s="2">
        <v>16.547610175138502</v>
      </c>
      <c r="BZ1379" s="2">
        <v>16.4133991844961</v>
      </c>
      <c r="CA1379" s="2">
        <v>16.524797414478201</v>
      </c>
      <c r="CB1379" s="2">
        <v>16.560669135236701</v>
      </c>
      <c r="CC1379" s="2">
        <v>16.3053063488493</v>
      </c>
      <c r="CD1379" s="2">
        <v>16.871822596927402</v>
      </c>
      <c r="CE1379" s="2">
        <v>16.5816069300975</v>
      </c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</row>
    <row r="1380" spans="1:97">
      <c r="A1380" s="2" t="s">
        <v>12394</v>
      </c>
      <c r="B1380" s="2">
        <v>147.11850999999999</v>
      </c>
      <c r="C1380" s="2">
        <v>10.029999999999999</v>
      </c>
      <c r="D1380" s="2" t="s">
        <v>146</v>
      </c>
      <c r="E1380" s="2" t="s">
        <v>12395</v>
      </c>
      <c r="F1380" s="2" t="s">
        <v>12396</v>
      </c>
      <c r="G1380" s="2">
        <v>56079</v>
      </c>
      <c r="H1380" s="3" t="str">
        <f>HYPERLINK("https://cloud.oebiotech.com/#/lm/network/56079", "https://cloud.oebiotech.com/#/lm/network/56079")</f>
        <v>https://cloud.oebiotech.com/#/lm/network/56079</v>
      </c>
      <c r="I1380" s="2" t="s">
        <v>12397</v>
      </c>
      <c r="J1380" s="2">
        <v>87770</v>
      </c>
      <c r="K1380" s="2"/>
      <c r="L1380" s="2">
        <v>62378</v>
      </c>
      <c r="M1380" s="2"/>
      <c r="N1380" s="2"/>
      <c r="O1380" s="2"/>
      <c r="P1380" s="2"/>
      <c r="Q1380" s="2"/>
      <c r="R1380" s="2"/>
      <c r="S1380" s="2" t="s">
        <v>12398</v>
      </c>
      <c r="T1380" s="2" t="s">
        <v>12399</v>
      </c>
      <c r="U1380" s="2" t="s">
        <v>12400</v>
      </c>
      <c r="V1380" s="2" t="s">
        <v>338</v>
      </c>
      <c r="W1380" s="2" t="s">
        <v>339</v>
      </c>
      <c r="X1380" s="2" t="s">
        <v>340</v>
      </c>
      <c r="Y1380" s="2" t="s">
        <v>341</v>
      </c>
      <c r="Z1380" s="2" t="s">
        <v>341</v>
      </c>
      <c r="AA1380" s="2" t="s">
        <v>342</v>
      </c>
      <c r="AB1380" s="2" t="s">
        <v>3086</v>
      </c>
      <c r="AC1380" s="2">
        <v>45.48</v>
      </c>
      <c r="AD1380" s="2">
        <v>94.21</v>
      </c>
      <c r="AE1380" s="2">
        <v>0</v>
      </c>
      <c r="AF1380" s="2" t="s">
        <v>5614</v>
      </c>
      <c r="AG1380" s="2" t="s">
        <v>993</v>
      </c>
      <c r="AH1380" s="2" t="s">
        <v>12401</v>
      </c>
      <c r="AI1380" s="2">
        <v>-7.48</v>
      </c>
      <c r="AJ1380" s="2">
        <v>18.098298049170999</v>
      </c>
      <c r="AK1380" s="2">
        <v>18.470417824914801</v>
      </c>
      <c r="AL1380" s="2">
        <v>18.366092505520299</v>
      </c>
      <c r="AM1380" s="2">
        <v>18.287295245131599</v>
      </c>
      <c r="AN1380" s="2">
        <v>18.325584920315698</v>
      </c>
      <c r="AO1380" s="2">
        <v>18.319978206095598</v>
      </c>
      <c r="AP1380" s="2">
        <v>18.418447335874401</v>
      </c>
      <c r="AQ1380" s="2">
        <v>18.2750106861365</v>
      </c>
      <c r="AR1380" s="2">
        <v>18.167353213292799</v>
      </c>
      <c r="AS1380" s="2">
        <v>18.170011977708501</v>
      </c>
      <c r="AT1380" s="2">
        <v>17.913319653307799</v>
      </c>
      <c r="AU1380" s="2">
        <v>17.9489818750829</v>
      </c>
      <c r="AV1380" s="2">
        <v>18.077899402726199</v>
      </c>
      <c r="AW1380" s="2">
        <v>18.0810102570601</v>
      </c>
      <c r="AX1380" s="2">
        <v>18.106782210973599</v>
      </c>
      <c r="AY1380" s="2">
        <v>18.111321742741499</v>
      </c>
      <c r="AZ1380" s="2">
        <v>17.9578409908368</v>
      </c>
      <c r="BA1380" s="2">
        <v>18.177515017601401</v>
      </c>
      <c r="BB1380" s="2">
        <v>18.265167751577501</v>
      </c>
      <c r="BC1380" s="2">
        <v>18.140328326346602</v>
      </c>
      <c r="BD1380" s="2">
        <v>18.317693479487101</v>
      </c>
      <c r="BE1380" s="2">
        <v>18.080854160673798</v>
      </c>
      <c r="BF1380" s="2">
        <v>17.950359679639401</v>
      </c>
      <c r="BG1380" s="2">
        <v>18.155863861816702</v>
      </c>
      <c r="BH1380" s="2">
        <v>17.875373560658499</v>
      </c>
      <c r="BI1380" s="2">
        <v>17.891638477263601</v>
      </c>
      <c r="BJ1380" s="2">
        <v>17.914047778655199</v>
      </c>
      <c r="BK1380" s="2">
        <v>18.057293033667499</v>
      </c>
      <c r="BL1380" s="2">
        <v>18.386129621198702</v>
      </c>
      <c r="BM1380" s="2">
        <v>18.447136512448399</v>
      </c>
      <c r="BN1380" s="2">
        <v>18.243376002059101</v>
      </c>
      <c r="BO1380" s="2">
        <v>18.449550574219799</v>
      </c>
      <c r="BP1380" s="2">
        <v>18.185991752319499</v>
      </c>
      <c r="BQ1380" s="2">
        <v>18.440820230941402</v>
      </c>
      <c r="BR1380" s="2">
        <v>18.244815210675</v>
      </c>
      <c r="BS1380" s="2">
        <v>18.030238589332299</v>
      </c>
      <c r="BT1380" s="2">
        <v>17.906118321678498</v>
      </c>
      <c r="BU1380" s="2">
        <v>17.9868057126019</v>
      </c>
      <c r="BV1380" s="2">
        <v>18.0880548645275</v>
      </c>
      <c r="BW1380" s="2">
        <v>18.251207357715401</v>
      </c>
      <c r="BX1380" s="2">
        <v>18.195485922819302</v>
      </c>
      <c r="BY1380" s="2">
        <v>18.273407023244399</v>
      </c>
      <c r="BZ1380" s="2">
        <v>18.280962519348101</v>
      </c>
      <c r="CA1380" s="2">
        <v>18.158010955597799</v>
      </c>
      <c r="CB1380" s="2">
        <v>17.934218442524401</v>
      </c>
      <c r="CC1380" s="2">
        <v>18.277770131031001</v>
      </c>
      <c r="CD1380" s="2">
        <v>18.191894852812499</v>
      </c>
      <c r="CE1380" s="2">
        <v>17.711851452204399</v>
      </c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</row>
    <row r="1381" spans="1:97">
      <c r="A1381" s="2" t="s">
        <v>12402</v>
      </c>
      <c r="B1381" s="2">
        <v>311.22223000000002</v>
      </c>
      <c r="C1381" s="2">
        <v>11.833</v>
      </c>
      <c r="D1381" s="2" t="s">
        <v>146</v>
      </c>
      <c r="E1381" s="2" t="s">
        <v>12403</v>
      </c>
      <c r="F1381" s="2" t="s">
        <v>12404</v>
      </c>
      <c r="G1381" s="2">
        <v>3124</v>
      </c>
      <c r="H1381" s="3" t="str">
        <f>HYPERLINK("https://cloud.oebiotech.com/#/lm/network/3124", "https://cloud.oebiotech.com/#/lm/network/3124")</f>
        <v>https://cloud.oebiotech.com/#/lm/network/3124</v>
      </c>
      <c r="I1381" s="2"/>
      <c r="J1381" s="2">
        <v>74523</v>
      </c>
      <c r="K1381" s="2" t="s">
        <v>12405</v>
      </c>
      <c r="L1381" s="2">
        <v>5282967</v>
      </c>
      <c r="M1381" s="2"/>
      <c r="N1381" s="2"/>
      <c r="O1381" s="2"/>
      <c r="P1381" s="2">
        <v>143972</v>
      </c>
      <c r="Q1381" s="2"/>
      <c r="R1381" s="2"/>
      <c r="S1381" s="2"/>
      <c r="T1381" s="2" t="s">
        <v>12406</v>
      </c>
      <c r="U1381" s="2" t="s">
        <v>12407</v>
      </c>
      <c r="V1381" s="2" t="s">
        <v>95</v>
      </c>
      <c r="W1381" s="2" t="s">
        <v>96</v>
      </c>
      <c r="X1381" s="2" t="s">
        <v>919</v>
      </c>
      <c r="Y1381" s="2" t="s">
        <v>98</v>
      </c>
      <c r="Z1381" s="2" t="s">
        <v>99</v>
      </c>
      <c r="AA1381" s="2" t="s">
        <v>920</v>
      </c>
      <c r="AB1381" s="2" t="s">
        <v>5118</v>
      </c>
      <c r="AC1381" s="2">
        <v>45.47</v>
      </c>
      <c r="AD1381" s="2">
        <v>88.57</v>
      </c>
      <c r="AE1381" s="2">
        <v>54.27</v>
      </c>
      <c r="AF1381" s="2" t="s">
        <v>12408</v>
      </c>
      <c r="AG1381" s="2" t="s">
        <v>194</v>
      </c>
      <c r="AH1381" s="2" t="s">
        <v>733</v>
      </c>
      <c r="AI1381" s="2">
        <v>1.93</v>
      </c>
      <c r="AJ1381" s="2">
        <v>18.155676826473801</v>
      </c>
      <c r="AK1381" s="2">
        <v>17.701737743809499</v>
      </c>
      <c r="AL1381" s="2">
        <v>18.205166190532299</v>
      </c>
      <c r="AM1381" s="2">
        <v>17.517909166437299</v>
      </c>
      <c r="AN1381" s="2">
        <v>17.752717889370398</v>
      </c>
      <c r="AO1381" s="2">
        <v>18.1538279433112</v>
      </c>
      <c r="AP1381" s="2">
        <v>18.379807060397301</v>
      </c>
      <c r="AQ1381" s="2">
        <v>17.927738269833402</v>
      </c>
      <c r="AR1381" s="2">
        <v>16.312686584547201</v>
      </c>
      <c r="AS1381" s="2">
        <v>16.170870599121301</v>
      </c>
      <c r="AT1381" s="2">
        <v>18.689152394542099</v>
      </c>
      <c r="AU1381" s="2">
        <v>18.414570538974001</v>
      </c>
      <c r="AV1381" s="2">
        <v>16.5789879346958</v>
      </c>
      <c r="AW1381" s="2">
        <v>17.1318158739141</v>
      </c>
      <c r="AX1381" s="2">
        <v>18.476505418293101</v>
      </c>
      <c r="AY1381" s="2">
        <v>19.552751470666198</v>
      </c>
      <c r="AZ1381" s="2">
        <v>16.256153207696801</v>
      </c>
      <c r="BA1381" s="2">
        <v>19.494678482148899</v>
      </c>
      <c r="BB1381" s="2">
        <v>15.772808121745101</v>
      </c>
      <c r="BC1381" s="2">
        <v>18.244145319926101</v>
      </c>
      <c r="BD1381" s="2">
        <v>16.8926951842538</v>
      </c>
      <c r="BE1381" s="2">
        <v>18.458590687380699</v>
      </c>
      <c r="BF1381" s="2">
        <v>17.5613560472849</v>
      </c>
      <c r="BG1381" s="2">
        <v>17.1102920307485</v>
      </c>
      <c r="BH1381" s="2">
        <v>16.918323686003198</v>
      </c>
      <c r="BI1381" s="2">
        <v>17.374383897748899</v>
      </c>
      <c r="BJ1381" s="2">
        <v>17.1812354525213</v>
      </c>
      <c r="BK1381" s="2">
        <v>16.813881750569799</v>
      </c>
      <c r="BL1381" s="2">
        <v>15.4643976954754</v>
      </c>
      <c r="BM1381" s="2">
        <v>18.9329409004342</v>
      </c>
      <c r="BN1381" s="2">
        <v>18.605300059840701</v>
      </c>
      <c r="BO1381" s="2">
        <v>16.230329347785599</v>
      </c>
      <c r="BP1381" s="2">
        <v>16.437814642793398</v>
      </c>
      <c r="BQ1381" s="2">
        <v>16.935538477291299</v>
      </c>
      <c r="BR1381" s="2">
        <v>17.865652390006598</v>
      </c>
      <c r="BS1381" s="2">
        <v>19.715071825019901</v>
      </c>
      <c r="BT1381" s="2">
        <v>16.984689917704902</v>
      </c>
      <c r="BU1381" s="2">
        <v>18.0811112424241</v>
      </c>
      <c r="BV1381" s="2">
        <v>17.4745326907059</v>
      </c>
      <c r="BW1381" s="2">
        <v>16.388339904247701</v>
      </c>
      <c r="BX1381" s="2">
        <v>16.650462504055199</v>
      </c>
      <c r="BY1381" s="2">
        <v>19.375869986953401</v>
      </c>
      <c r="BZ1381" s="2">
        <v>15.344755693685601</v>
      </c>
      <c r="CA1381" s="2">
        <v>17.459604436466201</v>
      </c>
      <c r="CB1381" s="2">
        <v>17.793945273831199</v>
      </c>
      <c r="CC1381" s="2">
        <v>19.547386335729499</v>
      </c>
      <c r="CD1381" s="2">
        <v>17.790886619486699</v>
      </c>
      <c r="CE1381" s="2">
        <v>15.419341700411101</v>
      </c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</row>
    <row r="1382" spans="1:97">
      <c r="A1382" s="2" t="s">
        <v>12409</v>
      </c>
      <c r="B1382" s="2">
        <v>603.29737999999998</v>
      </c>
      <c r="C1382" s="2">
        <v>10.545</v>
      </c>
      <c r="D1382" s="2" t="s">
        <v>84</v>
      </c>
      <c r="E1382" s="2" t="s">
        <v>12410</v>
      </c>
      <c r="F1382" s="2" t="s">
        <v>12411</v>
      </c>
      <c r="G1382" s="2">
        <v>210364</v>
      </c>
      <c r="H1382" s="3" t="str">
        <f>HYPERLINK("https://cloud.oebiotech.com/#/lm/network/210364", "https://cloud.oebiotech.com/#/lm/network/210364")</f>
        <v>https://cloud.oebiotech.com/#/lm/network/210364</v>
      </c>
      <c r="I1382" s="2" t="s">
        <v>12412</v>
      </c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 t="s">
        <v>12413</v>
      </c>
      <c r="U1382" s="2" t="s">
        <v>12414</v>
      </c>
      <c r="V1382" s="2" t="s">
        <v>95</v>
      </c>
      <c r="W1382" s="2" t="s">
        <v>202</v>
      </c>
      <c r="X1382" s="2" t="s">
        <v>12415</v>
      </c>
      <c r="Y1382" s="2" t="s">
        <v>98</v>
      </c>
      <c r="Z1382" s="2" t="s">
        <v>204</v>
      </c>
      <c r="AA1382" s="2" t="s">
        <v>12416</v>
      </c>
      <c r="AB1382" s="2" t="s">
        <v>3086</v>
      </c>
      <c r="AC1382" s="2">
        <v>45.47</v>
      </c>
      <c r="AD1382" s="2">
        <v>79.14</v>
      </c>
      <c r="AE1382" s="2">
        <v>0</v>
      </c>
      <c r="AF1382" s="2" t="s">
        <v>5614</v>
      </c>
      <c r="AG1382" s="2" t="s">
        <v>1088</v>
      </c>
      <c r="AH1382" s="2" t="s">
        <v>12417</v>
      </c>
      <c r="AI1382" s="2">
        <v>-6.46</v>
      </c>
      <c r="AJ1382" s="2">
        <v>18.952015184688399</v>
      </c>
      <c r="AK1382" s="2">
        <v>18.675925169124501</v>
      </c>
      <c r="AL1382" s="2">
        <v>18.8908280758952</v>
      </c>
      <c r="AM1382" s="2">
        <v>18.514337468551599</v>
      </c>
      <c r="AN1382" s="2">
        <v>18.502021552035</v>
      </c>
      <c r="AO1382" s="2">
        <v>18.0927785578297</v>
      </c>
      <c r="AP1382" s="2">
        <v>18.472049571215599</v>
      </c>
      <c r="AQ1382" s="2">
        <v>17.9905916288517</v>
      </c>
      <c r="AR1382" s="2">
        <v>18.956592202715601</v>
      </c>
      <c r="AS1382" s="2">
        <v>18.9619640636108</v>
      </c>
      <c r="AT1382" s="2">
        <v>19.211925214856599</v>
      </c>
      <c r="AU1382" s="2">
        <v>18.735615650196198</v>
      </c>
      <c r="AV1382" s="2">
        <v>18.764328534615199</v>
      </c>
      <c r="AW1382" s="2">
        <v>18.925274084981599</v>
      </c>
      <c r="AX1382" s="2">
        <v>18.816902992972999</v>
      </c>
      <c r="AY1382" s="2">
        <v>18.826825054704202</v>
      </c>
      <c r="AZ1382" s="2">
        <v>18.641212326514999</v>
      </c>
      <c r="BA1382" s="2">
        <v>19.1152152211912</v>
      </c>
      <c r="BB1382" s="2">
        <v>19.090698834795599</v>
      </c>
      <c r="BC1382" s="2">
        <v>17.711856828277298</v>
      </c>
      <c r="BD1382" s="2">
        <v>18.762438879526101</v>
      </c>
      <c r="BE1382" s="2">
        <v>18.424574007142301</v>
      </c>
      <c r="BF1382" s="2">
        <v>18.2782604151786</v>
      </c>
      <c r="BG1382" s="2">
        <v>18.8349248762038</v>
      </c>
      <c r="BH1382" s="2">
        <v>18.405883325044901</v>
      </c>
      <c r="BI1382" s="2">
        <v>18.047815989145999</v>
      </c>
      <c r="BJ1382" s="2">
        <v>18.5676183497349</v>
      </c>
      <c r="BK1382" s="2">
        <v>18.9991193176654</v>
      </c>
      <c r="BL1382" s="2">
        <v>18.689551460753101</v>
      </c>
      <c r="BM1382" s="2">
        <v>18.7705730829041</v>
      </c>
      <c r="BN1382" s="2">
        <v>18.477716216733899</v>
      </c>
      <c r="BO1382" s="2">
        <v>19.1746848849812</v>
      </c>
      <c r="BP1382" s="2">
        <v>18.7505845235988</v>
      </c>
      <c r="BQ1382" s="2">
        <v>18.432413933169599</v>
      </c>
      <c r="BR1382" s="2">
        <v>18.732073265217601</v>
      </c>
      <c r="BS1382" s="2">
        <v>17.695314895193501</v>
      </c>
      <c r="BT1382" s="2">
        <v>18.633016560886301</v>
      </c>
      <c r="BU1382" s="2">
        <v>18.760814108048301</v>
      </c>
      <c r="BV1382" s="2">
        <v>19.0610770973271</v>
      </c>
      <c r="BW1382" s="2">
        <v>18.9416592438509</v>
      </c>
      <c r="BX1382" s="2">
        <v>18.068347835784198</v>
      </c>
      <c r="BY1382" s="2">
        <v>18.710232309393799</v>
      </c>
      <c r="BZ1382" s="2">
        <v>18.790101575238999</v>
      </c>
      <c r="CA1382" s="2">
        <v>18.524783987941898</v>
      </c>
      <c r="CB1382" s="2">
        <v>18.7297051412401</v>
      </c>
      <c r="CC1382" s="2">
        <v>18.578473861933698</v>
      </c>
      <c r="CD1382" s="2">
        <v>18.1349935218187</v>
      </c>
      <c r="CE1382" s="2">
        <v>18.7254054364296</v>
      </c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</row>
    <row r="1383" spans="1:97">
      <c r="A1383" s="2" t="s">
        <v>12418</v>
      </c>
      <c r="B1383" s="2">
        <v>334.04903999999999</v>
      </c>
      <c r="C1383" s="2">
        <v>1.395</v>
      </c>
      <c r="D1383" s="2" t="s">
        <v>146</v>
      </c>
      <c r="E1383" s="2" t="s">
        <v>12419</v>
      </c>
      <c r="F1383" s="2" t="s">
        <v>12420</v>
      </c>
      <c r="G1383" s="2">
        <v>47348</v>
      </c>
      <c r="H1383" s="3" t="str">
        <f>HYPERLINK("https://cloud.oebiotech.com/#/lm/network/47348", "https://cloud.oebiotech.com/#/lm/network/47348")</f>
        <v>https://cloud.oebiotech.com/#/lm/network/47348</v>
      </c>
      <c r="I1383" s="2" t="s">
        <v>12421</v>
      </c>
      <c r="J1383" s="2">
        <v>3427</v>
      </c>
      <c r="K1383" s="2"/>
      <c r="L1383" s="2">
        <v>41635</v>
      </c>
      <c r="M1383" s="2" t="s">
        <v>12422</v>
      </c>
      <c r="N1383" s="2" t="s">
        <v>12423</v>
      </c>
      <c r="O1383" s="2" t="s">
        <v>12424</v>
      </c>
      <c r="P1383" s="2">
        <v>15905</v>
      </c>
      <c r="Q1383" s="2"/>
      <c r="R1383" s="2"/>
      <c r="S1383" s="2" t="s">
        <v>12425</v>
      </c>
      <c r="T1383" s="2" t="s">
        <v>12426</v>
      </c>
      <c r="U1383" s="2" t="s">
        <v>12427</v>
      </c>
      <c r="V1383" s="2" t="s">
        <v>115</v>
      </c>
      <c r="W1383" s="2" t="s">
        <v>116</v>
      </c>
      <c r="X1383" s="2" t="s">
        <v>117</v>
      </c>
      <c r="Y1383" s="2" t="s">
        <v>118</v>
      </c>
      <c r="Z1383" s="2" t="s">
        <v>119</v>
      </c>
      <c r="AA1383" s="2" t="s">
        <v>120</v>
      </c>
      <c r="AB1383" s="2" t="s">
        <v>3086</v>
      </c>
      <c r="AC1383" s="2">
        <v>45.45</v>
      </c>
      <c r="AD1383" s="2">
        <v>76.08</v>
      </c>
      <c r="AE1383" s="2">
        <v>0</v>
      </c>
      <c r="AF1383" s="2" t="s">
        <v>5614</v>
      </c>
      <c r="AG1383" s="2" t="s">
        <v>4062</v>
      </c>
      <c r="AH1383" s="2" t="s">
        <v>12428</v>
      </c>
      <c r="AI1383" s="2">
        <v>-7.78</v>
      </c>
      <c r="AJ1383" s="2">
        <v>18.205520847805801</v>
      </c>
      <c r="AK1383" s="2">
        <v>18.4418027008</v>
      </c>
      <c r="AL1383" s="2">
        <v>18.355300074639999</v>
      </c>
      <c r="AM1383" s="2">
        <v>18.451197063198901</v>
      </c>
      <c r="AN1383" s="2">
        <v>18.201944700529602</v>
      </c>
      <c r="AO1383" s="2">
        <v>18.3359200929719</v>
      </c>
      <c r="AP1383" s="2">
        <v>18.325317314685702</v>
      </c>
      <c r="AQ1383" s="2">
        <v>18.3916273249455</v>
      </c>
      <c r="AR1383" s="2">
        <v>18.068167423313199</v>
      </c>
      <c r="AS1383" s="2">
        <v>17.494387013687401</v>
      </c>
      <c r="AT1383" s="2">
        <v>17.542008072512399</v>
      </c>
      <c r="AU1383" s="2">
        <v>17.8462358304768</v>
      </c>
      <c r="AV1383" s="2">
        <v>18.535002270730299</v>
      </c>
      <c r="AW1383" s="2">
        <v>18.565004132171399</v>
      </c>
      <c r="AX1383" s="2">
        <v>18.098630476546099</v>
      </c>
      <c r="AY1383" s="2">
        <v>17.5141264991417</v>
      </c>
      <c r="AZ1383" s="2">
        <v>18.618886912534499</v>
      </c>
      <c r="BA1383" s="2">
        <v>18.118347852050899</v>
      </c>
      <c r="BB1383" s="2">
        <v>18.5954054474402</v>
      </c>
      <c r="BC1383" s="2">
        <v>17.613478056283199</v>
      </c>
      <c r="BD1383" s="2">
        <v>17.485377138069801</v>
      </c>
      <c r="BE1383" s="2">
        <v>18.475360662320099</v>
      </c>
      <c r="BF1383" s="2">
        <v>17.8681192383008</v>
      </c>
      <c r="BG1383" s="2">
        <v>18.2093956288752</v>
      </c>
      <c r="BH1383" s="2">
        <v>18.478188652209901</v>
      </c>
      <c r="BI1383" s="2">
        <v>18.230234391575099</v>
      </c>
      <c r="BJ1383" s="2">
        <v>18.879165549899302</v>
      </c>
      <c r="BK1383" s="2">
        <v>18.161169977662901</v>
      </c>
      <c r="BL1383" s="2">
        <v>17.740584585376201</v>
      </c>
      <c r="BM1383" s="2">
        <v>18.0098709788588</v>
      </c>
      <c r="BN1383" s="2">
        <v>18.3211706661127</v>
      </c>
      <c r="BO1383" s="2">
        <v>18.369933820018598</v>
      </c>
      <c r="BP1383" s="2">
        <v>17.9206355346255</v>
      </c>
      <c r="BQ1383" s="2">
        <v>18.626093149117001</v>
      </c>
      <c r="BR1383" s="2">
        <v>18.406244125499398</v>
      </c>
      <c r="BS1383" s="2">
        <v>18.239998181484498</v>
      </c>
      <c r="BT1383" s="2">
        <v>17.887962862102199</v>
      </c>
      <c r="BU1383" s="2">
        <v>17.848894055951199</v>
      </c>
      <c r="BV1383" s="2">
        <v>18.328923377480599</v>
      </c>
      <c r="BW1383" s="2">
        <v>17.871699288635799</v>
      </c>
      <c r="BX1383" s="2">
        <v>18.852616310375002</v>
      </c>
      <c r="BY1383" s="2">
        <v>18.2221392878408</v>
      </c>
      <c r="BZ1383" s="2">
        <v>18.820803753493699</v>
      </c>
      <c r="CA1383" s="2">
        <v>18.116642207200901</v>
      </c>
      <c r="CB1383" s="2">
        <v>18.067369338014</v>
      </c>
      <c r="CC1383" s="2">
        <v>18.4198636713536</v>
      </c>
      <c r="CD1383" s="2">
        <v>18.437378136887499</v>
      </c>
      <c r="CE1383" s="2">
        <v>18.343792220592299</v>
      </c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</row>
    <row r="1384" spans="1:97">
      <c r="A1384" s="2" t="s">
        <v>12429</v>
      </c>
      <c r="B1384" s="2">
        <v>444.33228000000003</v>
      </c>
      <c r="C1384" s="2">
        <v>10.031000000000001</v>
      </c>
      <c r="D1384" s="2" t="s">
        <v>146</v>
      </c>
      <c r="E1384" s="2" t="s">
        <v>12430</v>
      </c>
      <c r="F1384" s="2" t="s">
        <v>12431</v>
      </c>
      <c r="G1384" s="2">
        <v>197404</v>
      </c>
      <c r="H1384" s="3" t="str">
        <f>HYPERLINK("https://cloud.oebiotech.com/#/lm/network/197404", "https://cloud.oebiotech.com/#/lm/network/197404")</f>
        <v>https://cloud.oebiotech.com/#/lm/network/197404</v>
      </c>
      <c r="I1384" s="2" t="s">
        <v>12432</v>
      </c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 t="s">
        <v>12433</v>
      </c>
      <c r="U1384" s="2" t="s">
        <v>12434</v>
      </c>
      <c r="V1384" s="2" t="s">
        <v>95</v>
      </c>
      <c r="W1384" s="2" t="s">
        <v>96</v>
      </c>
      <c r="X1384" s="2" t="s">
        <v>97</v>
      </c>
      <c r="Y1384" s="2" t="s">
        <v>98</v>
      </c>
      <c r="Z1384" s="2" t="s">
        <v>99</v>
      </c>
      <c r="AA1384" s="2" t="s">
        <v>100</v>
      </c>
      <c r="AB1384" s="2" t="s">
        <v>8443</v>
      </c>
      <c r="AC1384" s="2">
        <v>45.45</v>
      </c>
      <c r="AD1384" s="2">
        <v>96.69</v>
      </c>
      <c r="AE1384" s="2">
        <v>0</v>
      </c>
      <c r="AF1384" s="2" t="s">
        <v>12435</v>
      </c>
      <c r="AG1384" s="2" t="s">
        <v>157</v>
      </c>
      <c r="AH1384" s="2" t="s">
        <v>8896</v>
      </c>
      <c r="AI1384" s="2">
        <v>1.8</v>
      </c>
      <c r="AJ1384" s="2">
        <v>19.0771671485141</v>
      </c>
      <c r="AK1384" s="2">
        <v>19.091159162214002</v>
      </c>
      <c r="AL1384" s="2">
        <v>19.096181971099501</v>
      </c>
      <c r="AM1384" s="2">
        <v>19.053953899850601</v>
      </c>
      <c r="AN1384" s="2">
        <v>19.127749615591998</v>
      </c>
      <c r="AO1384" s="2">
        <v>19.125658774179701</v>
      </c>
      <c r="AP1384" s="2">
        <v>19.074312374309098</v>
      </c>
      <c r="AQ1384" s="2">
        <v>18.940907714643799</v>
      </c>
      <c r="AR1384" s="2">
        <v>19.142870120342501</v>
      </c>
      <c r="AS1384" s="2">
        <v>18.319224428332099</v>
      </c>
      <c r="AT1384" s="2">
        <v>19.317355396126501</v>
      </c>
      <c r="AU1384" s="2">
        <v>18.307323566790199</v>
      </c>
      <c r="AV1384" s="2">
        <v>17.8607180650827</v>
      </c>
      <c r="AW1384" s="2">
        <v>18.724816714278202</v>
      </c>
      <c r="AX1384" s="2">
        <v>19.024737150049202</v>
      </c>
      <c r="AY1384" s="2">
        <v>18.9585878025349</v>
      </c>
      <c r="AZ1384" s="2">
        <v>18.126161333605999</v>
      </c>
      <c r="BA1384" s="2">
        <v>17.588364751321301</v>
      </c>
      <c r="BB1384" s="2">
        <v>18.6256737097595</v>
      </c>
      <c r="BC1384" s="2">
        <v>20.232986605889099</v>
      </c>
      <c r="BD1384" s="2">
        <v>18.7848739203496</v>
      </c>
      <c r="BE1384" s="2">
        <v>19.154598974202901</v>
      </c>
      <c r="BF1384" s="2">
        <v>18.416610227946901</v>
      </c>
      <c r="BG1384" s="2">
        <v>19.128969607322102</v>
      </c>
      <c r="BH1384" s="2">
        <v>18.716605878114901</v>
      </c>
      <c r="BI1384" s="2">
        <v>19.554819575104801</v>
      </c>
      <c r="BJ1384" s="2">
        <v>19.119427561729399</v>
      </c>
      <c r="BK1384" s="2">
        <v>18.540521412136201</v>
      </c>
      <c r="BL1384" s="2">
        <v>19.261122526973399</v>
      </c>
      <c r="BM1384" s="2">
        <v>18.586813955176002</v>
      </c>
      <c r="BN1384" s="2">
        <v>18.940692203287899</v>
      </c>
      <c r="BO1384" s="2">
        <v>18.737965487676899</v>
      </c>
      <c r="BP1384" s="2">
        <v>19.1751024156627</v>
      </c>
      <c r="BQ1384" s="2">
        <v>19.0946604815393</v>
      </c>
      <c r="BR1384" s="2">
        <v>19.156233489122499</v>
      </c>
      <c r="BS1384" s="2">
        <v>18.9549213614705</v>
      </c>
      <c r="BT1384" s="2">
        <v>18.3470697339807</v>
      </c>
      <c r="BU1384" s="2">
        <v>19.537673096226602</v>
      </c>
      <c r="BV1384" s="2">
        <v>18.856640629246002</v>
      </c>
      <c r="BW1384" s="2">
        <v>18.9917879313664</v>
      </c>
      <c r="BX1384" s="2">
        <v>18.901637920481601</v>
      </c>
      <c r="BY1384" s="2">
        <v>18.715099449849198</v>
      </c>
      <c r="BZ1384" s="2">
        <v>18.725973289187401</v>
      </c>
      <c r="CA1384" s="2">
        <v>18.982973777819101</v>
      </c>
      <c r="CB1384" s="2">
        <v>18.472485708909002</v>
      </c>
      <c r="CC1384" s="2">
        <v>18.995915731277901</v>
      </c>
      <c r="CD1384" s="2">
        <v>18.796229613119301</v>
      </c>
      <c r="CE1384" s="2">
        <v>18.6403040798006</v>
      </c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</row>
    <row r="1385" spans="1:97">
      <c r="A1385" s="2" t="s">
        <v>12436</v>
      </c>
      <c r="B1385" s="2">
        <v>832.58150999999998</v>
      </c>
      <c r="C1385" s="2">
        <v>13.484</v>
      </c>
      <c r="D1385" s="2" t="s">
        <v>84</v>
      </c>
      <c r="E1385" s="2" t="s">
        <v>12437</v>
      </c>
      <c r="F1385" s="2" t="s">
        <v>12438</v>
      </c>
      <c r="G1385" s="2">
        <v>19412</v>
      </c>
      <c r="H1385" s="3" t="str">
        <f>HYPERLINK("https://cloud.oebiotech.com/#/lm/network/19412", "https://cloud.oebiotech.com/#/lm/network/19412")</f>
        <v>https://cloud.oebiotech.com/#/lm/network/19412</v>
      </c>
      <c r="I1385" s="2" t="s">
        <v>12439</v>
      </c>
      <c r="J1385" s="2">
        <v>59526</v>
      </c>
      <c r="K1385" s="2" t="s">
        <v>12440</v>
      </c>
      <c r="L1385" s="2">
        <v>53478737</v>
      </c>
      <c r="M1385" s="2" t="s">
        <v>4595</v>
      </c>
      <c r="N1385" s="2" t="s">
        <v>4596</v>
      </c>
      <c r="O1385" s="2" t="s">
        <v>4597</v>
      </c>
      <c r="P1385" s="2">
        <v>89690</v>
      </c>
      <c r="Q1385" s="2"/>
      <c r="R1385" s="2"/>
      <c r="S1385" s="2"/>
      <c r="T1385" s="2" t="s">
        <v>12441</v>
      </c>
      <c r="U1385" s="2" t="s">
        <v>12442</v>
      </c>
      <c r="V1385" s="2" t="s">
        <v>95</v>
      </c>
      <c r="W1385" s="2" t="s">
        <v>202</v>
      </c>
      <c r="X1385" s="2" t="s">
        <v>203</v>
      </c>
      <c r="Y1385" s="2" t="s">
        <v>98</v>
      </c>
      <c r="Z1385" s="2" t="s">
        <v>204</v>
      </c>
      <c r="AA1385" s="2" t="s">
        <v>205</v>
      </c>
      <c r="AB1385" s="2" t="s">
        <v>5118</v>
      </c>
      <c r="AC1385" s="2">
        <v>45.43</v>
      </c>
      <c r="AD1385" s="2">
        <v>72.12</v>
      </c>
      <c r="AE1385" s="2">
        <v>71.53</v>
      </c>
      <c r="AF1385" s="2" t="s">
        <v>12443</v>
      </c>
      <c r="AG1385" s="2" t="s">
        <v>1578</v>
      </c>
      <c r="AH1385" s="2" t="s">
        <v>11808</v>
      </c>
      <c r="AI1385" s="2">
        <v>1.44</v>
      </c>
      <c r="AJ1385" s="2">
        <v>24.015653072532299</v>
      </c>
      <c r="AK1385" s="2">
        <v>23.429244690564001</v>
      </c>
      <c r="AL1385" s="2">
        <v>23.395241255465301</v>
      </c>
      <c r="AM1385" s="2">
        <v>23.700576388661201</v>
      </c>
      <c r="AN1385" s="2">
        <v>23.6445461380391</v>
      </c>
      <c r="AO1385" s="2">
        <v>23.047314381568398</v>
      </c>
      <c r="AP1385" s="2">
        <v>23.088211937514501</v>
      </c>
      <c r="AQ1385" s="2">
        <v>23.396956194571899</v>
      </c>
      <c r="AR1385" s="2">
        <v>23.336667711423399</v>
      </c>
      <c r="AS1385" s="2">
        <v>22.531536926538202</v>
      </c>
      <c r="AT1385" s="2">
        <v>23.448098026135501</v>
      </c>
      <c r="AU1385" s="2">
        <v>23.375767452837302</v>
      </c>
      <c r="AV1385" s="2">
        <v>22.939753744781498</v>
      </c>
      <c r="AW1385" s="2">
        <v>23.241817699839402</v>
      </c>
      <c r="AX1385" s="2">
        <v>23.343332908437802</v>
      </c>
      <c r="AY1385" s="2">
        <v>22.9281475997605</v>
      </c>
      <c r="AZ1385" s="2">
        <v>22.544706185393501</v>
      </c>
      <c r="BA1385" s="2">
        <v>22.920329977260199</v>
      </c>
      <c r="BB1385" s="2">
        <v>23.429306180214802</v>
      </c>
      <c r="BC1385" s="2">
        <v>23.354114715236399</v>
      </c>
      <c r="BD1385" s="2">
        <v>23.3736182858771</v>
      </c>
      <c r="BE1385" s="2">
        <v>23.5702994490692</v>
      </c>
      <c r="BF1385" s="2">
        <v>21.528824970087101</v>
      </c>
      <c r="BG1385" s="2">
        <v>23.3767290772333</v>
      </c>
      <c r="BH1385" s="2">
        <v>22.908858169382398</v>
      </c>
      <c r="BI1385" s="2">
        <v>23.693233140757702</v>
      </c>
      <c r="BJ1385" s="2">
        <v>23.3415784253183</v>
      </c>
      <c r="BK1385" s="2">
        <v>23.261619425731102</v>
      </c>
      <c r="BL1385" s="2">
        <v>23.3463362715774</v>
      </c>
      <c r="BM1385" s="2">
        <v>23.3891006043815</v>
      </c>
      <c r="BN1385" s="2">
        <v>23.2427098249259</v>
      </c>
      <c r="BO1385" s="2">
        <v>23.241646245365299</v>
      </c>
      <c r="BP1385" s="2">
        <v>22.860208435559301</v>
      </c>
      <c r="BQ1385" s="2">
        <v>23.326984112650599</v>
      </c>
      <c r="BR1385" s="2">
        <v>22.487882419843299</v>
      </c>
      <c r="BS1385" s="2">
        <v>23.134128327852402</v>
      </c>
      <c r="BT1385" s="2">
        <v>22.140244298384999</v>
      </c>
      <c r="BU1385" s="2">
        <v>22.489397863677699</v>
      </c>
      <c r="BV1385" s="2">
        <v>22.770406970874699</v>
      </c>
      <c r="BW1385" s="2">
        <v>23.479857216476201</v>
      </c>
      <c r="BX1385" s="2">
        <v>23.248973326123298</v>
      </c>
      <c r="BY1385" s="2">
        <v>22.830898086159198</v>
      </c>
      <c r="BZ1385" s="2">
        <v>23.114015870701198</v>
      </c>
      <c r="CA1385" s="2">
        <v>22.798822118061</v>
      </c>
      <c r="CB1385" s="2">
        <v>22.597044338425601</v>
      </c>
      <c r="CC1385" s="2">
        <v>23.303733147470499</v>
      </c>
      <c r="CD1385" s="2">
        <v>23.350466118562899</v>
      </c>
      <c r="CE1385" s="2">
        <v>23.3597489035945</v>
      </c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</row>
    <row r="1386" spans="1:97">
      <c r="A1386" s="2" t="s">
        <v>12444</v>
      </c>
      <c r="B1386" s="2">
        <v>244.07168999999999</v>
      </c>
      <c r="C1386" s="2">
        <v>4.5940000000000003</v>
      </c>
      <c r="D1386" s="2" t="s">
        <v>146</v>
      </c>
      <c r="E1386" s="2" t="s">
        <v>12445</v>
      </c>
      <c r="F1386" s="2" t="s">
        <v>12446</v>
      </c>
      <c r="G1386" s="2">
        <v>209843</v>
      </c>
      <c r="H1386" s="3" t="str">
        <f>HYPERLINK("https://cloud.oebiotech.com/#/lm/network/209843", "https://cloud.oebiotech.com/#/lm/network/209843")</f>
        <v>https://cloud.oebiotech.com/#/lm/network/209843</v>
      </c>
      <c r="I1386" s="2" t="s">
        <v>12447</v>
      </c>
      <c r="J1386" s="2"/>
      <c r="K1386" s="2"/>
      <c r="L1386" s="2">
        <v>71905</v>
      </c>
      <c r="M1386" s="2"/>
      <c r="N1386" s="2"/>
      <c r="O1386" s="2"/>
      <c r="P1386" s="2"/>
      <c r="Q1386" s="2"/>
      <c r="R1386" s="2"/>
      <c r="S1386" s="2"/>
      <c r="T1386" s="2" t="s">
        <v>12448</v>
      </c>
      <c r="U1386" s="2" t="s">
        <v>12449</v>
      </c>
      <c r="V1386" s="2" t="s">
        <v>553</v>
      </c>
      <c r="W1386" s="2" t="s">
        <v>10339</v>
      </c>
      <c r="X1386" s="2" t="s">
        <v>10340</v>
      </c>
      <c r="Y1386" s="2" t="s">
        <v>556</v>
      </c>
      <c r="Z1386" s="2" t="s">
        <v>10341</v>
      </c>
      <c r="AA1386" s="2" t="s">
        <v>10342</v>
      </c>
      <c r="AB1386" s="2" t="s">
        <v>8443</v>
      </c>
      <c r="AC1386" s="2">
        <v>45.42</v>
      </c>
      <c r="AD1386" s="2">
        <v>91.75</v>
      </c>
      <c r="AE1386" s="2">
        <v>0</v>
      </c>
      <c r="AF1386" s="2" t="s">
        <v>5614</v>
      </c>
      <c r="AG1386" s="2" t="s">
        <v>993</v>
      </c>
      <c r="AH1386" s="2" t="s">
        <v>12450</v>
      </c>
      <c r="AI1386" s="2">
        <v>2.0499999999999998</v>
      </c>
      <c r="AJ1386" s="2">
        <v>18.0028774115213</v>
      </c>
      <c r="AK1386" s="2">
        <v>18.0474410221636</v>
      </c>
      <c r="AL1386" s="2">
        <v>18.272742810005099</v>
      </c>
      <c r="AM1386" s="2">
        <v>18.1030269111317</v>
      </c>
      <c r="AN1386" s="2">
        <v>18.060938534466899</v>
      </c>
      <c r="AO1386" s="2">
        <v>18.010498275253099</v>
      </c>
      <c r="AP1386" s="2">
        <v>18.1389099187714</v>
      </c>
      <c r="AQ1386" s="2">
        <v>18.0934493912265</v>
      </c>
      <c r="AR1386" s="2">
        <v>17.669370776325501</v>
      </c>
      <c r="AS1386" s="2">
        <v>17.457822915673301</v>
      </c>
      <c r="AT1386" s="2">
        <v>17.283309957871499</v>
      </c>
      <c r="AU1386" s="2">
        <v>17.5847274477903</v>
      </c>
      <c r="AV1386" s="2">
        <v>17.568902741275298</v>
      </c>
      <c r="AW1386" s="2">
        <v>17.575324888829002</v>
      </c>
      <c r="AX1386" s="2">
        <v>17.518560033931401</v>
      </c>
      <c r="AY1386" s="2">
        <v>17.5759178041627</v>
      </c>
      <c r="AZ1386" s="2">
        <v>17.524505827795199</v>
      </c>
      <c r="BA1386" s="2">
        <v>17.2880739998376</v>
      </c>
      <c r="BB1386" s="2">
        <v>17.639921739950001</v>
      </c>
      <c r="BC1386" s="2">
        <v>17.694776766826902</v>
      </c>
      <c r="BD1386" s="2">
        <v>17.4730532759183</v>
      </c>
      <c r="BE1386" s="2">
        <v>17.339465727012101</v>
      </c>
      <c r="BF1386" s="2">
        <v>17.228435235819902</v>
      </c>
      <c r="BG1386" s="2">
        <v>17.696554308209102</v>
      </c>
      <c r="BH1386" s="2">
        <v>17.714262491238401</v>
      </c>
      <c r="BI1386" s="2">
        <v>17.370102453282001</v>
      </c>
      <c r="BJ1386" s="2">
        <v>17.115752566587499</v>
      </c>
      <c r="BK1386" s="2">
        <v>17.543147547894101</v>
      </c>
      <c r="BL1386" s="2">
        <v>17.5384372225632</v>
      </c>
      <c r="BM1386" s="2">
        <v>17.466982801343399</v>
      </c>
      <c r="BN1386" s="2">
        <v>17.249354134953201</v>
      </c>
      <c r="BO1386" s="2">
        <v>17.531407734020199</v>
      </c>
      <c r="BP1386" s="2">
        <v>17.739385607389899</v>
      </c>
      <c r="BQ1386" s="2">
        <v>17.705608832688899</v>
      </c>
      <c r="BR1386" s="2">
        <v>17.510951028208599</v>
      </c>
      <c r="BS1386" s="2">
        <v>17.5957644805416</v>
      </c>
      <c r="BT1386" s="2">
        <v>17.611324054576301</v>
      </c>
      <c r="BU1386" s="2">
        <v>17.571236689432499</v>
      </c>
      <c r="BV1386" s="2">
        <v>17.706030598840101</v>
      </c>
      <c r="BW1386" s="2">
        <v>17.470548462743</v>
      </c>
      <c r="BX1386" s="2">
        <v>17.647802770897201</v>
      </c>
      <c r="BY1386" s="2">
        <v>17.817901135196699</v>
      </c>
      <c r="BZ1386" s="2">
        <v>17.554405760356801</v>
      </c>
      <c r="CA1386" s="2">
        <v>17.5173854310903</v>
      </c>
      <c r="CB1386" s="2">
        <v>17.694512966426402</v>
      </c>
      <c r="CC1386" s="2">
        <v>17.573472638287502</v>
      </c>
      <c r="CD1386" s="2">
        <v>17.313831910513102</v>
      </c>
      <c r="CE1386" s="2">
        <v>17.674519119304399</v>
      </c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</row>
    <row r="1387" spans="1:97">
      <c r="A1387" s="2" t="s">
        <v>12451</v>
      </c>
      <c r="B1387" s="2">
        <v>267.11468000000002</v>
      </c>
      <c r="C1387" s="2">
        <v>9.3390000000000004</v>
      </c>
      <c r="D1387" s="2" t="s">
        <v>146</v>
      </c>
      <c r="E1387" s="2" t="s">
        <v>12452</v>
      </c>
      <c r="F1387" s="2" t="s">
        <v>12453</v>
      </c>
      <c r="G1387" s="2">
        <v>60441</v>
      </c>
      <c r="H1387" s="3" t="str">
        <f>HYPERLINK("https://cloud.oebiotech.com/#/lm/network/60441", "https://cloud.oebiotech.com/#/lm/network/60441")</f>
        <v>https://cloud.oebiotech.com/#/lm/network/60441</v>
      </c>
      <c r="I1387" s="2" t="s">
        <v>12454</v>
      </c>
      <c r="J1387" s="2">
        <v>71729</v>
      </c>
      <c r="K1387" s="2"/>
      <c r="L1387" s="2">
        <v>6439596</v>
      </c>
      <c r="M1387" s="2" t="s">
        <v>12455</v>
      </c>
      <c r="N1387" s="2"/>
      <c r="O1387" s="2"/>
      <c r="P1387" s="2">
        <v>81126</v>
      </c>
      <c r="Q1387" s="2"/>
      <c r="R1387" s="2"/>
      <c r="S1387" s="2" t="s">
        <v>12456</v>
      </c>
      <c r="T1387" s="2" t="s">
        <v>12457</v>
      </c>
      <c r="U1387" s="2" t="s">
        <v>12458</v>
      </c>
      <c r="V1387" s="2" t="s">
        <v>95</v>
      </c>
      <c r="W1387" s="2" t="s">
        <v>180</v>
      </c>
      <c r="X1387" s="2" t="s">
        <v>181</v>
      </c>
      <c r="Y1387" s="2" t="s">
        <v>98</v>
      </c>
      <c r="Z1387" s="2" t="s">
        <v>182</v>
      </c>
      <c r="AA1387" s="2" t="s">
        <v>183</v>
      </c>
      <c r="AB1387" s="2" t="s">
        <v>3086</v>
      </c>
      <c r="AC1387" s="2">
        <v>45.42</v>
      </c>
      <c r="AD1387" s="2">
        <v>72.44</v>
      </c>
      <c r="AE1387" s="2">
        <v>0</v>
      </c>
      <c r="AF1387" s="2" t="s">
        <v>5614</v>
      </c>
      <c r="AG1387" s="2" t="s">
        <v>4062</v>
      </c>
      <c r="AH1387" s="2" t="s">
        <v>12459</v>
      </c>
      <c r="AI1387" s="2">
        <v>3.74</v>
      </c>
      <c r="AJ1387" s="2">
        <v>16.625449157414199</v>
      </c>
      <c r="AK1387" s="2">
        <v>16.864756961443099</v>
      </c>
      <c r="AL1387" s="2">
        <v>16.968627760171302</v>
      </c>
      <c r="AM1387" s="2">
        <v>16.745296822279901</v>
      </c>
      <c r="AN1387" s="2">
        <v>16.973876705610799</v>
      </c>
      <c r="AO1387" s="2">
        <v>16.535043253203401</v>
      </c>
      <c r="AP1387" s="2">
        <v>16.966369359185599</v>
      </c>
      <c r="AQ1387" s="2">
        <v>17.194980911751099</v>
      </c>
      <c r="AR1387" s="2">
        <v>15.394868261599401</v>
      </c>
      <c r="AS1387" s="2">
        <v>15.289458426226</v>
      </c>
      <c r="AT1387" s="2">
        <v>15.320689155890699</v>
      </c>
      <c r="AU1387" s="2">
        <v>15.695825846349599</v>
      </c>
      <c r="AV1387" s="2">
        <v>14.7549589881024</v>
      </c>
      <c r="AW1387" s="2">
        <v>14.1320731236507</v>
      </c>
      <c r="AX1387" s="2">
        <v>12.863404214986099</v>
      </c>
      <c r="AY1387" s="2">
        <v>15.5863363867142</v>
      </c>
      <c r="AZ1387" s="2">
        <v>13.0056017437661</v>
      </c>
      <c r="BA1387" s="2">
        <v>13.4377754756222</v>
      </c>
      <c r="BB1387" s="2">
        <v>16.1588362748329</v>
      </c>
      <c r="BC1387" s="2">
        <v>17.435521735779702</v>
      </c>
      <c r="BD1387" s="2">
        <v>14.1608901010563</v>
      </c>
      <c r="BE1387" s="2">
        <v>15.1068982217582</v>
      </c>
      <c r="BF1387" s="2">
        <v>16.111305235635999</v>
      </c>
      <c r="BG1387" s="2">
        <v>16.5795447292208</v>
      </c>
      <c r="BH1387" s="2">
        <v>9.6233145402724691</v>
      </c>
      <c r="BI1387" s="2">
        <v>15.349297472178201</v>
      </c>
      <c r="BJ1387" s="2">
        <v>16.7228439448877</v>
      </c>
      <c r="BK1387" s="2">
        <v>14.2266793616736</v>
      </c>
      <c r="BL1387" s="2">
        <v>14.624826292109301</v>
      </c>
      <c r="BM1387" s="2">
        <v>13.471466922959801</v>
      </c>
      <c r="BN1387" s="2">
        <v>13.518565873425199</v>
      </c>
      <c r="BO1387" s="2">
        <v>12.6718859985371</v>
      </c>
      <c r="BP1387" s="2">
        <v>14.789221842434999</v>
      </c>
      <c r="BQ1387" s="2">
        <v>13.7664771462236</v>
      </c>
      <c r="BR1387" s="2">
        <v>15.919724610316599</v>
      </c>
      <c r="BS1387" s="2">
        <v>14.533141717032301</v>
      </c>
      <c r="BT1387" s="2">
        <v>16.2856012548534</v>
      </c>
      <c r="BU1387" s="2">
        <v>15.8122129110775</v>
      </c>
      <c r="BV1387" s="2">
        <v>15.257776383930899</v>
      </c>
      <c r="BW1387" s="2">
        <v>14.230947348730201</v>
      </c>
      <c r="BX1387" s="2">
        <v>13.8726354460672</v>
      </c>
      <c r="BY1387" s="2">
        <v>14.7108812134628</v>
      </c>
      <c r="BZ1387" s="2">
        <v>15.517840365903201</v>
      </c>
      <c r="CA1387" s="2">
        <v>12.6824833192195</v>
      </c>
      <c r="CB1387" s="2">
        <v>15.996655976701501</v>
      </c>
      <c r="CC1387" s="2">
        <v>12.6820004138842</v>
      </c>
      <c r="CD1387" s="2">
        <v>16.2095209522979</v>
      </c>
      <c r="CE1387" s="2">
        <v>9.6233145402724691</v>
      </c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</row>
    <row r="1388" spans="1:97">
      <c r="A1388" s="2" t="s">
        <v>12460</v>
      </c>
      <c r="B1388" s="2">
        <v>330.26325000000003</v>
      </c>
      <c r="C1388" s="2">
        <v>7.6589999999999998</v>
      </c>
      <c r="D1388" s="2" t="s">
        <v>84</v>
      </c>
      <c r="E1388" s="2" t="s">
        <v>12461</v>
      </c>
      <c r="F1388" s="2" t="s">
        <v>12462</v>
      </c>
      <c r="G1388" s="2">
        <v>8328</v>
      </c>
      <c r="H1388" s="3" t="str">
        <f>HYPERLINK("https://cloud.oebiotech.com/#/lm/network/8328", "https://cloud.oebiotech.com/#/lm/network/8328")</f>
        <v>https://cloud.oebiotech.com/#/lm/network/8328</v>
      </c>
      <c r="I1388" s="2" t="s">
        <v>12463</v>
      </c>
      <c r="J1388" s="2">
        <v>58362</v>
      </c>
      <c r="K1388" s="2" t="s">
        <v>12464</v>
      </c>
      <c r="L1388" s="2">
        <v>53477801</v>
      </c>
      <c r="M1388" s="2"/>
      <c r="N1388" s="2"/>
      <c r="O1388" s="2"/>
      <c r="P1388" s="2">
        <v>63874</v>
      </c>
      <c r="Q1388" s="2" t="s">
        <v>12465</v>
      </c>
      <c r="R1388" s="2" t="s">
        <v>12466</v>
      </c>
      <c r="S1388" s="2"/>
      <c r="T1388" s="2" t="s">
        <v>12467</v>
      </c>
      <c r="U1388" s="2" t="s">
        <v>12468</v>
      </c>
      <c r="V1388" s="2" t="s">
        <v>95</v>
      </c>
      <c r="W1388" s="2" t="s">
        <v>96</v>
      </c>
      <c r="X1388" s="2" t="s">
        <v>97</v>
      </c>
      <c r="Y1388" s="2" t="s">
        <v>98</v>
      </c>
      <c r="Z1388" s="2" t="s">
        <v>99</v>
      </c>
      <c r="AA1388" s="2" t="s">
        <v>100</v>
      </c>
      <c r="AB1388" s="2" t="s">
        <v>8443</v>
      </c>
      <c r="AC1388" s="2">
        <v>45.4</v>
      </c>
      <c r="AD1388" s="2">
        <v>88.27</v>
      </c>
      <c r="AE1388" s="2">
        <v>0</v>
      </c>
      <c r="AF1388" s="2" t="s">
        <v>12469</v>
      </c>
      <c r="AG1388" s="2" t="s">
        <v>103</v>
      </c>
      <c r="AH1388" s="2" t="s">
        <v>12470</v>
      </c>
      <c r="AI1388" s="2">
        <v>1.82</v>
      </c>
      <c r="AJ1388" s="2">
        <v>19.5260750030297</v>
      </c>
      <c r="AK1388" s="2">
        <v>19.0732444136193</v>
      </c>
      <c r="AL1388" s="2">
        <v>19.560046476212101</v>
      </c>
      <c r="AM1388" s="2">
        <v>19.334824095520801</v>
      </c>
      <c r="AN1388" s="2">
        <v>19.4183190800617</v>
      </c>
      <c r="AO1388" s="2">
        <v>18.860722459486901</v>
      </c>
      <c r="AP1388" s="2">
        <v>19.305567316444701</v>
      </c>
      <c r="AQ1388" s="2">
        <v>19.448122558128599</v>
      </c>
      <c r="AR1388" s="2">
        <v>18.430144647493201</v>
      </c>
      <c r="AS1388" s="2">
        <v>18.082795994160499</v>
      </c>
      <c r="AT1388" s="2">
        <v>17.969713429218899</v>
      </c>
      <c r="AU1388" s="2">
        <v>17.637583969535299</v>
      </c>
      <c r="AV1388" s="2">
        <v>18.9594713254094</v>
      </c>
      <c r="AW1388" s="2">
        <v>17.427160263470299</v>
      </c>
      <c r="AX1388" s="2">
        <v>17.022764196254698</v>
      </c>
      <c r="AY1388" s="2">
        <v>18.7384806561946</v>
      </c>
      <c r="AZ1388" s="2">
        <v>16.412999786301299</v>
      </c>
      <c r="BA1388" s="2">
        <v>19.743330214033801</v>
      </c>
      <c r="BB1388" s="2">
        <v>20.174653691473299</v>
      </c>
      <c r="BC1388" s="2">
        <v>19.695306415194501</v>
      </c>
      <c r="BD1388" s="2">
        <v>16.026068854538099</v>
      </c>
      <c r="BE1388" s="2">
        <v>20.414834136099699</v>
      </c>
      <c r="BF1388" s="2">
        <v>19.276006236148501</v>
      </c>
      <c r="BG1388" s="2">
        <v>20.777543854244399</v>
      </c>
      <c r="BH1388" s="2">
        <v>19.398800964458701</v>
      </c>
      <c r="BI1388" s="2">
        <v>18.9835085321252</v>
      </c>
      <c r="BJ1388" s="2">
        <v>19.6562487510237</v>
      </c>
      <c r="BK1388" s="2">
        <v>18.1875920223194</v>
      </c>
      <c r="BL1388" s="2">
        <v>19.003102915097099</v>
      </c>
      <c r="BM1388" s="2">
        <v>18.8268065006231</v>
      </c>
      <c r="BN1388" s="2">
        <v>17.3094863902854</v>
      </c>
      <c r="BO1388" s="2">
        <v>19.338185627674999</v>
      </c>
      <c r="BP1388" s="2">
        <v>20.091983377318499</v>
      </c>
      <c r="BQ1388" s="2">
        <v>19.754244572876399</v>
      </c>
      <c r="BR1388" s="2">
        <v>19.3978271684623</v>
      </c>
      <c r="BS1388" s="2">
        <v>18.533685730511699</v>
      </c>
      <c r="BT1388" s="2">
        <v>19.683226979053501</v>
      </c>
      <c r="BU1388" s="2">
        <v>19.545107878877801</v>
      </c>
      <c r="BV1388" s="2">
        <v>19.592955096877699</v>
      </c>
      <c r="BW1388" s="2">
        <v>18.393530940743101</v>
      </c>
      <c r="BX1388" s="2">
        <v>19.177410924074302</v>
      </c>
      <c r="BY1388" s="2">
        <v>19.283988399743802</v>
      </c>
      <c r="BZ1388" s="2">
        <v>20.642909383509799</v>
      </c>
      <c r="CA1388" s="2">
        <v>19.8973119316496</v>
      </c>
      <c r="CB1388" s="2">
        <v>19.5305746691343</v>
      </c>
      <c r="CC1388" s="2">
        <v>18.875197180013799</v>
      </c>
      <c r="CD1388" s="2">
        <v>17.771323747103001</v>
      </c>
      <c r="CE1388" s="2">
        <v>20.209299963079399</v>
      </c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</row>
    <row r="1389" spans="1:97">
      <c r="A1389" s="2" t="s">
        <v>12471</v>
      </c>
      <c r="B1389" s="2">
        <v>190.06223</v>
      </c>
      <c r="C1389" s="2">
        <v>7.4080000000000004</v>
      </c>
      <c r="D1389" s="2" t="s">
        <v>84</v>
      </c>
      <c r="E1389" s="2" t="s">
        <v>12472</v>
      </c>
      <c r="F1389" s="2" t="s">
        <v>12473</v>
      </c>
      <c r="G1389" s="2">
        <v>209598</v>
      </c>
      <c r="H1389" s="3" t="str">
        <f>HYPERLINK("https://cloud.oebiotech.com/#/lm/network/209598", "https://cloud.oebiotech.com/#/lm/network/209598")</f>
        <v>https://cloud.oebiotech.com/#/lm/network/209598</v>
      </c>
      <c r="I1389" s="2" t="s">
        <v>12474</v>
      </c>
      <c r="J1389" s="2"/>
      <c r="K1389" s="2"/>
      <c r="L1389" s="2">
        <v>25022001</v>
      </c>
      <c r="M1389" s="2"/>
      <c r="N1389" s="2"/>
      <c r="O1389" s="2"/>
      <c r="P1389" s="2"/>
      <c r="Q1389" s="2"/>
      <c r="R1389" s="2"/>
      <c r="S1389" s="2"/>
      <c r="T1389" s="2" t="s">
        <v>12475</v>
      </c>
      <c r="U1389" s="2" t="s">
        <v>12476</v>
      </c>
      <c r="V1389" s="2" t="s">
        <v>553</v>
      </c>
      <c r="W1389" s="2" t="s">
        <v>12477</v>
      </c>
      <c r="X1389" s="2" t="s">
        <v>375</v>
      </c>
      <c r="Y1389" s="2" t="s">
        <v>556</v>
      </c>
      <c r="Z1389" s="2" t="s">
        <v>12478</v>
      </c>
      <c r="AA1389" s="2"/>
      <c r="AB1389" s="2" t="s">
        <v>5118</v>
      </c>
      <c r="AC1389" s="2">
        <v>45.4</v>
      </c>
      <c r="AD1389" s="2">
        <v>94.06</v>
      </c>
      <c r="AE1389" s="2">
        <v>72.09</v>
      </c>
      <c r="AF1389" s="2" t="s">
        <v>12479</v>
      </c>
      <c r="AG1389" s="2" t="s">
        <v>103</v>
      </c>
      <c r="AH1389" s="2" t="s">
        <v>12480</v>
      </c>
      <c r="AI1389" s="2">
        <v>-5.79</v>
      </c>
      <c r="AJ1389" s="2">
        <v>18.473492241650799</v>
      </c>
      <c r="AK1389" s="2">
        <v>18.109694885227899</v>
      </c>
      <c r="AL1389" s="2">
        <v>17.782710198961599</v>
      </c>
      <c r="AM1389" s="2">
        <v>18.0192771026828</v>
      </c>
      <c r="AN1389" s="2">
        <v>17.986718456499101</v>
      </c>
      <c r="AO1389" s="2">
        <v>17.7317927353591</v>
      </c>
      <c r="AP1389" s="2">
        <v>17.849945338438701</v>
      </c>
      <c r="AQ1389" s="2">
        <v>18.290508046602</v>
      </c>
      <c r="AR1389" s="2">
        <v>17.8628935666861</v>
      </c>
      <c r="AS1389" s="2">
        <v>15.602616232409099</v>
      </c>
      <c r="AT1389" s="2">
        <v>18.3823719888365</v>
      </c>
      <c r="AU1389" s="2">
        <v>18.043846419312299</v>
      </c>
      <c r="AV1389" s="2">
        <v>16.261504921848299</v>
      </c>
      <c r="AW1389" s="2">
        <v>18.636817320058999</v>
      </c>
      <c r="AX1389" s="2">
        <v>15.4800968922554</v>
      </c>
      <c r="AY1389" s="2">
        <v>16.8675115032134</v>
      </c>
      <c r="AZ1389" s="2">
        <v>16.155752908223501</v>
      </c>
      <c r="BA1389" s="2">
        <v>18.925984935734</v>
      </c>
      <c r="BB1389" s="2">
        <v>17.914841216587899</v>
      </c>
      <c r="BC1389" s="2">
        <v>18.059827809867699</v>
      </c>
      <c r="BD1389" s="2">
        <v>18.198319135876002</v>
      </c>
      <c r="BE1389" s="2">
        <v>16.627760855121402</v>
      </c>
      <c r="BF1389" s="2">
        <v>16.956334521246902</v>
      </c>
      <c r="BG1389" s="2">
        <v>16.935903293239299</v>
      </c>
      <c r="BH1389" s="2">
        <v>17.6524641571052</v>
      </c>
      <c r="BI1389" s="2">
        <v>17.278199150116901</v>
      </c>
      <c r="BJ1389" s="2">
        <v>20.725420723092402</v>
      </c>
      <c r="BK1389" s="2">
        <v>18.8317555109872</v>
      </c>
      <c r="BL1389" s="2">
        <v>17.756012733765001</v>
      </c>
      <c r="BM1389" s="2">
        <v>17.064668253891099</v>
      </c>
      <c r="BN1389" s="2">
        <v>19.140291499956501</v>
      </c>
      <c r="BO1389" s="2">
        <v>18.2666515470282</v>
      </c>
      <c r="BP1389" s="2">
        <v>14.2891637218426</v>
      </c>
      <c r="BQ1389" s="2">
        <v>17.991743651801201</v>
      </c>
      <c r="BR1389" s="2">
        <v>15.6779863240073</v>
      </c>
      <c r="BS1389" s="2">
        <v>17.0612588469325</v>
      </c>
      <c r="BT1389" s="2">
        <v>20.593636584757501</v>
      </c>
      <c r="BU1389" s="2">
        <v>19.1987898225908</v>
      </c>
      <c r="BV1389" s="2">
        <v>16.827115652459</v>
      </c>
      <c r="BW1389" s="2">
        <v>14.732456296211099</v>
      </c>
      <c r="BX1389" s="2">
        <v>18.017477161110101</v>
      </c>
      <c r="BY1389" s="2">
        <v>17.706920626799199</v>
      </c>
      <c r="BZ1389" s="2">
        <v>15.007038658391499</v>
      </c>
      <c r="CA1389" s="2">
        <v>17.347243743132999</v>
      </c>
      <c r="CB1389" s="2">
        <v>13.7855495300697</v>
      </c>
      <c r="CC1389" s="2">
        <v>18.371988141878099</v>
      </c>
      <c r="CD1389" s="2">
        <v>18.750358116996299</v>
      </c>
      <c r="CE1389" s="2">
        <v>18.855282711521099</v>
      </c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</row>
    <row r="1390" spans="1:97">
      <c r="A1390" s="2" t="s">
        <v>12481</v>
      </c>
      <c r="B1390" s="2">
        <v>568.26473999999996</v>
      </c>
      <c r="C1390" s="2">
        <v>10.349</v>
      </c>
      <c r="D1390" s="2" t="s">
        <v>146</v>
      </c>
      <c r="E1390" s="2" t="s">
        <v>12482</v>
      </c>
      <c r="F1390" s="2" t="s">
        <v>12483</v>
      </c>
      <c r="G1390" s="2">
        <v>204475</v>
      </c>
      <c r="H1390" s="3" t="str">
        <f>HYPERLINK("https://cloud.oebiotech.com/#/lm/network/204475", "https://cloud.oebiotech.com/#/lm/network/204475")</f>
        <v>https://cloud.oebiotech.com/#/lm/network/204475</v>
      </c>
      <c r="I1390" s="2" t="s">
        <v>12484</v>
      </c>
      <c r="J1390" s="2"/>
      <c r="K1390" s="2"/>
      <c r="L1390" s="2">
        <v>1959</v>
      </c>
      <c r="M1390" s="2"/>
      <c r="N1390" s="2"/>
      <c r="O1390" s="2"/>
      <c r="P1390" s="2"/>
      <c r="Q1390" s="2"/>
      <c r="R1390" s="2"/>
      <c r="S1390" s="2"/>
      <c r="T1390" s="2" t="s">
        <v>12485</v>
      </c>
      <c r="U1390" s="2" t="s">
        <v>12486</v>
      </c>
      <c r="V1390" s="2" t="s">
        <v>553</v>
      </c>
      <c r="W1390" s="2" t="s">
        <v>12487</v>
      </c>
      <c r="X1390" s="2" t="s">
        <v>375</v>
      </c>
      <c r="Y1390" s="2" t="s">
        <v>556</v>
      </c>
      <c r="Z1390" s="2" t="s">
        <v>12488</v>
      </c>
      <c r="AA1390" s="2"/>
      <c r="AB1390" s="2" t="s">
        <v>5118</v>
      </c>
      <c r="AC1390" s="2">
        <v>45.4</v>
      </c>
      <c r="AD1390" s="2">
        <v>92.82</v>
      </c>
      <c r="AE1390" s="2">
        <v>55.14</v>
      </c>
      <c r="AF1390" s="2" t="s">
        <v>12489</v>
      </c>
      <c r="AG1390" s="2" t="s">
        <v>157</v>
      </c>
      <c r="AH1390" s="2" t="s">
        <v>12490</v>
      </c>
      <c r="AI1390" s="2">
        <v>2.99</v>
      </c>
      <c r="AJ1390" s="2">
        <v>21.247054744946301</v>
      </c>
      <c r="AK1390" s="2">
        <v>21.1161626419775</v>
      </c>
      <c r="AL1390" s="2">
        <v>20.990900731790202</v>
      </c>
      <c r="AM1390" s="2">
        <v>20.958555611069698</v>
      </c>
      <c r="AN1390" s="2">
        <v>21.057125720842201</v>
      </c>
      <c r="AO1390" s="2">
        <v>21.001841776201601</v>
      </c>
      <c r="AP1390" s="2">
        <v>21.384555402535501</v>
      </c>
      <c r="AQ1390" s="2">
        <v>20.9690393184237</v>
      </c>
      <c r="AR1390" s="2">
        <v>21.376686341706002</v>
      </c>
      <c r="AS1390" s="2">
        <v>20.4063343218975</v>
      </c>
      <c r="AT1390" s="2">
        <v>20.8873650744179</v>
      </c>
      <c r="AU1390" s="2">
        <v>20.9196729933469</v>
      </c>
      <c r="AV1390" s="2">
        <v>20.8463161083138</v>
      </c>
      <c r="AW1390" s="2">
        <v>21.3005328211445</v>
      </c>
      <c r="AX1390" s="2">
        <v>21.331218498256099</v>
      </c>
      <c r="AY1390" s="2">
        <v>21.112195292648099</v>
      </c>
      <c r="AZ1390" s="2">
        <v>20.8402690462054</v>
      </c>
      <c r="BA1390" s="2">
        <v>20.191108060567402</v>
      </c>
      <c r="BB1390" s="2">
        <v>20.548866262162299</v>
      </c>
      <c r="BC1390" s="2">
        <v>21.0560685998027</v>
      </c>
      <c r="BD1390" s="2">
        <v>20.581174785913301</v>
      </c>
      <c r="BE1390" s="2">
        <v>20.042135352639601</v>
      </c>
      <c r="BF1390" s="2">
        <v>21.092517262709801</v>
      </c>
      <c r="BG1390" s="2">
        <v>20.8152663194745</v>
      </c>
      <c r="BH1390" s="2">
        <v>19.814650835344501</v>
      </c>
      <c r="BI1390" s="2">
        <v>21.5943220704869</v>
      </c>
      <c r="BJ1390" s="2">
        <v>21.057590538753299</v>
      </c>
      <c r="BK1390" s="2">
        <v>20.981582527290001</v>
      </c>
      <c r="BL1390" s="2">
        <v>21.333045016442799</v>
      </c>
      <c r="BM1390" s="2">
        <v>20.9092666543951</v>
      </c>
      <c r="BN1390" s="2">
        <v>21.0527954770895</v>
      </c>
      <c r="BO1390" s="2">
        <v>20.745195996193601</v>
      </c>
      <c r="BP1390" s="2">
        <v>20.998014532475999</v>
      </c>
      <c r="BQ1390" s="2">
        <v>21.172476983479999</v>
      </c>
      <c r="BR1390" s="2">
        <v>21.6317941134776</v>
      </c>
      <c r="BS1390" s="2">
        <v>20.580472856229299</v>
      </c>
      <c r="BT1390" s="2">
        <v>20.370799719264699</v>
      </c>
      <c r="BU1390" s="2">
        <v>20.434342361208401</v>
      </c>
      <c r="BV1390" s="2">
        <v>20.567548444455699</v>
      </c>
      <c r="BW1390" s="2">
        <v>21.173046716065699</v>
      </c>
      <c r="BX1390" s="2">
        <v>20.5321298015295</v>
      </c>
      <c r="BY1390" s="2">
        <v>20.0326827050128</v>
      </c>
      <c r="BZ1390" s="2">
        <v>21.3589960460185</v>
      </c>
      <c r="CA1390" s="2">
        <v>20.707020825946799</v>
      </c>
      <c r="CB1390" s="2">
        <v>20.2030890633431</v>
      </c>
      <c r="CC1390" s="2">
        <v>21.176463943704</v>
      </c>
      <c r="CD1390" s="2">
        <v>20.514756483682302</v>
      </c>
      <c r="CE1390" s="2">
        <v>20.5813335091398</v>
      </c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</row>
    <row r="1391" spans="1:97">
      <c r="A1391" s="2" t="s">
        <v>12491</v>
      </c>
      <c r="B1391" s="2">
        <v>394.29453999999998</v>
      </c>
      <c r="C1391" s="2">
        <v>9.1910000000000007</v>
      </c>
      <c r="D1391" s="2" t="s">
        <v>84</v>
      </c>
      <c r="E1391" s="2" t="s">
        <v>12492</v>
      </c>
      <c r="F1391" s="2"/>
      <c r="G1391" s="2">
        <v>596433</v>
      </c>
      <c r="H1391" s="3" t="str">
        <f>HYPERLINK("https://cloud.oebiotech.com/#/lm/network/596433", "https://cloud.oebiotech.com/#/lm/network/596433")</f>
        <v>https://cloud.oebiotech.com/#/lm/network/596433</v>
      </c>
      <c r="I1391" s="2"/>
      <c r="J1391" s="2"/>
      <c r="K1391" s="2"/>
      <c r="L1391" s="2">
        <v>156962299</v>
      </c>
      <c r="M1391" s="2"/>
      <c r="N1391" s="2"/>
      <c r="O1391" s="2"/>
      <c r="P1391" s="2"/>
      <c r="Q1391" s="2"/>
      <c r="R1391" s="2"/>
      <c r="S1391" s="2"/>
      <c r="T1391" s="2" t="s">
        <v>12493</v>
      </c>
      <c r="U1391" s="2" t="s">
        <v>12494</v>
      </c>
      <c r="V1391" s="2" t="s">
        <v>95</v>
      </c>
      <c r="W1391" s="2" t="s">
        <v>96</v>
      </c>
      <c r="X1391" s="2" t="s">
        <v>97</v>
      </c>
      <c r="Y1391" s="2" t="s">
        <v>98</v>
      </c>
      <c r="Z1391" s="2" t="s">
        <v>99</v>
      </c>
      <c r="AA1391" s="2" t="s">
        <v>100</v>
      </c>
      <c r="AB1391" s="2" t="s">
        <v>8443</v>
      </c>
      <c r="AC1391" s="2">
        <v>45.39</v>
      </c>
      <c r="AD1391" s="2">
        <v>97.57</v>
      </c>
      <c r="AE1391" s="2">
        <v>0</v>
      </c>
      <c r="AF1391" s="2" t="s">
        <v>12495</v>
      </c>
      <c r="AG1391" s="2" t="s">
        <v>103</v>
      </c>
      <c r="AH1391" s="2" t="s">
        <v>12496</v>
      </c>
      <c r="AI1391" s="2">
        <v>1.78</v>
      </c>
      <c r="AJ1391" s="2">
        <v>20.006011706770501</v>
      </c>
      <c r="AK1391" s="2">
        <v>19.276195370272401</v>
      </c>
      <c r="AL1391" s="2">
        <v>20.226004264995598</v>
      </c>
      <c r="AM1391" s="2">
        <v>20.204430882046399</v>
      </c>
      <c r="AN1391" s="2">
        <v>19.227545227326399</v>
      </c>
      <c r="AO1391" s="2">
        <v>19.4886021200148</v>
      </c>
      <c r="AP1391" s="2">
        <v>19.5906139664344</v>
      </c>
      <c r="AQ1391" s="2">
        <v>20.089584121499499</v>
      </c>
      <c r="AR1391" s="2">
        <v>18.674221963000299</v>
      </c>
      <c r="AS1391" s="2">
        <v>17.535730324358401</v>
      </c>
      <c r="AT1391" s="2">
        <v>20.489308986951102</v>
      </c>
      <c r="AU1391" s="2">
        <v>17.979977533174001</v>
      </c>
      <c r="AV1391" s="2">
        <v>18.522905949449399</v>
      </c>
      <c r="AW1391" s="2">
        <v>20.069112028943199</v>
      </c>
      <c r="AX1391" s="2">
        <v>20.133896475831399</v>
      </c>
      <c r="AY1391" s="2">
        <v>20.092839258849601</v>
      </c>
      <c r="AZ1391" s="2">
        <v>17.851227599908999</v>
      </c>
      <c r="BA1391" s="2">
        <v>19.9054933944482</v>
      </c>
      <c r="BB1391" s="2">
        <v>20.254850246465399</v>
      </c>
      <c r="BC1391" s="2">
        <v>20.331913940917602</v>
      </c>
      <c r="BD1391" s="2">
        <v>18.2058035565063</v>
      </c>
      <c r="BE1391" s="2">
        <v>19.364914588438001</v>
      </c>
      <c r="BF1391" s="2">
        <v>18.652021741134799</v>
      </c>
      <c r="BG1391" s="2">
        <v>20.441255727195301</v>
      </c>
      <c r="BH1391" s="2">
        <v>18.047732292951999</v>
      </c>
      <c r="BI1391" s="2">
        <v>20.435638939677499</v>
      </c>
      <c r="BJ1391" s="2">
        <v>19.8690154004858</v>
      </c>
      <c r="BK1391" s="2">
        <v>18.4322723322474</v>
      </c>
      <c r="BL1391" s="2">
        <v>20.144594829307898</v>
      </c>
      <c r="BM1391" s="2">
        <v>17.645647527164499</v>
      </c>
      <c r="BN1391" s="2">
        <v>19.6506254589777</v>
      </c>
      <c r="BO1391" s="2">
        <v>20.442967402108899</v>
      </c>
      <c r="BP1391" s="2">
        <v>20.099655830761399</v>
      </c>
      <c r="BQ1391" s="2">
        <v>20.839776178913301</v>
      </c>
      <c r="BR1391" s="2">
        <v>20.794187737963501</v>
      </c>
      <c r="BS1391" s="2">
        <v>18.684280412209201</v>
      </c>
      <c r="BT1391" s="2">
        <v>19.912244789577102</v>
      </c>
      <c r="BU1391" s="2">
        <v>19.538703901575101</v>
      </c>
      <c r="BV1391" s="2">
        <v>20.246167655401798</v>
      </c>
      <c r="BW1391" s="2">
        <v>19.89238365832</v>
      </c>
      <c r="BX1391" s="2">
        <v>19.4961950112931</v>
      </c>
      <c r="BY1391" s="2">
        <v>18.3596781923641</v>
      </c>
      <c r="BZ1391" s="2">
        <v>19.747667716176501</v>
      </c>
      <c r="CA1391" s="2">
        <v>19.4519739806526</v>
      </c>
      <c r="CB1391" s="2">
        <v>19.621590122222202</v>
      </c>
      <c r="CC1391" s="2">
        <v>20.8752777525516</v>
      </c>
      <c r="CD1391" s="2">
        <v>19.708767898904799</v>
      </c>
      <c r="CE1391" s="2">
        <v>20.495061961648801</v>
      </c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</row>
    <row r="1392" spans="1:97">
      <c r="A1392" s="2" t="s">
        <v>12497</v>
      </c>
      <c r="B1392" s="2">
        <v>466.32850000000002</v>
      </c>
      <c r="C1392" s="2">
        <v>10.904999999999999</v>
      </c>
      <c r="D1392" s="2" t="s">
        <v>146</v>
      </c>
      <c r="E1392" s="2" t="s">
        <v>12498</v>
      </c>
      <c r="F1392" s="2" t="s">
        <v>12499</v>
      </c>
      <c r="G1392" s="2">
        <v>198461</v>
      </c>
      <c r="H1392" s="3" t="str">
        <f>HYPERLINK("https://cloud.oebiotech.com/#/lm/network/198461", "https://cloud.oebiotech.com/#/lm/network/198461")</f>
        <v>https://cloud.oebiotech.com/#/lm/network/198461</v>
      </c>
      <c r="I1392" s="2" t="s">
        <v>12500</v>
      </c>
      <c r="J1392" s="2"/>
      <c r="K1392" s="2"/>
      <c r="L1392" s="2">
        <v>3120426</v>
      </c>
      <c r="M1392" s="2"/>
      <c r="N1392" s="2"/>
      <c r="O1392" s="2"/>
      <c r="P1392" s="2"/>
      <c r="Q1392" s="2"/>
      <c r="R1392" s="2"/>
      <c r="S1392" s="2"/>
      <c r="T1392" s="2" t="s">
        <v>12501</v>
      </c>
      <c r="U1392" s="2" t="s">
        <v>12502</v>
      </c>
      <c r="V1392" s="2" t="s">
        <v>115</v>
      </c>
      <c r="W1392" s="2" t="s">
        <v>116</v>
      </c>
      <c r="X1392" s="2" t="s">
        <v>117</v>
      </c>
      <c r="Y1392" s="2" t="s">
        <v>118</v>
      </c>
      <c r="Z1392" s="2" t="s">
        <v>119</v>
      </c>
      <c r="AA1392" s="2" t="s">
        <v>120</v>
      </c>
      <c r="AB1392" s="2" t="s">
        <v>8443</v>
      </c>
      <c r="AC1392" s="2">
        <v>45.37</v>
      </c>
      <c r="AD1392" s="2">
        <v>82.24</v>
      </c>
      <c r="AE1392" s="2">
        <v>0</v>
      </c>
      <c r="AF1392" s="2" t="s">
        <v>12503</v>
      </c>
      <c r="AG1392" s="2" t="s">
        <v>157</v>
      </c>
      <c r="AH1392" s="2" t="s">
        <v>12504</v>
      </c>
      <c r="AI1392" s="2">
        <v>0.21</v>
      </c>
      <c r="AJ1392" s="2">
        <v>18.1821394711917</v>
      </c>
      <c r="AK1392" s="2">
        <v>18.1847896939042</v>
      </c>
      <c r="AL1392" s="2">
        <v>17.947304703187601</v>
      </c>
      <c r="AM1392" s="2">
        <v>17.802910545760302</v>
      </c>
      <c r="AN1392" s="2">
        <v>18.0540207758159</v>
      </c>
      <c r="AO1392" s="2">
        <v>18.0571067898981</v>
      </c>
      <c r="AP1392" s="2">
        <v>17.634438064726002</v>
      </c>
      <c r="AQ1392" s="2">
        <v>18.3138993402635</v>
      </c>
      <c r="AR1392" s="2">
        <v>17.711685052841599</v>
      </c>
      <c r="AS1392" s="2">
        <v>17.106765038540601</v>
      </c>
      <c r="AT1392" s="2">
        <v>17.695318090050002</v>
      </c>
      <c r="AU1392" s="2">
        <v>17.8281923424118</v>
      </c>
      <c r="AV1392" s="2">
        <v>18.0655709653131</v>
      </c>
      <c r="AW1392" s="2">
        <v>17.220961602602099</v>
      </c>
      <c r="AX1392" s="2">
        <v>17.4076755561223</v>
      </c>
      <c r="AY1392" s="2">
        <v>17.596663310281301</v>
      </c>
      <c r="AZ1392" s="2">
        <v>18.119941994467201</v>
      </c>
      <c r="BA1392" s="2">
        <v>16.177742838935298</v>
      </c>
      <c r="BB1392" s="2">
        <v>17.7160236379904</v>
      </c>
      <c r="BC1392" s="2">
        <v>18.207865929776901</v>
      </c>
      <c r="BD1392" s="2">
        <v>17.639380916432401</v>
      </c>
      <c r="BE1392" s="2">
        <v>18.507099166164402</v>
      </c>
      <c r="BF1392" s="2">
        <v>17.406519514136299</v>
      </c>
      <c r="BG1392" s="2">
        <v>17.778786787525998</v>
      </c>
      <c r="BH1392" s="2">
        <v>18.912904301868501</v>
      </c>
      <c r="BI1392" s="2">
        <v>17.2209857786256</v>
      </c>
      <c r="BJ1392" s="2">
        <v>16.844633441528401</v>
      </c>
      <c r="BK1392" s="2">
        <v>17.232970883554099</v>
      </c>
      <c r="BL1392" s="2">
        <v>18.2269648202229</v>
      </c>
      <c r="BM1392" s="2">
        <v>17.939409966397601</v>
      </c>
      <c r="BN1392" s="2">
        <v>17.9753557407602</v>
      </c>
      <c r="BO1392" s="2">
        <v>18.120533294560101</v>
      </c>
      <c r="BP1392" s="2">
        <v>18.031859640254101</v>
      </c>
      <c r="BQ1392" s="2">
        <v>17.925581385846002</v>
      </c>
      <c r="BR1392" s="2">
        <v>17.751607342975198</v>
      </c>
      <c r="BS1392" s="2">
        <v>17.711228296829901</v>
      </c>
      <c r="BT1392" s="2">
        <v>18.588128201983899</v>
      </c>
      <c r="BU1392" s="2">
        <v>17.868439287999902</v>
      </c>
      <c r="BV1392" s="2">
        <v>18.258821841156202</v>
      </c>
      <c r="BW1392" s="2">
        <v>18.008893833715501</v>
      </c>
      <c r="BX1392" s="2">
        <v>17.514204956392099</v>
      </c>
      <c r="BY1392" s="2">
        <v>19.0955818912784</v>
      </c>
      <c r="BZ1392" s="2">
        <v>17.1708293375181</v>
      </c>
      <c r="CA1392" s="2">
        <v>18.145945724741701</v>
      </c>
      <c r="CB1392" s="2">
        <v>17.128461404902499</v>
      </c>
      <c r="CC1392" s="2">
        <v>16.814125668669099</v>
      </c>
      <c r="CD1392" s="2">
        <v>18.163269092599698</v>
      </c>
      <c r="CE1392" s="2">
        <v>17.3125940612723</v>
      </c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</row>
    <row r="1393" spans="1:97">
      <c r="A1393" s="2" t="s">
        <v>12505</v>
      </c>
      <c r="B1393" s="2">
        <v>156.02090000000001</v>
      </c>
      <c r="C1393" s="2">
        <v>5.3010000000000002</v>
      </c>
      <c r="D1393" s="2" t="s">
        <v>84</v>
      </c>
      <c r="E1393" s="2" t="s">
        <v>12506</v>
      </c>
      <c r="F1393" s="2" t="s">
        <v>12507</v>
      </c>
      <c r="G1393" s="2">
        <v>201160</v>
      </c>
      <c r="H1393" s="3" t="str">
        <f>HYPERLINK("https://cloud.oebiotech.com/#/lm/network/201160", "https://cloud.oebiotech.com/#/lm/network/201160")</f>
        <v>https://cloud.oebiotech.com/#/lm/network/201160</v>
      </c>
      <c r="I1393" s="2" t="s">
        <v>12508</v>
      </c>
      <c r="J1393" s="2"/>
      <c r="K1393" s="2"/>
      <c r="L1393" s="2"/>
      <c r="M1393" s="2"/>
      <c r="N1393" s="2"/>
      <c r="O1393" s="2"/>
      <c r="P1393" s="2">
        <v>33179</v>
      </c>
      <c r="Q1393" s="2"/>
      <c r="R1393" s="2"/>
      <c r="S1393" s="2"/>
      <c r="T1393" s="2" t="s">
        <v>12509</v>
      </c>
      <c r="U1393" s="2" t="s">
        <v>12510</v>
      </c>
      <c r="V1393" s="2" t="s">
        <v>553</v>
      </c>
      <c r="W1393" s="2" t="s">
        <v>8921</v>
      </c>
      <c r="X1393" s="2" t="s">
        <v>12511</v>
      </c>
      <c r="Y1393" s="2" t="s">
        <v>556</v>
      </c>
      <c r="Z1393" s="2" t="s">
        <v>8923</v>
      </c>
      <c r="AA1393" s="2" t="s">
        <v>12507</v>
      </c>
      <c r="AB1393" s="2" t="s">
        <v>8443</v>
      </c>
      <c r="AC1393" s="2">
        <v>45.35</v>
      </c>
      <c r="AD1393" s="2">
        <v>91.06</v>
      </c>
      <c r="AE1393" s="2">
        <v>0</v>
      </c>
      <c r="AF1393" s="2" t="s">
        <v>5614</v>
      </c>
      <c r="AG1393" s="2" t="s">
        <v>3544</v>
      </c>
      <c r="AH1393" s="2" t="s">
        <v>12512</v>
      </c>
      <c r="AI1393" s="2">
        <v>0.64</v>
      </c>
      <c r="AJ1393" s="2">
        <v>24.978981294365301</v>
      </c>
      <c r="AK1393" s="2">
        <v>25.023544176393901</v>
      </c>
      <c r="AL1393" s="2">
        <v>25.074237496404201</v>
      </c>
      <c r="AM1393" s="2">
        <v>24.999321474675401</v>
      </c>
      <c r="AN1393" s="2">
        <v>25.039570920247598</v>
      </c>
      <c r="AO1393" s="2">
        <v>25.0536341916285</v>
      </c>
      <c r="AP1393" s="2">
        <v>24.924922999487201</v>
      </c>
      <c r="AQ1393" s="2">
        <v>24.789707325473</v>
      </c>
      <c r="AR1393" s="2">
        <v>25.066014621781701</v>
      </c>
      <c r="AS1393" s="2">
        <v>25.121491855364699</v>
      </c>
      <c r="AT1393" s="2">
        <v>25.117726181100402</v>
      </c>
      <c r="AU1393" s="2">
        <v>25.164185778705001</v>
      </c>
      <c r="AV1393" s="2">
        <v>25.030937066852701</v>
      </c>
      <c r="AW1393" s="2">
        <v>24.918640633958201</v>
      </c>
      <c r="AX1393" s="2">
        <v>25.027882164559198</v>
      </c>
      <c r="AY1393" s="2">
        <v>25.1423011917473</v>
      </c>
      <c r="AZ1393" s="2">
        <v>24.8779628942283</v>
      </c>
      <c r="BA1393" s="2">
        <v>25.004024474638999</v>
      </c>
      <c r="BB1393" s="2">
        <v>25.0954099879247</v>
      </c>
      <c r="BC1393" s="2">
        <v>25.046053274492401</v>
      </c>
      <c r="BD1393" s="2">
        <v>25.103171796734301</v>
      </c>
      <c r="BE1393" s="2">
        <v>25.0613227640048</v>
      </c>
      <c r="BF1393" s="2">
        <v>24.961512506269901</v>
      </c>
      <c r="BG1393" s="2">
        <v>25.121801692571001</v>
      </c>
      <c r="BH1393" s="2">
        <v>24.9697243609059</v>
      </c>
      <c r="BI1393" s="2">
        <v>25.010544476021</v>
      </c>
      <c r="BJ1393" s="2">
        <v>25.098196571950702</v>
      </c>
      <c r="BK1393" s="2">
        <v>25.140002906897202</v>
      </c>
      <c r="BL1393" s="2">
        <v>25.0198451996242</v>
      </c>
      <c r="BM1393" s="2">
        <v>24.9829457752877</v>
      </c>
      <c r="BN1393" s="2">
        <v>25.1847440780756</v>
      </c>
      <c r="BO1393" s="2">
        <v>25.191742814469698</v>
      </c>
      <c r="BP1393" s="2">
        <v>25.124089502751001</v>
      </c>
      <c r="BQ1393" s="2">
        <v>24.779181369813401</v>
      </c>
      <c r="BR1393" s="2">
        <v>25.093465221367701</v>
      </c>
      <c r="BS1393" s="2">
        <v>25.0670053097483</v>
      </c>
      <c r="BT1393" s="2">
        <v>24.9516463311327</v>
      </c>
      <c r="BU1393" s="2">
        <v>25.1580424358873</v>
      </c>
      <c r="BV1393" s="2">
        <v>25.174883922747199</v>
      </c>
      <c r="BW1393" s="2">
        <v>25.195320046288298</v>
      </c>
      <c r="BX1393" s="2">
        <v>25.0699304559867</v>
      </c>
      <c r="BY1393" s="2">
        <v>25.160134219313001</v>
      </c>
      <c r="BZ1393" s="2">
        <v>25.147246333159799</v>
      </c>
      <c r="CA1393" s="2">
        <v>24.871063185047301</v>
      </c>
      <c r="CB1393" s="2">
        <v>25.1246644757131</v>
      </c>
      <c r="CC1393" s="2">
        <v>25.0593191321707</v>
      </c>
      <c r="CD1393" s="2">
        <v>25.0621773017577</v>
      </c>
      <c r="CE1393" s="2">
        <v>24.930248594446901</v>
      </c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</row>
    <row r="1394" spans="1:97">
      <c r="A1394" s="2" t="s">
        <v>12513</v>
      </c>
      <c r="B1394" s="2">
        <v>335.02755000000002</v>
      </c>
      <c r="C1394" s="2">
        <v>4.9509999999999996</v>
      </c>
      <c r="D1394" s="2" t="s">
        <v>146</v>
      </c>
      <c r="E1394" s="2" t="s">
        <v>12514</v>
      </c>
      <c r="F1394" s="2" t="s">
        <v>12515</v>
      </c>
      <c r="G1394" s="2">
        <v>199694</v>
      </c>
      <c r="H1394" s="3" t="str">
        <f>HYPERLINK("https://cloud.oebiotech.com/#/lm/network/199694", "https://cloud.oebiotech.com/#/lm/network/199694")</f>
        <v>https://cloud.oebiotech.com/#/lm/network/199694</v>
      </c>
      <c r="I1394" s="2" t="s">
        <v>12516</v>
      </c>
      <c r="J1394" s="2"/>
      <c r="K1394" s="2"/>
      <c r="L1394" s="2">
        <v>7452</v>
      </c>
      <c r="M1394" s="2"/>
      <c r="N1394" s="2"/>
      <c r="O1394" s="2"/>
      <c r="P1394" s="2">
        <v>51397</v>
      </c>
      <c r="Q1394" s="2"/>
      <c r="R1394" s="2"/>
      <c r="S1394" s="2"/>
      <c r="T1394" s="2" t="s">
        <v>12517</v>
      </c>
      <c r="U1394" s="2" t="s">
        <v>12518</v>
      </c>
      <c r="V1394" s="2" t="s">
        <v>385</v>
      </c>
      <c r="W1394" s="2" t="s">
        <v>386</v>
      </c>
      <c r="X1394" s="2" t="s">
        <v>12519</v>
      </c>
      <c r="Y1394" s="2" t="s">
        <v>388</v>
      </c>
      <c r="Z1394" s="2" t="s">
        <v>389</v>
      </c>
      <c r="AA1394" s="2" t="s">
        <v>12520</v>
      </c>
      <c r="AB1394" s="2" t="s">
        <v>8443</v>
      </c>
      <c r="AC1394" s="2">
        <v>45.34</v>
      </c>
      <c r="AD1394" s="2">
        <v>91.18</v>
      </c>
      <c r="AE1394" s="2">
        <v>0</v>
      </c>
      <c r="AF1394" s="2" t="s">
        <v>12521</v>
      </c>
      <c r="AG1394" s="2" t="s">
        <v>3880</v>
      </c>
      <c r="AH1394" s="2" t="s">
        <v>12522</v>
      </c>
      <c r="AI1394" s="2">
        <v>-2.09</v>
      </c>
      <c r="AJ1394" s="2">
        <v>19.1856915856347</v>
      </c>
      <c r="AK1394" s="2">
        <v>19.045289815414399</v>
      </c>
      <c r="AL1394" s="2">
        <v>19.084904256046901</v>
      </c>
      <c r="AM1394" s="2">
        <v>19.052708428042301</v>
      </c>
      <c r="AN1394" s="2">
        <v>19.358120299194599</v>
      </c>
      <c r="AO1394" s="2">
        <v>19.256966820252199</v>
      </c>
      <c r="AP1394" s="2">
        <v>19.054132122854099</v>
      </c>
      <c r="AQ1394" s="2">
        <v>19.170565313545701</v>
      </c>
      <c r="AR1394" s="2">
        <v>17.909480787782901</v>
      </c>
      <c r="AS1394" s="2">
        <v>17.517992107076701</v>
      </c>
      <c r="AT1394" s="2">
        <v>18.117271037586502</v>
      </c>
      <c r="AU1394" s="2">
        <v>19.672251569408399</v>
      </c>
      <c r="AV1394" s="2">
        <v>18.2428784134881</v>
      </c>
      <c r="AW1394" s="2">
        <v>18.467045988120201</v>
      </c>
      <c r="AX1394" s="2">
        <v>17.363062052378499</v>
      </c>
      <c r="AY1394" s="2">
        <v>17.3997467175469</v>
      </c>
      <c r="AZ1394" s="2">
        <v>17.970575759771702</v>
      </c>
      <c r="BA1394" s="2">
        <v>19.9149718814731</v>
      </c>
      <c r="BB1394" s="2">
        <v>20.044402244421399</v>
      </c>
      <c r="BC1394" s="2">
        <v>19.806420039939599</v>
      </c>
      <c r="BD1394" s="2">
        <v>19.661128770209501</v>
      </c>
      <c r="BE1394" s="2">
        <v>18.540987834220999</v>
      </c>
      <c r="BF1394" s="2">
        <v>18.7050064380709</v>
      </c>
      <c r="BG1394" s="2">
        <v>18.905731354002199</v>
      </c>
      <c r="BH1394" s="2">
        <v>19.7351009618049</v>
      </c>
      <c r="BI1394" s="2">
        <v>17.484904062451701</v>
      </c>
      <c r="BJ1394" s="2">
        <v>20.180090933626101</v>
      </c>
      <c r="BK1394" s="2">
        <v>20.2474879587649</v>
      </c>
      <c r="BL1394" s="2">
        <v>19.132567178663798</v>
      </c>
      <c r="BM1394" s="2">
        <v>18.8954114434122</v>
      </c>
      <c r="BN1394" s="2">
        <v>19.4135977265775</v>
      </c>
      <c r="BO1394" s="2">
        <v>19.720066379117</v>
      </c>
      <c r="BP1394" s="2">
        <v>17.5629626377779</v>
      </c>
      <c r="BQ1394" s="2">
        <v>18.248842162457699</v>
      </c>
      <c r="BR1394" s="2">
        <v>17.744243431326801</v>
      </c>
      <c r="BS1394" s="2">
        <v>17.9922282730255</v>
      </c>
      <c r="BT1394" s="2">
        <v>20.585730146250899</v>
      </c>
      <c r="BU1394" s="2">
        <v>19.924566798035801</v>
      </c>
      <c r="BV1394" s="2">
        <v>19.6822866782747</v>
      </c>
      <c r="BW1394" s="2">
        <v>18.655170395709</v>
      </c>
      <c r="BX1394" s="2">
        <v>19.527472367051601</v>
      </c>
      <c r="BY1394" s="2">
        <v>18.7048661908923</v>
      </c>
      <c r="BZ1394" s="2">
        <v>18.1948660025752</v>
      </c>
      <c r="CA1394" s="2">
        <v>18.5761480212409</v>
      </c>
      <c r="CB1394" s="2">
        <v>18.8081155177405</v>
      </c>
      <c r="CC1394" s="2">
        <v>17.663114212086199</v>
      </c>
      <c r="CD1394" s="2">
        <v>19.840364679461999</v>
      </c>
      <c r="CE1394" s="2">
        <v>20.144692667927099</v>
      </c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</row>
    <row r="1395" spans="1:97">
      <c r="A1395" s="2" t="s">
        <v>12523</v>
      </c>
      <c r="B1395" s="2">
        <v>88.021860000000004</v>
      </c>
      <c r="C1395" s="2">
        <v>0.76900000000000002</v>
      </c>
      <c r="D1395" s="2" t="s">
        <v>84</v>
      </c>
      <c r="E1395" s="2" t="s">
        <v>12524</v>
      </c>
      <c r="F1395" s="2" t="s">
        <v>12525</v>
      </c>
      <c r="G1395" s="2">
        <v>200250</v>
      </c>
      <c r="H1395" s="3" t="str">
        <f>HYPERLINK("https://cloud.oebiotech.com/#/lm/network/200250", "https://cloud.oebiotech.com/#/lm/network/200250")</f>
        <v>https://cloud.oebiotech.com/#/lm/network/200250</v>
      </c>
      <c r="I1395" s="2" t="s">
        <v>12526</v>
      </c>
      <c r="J1395" s="2"/>
      <c r="K1395" s="2"/>
      <c r="L1395" s="2">
        <v>19900077</v>
      </c>
      <c r="M1395" s="2"/>
      <c r="N1395" s="2"/>
      <c r="O1395" s="2"/>
      <c r="P1395" s="2"/>
      <c r="Q1395" s="2"/>
      <c r="R1395" s="2"/>
      <c r="S1395" s="2"/>
      <c r="T1395" s="2" t="s">
        <v>12527</v>
      </c>
      <c r="U1395" s="2" t="s">
        <v>12528</v>
      </c>
      <c r="V1395" s="2" t="s">
        <v>9746</v>
      </c>
      <c r="W1395" s="2" t="s">
        <v>12529</v>
      </c>
      <c r="X1395" s="2" t="s">
        <v>12530</v>
      </c>
      <c r="Y1395" s="2" t="s">
        <v>9748</v>
      </c>
      <c r="Z1395" s="2" t="s">
        <v>12531</v>
      </c>
      <c r="AA1395" s="2" t="s">
        <v>12532</v>
      </c>
      <c r="AB1395" s="2" t="s">
        <v>8443</v>
      </c>
      <c r="AC1395" s="2">
        <v>45.33</v>
      </c>
      <c r="AD1395" s="2">
        <v>95.03</v>
      </c>
      <c r="AE1395" s="2">
        <v>0</v>
      </c>
      <c r="AF1395" s="2" t="s">
        <v>5614</v>
      </c>
      <c r="AG1395" s="2" t="s">
        <v>1088</v>
      </c>
      <c r="AH1395" s="2" t="s">
        <v>12533</v>
      </c>
      <c r="AI1395" s="2">
        <v>3.07</v>
      </c>
      <c r="AJ1395" s="2">
        <v>20.034390799175402</v>
      </c>
      <c r="AK1395" s="2">
        <v>20.654396944537702</v>
      </c>
      <c r="AL1395" s="2">
        <v>20.242741001189</v>
      </c>
      <c r="AM1395" s="2">
        <v>20.801582501205498</v>
      </c>
      <c r="AN1395" s="2">
        <v>20.6953663179278</v>
      </c>
      <c r="AO1395" s="2">
        <v>20.292339709968999</v>
      </c>
      <c r="AP1395" s="2">
        <v>20.361520908030599</v>
      </c>
      <c r="AQ1395" s="2">
        <v>20.886467812845002</v>
      </c>
      <c r="AR1395" s="2">
        <v>19.743457666001099</v>
      </c>
      <c r="AS1395" s="2">
        <v>19.6194640050016</v>
      </c>
      <c r="AT1395" s="2">
        <v>20.749905098993999</v>
      </c>
      <c r="AU1395" s="2">
        <v>20.5649091369879</v>
      </c>
      <c r="AV1395" s="2">
        <v>20.1396463488771</v>
      </c>
      <c r="AW1395" s="2">
        <v>20.3840803600791</v>
      </c>
      <c r="AX1395" s="2">
        <v>20.456337508426699</v>
      </c>
      <c r="AY1395" s="2">
        <v>20.648078087197899</v>
      </c>
      <c r="AZ1395" s="2">
        <v>20.568168292361399</v>
      </c>
      <c r="BA1395" s="2">
        <v>20.7883897366913</v>
      </c>
      <c r="BB1395" s="2">
        <v>19.720512146458798</v>
      </c>
      <c r="BC1395" s="2">
        <v>21.2759658405399</v>
      </c>
      <c r="BD1395" s="2">
        <v>20.026581214975501</v>
      </c>
      <c r="BE1395" s="2">
        <v>20.510013460585</v>
      </c>
      <c r="BF1395" s="2">
        <v>21.416998585877401</v>
      </c>
      <c r="BG1395" s="2">
        <v>20.920198677115401</v>
      </c>
      <c r="BH1395" s="2">
        <v>20.463021019295699</v>
      </c>
      <c r="BI1395" s="2">
        <v>19.9083341678514</v>
      </c>
      <c r="BJ1395" s="2">
        <v>20.332922614833699</v>
      </c>
      <c r="BK1395" s="2">
        <v>20.184360791406199</v>
      </c>
      <c r="BL1395" s="2">
        <v>20.5949934854725</v>
      </c>
      <c r="BM1395" s="2">
        <v>20.8992373990557</v>
      </c>
      <c r="BN1395" s="2">
        <v>20.9932408683934</v>
      </c>
      <c r="BO1395" s="2">
        <v>19.744816727200899</v>
      </c>
      <c r="BP1395" s="2">
        <v>19.484586225955301</v>
      </c>
      <c r="BQ1395" s="2">
        <v>20.696900950785899</v>
      </c>
      <c r="BR1395" s="2">
        <v>20.230369540435301</v>
      </c>
      <c r="BS1395" s="2">
        <v>20.430735311048899</v>
      </c>
      <c r="BT1395" s="2">
        <v>20.684359293660901</v>
      </c>
      <c r="BU1395" s="2">
        <v>19.1930725222084</v>
      </c>
      <c r="BV1395" s="2">
        <v>20.603406276427201</v>
      </c>
      <c r="BW1395" s="2">
        <v>20.896911969194498</v>
      </c>
      <c r="BX1395" s="2">
        <v>20.378612248116401</v>
      </c>
      <c r="BY1395" s="2">
        <v>19.993747987879502</v>
      </c>
      <c r="BZ1395" s="2">
        <v>20.680687083556901</v>
      </c>
      <c r="CA1395" s="2">
        <v>20.095196172314399</v>
      </c>
      <c r="CB1395" s="2">
        <v>20.0721277879165</v>
      </c>
      <c r="CC1395" s="2">
        <v>20.5145746037247</v>
      </c>
      <c r="CD1395" s="2">
        <v>20.708862759387198</v>
      </c>
      <c r="CE1395" s="2">
        <v>20.748910463636001</v>
      </c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</row>
    <row r="1396" spans="1:97">
      <c r="A1396" s="2" t="s">
        <v>12534</v>
      </c>
      <c r="B1396" s="2">
        <v>119.03467000000001</v>
      </c>
      <c r="C1396" s="2">
        <v>1.8580000000000001</v>
      </c>
      <c r="D1396" s="2" t="s">
        <v>146</v>
      </c>
      <c r="E1396" s="2" t="s">
        <v>12535</v>
      </c>
      <c r="F1396" s="2" t="s">
        <v>12536</v>
      </c>
      <c r="G1396" s="2">
        <v>50</v>
      </c>
      <c r="H1396" s="3" t="str">
        <f>HYPERLINK("https://cloud.oebiotech.com/#/lm/network/50", "https://cloud.oebiotech.com/#/lm/network/50")</f>
        <v>https://cloud.oebiotech.com/#/lm/network/50</v>
      </c>
      <c r="I1396" s="2" t="s">
        <v>12537</v>
      </c>
      <c r="J1396" s="2">
        <v>3215</v>
      </c>
      <c r="K1396" s="2" t="s">
        <v>12538</v>
      </c>
      <c r="L1396" s="2">
        <v>1032</v>
      </c>
      <c r="M1396" s="2" t="s">
        <v>12539</v>
      </c>
      <c r="N1396" s="2" t="s">
        <v>12540</v>
      </c>
      <c r="O1396" s="2" t="s">
        <v>12541</v>
      </c>
      <c r="P1396" s="2">
        <v>30768</v>
      </c>
      <c r="Q1396" s="2" t="s">
        <v>12542</v>
      </c>
      <c r="R1396" s="2" t="s">
        <v>12543</v>
      </c>
      <c r="S1396" s="2" t="s">
        <v>12544</v>
      </c>
      <c r="T1396" s="2" t="s">
        <v>12545</v>
      </c>
      <c r="U1396" s="2" t="s">
        <v>12546</v>
      </c>
      <c r="V1396" s="2" t="s">
        <v>115</v>
      </c>
      <c r="W1396" s="2" t="s">
        <v>116</v>
      </c>
      <c r="X1396" s="2" t="s">
        <v>2388</v>
      </c>
      <c r="Y1396" s="2" t="s">
        <v>118</v>
      </c>
      <c r="Z1396" s="2" t="s">
        <v>119</v>
      </c>
      <c r="AA1396" s="2" t="s">
        <v>2389</v>
      </c>
      <c r="AB1396" s="2" t="s">
        <v>8443</v>
      </c>
      <c r="AC1396" s="2">
        <v>45.32</v>
      </c>
      <c r="AD1396" s="2">
        <v>97.17</v>
      </c>
      <c r="AE1396" s="2">
        <v>0</v>
      </c>
      <c r="AF1396" s="2" t="s">
        <v>5614</v>
      </c>
      <c r="AG1396" s="2" t="s">
        <v>157</v>
      </c>
      <c r="AH1396" s="2" t="s">
        <v>12547</v>
      </c>
      <c r="AI1396" s="2">
        <v>2.6</v>
      </c>
      <c r="AJ1396" s="2">
        <v>19.659810113559502</v>
      </c>
      <c r="AK1396" s="2">
        <v>19.900116456971801</v>
      </c>
      <c r="AL1396" s="2">
        <v>19.621245796149999</v>
      </c>
      <c r="AM1396" s="2">
        <v>19.4698483457313</v>
      </c>
      <c r="AN1396" s="2">
        <v>19.940830467401099</v>
      </c>
      <c r="AO1396" s="2">
        <v>20.059572359505999</v>
      </c>
      <c r="AP1396" s="2">
        <v>19.8131002118396</v>
      </c>
      <c r="AQ1396" s="2">
        <v>20.0166409528609</v>
      </c>
      <c r="AR1396" s="2">
        <v>19.586024531400799</v>
      </c>
      <c r="AS1396" s="2">
        <v>20.0354259197853</v>
      </c>
      <c r="AT1396" s="2">
        <v>19.811143326676</v>
      </c>
      <c r="AU1396" s="2">
        <v>19.996248615592201</v>
      </c>
      <c r="AV1396" s="2">
        <v>19.131846663930901</v>
      </c>
      <c r="AW1396" s="2">
        <v>20.0106736989353</v>
      </c>
      <c r="AX1396" s="2">
        <v>20.106261056719301</v>
      </c>
      <c r="AY1396" s="2">
        <v>20.0773852207593</v>
      </c>
      <c r="AZ1396" s="2">
        <v>19.810843548419498</v>
      </c>
      <c r="BA1396" s="2">
        <v>19.928571953700999</v>
      </c>
      <c r="BB1396" s="2">
        <v>20.018255704265702</v>
      </c>
      <c r="BC1396" s="2">
        <v>19.8332449562071</v>
      </c>
      <c r="BD1396" s="2">
        <v>20.198476803895002</v>
      </c>
      <c r="BE1396" s="2">
        <v>19.708603231415701</v>
      </c>
      <c r="BF1396" s="2">
        <v>20.389908972023399</v>
      </c>
      <c r="BG1396" s="2">
        <v>20.119534429508199</v>
      </c>
      <c r="BH1396" s="2">
        <v>20.072598147164999</v>
      </c>
      <c r="BI1396" s="2">
        <v>19.818479433100901</v>
      </c>
      <c r="BJ1396" s="2">
        <v>19.892329504612398</v>
      </c>
      <c r="BK1396" s="2">
        <v>19.7543210498112</v>
      </c>
      <c r="BL1396" s="2">
        <v>20.7255075053281</v>
      </c>
      <c r="BM1396" s="2">
        <v>20.3829258545376</v>
      </c>
      <c r="BN1396" s="2">
        <v>19.893321693582301</v>
      </c>
      <c r="BO1396" s="2">
        <v>20.066135885199301</v>
      </c>
      <c r="BP1396" s="2">
        <v>19.953539440125098</v>
      </c>
      <c r="BQ1396" s="2">
        <v>19.733959443663899</v>
      </c>
      <c r="BR1396" s="2">
        <v>20.056126643649399</v>
      </c>
      <c r="BS1396" s="2">
        <v>19.953684860951</v>
      </c>
      <c r="BT1396" s="2">
        <v>20.142297094223299</v>
      </c>
      <c r="BU1396" s="2">
        <v>19.9827276306908</v>
      </c>
      <c r="BV1396" s="2">
        <v>19.975407845649801</v>
      </c>
      <c r="BW1396" s="2">
        <v>19.743726110005799</v>
      </c>
      <c r="BX1396" s="2">
        <v>19.4758293385994</v>
      </c>
      <c r="BY1396" s="2">
        <v>19.651154269553199</v>
      </c>
      <c r="BZ1396" s="2">
        <v>19.906465975378801</v>
      </c>
      <c r="CA1396" s="2">
        <v>20.1351448840873</v>
      </c>
      <c r="CB1396" s="2">
        <v>20.011729969371999</v>
      </c>
      <c r="CC1396" s="2">
        <v>19.7007864612278</v>
      </c>
      <c r="CD1396" s="2">
        <v>20.307995368699402</v>
      </c>
      <c r="CE1396" s="2">
        <v>19.870057577736301</v>
      </c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</row>
    <row r="1397" spans="1:97">
      <c r="A1397" s="2" t="s">
        <v>12548</v>
      </c>
      <c r="B1397" s="2">
        <v>269.10287</v>
      </c>
      <c r="C1397" s="2">
        <v>5.4859999999999998</v>
      </c>
      <c r="D1397" s="2" t="s">
        <v>146</v>
      </c>
      <c r="E1397" s="2" t="s">
        <v>12549</v>
      </c>
      <c r="F1397" s="2"/>
      <c r="G1397" s="2">
        <v>594948</v>
      </c>
      <c r="H1397" s="3" t="str">
        <f>HYPERLINK("https://cloud.oebiotech.com/#/lm/network/594948", "https://cloud.oebiotech.com/#/lm/network/594948")</f>
        <v>https://cloud.oebiotech.com/#/lm/network/594948</v>
      </c>
      <c r="I1397" s="2"/>
      <c r="J1397" s="2"/>
      <c r="K1397" s="2"/>
      <c r="L1397" s="2">
        <v>5316704</v>
      </c>
      <c r="M1397" s="2"/>
      <c r="N1397" s="2"/>
      <c r="O1397" s="2"/>
      <c r="P1397" s="2"/>
      <c r="Q1397" s="2"/>
      <c r="R1397" s="2"/>
      <c r="S1397" s="2"/>
      <c r="T1397" s="2" t="s">
        <v>12550</v>
      </c>
      <c r="U1397" s="2" t="s">
        <v>12551</v>
      </c>
      <c r="V1397" s="2" t="s">
        <v>553</v>
      </c>
      <c r="W1397" s="2" t="s">
        <v>4164</v>
      </c>
      <c r="X1397" s="2" t="s">
        <v>375</v>
      </c>
      <c r="Y1397" s="2" t="s">
        <v>556</v>
      </c>
      <c r="Z1397" s="2" t="s">
        <v>4165</v>
      </c>
      <c r="AA1397" s="2"/>
      <c r="AB1397" s="2" t="s">
        <v>8443</v>
      </c>
      <c r="AC1397" s="2">
        <v>45.32</v>
      </c>
      <c r="AD1397" s="2">
        <v>91.25</v>
      </c>
      <c r="AE1397" s="2">
        <v>0</v>
      </c>
      <c r="AF1397" s="2" t="s">
        <v>5614</v>
      </c>
      <c r="AG1397" s="2" t="s">
        <v>157</v>
      </c>
      <c r="AH1397" s="2" t="s">
        <v>12023</v>
      </c>
      <c r="AI1397" s="2">
        <v>0.74</v>
      </c>
      <c r="AJ1397" s="2">
        <v>17.016169961080301</v>
      </c>
      <c r="AK1397" s="2">
        <v>16.639609351671002</v>
      </c>
      <c r="AL1397" s="2">
        <v>16.576958878332199</v>
      </c>
      <c r="AM1397" s="2">
        <v>16.694024410471599</v>
      </c>
      <c r="AN1397" s="2">
        <v>16.9068736889269</v>
      </c>
      <c r="AO1397" s="2">
        <v>16.9235151693583</v>
      </c>
      <c r="AP1397" s="2">
        <v>16.0869839491275</v>
      </c>
      <c r="AQ1397" s="2">
        <v>16.988448929400999</v>
      </c>
      <c r="AR1397" s="2">
        <v>16.060835863280701</v>
      </c>
      <c r="AS1397" s="2">
        <v>15.7878038705344</v>
      </c>
      <c r="AT1397" s="2">
        <v>16.983845668701498</v>
      </c>
      <c r="AU1397" s="2">
        <v>16.3751665646036</v>
      </c>
      <c r="AV1397" s="2">
        <v>16.065121153161702</v>
      </c>
      <c r="AW1397" s="2">
        <v>16.743618863299002</v>
      </c>
      <c r="AX1397" s="2">
        <v>15.794489481723099</v>
      </c>
      <c r="AY1397" s="2">
        <v>17.227695844427299</v>
      </c>
      <c r="AZ1397" s="2">
        <v>16.597099308537899</v>
      </c>
      <c r="BA1397" s="2">
        <v>17.1771447433551</v>
      </c>
      <c r="BB1397" s="2">
        <v>17.655246018821799</v>
      </c>
      <c r="BC1397" s="2">
        <v>17.1829264779672</v>
      </c>
      <c r="BD1397" s="2">
        <v>16.432399985769599</v>
      </c>
      <c r="BE1397" s="2">
        <v>14.8504588803653</v>
      </c>
      <c r="BF1397" s="2">
        <v>16.114755188014801</v>
      </c>
      <c r="BG1397" s="2">
        <v>16.906043843974199</v>
      </c>
      <c r="BH1397" s="2">
        <v>17.0286647578939</v>
      </c>
      <c r="BI1397" s="2">
        <v>15.1040241326897</v>
      </c>
      <c r="BJ1397" s="2">
        <v>17.234635866848301</v>
      </c>
      <c r="BK1397" s="2">
        <v>16.045530596593601</v>
      </c>
      <c r="BL1397" s="2">
        <v>16.740473712007699</v>
      </c>
      <c r="BM1397" s="2">
        <v>15.7356602030397</v>
      </c>
      <c r="BN1397" s="2">
        <v>17.718436416694399</v>
      </c>
      <c r="BO1397" s="2">
        <v>17.465628258778199</v>
      </c>
      <c r="BP1397" s="2">
        <v>9.6233145402724691</v>
      </c>
      <c r="BQ1397" s="2">
        <v>16.442789968137699</v>
      </c>
      <c r="BR1397" s="2">
        <v>15.169300653421599</v>
      </c>
      <c r="BS1397" s="2">
        <v>16.4857516510864</v>
      </c>
      <c r="BT1397" s="2">
        <v>17.439308133667701</v>
      </c>
      <c r="BU1397" s="2">
        <v>16.913480594684799</v>
      </c>
      <c r="BV1397" s="2">
        <v>15.8937665202698</v>
      </c>
      <c r="BW1397" s="2">
        <v>14.7161083323222</v>
      </c>
      <c r="BX1397" s="2">
        <v>16.516272054181599</v>
      </c>
      <c r="BY1397" s="2">
        <v>16.620766661618099</v>
      </c>
      <c r="BZ1397" s="2">
        <v>15.6090482708635</v>
      </c>
      <c r="CA1397" s="2">
        <v>16.993949058718599</v>
      </c>
      <c r="CB1397" s="2">
        <v>14.372808618733099</v>
      </c>
      <c r="CC1397" s="2">
        <v>14.2688124437206</v>
      </c>
      <c r="CD1397" s="2">
        <v>17.271648404787101</v>
      </c>
      <c r="CE1397" s="2">
        <v>15.918592380508001</v>
      </c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</row>
    <row r="1398" spans="1:97">
      <c r="A1398" s="2" t="s">
        <v>12552</v>
      </c>
      <c r="B1398" s="2">
        <v>413.14096000000001</v>
      </c>
      <c r="C1398" s="2">
        <v>3.8380000000000001</v>
      </c>
      <c r="D1398" s="2" t="s">
        <v>84</v>
      </c>
      <c r="E1398" s="2" t="s">
        <v>12553</v>
      </c>
      <c r="F1398" s="2" t="s">
        <v>12554</v>
      </c>
      <c r="G1398" s="2">
        <v>264248</v>
      </c>
      <c r="H1398" s="3" t="str">
        <f>HYPERLINK("https://cloud.oebiotech.com/#/lm/network/264248", "https://cloud.oebiotech.com/#/lm/network/264248")</f>
        <v>https://cloud.oebiotech.com/#/lm/network/264248</v>
      </c>
      <c r="I1398" s="2"/>
      <c r="J1398" s="2">
        <v>21699</v>
      </c>
      <c r="K1398" s="2"/>
      <c r="L1398" s="2">
        <v>145458368</v>
      </c>
      <c r="M1398" s="2"/>
      <c r="N1398" s="2"/>
      <c r="O1398" s="2"/>
      <c r="P1398" s="2"/>
      <c r="Q1398" s="2"/>
      <c r="R1398" s="2"/>
      <c r="S1398" s="2"/>
      <c r="T1398" s="2" t="s">
        <v>12555</v>
      </c>
      <c r="U1398" s="2" t="s">
        <v>12556</v>
      </c>
      <c r="V1398" s="2" t="s">
        <v>115</v>
      </c>
      <c r="W1398" s="2" t="s">
        <v>116</v>
      </c>
      <c r="X1398" s="2" t="s">
        <v>117</v>
      </c>
      <c r="Y1398" s="2" t="s">
        <v>118</v>
      </c>
      <c r="Z1398" s="2" t="s">
        <v>119</v>
      </c>
      <c r="AA1398" s="2" t="s">
        <v>120</v>
      </c>
      <c r="AB1398" s="2" t="s">
        <v>3086</v>
      </c>
      <c r="AC1398" s="2">
        <v>45.32</v>
      </c>
      <c r="AD1398" s="2">
        <v>74.87</v>
      </c>
      <c r="AE1398" s="2">
        <v>0</v>
      </c>
      <c r="AF1398" s="2" t="s">
        <v>5614</v>
      </c>
      <c r="AG1398" s="2" t="s">
        <v>1578</v>
      </c>
      <c r="AH1398" s="2" t="s">
        <v>12557</v>
      </c>
      <c r="AI1398" s="2">
        <v>5.33</v>
      </c>
      <c r="AJ1398" s="2">
        <v>18.341621279795</v>
      </c>
      <c r="AK1398" s="2">
        <v>18.346332926149699</v>
      </c>
      <c r="AL1398" s="2">
        <v>18.206482565954701</v>
      </c>
      <c r="AM1398" s="2">
        <v>18.632200752340399</v>
      </c>
      <c r="AN1398" s="2">
        <v>18.372903352291299</v>
      </c>
      <c r="AO1398" s="2">
        <v>18.5994447124469</v>
      </c>
      <c r="AP1398" s="2">
        <v>18.350400512705001</v>
      </c>
      <c r="AQ1398" s="2">
        <v>17.960556438348299</v>
      </c>
      <c r="AR1398" s="2">
        <v>17.854160116965499</v>
      </c>
      <c r="AS1398" s="2">
        <v>17.187762354722999</v>
      </c>
      <c r="AT1398" s="2">
        <v>17.208167283046599</v>
      </c>
      <c r="AU1398" s="2">
        <v>17.896501459829601</v>
      </c>
      <c r="AV1398" s="2">
        <v>18.027777626065699</v>
      </c>
      <c r="AW1398" s="2">
        <v>18.244485971762501</v>
      </c>
      <c r="AX1398" s="2">
        <v>18.167322338683</v>
      </c>
      <c r="AY1398" s="2">
        <v>17.789778021498499</v>
      </c>
      <c r="AZ1398" s="2">
        <v>17.852546211682199</v>
      </c>
      <c r="BA1398" s="2">
        <v>17.926601890985001</v>
      </c>
      <c r="BB1398" s="2">
        <v>17.8356968889643</v>
      </c>
      <c r="BC1398" s="2">
        <v>17.820760351896102</v>
      </c>
      <c r="BD1398" s="2">
        <v>17.723516966328098</v>
      </c>
      <c r="BE1398" s="2">
        <v>18.0825310005294</v>
      </c>
      <c r="BF1398" s="2">
        <v>16.7966059664193</v>
      </c>
      <c r="BG1398" s="2">
        <v>18.058794535584301</v>
      </c>
      <c r="BH1398" s="2">
        <v>17.4725905780987</v>
      </c>
      <c r="BI1398" s="2">
        <v>18.589968763670999</v>
      </c>
      <c r="BJ1398" s="2">
        <v>18.426628929273001</v>
      </c>
      <c r="BK1398" s="2">
        <v>17.9972671542886</v>
      </c>
      <c r="BL1398" s="2">
        <v>17.7827949701915</v>
      </c>
      <c r="BM1398" s="2">
        <v>16.982546784157801</v>
      </c>
      <c r="BN1398" s="2">
        <v>18.261420305970798</v>
      </c>
      <c r="BO1398" s="2">
        <v>17.770661118699099</v>
      </c>
      <c r="BP1398" s="2">
        <v>18.0434871334447</v>
      </c>
      <c r="BQ1398" s="2">
        <v>18.9051344125503</v>
      </c>
      <c r="BR1398" s="2">
        <v>18.4230341454792</v>
      </c>
      <c r="BS1398" s="2">
        <v>18.338451618900901</v>
      </c>
      <c r="BT1398" s="2">
        <v>18.4366800300051</v>
      </c>
      <c r="BU1398" s="2">
        <v>18.512398433304501</v>
      </c>
      <c r="BV1398" s="2">
        <v>18.082567434192999</v>
      </c>
      <c r="BW1398" s="2">
        <v>17.437685029522999</v>
      </c>
      <c r="BX1398" s="2">
        <v>18.2291402084734</v>
      </c>
      <c r="BY1398" s="2">
        <v>18.280894347788202</v>
      </c>
      <c r="BZ1398" s="2">
        <v>18.113701475746101</v>
      </c>
      <c r="CA1398" s="2">
        <v>18.087283715662799</v>
      </c>
      <c r="CB1398" s="2">
        <v>17.8850982639091</v>
      </c>
      <c r="CC1398" s="2">
        <v>18.329420937855101</v>
      </c>
      <c r="CD1398" s="2">
        <v>18.361237961124001</v>
      </c>
      <c r="CE1398" s="2">
        <v>18.8195006383059</v>
      </c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</row>
    <row r="1399" spans="1:97">
      <c r="A1399" s="2" t="s">
        <v>12558</v>
      </c>
      <c r="B1399" s="2">
        <v>383.11536000000001</v>
      </c>
      <c r="C1399" s="2">
        <v>0.71299999999999997</v>
      </c>
      <c r="D1399" s="2" t="s">
        <v>84</v>
      </c>
      <c r="E1399" s="2" t="s">
        <v>12559</v>
      </c>
      <c r="F1399" s="2" t="s">
        <v>12560</v>
      </c>
      <c r="G1399" s="2">
        <v>207733</v>
      </c>
      <c r="H1399" s="3" t="str">
        <f>HYPERLINK("https://cloud.oebiotech.com/#/lm/network/207733", "https://cloud.oebiotech.com/#/lm/network/207733")</f>
        <v>https://cloud.oebiotech.com/#/lm/network/207733</v>
      </c>
      <c r="I1399" s="2" t="s">
        <v>12561</v>
      </c>
      <c r="J1399" s="2"/>
      <c r="K1399" s="2"/>
      <c r="L1399" s="2">
        <v>101543865</v>
      </c>
      <c r="M1399" s="2"/>
      <c r="N1399" s="2"/>
      <c r="O1399" s="2"/>
      <c r="P1399" s="2"/>
      <c r="Q1399" s="2"/>
      <c r="R1399" s="2"/>
      <c r="S1399" s="2"/>
      <c r="T1399" s="2" t="s">
        <v>12562</v>
      </c>
      <c r="U1399" s="2" t="s">
        <v>12563</v>
      </c>
      <c r="V1399" s="2" t="s">
        <v>553</v>
      </c>
      <c r="W1399" s="2" t="s">
        <v>9812</v>
      </c>
      <c r="X1399" s="2" t="s">
        <v>9813</v>
      </c>
      <c r="Y1399" s="2" t="s">
        <v>556</v>
      </c>
      <c r="Z1399" s="2" t="s">
        <v>9814</v>
      </c>
      <c r="AA1399" s="2" t="s">
        <v>9815</v>
      </c>
      <c r="AB1399" s="2" t="s">
        <v>5118</v>
      </c>
      <c r="AC1399" s="2">
        <v>45.31</v>
      </c>
      <c r="AD1399" s="2">
        <v>90.81</v>
      </c>
      <c r="AE1399" s="2">
        <v>67.83</v>
      </c>
      <c r="AF1399" s="2" t="s">
        <v>12564</v>
      </c>
      <c r="AG1399" s="2" t="s">
        <v>103</v>
      </c>
      <c r="AH1399" s="2" t="s">
        <v>12565</v>
      </c>
      <c r="AI1399" s="2">
        <v>4.7</v>
      </c>
      <c r="AJ1399" s="2">
        <v>23.890646779864699</v>
      </c>
      <c r="AK1399" s="2">
        <v>24.144790682694801</v>
      </c>
      <c r="AL1399" s="2">
        <v>23.810709937402301</v>
      </c>
      <c r="AM1399" s="2">
        <v>24.133738630765201</v>
      </c>
      <c r="AN1399" s="2">
        <v>24.019107800951801</v>
      </c>
      <c r="AO1399" s="2">
        <v>24.2031982985261</v>
      </c>
      <c r="AP1399" s="2">
        <v>23.961859244467199</v>
      </c>
      <c r="AQ1399" s="2">
        <v>23.938312306361599</v>
      </c>
      <c r="AR1399" s="2">
        <v>23.017834930564099</v>
      </c>
      <c r="AS1399" s="2">
        <v>22.587632936198698</v>
      </c>
      <c r="AT1399" s="2">
        <v>23.349003070685502</v>
      </c>
      <c r="AU1399" s="2">
        <v>22.620149173811601</v>
      </c>
      <c r="AV1399" s="2">
        <v>23.882502881939399</v>
      </c>
      <c r="AW1399" s="2">
        <v>23.421853943481601</v>
      </c>
      <c r="AX1399" s="2">
        <v>22.9200813474909</v>
      </c>
      <c r="AY1399" s="2">
        <v>23.954055750884901</v>
      </c>
      <c r="AZ1399" s="2">
        <v>24.126009383574399</v>
      </c>
      <c r="BA1399" s="2">
        <v>23.142037619885699</v>
      </c>
      <c r="BB1399" s="2">
        <v>23.490691099562401</v>
      </c>
      <c r="BC1399" s="2">
        <v>22.547779201334301</v>
      </c>
      <c r="BD1399" s="2">
        <v>24.6514607455812</v>
      </c>
      <c r="BE1399" s="2">
        <v>24.120838670253701</v>
      </c>
      <c r="BF1399" s="2">
        <v>24.1392987166981</v>
      </c>
      <c r="BG1399" s="2">
        <v>23.394299451075302</v>
      </c>
      <c r="BH1399" s="2">
        <v>23.436741464048499</v>
      </c>
      <c r="BI1399" s="2">
        <v>23.424669455925301</v>
      </c>
      <c r="BJ1399" s="2">
        <v>24.221640136256099</v>
      </c>
      <c r="BK1399" s="2">
        <v>24.739483130979501</v>
      </c>
      <c r="BL1399" s="2">
        <v>23.579539049691999</v>
      </c>
      <c r="BM1399" s="2">
        <v>22.804885184537699</v>
      </c>
      <c r="BN1399" s="2">
        <v>24.014442630275301</v>
      </c>
      <c r="BO1399" s="2">
        <v>24.050687526381001</v>
      </c>
      <c r="BP1399" s="2">
        <v>23.9506523175159</v>
      </c>
      <c r="BQ1399" s="2">
        <v>23.199220621756901</v>
      </c>
      <c r="BR1399" s="2">
        <v>22.694412285871401</v>
      </c>
      <c r="BS1399" s="2">
        <v>24.847279112255499</v>
      </c>
      <c r="BT1399" s="2">
        <v>23.596276218217799</v>
      </c>
      <c r="BU1399" s="2">
        <v>22.789537107472501</v>
      </c>
      <c r="BV1399" s="2">
        <v>23.519396712242202</v>
      </c>
      <c r="BW1399" s="2">
        <v>23.674930644960099</v>
      </c>
      <c r="BX1399" s="2">
        <v>23.444162766521899</v>
      </c>
      <c r="BY1399" s="2">
        <v>24.0451148272107</v>
      </c>
      <c r="BZ1399" s="2">
        <v>23.568965620334801</v>
      </c>
      <c r="CA1399" s="2">
        <v>25.498196955286399</v>
      </c>
      <c r="CB1399" s="2">
        <v>23.822866140796499</v>
      </c>
      <c r="CC1399" s="2">
        <v>23.8313450857415</v>
      </c>
      <c r="CD1399" s="2">
        <v>24.636072170253801</v>
      </c>
      <c r="CE1399" s="2">
        <v>24.095300268384499</v>
      </c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</row>
    <row r="1400" spans="1:97">
      <c r="A1400" s="2" t="s">
        <v>12566</v>
      </c>
      <c r="B1400" s="2">
        <v>605.15536999999995</v>
      </c>
      <c r="C1400" s="2">
        <v>0.82499999999999996</v>
      </c>
      <c r="D1400" s="2" t="s">
        <v>146</v>
      </c>
      <c r="E1400" s="2" t="s">
        <v>12567</v>
      </c>
      <c r="F1400" s="2" t="s">
        <v>12568</v>
      </c>
      <c r="G1400" s="2">
        <v>31987</v>
      </c>
      <c r="H1400" s="3" t="str">
        <f>HYPERLINK("https://cloud.oebiotech.com/#/lm/network/31987", "https://cloud.oebiotech.com/#/lm/network/31987")</f>
        <v>https://cloud.oebiotech.com/#/lm/network/31987</v>
      </c>
      <c r="I1400" s="2"/>
      <c r="J1400" s="2">
        <v>50316</v>
      </c>
      <c r="K1400" s="2" t="s">
        <v>12569</v>
      </c>
      <c r="L1400" s="2">
        <v>44258970</v>
      </c>
      <c r="M1400" s="2"/>
      <c r="N1400" s="2"/>
      <c r="O1400" s="2"/>
      <c r="P1400" s="2"/>
      <c r="Q1400" s="2"/>
      <c r="R1400" s="2"/>
      <c r="S1400" s="2"/>
      <c r="T1400" s="2" t="s">
        <v>12570</v>
      </c>
      <c r="U1400" s="2" t="s">
        <v>12571</v>
      </c>
      <c r="V1400" s="2" t="s">
        <v>845</v>
      </c>
      <c r="W1400" s="2" t="s">
        <v>1853</v>
      </c>
      <c r="X1400" s="2" t="s">
        <v>6175</v>
      </c>
      <c r="Y1400" s="2" t="s">
        <v>847</v>
      </c>
      <c r="Z1400" s="2" t="s">
        <v>1855</v>
      </c>
      <c r="AA1400" s="2" t="s">
        <v>6176</v>
      </c>
      <c r="AB1400" s="2" t="s">
        <v>5118</v>
      </c>
      <c r="AC1400" s="2">
        <v>45.31</v>
      </c>
      <c r="AD1400" s="2">
        <v>93.56</v>
      </c>
      <c r="AE1400" s="2">
        <v>80.78</v>
      </c>
      <c r="AF1400" s="2" t="s">
        <v>12572</v>
      </c>
      <c r="AG1400" s="2" t="s">
        <v>194</v>
      </c>
      <c r="AH1400" s="2" t="s">
        <v>12573</v>
      </c>
      <c r="AI1400" s="2">
        <v>-6.94</v>
      </c>
      <c r="AJ1400" s="2">
        <v>26.147978791524199</v>
      </c>
      <c r="AK1400" s="2">
        <v>26.007556118708901</v>
      </c>
      <c r="AL1400" s="2">
        <v>25.989556593365801</v>
      </c>
      <c r="AM1400" s="2">
        <v>25.929901364830101</v>
      </c>
      <c r="AN1400" s="2">
        <v>25.8998838031542</v>
      </c>
      <c r="AO1400" s="2">
        <v>26.032029941471901</v>
      </c>
      <c r="AP1400" s="2">
        <v>26.0422052723641</v>
      </c>
      <c r="AQ1400" s="2">
        <v>25.8708395433341</v>
      </c>
      <c r="AR1400" s="2">
        <v>26.051191193259399</v>
      </c>
      <c r="AS1400" s="2">
        <v>26.020480532289799</v>
      </c>
      <c r="AT1400" s="2">
        <v>25.874212019798598</v>
      </c>
      <c r="AU1400" s="2">
        <v>26.524010392582699</v>
      </c>
      <c r="AV1400" s="2">
        <v>25.9290278312087</v>
      </c>
      <c r="AW1400" s="2">
        <v>26.135601960731201</v>
      </c>
      <c r="AX1400" s="2">
        <v>25.6314590568557</v>
      </c>
      <c r="AY1400" s="2">
        <v>25.183560421755502</v>
      </c>
      <c r="AZ1400" s="2">
        <v>25.829572235960999</v>
      </c>
      <c r="BA1400" s="2">
        <v>24.787417423130801</v>
      </c>
      <c r="BB1400" s="2">
        <v>26.086966496297801</v>
      </c>
      <c r="BC1400" s="2">
        <v>25.933060732486599</v>
      </c>
      <c r="BD1400" s="2">
        <v>26.392674622883</v>
      </c>
      <c r="BE1400" s="2">
        <v>26.0059867989103</v>
      </c>
      <c r="BF1400" s="2">
        <v>26.104349522459799</v>
      </c>
      <c r="BG1400" s="2">
        <v>25.867389594627699</v>
      </c>
      <c r="BH1400" s="2">
        <v>25.701112009934398</v>
      </c>
      <c r="BI1400" s="2">
        <v>25.732679066646401</v>
      </c>
      <c r="BJ1400" s="2">
        <v>26.0147357763386</v>
      </c>
      <c r="BK1400" s="2">
        <v>25.257758117658099</v>
      </c>
      <c r="BL1400" s="2">
        <v>26.257593687238298</v>
      </c>
      <c r="BM1400" s="2">
        <v>26.854597638413601</v>
      </c>
      <c r="BN1400" s="2">
        <v>25.949097644775801</v>
      </c>
      <c r="BO1400" s="2">
        <v>25.5833654590127</v>
      </c>
      <c r="BP1400" s="2">
        <v>25.0127916791911</v>
      </c>
      <c r="BQ1400" s="2">
        <v>25.957663729391101</v>
      </c>
      <c r="BR1400" s="2">
        <v>25.767268516427102</v>
      </c>
      <c r="BS1400" s="2">
        <v>25.453862033391999</v>
      </c>
      <c r="BT1400" s="2">
        <v>25.7080466431565</v>
      </c>
      <c r="BU1400" s="2">
        <v>26.024192396314898</v>
      </c>
      <c r="BV1400" s="2">
        <v>26.013331403508001</v>
      </c>
      <c r="BW1400" s="2">
        <v>26.589268919105798</v>
      </c>
      <c r="BX1400" s="2">
        <v>26.2461963239111</v>
      </c>
      <c r="BY1400" s="2">
        <v>25.4948832813126</v>
      </c>
      <c r="BZ1400" s="2">
        <v>26.2533698179694</v>
      </c>
      <c r="CA1400" s="2">
        <v>25.821271364846801</v>
      </c>
      <c r="CB1400" s="2">
        <v>25.626674237459302</v>
      </c>
      <c r="CC1400" s="2">
        <v>26.014241728235401</v>
      </c>
      <c r="CD1400" s="2">
        <v>25.0710342926732</v>
      </c>
      <c r="CE1400" s="2">
        <v>25.722288507911099</v>
      </c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</row>
    <row r="1401" spans="1:97">
      <c r="A1401" s="2" t="s">
        <v>12574</v>
      </c>
      <c r="B1401" s="2">
        <v>100.1123</v>
      </c>
      <c r="C1401" s="2">
        <v>0.79</v>
      </c>
      <c r="D1401" s="2" t="s">
        <v>84</v>
      </c>
      <c r="E1401" s="2" t="s">
        <v>12575</v>
      </c>
      <c r="F1401" s="2" t="s">
        <v>12576</v>
      </c>
      <c r="G1401" s="2">
        <v>203129</v>
      </c>
      <c r="H1401" s="3" t="str">
        <f>HYPERLINK("https://cloud.oebiotech.com/#/lm/network/203129", "https://cloud.oebiotech.com/#/lm/network/203129")</f>
        <v>https://cloud.oebiotech.com/#/lm/network/203129</v>
      </c>
      <c r="I1401" s="2" t="s">
        <v>12577</v>
      </c>
      <c r="J1401" s="2"/>
      <c r="K1401" s="2"/>
      <c r="L1401" s="2">
        <v>15894840</v>
      </c>
      <c r="M1401" s="2"/>
      <c r="N1401" s="2"/>
      <c r="O1401" s="2"/>
      <c r="P1401" s="2"/>
      <c r="Q1401" s="2"/>
      <c r="R1401" s="2"/>
      <c r="S1401" s="2"/>
      <c r="T1401" s="2" t="s">
        <v>12578</v>
      </c>
      <c r="U1401" s="2" t="s">
        <v>12579</v>
      </c>
      <c r="V1401" s="2" t="s">
        <v>166</v>
      </c>
      <c r="W1401" s="2" t="s">
        <v>167</v>
      </c>
      <c r="X1401" s="2" t="s">
        <v>482</v>
      </c>
      <c r="Y1401" s="2" t="s">
        <v>169</v>
      </c>
      <c r="Z1401" s="2" t="s">
        <v>169</v>
      </c>
      <c r="AA1401" s="2" t="s">
        <v>483</v>
      </c>
      <c r="AB1401" s="2" t="s">
        <v>8443</v>
      </c>
      <c r="AC1401" s="2">
        <v>45.3</v>
      </c>
      <c r="AD1401" s="2">
        <v>96.28</v>
      </c>
      <c r="AE1401" s="2">
        <v>0</v>
      </c>
      <c r="AF1401" s="2" t="s">
        <v>5614</v>
      </c>
      <c r="AG1401" s="2" t="s">
        <v>1088</v>
      </c>
      <c r="AH1401" s="2" t="s">
        <v>12580</v>
      </c>
      <c r="AI1401" s="2">
        <v>3.6</v>
      </c>
      <c r="AJ1401" s="2">
        <v>20.059569837911202</v>
      </c>
      <c r="AK1401" s="2">
        <v>20.022188372634599</v>
      </c>
      <c r="AL1401" s="2">
        <v>20.093073691752</v>
      </c>
      <c r="AM1401" s="2">
        <v>20.059822133977701</v>
      </c>
      <c r="AN1401" s="2">
        <v>19.392397403959901</v>
      </c>
      <c r="AO1401" s="2">
        <v>19.997180887061699</v>
      </c>
      <c r="AP1401" s="2">
        <v>19.5526794718002</v>
      </c>
      <c r="AQ1401" s="2">
        <v>19.821573097235699</v>
      </c>
      <c r="AR1401" s="2">
        <v>18.7012383940117</v>
      </c>
      <c r="AS1401" s="2">
        <v>19.609943156169798</v>
      </c>
      <c r="AT1401" s="2">
        <v>19.986234383661699</v>
      </c>
      <c r="AU1401" s="2">
        <v>19.9500199952647</v>
      </c>
      <c r="AV1401" s="2">
        <v>20.038575325823999</v>
      </c>
      <c r="AW1401" s="2">
        <v>19.9387453658147</v>
      </c>
      <c r="AX1401" s="2">
        <v>19.871605657520298</v>
      </c>
      <c r="AY1401" s="2">
        <v>20.143648286146199</v>
      </c>
      <c r="AZ1401" s="2">
        <v>19.982836612260101</v>
      </c>
      <c r="BA1401" s="2">
        <v>19.974293905482298</v>
      </c>
      <c r="BB1401" s="2">
        <v>18.942140186740399</v>
      </c>
      <c r="BC1401" s="2">
        <v>19.821514708841502</v>
      </c>
      <c r="BD1401" s="2">
        <v>19.807129530524399</v>
      </c>
      <c r="BE1401" s="2">
        <v>19.6403091995784</v>
      </c>
      <c r="BF1401" s="2">
        <v>20.273558152352301</v>
      </c>
      <c r="BG1401" s="2">
        <v>19.374816772636802</v>
      </c>
      <c r="BH1401" s="2">
        <v>19.637501294598099</v>
      </c>
      <c r="BI1401" s="2">
        <v>20.090573205550399</v>
      </c>
      <c r="BJ1401" s="2">
        <v>19.131628281710999</v>
      </c>
      <c r="BK1401" s="2">
        <v>19.795549428017502</v>
      </c>
      <c r="BL1401" s="2">
        <v>20.007806966070099</v>
      </c>
      <c r="BM1401" s="2">
        <v>20.325629812852998</v>
      </c>
      <c r="BN1401" s="2">
        <v>20.135989795391499</v>
      </c>
      <c r="BO1401" s="2">
        <v>19.864099795146601</v>
      </c>
      <c r="BP1401" s="2">
        <v>19.6944244270844</v>
      </c>
      <c r="BQ1401" s="2">
        <v>19.878959542496698</v>
      </c>
      <c r="BR1401" s="2">
        <v>18.7620654476037</v>
      </c>
      <c r="BS1401" s="2">
        <v>19.844642941775099</v>
      </c>
      <c r="BT1401" s="2">
        <v>19.010861664327098</v>
      </c>
      <c r="BU1401" s="2">
        <v>20.286533983005299</v>
      </c>
      <c r="BV1401" s="2">
        <v>17.4381591380738</v>
      </c>
      <c r="BW1401" s="2">
        <v>18.882922709186399</v>
      </c>
      <c r="BX1401" s="2">
        <v>20.0548839476191</v>
      </c>
      <c r="BY1401" s="2">
        <v>20.668085126919902</v>
      </c>
      <c r="BZ1401" s="2">
        <v>17.250987194385001</v>
      </c>
      <c r="CA1401" s="2">
        <v>15.9155888223847</v>
      </c>
      <c r="CB1401" s="2">
        <v>18.990995924510301</v>
      </c>
      <c r="CC1401" s="2">
        <v>20.453506125172598</v>
      </c>
      <c r="CD1401" s="2">
        <v>19.892624056671099</v>
      </c>
      <c r="CE1401" s="2">
        <v>19.696764123671802</v>
      </c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</row>
    <row r="1402" spans="1:97">
      <c r="A1402" s="2" t="s">
        <v>12581</v>
      </c>
      <c r="B1402" s="2">
        <v>346.05131999999998</v>
      </c>
      <c r="C1402" s="2">
        <v>7.4080000000000004</v>
      </c>
      <c r="D1402" s="2" t="s">
        <v>146</v>
      </c>
      <c r="E1402" s="2" t="s">
        <v>12582</v>
      </c>
      <c r="F1402" s="2" t="s">
        <v>12583</v>
      </c>
      <c r="G1402" s="2">
        <v>209640</v>
      </c>
      <c r="H1402" s="3" t="str">
        <f>HYPERLINK("https://cloud.oebiotech.com/#/lm/network/209640", "https://cloud.oebiotech.com/#/lm/network/209640")</f>
        <v>https://cloud.oebiotech.com/#/lm/network/209640</v>
      </c>
      <c r="I1402" s="2" t="s">
        <v>12584</v>
      </c>
      <c r="J1402" s="2">
        <v>69657</v>
      </c>
      <c r="K1402" s="2"/>
      <c r="L1402" s="2">
        <v>4122</v>
      </c>
      <c r="M1402" s="2" t="s">
        <v>12585</v>
      </c>
      <c r="N1402" s="2"/>
      <c r="O1402" s="2"/>
      <c r="P1402" s="2">
        <v>34892</v>
      </c>
      <c r="Q1402" s="2"/>
      <c r="R1402" s="2"/>
      <c r="S1402" s="2" t="s">
        <v>12586</v>
      </c>
      <c r="T1402" s="2" t="s">
        <v>12587</v>
      </c>
      <c r="U1402" s="2" t="s">
        <v>12588</v>
      </c>
      <c r="V1402" s="2" t="s">
        <v>553</v>
      </c>
      <c r="W1402" s="2" t="s">
        <v>9812</v>
      </c>
      <c r="X1402" s="2" t="s">
        <v>375</v>
      </c>
      <c r="Y1402" s="2" t="s">
        <v>556</v>
      </c>
      <c r="Z1402" s="2" t="s">
        <v>9814</v>
      </c>
      <c r="AA1402" s="2"/>
      <c r="AB1402" s="2" t="s">
        <v>8443</v>
      </c>
      <c r="AC1402" s="2">
        <v>45.28</v>
      </c>
      <c r="AD1402" s="2">
        <v>92.11</v>
      </c>
      <c r="AE1402" s="2">
        <v>0</v>
      </c>
      <c r="AF1402" s="2" t="s">
        <v>5614</v>
      </c>
      <c r="AG1402" s="2" t="s">
        <v>157</v>
      </c>
      <c r="AH1402" s="2" t="s">
        <v>12589</v>
      </c>
      <c r="AI1402" s="2">
        <v>-2.89</v>
      </c>
      <c r="AJ1402" s="2">
        <v>20.078833960190501</v>
      </c>
      <c r="AK1402" s="2">
        <v>19.896819797656999</v>
      </c>
      <c r="AL1402" s="2">
        <v>19.818064433616701</v>
      </c>
      <c r="AM1402" s="2">
        <v>19.829194508961301</v>
      </c>
      <c r="AN1402" s="2">
        <v>19.918494770525498</v>
      </c>
      <c r="AO1402" s="2">
        <v>19.802680199472</v>
      </c>
      <c r="AP1402" s="2">
        <v>19.874555769554199</v>
      </c>
      <c r="AQ1402" s="2">
        <v>19.887378470037898</v>
      </c>
      <c r="AR1402" s="2">
        <v>19.9351588182741</v>
      </c>
      <c r="AS1402" s="2">
        <v>18.614433144809901</v>
      </c>
      <c r="AT1402" s="2">
        <v>20.199791256274999</v>
      </c>
      <c r="AU1402" s="2">
        <v>20.0278403012334</v>
      </c>
      <c r="AV1402" s="2">
        <v>19.033645582325502</v>
      </c>
      <c r="AW1402" s="2">
        <v>20.766194587972599</v>
      </c>
      <c r="AX1402" s="2">
        <v>18.313113408686</v>
      </c>
      <c r="AY1402" s="2">
        <v>18.9850628122805</v>
      </c>
      <c r="AZ1402" s="2">
        <v>18.2702818193955</v>
      </c>
      <c r="BA1402" s="2">
        <v>20.509208596079901</v>
      </c>
      <c r="BB1402" s="2">
        <v>19.921361372754099</v>
      </c>
      <c r="BC1402" s="2">
        <v>20.2450343210045</v>
      </c>
      <c r="BD1402" s="2">
        <v>20.095647457496799</v>
      </c>
      <c r="BE1402" s="2">
        <v>18.928039001094199</v>
      </c>
      <c r="BF1402" s="2">
        <v>19.355009117038499</v>
      </c>
      <c r="BG1402" s="2">
        <v>19.2696279667549</v>
      </c>
      <c r="BH1402" s="2">
        <v>19.363287324016699</v>
      </c>
      <c r="BI1402" s="2">
        <v>19.125207786816901</v>
      </c>
      <c r="BJ1402" s="2">
        <v>21.6626954534342</v>
      </c>
      <c r="BK1402" s="2">
        <v>20.598978029494798</v>
      </c>
      <c r="BL1402" s="2">
        <v>19.754525387125099</v>
      </c>
      <c r="BM1402" s="2">
        <v>19.380071493120798</v>
      </c>
      <c r="BN1402" s="2">
        <v>20.6160756151817</v>
      </c>
      <c r="BO1402" s="2">
        <v>20.397007928446801</v>
      </c>
      <c r="BP1402" s="2">
        <v>16.479880816015701</v>
      </c>
      <c r="BQ1402" s="2">
        <v>19.941641407378</v>
      </c>
      <c r="BR1402" s="2">
        <v>18.825044171850401</v>
      </c>
      <c r="BS1402" s="2">
        <v>19.1728372958883</v>
      </c>
      <c r="BT1402" s="2">
        <v>21.747011477282101</v>
      </c>
      <c r="BU1402" s="2">
        <v>20.237304225529801</v>
      </c>
      <c r="BV1402" s="2">
        <v>19.844597385990902</v>
      </c>
      <c r="BW1402" s="2">
        <v>18.0942922631763</v>
      </c>
      <c r="BX1402" s="2">
        <v>20.036890582080101</v>
      </c>
      <c r="BY1402" s="2">
        <v>19.183753223632699</v>
      </c>
      <c r="BZ1402" s="2">
        <v>17.773633180788</v>
      </c>
      <c r="CA1402" s="2">
        <v>19.357377193881501</v>
      </c>
      <c r="CB1402" s="2">
        <v>17.7772197354684</v>
      </c>
      <c r="CC1402" s="2">
        <v>20.051044340659601</v>
      </c>
      <c r="CD1402" s="2">
        <v>20.330193715163201</v>
      </c>
      <c r="CE1402" s="2">
        <v>20.3444869071417</v>
      </c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</row>
    <row r="1403" spans="1:97">
      <c r="A1403" s="2" t="s">
        <v>12590</v>
      </c>
      <c r="B1403" s="2">
        <v>358.04575</v>
      </c>
      <c r="C1403" s="2">
        <v>0.78400000000000003</v>
      </c>
      <c r="D1403" s="2" t="s">
        <v>146</v>
      </c>
      <c r="E1403" s="2" t="s">
        <v>12591</v>
      </c>
      <c r="F1403" s="2" t="s">
        <v>12592</v>
      </c>
      <c r="G1403" s="2">
        <v>264575</v>
      </c>
      <c r="H1403" s="3" t="str">
        <f>HYPERLINK("https://cloud.oebiotech.com/#/lm/network/264575", "https://cloud.oebiotech.com/#/lm/network/264575")</f>
        <v>https://cloud.oebiotech.com/#/lm/network/264575</v>
      </c>
      <c r="I1403" s="2"/>
      <c r="J1403" s="2">
        <v>22039</v>
      </c>
      <c r="K1403" s="2"/>
      <c r="L1403" s="2">
        <v>46839633</v>
      </c>
      <c r="M1403" s="2"/>
      <c r="N1403" s="2"/>
      <c r="O1403" s="2"/>
      <c r="P1403" s="2"/>
      <c r="Q1403" s="2"/>
      <c r="R1403" s="2"/>
      <c r="S1403" s="2"/>
      <c r="T1403" s="2" t="s">
        <v>12593</v>
      </c>
      <c r="U1403" s="2" t="s">
        <v>12594</v>
      </c>
      <c r="V1403" s="2" t="s">
        <v>115</v>
      </c>
      <c r="W1403" s="2" t="s">
        <v>116</v>
      </c>
      <c r="X1403" s="2" t="s">
        <v>117</v>
      </c>
      <c r="Y1403" s="2" t="s">
        <v>118</v>
      </c>
      <c r="Z1403" s="2" t="s">
        <v>119</v>
      </c>
      <c r="AA1403" s="2" t="s">
        <v>120</v>
      </c>
      <c r="AB1403" s="2" t="s">
        <v>3086</v>
      </c>
      <c r="AC1403" s="2">
        <v>45.28</v>
      </c>
      <c r="AD1403" s="2">
        <v>70.78</v>
      </c>
      <c r="AE1403" s="2">
        <v>0</v>
      </c>
      <c r="AF1403" s="2" t="s">
        <v>5614</v>
      </c>
      <c r="AG1403" s="2" t="s">
        <v>4062</v>
      </c>
      <c r="AH1403" s="2" t="s">
        <v>12595</v>
      </c>
      <c r="AI1403" s="2">
        <v>6.7</v>
      </c>
      <c r="AJ1403" s="2">
        <v>19.837275423277699</v>
      </c>
      <c r="AK1403" s="2">
        <v>20.283863719402301</v>
      </c>
      <c r="AL1403" s="2">
        <v>20.046776443732099</v>
      </c>
      <c r="AM1403" s="2">
        <v>19.710074604660701</v>
      </c>
      <c r="AN1403" s="2">
        <v>20.120532535210401</v>
      </c>
      <c r="AO1403" s="2">
        <v>19.481544135446601</v>
      </c>
      <c r="AP1403" s="2">
        <v>19.8148020657929</v>
      </c>
      <c r="AQ1403" s="2">
        <v>20.130467940774601</v>
      </c>
      <c r="AR1403" s="2">
        <v>20.019005041262801</v>
      </c>
      <c r="AS1403" s="2">
        <v>9.6233145402724691</v>
      </c>
      <c r="AT1403" s="2">
        <v>19.476469324668301</v>
      </c>
      <c r="AU1403" s="2">
        <v>19.278740892638599</v>
      </c>
      <c r="AV1403" s="2">
        <v>18.462385084012901</v>
      </c>
      <c r="AW1403" s="2">
        <v>20.520453604632099</v>
      </c>
      <c r="AX1403" s="2">
        <v>19.471763911693401</v>
      </c>
      <c r="AY1403" s="2">
        <v>19.413972568121601</v>
      </c>
      <c r="AZ1403" s="2">
        <v>19.1604407131817</v>
      </c>
      <c r="BA1403" s="2">
        <v>19.3499634005058</v>
      </c>
      <c r="BB1403" s="2">
        <v>19.5620640852799</v>
      </c>
      <c r="BC1403" s="2">
        <v>19.7927204679808</v>
      </c>
      <c r="BD1403" s="2">
        <v>20.040492984410999</v>
      </c>
      <c r="BE1403" s="2">
        <v>18.881066509111701</v>
      </c>
      <c r="BF1403" s="2">
        <v>21.085490840012699</v>
      </c>
      <c r="BG1403" s="2">
        <v>19.225785727652902</v>
      </c>
      <c r="BH1403" s="2">
        <v>19.517032252182599</v>
      </c>
      <c r="BI1403" s="2">
        <v>21.237927004960198</v>
      </c>
      <c r="BJ1403" s="2">
        <v>18.8146615050652</v>
      </c>
      <c r="BK1403" s="2">
        <v>19.176176972688499</v>
      </c>
      <c r="BL1403" s="2">
        <v>19.466952899137699</v>
      </c>
      <c r="BM1403" s="2">
        <v>18.958134606322901</v>
      </c>
      <c r="BN1403" s="2">
        <v>19.963502798048602</v>
      </c>
      <c r="BO1403" s="2">
        <v>18.256021501300701</v>
      </c>
      <c r="BP1403" s="2">
        <v>17.6079184562204</v>
      </c>
      <c r="BQ1403" s="2">
        <v>19.101066033676702</v>
      </c>
      <c r="BR1403" s="2">
        <v>19.8274480137292</v>
      </c>
      <c r="BS1403" s="2">
        <v>20.658158082001801</v>
      </c>
      <c r="BT1403" s="2">
        <v>17.407784745777999</v>
      </c>
      <c r="BU1403" s="2">
        <v>20.4054571594368</v>
      </c>
      <c r="BV1403" s="2">
        <v>19.8145166905101</v>
      </c>
      <c r="BW1403" s="2">
        <v>18.3073299712504</v>
      </c>
      <c r="BX1403" s="2">
        <v>19.167695313651802</v>
      </c>
      <c r="BY1403" s="2">
        <v>19.971862495724501</v>
      </c>
      <c r="BZ1403" s="2">
        <v>19.196997855797001</v>
      </c>
      <c r="CA1403" s="2">
        <v>21.069367664450699</v>
      </c>
      <c r="CB1403" s="2">
        <v>17.2465223966318</v>
      </c>
      <c r="CC1403" s="2">
        <v>20.5025591873408</v>
      </c>
      <c r="CD1403" s="2">
        <v>19.334405938914699</v>
      </c>
      <c r="CE1403" s="2">
        <v>19.7462468220027</v>
      </c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</row>
    <row r="1404" spans="1:97">
      <c r="A1404" s="2" t="s">
        <v>12596</v>
      </c>
      <c r="B1404" s="2">
        <v>417.37590999999998</v>
      </c>
      <c r="C1404" s="2">
        <v>10.324999999999999</v>
      </c>
      <c r="D1404" s="2" t="s">
        <v>84</v>
      </c>
      <c r="E1404" s="2" t="s">
        <v>12597</v>
      </c>
      <c r="F1404" s="2" t="s">
        <v>12598</v>
      </c>
      <c r="G1404" s="2">
        <v>58315</v>
      </c>
      <c r="H1404" s="3" t="str">
        <f>HYPERLINK("https://cloud.oebiotech.com/#/lm/network/58315", "https://cloud.oebiotech.com/#/lm/network/58315")</f>
        <v>https://cloud.oebiotech.com/#/lm/network/58315</v>
      </c>
      <c r="I1404" s="2" t="s">
        <v>12599</v>
      </c>
      <c r="J1404" s="2">
        <v>89806</v>
      </c>
      <c r="K1404" s="2"/>
      <c r="L1404" s="2">
        <v>9823230</v>
      </c>
      <c r="M1404" s="2"/>
      <c r="N1404" s="2"/>
      <c r="O1404" s="2"/>
      <c r="P1404" s="2"/>
      <c r="Q1404" s="2"/>
      <c r="R1404" s="2"/>
      <c r="S1404" s="2" t="s">
        <v>12600</v>
      </c>
      <c r="T1404" s="2" t="s">
        <v>12601</v>
      </c>
      <c r="U1404" s="2" t="s">
        <v>12602</v>
      </c>
      <c r="V1404" s="2" t="s">
        <v>95</v>
      </c>
      <c r="W1404" s="2" t="s">
        <v>180</v>
      </c>
      <c r="X1404" s="2" t="s">
        <v>3643</v>
      </c>
      <c r="Y1404" s="2" t="s">
        <v>98</v>
      </c>
      <c r="Z1404" s="2" t="s">
        <v>182</v>
      </c>
      <c r="AA1404" s="2" t="s">
        <v>3644</v>
      </c>
      <c r="AB1404" s="2" t="s">
        <v>8443</v>
      </c>
      <c r="AC1404" s="2">
        <v>45.28</v>
      </c>
      <c r="AD1404" s="2">
        <v>94.56</v>
      </c>
      <c r="AE1404" s="2">
        <v>39.31</v>
      </c>
      <c r="AF1404" s="2" t="s">
        <v>12603</v>
      </c>
      <c r="AG1404" s="2" t="s">
        <v>103</v>
      </c>
      <c r="AH1404" s="2" t="s">
        <v>12604</v>
      </c>
      <c r="AI1404" s="2">
        <v>-7.67</v>
      </c>
      <c r="AJ1404" s="2">
        <v>23.854271412483399</v>
      </c>
      <c r="AK1404" s="2">
        <v>23.8831162372264</v>
      </c>
      <c r="AL1404" s="2">
        <v>23.821036285575101</v>
      </c>
      <c r="AM1404" s="2">
        <v>23.923040393546302</v>
      </c>
      <c r="AN1404" s="2">
        <v>23.694970086326201</v>
      </c>
      <c r="AO1404" s="2">
        <v>23.808392560422899</v>
      </c>
      <c r="AP1404" s="2">
        <v>23.718562688036101</v>
      </c>
      <c r="AQ1404" s="2">
        <v>23.558385709183199</v>
      </c>
      <c r="AR1404" s="2">
        <v>23.868820986733802</v>
      </c>
      <c r="AS1404" s="2">
        <v>23.923862870000999</v>
      </c>
      <c r="AT1404" s="2">
        <v>23.938060906761098</v>
      </c>
      <c r="AU1404" s="2">
        <v>23.929350781368001</v>
      </c>
      <c r="AV1404" s="2">
        <v>23.805182536046399</v>
      </c>
      <c r="AW1404" s="2">
        <v>23.878627102019401</v>
      </c>
      <c r="AX1404" s="2">
        <v>23.8101761159771</v>
      </c>
      <c r="AY1404" s="2">
        <v>23.843438333640201</v>
      </c>
      <c r="AZ1404" s="2">
        <v>23.792068377436198</v>
      </c>
      <c r="BA1404" s="2">
        <v>23.9031432088223</v>
      </c>
      <c r="BB1404" s="2">
        <v>23.921117825187601</v>
      </c>
      <c r="BC1404" s="2">
        <v>24.2241180046009</v>
      </c>
      <c r="BD1404" s="2">
        <v>23.7984282089575</v>
      </c>
      <c r="BE1404" s="2">
        <v>23.621744794020799</v>
      </c>
      <c r="BF1404" s="2">
        <v>23.780995171319201</v>
      </c>
      <c r="BG1404" s="2">
        <v>23.682370723996002</v>
      </c>
      <c r="BH1404" s="2">
        <v>23.652589261251801</v>
      </c>
      <c r="BI1404" s="2">
        <v>23.872179975415399</v>
      </c>
      <c r="BJ1404" s="2">
        <v>23.693905650929999</v>
      </c>
      <c r="BK1404" s="2">
        <v>23.669940957311301</v>
      </c>
      <c r="BL1404" s="2">
        <v>23.722944263345202</v>
      </c>
      <c r="BM1404" s="2">
        <v>23.933125126730801</v>
      </c>
      <c r="BN1404" s="2">
        <v>23.7067001007381</v>
      </c>
      <c r="BO1404" s="2">
        <v>23.598099886670798</v>
      </c>
      <c r="BP1404" s="2">
        <v>23.5095620727901</v>
      </c>
      <c r="BQ1404" s="2">
        <v>23.7757456572668</v>
      </c>
      <c r="BR1404" s="2">
        <v>23.802763219784499</v>
      </c>
      <c r="BS1404" s="2">
        <v>23.704756788458798</v>
      </c>
      <c r="BT1404" s="2">
        <v>23.821040440391801</v>
      </c>
      <c r="BU1404" s="2">
        <v>23.778984110952301</v>
      </c>
      <c r="BV1404" s="2">
        <v>23.8146720896397</v>
      </c>
      <c r="BW1404" s="2">
        <v>23.864487035024599</v>
      </c>
      <c r="BX1404" s="2">
        <v>23.798014722149802</v>
      </c>
      <c r="BY1404" s="2">
        <v>23.507396865319301</v>
      </c>
      <c r="BZ1404" s="2">
        <v>23.775876697984</v>
      </c>
      <c r="CA1404" s="2">
        <v>23.632192136135799</v>
      </c>
      <c r="CB1404" s="2">
        <v>23.619600069695199</v>
      </c>
      <c r="CC1404" s="2">
        <v>23.673952697380699</v>
      </c>
      <c r="CD1404" s="2">
        <v>23.3775811696594</v>
      </c>
      <c r="CE1404" s="2">
        <v>23.588814815955899</v>
      </c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</row>
    <row r="1405" spans="1:97">
      <c r="A1405" s="2" t="s">
        <v>12605</v>
      </c>
      <c r="B1405" s="2">
        <v>535.28731000000005</v>
      </c>
      <c r="C1405" s="2">
        <v>7.3949999999999996</v>
      </c>
      <c r="D1405" s="2" t="s">
        <v>84</v>
      </c>
      <c r="E1405" s="2" t="s">
        <v>12606</v>
      </c>
      <c r="F1405" s="2" t="s">
        <v>12607</v>
      </c>
      <c r="G1405" s="2">
        <v>43513</v>
      </c>
      <c r="H1405" s="3" t="str">
        <f>HYPERLINK("https://cloud.oebiotech.com/#/lm/network/43513", "https://cloud.oebiotech.com/#/lm/network/43513")</f>
        <v>https://cloud.oebiotech.com/#/lm/network/43513</v>
      </c>
      <c r="I1405" s="2"/>
      <c r="J1405" s="2">
        <v>57622</v>
      </c>
      <c r="K1405" s="2" t="s">
        <v>12608</v>
      </c>
      <c r="L1405" s="2">
        <v>16755634</v>
      </c>
      <c r="M1405" s="2"/>
      <c r="N1405" s="2"/>
      <c r="O1405" s="2"/>
      <c r="P1405" s="2">
        <v>18531</v>
      </c>
      <c r="Q1405" s="2"/>
      <c r="R1405" s="2"/>
      <c r="S1405" s="2"/>
      <c r="T1405" s="2" t="s">
        <v>12609</v>
      </c>
      <c r="U1405" s="2" t="s">
        <v>12610</v>
      </c>
      <c r="V1405" s="2" t="s">
        <v>95</v>
      </c>
      <c r="W1405" s="2" t="s">
        <v>152</v>
      </c>
      <c r="X1405" s="2" t="s">
        <v>278</v>
      </c>
      <c r="Y1405" s="2" t="s">
        <v>98</v>
      </c>
      <c r="Z1405" s="2" t="s">
        <v>154</v>
      </c>
      <c r="AA1405" s="2" t="s">
        <v>279</v>
      </c>
      <c r="AB1405" s="2" t="s">
        <v>5118</v>
      </c>
      <c r="AC1405" s="2">
        <v>45.28</v>
      </c>
      <c r="AD1405" s="2">
        <v>87.86</v>
      </c>
      <c r="AE1405" s="2">
        <v>48.18</v>
      </c>
      <c r="AF1405" s="2" t="s">
        <v>12611</v>
      </c>
      <c r="AG1405" s="2" t="s">
        <v>1578</v>
      </c>
      <c r="AH1405" s="2" t="s">
        <v>12612</v>
      </c>
      <c r="AI1405" s="2">
        <v>0.93</v>
      </c>
      <c r="AJ1405" s="2">
        <v>18.803931368492101</v>
      </c>
      <c r="AK1405" s="2">
        <v>18.8550481794645</v>
      </c>
      <c r="AL1405" s="2">
        <v>18.533320872103801</v>
      </c>
      <c r="AM1405" s="2">
        <v>18.6632133647066</v>
      </c>
      <c r="AN1405" s="2">
        <v>18.5372383484994</v>
      </c>
      <c r="AO1405" s="2">
        <v>18.492004386655999</v>
      </c>
      <c r="AP1405" s="2">
        <v>18.858137451477798</v>
      </c>
      <c r="AQ1405" s="2">
        <v>18.888351889283101</v>
      </c>
      <c r="AR1405" s="2">
        <v>18.251656828667699</v>
      </c>
      <c r="AS1405" s="2">
        <v>17.607563230083802</v>
      </c>
      <c r="AT1405" s="2">
        <v>18.381396774925101</v>
      </c>
      <c r="AU1405" s="2">
        <v>18.128825460322702</v>
      </c>
      <c r="AV1405" s="2">
        <v>19.409425453330702</v>
      </c>
      <c r="AW1405" s="2">
        <v>19.708814046206601</v>
      </c>
      <c r="AX1405" s="2">
        <v>17.6375524849873</v>
      </c>
      <c r="AY1405" s="2">
        <v>18.684651792920999</v>
      </c>
      <c r="AZ1405" s="2">
        <v>19.0971430565858</v>
      </c>
      <c r="BA1405" s="2">
        <v>18.129872563853802</v>
      </c>
      <c r="BB1405" s="2">
        <v>18.279846773288401</v>
      </c>
      <c r="BC1405" s="2">
        <v>18.6667748614726</v>
      </c>
      <c r="BD1405" s="2">
        <v>18.7456227926323</v>
      </c>
      <c r="BE1405" s="2">
        <v>20.726362649816</v>
      </c>
      <c r="BF1405" s="2">
        <v>17.5027521043985</v>
      </c>
      <c r="BG1405" s="2">
        <v>19.191052417172799</v>
      </c>
      <c r="BH1405" s="2">
        <v>19.4325172702315</v>
      </c>
      <c r="BI1405" s="2">
        <v>17.918102822880201</v>
      </c>
      <c r="BJ1405" s="2">
        <v>19.9905563836566</v>
      </c>
      <c r="BK1405" s="2">
        <v>18.798560555556499</v>
      </c>
      <c r="BL1405" s="2">
        <v>18.5227022437244</v>
      </c>
      <c r="BM1405" s="2">
        <v>18.030051514801102</v>
      </c>
      <c r="BN1405" s="2">
        <v>18.212968476329898</v>
      </c>
      <c r="BO1405" s="2">
        <v>18.508513726123098</v>
      </c>
      <c r="BP1405" s="2">
        <v>17.659933545012102</v>
      </c>
      <c r="BQ1405" s="2">
        <v>18.2200114285172</v>
      </c>
      <c r="BR1405" s="2">
        <v>18.1138443445133</v>
      </c>
      <c r="BS1405" s="2">
        <v>18.302346319660501</v>
      </c>
      <c r="BT1405" s="2">
        <v>18.421361386055899</v>
      </c>
      <c r="BU1405" s="2">
        <v>18.2979744735431</v>
      </c>
      <c r="BV1405" s="2">
        <v>17.438614655515</v>
      </c>
      <c r="BW1405" s="2">
        <v>15.7160911794413</v>
      </c>
      <c r="BX1405" s="2">
        <v>17.458909197114899</v>
      </c>
      <c r="BY1405" s="2">
        <v>20.0132299037165</v>
      </c>
      <c r="BZ1405" s="2">
        <v>17.652841892710398</v>
      </c>
      <c r="CA1405" s="2">
        <v>17.3492959169707</v>
      </c>
      <c r="CB1405" s="2">
        <v>18.346676903190598</v>
      </c>
      <c r="CC1405" s="2">
        <v>18.334197197131601</v>
      </c>
      <c r="CD1405" s="2">
        <v>18.293634688233698</v>
      </c>
      <c r="CE1405" s="2">
        <v>18.5637572947909</v>
      </c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</row>
    <row r="1406" spans="1:97">
      <c r="A1406" s="2" t="s">
        <v>12613</v>
      </c>
      <c r="B1406" s="2">
        <v>351.06907000000001</v>
      </c>
      <c r="C1406" s="2">
        <v>7.4050000000000002</v>
      </c>
      <c r="D1406" s="2" t="s">
        <v>146</v>
      </c>
      <c r="E1406" s="2" t="s">
        <v>12614</v>
      </c>
      <c r="F1406" s="2" t="s">
        <v>12615</v>
      </c>
      <c r="G1406" s="2">
        <v>82321</v>
      </c>
      <c r="H1406" s="3" t="str">
        <f>HYPERLINK("https://cloud.oebiotech.com/#/lm/network/82321", "https://cloud.oebiotech.com/#/lm/network/82321")</f>
        <v>https://cloud.oebiotech.com/#/lm/network/82321</v>
      </c>
      <c r="I1406" s="2" t="s">
        <v>12616</v>
      </c>
      <c r="J1406" s="2">
        <v>73231</v>
      </c>
      <c r="K1406" s="2"/>
      <c r="L1406" s="2">
        <v>54611</v>
      </c>
      <c r="M1406" s="2" t="s">
        <v>12617</v>
      </c>
      <c r="N1406" s="2" t="s">
        <v>12618</v>
      </c>
      <c r="O1406" s="2" t="s">
        <v>12619</v>
      </c>
      <c r="P1406" s="2">
        <v>82560</v>
      </c>
      <c r="Q1406" s="2"/>
      <c r="R1406" s="2"/>
      <c r="S1406" s="2" t="s">
        <v>12620</v>
      </c>
      <c r="T1406" s="2" t="s">
        <v>12621</v>
      </c>
      <c r="U1406" s="2" t="s">
        <v>12622</v>
      </c>
      <c r="V1406" s="2" t="s">
        <v>385</v>
      </c>
      <c r="W1406" s="2" t="s">
        <v>11848</v>
      </c>
      <c r="X1406" s="2" t="s">
        <v>375</v>
      </c>
      <c r="Y1406" s="2" t="s">
        <v>388</v>
      </c>
      <c r="Z1406" s="2" t="s">
        <v>11850</v>
      </c>
      <c r="AA1406" s="2"/>
      <c r="AB1406" s="2" t="s">
        <v>5118</v>
      </c>
      <c r="AC1406" s="2">
        <v>45.27</v>
      </c>
      <c r="AD1406" s="2">
        <v>83.71</v>
      </c>
      <c r="AE1406" s="2">
        <v>55.9</v>
      </c>
      <c r="AF1406" s="2" t="s">
        <v>12623</v>
      </c>
      <c r="AG1406" s="2" t="s">
        <v>194</v>
      </c>
      <c r="AH1406" s="2" t="s">
        <v>12624</v>
      </c>
      <c r="AI1406" s="2">
        <v>1.42</v>
      </c>
      <c r="AJ1406" s="2">
        <v>18.1640666546127</v>
      </c>
      <c r="AK1406" s="2">
        <v>18.181033425345301</v>
      </c>
      <c r="AL1406" s="2">
        <v>18.1187291674091</v>
      </c>
      <c r="AM1406" s="2">
        <v>18.320994012072699</v>
      </c>
      <c r="AN1406" s="2">
        <v>18.472178514132299</v>
      </c>
      <c r="AO1406" s="2">
        <v>18.193020577267099</v>
      </c>
      <c r="AP1406" s="2">
        <v>18.4285406373447</v>
      </c>
      <c r="AQ1406" s="2">
        <v>18.125248229574101</v>
      </c>
      <c r="AR1406" s="2">
        <v>18.159378242388001</v>
      </c>
      <c r="AS1406" s="2">
        <v>16.353074785457999</v>
      </c>
      <c r="AT1406" s="2">
        <v>18.3771323935906</v>
      </c>
      <c r="AU1406" s="2">
        <v>18.202286661292501</v>
      </c>
      <c r="AV1406" s="2">
        <v>17.061306107046299</v>
      </c>
      <c r="AW1406" s="2">
        <v>19.135484749216399</v>
      </c>
      <c r="AX1406" s="2">
        <v>16.395317065556799</v>
      </c>
      <c r="AY1406" s="2">
        <v>17.2255848784555</v>
      </c>
      <c r="AZ1406" s="2">
        <v>16.359853174824</v>
      </c>
      <c r="BA1406" s="2">
        <v>18.5906857596366</v>
      </c>
      <c r="BB1406" s="2">
        <v>18.303859482908098</v>
      </c>
      <c r="BC1406" s="2">
        <v>18.662286179811499</v>
      </c>
      <c r="BD1406" s="2">
        <v>18.6905806805248</v>
      </c>
      <c r="BE1406" s="2">
        <v>17.6584376533356</v>
      </c>
      <c r="BF1406" s="2">
        <v>17.639142338579799</v>
      </c>
      <c r="BG1406" s="2">
        <v>17.434581236996198</v>
      </c>
      <c r="BH1406" s="2">
        <v>17.862065701344701</v>
      </c>
      <c r="BI1406" s="2">
        <v>17.6747017209223</v>
      </c>
      <c r="BJ1406" s="2">
        <v>20.528227193304801</v>
      </c>
      <c r="BK1406" s="2">
        <v>19.078956369385399</v>
      </c>
      <c r="BL1406" s="2">
        <v>18.143121394818301</v>
      </c>
      <c r="BM1406" s="2">
        <v>18.0056186285886</v>
      </c>
      <c r="BN1406" s="2">
        <v>19.0853920346166</v>
      </c>
      <c r="BO1406" s="2">
        <v>19.025814964369602</v>
      </c>
      <c r="BP1406" s="2">
        <v>13.807233149270701</v>
      </c>
      <c r="BQ1406" s="2">
        <v>18.417292437431801</v>
      </c>
      <c r="BR1406" s="2">
        <v>17.1714071858176</v>
      </c>
      <c r="BS1406" s="2">
        <v>17.351684294083199</v>
      </c>
      <c r="BT1406" s="2">
        <v>20.661148042168499</v>
      </c>
      <c r="BU1406" s="2">
        <v>18.8726278716913</v>
      </c>
      <c r="BV1406" s="2">
        <v>17.8969446127923</v>
      </c>
      <c r="BW1406" s="2">
        <v>15.8313728148603</v>
      </c>
      <c r="BX1406" s="2">
        <v>18.477600889904501</v>
      </c>
      <c r="BY1406" s="2">
        <v>17.3444817816487</v>
      </c>
      <c r="BZ1406" s="2">
        <v>16.063660716651899</v>
      </c>
      <c r="CA1406" s="2">
        <v>17.8155191425334</v>
      </c>
      <c r="CB1406" s="2">
        <v>15.7613081311461</v>
      </c>
      <c r="CC1406" s="2">
        <v>18.366741317070002</v>
      </c>
      <c r="CD1406" s="2">
        <v>18.857539285556701</v>
      </c>
      <c r="CE1406" s="2">
        <v>18.7534513587267</v>
      </c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</row>
    <row r="1407" spans="1:97">
      <c r="A1407" s="2" t="s">
        <v>12625</v>
      </c>
      <c r="B1407" s="2">
        <v>338.26585999999998</v>
      </c>
      <c r="C1407" s="2">
        <v>10.17</v>
      </c>
      <c r="D1407" s="2" t="s">
        <v>84</v>
      </c>
      <c r="E1407" s="2" t="s">
        <v>12626</v>
      </c>
      <c r="F1407" s="2" t="s">
        <v>12627</v>
      </c>
      <c r="G1407" s="2">
        <v>60027</v>
      </c>
      <c r="H1407" s="3" t="str">
        <f>HYPERLINK("https://cloud.oebiotech.com/#/lm/network/60027", "https://cloud.oebiotech.com/#/lm/network/60027")</f>
        <v>https://cloud.oebiotech.com/#/lm/network/60027</v>
      </c>
      <c r="I1407" s="2" t="s">
        <v>12628</v>
      </c>
      <c r="J1407" s="2">
        <v>91407</v>
      </c>
      <c r="K1407" s="2"/>
      <c r="L1407" s="2">
        <v>75969210</v>
      </c>
      <c r="M1407" s="2"/>
      <c r="N1407" s="2"/>
      <c r="O1407" s="2"/>
      <c r="P1407" s="2"/>
      <c r="Q1407" s="2"/>
      <c r="R1407" s="2"/>
      <c r="S1407" s="2" t="s">
        <v>12629</v>
      </c>
      <c r="T1407" s="2" t="s">
        <v>12630</v>
      </c>
      <c r="U1407" s="2" t="s">
        <v>12631</v>
      </c>
      <c r="V1407" s="2" t="s">
        <v>95</v>
      </c>
      <c r="W1407" s="2" t="s">
        <v>180</v>
      </c>
      <c r="X1407" s="2" t="s">
        <v>3643</v>
      </c>
      <c r="Y1407" s="2" t="s">
        <v>98</v>
      </c>
      <c r="Z1407" s="2" t="s">
        <v>182</v>
      </c>
      <c r="AA1407" s="2" t="s">
        <v>3644</v>
      </c>
      <c r="AB1407" s="2" t="s">
        <v>3086</v>
      </c>
      <c r="AC1407" s="2">
        <v>45.25</v>
      </c>
      <c r="AD1407" s="2">
        <v>86.53</v>
      </c>
      <c r="AE1407" s="2">
        <v>0</v>
      </c>
      <c r="AF1407" s="2" t="s">
        <v>5614</v>
      </c>
      <c r="AG1407" s="2" t="s">
        <v>132</v>
      </c>
      <c r="AH1407" s="2" t="s">
        <v>11384</v>
      </c>
      <c r="AI1407" s="2">
        <v>9.16</v>
      </c>
      <c r="AJ1407" s="2">
        <v>19.685604720034299</v>
      </c>
      <c r="AK1407" s="2">
        <v>19.364253731611999</v>
      </c>
      <c r="AL1407" s="2">
        <v>19.232256044611798</v>
      </c>
      <c r="AM1407" s="2">
        <v>19.6821337949129</v>
      </c>
      <c r="AN1407" s="2">
        <v>19.305528552827301</v>
      </c>
      <c r="AO1407" s="2">
        <v>19.870351759618199</v>
      </c>
      <c r="AP1407" s="2">
        <v>19.106211808188199</v>
      </c>
      <c r="AQ1407" s="2">
        <v>19.083544121458001</v>
      </c>
      <c r="AR1407" s="2">
        <v>19.257401655193899</v>
      </c>
      <c r="AS1407" s="2">
        <v>19.413796138061102</v>
      </c>
      <c r="AT1407" s="2">
        <v>19.314088352564202</v>
      </c>
      <c r="AU1407" s="2">
        <v>19.076884865413501</v>
      </c>
      <c r="AV1407" s="2">
        <v>19.378802345183299</v>
      </c>
      <c r="AW1407" s="2">
        <v>19.295072529895901</v>
      </c>
      <c r="AX1407" s="2">
        <v>19.536194350815101</v>
      </c>
      <c r="AY1407" s="2">
        <v>19.517466133476201</v>
      </c>
      <c r="AZ1407" s="2">
        <v>19.153308357441599</v>
      </c>
      <c r="BA1407" s="2">
        <v>19.5700458504542</v>
      </c>
      <c r="BB1407" s="2">
        <v>19.0858318122147</v>
      </c>
      <c r="BC1407" s="2">
        <v>19.149102610538101</v>
      </c>
      <c r="BD1407" s="2">
        <v>18.748454877821601</v>
      </c>
      <c r="BE1407" s="2">
        <v>19.230742433082199</v>
      </c>
      <c r="BF1407" s="2">
        <v>18.683824248485799</v>
      </c>
      <c r="BG1407" s="2">
        <v>19.4434856515484</v>
      </c>
      <c r="BH1407" s="2">
        <v>18.9689535466789</v>
      </c>
      <c r="BI1407" s="2">
        <v>18.367806539982301</v>
      </c>
      <c r="BJ1407" s="2">
        <v>19.421211113249601</v>
      </c>
      <c r="BK1407" s="2">
        <v>19.332390397728599</v>
      </c>
      <c r="BL1407" s="2">
        <v>19.399689670287501</v>
      </c>
      <c r="BM1407" s="2">
        <v>19.403888073741001</v>
      </c>
      <c r="BN1407" s="2">
        <v>18.892114441108401</v>
      </c>
      <c r="BO1407" s="2">
        <v>19.549162952992301</v>
      </c>
      <c r="BP1407" s="2">
        <v>19.118884792369499</v>
      </c>
      <c r="BQ1407" s="2">
        <v>18.844312204435699</v>
      </c>
      <c r="BR1407" s="2">
        <v>19.3422085815419</v>
      </c>
      <c r="BS1407" s="2">
        <v>19.105734267176601</v>
      </c>
      <c r="BT1407" s="2">
        <v>19.581013074415999</v>
      </c>
      <c r="BU1407" s="2">
        <v>18.7733934915126</v>
      </c>
      <c r="BV1407" s="2">
        <v>18.9676598928224</v>
      </c>
      <c r="BW1407" s="2">
        <v>19.0990693206559</v>
      </c>
      <c r="BX1407" s="2">
        <v>19.289885064469999</v>
      </c>
      <c r="BY1407" s="2">
        <v>18.5637648158154</v>
      </c>
      <c r="BZ1407" s="2">
        <v>19.8020038386693</v>
      </c>
      <c r="CA1407" s="2">
        <v>19.188881626802399</v>
      </c>
      <c r="CB1407" s="2">
        <v>18.664472284823098</v>
      </c>
      <c r="CC1407" s="2">
        <v>18.828987266134199</v>
      </c>
      <c r="CD1407" s="2">
        <v>19.047995317982</v>
      </c>
      <c r="CE1407" s="2">
        <v>18.503743492657101</v>
      </c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</row>
    <row r="1408" spans="1:97">
      <c r="A1408" s="2" t="s">
        <v>12632</v>
      </c>
      <c r="B1408" s="2">
        <v>112.08695</v>
      </c>
      <c r="C1408" s="2">
        <v>13.959</v>
      </c>
      <c r="D1408" s="2" t="s">
        <v>84</v>
      </c>
      <c r="E1408" s="2" t="s">
        <v>12633</v>
      </c>
      <c r="F1408" s="2" t="s">
        <v>12634</v>
      </c>
      <c r="G1408" s="2">
        <v>200476</v>
      </c>
      <c r="H1408" s="3" t="str">
        <f>HYPERLINK("https://cloud.oebiotech.com/#/lm/network/200476", "https://cloud.oebiotech.com/#/lm/network/200476")</f>
        <v>https://cloud.oebiotech.com/#/lm/network/200476</v>
      </c>
      <c r="I1408" s="2" t="s">
        <v>12635</v>
      </c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 t="s">
        <v>12636</v>
      </c>
      <c r="U1408" s="2" t="s">
        <v>12637</v>
      </c>
      <c r="V1408" s="2" t="s">
        <v>553</v>
      </c>
      <c r="W1408" s="2" t="s">
        <v>2447</v>
      </c>
      <c r="X1408" s="2" t="s">
        <v>6124</v>
      </c>
      <c r="Y1408" s="2" t="s">
        <v>556</v>
      </c>
      <c r="Z1408" s="2" t="s">
        <v>2449</v>
      </c>
      <c r="AA1408" s="2" t="s">
        <v>6125</v>
      </c>
      <c r="AB1408" s="2" t="s">
        <v>8443</v>
      </c>
      <c r="AC1408" s="2">
        <v>45.23</v>
      </c>
      <c r="AD1408" s="2">
        <v>96.75</v>
      </c>
      <c r="AE1408" s="2">
        <v>36.770000000000003</v>
      </c>
      <c r="AF1408" s="2" t="s">
        <v>12638</v>
      </c>
      <c r="AG1408" s="2" t="s">
        <v>132</v>
      </c>
      <c r="AH1408" s="2" t="s">
        <v>12639</v>
      </c>
      <c r="AI1408" s="2">
        <v>-0.89</v>
      </c>
      <c r="AJ1408" s="2">
        <v>23.580165741421599</v>
      </c>
      <c r="AK1408" s="2">
        <v>22.721247556037</v>
      </c>
      <c r="AL1408" s="2">
        <v>23.4632542707208</v>
      </c>
      <c r="AM1408" s="2">
        <v>23.8702082919121</v>
      </c>
      <c r="AN1408" s="2">
        <v>23.738426264331</v>
      </c>
      <c r="AO1408" s="2">
        <v>23.3481807351627</v>
      </c>
      <c r="AP1408" s="2">
        <v>23.646367752494999</v>
      </c>
      <c r="AQ1408" s="2">
        <v>22.899505515426799</v>
      </c>
      <c r="AR1408" s="2">
        <v>23.540023795061799</v>
      </c>
      <c r="AS1408" s="2">
        <v>23.822660839823801</v>
      </c>
      <c r="AT1408" s="2">
        <v>23.738022359280102</v>
      </c>
      <c r="AU1408" s="2">
        <v>22.558156927875402</v>
      </c>
      <c r="AV1408" s="2">
        <v>24.0766066948058</v>
      </c>
      <c r="AW1408" s="2">
        <v>23.992033669494901</v>
      </c>
      <c r="AX1408" s="2">
        <v>23.8491362476821</v>
      </c>
      <c r="AY1408" s="2">
        <v>22.9327734071354</v>
      </c>
      <c r="AZ1408" s="2">
        <v>24.004807480736901</v>
      </c>
      <c r="BA1408" s="2">
        <v>24.379073137864101</v>
      </c>
      <c r="BB1408" s="2">
        <v>22.933405893696399</v>
      </c>
      <c r="BC1408" s="2">
        <v>23.966277680531899</v>
      </c>
      <c r="BD1408" s="2">
        <v>23.832975204009902</v>
      </c>
      <c r="BE1408" s="2">
        <v>23.835172784667702</v>
      </c>
      <c r="BF1408" s="2">
        <v>23.596839589641899</v>
      </c>
      <c r="BG1408" s="2">
        <v>23.456938790939201</v>
      </c>
      <c r="BH1408" s="2">
        <v>23.177139104613499</v>
      </c>
      <c r="BI1408" s="2">
        <v>22.865310678419899</v>
      </c>
      <c r="BJ1408" s="2">
        <v>23.6697616602765</v>
      </c>
      <c r="BK1408" s="2">
        <v>23.574091953273498</v>
      </c>
      <c r="BL1408" s="2">
        <v>22.345733253656899</v>
      </c>
      <c r="BM1408" s="2">
        <v>22.183274851044199</v>
      </c>
      <c r="BN1408" s="2">
        <v>23.7783183031734</v>
      </c>
      <c r="BO1408" s="2">
        <v>23.4861950533646</v>
      </c>
      <c r="BP1408" s="2">
        <v>23.5661237824112</v>
      </c>
      <c r="BQ1408" s="2">
        <v>23.413041469924799</v>
      </c>
      <c r="BR1408" s="2">
        <v>22.5127108648907</v>
      </c>
      <c r="BS1408" s="2">
        <v>24.8265467295817</v>
      </c>
      <c r="BT1408" s="2">
        <v>22.837824489597999</v>
      </c>
      <c r="BU1408" s="2">
        <v>23.372740396305701</v>
      </c>
      <c r="BV1408" s="2">
        <v>23.2334401311502</v>
      </c>
      <c r="BW1408" s="2">
        <v>23.485712437511399</v>
      </c>
      <c r="BX1408" s="2">
        <v>23.5243066192062</v>
      </c>
      <c r="BY1408" s="2">
        <v>22.8120289578276</v>
      </c>
      <c r="BZ1408" s="2">
        <v>23.605548513643601</v>
      </c>
      <c r="CA1408" s="2">
        <v>21.9420593389268</v>
      </c>
      <c r="CB1408" s="2">
        <v>23.402086100742</v>
      </c>
      <c r="CC1408" s="2">
        <v>23.400358721651902</v>
      </c>
      <c r="CD1408" s="2">
        <v>23.290284443698301</v>
      </c>
      <c r="CE1408" s="2">
        <v>23.1905705577026</v>
      </c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</row>
    <row r="1409" spans="1:97">
      <c r="A1409" s="2" t="s">
        <v>12640</v>
      </c>
      <c r="B1409" s="2">
        <v>173.12833000000001</v>
      </c>
      <c r="C1409" s="2">
        <v>3.2389999999999999</v>
      </c>
      <c r="D1409" s="2" t="s">
        <v>84</v>
      </c>
      <c r="E1409" s="2" t="s">
        <v>12641</v>
      </c>
      <c r="F1409" s="2" t="s">
        <v>12642</v>
      </c>
      <c r="G1409" s="2">
        <v>201006</v>
      </c>
      <c r="H1409" s="3" t="str">
        <f>HYPERLINK("https://cloud.oebiotech.com/#/lm/network/201006", "https://cloud.oebiotech.com/#/lm/network/201006")</f>
        <v>https://cloud.oebiotech.com/#/lm/network/201006</v>
      </c>
      <c r="I1409" s="2" t="s">
        <v>12643</v>
      </c>
      <c r="J1409" s="2">
        <v>44702</v>
      </c>
      <c r="K1409" s="2"/>
      <c r="L1409" s="2">
        <v>115288</v>
      </c>
      <c r="M1409" s="2"/>
      <c r="N1409" s="2"/>
      <c r="O1409" s="2"/>
      <c r="P1409" s="2"/>
      <c r="Q1409" s="2"/>
      <c r="R1409" s="2"/>
      <c r="S1409" s="2" t="s">
        <v>12644</v>
      </c>
      <c r="T1409" s="2" t="s">
        <v>12645</v>
      </c>
      <c r="U1409" s="2" t="s">
        <v>12646</v>
      </c>
      <c r="V1409" s="2" t="s">
        <v>95</v>
      </c>
      <c r="W1409" s="2" t="s">
        <v>180</v>
      </c>
      <c r="X1409" s="2" t="s">
        <v>5048</v>
      </c>
      <c r="Y1409" s="2" t="s">
        <v>98</v>
      </c>
      <c r="Z1409" s="2" t="s">
        <v>182</v>
      </c>
      <c r="AA1409" s="2" t="s">
        <v>5049</v>
      </c>
      <c r="AB1409" s="2" t="s">
        <v>8443</v>
      </c>
      <c r="AC1409" s="2">
        <v>45.23</v>
      </c>
      <c r="AD1409" s="2">
        <v>98.38</v>
      </c>
      <c r="AE1409" s="2">
        <v>34.74</v>
      </c>
      <c r="AF1409" s="2" t="s">
        <v>12647</v>
      </c>
      <c r="AG1409" s="2" t="s">
        <v>132</v>
      </c>
      <c r="AH1409" s="2" t="s">
        <v>9035</v>
      </c>
      <c r="AI1409" s="2">
        <v>0.57999999999999996</v>
      </c>
      <c r="AJ1409" s="2">
        <v>23.284591865896299</v>
      </c>
      <c r="AK1409" s="2">
        <v>24.0301357124583</v>
      </c>
      <c r="AL1409" s="2">
        <v>23.296678392265601</v>
      </c>
      <c r="AM1409" s="2">
        <v>23.8820153055586</v>
      </c>
      <c r="AN1409" s="2">
        <v>23.021806357499099</v>
      </c>
      <c r="AO1409" s="2">
        <v>24.217553257480301</v>
      </c>
      <c r="AP1409" s="2">
        <v>23.9298746267112</v>
      </c>
      <c r="AQ1409" s="2">
        <v>23.407303587578401</v>
      </c>
      <c r="AR1409" s="2">
        <v>21.7324514973578</v>
      </c>
      <c r="AS1409" s="2">
        <v>22.658515402181099</v>
      </c>
      <c r="AT1409" s="2">
        <v>22.722257726978999</v>
      </c>
      <c r="AU1409" s="2">
        <v>22.1682479988777</v>
      </c>
      <c r="AV1409" s="2">
        <v>23.812890650810498</v>
      </c>
      <c r="AW1409" s="2">
        <v>23.769280835410299</v>
      </c>
      <c r="AX1409" s="2">
        <v>23.8326161338586</v>
      </c>
      <c r="AY1409" s="2">
        <v>23.942487735082398</v>
      </c>
      <c r="AZ1409" s="2">
        <v>24.219990903283499</v>
      </c>
      <c r="BA1409" s="2">
        <v>23.002548927298101</v>
      </c>
      <c r="BB1409" s="2">
        <v>24.541547265417801</v>
      </c>
      <c r="BC1409" s="2">
        <v>21.858213362217999</v>
      </c>
      <c r="BD1409" s="2">
        <v>23.5000931475276</v>
      </c>
      <c r="BE1409" s="2">
        <v>24.143224008405099</v>
      </c>
      <c r="BF1409" s="2">
        <v>24.139594973370102</v>
      </c>
      <c r="BG1409" s="2">
        <v>24.7854977831546</v>
      </c>
      <c r="BH1409" s="2">
        <v>24.419804720696501</v>
      </c>
      <c r="BI1409" s="2">
        <v>24.267169135186801</v>
      </c>
      <c r="BJ1409" s="2">
        <v>24.560330407737901</v>
      </c>
      <c r="BK1409" s="2">
        <v>24.3032589216727</v>
      </c>
      <c r="BL1409" s="2">
        <v>22.834814879191502</v>
      </c>
      <c r="BM1409" s="2">
        <v>24.206533924868602</v>
      </c>
      <c r="BN1409" s="2">
        <v>24.195027357371899</v>
      </c>
      <c r="BO1409" s="2">
        <v>24.531774159067101</v>
      </c>
      <c r="BP1409" s="2">
        <v>24.126295340533002</v>
      </c>
      <c r="BQ1409" s="2">
        <v>24.001859897109</v>
      </c>
      <c r="BR1409" s="2">
        <v>24.051505720036602</v>
      </c>
      <c r="BS1409" s="2">
        <v>23.356361451288901</v>
      </c>
      <c r="BT1409" s="2">
        <v>22.017118116633</v>
      </c>
      <c r="BU1409" s="2">
        <v>22.199090644496302</v>
      </c>
      <c r="BV1409" s="2">
        <v>23.076236580442899</v>
      </c>
      <c r="BW1409" s="2">
        <v>22.7412549637259</v>
      </c>
      <c r="BX1409" s="2">
        <v>23.5252961781778</v>
      </c>
      <c r="BY1409" s="2">
        <v>24.390800058507899</v>
      </c>
      <c r="BZ1409" s="2">
        <v>24.9083717389151</v>
      </c>
      <c r="CA1409" s="2">
        <v>23.549945237710102</v>
      </c>
      <c r="CB1409" s="2">
        <v>24.048067605029299</v>
      </c>
      <c r="CC1409" s="2">
        <v>24.706478230923199</v>
      </c>
      <c r="CD1409" s="2">
        <v>25.4676171246827</v>
      </c>
      <c r="CE1409" s="2">
        <v>24.5757065049314</v>
      </c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</row>
    <row r="1410" spans="1:97">
      <c r="A1410" s="2" t="s">
        <v>12648</v>
      </c>
      <c r="B1410" s="2">
        <v>323.25853999999998</v>
      </c>
      <c r="C1410" s="2">
        <v>12.385999999999999</v>
      </c>
      <c r="D1410" s="2" t="s">
        <v>146</v>
      </c>
      <c r="E1410" s="2" t="s">
        <v>12649</v>
      </c>
      <c r="F1410" s="2" t="s">
        <v>12650</v>
      </c>
      <c r="G1410" s="2">
        <v>2235</v>
      </c>
      <c r="H1410" s="3" t="str">
        <f>HYPERLINK("https://cloud.oebiotech.com/#/lm/network/2235", "https://cloud.oebiotech.com/#/lm/network/2235")</f>
        <v>https://cloud.oebiotech.com/#/lm/network/2235</v>
      </c>
      <c r="I1410" s="2"/>
      <c r="J1410" s="2"/>
      <c r="K1410" s="2" t="s">
        <v>12651</v>
      </c>
      <c r="L1410" s="2">
        <v>44352356</v>
      </c>
      <c r="M1410" s="2"/>
      <c r="N1410" s="2"/>
      <c r="O1410" s="2"/>
      <c r="P1410" s="2"/>
      <c r="Q1410" s="2"/>
      <c r="R1410" s="2"/>
      <c r="S1410" s="2"/>
      <c r="T1410" s="2" t="s">
        <v>12652</v>
      </c>
      <c r="U1410" s="2" t="s">
        <v>12653</v>
      </c>
      <c r="V1410" s="2" t="s">
        <v>95</v>
      </c>
      <c r="W1410" s="2" t="s">
        <v>96</v>
      </c>
      <c r="X1410" s="2" t="s">
        <v>3216</v>
      </c>
      <c r="Y1410" s="2" t="s">
        <v>98</v>
      </c>
      <c r="Z1410" s="2" t="s">
        <v>99</v>
      </c>
      <c r="AA1410" s="2" t="s">
        <v>3217</v>
      </c>
      <c r="AB1410" s="2" t="s">
        <v>8443</v>
      </c>
      <c r="AC1410" s="2">
        <v>45.21</v>
      </c>
      <c r="AD1410" s="2">
        <v>87.68</v>
      </c>
      <c r="AE1410" s="2">
        <v>0</v>
      </c>
      <c r="AF1410" s="2" t="s">
        <v>12654</v>
      </c>
      <c r="AG1410" s="2" t="s">
        <v>194</v>
      </c>
      <c r="AH1410" s="2" t="s">
        <v>12655</v>
      </c>
      <c r="AI1410" s="2">
        <v>2.17</v>
      </c>
      <c r="AJ1410" s="2">
        <v>18.097535958122499</v>
      </c>
      <c r="AK1410" s="2">
        <v>17.5219774724155</v>
      </c>
      <c r="AL1410" s="2">
        <v>17.7854691351748</v>
      </c>
      <c r="AM1410" s="2">
        <v>17.6390916639739</v>
      </c>
      <c r="AN1410" s="2">
        <v>17.896062133467701</v>
      </c>
      <c r="AO1410" s="2">
        <v>17.3087499029144</v>
      </c>
      <c r="AP1410" s="2">
        <v>17.4900111385301</v>
      </c>
      <c r="AQ1410" s="2">
        <v>17.3989805316305</v>
      </c>
      <c r="AR1410" s="2">
        <v>15.9377207039733</v>
      </c>
      <c r="AS1410" s="2">
        <v>16.2855866261012</v>
      </c>
      <c r="AT1410" s="2">
        <v>17.958593437914299</v>
      </c>
      <c r="AU1410" s="2">
        <v>16.3854440136788</v>
      </c>
      <c r="AV1410" s="2">
        <v>17.182017955827501</v>
      </c>
      <c r="AW1410" s="2">
        <v>17.141243116680101</v>
      </c>
      <c r="AX1410" s="2">
        <v>17.330334568617701</v>
      </c>
      <c r="AY1410" s="2">
        <v>17.1793310411642</v>
      </c>
      <c r="AZ1410" s="2">
        <v>15.5191930203942</v>
      </c>
      <c r="BA1410" s="2">
        <v>17.532426396200599</v>
      </c>
      <c r="BB1410" s="2">
        <v>17.819803565005099</v>
      </c>
      <c r="BC1410" s="2">
        <v>17.6273273286725</v>
      </c>
      <c r="BD1410" s="2">
        <v>15.677287450992999</v>
      </c>
      <c r="BE1410" s="2">
        <v>17.222321346526801</v>
      </c>
      <c r="BF1410" s="2">
        <v>16.884503960676</v>
      </c>
      <c r="BG1410" s="2">
        <v>17.836661131730398</v>
      </c>
      <c r="BH1410" s="2">
        <v>16.6333657883904</v>
      </c>
      <c r="BI1410" s="2">
        <v>17.5136090214313</v>
      </c>
      <c r="BJ1410" s="2">
        <v>17.649287828762901</v>
      </c>
      <c r="BK1410" s="2">
        <v>14.9998608662059</v>
      </c>
      <c r="BL1410" s="2">
        <v>17.436966541450701</v>
      </c>
      <c r="BM1410" s="2">
        <v>16.389586640832199</v>
      </c>
      <c r="BN1410" s="2">
        <v>16.657333244945999</v>
      </c>
      <c r="BO1410" s="2">
        <v>17.467549591712</v>
      </c>
      <c r="BP1410" s="2">
        <v>17.0187264639025</v>
      </c>
      <c r="BQ1410" s="2">
        <v>17.634425088967099</v>
      </c>
      <c r="BR1410" s="2">
        <v>17.557836637806599</v>
      </c>
      <c r="BS1410" s="2">
        <v>17.189908413864199</v>
      </c>
      <c r="BT1410" s="2">
        <v>16.727899587010899</v>
      </c>
      <c r="BU1410" s="2">
        <v>18.104013891467901</v>
      </c>
      <c r="BV1410" s="2">
        <v>18.1642846263181</v>
      </c>
      <c r="BW1410" s="2">
        <v>16.2199340304484</v>
      </c>
      <c r="BX1410" s="2">
        <v>16.029047764587801</v>
      </c>
      <c r="BY1410" s="2">
        <v>17.703082336641899</v>
      </c>
      <c r="BZ1410" s="2">
        <v>17.103810895451701</v>
      </c>
      <c r="CA1410" s="2">
        <v>16.9067023801944</v>
      </c>
      <c r="CB1410" s="2">
        <v>17.134116032014099</v>
      </c>
      <c r="CC1410" s="2">
        <v>17.4685289874879</v>
      </c>
      <c r="CD1410" s="2">
        <v>18.0887019696147</v>
      </c>
      <c r="CE1410" s="2">
        <v>17.754873935089002</v>
      </c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</row>
    <row r="1411" spans="1:97">
      <c r="A1411" s="2" t="s">
        <v>12656</v>
      </c>
      <c r="B1411" s="2">
        <v>532.32906000000003</v>
      </c>
      <c r="C1411" s="2">
        <v>10.032999999999999</v>
      </c>
      <c r="D1411" s="2" t="s">
        <v>146</v>
      </c>
      <c r="E1411" s="2" t="s">
        <v>12657</v>
      </c>
      <c r="F1411" s="2" t="s">
        <v>12658</v>
      </c>
      <c r="G1411" s="2">
        <v>198160</v>
      </c>
      <c r="H1411" s="3" t="str">
        <f>HYPERLINK("https://cloud.oebiotech.com/#/lm/network/198160", "https://cloud.oebiotech.com/#/lm/network/198160")</f>
        <v>https://cloud.oebiotech.com/#/lm/network/198160</v>
      </c>
      <c r="I1411" s="2" t="s">
        <v>12659</v>
      </c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 t="s">
        <v>12660</v>
      </c>
      <c r="U1411" s="2" t="s">
        <v>12661</v>
      </c>
      <c r="V1411" s="2" t="s">
        <v>95</v>
      </c>
      <c r="W1411" s="2" t="s">
        <v>96</v>
      </c>
      <c r="X1411" s="2" t="s">
        <v>97</v>
      </c>
      <c r="Y1411" s="2" t="s">
        <v>98</v>
      </c>
      <c r="Z1411" s="2" t="s">
        <v>99</v>
      </c>
      <c r="AA1411" s="2" t="s">
        <v>100</v>
      </c>
      <c r="AB1411" s="2" t="s">
        <v>8443</v>
      </c>
      <c r="AC1411" s="2">
        <v>45.2</v>
      </c>
      <c r="AD1411" s="2">
        <v>92.82</v>
      </c>
      <c r="AE1411" s="2">
        <v>0</v>
      </c>
      <c r="AF1411" s="2" t="s">
        <v>12662</v>
      </c>
      <c r="AG1411" s="2" t="s">
        <v>157</v>
      </c>
      <c r="AH1411" s="2" t="s">
        <v>12663</v>
      </c>
      <c r="AI1411" s="2">
        <v>-2.0699999999999998</v>
      </c>
      <c r="AJ1411" s="2">
        <v>20.525723180686601</v>
      </c>
      <c r="AK1411" s="2">
        <v>20.409366135459699</v>
      </c>
      <c r="AL1411" s="2">
        <v>20.304730405365799</v>
      </c>
      <c r="AM1411" s="2">
        <v>20.219899878057099</v>
      </c>
      <c r="AN1411" s="2">
        <v>20.302834781884599</v>
      </c>
      <c r="AO1411" s="2">
        <v>20.254785788207101</v>
      </c>
      <c r="AP1411" s="2">
        <v>20.200207177530299</v>
      </c>
      <c r="AQ1411" s="2">
        <v>20.318039992877999</v>
      </c>
      <c r="AR1411" s="2">
        <v>20.347039857846799</v>
      </c>
      <c r="AS1411" s="2">
        <v>20.600531119865099</v>
      </c>
      <c r="AT1411" s="2">
        <v>20.390310110440002</v>
      </c>
      <c r="AU1411" s="2">
        <v>20.4443150864968</v>
      </c>
      <c r="AV1411" s="2">
        <v>20.445719347221601</v>
      </c>
      <c r="AW1411" s="2">
        <v>20.437970092254901</v>
      </c>
      <c r="AX1411" s="2">
        <v>20.4324100894917</v>
      </c>
      <c r="AY1411" s="2">
        <v>20.5225674519451</v>
      </c>
      <c r="AZ1411" s="2">
        <v>20.3613676872653</v>
      </c>
      <c r="BA1411" s="2">
        <v>20.498828233804598</v>
      </c>
      <c r="BB1411" s="2">
        <v>20.357409606023101</v>
      </c>
      <c r="BC1411" s="2">
        <v>20.3043592880354</v>
      </c>
      <c r="BD1411" s="2">
        <v>20.352590608485801</v>
      </c>
      <c r="BE1411" s="2">
        <v>20.3591754178664</v>
      </c>
      <c r="BF1411" s="2">
        <v>20.134967297108201</v>
      </c>
      <c r="BG1411" s="2">
        <v>20.342448754698399</v>
      </c>
      <c r="BH1411" s="2">
        <v>20.309064122062502</v>
      </c>
      <c r="BI1411" s="2">
        <v>20.159085461765901</v>
      </c>
      <c r="BJ1411" s="2">
        <v>20.110710242382901</v>
      </c>
      <c r="BK1411" s="2">
        <v>20.2330158140911</v>
      </c>
      <c r="BL1411" s="2">
        <v>20.277132017408899</v>
      </c>
      <c r="BM1411" s="2">
        <v>20.317972966088501</v>
      </c>
      <c r="BN1411" s="2">
        <v>20.0843339732719</v>
      </c>
      <c r="BO1411" s="2">
        <v>20.242924222430499</v>
      </c>
      <c r="BP1411" s="2">
        <v>20.266957711975099</v>
      </c>
      <c r="BQ1411" s="2">
        <v>20.245479231310899</v>
      </c>
      <c r="BR1411" s="2">
        <v>20.252005093161401</v>
      </c>
      <c r="BS1411" s="2">
        <v>20.298500631016001</v>
      </c>
      <c r="BT1411" s="2">
        <v>20.179866191353099</v>
      </c>
      <c r="BU1411" s="2">
        <v>20.229914665975102</v>
      </c>
      <c r="BV1411" s="2">
        <v>20.240203568982899</v>
      </c>
      <c r="BW1411" s="2">
        <v>20.271838224996699</v>
      </c>
      <c r="BX1411" s="2">
        <v>20.248332533297699</v>
      </c>
      <c r="BY1411" s="2">
        <v>20.291309871697901</v>
      </c>
      <c r="BZ1411" s="2">
        <v>20.205007425707699</v>
      </c>
      <c r="CA1411" s="2">
        <v>20.218948543191399</v>
      </c>
      <c r="CB1411" s="2">
        <v>20.1528292389985</v>
      </c>
      <c r="CC1411" s="2">
        <v>20.1942428335282</v>
      </c>
      <c r="CD1411" s="2">
        <v>20.129427734561201</v>
      </c>
      <c r="CE1411" s="2">
        <v>20.1814290313105</v>
      </c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</row>
    <row r="1412" spans="1:97">
      <c r="A1412" s="2" t="s">
        <v>12664</v>
      </c>
      <c r="B1412" s="2">
        <v>515.26233999999999</v>
      </c>
      <c r="C1412" s="2">
        <v>4.0209999999999999</v>
      </c>
      <c r="D1412" s="2" t="s">
        <v>84</v>
      </c>
      <c r="E1412" s="2" t="s">
        <v>12665</v>
      </c>
      <c r="F1412" s="2" t="s">
        <v>12666</v>
      </c>
      <c r="G1412" s="2">
        <v>10253</v>
      </c>
      <c r="H1412" s="3" t="str">
        <f>HYPERLINK("https://cloud.oebiotech.com/#/lm/network/10253", "https://cloud.oebiotech.com/#/lm/network/10253")</f>
        <v>https://cloud.oebiotech.com/#/lm/network/10253</v>
      </c>
      <c r="I1412" s="2"/>
      <c r="J1412" s="2"/>
      <c r="K1412" s="2" t="s">
        <v>12667</v>
      </c>
      <c r="L1412" s="2">
        <v>101354481</v>
      </c>
      <c r="M1412" s="2"/>
      <c r="N1412" s="2"/>
      <c r="O1412" s="2"/>
      <c r="P1412" s="2"/>
      <c r="Q1412" s="2"/>
      <c r="R1412" s="2"/>
      <c r="S1412" s="2"/>
      <c r="T1412" s="2" t="s">
        <v>12668</v>
      </c>
      <c r="U1412" s="2" t="s">
        <v>12669</v>
      </c>
      <c r="V1412" s="2" t="s">
        <v>95</v>
      </c>
      <c r="W1412" s="2" t="s">
        <v>96</v>
      </c>
      <c r="X1412" s="2" t="s">
        <v>97</v>
      </c>
      <c r="Y1412" s="2" t="s">
        <v>98</v>
      </c>
      <c r="Z1412" s="2" t="s">
        <v>99</v>
      </c>
      <c r="AA1412" s="2" t="s">
        <v>100</v>
      </c>
      <c r="AB1412" s="2" t="s">
        <v>5118</v>
      </c>
      <c r="AC1412" s="2">
        <v>45.18</v>
      </c>
      <c r="AD1412" s="2">
        <v>75.569999999999993</v>
      </c>
      <c r="AE1412" s="2">
        <v>63.91</v>
      </c>
      <c r="AF1412" s="2" t="s">
        <v>12670</v>
      </c>
      <c r="AG1412" s="2" t="s">
        <v>3544</v>
      </c>
      <c r="AH1412" s="2" t="s">
        <v>12671</v>
      </c>
      <c r="AI1412" s="2">
        <v>-1.1599999999999999</v>
      </c>
      <c r="AJ1412" s="2">
        <v>16.889519292440198</v>
      </c>
      <c r="AK1412" s="2">
        <v>16.868401184826201</v>
      </c>
      <c r="AL1412" s="2">
        <v>17.199359385770101</v>
      </c>
      <c r="AM1412" s="2">
        <v>16.078048415793901</v>
      </c>
      <c r="AN1412" s="2">
        <v>16.492064726173101</v>
      </c>
      <c r="AO1412" s="2">
        <v>16.898549784060499</v>
      </c>
      <c r="AP1412" s="2">
        <v>16.706762829375801</v>
      </c>
      <c r="AQ1412" s="2">
        <v>17.392101713547099</v>
      </c>
      <c r="AR1412" s="2">
        <v>14.3753564798014</v>
      </c>
      <c r="AS1412" s="2">
        <v>17.9541993781103</v>
      </c>
      <c r="AT1412" s="2">
        <v>16.794951776546199</v>
      </c>
      <c r="AU1412" s="2">
        <v>16.602902671886401</v>
      </c>
      <c r="AV1412" s="2">
        <v>9.6233145402724691</v>
      </c>
      <c r="AW1412" s="2">
        <v>17.524686402722701</v>
      </c>
      <c r="AX1412" s="2">
        <v>9.6233145402724691</v>
      </c>
      <c r="AY1412" s="2">
        <v>17.446296298450701</v>
      </c>
      <c r="AZ1412" s="2">
        <v>9.6233145402724691</v>
      </c>
      <c r="BA1412" s="2">
        <v>17.3945714654018</v>
      </c>
      <c r="BB1412" s="2">
        <v>18.837845115596501</v>
      </c>
      <c r="BC1412" s="2">
        <v>15.1894165044266</v>
      </c>
      <c r="BD1412" s="2">
        <v>9.6233145402724691</v>
      </c>
      <c r="BE1412" s="2">
        <v>18.0985151868455</v>
      </c>
      <c r="BF1412" s="2">
        <v>9.6233145402724691</v>
      </c>
      <c r="BG1412" s="2">
        <v>9.6233145402724691</v>
      </c>
      <c r="BH1412" s="2">
        <v>9.6233145402724691</v>
      </c>
      <c r="BI1412" s="2">
        <v>18.096792557282999</v>
      </c>
      <c r="BJ1412" s="2">
        <v>19.338571441491201</v>
      </c>
      <c r="BK1412" s="2">
        <v>17.1113182783029</v>
      </c>
      <c r="BL1412" s="2">
        <v>16.556971640255899</v>
      </c>
      <c r="BM1412" s="2">
        <v>15.6338514863735</v>
      </c>
      <c r="BN1412" s="2">
        <v>17.815479678252998</v>
      </c>
      <c r="BO1412" s="2">
        <v>9.6233145402724691</v>
      </c>
      <c r="BP1412" s="2">
        <v>9.6233145402724691</v>
      </c>
      <c r="BQ1412" s="2">
        <v>16.9399813352207</v>
      </c>
      <c r="BR1412" s="2">
        <v>9.6233145402724691</v>
      </c>
      <c r="BS1412" s="2">
        <v>16.748365705763401</v>
      </c>
      <c r="BT1412" s="2">
        <v>9.6233145402724691</v>
      </c>
      <c r="BU1412" s="2">
        <v>9.6233145402724691</v>
      </c>
      <c r="BV1412" s="2">
        <v>17.811852301450301</v>
      </c>
      <c r="BW1412" s="2">
        <v>9.6233145402724691</v>
      </c>
      <c r="BX1412" s="2">
        <v>9.6233145402724691</v>
      </c>
      <c r="BY1412" s="2">
        <v>18.351723583859702</v>
      </c>
      <c r="BZ1412" s="2">
        <v>15.7680602344311</v>
      </c>
      <c r="CA1412" s="2">
        <v>9.6233145402724691</v>
      </c>
      <c r="CB1412" s="2">
        <v>9.6233145402724691</v>
      </c>
      <c r="CC1412" s="2">
        <v>9.6233145402724691</v>
      </c>
      <c r="CD1412" s="2">
        <v>17.8434000235257</v>
      </c>
      <c r="CE1412" s="2">
        <v>19.104329210946901</v>
      </c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</row>
    <row r="1413" spans="1:97">
      <c r="A1413" s="2" t="s">
        <v>12672</v>
      </c>
      <c r="B1413" s="2">
        <v>306.11543999999998</v>
      </c>
      <c r="C1413" s="2">
        <v>4.9740000000000002</v>
      </c>
      <c r="D1413" s="2" t="s">
        <v>84</v>
      </c>
      <c r="E1413" s="2" t="s">
        <v>12673</v>
      </c>
      <c r="F1413" s="2" t="s">
        <v>12674</v>
      </c>
      <c r="G1413" s="2">
        <v>53835</v>
      </c>
      <c r="H1413" s="3" t="str">
        <f>HYPERLINK("https://cloud.oebiotech.com/#/lm/network/53835", "https://cloud.oebiotech.com/#/lm/network/53835")</f>
        <v>https://cloud.oebiotech.com/#/lm/network/53835</v>
      </c>
      <c r="I1413" s="2" t="s">
        <v>12675</v>
      </c>
      <c r="J1413" s="2">
        <v>85713</v>
      </c>
      <c r="K1413" s="2"/>
      <c r="L1413" s="2">
        <v>9814348</v>
      </c>
      <c r="M1413" s="2"/>
      <c r="N1413" s="2"/>
      <c r="O1413" s="2"/>
      <c r="P1413" s="2"/>
      <c r="Q1413" s="2"/>
      <c r="R1413" s="2"/>
      <c r="S1413" s="2" t="s">
        <v>12676</v>
      </c>
      <c r="T1413" s="2" t="s">
        <v>12677</v>
      </c>
      <c r="U1413" s="2" t="s">
        <v>12678</v>
      </c>
      <c r="V1413" s="2" t="s">
        <v>115</v>
      </c>
      <c r="W1413" s="2" t="s">
        <v>116</v>
      </c>
      <c r="X1413" s="2" t="s">
        <v>117</v>
      </c>
      <c r="Y1413" s="2" t="s">
        <v>118</v>
      </c>
      <c r="Z1413" s="2" t="s">
        <v>119</v>
      </c>
      <c r="AA1413" s="2" t="s">
        <v>120</v>
      </c>
      <c r="AB1413" s="2" t="s">
        <v>5118</v>
      </c>
      <c r="AC1413" s="2">
        <v>45.16</v>
      </c>
      <c r="AD1413" s="2">
        <v>89.43</v>
      </c>
      <c r="AE1413" s="2">
        <v>79.56</v>
      </c>
      <c r="AF1413" s="2" t="s">
        <v>12679</v>
      </c>
      <c r="AG1413" s="2" t="s">
        <v>1578</v>
      </c>
      <c r="AH1413" s="2" t="s">
        <v>12680</v>
      </c>
      <c r="AI1413" s="2">
        <v>6.21</v>
      </c>
      <c r="AJ1413" s="2">
        <v>21.0469034412097</v>
      </c>
      <c r="AK1413" s="2">
        <v>21.112437343185402</v>
      </c>
      <c r="AL1413" s="2">
        <v>21.1363055957735</v>
      </c>
      <c r="AM1413" s="2">
        <v>21.070872567337201</v>
      </c>
      <c r="AN1413" s="2">
        <v>20.940096039343501</v>
      </c>
      <c r="AO1413" s="2">
        <v>20.905980537839302</v>
      </c>
      <c r="AP1413" s="2">
        <v>20.9755110701938</v>
      </c>
      <c r="AQ1413" s="2">
        <v>20.995833474433901</v>
      </c>
      <c r="AR1413" s="2">
        <v>9.6233145402724691</v>
      </c>
      <c r="AS1413" s="2">
        <v>9.6233145402724691</v>
      </c>
      <c r="AT1413" s="2">
        <v>21.0659204104678</v>
      </c>
      <c r="AU1413" s="2">
        <v>21.5279754837123</v>
      </c>
      <c r="AV1413" s="2">
        <v>21.425757754842</v>
      </c>
      <c r="AW1413" s="2">
        <v>21.9108968191515</v>
      </c>
      <c r="AX1413" s="2">
        <v>21.389985585184998</v>
      </c>
      <c r="AY1413" s="2">
        <v>21.358218116641002</v>
      </c>
      <c r="AZ1413" s="2">
        <v>20.760273429286102</v>
      </c>
      <c r="BA1413" s="2">
        <v>20.497219387091999</v>
      </c>
      <c r="BB1413" s="2">
        <v>9.6233145402724691</v>
      </c>
      <c r="BC1413" s="2">
        <v>9.6233145402724691</v>
      </c>
      <c r="BD1413" s="2">
        <v>21.686934744540899</v>
      </c>
      <c r="BE1413" s="2">
        <v>21.298925744772198</v>
      </c>
      <c r="BF1413" s="2">
        <v>21.1381214157588</v>
      </c>
      <c r="BG1413" s="2">
        <v>9.6233145402724691</v>
      </c>
      <c r="BH1413" s="2">
        <v>21.9355828326735</v>
      </c>
      <c r="BI1413" s="2">
        <v>22.193455612545101</v>
      </c>
      <c r="BJ1413" s="2">
        <v>9.6233145402724691</v>
      </c>
      <c r="BK1413" s="2">
        <v>21.954373492676702</v>
      </c>
      <c r="BL1413" s="2">
        <v>20.792413309585601</v>
      </c>
      <c r="BM1413" s="2">
        <v>21.928746221680001</v>
      </c>
      <c r="BN1413" s="2">
        <v>21.868305858425799</v>
      </c>
      <c r="BO1413" s="2">
        <v>20.454610168119</v>
      </c>
      <c r="BP1413" s="2">
        <v>21.881853452779801</v>
      </c>
      <c r="BQ1413" s="2">
        <v>21.3021974567929</v>
      </c>
      <c r="BR1413" s="2">
        <v>9.6233145402724691</v>
      </c>
      <c r="BS1413" s="2">
        <v>21.131128496553401</v>
      </c>
      <c r="BT1413" s="2">
        <v>9.6233145402724691</v>
      </c>
      <c r="BU1413" s="2">
        <v>21.904733232679799</v>
      </c>
      <c r="BV1413" s="2">
        <v>9.6233145402724691</v>
      </c>
      <c r="BW1413" s="2">
        <v>9.6233145402724691</v>
      </c>
      <c r="BX1413" s="2">
        <v>22.283605730343499</v>
      </c>
      <c r="BY1413" s="2">
        <v>22.733137805190001</v>
      </c>
      <c r="BZ1413" s="2">
        <v>9.6233145402724691</v>
      </c>
      <c r="CA1413" s="2">
        <v>9.6233145402724691</v>
      </c>
      <c r="CB1413" s="2">
        <v>9.6233145402724691</v>
      </c>
      <c r="CC1413" s="2">
        <v>20.596289821512698</v>
      </c>
      <c r="CD1413" s="2">
        <v>21.916648582218201</v>
      </c>
      <c r="CE1413" s="2">
        <v>21.525075719200899</v>
      </c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</row>
    <row r="1414" spans="1:97">
      <c r="A1414" s="2" t="s">
        <v>12681</v>
      </c>
      <c r="B1414" s="2">
        <v>497.14118000000002</v>
      </c>
      <c r="C1414" s="2">
        <v>3.6739999999999999</v>
      </c>
      <c r="D1414" s="2" t="s">
        <v>146</v>
      </c>
      <c r="E1414" s="2" t="s">
        <v>12682</v>
      </c>
      <c r="F1414" s="2" t="s">
        <v>12683</v>
      </c>
      <c r="G1414" s="2">
        <v>31926</v>
      </c>
      <c r="H1414" s="3" t="str">
        <f>HYPERLINK("https://cloud.oebiotech.com/#/lm/network/31926", "https://cloud.oebiotech.com/#/lm/network/31926")</f>
        <v>https://cloud.oebiotech.com/#/lm/network/31926</v>
      </c>
      <c r="I1414" s="2"/>
      <c r="J1414" s="2">
        <v>50254</v>
      </c>
      <c r="K1414" s="2" t="s">
        <v>12684</v>
      </c>
      <c r="L1414" s="2">
        <v>5481979</v>
      </c>
      <c r="M1414" s="2"/>
      <c r="N1414" s="2"/>
      <c r="O1414" s="2"/>
      <c r="P1414" s="2"/>
      <c r="Q1414" s="2"/>
      <c r="R1414" s="2"/>
      <c r="S1414" s="2"/>
      <c r="T1414" s="2" t="s">
        <v>12685</v>
      </c>
      <c r="U1414" s="2" t="s">
        <v>12686</v>
      </c>
      <c r="V1414" s="2" t="s">
        <v>845</v>
      </c>
      <c r="W1414" s="2" t="s">
        <v>1853</v>
      </c>
      <c r="X1414" s="2" t="s">
        <v>6175</v>
      </c>
      <c r="Y1414" s="2" t="s">
        <v>847</v>
      </c>
      <c r="Z1414" s="2" t="s">
        <v>1855</v>
      </c>
      <c r="AA1414" s="2" t="s">
        <v>6176</v>
      </c>
      <c r="AB1414" s="2" t="s">
        <v>5118</v>
      </c>
      <c r="AC1414" s="2">
        <v>45.16</v>
      </c>
      <c r="AD1414" s="2">
        <v>95.18</v>
      </c>
      <c r="AE1414" s="2">
        <v>87.63</v>
      </c>
      <c r="AF1414" s="2" t="s">
        <v>12687</v>
      </c>
      <c r="AG1414" s="2" t="s">
        <v>194</v>
      </c>
      <c r="AH1414" s="2" t="s">
        <v>12688</v>
      </c>
      <c r="AI1414" s="2">
        <v>8.25</v>
      </c>
      <c r="AJ1414" s="2">
        <v>20.108435365219599</v>
      </c>
      <c r="AK1414" s="2">
        <v>20.1097754582036</v>
      </c>
      <c r="AL1414" s="2">
        <v>20.0155783100981</v>
      </c>
      <c r="AM1414" s="2">
        <v>20.076097945491501</v>
      </c>
      <c r="AN1414" s="2">
        <v>20.285214446039198</v>
      </c>
      <c r="AO1414" s="2">
        <v>20.096597202450901</v>
      </c>
      <c r="AP1414" s="2">
        <v>20.049346528009998</v>
      </c>
      <c r="AQ1414" s="2">
        <v>20.071464509921501</v>
      </c>
      <c r="AR1414" s="2">
        <v>18.5840337707095</v>
      </c>
      <c r="AS1414" s="2">
        <v>18.214735321314802</v>
      </c>
      <c r="AT1414" s="2">
        <v>19.2964004953078</v>
      </c>
      <c r="AU1414" s="2">
        <v>18.913113775284099</v>
      </c>
      <c r="AV1414" s="2">
        <v>19.510711558401699</v>
      </c>
      <c r="AW1414" s="2">
        <v>19.6453296910307</v>
      </c>
      <c r="AX1414" s="2">
        <v>19.424628992316801</v>
      </c>
      <c r="AY1414" s="2">
        <v>19.927717671092999</v>
      </c>
      <c r="AZ1414" s="2">
        <v>19.618486611980899</v>
      </c>
      <c r="BA1414" s="2">
        <v>18.883524584821501</v>
      </c>
      <c r="BB1414" s="2">
        <v>20.525427508276401</v>
      </c>
      <c r="BC1414" s="2">
        <v>20.007728100947102</v>
      </c>
      <c r="BD1414" s="2">
        <v>19.1901155697836</v>
      </c>
      <c r="BE1414" s="2">
        <v>20.644576318486902</v>
      </c>
      <c r="BF1414" s="2">
        <v>20.076368351234901</v>
      </c>
      <c r="BG1414" s="2">
        <v>20.578393156399699</v>
      </c>
      <c r="BH1414" s="2">
        <v>20.046058414706199</v>
      </c>
      <c r="BI1414" s="2">
        <v>19.4815947844485</v>
      </c>
      <c r="BJ1414" s="2">
        <v>20.0049717520725</v>
      </c>
      <c r="BK1414" s="2">
        <v>19.7603878678668</v>
      </c>
      <c r="BL1414" s="2">
        <v>19.269600483438399</v>
      </c>
      <c r="BM1414" s="2">
        <v>20.700294258995001</v>
      </c>
      <c r="BN1414" s="2">
        <v>20.221143939791901</v>
      </c>
      <c r="BO1414" s="2">
        <v>19.866140339508</v>
      </c>
      <c r="BP1414" s="2">
        <v>19.770683650999</v>
      </c>
      <c r="BQ1414" s="2">
        <v>20.147440315735999</v>
      </c>
      <c r="BR1414" s="2">
        <v>20.040291527283401</v>
      </c>
      <c r="BS1414" s="2">
        <v>19.384386848146601</v>
      </c>
      <c r="BT1414" s="2">
        <v>19.255592750116499</v>
      </c>
      <c r="BU1414" s="2">
        <v>18.729773472203401</v>
      </c>
      <c r="BV1414" s="2">
        <v>20.033468614711499</v>
      </c>
      <c r="BW1414" s="2">
        <v>18.792200635373799</v>
      </c>
      <c r="BX1414" s="2">
        <v>19.9817265004592</v>
      </c>
      <c r="BY1414" s="2">
        <v>20.562729645482001</v>
      </c>
      <c r="BZ1414" s="2">
        <v>20.397729723459801</v>
      </c>
      <c r="CA1414" s="2">
        <v>20.418907770680999</v>
      </c>
      <c r="CB1414" s="2">
        <v>19.713892985770499</v>
      </c>
      <c r="CC1414" s="2">
        <v>18.9705443893689</v>
      </c>
      <c r="CD1414" s="2">
        <v>20.6465053509528</v>
      </c>
      <c r="CE1414" s="2">
        <v>20.235559738402099</v>
      </c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</row>
    <row r="1415" spans="1:97">
      <c r="A1415" s="2" t="s">
        <v>12689</v>
      </c>
      <c r="B1415" s="2">
        <v>288.15962000000002</v>
      </c>
      <c r="C1415" s="2">
        <v>10.509</v>
      </c>
      <c r="D1415" s="2" t="s">
        <v>84</v>
      </c>
      <c r="E1415" s="2" t="s">
        <v>12690</v>
      </c>
      <c r="F1415" s="2" t="s">
        <v>12691</v>
      </c>
      <c r="G1415" s="2">
        <v>201045</v>
      </c>
      <c r="H1415" s="3" t="str">
        <f>HYPERLINK("https://cloud.oebiotech.com/#/lm/network/201045", "https://cloud.oebiotech.com/#/lm/network/201045")</f>
        <v>https://cloud.oebiotech.com/#/lm/network/201045</v>
      </c>
      <c r="I1415" s="2" t="s">
        <v>12692</v>
      </c>
      <c r="J1415" s="2"/>
      <c r="K1415" s="2"/>
      <c r="L1415" s="2">
        <v>364707</v>
      </c>
      <c r="M1415" s="2"/>
      <c r="N1415" s="2"/>
      <c r="O1415" s="2"/>
      <c r="P1415" s="2"/>
      <c r="Q1415" s="2"/>
      <c r="R1415" s="2"/>
      <c r="S1415" s="2"/>
      <c r="T1415" s="2" t="s">
        <v>12693</v>
      </c>
      <c r="U1415" s="2" t="s">
        <v>12694</v>
      </c>
      <c r="V1415" s="2" t="s">
        <v>845</v>
      </c>
      <c r="W1415" s="2" t="s">
        <v>4705</v>
      </c>
      <c r="X1415" s="2" t="s">
        <v>375</v>
      </c>
      <c r="Y1415" s="2" t="s">
        <v>847</v>
      </c>
      <c r="Z1415" s="2" t="s">
        <v>4707</v>
      </c>
      <c r="AA1415" s="2"/>
      <c r="AB1415" s="2" t="s">
        <v>8443</v>
      </c>
      <c r="AC1415" s="2">
        <v>45.11</v>
      </c>
      <c r="AD1415" s="2">
        <v>88.8</v>
      </c>
      <c r="AE1415" s="2">
        <v>0</v>
      </c>
      <c r="AF1415" s="2" t="s">
        <v>5614</v>
      </c>
      <c r="AG1415" s="2" t="s">
        <v>132</v>
      </c>
      <c r="AH1415" s="2" t="s">
        <v>12695</v>
      </c>
      <c r="AI1415" s="2">
        <v>-0.69</v>
      </c>
      <c r="AJ1415" s="2">
        <v>19.9694117615389</v>
      </c>
      <c r="AK1415" s="2">
        <v>19.8585989793099</v>
      </c>
      <c r="AL1415" s="2">
        <v>19.5432162662294</v>
      </c>
      <c r="AM1415" s="2">
        <v>19.2150194544489</v>
      </c>
      <c r="AN1415" s="2">
        <v>19.583200818524499</v>
      </c>
      <c r="AO1415" s="2">
        <v>19.498236431871099</v>
      </c>
      <c r="AP1415" s="2">
        <v>19.906052963000601</v>
      </c>
      <c r="AQ1415" s="2">
        <v>19.8488372059767</v>
      </c>
      <c r="AR1415" s="2">
        <v>20.034522626039301</v>
      </c>
      <c r="AS1415" s="2">
        <v>19.551836923123599</v>
      </c>
      <c r="AT1415" s="2">
        <v>19.6171015938925</v>
      </c>
      <c r="AU1415" s="2">
        <v>19.166355727329499</v>
      </c>
      <c r="AV1415" s="2">
        <v>19.8525062691428</v>
      </c>
      <c r="AW1415" s="2">
        <v>19.878225807101298</v>
      </c>
      <c r="AX1415" s="2">
        <v>18.135211771102298</v>
      </c>
      <c r="AY1415" s="2">
        <v>19.657513987389098</v>
      </c>
      <c r="AZ1415" s="2">
        <v>20.000678387708401</v>
      </c>
      <c r="BA1415" s="2">
        <v>19.116174504681801</v>
      </c>
      <c r="BB1415" s="2">
        <v>20.172410770445701</v>
      </c>
      <c r="BC1415" s="2">
        <v>20.144273101197001</v>
      </c>
      <c r="BD1415" s="2">
        <v>19.446905894003802</v>
      </c>
      <c r="BE1415" s="2">
        <v>20.0591357542758</v>
      </c>
      <c r="BF1415" s="2">
        <v>19.594541150860501</v>
      </c>
      <c r="BG1415" s="2">
        <v>19.888131771600701</v>
      </c>
      <c r="BH1415" s="2">
        <v>19.4285612259728</v>
      </c>
      <c r="BI1415" s="2">
        <v>18.9871409691021</v>
      </c>
      <c r="BJ1415" s="2">
        <v>19.810603530344601</v>
      </c>
      <c r="BK1415" s="2">
        <v>19.688470351162099</v>
      </c>
      <c r="BL1415" s="2">
        <v>19.961622975049099</v>
      </c>
      <c r="BM1415" s="2">
        <v>19.285055488398498</v>
      </c>
      <c r="BN1415" s="2">
        <v>19.6674462729829</v>
      </c>
      <c r="BO1415" s="2">
        <v>19.880964354464201</v>
      </c>
      <c r="BP1415" s="2">
        <v>20.127168799857301</v>
      </c>
      <c r="BQ1415" s="2">
        <v>20.000765972454801</v>
      </c>
      <c r="BR1415" s="2">
        <v>19.982433365787401</v>
      </c>
      <c r="BS1415" s="2">
        <v>19.685090323680999</v>
      </c>
      <c r="BT1415" s="2">
        <v>19.858849822285499</v>
      </c>
      <c r="BU1415" s="2">
        <v>19.520379927733899</v>
      </c>
      <c r="BV1415" s="2">
        <v>19.855912099690201</v>
      </c>
      <c r="BW1415" s="2">
        <v>19.2625961274735</v>
      </c>
      <c r="BX1415" s="2">
        <v>19.431961573098199</v>
      </c>
      <c r="BY1415" s="2">
        <v>20.1315545341415</v>
      </c>
      <c r="BZ1415" s="2">
        <v>19.7024003717999</v>
      </c>
      <c r="CA1415" s="2">
        <v>19.812413990790802</v>
      </c>
      <c r="CB1415" s="2">
        <v>19.614567942604999</v>
      </c>
      <c r="CC1415" s="2">
        <v>19.246402079258299</v>
      </c>
      <c r="CD1415" s="2">
        <v>20.156675882601998</v>
      </c>
      <c r="CE1415" s="2">
        <v>19.4862822216169</v>
      </c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</row>
    <row r="1416" spans="1:97">
      <c r="A1416" s="2" t="s">
        <v>12696</v>
      </c>
      <c r="B1416" s="2">
        <v>101.10753</v>
      </c>
      <c r="C1416" s="2">
        <v>4.681</v>
      </c>
      <c r="D1416" s="2" t="s">
        <v>84</v>
      </c>
      <c r="E1416" s="2" t="s">
        <v>12697</v>
      </c>
      <c r="F1416" s="2" t="s">
        <v>12698</v>
      </c>
      <c r="G1416" s="2">
        <v>207933</v>
      </c>
      <c r="H1416" s="3" t="str">
        <f>HYPERLINK("https://cloud.oebiotech.com/#/lm/network/207933", "https://cloud.oebiotech.com/#/lm/network/207933")</f>
        <v>https://cloud.oebiotech.com/#/lm/network/207933</v>
      </c>
      <c r="I1416" s="2" t="s">
        <v>12699</v>
      </c>
      <c r="J1416" s="2">
        <v>315682</v>
      </c>
      <c r="K1416" s="2"/>
      <c r="L1416" s="2">
        <v>3045270</v>
      </c>
      <c r="M1416" s="2"/>
      <c r="N1416" s="2"/>
      <c r="O1416" s="2"/>
      <c r="P1416" s="2"/>
      <c r="Q1416" s="2"/>
      <c r="R1416" s="2"/>
      <c r="S1416" s="2"/>
      <c r="T1416" s="2" t="s">
        <v>12700</v>
      </c>
      <c r="U1416" s="2" t="s">
        <v>12701</v>
      </c>
      <c r="V1416" s="2" t="s">
        <v>375</v>
      </c>
      <c r="W1416" s="2" t="s">
        <v>375</v>
      </c>
      <c r="X1416" s="2" t="s">
        <v>375</v>
      </c>
      <c r="Y1416" s="2"/>
      <c r="Z1416" s="2"/>
      <c r="AA1416" s="2"/>
      <c r="AB1416" s="2" t="s">
        <v>8443</v>
      </c>
      <c r="AC1416" s="2">
        <v>45.09</v>
      </c>
      <c r="AD1416" s="2">
        <v>96.82</v>
      </c>
      <c r="AE1416" s="2">
        <v>0</v>
      </c>
      <c r="AF1416" s="2" t="s">
        <v>5614</v>
      </c>
      <c r="AG1416" s="2" t="s">
        <v>132</v>
      </c>
      <c r="AH1416" s="2" t="s">
        <v>12702</v>
      </c>
      <c r="AI1416" s="2">
        <v>-2.08</v>
      </c>
      <c r="AJ1416" s="2">
        <v>20.0898604533918</v>
      </c>
      <c r="AK1416" s="2">
        <v>21.2537284520591</v>
      </c>
      <c r="AL1416" s="2">
        <v>21.342389439521</v>
      </c>
      <c r="AM1416" s="2">
        <v>21.444716514102598</v>
      </c>
      <c r="AN1416" s="2">
        <v>20.998807688311601</v>
      </c>
      <c r="AO1416" s="2">
        <v>21.272931267862301</v>
      </c>
      <c r="AP1416" s="2">
        <v>20.912479547710898</v>
      </c>
      <c r="AQ1416" s="2">
        <v>20.7626406755315</v>
      </c>
      <c r="AR1416" s="2">
        <v>17.8602419960765</v>
      </c>
      <c r="AS1416" s="2">
        <v>13.430018632473701</v>
      </c>
      <c r="AT1416" s="2">
        <v>20.782791811352901</v>
      </c>
      <c r="AU1416" s="2">
        <v>20.7295627276511</v>
      </c>
      <c r="AV1416" s="2">
        <v>20.972570864991098</v>
      </c>
      <c r="AW1416" s="2">
        <v>20.989635195515</v>
      </c>
      <c r="AX1416" s="2">
        <v>21.3276391040778</v>
      </c>
      <c r="AY1416" s="2">
        <v>21.064215528230299</v>
      </c>
      <c r="AZ1416" s="2">
        <v>21.1094926742933</v>
      </c>
      <c r="BA1416" s="2">
        <v>21.1178128800526</v>
      </c>
      <c r="BB1416" s="2">
        <v>20.4081004137985</v>
      </c>
      <c r="BC1416" s="2">
        <v>21.6695868399696</v>
      </c>
      <c r="BD1416" s="2">
        <v>21.102224107606698</v>
      </c>
      <c r="BE1416" s="2">
        <v>21.852708176412602</v>
      </c>
      <c r="BF1416" s="2">
        <v>21.658763848750802</v>
      </c>
      <c r="BG1416" s="2">
        <v>20.875205986056699</v>
      </c>
      <c r="BH1416" s="2">
        <v>21.3874937749856</v>
      </c>
      <c r="BI1416" s="2">
        <v>21.613965469565599</v>
      </c>
      <c r="BJ1416" s="2">
        <v>19.831026135976899</v>
      </c>
      <c r="BK1416" s="2">
        <v>21.311082716982799</v>
      </c>
      <c r="BL1416" s="2">
        <v>21.185690248921102</v>
      </c>
      <c r="BM1416" s="2">
        <v>21.634859199457001</v>
      </c>
      <c r="BN1416" s="2">
        <v>21.649845988937599</v>
      </c>
      <c r="BO1416" s="2">
        <v>21.2615054612988</v>
      </c>
      <c r="BP1416" s="2">
        <v>21.064487104363099</v>
      </c>
      <c r="BQ1416" s="2">
        <v>21.3980027272558</v>
      </c>
      <c r="BR1416" s="2">
        <v>20.778232587583702</v>
      </c>
      <c r="BS1416" s="2">
        <v>21.502229150603799</v>
      </c>
      <c r="BT1416" s="2">
        <v>20.125313874106499</v>
      </c>
      <c r="BU1416" s="2">
        <v>21.533355970353199</v>
      </c>
      <c r="BV1416" s="2">
        <v>20.631535920615899</v>
      </c>
      <c r="BW1416" s="2">
        <v>20.473324914849801</v>
      </c>
      <c r="BX1416" s="2">
        <v>21.257362916548399</v>
      </c>
      <c r="BY1416" s="2">
        <v>21.8437244268152</v>
      </c>
      <c r="BZ1416" s="2">
        <v>20.368487011986101</v>
      </c>
      <c r="CA1416" s="2">
        <v>20.335758121945499</v>
      </c>
      <c r="CB1416" s="2">
        <v>19.504479109390299</v>
      </c>
      <c r="CC1416" s="2">
        <v>21.5227908370323</v>
      </c>
      <c r="CD1416" s="2">
        <v>21.0648572992746</v>
      </c>
      <c r="CE1416" s="2">
        <v>21.230413232691902</v>
      </c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</row>
    <row r="1417" spans="1:97">
      <c r="A1417" s="2" t="s">
        <v>12703</v>
      </c>
      <c r="B1417" s="2">
        <v>583.32602999999995</v>
      </c>
      <c r="C1417" s="2">
        <v>10.038</v>
      </c>
      <c r="D1417" s="2" t="s">
        <v>146</v>
      </c>
      <c r="E1417" s="2" t="s">
        <v>12704</v>
      </c>
      <c r="F1417" s="2" t="s">
        <v>12705</v>
      </c>
      <c r="G1417" s="2">
        <v>63814</v>
      </c>
      <c r="H1417" s="3" t="str">
        <f>HYPERLINK("https://cloud.oebiotech.com/#/lm/network/63814", "https://cloud.oebiotech.com/#/lm/network/63814")</f>
        <v>https://cloud.oebiotech.com/#/lm/network/63814</v>
      </c>
      <c r="I1417" s="2" t="s">
        <v>12706</v>
      </c>
      <c r="J1417" s="2">
        <v>95149</v>
      </c>
      <c r="K1417" s="2"/>
      <c r="L1417" s="2">
        <v>44258662</v>
      </c>
      <c r="M1417" s="2"/>
      <c r="N1417" s="2"/>
      <c r="O1417" s="2"/>
      <c r="P1417" s="2"/>
      <c r="Q1417" s="2"/>
      <c r="R1417" s="2"/>
      <c r="S1417" s="2"/>
      <c r="T1417" s="2" t="s">
        <v>12707</v>
      </c>
      <c r="U1417" s="2" t="s">
        <v>12708</v>
      </c>
      <c r="V1417" s="2" t="s">
        <v>95</v>
      </c>
      <c r="W1417" s="2" t="s">
        <v>152</v>
      </c>
      <c r="X1417" s="2" t="s">
        <v>9622</v>
      </c>
      <c r="Y1417" s="2" t="s">
        <v>98</v>
      </c>
      <c r="Z1417" s="2" t="s">
        <v>154</v>
      </c>
      <c r="AA1417" s="2" t="s">
        <v>9623</v>
      </c>
      <c r="AB1417" s="2" t="s">
        <v>8443</v>
      </c>
      <c r="AC1417" s="2">
        <v>45.08</v>
      </c>
      <c r="AD1417" s="2">
        <v>93.72</v>
      </c>
      <c r="AE1417" s="2">
        <v>0</v>
      </c>
      <c r="AF1417" s="2" t="s">
        <v>12709</v>
      </c>
      <c r="AG1417" s="2" t="s">
        <v>993</v>
      </c>
      <c r="AH1417" s="2" t="s">
        <v>12710</v>
      </c>
      <c r="AI1417" s="2">
        <v>1.89</v>
      </c>
      <c r="AJ1417" s="2">
        <v>23.0275004103244</v>
      </c>
      <c r="AK1417" s="2">
        <v>23.001886519830201</v>
      </c>
      <c r="AL1417" s="2">
        <v>22.946431083981899</v>
      </c>
      <c r="AM1417" s="2">
        <v>22.9414775396857</v>
      </c>
      <c r="AN1417" s="2">
        <v>22.9186681346958</v>
      </c>
      <c r="AO1417" s="2">
        <v>22.897782750907702</v>
      </c>
      <c r="AP1417" s="2">
        <v>22.840448972865602</v>
      </c>
      <c r="AQ1417" s="2">
        <v>22.8740207601519</v>
      </c>
      <c r="AR1417" s="2">
        <v>23.031151519697801</v>
      </c>
      <c r="AS1417" s="2">
        <v>23.246694630815401</v>
      </c>
      <c r="AT1417" s="2">
        <v>22.914963761782701</v>
      </c>
      <c r="AU1417" s="2">
        <v>22.992881222780099</v>
      </c>
      <c r="AV1417" s="2">
        <v>22.979368331277801</v>
      </c>
      <c r="AW1417" s="2">
        <v>23.029869277731201</v>
      </c>
      <c r="AX1417" s="2">
        <v>22.9552465498424</v>
      </c>
      <c r="AY1417" s="2">
        <v>22.994091404199501</v>
      </c>
      <c r="AZ1417" s="2">
        <v>22.9771598280939</v>
      </c>
      <c r="BA1417" s="2">
        <v>23.034714207247202</v>
      </c>
      <c r="BB1417" s="2">
        <v>22.9577489882065</v>
      </c>
      <c r="BC1417" s="2">
        <v>22.9670513589843</v>
      </c>
      <c r="BD1417" s="2">
        <v>22.868017915384399</v>
      </c>
      <c r="BE1417" s="2">
        <v>22.866882116624399</v>
      </c>
      <c r="BF1417" s="2">
        <v>22.825601345381699</v>
      </c>
      <c r="BG1417" s="2">
        <v>22.9164562815482</v>
      </c>
      <c r="BH1417" s="2">
        <v>22.9521138313569</v>
      </c>
      <c r="BI1417" s="2">
        <v>22.7406276284466</v>
      </c>
      <c r="BJ1417" s="2">
        <v>22.823552649271502</v>
      </c>
      <c r="BK1417" s="2">
        <v>22.909244817699101</v>
      </c>
      <c r="BL1417" s="2">
        <v>22.9842504610661</v>
      </c>
      <c r="BM1417" s="2">
        <v>23.003755974973998</v>
      </c>
      <c r="BN1417" s="2">
        <v>22.823464295680299</v>
      </c>
      <c r="BO1417" s="2">
        <v>22.921472857860799</v>
      </c>
      <c r="BP1417" s="2">
        <v>22.8443438665998</v>
      </c>
      <c r="BQ1417" s="2">
        <v>22.884301589486</v>
      </c>
      <c r="BR1417" s="2">
        <v>22.848536512029501</v>
      </c>
      <c r="BS1417" s="2">
        <v>22.896971535077</v>
      </c>
      <c r="BT1417" s="2">
        <v>22.7488827766438</v>
      </c>
      <c r="BU1417" s="2">
        <v>22.309862118290301</v>
      </c>
      <c r="BV1417" s="2">
        <v>22.890430109885202</v>
      </c>
      <c r="BW1417" s="2">
        <v>22.9024603533699</v>
      </c>
      <c r="BX1417" s="2">
        <v>22.870145993284002</v>
      </c>
      <c r="BY1417" s="2">
        <v>22.876749125478401</v>
      </c>
      <c r="BZ1417" s="2">
        <v>22.8841224989187</v>
      </c>
      <c r="CA1417" s="2">
        <v>22.755199106168899</v>
      </c>
      <c r="CB1417" s="2">
        <v>22.7925623773456</v>
      </c>
      <c r="CC1417" s="2">
        <v>22.858060648650401</v>
      </c>
      <c r="CD1417" s="2">
        <v>22.737312767476499</v>
      </c>
      <c r="CE1417" s="2">
        <v>22.892358709026901</v>
      </c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</row>
    <row r="1418" spans="1:97">
      <c r="A1418" s="2" t="s">
        <v>12711</v>
      </c>
      <c r="B1418" s="2">
        <v>629.15168000000006</v>
      </c>
      <c r="C1418" s="2">
        <v>0.79600000000000004</v>
      </c>
      <c r="D1418" s="2" t="s">
        <v>84</v>
      </c>
      <c r="E1418" s="2" t="s">
        <v>12712</v>
      </c>
      <c r="F1418" s="2" t="s">
        <v>12713</v>
      </c>
      <c r="G1418" s="2">
        <v>205231</v>
      </c>
      <c r="H1418" s="3" t="str">
        <f>HYPERLINK("https://cloud.oebiotech.com/#/lm/network/205231", "https://cloud.oebiotech.com/#/lm/network/205231")</f>
        <v>https://cloud.oebiotech.com/#/lm/network/205231</v>
      </c>
      <c r="I1418" s="2" t="s">
        <v>12714</v>
      </c>
      <c r="J1418" s="2"/>
      <c r="K1418" s="2"/>
      <c r="L1418" s="2">
        <v>194752</v>
      </c>
      <c r="M1418" s="2"/>
      <c r="N1418" s="2"/>
      <c r="O1418" s="2"/>
      <c r="P1418" s="2"/>
      <c r="Q1418" s="2"/>
      <c r="R1418" s="2"/>
      <c r="S1418" s="2"/>
      <c r="T1418" s="2" t="s">
        <v>12715</v>
      </c>
      <c r="U1418" s="2" t="s">
        <v>12716</v>
      </c>
      <c r="V1418" s="2" t="s">
        <v>385</v>
      </c>
      <c r="W1418" s="2" t="s">
        <v>386</v>
      </c>
      <c r="X1418" s="2" t="s">
        <v>11666</v>
      </c>
      <c r="Y1418" s="2" t="s">
        <v>388</v>
      </c>
      <c r="Z1418" s="2" t="s">
        <v>389</v>
      </c>
      <c r="AA1418" s="2" t="s">
        <v>11667</v>
      </c>
      <c r="AB1418" s="2" t="s">
        <v>5118</v>
      </c>
      <c r="AC1418" s="2">
        <v>45.08</v>
      </c>
      <c r="AD1418" s="2">
        <v>71.349999999999994</v>
      </c>
      <c r="AE1418" s="2">
        <v>85.11</v>
      </c>
      <c r="AF1418" s="2" t="s">
        <v>12717</v>
      </c>
      <c r="AG1418" s="2" t="s">
        <v>3544</v>
      </c>
      <c r="AH1418" s="2" t="s">
        <v>12718</v>
      </c>
      <c r="AI1418" s="2">
        <v>3.81</v>
      </c>
      <c r="AJ1418" s="2">
        <v>25.557870016404902</v>
      </c>
      <c r="AK1418" s="2">
        <v>25.151840576079099</v>
      </c>
      <c r="AL1418" s="2">
        <v>25.203003964825001</v>
      </c>
      <c r="AM1418" s="2">
        <v>24.6392242128255</v>
      </c>
      <c r="AN1418" s="2">
        <v>25.472629841969098</v>
      </c>
      <c r="AO1418" s="2">
        <v>25.430363849998201</v>
      </c>
      <c r="AP1418" s="2">
        <v>24.995076848384102</v>
      </c>
      <c r="AQ1418" s="2">
        <v>25.371786619452902</v>
      </c>
      <c r="AR1418" s="2">
        <v>25.627847753740699</v>
      </c>
      <c r="AS1418" s="2">
        <v>25.757150416730099</v>
      </c>
      <c r="AT1418" s="2">
        <v>25.4325605734318</v>
      </c>
      <c r="AU1418" s="2">
        <v>26.230556628558801</v>
      </c>
      <c r="AV1418" s="2">
        <v>25.5209034238427</v>
      </c>
      <c r="AW1418" s="2">
        <v>25.3287687200969</v>
      </c>
      <c r="AX1418" s="2">
        <v>25.381425861180801</v>
      </c>
      <c r="AY1418" s="2">
        <v>25.563374733420201</v>
      </c>
      <c r="AZ1418" s="2">
        <v>25.366997635988799</v>
      </c>
      <c r="BA1418" s="2">
        <v>25.300183131216901</v>
      </c>
      <c r="BB1418" s="2">
        <v>25.921625325044399</v>
      </c>
      <c r="BC1418" s="2">
        <v>25.885347347564402</v>
      </c>
      <c r="BD1418" s="2">
        <v>25.619509893050498</v>
      </c>
      <c r="BE1418" s="2">
        <v>25.245021825545599</v>
      </c>
      <c r="BF1418" s="2">
        <v>25.772870166711002</v>
      </c>
      <c r="BG1418" s="2">
        <v>25.212973412175</v>
      </c>
      <c r="BH1418" s="2">
        <v>25.378991760582501</v>
      </c>
      <c r="BI1418" s="2">
        <v>25.365226000642298</v>
      </c>
      <c r="BJ1418" s="2">
        <v>25.183545175914801</v>
      </c>
      <c r="BK1418" s="2">
        <v>25.614398576413802</v>
      </c>
      <c r="BL1418" s="2">
        <v>25.417917268380599</v>
      </c>
      <c r="BM1418" s="2">
        <v>26.007900431712201</v>
      </c>
      <c r="BN1418" s="2">
        <v>25.2392857332527</v>
      </c>
      <c r="BO1418" s="2">
        <v>24.947659890060098</v>
      </c>
      <c r="BP1418" s="2">
        <v>24.8206231369691</v>
      </c>
      <c r="BQ1418" s="2">
        <v>25.431192951441101</v>
      </c>
      <c r="BR1418" s="2">
        <v>25.379548187433802</v>
      </c>
      <c r="BS1418" s="2">
        <v>24.787658626593601</v>
      </c>
      <c r="BT1418" s="2">
        <v>25.524310933886198</v>
      </c>
      <c r="BU1418" s="2">
        <v>25.488037458773501</v>
      </c>
      <c r="BV1418" s="2">
        <v>25.388764931539601</v>
      </c>
      <c r="BW1418" s="2">
        <v>25.971433137905201</v>
      </c>
      <c r="BX1418" s="2">
        <v>25.8343739898229</v>
      </c>
      <c r="BY1418" s="2">
        <v>24.821106991273901</v>
      </c>
      <c r="BZ1418" s="2">
        <v>24.838847011653002</v>
      </c>
      <c r="CA1418" s="2">
        <v>25.135824136714099</v>
      </c>
      <c r="CB1418" s="2">
        <v>24.5748169656286</v>
      </c>
      <c r="CC1418" s="2">
        <v>25.3645376456303</v>
      </c>
      <c r="CD1418" s="2">
        <v>23.942490216598301</v>
      </c>
      <c r="CE1418" s="2">
        <v>25.169081229910802</v>
      </c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</row>
    <row r="1419" spans="1:97">
      <c r="A1419" s="2" t="s">
        <v>12719</v>
      </c>
      <c r="B1419" s="2">
        <v>242.95025999999999</v>
      </c>
      <c r="C1419" s="2">
        <v>0.79100000000000004</v>
      </c>
      <c r="D1419" s="2" t="s">
        <v>146</v>
      </c>
      <c r="E1419" s="2" t="s">
        <v>12720</v>
      </c>
      <c r="F1419" s="2" t="s">
        <v>12721</v>
      </c>
      <c r="G1419" s="2">
        <v>212085</v>
      </c>
      <c r="H1419" s="3" t="str">
        <f>HYPERLINK("https://cloud.oebiotech.com/#/lm/network/212085", "https://cloud.oebiotech.com/#/lm/network/212085")</f>
        <v>https://cloud.oebiotech.com/#/lm/network/212085</v>
      </c>
      <c r="I1419" s="2" t="s">
        <v>12722</v>
      </c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 t="s">
        <v>12723</v>
      </c>
      <c r="U1419" s="2" t="s">
        <v>12724</v>
      </c>
      <c r="V1419" s="2" t="s">
        <v>166</v>
      </c>
      <c r="W1419" s="2" t="s">
        <v>167</v>
      </c>
      <c r="X1419" s="2" t="s">
        <v>12725</v>
      </c>
      <c r="Y1419" s="2" t="s">
        <v>169</v>
      </c>
      <c r="Z1419" s="2" t="s">
        <v>169</v>
      </c>
      <c r="AA1419" s="2" t="s">
        <v>12726</v>
      </c>
      <c r="AB1419" s="2" t="s">
        <v>8443</v>
      </c>
      <c r="AC1419" s="2">
        <v>45.05</v>
      </c>
      <c r="AD1419" s="2">
        <v>91.64</v>
      </c>
      <c r="AE1419" s="2">
        <v>0</v>
      </c>
      <c r="AF1419" s="2" t="s">
        <v>5614</v>
      </c>
      <c r="AG1419" s="2" t="s">
        <v>3880</v>
      </c>
      <c r="AH1419" s="2" t="s">
        <v>12727</v>
      </c>
      <c r="AI1419" s="2">
        <v>-1.23</v>
      </c>
      <c r="AJ1419" s="2">
        <v>19.214219807813301</v>
      </c>
      <c r="AK1419" s="2">
        <v>19.595861762470701</v>
      </c>
      <c r="AL1419" s="2">
        <v>19.174333903884001</v>
      </c>
      <c r="AM1419" s="2">
        <v>18.912137083675098</v>
      </c>
      <c r="AN1419" s="2">
        <v>19.566283307113999</v>
      </c>
      <c r="AO1419" s="2">
        <v>19.107321300984299</v>
      </c>
      <c r="AP1419" s="2">
        <v>19.235891569573202</v>
      </c>
      <c r="AQ1419" s="2">
        <v>19.0267209156105</v>
      </c>
      <c r="AR1419" s="2">
        <v>18.825447090961099</v>
      </c>
      <c r="AS1419" s="2">
        <v>16.606388873551801</v>
      </c>
      <c r="AT1419" s="2">
        <v>18.735674877413899</v>
      </c>
      <c r="AU1419" s="2">
        <v>18.588414164809102</v>
      </c>
      <c r="AV1419" s="2">
        <v>18.961986015519798</v>
      </c>
      <c r="AW1419" s="2">
        <v>19.604188448151302</v>
      </c>
      <c r="AX1419" s="2">
        <v>19.392009385674999</v>
      </c>
      <c r="AY1419" s="2">
        <v>19.482703729177501</v>
      </c>
      <c r="AZ1419" s="2">
        <v>18.549458379500798</v>
      </c>
      <c r="BA1419" s="2">
        <v>19.469464275276401</v>
      </c>
      <c r="BB1419" s="2">
        <v>18.951721857510002</v>
      </c>
      <c r="BC1419" s="2">
        <v>19.1294992137957</v>
      </c>
      <c r="BD1419" s="2">
        <v>18.144191942084099</v>
      </c>
      <c r="BE1419" s="2">
        <v>19.484605912103302</v>
      </c>
      <c r="BF1419" s="2">
        <v>19.160664107593199</v>
      </c>
      <c r="BG1419" s="2">
        <v>19.625523393756598</v>
      </c>
      <c r="BH1419" s="2">
        <v>18.9992942032043</v>
      </c>
      <c r="BI1419" s="2">
        <v>20.280451199423801</v>
      </c>
      <c r="BJ1419" s="2">
        <v>19.333780998457101</v>
      </c>
      <c r="BK1419" s="2">
        <v>19.3041572182759</v>
      </c>
      <c r="BL1419" s="2">
        <v>18.649095208608198</v>
      </c>
      <c r="BM1419" s="2">
        <v>18.786974598364498</v>
      </c>
      <c r="BN1419" s="2">
        <v>19.443082110210799</v>
      </c>
      <c r="BO1419" s="2">
        <v>19.332788055017499</v>
      </c>
      <c r="BP1419" s="2">
        <v>19.152014207609099</v>
      </c>
      <c r="BQ1419" s="2">
        <v>19.435846640130698</v>
      </c>
      <c r="BR1419" s="2">
        <v>19.757667445329901</v>
      </c>
      <c r="BS1419" s="2">
        <v>19.4085881474061</v>
      </c>
      <c r="BT1419" s="2">
        <v>17.087114722554901</v>
      </c>
      <c r="BU1419" s="2">
        <v>19.079686752828099</v>
      </c>
      <c r="BV1419" s="2">
        <v>19.0885415015733</v>
      </c>
      <c r="BW1419" s="2">
        <v>18.369629208168501</v>
      </c>
      <c r="BX1419" s="2">
        <v>17.389013168223201</v>
      </c>
      <c r="BY1419" s="2">
        <v>19.631342469917399</v>
      </c>
      <c r="BZ1419" s="2">
        <v>18.878848709146499</v>
      </c>
      <c r="CA1419" s="2">
        <v>17.439821146536001</v>
      </c>
      <c r="CB1419" s="2">
        <v>19.160822781795599</v>
      </c>
      <c r="CC1419" s="2">
        <v>19.845829842423299</v>
      </c>
      <c r="CD1419" s="2">
        <v>19.179180489843599</v>
      </c>
      <c r="CE1419" s="2">
        <v>18.848483726403799</v>
      </c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</row>
    <row r="1420" spans="1:97">
      <c r="A1420" s="2" t="s">
        <v>12728</v>
      </c>
      <c r="B1420" s="2">
        <v>207.01151999999999</v>
      </c>
      <c r="C1420" s="2">
        <v>4.8369999999999997</v>
      </c>
      <c r="D1420" s="2" t="s">
        <v>146</v>
      </c>
      <c r="E1420" s="2" t="s">
        <v>12729</v>
      </c>
      <c r="F1420" s="2" t="s">
        <v>12730</v>
      </c>
      <c r="G1420" s="2">
        <v>199488</v>
      </c>
      <c r="H1420" s="3" t="str">
        <f>HYPERLINK("https://cloud.oebiotech.com/#/lm/network/199488", "https://cloud.oebiotech.com/#/lm/network/199488")</f>
        <v>https://cloud.oebiotech.com/#/lm/network/199488</v>
      </c>
      <c r="I1420" s="2" t="s">
        <v>12731</v>
      </c>
      <c r="J1420" s="2">
        <v>71143</v>
      </c>
      <c r="K1420" s="2"/>
      <c r="L1420" s="2">
        <v>6812</v>
      </c>
      <c r="M1420" s="2" t="s">
        <v>12732</v>
      </c>
      <c r="N1420" s="2"/>
      <c r="O1420" s="2"/>
      <c r="P1420" s="2">
        <v>30895</v>
      </c>
      <c r="Q1420" s="2"/>
      <c r="R1420" s="2"/>
      <c r="S1420" s="2" t="s">
        <v>12733</v>
      </c>
      <c r="T1420" s="2" t="s">
        <v>12734</v>
      </c>
      <c r="U1420" s="2" t="s">
        <v>12735</v>
      </c>
      <c r="V1420" s="2" t="s">
        <v>385</v>
      </c>
      <c r="W1420" s="2" t="s">
        <v>4381</v>
      </c>
      <c r="X1420" s="2" t="s">
        <v>10854</v>
      </c>
      <c r="Y1420" s="2" t="s">
        <v>388</v>
      </c>
      <c r="Z1420" s="2" t="s">
        <v>4382</v>
      </c>
      <c r="AA1420" s="2" t="s">
        <v>10855</v>
      </c>
      <c r="AB1420" s="2" t="s">
        <v>8443</v>
      </c>
      <c r="AC1420" s="2">
        <v>45.04</v>
      </c>
      <c r="AD1420" s="2">
        <v>90.62</v>
      </c>
      <c r="AE1420" s="2">
        <v>0</v>
      </c>
      <c r="AF1420" s="2" t="s">
        <v>5614</v>
      </c>
      <c r="AG1420" s="2" t="s">
        <v>194</v>
      </c>
      <c r="AH1420" s="2" t="s">
        <v>12736</v>
      </c>
      <c r="AI1420" s="2">
        <v>2.9</v>
      </c>
      <c r="AJ1420" s="2">
        <v>17.675482826650502</v>
      </c>
      <c r="AK1420" s="2">
        <v>17.8511542608931</v>
      </c>
      <c r="AL1420" s="2">
        <v>17.5806249958918</v>
      </c>
      <c r="AM1420" s="2">
        <v>17.719928206539201</v>
      </c>
      <c r="AN1420" s="2">
        <v>17.4388896995575</v>
      </c>
      <c r="AO1420" s="2">
        <v>17.988986677281702</v>
      </c>
      <c r="AP1420" s="2">
        <v>17.4780237362238</v>
      </c>
      <c r="AQ1420" s="2">
        <v>18.088879522059599</v>
      </c>
      <c r="AR1420" s="2">
        <v>16.168857378487701</v>
      </c>
      <c r="AS1420" s="2">
        <v>17.249630976366301</v>
      </c>
      <c r="AT1420" s="2">
        <v>17.0835936954396</v>
      </c>
      <c r="AU1420" s="2">
        <v>16.5628158518942</v>
      </c>
      <c r="AV1420" s="2">
        <v>17.1666542561486</v>
      </c>
      <c r="AW1420" s="2">
        <v>17.174351582987299</v>
      </c>
      <c r="AX1420" s="2">
        <v>16.734701815131402</v>
      </c>
      <c r="AY1420" s="2">
        <v>15.475697337810701</v>
      </c>
      <c r="AZ1420" s="2">
        <v>16.956985697812499</v>
      </c>
      <c r="BA1420" s="2">
        <v>15.6550666695767</v>
      </c>
      <c r="BB1420" s="2">
        <v>17.032159724788301</v>
      </c>
      <c r="BC1420" s="2">
        <v>17.027644601011701</v>
      </c>
      <c r="BD1420" s="2">
        <v>16.9522851011113</v>
      </c>
      <c r="BE1420" s="2">
        <v>15.1905415594546</v>
      </c>
      <c r="BF1420" s="2">
        <v>16.634006965986199</v>
      </c>
      <c r="BG1420" s="2">
        <v>16.529840463374999</v>
      </c>
      <c r="BH1420" s="2">
        <v>15.8551553649495</v>
      </c>
      <c r="BI1420" s="2">
        <v>16.9951140325418</v>
      </c>
      <c r="BJ1420" s="2">
        <v>17.272653110495799</v>
      </c>
      <c r="BK1420" s="2">
        <v>16.6078842231056</v>
      </c>
      <c r="BL1420" s="2">
        <v>16.8009658568287</v>
      </c>
      <c r="BM1420" s="2">
        <v>15.692108998502899</v>
      </c>
      <c r="BN1420" s="2">
        <v>16.081373375970301</v>
      </c>
      <c r="BO1420" s="2">
        <v>16.358643818461701</v>
      </c>
      <c r="BP1420" s="2">
        <v>15.469592535339199</v>
      </c>
      <c r="BQ1420" s="2">
        <v>16.4849141295057</v>
      </c>
      <c r="BR1420" s="2">
        <v>16.530372805511298</v>
      </c>
      <c r="BS1420" s="2">
        <v>16.984663441584502</v>
      </c>
      <c r="BT1420" s="2">
        <v>17.271063014142701</v>
      </c>
      <c r="BU1420" s="2">
        <v>16.366429114534199</v>
      </c>
      <c r="BV1420" s="2">
        <v>15.4428479478219</v>
      </c>
      <c r="BW1420" s="2">
        <v>15.837018798081701</v>
      </c>
      <c r="BX1420" s="2">
        <v>16.678804365237902</v>
      </c>
      <c r="BY1420" s="2">
        <v>14.751132907736</v>
      </c>
      <c r="BZ1420" s="2">
        <v>16.4237056934465</v>
      </c>
      <c r="CA1420" s="2">
        <v>16.576985589153001</v>
      </c>
      <c r="CB1420" s="2">
        <v>16.353685805235301</v>
      </c>
      <c r="CC1420" s="2">
        <v>16.594432936130001</v>
      </c>
      <c r="CD1420" s="2">
        <v>16.272286054302601</v>
      </c>
      <c r="CE1420" s="2">
        <v>16.101659144183799</v>
      </c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</row>
    <row r="1421" spans="1:97">
      <c r="A1421" s="2" t="s">
        <v>12737</v>
      </c>
      <c r="B1421" s="2">
        <v>267.04228999999998</v>
      </c>
      <c r="C1421" s="2">
        <v>4.0720000000000001</v>
      </c>
      <c r="D1421" s="2" t="s">
        <v>84</v>
      </c>
      <c r="E1421" s="2" t="s">
        <v>12738</v>
      </c>
      <c r="F1421" s="2" t="s">
        <v>12739</v>
      </c>
      <c r="G1421" s="2">
        <v>205161</v>
      </c>
      <c r="H1421" s="3" t="str">
        <f>HYPERLINK("https://cloud.oebiotech.com/#/lm/network/205161", "https://cloud.oebiotech.com/#/lm/network/205161")</f>
        <v>https://cloud.oebiotech.com/#/lm/network/205161</v>
      </c>
      <c r="I1421" s="2" t="s">
        <v>12740</v>
      </c>
      <c r="J1421" s="2"/>
      <c r="K1421" s="2"/>
      <c r="L1421" s="2">
        <v>213027</v>
      </c>
      <c r="M1421" s="2" t="s">
        <v>12741</v>
      </c>
      <c r="N1421" s="2"/>
      <c r="O1421" s="2"/>
      <c r="P1421" s="2">
        <v>39177</v>
      </c>
      <c r="Q1421" s="2"/>
      <c r="R1421" s="2"/>
      <c r="S1421" s="2"/>
      <c r="T1421" s="2" t="s">
        <v>12742</v>
      </c>
      <c r="U1421" s="2" t="s">
        <v>12743</v>
      </c>
      <c r="V1421" s="2" t="s">
        <v>553</v>
      </c>
      <c r="W1421" s="2" t="s">
        <v>554</v>
      </c>
      <c r="X1421" s="2" t="s">
        <v>10017</v>
      </c>
      <c r="Y1421" s="2" t="s">
        <v>556</v>
      </c>
      <c r="Z1421" s="2" t="s">
        <v>557</v>
      </c>
      <c r="AA1421" s="2" t="s">
        <v>10018</v>
      </c>
      <c r="AB1421" s="2" t="s">
        <v>8443</v>
      </c>
      <c r="AC1421" s="2">
        <v>45.04</v>
      </c>
      <c r="AD1421" s="2">
        <v>86.98</v>
      </c>
      <c r="AE1421" s="2">
        <v>0</v>
      </c>
      <c r="AF1421" s="2" t="s">
        <v>12744</v>
      </c>
      <c r="AG1421" s="2" t="s">
        <v>132</v>
      </c>
      <c r="AH1421" s="2" t="s">
        <v>12745</v>
      </c>
      <c r="AI1421" s="2">
        <v>0.75</v>
      </c>
      <c r="AJ1421" s="2">
        <v>22.236066466194899</v>
      </c>
      <c r="AK1421" s="2">
        <v>21.738208458825099</v>
      </c>
      <c r="AL1421" s="2">
        <v>21.752211076633198</v>
      </c>
      <c r="AM1421" s="2">
        <v>21.4400274293934</v>
      </c>
      <c r="AN1421" s="2">
        <v>21.214605914789601</v>
      </c>
      <c r="AO1421" s="2">
        <v>21.149582099738499</v>
      </c>
      <c r="AP1421" s="2">
        <v>21.2631330689068</v>
      </c>
      <c r="AQ1421" s="2">
        <v>21.143582891425702</v>
      </c>
      <c r="AR1421" s="2">
        <v>21.3212532587727</v>
      </c>
      <c r="AS1421" s="2">
        <v>20.331877157745598</v>
      </c>
      <c r="AT1421" s="2">
        <v>20.675475211342999</v>
      </c>
      <c r="AU1421" s="2">
        <v>21.1727968106239</v>
      </c>
      <c r="AV1421" s="2">
        <v>21.601358300581499</v>
      </c>
      <c r="AW1421" s="2">
        <v>21.566527794487499</v>
      </c>
      <c r="AX1421" s="2">
        <v>21.642079619023999</v>
      </c>
      <c r="AY1421" s="2">
        <v>21.633996978591501</v>
      </c>
      <c r="AZ1421" s="2">
        <v>21.182755264521301</v>
      </c>
      <c r="BA1421" s="2">
        <v>20.7979105519344</v>
      </c>
      <c r="BB1421" s="2">
        <v>22.1017428277001</v>
      </c>
      <c r="BC1421" s="2">
        <v>22.803782404906698</v>
      </c>
      <c r="BD1421" s="2">
        <v>21.564592777646201</v>
      </c>
      <c r="BE1421" s="2">
        <v>21.844832776531899</v>
      </c>
      <c r="BF1421" s="2">
        <v>21.884734129477099</v>
      </c>
      <c r="BG1421" s="2">
        <v>21.8207014281653</v>
      </c>
      <c r="BH1421" s="2">
        <v>21.211815241101998</v>
      </c>
      <c r="BI1421" s="2">
        <v>21.164421596924601</v>
      </c>
      <c r="BJ1421" s="2">
        <v>21.556415297746401</v>
      </c>
      <c r="BK1421" s="2">
        <v>21.056198818034499</v>
      </c>
      <c r="BL1421" s="2">
        <v>20.5896800735593</v>
      </c>
      <c r="BM1421" s="2">
        <v>21.434015748107601</v>
      </c>
      <c r="BN1421" s="2">
        <v>21.3070501053963</v>
      </c>
      <c r="BO1421" s="2">
        <v>20.586008308094399</v>
      </c>
      <c r="BP1421" s="2">
        <v>20.9779731141148</v>
      </c>
      <c r="BQ1421" s="2">
        <v>21.3060566259024</v>
      </c>
      <c r="BR1421" s="2">
        <v>21.161745827955901</v>
      </c>
      <c r="BS1421" s="2">
        <v>20.868914536007601</v>
      </c>
      <c r="BT1421" s="2">
        <v>20.2856420926684</v>
      </c>
      <c r="BU1421" s="2">
        <v>20.8687078958638</v>
      </c>
      <c r="BV1421" s="2">
        <v>21.309097637990199</v>
      </c>
      <c r="BW1421" s="2">
        <v>20.8121286050214</v>
      </c>
      <c r="BX1421" s="2">
        <v>20.872552967388799</v>
      </c>
      <c r="BY1421" s="2">
        <v>21.534516175013</v>
      </c>
      <c r="BZ1421" s="2">
        <v>21.306795128677901</v>
      </c>
      <c r="CA1421" s="2">
        <v>21.8055111163231</v>
      </c>
      <c r="CB1421" s="2">
        <v>20.561385687113201</v>
      </c>
      <c r="CC1421" s="2">
        <v>20.983593289840702</v>
      </c>
      <c r="CD1421" s="2">
        <v>21.552997188043602</v>
      </c>
      <c r="CE1421" s="2">
        <v>21.1754682924714</v>
      </c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</row>
    <row r="1422" spans="1:97">
      <c r="A1422" s="2" t="s">
        <v>12746</v>
      </c>
      <c r="B1422" s="2">
        <v>283.10712000000001</v>
      </c>
      <c r="C1422" s="2">
        <v>14.941000000000001</v>
      </c>
      <c r="D1422" s="2" t="s">
        <v>84</v>
      </c>
      <c r="E1422" s="2" t="s">
        <v>12747</v>
      </c>
      <c r="F1422" s="2" t="s">
        <v>12748</v>
      </c>
      <c r="G1422" s="2">
        <v>203974</v>
      </c>
      <c r="H1422" s="3" t="str">
        <f>HYPERLINK("https://cloud.oebiotech.com/#/lm/network/203974", "https://cloud.oebiotech.com/#/lm/network/203974")</f>
        <v>https://cloud.oebiotech.com/#/lm/network/203974</v>
      </c>
      <c r="I1422" s="2" t="s">
        <v>12749</v>
      </c>
      <c r="J1422" s="2">
        <v>320649</v>
      </c>
      <c r="K1422" s="2"/>
      <c r="L1422" s="2">
        <v>2313</v>
      </c>
      <c r="M1422" s="2"/>
      <c r="N1422" s="2"/>
      <c r="O1422" s="2"/>
      <c r="P1422" s="2">
        <v>31257</v>
      </c>
      <c r="Q1422" s="2"/>
      <c r="R1422" s="2"/>
      <c r="S1422" s="2"/>
      <c r="T1422" s="2" t="s">
        <v>12750</v>
      </c>
      <c r="U1422" s="2" t="s">
        <v>12751</v>
      </c>
      <c r="V1422" s="2" t="s">
        <v>553</v>
      </c>
      <c r="W1422" s="2" t="s">
        <v>12352</v>
      </c>
      <c r="X1422" s="2" t="s">
        <v>12353</v>
      </c>
      <c r="Y1422" s="2" t="s">
        <v>556</v>
      </c>
      <c r="Z1422" s="2" t="s">
        <v>12354</v>
      </c>
      <c r="AA1422" s="2" t="s">
        <v>12355</v>
      </c>
      <c r="AB1422" s="2" t="s">
        <v>5118</v>
      </c>
      <c r="AC1422" s="2">
        <v>45.04</v>
      </c>
      <c r="AD1422" s="2">
        <v>89.85</v>
      </c>
      <c r="AE1422" s="2">
        <v>51.17</v>
      </c>
      <c r="AF1422" s="2" t="s">
        <v>12752</v>
      </c>
      <c r="AG1422" s="2" t="s">
        <v>103</v>
      </c>
      <c r="AH1422" s="2" t="s">
        <v>12753</v>
      </c>
      <c r="AI1422" s="2">
        <v>2.12</v>
      </c>
      <c r="AJ1422" s="2">
        <v>20.713909091122702</v>
      </c>
      <c r="AK1422" s="2">
        <v>21.3172230647438</v>
      </c>
      <c r="AL1422" s="2">
        <v>21.424139510585501</v>
      </c>
      <c r="AM1422" s="2">
        <v>21.0900768740415</v>
      </c>
      <c r="AN1422" s="2">
        <v>20.842761791814599</v>
      </c>
      <c r="AO1422" s="2">
        <v>21.446732234674901</v>
      </c>
      <c r="AP1422" s="2">
        <v>21.410440865078399</v>
      </c>
      <c r="AQ1422" s="2">
        <v>21.064522240124301</v>
      </c>
      <c r="AR1422" s="2">
        <v>19.8313952382411</v>
      </c>
      <c r="AS1422" s="2">
        <v>20.937533508581701</v>
      </c>
      <c r="AT1422" s="2">
        <v>21.918501256225799</v>
      </c>
      <c r="AU1422" s="2">
        <v>20.0464463711569</v>
      </c>
      <c r="AV1422" s="2">
        <v>20.636478344286399</v>
      </c>
      <c r="AW1422" s="2">
        <v>20.483277852076601</v>
      </c>
      <c r="AX1422" s="2">
        <v>21.804420002135199</v>
      </c>
      <c r="AY1422" s="2">
        <v>21.184297537232599</v>
      </c>
      <c r="AZ1422" s="2">
        <v>20.7232458685964</v>
      </c>
      <c r="BA1422" s="2">
        <v>20.790667842436601</v>
      </c>
      <c r="BB1422" s="2">
        <v>21.840424058030901</v>
      </c>
      <c r="BC1422" s="2">
        <v>22.982469252162499</v>
      </c>
      <c r="BD1422" s="2">
        <v>20.944721181934401</v>
      </c>
      <c r="BE1422" s="2">
        <v>22.9261130384936</v>
      </c>
      <c r="BF1422" s="2">
        <v>19.920107843283901</v>
      </c>
      <c r="BG1422" s="2">
        <v>22.016206575783201</v>
      </c>
      <c r="BH1422" s="2">
        <v>21.819496327026901</v>
      </c>
      <c r="BI1422" s="2">
        <v>21.785499519256501</v>
      </c>
      <c r="BJ1422" s="2">
        <v>21.946582912676799</v>
      </c>
      <c r="BK1422" s="2">
        <v>20.593897902964301</v>
      </c>
      <c r="BL1422" s="2">
        <v>21.493417183288098</v>
      </c>
      <c r="BM1422" s="2">
        <v>20.541040797962999</v>
      </c>
      <c r="BN1422" s="2">
        <v>22.03831298591</v>
      </c>
      <c r="BO1422" s="2">
        <v>21.753057682054202</v>
      </c>
      <c r="BP1422" s="2">
        <v>21.315845596513</v>
      </c>
      <c r="BQ1422" s="2">
        <v>21.282323238127699</v>
      </c>
      <c r="BR1422" s="2">
        <v>21.402629134613701</v>
      </c>
      <c r="BS1422" s="2">
        <v>21.3636220912013</v>
      </c>
      <c r="BT1422" s="2">
        <v>21.027627378121299</v>
      </c>
      <c r="BU1422" s="2">
        <v>21.097781367615301</v>
      </c>
      <c r="BV1422" s="2">
        <v>21.774489109023001</v>
      </c>
      <c r="BW1422" s="2">
        <v>21.482768082160302</v>
      </c>
      <c r="BX1422" s="2">
        <v>20.645644932759499</v>
      </c>
      <c r="BY1422" s="2">
        <v>22.489398936839301</v>
      </c>
      <c r="BZ1422" s="2">
        <v>20.043525714644598</v>
      </c>
      <c r="CA1422" s="2">
        <v>21.7811739813198</v>
      </c>
      <c r="CB1422" s="2">
        <v>21.744774554046199</v>
      </c>
      <c r="CC1422" s="2">
        <v>17.916606621930999</v>
      </c>
      <c r="CD1422" s="2">
        <v>21.913474736476399</v>
      </c>
      <c r="CE1422" s="2">
        <v>20.222223113646301</v>
      </c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</row>
    <row r="1423" spans="1:97">
      <c r="A1423" s="2" t="s">
        <v>12754</v>
      </c>
      <c r="B1423" s="2">
        <v>534.39084000000003</v>
      </c>
      <c r="C1423" s="2">
        <v>11.375999999999999</v>
      </c>
      <c r="D1423" s="2" t="s">
        <v>84</v>
      </c>
      <c r="E1423" s="2" t="s">
        <v>12755</v>
      </c>
      <c r="F1423" s="2" t="s">
        <v>12756</v>
      </c>
      <c r="G1423" s="2">
        <v>198163</v>
      </c>
      <c r="H1423" s="3" t="str">
        <f>HYPERLINK("https://cloud.oebiotech.com/#/lm/network/198163", "https://cloud.oebiotech.com/#/lm/network/198163")</f>
        <v>https://cloud.oebiotech.com/#/lm/network/198163</v>
      </c>
      <c r="I1423" s="2" t="s">
        <v>12757</v>
      </c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 t="s">
        <v>12758</v>
      </c>
      <c r="U1423" s="2" t="s">
        <v>12759</v>
      </c>
      <c r="V1423" s="2" t="s">
        <v>95</v>
      </c>
      <c r="W1423" s="2" t="s">
        <v>96</v>
      </c>
      <c r="X1423" s="2" t="s">
        <v>97</v>
      </c>
      <c r="Y1423" s="2" t="s">
        <v>98</v>
      </c>
      <c r="Z1423" s="2" t="s">
        <v>99</v>
      </c>
      <c r="AA1423" s="2" t="s">
        <v>100</v>
      </c>
      <c r="AB1423" s="2" t="s">
        <v>5118</v>
      </c>
      <c r="AC1423" s="2">
        <v>45.04</v>
      </c>
      <c r="AD1423" s="2">
        <v>88.6</v>
      </c>
      <c r="AE1423" s="2">
        <v>52.39</v>
      </c>
      <c r="AF1423" s="2" t="s">
        <v>12760</v>
      </c>
      <c r="AG1423" s="2" t="s">
        <v>3544</v>
      </c>
      <c r="AH1423" s="2" t="s">
        <v>12761</v>
      </c>
      <c r="AI1423" s="2">
        <v>2.06</v>
      </c>
      <c r="AJ1423" s="2">
        <v>19.775546497908799</v>
      </c>
      <c r="AK1423" s="2">
        <v>19.850693457704701</v>
      </c>
      <c r="AL1423" s="2">
        <v>19.797707179236198</v>
      </c>
      <c r="AM1423" s="2">
        <v>19.869627080723198</v>
      </c>
      <c r="AN1423" s="2">
        <v>19.938512704080399</v>
      </c>
      <c r="AO1423" s="2">
        <v>19.8748244716061</v>
      </c>
      <c r="AP1423" s="2">
        <v>19.5920599589858</v>
      </c>
      <c r="AQ1423" s="2">
        <v>20.233743638996899</v>
      </c>
      <c r="AR1423" s="2">
        <v>18.647001187647</v>
      </c>
      <c r="AS1423" s="2">
        <v>18.097128573129201</v>
      </c>
      <c r="AT1423" s="2">
        <v>18.332064835022202</v>
      </c>
      <c r="AU1423" s="2">
        <v>18.672363978335799</v>
      </c>
      <c r="AV1423" s="2">
        <v>19.062938768412501</v>
      </c>
      <c r="AW1423" s="2">
        <v>18.985887454007401</v>
      </c>
      <c r="AX1423" s="2">
        <v>18.920962282548601</v>
      </c>
      <c r="AY1423" s="2">
        <v>18.4739939570572</v>
      </c>
      <c r="AZ1423" s="2">
        <v>19.6509724131101</v>
      </c>
      <c r="BA1423" s="2">
        <v>18.567418335492501</v>
      </c>
      <c r="BB1423" s="2">
        <v>19.619169853378398</v>
      </c>
      <c r="BC1423" s="2">
        <v>19.961095734766001</v>
      </c>
      <c r="BD1423" s="2">
        <v>18.895655124206701</v>
      </c>
      <c r="BE1423" s="2">
        <v>19.566545241686999</v>
      </c>
      <c r="BF1423" s="2">
        <v>18.520665022338999</v>
      </c>
      <c r="BG1423" s="2">
        <v>20.231762162581202</v>
      </c>
      <c r="BH1423" s="2">
        <v>19.240782436384499</v>
      </c>
      <c r="BI1423" s="2">
        <v>17.810690929784101</v>
      </c>
      <c r="BJ1423" s="2">
        <v>19.506100161730298</v>
      </c>
      <c r="BK1423" s="2">
        <v>17.085616543062098</v>
      </c>
      <c r="BL1423" s="2">
        <v>18.8750202376708</v>
      </c>
      <c r="BM1423" s="2">
        <v>19.871731710715199</v>
      </c>
      <c r="BN1423" s="2">
        <v>19.502509735202601</v>
      </c>
      <c r="BO1423" s="2">
        <v>20.8346353535985</v>
      </c>
      <c r="BP1423" s="2">
        <v>20.165831215398601</v>
      </c>
      <c r="BQ1423" s="2">
        <v>19.655521744016902</v>
      </c>
      <c r="BR1423" s="2">
        <v>20.566664282070199</v>
      </c>
      <c r="BS1423" s="2">
        <v>20.0084702860728</v>
      </c>
      <c r="BT1423" s="2">
        <v>20.940716803657601</v>
      </c>
      <c r="BU1423" s="2">
        <v>20.289523458888599</v>
      </c>
      <c r="BV1423" s="2">
        <v>21.121888198323798</v>
      </c>
      <c r="BW1423" s="2">
        <v>19.779324060741299</v>
      </c>
      <c r="BX1423" s="2">
        <v>19.8285945073299</v>
      </c>
      <c r="BY1423" s="2">
        <v>20.198055214124899</v>
      </c>
      <c r="BZ1423" s="2">
        <v>18.683590338848301</v>
      </c>
      <c r="CA1423" s="2">
        <v>20.5819119010823</v>
      </c>
      <c r="CB1423" s="2">
        <v>16.992441284406301</v>
      </c>
      <c r="CC1423" s="2">
        <v>18.281511896232001</v>
      </c>
      <c r="CD1423" s="2">
        <v>20.527276827858099</v>
      </c>
      <c r="CE1423" s="2">
        <v>20.056532951350999</v>
      </c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</row>
    <row r="1424" spans="1:97">
      <c r="A1424" s="2" t="s">
        <v>12762</v>
      </c>
      <c r="B1424" s="2">
        <v>385.09231</v>
      </c>
      <c r="C1424" s="2">
        <v>9.4849999999999994</v>
      </c>
      <c r="D1424" s="2" t="s">
        <v>146</v>
      </c>
      <c r="E1424" s="2" t="s">
        <v>12763</v>
      </c>
      <c r="F1424" s="2" t="s">
        <v>12764</v>
      </c>
      <c r="G1424" s="2">
        <v>31366</v>
      </c>
      <c r="H1424" s="3" t="str">
        <f>HYPERLINK("https://cloud.oebiotech.com/#/lm/network/31366", "https://cloud.oebiotech.com/#/lm/network/31366")</f>
        <v>https://cloud.oebiotech.com/#/lm/network/31366</v>
      </c>
      <c r="I1424" s="2"/>
      <c r="J1424" s="2">
        <v>49701</v>
      </c>
      <c r="K1424" s="2" t="s">
        <v>12765</v>
      </c>
      <c r="L1424" s="2">
        <v>14704647</v>
      </c>
      <c r="M1424" s="2"/>
      <c r="N1424" s="2"/>
      <c r="O1424" s="2"/>
      <c r="P1424" s="2"/>
      <c r="Q1424" s="2"/>
      <c r="R1424" s="2"/>
      <c r="S1424" s="2"/>
      <c r="T1424" s="2" t="s">
        <v>12766</v>
      </c>
      <c r="U1424" s="2" t="s">
        <v>12767</v>
      </c>
      <c r="V1424" s="2" t="s">
        <v>845</v>
      </c>
      <c r="W1424" s="2" t="s">
        <v>1853</v>
      </c>
      <c r="X1424" s="2" t="s">
        <v>1854</v>
      </c>
      <c r="Y1424" s="2" t="s">
        <v>847</v>
      </c>
      <c r="Z1424" s="2" t="s">
        <v>1855</v>
      </c>
      <c r="AA1424" s="2" t="s">
        <v>1856</v>
      </c>
      <c r="AB1424" s="2" t="s">
        <v>8443</v>
      </c>
      <c r="AC1424" s="2">
        <v>45.03</v>
      </c>
      <c r="AD1424" s="2">
        <v>86.83</v>
      </c>
      <c r="AE1424" s="2">
        <v>0</v>
      </c>
      <c r="AF1424" s="2" t="s">
        <v>5614</v>
      </c>
      <c r="AG1424" s="2" t="s">
        <v>194</v>
      </c>
      <c r="AH1424" s="2" t="s">
        <v>12768</v>
      </c>
      <c r="AI1424" s="2">
        <v>1.56</v>
      </c>
      <c r="AJ1424" s="2">
        <v>18.667379152821599</v>
      </c>
      <c r="AK1424" s="2">
        <v>18.578930791795401</v>
      </c>
      <c r="AL1424" s="2">
        <v>18.353632743276901</v>
      </c>
      <c r="AM1424" s="2">
        <v>18.4327992277566</v>
      </c>
      <c r="AN1424" s="2">
        <v>18.568902407372299</v>
      </c>
      <c r="AO1424" s="2">
        <v>18.166803105192699</v>
      </c>
      <c r="AP1424" s="2">
        <v>18.710552745408599</v>
      </c>
      <c r="AQ1424" s="2">
        <v>18.625550647274501</v>
      </c>
      <c r="AR1424" s="2">
        <v>18.225040103390501</v>
      </c>
      <c r="AS1424" s="2">
        <v>18.1567135644001</v>
      </c>
      <c r="AT1424" s="2">
        <v>18.518914740289102</v>
      </c>
      <c r="AU1424" s="2">
        <v>18.277896144791001</v>
      </c>
      <c r="AV1424" s="2">
        <v>18.099941755947</v>
      </c>
      <c r="AW1424" s="2">
        <v>18.426169774916701</v>
      </c>
      <c r="AX1424" s="2">
        <v>17.664496312456901</v>
      </c>
      <c r="AY1424" s="2">
        <v>18.613567874482399</v>
      </c>
      <c r="AZ1424" s="2">
        <v>18.106028782692601</v>
      </c>
      <c r="BA1424" s="2">
        <v>18.6935582846349</v>
      </c>
      <c r="BB1424" s="2">
        <v>18.325539554268602</v>
      </c>
      <c r="BC1424" s="2">
        <v>18.526249305723098</v>
      </c>
      <c r="BD1424" s="2">
        <v>18.411544544250301</v>
      </c>
      <c r="BE1424" s="2">
        <v>18.254130479790501</v>
      </c>
      <c r="BF1424" s="2">
        <v>18.496561987458399</v>
      </c>
      <c r="BG1424" s="2">
        <v>18.608865827805101</v>
      </c>
      <c r="BH1424" s="2">
        <v>18.275752503423799</v>
      </c>
      <c r="BI1424" s="2">
        <v>18.083048781509198</v>
      </c>
      <c r="BJ1424" s="2">
        <v>18.001471036028398</v>
      </c>
      <c r="BK1424" s="2">
        <v>18.508380987463099</v>
      </c>
      <c r="BL1424" s="2">
        <v>18.439505942392302</v>
      </c>
      <c r="BM1424" s="2">
        <v>18.4475323433632</v>
      </c>
      <c r="BN1424" s="2">
        <v>18.195461171494699</v>
      </c>
      <c r="BO1424" s="2">
        <v>18.183481571345801</v>
      </c>
      <c r="BP1424" s="2">
        <v>18.455529186041701</v>
      </c>
      <c r="BQ1424" s="2">
        <v>18.539504097337598</v>
      </c>
      <c r="BR1424" s="2">
        <v>18.3203104964206</v>
      </c>
      <c r="BS1424" s="2">
        <v>18.598713414307799</v>
      </c>
      <c r="BT1424" s="2">
        <v>17.3858721722256</v>
      </c>
      <c r="BU1424" s="2">
        <v>18.075948665551699</v>
      </c>
      <c r="BV1424" s="2">
        <v>18.315983591529701</v>
      </c>
      <c r="BW1424" s="2">
        <v>18.5182464337658</v>
      </c>
      <c r="BX1424" s="2">
        <v>18.354985429108499</v>
      </c>
      <c r="BY1424" s="2">
        <v>18.304304569870901</v>
      </c>
      <c r="BZ1424" s="2">
        <v>18.5526848183742</v>
      </c>
      <c r="CA1424" s="2">
        <v>18.297751214872701</v>
      </c>
      <c r="CB1424" s="2">
        <v>18.391728968808</v>
      </c>
      <c r="CC1424" s="2">
        <v>18.465376801089601</v>
      </c>
      <c r="CD1424" s="2">
        <v>18.384652107944</v>
      </c>
      <c r="CE1424" s="2">
        <v>18.486802936007901</v>
      </c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</row>
    <row r="1425" spans="1:97">
      <c r="A1425" s="2" t="s">
        <v>12769</v>
      </c>
      <c r="B1425" s="2">
        <v>287.04453999999998</v>
      </c>
      <c r="C1425" s="2">
        <v>4.5880000000000001</v>
      </c>
      <c r="D1425" s="2" t="s">
        <v>84</v>
      </c>
      <c r="E1425" s="2" t="s">
        <v>12770</v>
      </c>
      <c r="F1425" s="2" t="s">
        <v>12771</v>
      </c>
      <c r="G1425" s="2">
        <v>82684</v>
      </c>
      <c r="H1425" s="3" t="str">
        <f>HYPERLINK("https://cloud.oebiotech.com/#/lm/network/82684", "https://cloud.oebiotech.com/#/lm/network/82684")</f>
        <v>https://cloud.oebiotech.com/#/lm/network/82684</v>
      </c>
      <c r="I1425" s="2" t="s">
        <v>12772</v>
      </c>
      <c r="J1425" s="2"/>
      <c r="K1425" s="2"/>
      <c r="L1425" s="2">
        <v>160716</v>
      </c>
      <c r="M1425" s="2"/>
      <c r="N1425" s="2"/>
      <c r="O1425" s="2"/>
      <c r="P1425" s="2"/>
      <c r="Q1425" s="2"/>
      <c r="R1425" s="2"/>
      <c r="S1425" s="2" t="s">
        <v>12773</v>
      </c>
      <c r="T1425" s="2" t="s">
        <v>12774</v>
      </c>
      <c r="U1425" s="2" t="s">
        <v>12775</v>
      </c>
      <c r="V1425" s="2" t="s">
        <v>553</v>
      </c>
      <c r="W1425" s="2" t="s">
        <v>10339</v>
      </c>
      <c r="X1425" s="2" t="s">
        <v>12776</v>
      </c>
      <c r="Y1425" s="2" t="s">
        <v>556</v>
      </c>
      <c r="Z1425" s="2" t="s">
        <v>10341</v>
      </c>
      <c r="AA1425" s="2" t="s">
        <v>12777</v>
      </c>
      <c r="AB1425" s="2" t="s">
        <v>3086</v>
      </c>
      <c r="AC1425" s="2">
        <v>45.03</v>
      </c>
      <c r="AD1425" s="2">
        <v>76.209999999999994</v>
      </c>
      <c r="AE1425" s="2">
        <v>0</v>
      </c>
      <c r="AF1425" s="2" t="s">
        <v>5614</v>
      </c>
      <c r="AG1425" s="2" t="s">
        <v>3544</v>
      </c>
      <c r="AH1425" s="2" t="s">
        <v>12778</v>
      </c>
      <c r="AI1425" s="2">
        <v>-5.57</v>
      </c>
      <c r="AJ1425" s="2">
        <v>16.288799401316599</v>
      </c>
      <c r="AK1425" s="2">
        <v>17.2242073845573</v>
      </c>
      <c r="AL1425" s="2">
        <v>17.4039292324548</v>
      </c>
      <c r="AM1425" s="2">
        <v>17.3019550022148</v>
      </c>
      <c r="AN1425" s="2">
        <v>17.150848999850901</v>
      </c>
      <c r="AO1425" s="2">
        <v>17.778182133948501</v>
      </c>
      <c r="AP1425" s="2">
        <v>16.830060084145099</v>
      </c>
      <c r="AQ1425" s="2">
        <v>17.345500800614602</v>
      </c>
      <c r="AR1425" s="2">
        <v>15.980510470423701</v>
      </c>
      <c r="AS1425" s="2">
        <v>16.442129191462399</v>
      </c>
      <c r="AT1425" s="2">
        <v>15.905556707272799</v>
      </c>
      <c r="AU1425" s="2">
        <v>16.569423090919202</v>
      </c>
      <c r="AV1425" s="2">
        <v>16.204986776164301</v>
      </c>
      <c r="AW1425" s="2">
        <v>15.870107244519399</v>
      </c>
      <c r="AX1425" s="2">
        <v>15.932546731132</v>
      </c>
      <c r="AY1425" s="2">
        <v>16.635609585410901</v>
      </c>
      <c r="AZ1425" s="2">
        <v>16.6115261424168</v>
      </c>
      <c r="BA1425" s="2">
        <v>16.582900832092999</v>
      </c>
      <c r="BB1425" s="2">
        <v>16.758880976803098</v>
      </c>
      <c r="BC1425" s="2">
        <v>15.523970167765</v>
      </c>
      <c r="BD1425" s="2">
        <v>16.3794035828749</v>
      </c>
      <c r="BE1425" s="2">
        <v>16.240457446742798</v>
      </c>
      <c r="BF1425" s="2">
        <v>16.697584450623701</v>
      </c>
      <c r="BG1425" s="2">
        <v>17.131737715553498</v>
      </c>
      <c r="BH1425" s="2">
        <v>15.959593581446301</v>
      </c>
      <c r="BI1425" s="2">
        <v>15.970782894028901</v>
      </c>
      <c r="BJ1425" s="2">
        <v>15.8313446072986</v>
      </c>
      <c r="BK1425" s="2">
        <v>16.3502795100603</v>
      </c>
      <c r="BL1425" s="2">
        <v>15.943051842151499</v>
      </c>
      <c r="BM1425" s="2">
        <v>16.2447573856339</v>
      </c>
      <c r="BN1425" s="2">
        <v>16.302922501717699</v>
      </c>
      <c r="BO1425" s="2">
        <v>16.795075478419101</v>
      </c>
      <c r="BP1425" s="2">
        <v>16.7621180499548</v>
      </c>
      <c r="BQ1425" s="2">
        <v>16.098187977086599</v>
      </c>
      <c r="BR1425" s="2">
        <v>16.738456081407701</v>
      </c>
      <c r="BS1425" s="2">
        <v>16.6597096990639</v>
      </c>
      <c r="BT1425" s="2">
        <v>15.1656014805857</v>
      </c>
      <c r="BU1425" s="2">
        <v>16.9166488956221</v>
      </c>
      <c r="BV1425" s="2">
        <v>16.3460806588228</v>
      </c>
      <c r="BW1425" s="2">
        <v>17.0560922622821</v>
      </c>
      <c r="BX1425" s="2">
        <v>16.398519756266602</v>
      </c>
      <c r="BY1425" s="2">
        <v>16.953472258852401</v>
      </c>
      <c r="BZ1425" s="2">
        <v>16.441515284117902</v>
      </c>
      <c r="CA1425" s="2">
        <v>16.5618185046782</v>
      </c>
      <c r="CB1425" s="2">
        <v>16.443309920539502</v>
      </c>
      <c r="CC1425" s="2">
        <v>16.1999494941583</v>
      </c>
      <c r="CD1425" s="2">
        <v>16.037338890941399</v>
      </c>
      <c r="CE1425" s="2">
        <v>17.1575066162541</v>
      </c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</row>
    <row r="1426" spans="1:97">
      <c r="A1426" s="2" t="s">
        <v>12779</v>
      </c>
      <c r="B1426" s="2">
        <v>283.10306000000003</v>
      </c>
      <c r="C1426" s="2">
        <v>1.375</v>
      </c>
      <c r="D1426" s="2" t="s">
        <v>146</v>
      </c>
      <c r="E1426" s="2" t="s">
        <v>12780</v>
      </c>
      <c r="F1426" s="2" t="s">
        <v>12781</v>
      </c>
      <c r="G1426" s="2">
        <v>211680</v>
      </c>
      <c r="H1426" s="3" t="str">
        <f>HYPERLINK("https://cloud.oebiotech.com/#/lm/network/211680", "https://cloud.oebiotech.com/#/lm/network/211680")</f>
        <v>https://cloud.oebiotech.com/#/lm/network/211680</v>
      </c>
      <c r="I1426" s="2" t="s">
        <v>12782</v>
      </c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 t="s">
        <v>12783</v>
      </c>
      <c r="U1426" s="2" t="s">
        <v>12784</v>
      </c>
      <c r="V1426" s="2" t="s">
        <v>95</v>
      </c>
      <c r="W1426" s="2" t="s">
        <v>96</v>
      </c>
      <c r="X1426" s="2" t="s">
        <v>353</v>
      </c>
      <c r="Y1426" s="2" t="s">
        <v>98</v>
      </c>
      <c r="Z1426" s="2" t="s">
        <v>99</v>
      </c>
      <c r="AA1426" s="2" t="s">
        <v>354</v>
      </c>
      <c r="AB1426" s="2" t="s">
        <v>8443</v>
      </c>
      <c r="AC1426" s="2">
        <v>45.02</v>
      </c>
      <c r="AD1426" s="2">
        <v>93.32</v>
      </c>
      <c r="AE1426" s="2">
        <v>0</v>
      </c>
      <c r="AF1426" s="2" t="s">
        <v>12785</v>
      </c>
      <c r="AG1426" s="2" t="s">
        <v>157</v>
      </c>
      <c r="AH1426" s="2" t="s">
        <v>12786</v>
      </c>
      <c r="AI1426" s="2">
        <v>1.41</v>
      </c>
      <c r="AJ1426" s="2">
        <v>18.466501264633301</v>
      </c>
      <c r="AK1426" s="2">
        <v>18.576758568309899</v>
      </c>
      <c r="AL1426" s="2">
        <v>17.5539892028719</v>
      </c>
      <c r="AM1426" s="2">
        <v>18.348462041170901</v>
      </c>
      <c r="AN1426" s="2">
        <v>18.519575097628</v>
      </c>
      <c r="AO1426" s="2">
        <v>18.636324299213101</v>
      </c>
      <c r="AP1426" s="2">
        <v>18.679849729009501</v>
      </c>
      <c r="AQ1426" s="2">
        <v>18.7000112663812</v>
      </c>
      <c r="AR1426" s="2">
        <v>15.690476843546</v>
      </c>
      <c r="AS1426" s="2">
        <v>14.4599233626769</v>
      </c>
      <c r="AT1426" s="2">
        <v>18.543059506595899</v>
      </c>
      <c r="AU1426" s="2">
        <v>15.5518019712797</v>
      </c>
      <c r="AV1426" s="2">
        <v>17.854615249187201</v>
      </c>
      <c r="AW1426" s="2">
        <v>17.459326829242201</v>
      </c>
      <c r="AX1426" s="2">
        <v>17.970214607809101</v>
      </c>
      <c r="AY1426" s="2">
        <v>17.956691224557702</v>
      </c>
      <c r="AZ1426" s="2">
        <v>16.534541204161599</v>
      </c>
      <c r="BA1426" s="2">
        <v>16.481428936834401</v>
      </c>
      <c r="BB1426" s="2">
        <v>18.5282473709151</v>
      </c>
      <c r="BC1426" s="2">
        <v>19.562240858795899</v>
      </c>
      <c r="BD1426" s="2">
        <v>17.738200082897301</v>
      </c>
      <c r="BE1426" s="2">
        <v>18.229120206670199</v>
      </c>
      <c r="BF1426" s="2">
        <v>18.710450706016601</v>
      </c>
      <c r="BG1426" s="2">
        <v>18.032667115880798</v>
      </c>
      <c r="BH1426" s="2">
        <v>17.999657204734</v>
      </c>
      <c r="BI1426" s="2">
        <v>18.266903683552101</v>
      </c>
      <c r="BJ1426" s="2">
        <v>18.4529773316685</v>
      </c>
      <c r="BK1426" s="2">
        <v>17.870773357866501</v>
      </c>
      <c r="BL1426" s="2">
        <v>18.010170370809899</v>
      </c>
      <c r="BM1426" s="2">
        <v>18.784027237151399</v>
      </c>
      <c r="BN1426" s="2">
        <v>17.7331549117831</v>
      </c>
      <c r="BO1426" s="2">
        <v>16.690599469274801</v>
      </c>
      <c r="BP1426" s="2">
        <v>17.532551804600999</v>
      </c>
      <c r="BQ1426" s="2">
        <v>17.772848835123099</v>
      </c>
      <c r="BR1426" s="2">
        <v>18.155299273192998</v>
      </c>
      <c r="BS1426" s="2">
        <v>17.483621354207099</v>
      </c>
      <c r="BT1426" s="2">
        <v>16.797064796391801</v>
      </c>
      <c r="BU1426" s="2">
        <v>17.066564872512998</v>
      </c>
      <c r="BV1426" s="2">
        <v>17.88095887075</v>
      </c>
      <c r="BW1426" s="2">
        <v>17.853561456721401</v>
      </c>
      <c r="BX1426" s="2">
        <v>17.854093442283801</v>
      </c>
      <c r="BY1426" s="2">
        <v>19.464694986379499</v>
      </c>
      <c r="BZ1426" s="2">
        <v>18.173626976797099</v>
      </c>
      <c r="CA1426" s="2">
        <v>19.8292504346412</v>
      </c>
      <c r="CB1426" s="2">
        <v>17.804942838205399</v>
      </c>
      <c r="CC1426" s="2">
        <v>17.862077812488302</v>
      </c>
      <c r="CD1426" s="2">
        <v>18.2397741102277</v>
      </c>
      <c r="CE1426" s="2">
        <v>18.6889696329429</v>
      </c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</row>
    <row r="1427" spans="1:97">
      <c r="A1427" s="2" t="s">
        <v>12787</v>
      </c>
      <c r="B1427" s="2">
        <v>319.26359000000002</v>
      </c>
      <c r="C1427" s="2">
        <v>11.456</v>
      </c>
      <c r="D1427" s="2" t="s">
        <v>146</v>
      </c>
      <c r="E1427" s="2" t="s">
        <v>12788</v>
      </c>
      <c r="F1427" s="2" t="s">
        <v>12789</v>
      </c>
      <c r="G1427" s="2">
        <v>9272</v>
      </c>
      <c r="H1427" s="3" t="str">
        <f>HYPERLINK("https://cloud.oebiotech.com/#/lm/network/9272", "https://cloud.oebiotech.com/#/lm/network/9272")</f>
        <v>https://cloud.oebiotech.com/#/lm/network/9272</v>
      </c>
      <c r="I1427" s="2"/>
      <c r="J1427" s="2">
        <v>97570</v>
      </c>
      <c r="K1427" s="2" t="s">
        <v>12790</v>
      </c>
      <c r="L1427" s="2">
        <v>56936129</v>
      </c>
      <c r="M1427" s="2"/>
      <c r="N1427" s="2"/>
      <c r="O1427" s="2"/>
      <c r="P1427" s="2"/>
      <c r="Q1427" s="2"/>
      <c r="R1427" s="2"/>
      <c r="S1427" s="2"/>
      <c r="T1427" s="2" t="s">
        <v>12791</v>
      </c>
      <c r="U1427" s="2" t="s">
        <v>12792</v>
      </c>
      <c r="V1427" s="2" t="s">
        <v>10755</v>
      </c>
      <c r="W1427" s="2" t="s">
        <v>10756</v>
      </c>
      <c r="X1427" s="2" t="s">
        <v>12793</v>
      </c>
      <c r="Y1427" s="2" t="s">
        <v>10758</v>
      </c>
      <c r="Z1427" s="2" t="s">
        <v>10759</v>
      </c>
      <c r="AA1427" s="2" t="s">
        <v>12794</v>
      </c>
      <c r="AB1427" s="2" t="s">
        <v>8443</v>
      </c>
      <c r="AC1427" s="2">
        <v>45.01</v>
      </c>
      <c r="AD1427" s="2">
        <v>86.86</v>
      </c>
      <c r="AE1427" s="2">
        <v>0</v>
      </c>
      <c r="AF1427" s="2" t="s">
        <v>12795</v>
      </c>
      <c r="AG1427" s="2" t="s">
        <v>157</v>
      </c>
      <c r="AH1427" s="2" t="s">
        <v>12796</v>
      </c>
      <c r="AI1427" s="2">
        <v>2.19</v>
      </c>
      <c r="AJ1427" s="2">
        <v>18.380036245272802</v>
      </c>
      <c r="AK1427" s="2">
        <v>17.781437392056802</v>
      </c>
      <c r="AL1427" s="2">
        <v>17.632939763496399</v>
      </c>
      <c r="AM1427" s="2">
        <v>18.354692492805601</v>
      </c>
      <c r="AN1427" s="2">
        <v>18.264105712129901</v>
      </c>
      <c r="AO1427" s="2">
        <v>17.771386362744401</v>
      </c>
      <c r="AP1427" s="2">
        <v>18.027875173575801</v>
      </c>
      <c r="AQ1427" s="2">
        <v>17.939568597446801</v>
      </c>
      <c r="AR1427" s="2">
        <v>18.7673889274541</v>
      </c>
      <c r="AS1427" s="2">
        <v>17.717547108017602</v>
      </c>
      <c r="AT1427" s="2">
        <v>17.727339639086502</v>
      </c>
      <c r="AU1427" s="2">
        <v>16.977100447621599</v>
      </c>
      <c r="AV1427" s="2">
        <v>17.071322829366199</v>
      </c>
      <c r="AW1427" s="2">
        <v>16.496931463675502</v>
      </c>
      <c r="AX1427" s="2">
        <v>17.734286232096299</v>
      </c>
      <c r="AY1427" s="2">
        <v>18.3448325270735</v>
      </c>
      <c r="AZ1427" s="2">
        <v>18.521480440167998</v>
      </c>
      <c r="BA1427" s="2">
        <v>17.872658950424899</v>
      </c>
      <c r="BB1427" s="2">
        <v>17.947641617572099</v>
      </c>
      <c r="BC1427" s="2">
        <v>18.849839200336302</v>
      </c>
      <c r="BD1427" s="2">
        <v>17.8525310333427</v>
      </c>
      <c r="BE1427" s="2">
        <v>18.599905398333298</v>
      </c>
      <c r="BF1427" s="2">
        <v>17.5132884822224</v>
      </c>
      <c r="BG1427" s="2">
        <v>17.395398742568901</v>
      </c>
      <c r="BH1427" s="2">
        <v>18.667653816346998</v>
      </c>
      <c r="BI1427" s="2">
        <v>19.065089642119901</v>
      </c>
      <c r="BJ1427" s="2">
        <v>18.253574913868398</v>
      </c>
      <c r="BK1427" s="2">
        <v>17.3468869628344</v>
      </c>
      <c r="BL1427" s="2">
        <v>18.832465556962202</v>
      </c>
      <c r="BM1427" s="2">
        <v>18.6245616285483</v>
      </c>
      <c r="BN1427" s="2">
        <v>17.290797797797001</v>
      </c>
      <c r="BO1427" s="2">
        <v>17.294333828938498</v>
      </c>
      <c r="BP1427" s="2">
        <v>17.087978130637602</v>
      </c>
      <c r="BQ1427" s="2">
        <v>15.0543681734773</v>
      </c>
      <c r="BR1427" s="2">
        <v>17.2840549337058</v>
      </c>
      <c r="BS1427" s="2">
        <v>18.3869969361862</v>
      </c>
      <c r="BT1427" s="2">
        <v>19.264971303668698</v>
      </c>
      <c r="BU1427" s="2">
        <v>18.363373957589101</v>
      </c>
      <c r="BV1427" s="2">
        <v>18.2440543357359</v>
      </c>
      <c r="BW1427" s="2">
        <v>17.2408980772131</v>
      </c>
      <c r="BX1427" s="2">
        <v>17.4580124329478</v>
      </c>
      <c r="BY1427" s="2">
        <v>19.5973715132059</v>
      </c>
      <c r="BZ1427" s="2">
        <v>16.937952947654001</v>
      </c>
      <c r="CA1427" s="2">
        <v>17.444031649050199</v>
      </c>
      <c r="CB1427" s="2">
        <v>18.199175652444598</v>
      </c>
      <c r="CC1427" s="2">
        <v>18.418521208024</v>
      </c>
      <c r="CD1427" s="2">
        <v>17.6587056924431</v>
      </c>
      <c r="CE1427" s="2">
        <v>17.530888648478101</v>
      </c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</row>
    <row r="1428" spans="1:97">
      <c r="A1428" s="2" t="s">
        <v>12797</v>
      </c>
      <c r="B1428" s="2">
        <v>605.23770999999999</v>
      </c>
      <c r="C1428" s="2">
        <v>7.02</v>
      </c>
      <c r="D1428" s="2" t="s">
        <v>146</v>
      </c>
      <c r="E1428" s="2" t="s">
        <v>12798</v>
      </c>
      <c r="F1428" s="2" t="s">
        <v>12799</v>
      </c>
      <c r="G1428" s="2">
        <v>199131</v>
      </c>
      <c r="H1428" s="3" t="str">
        <f>HYPERLINK("https://cloud.oebiotech.com/#/lm/network/199131", "https://cloud.oebiotech.com/#/lm/network/199131")</f>
        <v>https://cloud.oebiotech.com/#/lm/network/199131</v>
      </c>
      <c r="I1428" s="2" t="s">
        <v>12800</v>
      </c>
      <c r="J1428" s="2"/>
      <c r="K1428" s="2"/>
      <c r="L1428" s="2">
        <v>127154</v>
      </c>
      <c r="M1428" s="2"/>
      <c r="N1428" s="2"/>
      <c r="O1428" s="2"/>
      <c r="P1428" s="2"/>
      <c r="Q1428" s="2"/>
      <c r="R1428" s="2"/>
      <c r="S1428" s="2"/>
      <c r="T1428" s="2" t="s">
        <v>12801</v>
      </c>
      <c r="U1428" s="2" t="s">
        <v>12802</v>
      </c>
      <c r="V1428" s="2" t="s">
        <v>553</v>
      </c>
      <c r="W1428" s="2" t="s">
        <v>6104</v>
      </c>
      <c r="X1428" s="2" t="s">
        <v>6105</v>
      </c>
      <c r="Y1428" s="2" t="s">
        <v>556</v>
      </c>
      <c r="Z1428" s="2" t="s">
        <v>6106</v>
      </c>
      <c r="AA1428" s="2" t="s">
        <v>6107</v>
      </c>
      <c r="AB1428" s="2" t="s">
        <v>8443</v>
      </c>
      <c r="AC1428" s="2">
        <v>45.01</v>
      </c>
      <c r="AD1428" s="2">
        <v>93.81</v>
      </c>
      <c r="AE1428" s="2">
        <v>0</v>
      </c>
      <c r="AF1428" s="2" t="s">
        <v>12803</v>
      </c>
      <c r="AG1428" s="2" t="s">
        <v>3880</v>
      </c>
      <c r="AH1428" s="2" t="s">
        <v>4347</v>
      </c>
      <c r="AI1428" s="2">
        <v>-1.98</v>
      </c>
      <c r="AJ1428" s="2">
        <v>19.3633405882365</v>
      </c>
      <c r="AK1428" s="2">
        <v>19.233456054637799</v>
      </c>
      <c r="AL1428" s="2">
        <v>19.2214092183101</v>
      </c>
      <c r="AM1428" s="2">
        <v>19.022257536713301</v>
      </c>
      <c r="AN1428" s="2">
        <v>19.429890359529001</v>
      </c>
      <c r="AO1428" s="2">
        <v>19.573810715760398</v>
      </c>
      <c r="AP1428" s="2">
        <v>19.4767750140503</v>
      </c>
      <c r="AQ1428" s="2">
        <v>19.503415978513601</v>
      </c>
      <c r="AR1428" s="2">
        <v>17.776249175300102</v>
      </c>
      <c r="AS1428" s="2">
        <v>18.840369366827101</v>
      </c>
      <c r="AT1428" s="2">
        <v>19.946064211132398</v>
      </c>
      <c r="AU1428" s="2">
        <v>17.853607689695099</v>
      </c>
      <c r="AV1428" s="2">
        <v>18.979814465928399</v>
      </c>
      <c r="AW1428" s="2">
        <v>19.089825651389798</v>
      </c>
      <c r="AX1428" s="2">
        <v>19.588067795518601</v>
      </c>
      <c r="AY1428" s="2">
        <v>19.037705849928599</v>
      </c>
      <c r="AZ1428" s="2">
        <v>18.004950101799899</v>
      </c>
      <c r="BA1428" s="2">
        <v>18.667133584929299</v>
      </c>
      <c r="BB1428" s="2">
        <v>18.897728753333901</v>
      </c>
      <c r="BC1428" s="2">
        <v>20.408792835055401</v>
      </c>
      <c r="BD1428" s="2">
        <v>17.797376681975202</v>
      </c>
      <c r="BE1428" s="2">
        <v>20.833899853677099</v>
      </c>
      <c r="BF1428" s="2">
        <v>17.972172081440799</v>
      </c>
      <c r="BG1428" s="2">
        <v>19.853455264509101</v>
      </c>
      <c r="BH1428" s="2">
        <v>18.711328298092699</v>
      </c>
      <c r="BI1428" s="2">
        <v>19.649013629431401</v>
      </c>
      <c r="BJ1428" s="2">
        <v>19.804796509199999</v>
      </c>
      <c r="BK1428" s="2">
        <v>18.363741183385599</v>
      </c>
      <c r="BL1428" s="2">
        <v>19.129773777846701</v>
      </c>
      <c r="BM1428" s="2">
        <v>17.807466433264299</v>
      </c>
      <c r="BN1428" s="2">
        <v>19.0508458525285</v>
      </c>
      <c r="BO1428" s="2">
        <v>19.6075603766527</v>
      </c>
      <c r="BP1428" s="2">
        <v>19.3305331036571</v>
      </c>
      <c r="BQ1428" s="2">
        <v>18.910010651783001</v>
      </c>
      <c r="BR1428" s="2">
        <v>19.7260731386766</v>
      </c>
      <c r="BS1428" s="2">
        <v>18.874341582453098</v>
      </c>
      <c r="BT1428" s="2">
        <v>18.428780117873799</v>
      </c>
      <c r="BU1428" s="2">
        <v>19.206383165162201</v>
      </c>
      <c r="BV1428" s="2">
        <v>19.2298716097492</v>
      </c>
      <c r="BW1428" s="2">
        <v>19.0140812117384</v>
      </c>
      <c r="BX1428" s="2">
        <v>17.732208838410401</v>
      </c>
      <c r="BY1428" s="2">
        <v>19.912433335966998</v>
      </c>
      <c r="BZ1428" s="2">
        <v>17.7482968409827</v>
      </c>
      <c r="CA1428" s="2">
        <v>18.7676925864473</v>
      </c>
      <c r="CB1428" s="2">
        <v>19.408794213429601</v>
      </c>
      <c r="CC1428" s="2">
        <v>18.339708020610502</v>
      </c>
      <c r="CD1428" s="2">
        <v>20.077267359947001</v>
      </c>
      <c r="CE1428" s="2">
        <v>18.840813229712101</v>
      </c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</row>
    <row r="1429" spans="1:97">
      <c r="A1429" s="2" t="s">
        <v>12804</v>
      </c>
      <c r="B1429" s="2">
        <v>370.29547000000002</v>
      </c>
      <c r="C1429" s="2">
        <v>12.352</v>
      </c>
      <c r="D1429" s="2" t="s">
        <v>146</v>
      </c>
      <c r="E1429" s="2" t="s">
        <v>12805</v>
      </c>
      <c r="F1429" s="2" t="s">
        <v>12806</v>
      </c>
      <c r="G1429" s="2">
        <v>9071</v>
      </c>
      <c r="H1429" s="3" t="str">
        <f>HYPERLINK("https://cloud.oebiotech.com/#/lm/network/9071", "https://cloud.oebiotech.com/#/lm/network/9071")</f>
        <v>https://cloud.oebiotech.com/#/lm/network/9071</v>
      </c>
      <c r="I1429" s="2"/>
      <c r="J1429" s="2"/>
      <c r="K1429" s="2" t="s">
        <v>12807</v>
      </c>
      <c r="L1429" s="2">
        <v>132536469</v>
      </c>
      <c r="M1429" s="2"/>
      <c r="N1429" s="2"/>
      <c r="O1429" s="2"/>
      <c r="P1429" s="2"/>
      <c r="Q1429" s="2"/>
      <c r="R1429" s="2"/>
      <c r="S1429" s="2"/>
      <c r="T1429" s="2" t="s">
        <v>12808</v>
      </c>
      <c r="U1429" s="2" t="s">
        <v>12809</v>
      </c>
      <c r="V1429" s="2" t="s">
        <v>115</v>
      </c>
      <c r="W1429" s="2" t="s">
        <v>4313</v>
      </c>
      <c r="X1429" s="2" t="s">
        <v>4314</v>
      </c>
      <c r="Y1429" s="2" t="s">
        <v>118</v>
      </c>
      <c r="Z1429" s="2" t="s">
        <v>4315</v>
      </c>
      <c r="AA1429" s="2" t="s">
        <v>4316</v>
      </c>
      <c r="AB1429" s="2" t="s">
        <v>8443</v>
      </c>
      <c r="AC1429" s="2">
        <v>45</v>
      </c>
      <c r="AD1429" s="2">
        <v>86.21</v>
      </c>
      <c r="AE1429" s="2">
        <v>0</v>
      </c>
      <c r="AF1429" s="2" t="s">
        <v>12810</v>
      </c>
      <c r="AG1429" s="2" t="s">
        <v>157</v>
      </c>
      <c r="AH1429" s="2" t="s">
        <v>4330</v>
      </c>
      <c r="AI1429" s="2">
        <v>2.16</v>
      </c>
      <c r="AJ1429" s="2">
        <v>18.552835152170001</v>
      </c>
      <c r="AK1429" s="2">
        <v>18.112312281811299</v>
      </c>
      <c r="AL1429" s="2">
        <v>17.956228440441301</v>
      </c>
      <c r="AM1429" s="2">
        <v>17.671148772374</v>
      </c>
      <c r="AN1429" s="2">
        <v>18.151072595688898</v>
      </c>
      <c r="AO1429" s="2">
        <v>18.243983189350399</v>
      </c>
      <c r="AP1429" s="2">
        <v>17.977334209157199</v>
      </c>
      <c r="AQ1429" s="2">
        <v>18.0632730959287</v>
      </c>
      <c r="AR1429" s="2">
        <v>16.709642678595699</v>
      </c>
      <c r="AS1429" s="2">
        <v>17.108584588237001</v>
      </c>
      <c r="AT1429" s="2">
        <v>18.154861808445599</v>
      </c>
      <c r="AU1429" s="2">
        <v>17.320224455645601</v>
      </c>
      <c r="AV1429" s="2">
        <v>16.880493381341701</v>
      </c>
      <c r="AW1429" s="2">
        <v>17.647633454478299</v>
      </c>
      <c r="AX1429" s="2">
        <v>18.675779034366101</v>
      </c>
      <c r="AY1429" s="2">
        <v>17.601033629776602</v>
      </c>
      <c r="AZ1429" s="2">
        <v>16.606891976526899</v>
      </c>
      <c r="BA1429" s="2">
        <v>18.203220947070399</v>
      </c>
      <c r="BB1429" s="2">
        <v>18.0986360788871</v>
      </c>
      <c r="BC1429" s="2">
        <v>18.714115190206101</v>
      </c>
      <c r="BD1429" s="2">
        <v>15.7499115786941</v>
      </c>
      <c r="BE1429" s="2">
        <v>16.9643867861747</v>
      </c>
      <c r="BF1429" s="2">
        <v>18.393766668885402</v>
      </c>
      <c r="BG1429" s="2">
        <v>18.504167593921</v>
      </c>
      <c r="BH1429" s="2">
        <v>16.613292934738499</v>
      </c>
      <c r="BI1429" s="2">
        <v>18.572789326495101</v>
      </c>
      <c r="BJ1429" s="2">
        <v>18.052762097302399</v>
      </c>
      <c r="BK1429" s="2">
        <v>17.593373468345099</v>
      </c>
      <c r="BL1429" s="2">
        <v>18.014186964929099</v>
      </c>
      <c r="BM1429" s="2">
        <v>15.746742610825301</v>
      </c>
      <c r="BN1429" s="2">
        <v>15.644037924089799</v>
      </c>
      <c r="BO1429" s="2">
        <v>18.083875629673202</v>
      </c>
      <c r="BP1429" s="2">
        <v>18.348048792228699</v>
      </c>
      <c r="BQ1429" s="2">
        <v>17.8873190999423</v>
      </c>
      <c r="BR1429" s="2">
        <v>18.360368863633301</v>
      </c>
      <c r="BS1429" s="2">
        <v>17.517446410060799</v>
      </c>
      <c r="BT1429" s="2">
        <v>17.382318873759601</v>
      </c>
      <c r="BU1429" s="2">
        <v>19.044905548879001</v>
      </c>
      <c r="BV1429" s="2">
        <v>18.4297128420083</v>
      </c>
      <c r="BW1429" s="2">
        <v>17.854483704184499</v>
      </c>
      <c r="BX1429" s="2">
        <v>17.2490204658287</v>
      </c>
      <c r="BY1429" s="2">
        <v>16.202763013193302</v>
      </c>
      <c r="BZ1429" s="2">
        <v>18.127553534243599</v>
      </c>
      <c r="CA1429" s="2">
        <v>17.639975705202101</v>
      </c>
      <c r="CB1429" s="2">
        <v>18.075826379453801</v>
      </c>
      <c r="CC1429" s="2">
        <v>18.5209848474646</v>
      </c>
      <c r="CD1429" s="2">
        <v>17.952686994973298</v>
      </c>
      <c r="CE1429" s="2">
        <v>18.9481833807497</v>
      </c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</row>
    <row r="1430" spans="1:97">
      <c r="A1430" s="2" t="s">
        <v>12811</v>
      </c>
      <c r="B1430" s="2">
        <v>311.25857999999999</v>
      </c>
      <c r="C1430" s="2">
        <v>13.053000000000001</v>
      </c>
      <c r="D1430" s="2" t="s">
        <v>146</v>
      </c>
      <c r="E1430" s="2" t="s">
        <v>12812</v>
      </c>
      <c r="F1430" s="2" t="s">
        <v>12813</v>
      </c>
      <c r="G1430" s="2">
        <v>9988</v>
      </c>
      <c r="H1430" s="3" t="str">
        <f>HYPERLINK("https://cloud.oebiotech.com/#/lm/network/9988", "https://cloud.oebiotech.com/#/lm/network/9988")</f>
        <v>https://cloud.oebiotech.com/#/lm/network/9988</v>
      </c>
      <c r="I1430" s="2"/>
      <c r="J1430" s="2">
        <v>98194</v>
      </c>
      <c r="K1430" s="2" t="s">
        <v>12814</v>
      </c>
      <c r="L1430" s="2">
        <v>56936224</v>
      </c>
      <c r="M1430" s="2"/>
      <c r="N1430" s="2"/>
      <c r="O1430" s="2"/>
      <c r="P1430" s="2"/>
      <c r="Q1430" s="2"/>
      <c r="R1430" s="2"/>
      <c r="S1430" s="2"/>
      <c r="T1430" s="2" t="s">
        <v>12815</v>
      </c>
      <c r="U1430" s="2" t="s">
        <v>12816</v>
      </c>
      <c r="V1430" s="2" t="s">
        <v>338</v>
      </c>
      <c r="W1430" s="2" t="s">
        <v>339</v>
      </c>
      <c r="X1430" s="2" t="s">
        <v>340</v>
      </c>
      <c r="Y1430" s="2" t="s">
        <v>341</v>
      </c>
      <c r="Z1430" s="2" t="s">
        <v>341</v>
      </c>
      <c r="AA1430" s="2" t="s">
        <v>342</v>
      </c>
      <c r="AB1430" s="2" t="s">
        <v>8443</v>
      </c>
      <c r="AC1430" s="2">
        <v>45</v>
      </c>
      <c r="AD1430" s="2">
        <v>87.99</v>
      </c>
      <c r="AE1430" s="2">
        <v>0</v>
      </c>
      <c r="AF1430" s="2" t="s">
        <v>12817</v>
      </c>
      <c r="AG1430" s="2" t="s">
        <v>157</v>
      </c>
      <c r="AH1430" s="2" t="s">
        <v>12818</v>
      </c>
      <c r="AI1430" s="2">
        <v>1.93</v>
      </c>
      <c r="AJ1430" s="2">
        <v>16.750788622201</v>
      </c>
      <c r="AK1430" s="2">
        <v>17.566126376308201</v>
      </c>
      <c r="AL1430" s="2">
        <v>17.938485151437199</v>
      </c>
      <c r="AM1430" s="2">
        <v>17.8493284923936</v>
      </c>
      <c r="AN1430" s="2">
        <v>17.639038372440201</v>
      </c>
      <c r="AO1430" s="2">
        <v>17.5592708742893</v>
      </c>
      <c r="AP1430" s="2">
        <v>17.649521226486002</v>
      </c>
      <c r="AQ1430" s="2">
        <v>16.727222623464801</v>
      </c>
      <c r="AR1430" s="2">
        <v>13.660024870871201</v>
      </c>
      <c r="AS1430" s="2">
        <v>14.0629214085535</v>
      </c>
      <c r="AT1430" s="2">
        <v>15.4569152115556</v>
      </c>
      <c r="AU1430" s="2">
        <v>13.897977772596001</v>
      </c>
      <c r="AV1430" s="2">
        <v>14.575974660417099</v>
      </c>
      <c r="AW1430" s="2">
        <v>13.6572425162651</v>
      </c>
      <c r="AX1430" s="2">
        <v>14.403966001853901</v>
      </c>
      <c r="AY1430" s="2">
        <v>15.0178362419572</v>
      </c>
      <c r="AZ1430" s="2">
        <v>13.8430848622073</v>
      </c>
      <c r="BA1430" s="2">
        <v>15.3976311856773</v>
      </c>
      <c r="BB1430" s="2">
        <v>14.3048910191144</v>
      </c>
      <c r="BC1430" s="2">
        <v>15.3255359530304</v>
      </c>
      <c r="BD1430" s="2">
        <v>14.296636643294899</v>
      </c>
      <c r="BE1430" s="2">
        <v>14.7829337283453</v>
      </c>
      <c r="BF1430" s="2">
        <v>14.2100632444763</v>
      </c>
      <c r="BG1430" s="2">
        <v>13.4919996126046</v>
      </c>
      <c r="BH1430" s="2">
        <v>14.932941361657599</v>
      </c>
      <c r="BI1430" s="2">
        <v>14.474546949618199</v>
      </c>
      <c r="BJ1430" s="2">
        <v>14.067809943668999</v>
      </c>
      <c r="BK1430" s="2">
        <v>15.2073686188049</v>
      </c>
      <c r="BL1430" s="2">
        <v>14.557726344876899</v>
      </c>
      <c r="BM1430" s="2">
        <v>14.868485468662101</v>
      </c>
      <c r="BN1430" s="2">
        <v>12.737792370878299</v>
      </c>
      <c r="BO1430" s="2">
        <v>14.480421655992799</v>
      </c>
      <c r="BP1430" s="2">
        <v>15.358954706288801</v>
      </c>
      <c r="BQ1430" s="2">
        <v>14.5731447837152</v>
      </c>
      <c r="BR1430" s="2">
        <v>14.3254916834174</v>
      </c>
      <c r="BS1430" s="2">
        <v>14.507936450349501</v>
      </c>
      <c r="BT1430" s="2">
        <v>15.483167388503899</v>
      </c>
      <c r="BU1430" s="2">
        <v>15.5021909749148</v>
      </c>
      <c r="BV1430" s="2">
        <v>14.636198069833</v>
      </c>
      <c r="BW1430" s="2">
        <v>14.368131279278099</v>
      </c>
      <c r="BX1430" s="2">
        <v>13.9475154907893</v>
      </c>
      <c r="BY1430" s="2">
        <v>15.667871341024499</v>
      </c>
      <c r="BZ1430" s="2">
        <v>15.324631669950699</v>
      </c>
      <c r="CA1430" s="2">
        <v>15.047748904796499</v>
      </c>
      <c r="CB1430" s="2">
        <v>15.0708576212418</v>
      </c>
      <c r="CC1430" s="2">
        <v>15.2908781439557</v>
      </c>
      <c r="CD1430" s="2">
        <v>15.2418699693434</v>
      </c>
      <c r="CE1430" s="2">
        <v>15.236751948924001</v>
      </c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</row>
    <row r="1431" spans="1:97">
      <c r="A1431" s="2" t="s">
        <v>12819</v>
      </c>
      <c r="B1431" s="2">
        <v>212.08264</v>
      </c>
      <c r="C1431" s="2">
        <v>4.5810000000000004</v>
      </c>
      <c r="D1431" s="2" t="s">
        <v>84</v>
      </c>
      <c r="E1431" s="2" t="s">
        <v>12820</v>
      </c>
      <c r="F1431" s="2" t="s">
        <v>12821</v>
      </c>
      <c r="G1431" s="2">
        <v>209093</v>
      </c>
      <c r="H1431" s="3" t="str">
        <f>HYPERLINK("https://cloud.oebiotech.com/#/lm/network/209093", "https://cloud.oebiotech.com/#/lm/network/209093")</f>
        <v>https://cloud.oebiotech.com/#/lm/network/209093</v>
      </c>
      <c r="I1431" s="2" t="s">
        <v>12822</v>
      </c>
      <c r="J1431" s="2"/>
      <c r="K1431" s="2"/>
      <c r="L1431" s="2">
        <v>162980</v>
      </c>
      <c r="M1431" s="2"/>
      <c r="N1431" s="2"/>
      <c r="O1431" s="2"/>
      <c r="P1431" s="2"/>
      <c r="Q1431" s="2"/>
      <c r="R1431" s="2"/>
      <c r="S1431" s="2"/>
      <c r="T1431" s="2" t="s">
        <v>12823</v>
      </c>
      <c r="U1431" s="2" t="s">
        <v>12824</v>
      </c>
      <c r="V1431" s="2" t="s">
        <v>553</v>
      </c>
      <c r="W1431" s="2" t="s">
        <v>2447</v>
      </c>
      <c r="X1431" s="2" t="s">
        <v>12825</v>
      </c>
      <c r="Y1431" s="2" t="s">
        <v>556</v>
      </c>
      <c r="Z1431" s="2" t="s">
        <v>2449</v>
      </c>
      <c r="AA1431" s="2" t="s">
        <v>12826</v>
      </c>
      <c r="AB1431" s="2" t="s">
        <v>8443</v>
      </c>
      <c r="AC1431" s="2">
        <v>45</v>
      </c>
      <c r="AD1431" s="2">
        <v>92.14</v>
      </c>
      <c r="AE1431" s="2">
        <v>0</v>
      </c>
      <c r="AF1431" s="2" t="s">
        <v>5614</v>
      </c>
      <c r="AG1431" s="2" t="s">
        <v>1088</v>
      </c>
      <c r="AH1431" s="2" t="s">
        <v>12827</v>
      </c>
      <c r="AI1431" s="2">
        <v>-0.94</v>
      </c>
      <c r="AJ1431" s="2">
        <v>18.696955168759601</v>
      </c>
      <c r="AK1431" s="2">
        <v>19.1072271919153</v>
      </c>
      <c r="AL1431" s="2">
        <v>18.975897970554598</v>
      </c>
      <c r="AM1431" s="2">
        <v>19.1180053832875</v>
      </c>
      <c r="AN1431" s="2">
        <v>19.132667806662202</v>
      </c>
      <c r="AO1431" s="2">
        <v>19.189740240625699</v>
      </c>
      <c r="AP1431" s="2">
        <v>19.100981137084201</v>
      </c>
      <c r="AQ1431" s="2">
        <v>19.3164788280179</v>
      </c>
      <c r="AR1431" s="2">
        <v>9.6233145402724691</v>
      </c>
      <c r="AS1431" s="2">
        <v>9.6233145402724691</v>
      </c>
      <c r="AT1431" s="2">
        <v>18.647995458313002</v>
      </c>
      <c r="AU1431" s="2">
        <v>19.593567345369301</v>
      </c>
      <c r="AV1431" s="2">
        <v>18.678260179433199</v>
      </c>
      <c r="AW1431" s="2">
        <v>18.4945757727494</v>
      </c>
      <c r="AX1431" s="2">
        <v>19.380812259868001</v>
      </c>
      <c r="AY1431" s="2">
        <v>19.012001523091602</v>
      </c>
      <c r="AZ1431" s="2">
        <v>19.445354069591101</v>
      </c>
      <c r="BA1431" s="2">
        <v>18.406093287246801</v>
      </c>
      <c r="BB1431" s="2">
        <v>17.675056721135999</v>
      </c>
      <c r="BC1431" s="2">
        <v>19.016300810578102</v>
      </c>
      <c r="BD1431" s="2">
        <v>19.764673232442799</v>
      </c>
      <c r="BE1431" s="2">
        <v>19.7997971232538</v>
      </c>
      <c r="BF1431" s="2">
        <v>19.9022470580761</v>
      </c>
      <c r="BG1431" s="2">
        <v>16.264127892709901</v>
      </c>
      <c r="BH1431" s="2">
        <v>19.148651099192399</v>
      </c>
      <c r="BI1431" s="2">
        <v>19.290416947420798</v>
      </c>
      <c r="BJ1431" s="2">
        <v>9.6233145402724691</v>
      </c>
      <c r="BK1431" s="2">
        <v>18.959417495508202</v>
      </c>
      <c r="BL1431" s="2">
        <v>18.782235548005598</v>
      </c>
      <c r="BM1431" s="2">
        <v>20.365237458466101</v>
      </c>
      <c r="BN1431" s="2">
        <v>18.9534650403738</v>
      </c>
      <c r="BO1431" s="2">
        <v>19.2575799166769</v>
      </c>
      <c r="BP1431" s="2">
        <v>19.395483113581701</v>
      </c>
      <c r="BQ1431" s="2">
        <v>19.074463169497299</v>
      </c>
      <c r="BR1431" s="2">
        <v>13.786269627648499</v>
      </c>
      <c r="BS1431" s="2">
        <v>19.346789445128401</v>
      </c>
      <c r="BT1431" s="2">
        <v>16.629302825405102</v>
      </c>
      <c r="BU1431" s="2">
        <v>19.4432668142016</v>
      </c>
      <c r="BV1431" s="2">
        <v>17.778199141890401</v>
      </c>
      <c r="BW1431" s="2">
        <v>17.220728509843699</v>
      </c>
      <c r="BX1431" s="2">
        <v>20.219000260369501</v>
      </c>
      <c r="BY1431" s="2">
        <v>20.284246393825299</v>
      </c>
      <c r="BZ1431" s="2">
        <v>16.924584513429998</v>
      </c>
      <c r="CA1431" s="2">
        <v>14.475459226998799</v>
      </c>
      <c r="CB1431" s="2">
        <v>14.6294716030283</v>
      </c>
      <c r="CC1431" s="2">
        <v>19.5168510050921</v>
      </c>
      <c r="CD1431" s="2">
        <v>19.372209387941901</v>
      </c>
      <c r="CE1431" s="2">
        <v>19.344559106390601</v>
      </c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</row>
    <row r="1432" spans="1:97">
      <c r="A1432" s="2" t="s">
        <v>12828</v>
      </c>
      <c r="B1432" s="2">
        <v>86.096760000000003</v>
      </c>
      <c r="C1432" s="2">
        <v>0.91</v>
      </c>
      <c r="D1432" s="2" t="s">
        <v>84</v>
      </c>
      <c r="E1432" s="2" t="s">
        <v>12829</v>
      </c>
      <c r="F1432" s="2" t="s">
        <v>12830</v>
      </c>
      <c r="G1432" s="2">
        <v>205419</v>
      </c>
      <c r="H1432" s="3" t="str">
        <f>HYPERLINK("https://cloud.oebiotech.com/#/lm/network/205419", "https://cloud.oebiotech.com/#/lm/network/205419")</f>
        <v>https://cloud.oebiotech.com/#/lm/network/205419</v>
      </c>
      <c r="I1432" s="2" t="s">
        <v>12831</v>
      </c>
      <c r="J1432" s="2">
        <v>342243</v>
      </c>
      <c r="K1432" s="2"/>
      <c r="L1432" s="2">
        <v>2906</v>
      </c>
      <c r="M1432" s="2"/>
      <c r="N1432" s="2"/>
      <c r="O1432" s="2"/>
      <c r="P1432" s="2"/>
      <c r="Q1432" s="2"/>
      <c r="R1432" s="2"/>
      <c r="S1432" s="2"/>
      <c r="T1432" s="2" t="s">
        <v>12832</v>
      </c>
      <c r="U1432" s="2" t="s">
        <v>12833</v>
      </c>
      <c r="V1432" s="2" t="s">
        <v>166</v>
      </c>
      <c r="W1432" s="2" t="s">
        <v>167</v>
      </c>
      <c r="X1432" s="2" t="s">
        <v>482</v>
      </c>
      <c r="Y1432" s="2" t="s">
        <v>169</v>
      </c>
      <c r="Z1432" s="2" t="s">
        <v>169</v>
      </c>
      <c r="AA1432" s="2" t="s">
        <v>483</v>
      </c>
      <c r="AB1432" s="2" t="s">
        <v>5118</v>
      </c>
      <c r="AC1432" s="2">
        <v>44.99</v>
      </c>
      <c r="AD1432" s="2">
        <v>99.81</v>
      </c>
      <c r="AE1432" s="2">
        <v>49.09</v>
      </c>
      <c r="AF1432" s="2" t="s">
        <v>12834</v>
      </c>
      <c r="AG1432" s="2" t="s">
        <v>103</v>
      </c>
      <c r="AH1432" s="2" t="s">
        <v>12835</v>
      </c>
      <c r="AI1432" s="2">
        <v>-3.83</v>
      </c>
      <c r="AJ1432" s="2">
        <v>27.630845305789499</v>
      </c>
      <c r="AK1432" s="2">
        <v>27.828258160530801</v>
      </c>
      <c r="AL1432" s="2">
        <v>27.963920110944901</v>
      </c>
      <c r="AM1432" s="2">
        <v>27.871543879507598</v>
      </c>
      <c r="AN1432" s="2">
        <v>28.0115305191914</v>
      </c>
      <c r="AO1432" s="2">
        <v>27.4257298322166</v>
      </c>
      <c r="AP1432" s="2">
        <v>27.8850538928879</v>
      </c>
      <c r="AQ1432" s="2">
        <v>27.660565918047801</v>
      </c>
      <c r="AR1432" s="2">
        <v>27.301603489502199</v>
      </c>
      <c r="AS1432" s="2">
        <v>26.7162543256118</v>
      </c>
      <c r="AT1432" s="2">
        <v>27.0807160623689</v>
      </c>
      <c r="AU1432" s="2">
        <v>27.644311116442701</v>
      </c>
      <c r="AV1432" s="2">
        <v>28.229125087610001</v>
      </c>
      <c r="AW1432" s="2">
        <v>28.088326411381999</v>
      </c>
      <c r="AX1432" s="2">
        <v>27.460670727456598</v>
      </c>
      <c r="AY1432" s="2">
        <v>27.455441135547101</v>
      </c>
      <c r="AZ1432" s="2">
        <v>27.804167724753601</v>
      </c>
      <c r="BA1432" s="2">
        <v>27.125082319816599</v>
      </c>
      <c r="BB1432" s="2">
        <v>28.2401297042001</v>
      </c>
      <c r="BC1432" s="2">
        <v>27.903204430100701</v>
      </c>
      <c r="BD1432" s="2">
        <v>27.067874640139699</v>
      </c>
      <c r="BE1432" s="2">
        <v>28.123651247777001</v>
      </c>
      <c r="BF1432" s="2">
        <v>26.522927311321599</v>
      </c>
      <c r="BG1432" s="2">
        <v>27.121948411882901</v>
      </c>
      <c r="BH1432" s="2">
        <v>27.938472984313101</v>
      </c>
      <c r="BI1432" s="2">
        <v>27.2614778924852</v>
      </c>
      <c r="BJ1432" s="2">
        <v>28.264535579854702</v>
      </c>
      <c r="BK1432" s="2">
        <v>27.519703538235099</v>
      </c>
      <c r="BL1432" s="2">
        <v>27.2780674022762</v>
      </c>
      <c r="BM1432" s="2">
        <v>28.890435305771501</v>
      </c>
      <c r="BN1432" s="2">
        <v>27.904199798819999</v>
      </c>
      <c r="BO1432" s="2">
        <v>27.2780493907612</v>
      </c>
      <c r="BP1432" s="2">
        <v>27.257529531813599</v>
      </c>
      <c r="BQ1432" s="2">
        <v>28.361498328372601</v>
      </c>
      <c r="BR1432" s="2">
        <v>27.967241439082301</v>
      </c>
      <c r="BS1432" s="2">
        <v>27.767184910390501</v>
      </c>
      <c r="BT1432" s="2">
        <v>27.036969107562001</v>
      </c>
      <c r="BU1432" s="2">
        <v>27.6208226346603</v>
      </c>
      <c r="BV1432" s="2">
        <v>27.9721281225235</v>
      </c>
      <c r="BW1432" s="2">
        <v>27.223593781278002</v>
      </c>
      <c r="BX1432" s="2">
        <v>28.386445251036399</v>
      </c>
      <c r="BY1432" s="2">
        <v>28.269169394793</v>
      </c>
      <c r="BZ1432" s="2">
        <v>28.545228056420299</v>
      </c>
      <c r="CA1432" s="2">
        <v>28.1244817331695</v>
      </c>
      <c r="CB1432" s="2">
        <v>27.195163475484499</v>
      </c>
      <c r="CC1432" s="2">
        <v>27.393310030110001</v>
      </c>
      <c r="CD1432" s="2">
        <v>28.185501902911799</v>
      </c>
      <c r="CE1432" s="2">
        <v>27.780878055629302</v>
      </c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</row>
    <row r="1433" spans="1:97">
      <c r="A1433" s="2" t="s">
        <v>12836</v>
      </c>
      <c r="B1433" s="2">
        <v>319.07929999999999</v>
      </c>
      <c r="C1433" s="2">
        <v>8.1300000000000008</v>
      </c>
      <c r="D1433" s="2" t="s">
        <v>146</v>
      </c>
      <c r="E1433" s="2" t="s">
        <v>12837</v>
      </c>
      <c r="F1433" s="2" t="s">
        <v>12838</v>
      </c>
      <c r="G1433" s="2">
        <v>55503</v>
      </c>
      <c r="H1433" s="3" t="str">
        <f>HYPERLINK("https://cloud.oebiotech.com/#/lm/network/55503", "https://cloud.oebiotech.com/#/lm/network/55503")</f>
        <v>https://cloud.oebiotech.com/#/lm/network/55503</v>
      </c>
      <c r="I1433" s="2" t="s">
        <v>12839</v>
      </c>
      <c r="J1433" s="2">
        <v>87176</v>
      </c>
      <c r="K1433" s="2"/>
      <c r="L1433" s="2">
        <v>131751080</v>
      </c>
      <c r="M1433" s="2"/>
      <c r="N1433" s="2"/>
      <c r="O1433" s="2"/>
      <c r="P1433" s="2">
        <v>174603</v>
      </c>
      <c r="Q1433" s="2"/>
      <c r="R1433" s="2"/>
      <c r="S1433" s="2" t="s">
        <v>12840</v>
      </c>
      <c r="T1433" s="2" t="s">
        <v>12841</v>
      </c>
      <c r="U1433" s="2" t="s">
        <v>12842</v>
      </c>
      <c r="V1433" s="2" t="s">
        <v>845</v>
      </c>
      <c r="W1433" s="2" t="s">
        <v>12843</v>
      </c>
      <c r="X1433" s="2" t="s">
        <v>375</v>
      </c>
      <c r="Y1433" s="2" t="s">
        <v>847</v>
      </c>
      <c r="Z1433" s="2" t="s">
        <v>12844</v>
      </c>
      <c r="AA1433" s="2"/>
      <c r="AB1433" s="2" t="s">
        <v>3086</v>
      </c>
      <c r="AC1433" s="2">
        <v>44.98</v>
      </c>
      <c r="AD1433" s="2">
        <v>89.83</v>
      </c>
      <c r="AE1433" s="2">
        <v>0</v>
      </c>
      <c r="AF1433" s="2" t="s">
        <v>5614</v>
      </c>
      <c r="AG1433" s="2" t="s">
        <v>157</v>
      </c>
      <c r="AH1433" s="2" t="s">
        <v>12845</v>
      </c>
      <c r="AI1433" s="2">
        <v>9.4</v>
      </c>
      <c r="AJ1433" s="2">
        <v>17.6614732600625</v>
      </c>
      <c r="AK1433" s="2">
        <v>17.0961419151912</v>
      </c>
      <c r="AL1433" s="2">
        <v>17.679961444443698</v>
      </c>
      <c r="AM1433" s="2">
        <v>17.615203227805299</v>
      </c>
      <c r="AN1433" s="2">
        <v>17.358495131689899</v>
      </c>
      <c r="AO1433" s="2">
        <v>17.6157365248494</v>
      </c>
      <c r="AP1433" s="2">
        <v>17.4712171558558</v>
      </c>
      <c r="AQ1433" s="2">
        <v>17.592586969745302</v>
      </c>
      <c r="AR1433" s="2">
        <v>17.1546332123547</v>
      </c>
      <c r="AS1433" s="2">
        <v>17.397051875117999</v>
      </c>
      <c r="AT1433" s="2">
        <v>17.524580049886701</v>
      </c>
      <c r="AU1433" s="2">
        <v>17.704898569821601</v>
      </c>
      <c r="AV1433" s="2">
        <v>17.762143620300101</v>
      </c>
      <c r="AW1433" s="2">
        <v>17.5677404391182</v>
      </c>
      <c r="AX1433" s="2">
        <v>17.091759121642699</v>
      </c>
      <c r="AY1433" s="2">
        <v>17.327406507671199</v>
      </c>
      <c r="AZ1433" s="2">
        <v>17.552052284384299</v>
      </c>
      <c r="BA1433" s="2">
        <v>17.635822963544701</v>
      </c>
      <c r="BB1433" s="2">
        <v>17.851121556103301</v>
      </c>
      <c r="BC1433" s="2">
        <v>17.702862652596899</v>
      </c>
      <c r="BD1433" s="2">
        <v>17.434352940059402</v>
      </c>
      <c r="BE1433" s="2">
        <v>17.7418348288451</v>
      </c>
      <c r="BF1433" s="2">
        <v>17.815825063533602</v>
      </c>
      <c r="BG1433" s="2">
        <v>17.6018921248433</v>
      </c>
      <c r="BH1433" s="2">
        <v>17.6603014603043</v>
      </c>
      <c r="BI1433" s="2">
        <v>17.3226128250706</v>
      </c>
      <c r="BJ1433" s="2">
        <v>17.471051838015899</v>
      </c>
      <c r="BK1433" s="2">
        <v>17.417005206787302</v>
      </c>
      <c r="BL1433" s="2">
        <v>17.476365152414498</v>
      </c>
      <c r="BM1433" s="2">
        <v>16.9630168422491</v>
      </c>
      <c r="BN1433" s="2">
        <v>17.809741316536499</v>
      </c>
      <c r="BO1433" s="2">
        <v>17.373547282112799</v>
      </c>
      <c r="BP1433" s="2">
        <v>17.586887348391802</v>
      </c>
      <c r="BQ1433" s="2">
        <v>16.892147059999001</v>
      </c>
      <c r="BR1433" s="2">
        <v>17.354687672436601</v>
      </c>
      <c r="BS1433" s="2">
        <v>17.075892118657301</v>
      </c>
      <c r="BT1433" s="2">
        <v>17.662505732187999</v>
      </c>
      <c r="BU1433" s="2">
        <v>17.502599683999801</v>
      </c>
      <c r="BV1433" s="2">
        <v>17.6497517100298</v>
      </c>
      <c r="BW1433" s="2">
        <v>17.599558181576601</v>
      </c>
      <c r="BX1433" s="2">
        <v>17.4879966898425</v>
      </c>
      <c r="BY1433" s="2">
        <v>17.692585059309401</v>
      </c>
      <c r="BZ1433" s="2">
        <v>17.547948927654001</v>
      </c>
      <c r="CA1433" s="2">
        <v>17.6265359584274</v>
      </c>
      <c r="CB1433" s="2">
        <v>17.359204432357199</v>
      </c>
      <c r="CC1433" s="2">
        <v>17.692826469522</v>
      </c>
      <c r="CD1433" s="2">
        <v>17.4415283331765</v>
      </c>
      <c r="CE1433" s="2">
        <v>17.174065276786099</v>
      </c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</row>
    <row r="1434" spans="1:97">
      <c r="A1434" s="2" t="s">
        <v>12846</v>
      </c>
      <c r="B1434" s="2">
        <v>367.06394</v>
      </c>
      <c r="C1434" s="2">
        <v>4.9489999999999998</v>
      </c>
      <c r="D1434" s="2" t="s">
        <v>146</v>
      </c>
      <c r="E1434" s="2" t="s">
        <v>12847</v>
      </c>
      <c r="F1434" s="2" t="s">
        <v>12848</v>
      </c>
      <c r="G1434" s="2">
        <v>61892</v>
      </c>
      <c r="H1434" s="3" t="str">
        <f>HYPERLINK("https://cloud.oebiotech.com/#/lm/network/61892", "https://cloud.oebiotech.com/#/lm/network/61892")</f>
        <v>https://cloud.oebiotech.com/#/lm/network/61892</v>
      </c>
      <c r="I1434" s="2" t="s">
        <v>12849</v>
      </c>
      <c r="J1434" s="2">
        <v>93192</v>
      </c>
      <c r="K1434" s="2"/>
      <c r="L1434" s="2">
        <v>131752387</v>
      </c>
      <c r="M1434" s="2"/>
      <c r="N1434" s="2"/>
      <c r="O1434" s="2"/>
      <c r="P1434" s="2">
        <v>168042</v>
      </c>
      <c r="Q1434" s="2"/>
      <c r="R1434" s="2"/>
      <c r="S1434" s="2"/>
      <c r="T1434" s="2" t="s">
        <v>12850</v>
      </c>
      <c r="U1434" s="2" t="s">
        <v>12851</v>
      </c>
      <c r="V1434" s="2" t="s">
        <v>115</v>
      </c>
      <c r="W1434" s="2" t="s">
        <v>116</v>
      </c>
      <c r="X1434" s="2" t="s">
        <v>117</v>
      </c>
      <c r="Y1434" s="2" t="s">
        <v>118</v>
      </c>
      <c r="Z1434" s="2" t="s">
        <v>119</v>
      </c>
      <c r="AA1434" s="2" t="s">
        <v>120</v>
      </c>
      <c r="AB1434" s="2" t="s">
        <v>5118</v>
      </c>
      <c r="AC1434" s="2">
        <v>44.98</v>
      </c>
      <c r="AD1434" s="2">
        <v>85.14</v>
      </c>
      <c r="AE1434" s="2">
        <v>49.68</v>
      </c>
      <c r="AF1434" s="2" t="s">
        <v>12852</v>
      </c>
      <c r="AG1434" s="2" t="s">
        <v>157</v>
      </c>
      <c r="AH1434" s="2" t="s">
        <v>12853</v>
      </c>
      <c r="AI1434" s="2">
        <v>0</v>
      </c>
      <c r="AJ1434" s="2">
        <v>17.3322205984582</v>
      </c>
      <c r="AK1434" s="2">
        <v>17.160252374224001</v>
      </c>
      <c r="AL1434" s="2">
        <v>17.063108325579599</v>
      </c>
      <c r="AM1434" s="2">
        <v>17.312802761980301</v>
      </c>
      <c r="AN1434" s="2">
        <v>17.380518729799402</v>
      </c>
      <c r="AO1434" s="2">
        <v>17.0438473268911</v>
      </c>
      <c r="AP1434" s="2">
        <v>17.149381259916002</v>
      </c>
      <c r="AQ1434" s="2">
        <v>17.262094386450901</v>
      </c>
      <c r="AR1434" s="2">
        <v>16.010135122520101</v>
      </c>
      <c r="AS1434" s="2">
        <v>15.927741394335699</v>
      </c>
      <c r="AT1434" s="2">
        <v>16.127487790022499</v>
      </c>
      <c r="AU1434" s="2">
        <v>17.670866649851401</v>
      </c>
      <c r="AV1434" s="2">
        <v>16.164753757867299</v>
      </c>
      <c r="AW1434" s="2">
        <v>16.663088145597399</v>
      </c>
      <c r="AX1434" s="2">
        <v>15.3953483644665</v>
      </c>
      <c r="AY1434" s="2">
        <v>14.0867267198912</v>
      </c>
      <c r="AZ1434" s="2">
        <v>15.9151943187701</v>
      </c>
      <c r="BA1434" s="2">
        <v>18.1727996789269</v>
      </c>
      <c r="BB1434" s="2">
        <v>18.1207771264054</v>
      </c>
      <c r="BC1434" s="2">
        <v>17.948797304245499</v>
      </c>
      <c r="BD1434" s="2">
        <v>17.860607321677598</v>
      </c>
      <c r="BE1434" s="2">
        <v>16.4985673636819</v>
      </c>
      <c r="BF1434" s="2">
        <v>16.8558687988914</v>
      </c>
      <c r="BG1434" s="2">
        <v>16.808547324408</v>
      </c>
      <c r="BH1434" s="2">
        <v>17.827026372861599</v>
      </c>
      <c r="BI1434" s="2">
        <v>15.2213624378492</v>
      </c>
      <c r="BJ1434" s="2">
        <v>18.451820384953301</v>
      </c>
      <c r="BK1434" s="2">
        <v>18.370224487183201</v>
      </c>
      <c r="BL1434" s="2">
        <v>17.110806061229798</v>
      </c>
      <c r="BM1434" s="2">
        <v>16.982555028367599</v>
      </c>
      <c r="BN1434" s="2">
        <v>17.505641470340599</v>
      </c>
      <c r="BO1434" s="2">
        <v>17.6169639465462</v>
      </c>
      <c r="BP1434" s="2">
        <v>15.4288626204831</v>
      </c>
      <c r="BQ1434" s="2">
        <v>15.765241803865999</v>
      </c>
      <c r="BR1434" s="2">
        <v>15.5647178441747</v>
      </c>
      <c r="BS1434" s="2">
        <v>15.558177632639699</v>
      </c>
      <c r="BT1434" s="2">
        <v>18.578013653634802</v>
      </c>
      <c r="BU1434" s="2">
        <v>17.978506526845099</v>
      </c>
      <c r="BV1434" s="2">
        <v>17.550306170135599</v>
      </c>
      <c r="BW1434" s="2">
        <v>16.545287892401799</v>
      </c>
      <c r="BX1434" s="2">
        <v>17.649549574088802</v>
      </c>
      <c r="BY1434" s="2">
        <v>16.869847675670499</v>
      </c>
      <c r="BZ1434" s="2">
        <v>15.591320432272999</v>
      </c>
      <c r="CA1434" s="2">
        <v>16.663905505512702</v>
      </c>
      <c r="CB1434" s="2">
        <v>16.746781180343</v>
      </c>
      <c r="CC1434" s="2">
        <v>15.586701421431799</v>
      </c>
      <c r="CD1434" s="2">
        <v>17.946133080763399</v>
      </c>
      <c r="CE1434" s="2">
        <v>18.362633532708099</v>
      </c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</row>
    <row r="1435" spans="1:97">
      <c r="A1435" s="2" t="s">
        <v>12854</v>
      </c>
      <c r="B1435" s="2">
        <v>338.26605999999998</v>
      </c>
      <c r="C1435" s="2">
        <v>9.9160000000000004</v>
      </c>
      <c r="D1435" s="2" t="s">
        <v>84</v>
      </c>
      <c r="E1435" s="2" t="s">
        <v>12855</v>
      </c>
      <c r="F1435" s="2" t="s">
        <v>12856</v>
      </c>
      <c r="G1435" s="2">
        <v>207945</v>
      </c>
      <c r="H1435" s="3" t="str">
        <f>HYPERLINK("https://cloud.oebiotech.com/#/lm/network/207945", "https://cloud.oebiotech.com/#/lm/network/207945")</f>
        <v>https://cloud.oebiotech.com/#/lm/network/207945</v>
      </c>
      <c r="I1435" s="2" t="s">
        <v>12857</v>
      </c>
      <c r="J1435" s="2"/>
      <c r="K1435" s="2"/>
      <c r="L1435" s="2">
        <v>73678322</v>
      </c>
      <c r="M1435" s="2"/>
      <c r="N1435" s="2"/>
      <c r="O1435" s="2"/>
      <c r="P1435" s="2"/>
      <c r="Q1435" s="2"/>
      <c r="R1435" s="2"/>
      <c r="S1435" s="2"/>
      <c r="T1435" s="2" t="s">
        <v>12858</v>
      </c>
      <c r="U1435" s="2" t="s">
        <v>12859</v>
      </c>
      <c r="V1435" s="2" t="s">
        <v>95</v>
      </c>
      <c r="W1435" s="2" t="s">
        <v>180</v>
      </c>
      <c r="X1435" s="2" t="s">
        <v>3643</v>
      </c>
      <c r="Y1435" s="2" t="s">
        <v>98</v>
      </c>
      <c r="Z1435" s="2" t="s">
        <v>182</v>
      </c>
      <c r="AA1435" s="2" t="s">
        <v>3644</v>
      </c>
      <c r="AB1435" s="2" t="s">
        <v>3086</v>
      </c>
      <c r="AC1435" s="2">
        <v>44.98</v>
      </c>
      <c r="AD1435" s="2">
        <v>86.53</v>
      </c>
      <c r="AE1435" s="2">
        <v>0</v>
      </c>
      <c r="AF1435" s="2" t="s">
        <v>5614</v>
      </c>
      <c r="AG1435" s="2" t="s">
        <v>132</v>
      </c>
      <c r="AH1435" s="2" t="s">
        <v>11384</v>
      </c>
      <c r="AI1435" s="2">
        <v>8.57</v>
      </c>
      <c r="AJ1435" s="2">
        <v>20.115956834872598</v>
      </c>
      <c r="AK1435" s="2">
        <v>20.069370988522099</v>
      </c>
      <c r="AL1435" s="2">
        <v>20.236860569439401</v>
      </c>
      <c r="AM1435" s="2">
        <v>20.328432439036899</v>
      </c>
      <c r="AN1435" s="2">
        <v>20.331235077496402</v>
      </c>
      <c r="AO1435" s="2">
        <v>20.1153968945234</v>
      </c>
      <c r="AP1435" s="2">
        <v>20.2540585941247</v>
      </c>
      <c r="AQ1435" s="2">
        <v>19.677000743572702</v>
      </c>
      <c r="AR1435" s="2">
        <v>20.2790011761243</v>
      </c>
      <c r="AS1435" s="2">
        <v>20.212081901838602</v>
      </c>
      <c r="AT1435" s="2">
        <v>19.832829532934898</v>
      </c>
      <c r="AU1435" s="2">
        <v>19.850598987382501</v>
      </c>
      <c r="AV1435" s="2">
        <v>20.367180149608</v>
      </c>
      <c r="AW1435" s="2">
        <v>20.337810967212899</v>
      </c>
      <c r="AX1435" s="2">
        <v>20.099772403151601</v>
      </c>
      <c r="AY1435" s="2">
        <v>20.2795380609173</v>
      </c>
      <c r="AZ1435" s="2">
        <v>19.582044192935999</v>
      </c>
      <c r="BA1435" s="2">
        <v>19.8780249657121</v>
      </c>
      <c r="BB1435" s="2">
        <v>20.2333641714281</v>
      </c>
      <c r="BC1435" s="2">
        <v>19.534733690874098</v>
      </c>
      <c r="BD1435" s="2">
        <v>20.1944787898376</v>
      </c>
      <c r="BE1435" s="2">
        <v>20.5971421571222</v>
      </c>
      <c r="BF1435" s="2">
        <v>20.069512847767701</v>
      </c>
      <c r="BG1435" s="2">
        <v>20.1512319689738</v>
      </c>
      <c r="BH1435" s="2">
        <v>20.078258561669301</v>
      </c>
      <c r="BI1435" s="2">
        <v>20.153421861973001</v>
      </c>
      <c r="BJ1435" s="2">
        <v>20.2103211495556</v>
      </c>
      <c r="BK1435" s="2">
        <v>20.084057151828102</v>
      </c>
      <c r="BL1435" s="2">
        <v>20.103153125826299</v>
      </c>
      <c r="BM1435" s="2">
        <v>19.6856637267372</v>
      </c>
      <c r="BN1435" s="2">
        <v>20.1553461083112</v>
      </c>
      <c r="BO1435" s="2">
        <v>19.6774388528884</v>
      </c>
      <c r="BP1435" s="2">
        <v>19.4555118884142</v>
      </c>
      <c r="BQ1435" s="2">
        <v>19.626523000520201</v>
      </c>
      <c r="BR1435" s="2">
        <v>20.231736315193299</v>
      </c>
      <c r="BS1435" s="2">
        <v>20.455197434771101</v>
      </c>
      <c r="BT1435" s="2">
        <v>20.370391596417701</v>
      </c>
      <c r="BU1435" s="2">
        <v>19.851698677584199</v>
      </c>
      <c r="BV1435" s="2">
        <v>20.0117580004483</v>
      </c>
      <c r="BW1435" s="2">
        <v>19.419047612566601</v>
      </c>
      <c r="BX1435" s="2">
        <v>20.381212016094601</v>
      </c>
      <c r="BY1435" s="2">
        <v>20.2925375328497</v>
      </c>
      <c r="BZ1435" s="2">
        <v>20.244817579362199</v>
      </c>
      <c r="CA1435" s="2">
        <v>20.133083346785099</v>
      </c>
      <c r="CB1435" s="2">
        <v>19.989705847852001</v>
      </c>
      <c r="CC1435" s="2">
        <v>20.185766173500799</v>
      </c>
      <c r="CD1435" s="2">
        <v>20.183939585507598</v>
      </c>
      <c r="CE1435" s="2">
        <v>20.0913336229805</v>
      </c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</row>
    <row r="1436" spans="1:97">
      <c r="A1436" s="2" t="s">
        <v>12860</v>
      </c>
      <c r="B1436" s="2">
        <v>341.22188</v>
      </c>
      <c r="C1436" s="2">
        <v>5.04</v>
      </c>
      <c r="D1436" s="2" t="s">
        <v>84</v>
      </c>
      <c r="E1436" s="2" t="s">
        <v>12861</v>
      </c>
      <c r="F1436" s="2" t="s">
        <v>12862</v>
      </c>
      <c r="G1436" s="2">
        <v>55178</v>
      </c>
      <c r="H1436" s="3" t="str">
        <f>HYPERLINK("https://cloud.oebiotech.com/#/lm/network/55178", "https://cloud.oebiotech.com/#/lm/network/55178")</f>
        <v>https://cloud.oebiotech.com/#/lm/network/55178</v>
      </c>
      <c r="I1436" s="2" t="s">
        <v>12863</v>
      </c>
      <c r="J1436" s="2">
        <v>86912</v>
      </c>
      <c r="K1436" s="2"/>
      <c r="L1436" s="2">
        <v>131751006</v>
      </c>
      <c r="M1436" s="2"/>
      <c r="N1436" s="2"/>
      <c r="O1436" s="2"/>
      <c r="P1436" s="2"/>
      <c r="Q1436" s="2"/>
      <c r="R1436" s="2"/>
      <c r="S1436" s="2"/>
      <c r="T1436" s="2" t="s">
        <v>12864</v>
      </c>
      <c r="U1436" s="2" t="s">
        <v>12865</v>
      </c>
      <c r="V1436" s="2" t="s">
        <v>374</v>
      </c>
      <c r="W1436" s="2" t="s">
        <v>12866</v>
      </c>
      <c r="X1436" s="2" t="s">
        <v>375</v>
      </c>
      <c r="Y1436" s="2" t="s">
        <v>376</v>
      </c>
      <c r="Z1436" s="2" t="s">
        <v>12867</v>
      </c>
      <c r="AA1436" s="2"/>
      <c r="AB1436" s="2" t="s">
        <v>8443</v>
      </c>
      <c r="AC1436" s="2">
        <v>44.97</v>
      </c>
      <c r="AD1436" s="2">
        <v>86.84</v>
      </c>
      <c r="AE1436" s="2">
        <v>0</v>
      </c>
      <c r="AF1436" s="2" t="s">
        <v>5614</v>
      </c>
      <c r="AG1436" s="2" t="s">
        <v>103</v>
      </c>
      <c r="AH1436" s="2" t="s">
        <v>12868</v>
      </c>
      <c r="AI1436" s="2">
        <v>1.47</v>
      </c>
      <c r="AJ1436" s="2">
        <v>17.164331379366001</v>
      </c>
      <c r="AK1436" s="2">
        <v>17.464581644967001</v>
      </c>
      <c r="AL1436" s="2">
        <v>17.483373840149401</v>
      </c>
      <c r="AM1436" s="2">
        <v>17.486345059836001</v>
      </c>
      <c r="AN1436" s="2">
        <v>16.623182486722101</v>
      </c>
      <c r="AO1436" s="2">
        <v>17.7213649821717</v>
      </c>
      <c r="AP1436" s="2">
        <v>17.1900424366241</v>
      </c>
      <c r="AQ1436" s="2">
        <v>17.714288454379599</v>
      </c>
      <c r="AR1436" s="2">
        <v>17.486040409391499</v>
      </c>
      <c r="AS1436" s="2">
        <v>17.574020844093901</v>
      </c>
      <c r="AT1436" s="2">
        <v>17.472722962581699</v>
      </c>
      <c r="AU1436" s="2">
        <v>17.097036781163698</v>
      </c>
      <c r="AV1436" s="2">
        <v>17.333524364635199</v>
      </c>
      <c r="AW1436" s="2">
        <v>17.699187098472599</v>
      </c>
      <c r="AX1436" s="2">
        <v>17.412561494788701</v>
      </c>
      <c r="AY1436" s="2">
        <v>17.718351524433299</v>
      </c>
      <c r="AZ1436" s="2">
        <v>17.252421698394699</v>
      </c>
      <c r="BA1436" s="2">
        <v>17.1080532211401</v>
      </c>
      <c r="BB1436" s="2">
        <v>17.302293433064399</v>
      </c>
      <c r="BC1436" s="2">
        <v>17.718605784909201</v>
      </c>
      <c r="BD1436" s="2">
        <v>17.132190533215901</v>
      </c>
      <c r="BE1436" s="2">
        <v>16.719593236389699</v>
      </c>
      <c r="BF1436" s="2">
        <v>17.309139159790998</v>
      </c>
      <c r="BG1436" s="2">
        <v>17.3467147283014</v>
      </c>
      <c r="BH1436" s="2">
        <v>17.482559672851998</v>
      </c>
      <c r="BI1436" s="2">
        <v>17.532621124590499</v>
      </c>
      <c r="BJ1436" s="2">
        <v>16.598700694695399</v>
      </c>
      <c r="BK1436" s="2">
        <v>17.161067306761101</v>
      </c>
      <c r="BL1436" s="2">
        <v>16.964929008961999</v>
      </c>
      <c r="BM1436" s="2">
        <v>17.2262311671596</v>
      </c>
      <c r="BN1436" s="2">
        <v>17.347886296210199</v>
      </c>
      <c r="BO1436" s="2">
        <v>17.793719190120498</v>
      </c>
      <c r="BP1436" s="2">
        <v>17.227741996996102</v>
      </c>
      <c r="BQ1436" s="2">
        <v>17.396659630377201</v>
      </c>
      <c r="BR1436" s="2">
        <v>17.083259395145401</v>
      </c>
      <c r="BS1436" s="2">
        <v>17.529953289967899</v>
      </c>
      <c r="BT1436" s="2">
        <v>17.1900478397284</v>
      </c>
      <c r="BU1436" s="2">
        <v>17.256713631888999</v>
      </c>
      <c r="BV1436" s="2">
        <v>17.284456784221199</v>
      </c>
      <c r="BW1436" s="2">
        <v>17.2585828713677</v>
      </c>
      <c r="BX1436" s="2">
        <v>16.922185069892699</v>
      </c>
      <c r="BY1436" s="2">
        <v>17.818506972745102</v>
      </c>
      <c r="BZ1436" s="2">
        <v>17.494655300422899</v>
      </c>
      <c r="CA1436" s="2">
        <v>16.454314235924802</v>
      </c>
      <c r="CB1436" s="2">
        <v>16.7667292114918</v>
      </c>
      <c r="CC1436" s="2">
        <v>17.511999978184601</v>
      </c>
      <c r="CD1436" s="2">
        <v>17.413656023755799</v>
      </c>
      <c r="CE1436" s="2">
        <v>17.284047521106501</v>
      </c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</row>
    <row r="1437" spans="1:97">
      <c r="A1437" s="2" t="s">
        <v>12869</v>
      </c>
      <c r="B1437" s="2">
        <v>621.12928999999997</v>
      </c>
      <c r="C1437" s="2">
        <v>0.80100000000000005</v>
      </c>
      <c r="D1437" s="2" t="s">
        <v>146</v>
      </c>
      <c r="E1437" s="2" t="s">
        <v>12870</v>
      </c>
      <c r="F1437" s="2" t="s">
        <v>12871</v>
      </c>
      <c r="G1437" s="2">
        <v>61177</v>
      </c>
      <c r="H1437" s="3" t="str">
        <f>HYPERLINK("https://cloud.oebiotech.com/#/lm/network/61177", "https://cloud.oebiotech.com/#/lm/network/61177")</f>
        <v>https://cloud.oebiotech.com/#/lm/network/61177</v>
      </c>
      <c r="I1437" s="2" t="s">
        <v>12872</v>
      </c>
      <c r="J1437" s="2">
        <v>92495</v>
      </c>
      <c r="K1437" s="2"/>
      <c r="L1437" s="2">
        <v>131751663</v>
      </c>
      <c r="M1437" s="2"/>
      <c r="N1437" s="2"/>
      <c r="O1437" s="2"/>
      <c r="P1437" s="2"/>
      <c r="Q1437" s="2"/>
      <c r="R1437" s="2"/>
      <c r="S1437" s="2" t="s">
        <v>12873</v>
      </c>
      <c r="T1437" s="2" t="s">
        <v>12874</v>
      </c>
      <c r="U1437" s="2" t="s">
        <v>12875</v>
      </c>
      <c r="V1437" s="2" t="s">
        <v>845</v>
      </c>
      <c r="W1437" s="2" t="s">
        <v>1853</v>
      </c>
      <c r="X1437" s="2" t="s">
        <v>11645</v>
      </c>
      <c r="Y1437" s="2" t="s">
        <v>847</v>
      </c>
      <c r="Z1437" s="2" t="s">
        <v>1855</v>
      </c>
      <c r="AA1437" s="2" t="s">
        <v>11646</v>
      </c>
      <c r="AB1437" s="2" t="s">
        <v>5118</v>
      </c>
      <c r="AC1437" s="2">
        <v>44.91</v>
      </c>
      <c r="AD1437" s="2">
        <v>85.74</v>
      </c>
      <c r="AE1437" s="2">
        <v>87.89</v>
      </c>
      <c r="AF1437" s="2" t="s">
        <v>12876</v>
      </c>
      <c r="AG1437" s="2" t="s">
        <v>157</v>
      </c>
      <c r="AH1437" s="2" t="s">
        <v>12877</v>
      </c>
      <c r="AI1437" s="2">
        <v>-6.92</v>
      </c>
      <c r="AJ1437" s="2">
        <v>22.518016024169</v>
      </c>
      <c r="AK1437" s="2">
        <v>22.559567468417001</v>
      </c>
      <c r="AL1437" s="2">
        <v>22.5413309931225</v>
      </c>
      <c r="AM1437" s="2">
        <v>22.661393432613899</v>
      </c>
      <c r="AN1437" s="2">
        <v>22.377259991357999</v>
      </c>
      <c r="AO1437" s="2">
        <v>22.390510616838299</v>
      </c>
      <c r="AP1437" s="2">
        <v>22.428082937312901</v>
      </c>
      <c r="AQ1437" s="2">
        <v>22.518286016962499</v>
      </c>
      <c r="AR1437" s="2">
        <v>22.381641260647299</v>
      </c>
      <c r="AS1437" s="2">
        <v>22.328156511374001</v>
      </c>
      <c r="AT1437" s="2">
        <v>22.279767122231501</v>
      </c>
      <c r="AU1437" s="2">
        <v>23.210778469818798</v>
      </c>
      <c r="AV1437" s="2">
        <v>22.0224535693904</v>
      </c>
      <c r="AW1437" s="2">
        <v>22.253177481679899</v>
      </c>
      <c r="AX1437" s="2">
        <v>21.5733360905854</v>
      </c>
      <c r="AY1437" s="2">
        <v>22.563629359231498</v>
      </c>
      <c r="AZ1437" s="2">
        <v>22.059135001530699</v>
      </c>
      <c r="BA1437" s="2">
        <v>21.504586003949001</v>
      </c>
      <c r="BB1437" s="2">
        <v>22.918875544925999</v>
      </c>
      <c r="BC1437" s="2">
        <v>24.013537327056</v>
      </c>
      <c r="BD1437" s="2">
        <v>22.9631112778609</v>
      </c>
      <c r="BE1437" s="2">
        <v>22.536229070883198</v>
      </c>
      <c r="BF1437" s="2">
        <v>22.732005359943798</v>
      </c>
      <c r="BG1437" s="2">
        <v>22.1723347074707</v>
      </c>
      <c r="BH1437" s="2">
        <v>22.0584674128994</v>
      </c>
      <c r="BI1437" s="2">
        <v>22.337888859863</v>
      </c>
      <c r="BJ1437" s="2">
        <v>22.2684881425436</v>
      </c>
      <c r="BK1437" s="2">
        <v>22.457793191156199</v>
      </c>
      <c r="BL1437" s="2">
        <v>22.5231075440235</v>
      </c>
      <c r="BM1437" s="2">
        <v>23.692433836008799</v>
      </c>
      <c r="BN1437" s="2">
        <v>22.163262378049701</v>
      </c>
      <c r="BO1437" s="2">
        <v>21.810225942672801</v>
      </c>
      <c r="BP1437" s="2">
        <v>21.416972040103101</v>
      </c>
      <c r="BQ1437" s="2">
        <v>22.486517195332102</v>
      </c>
      <c r="BR1437" s="2">
        <v>22.3180779444648</v>
      </c>
      <c r="BS1437" s="2">
        <v>21.7366538563803</v>
      </c>
      <c r="BT1437" s="2">
        <v>22.2617163652383</v>
      </c>
      <c r="BU1437" s="2">
        <v>22.4650991811959</v>
      </c>
      <c r="BV1437" s="2">
        <v>22.7446854826565</v>
      </c>
      <c r="BW1437" s="2">
        <v>23.337460081092001</v>
      </c>
      <c r="BX1437" s="2">
        <v>22.8562547599841</v>
      </c>
      <c r="BY1437" s="2">
        <v>21.9450609833752</v>
      </c>
      <c r="BZ1437" s="2">
        <v>22.974246995252798</v>
      </c>
      <c r="CA1437" s="2">
        <v>22.074442602693601</v>
      </c>
      <c r="CB1437" s="2">
        <v>21.8467826874151</v>
      </c>
      <c r="CC1437" s="2">
        <v>22.256001442439899</v>
      </c>
      <c r="CD1437" s="2">
        <v>20.683084915548601</v>
      </c>
      <c r="CE1437" s="2">
        <v>21.873530584179498</v>
      </c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</row>
    <row r="1438" spans="1:97">
      <c r="A1438" s="2" t="s">
        <v>12878</v>
      </c>
      <c r="B1438" s="2">
        <v>319.16469000000001</v>
      </c>
      <c r="C1438" s="2">
        <v>4.4880000000000004</v>
      </c>
      <c r="D1438" s="2" t="s">
        <v>84</v>
      </c>
      <c r="E1438" s="2" t="s">
        <v>12879</v>
      </c>
      <c r="F1438" s="2" t="s">
        <v>12880</v>
      </c>
      <c r="G1438" s="2">
        <v>203769</v>
      </c>
      <c r="H1438" s="3" t="str">
        <f>HYPERLINK("https://cloud.oebiotech.com/#/lm/network/203769", "https://cloud.oebiotech.com/#/lm/network/203769")</f>
        <v>https://cloud.oebiotech.com/#/lm/network/203769</v>
      </c>
      <c r="I1438" s="2" t="s">
        <v>12881</v>
      </c>
      <c r="J1438" s="2"/>
      <c r="K1438" s="2"/>
      <c r="L1438" s="2">
        <v>53462658</v>
      </c>
      <c r="M1438" s="2"/>
      <c r="N1438" s="2"/>
      <c r="O1438" s="2"/>
      <c r="P1438" s="2"/>
      <c r="Q1438" s="2"/>
      <c r="R1438" s="2"/>
      <c r="S1438" s="2"/>
      <c r="T1438" s="2" t="s">
        <v>12882</v>
      </c>
      <c r="U1438" s="2" t="s">
        <v>12883</v>
      </c>
      <c r="V1438" s="2" t="s">
        <v>374</v>
      </c>
      <c r="W1438" s="2" t="s">
        <v>12884</v>
      </c>
      <c r="X1438" s="2" t="s">
        <v>12885</v>
      </c>
      <c r="Y1438" s="2" t="s">
        <v>376</v>
      </c>
      <c r="Z1438" s="2" t="s">
        <v>12886</v>
      </c>
      <c r="AA1438" s="2" t="s">
        <v>12887</v>
      </c>
      <c r="AB1438" s="2" t="s">
        <v>8443</v>
      </c>
      <c r="AC1438" s="2">
        <v>44.9</v>
      </c>
      <c r="AD1438" s="2">
        <v>97.37</v>
      </c>
      <c r="AE1438" s="2">
        <v>37.479999999999997</v>
      </c>
      <c r="AF1438" s="2" t="s">
        <v>12888</v>
      </c>
      <c r="AG1438" s="2" t="s">
        <v>132</v>
      </c>
      <c r="AH1438" s="2" t="s">
        <v>12889</v>
      </c>
      <c r="AI1438" s="2">
        <v>1.57</v>
      </c>
      <c r="AJ1438" s="2">
        <v>19.739034615840001</v>
      </c>
      <c r="AK1438" s="2">
        <v>19.808106826854601</v>
      </c>
      <c r="AL1438" s="2">
        <v>19.667386135265801</v>
      </c>
      <c r="AM1438" s="2">
        <v>19.675378379719898</v>
      </c>
      <c r="AN1438" s="2">
        <v>19.508113287119802</v>
      </c>
      <c r="AO1438" s="2">
        <v>19.629308873848199</v>
      </c>
      <c r="AP1438" s="2">
        <v>19.651793003631301</v>
      </c>
      <c r="AQ1438" s="2">
        <v>19.7121729397421</v>
      </c>
      <c r="AR1438" s="2">
        <v>20.077412956685102</v>
      </c>
      <c r="AS1438" s="2">
        <v>18.658298454174801</v>
      </c>
      <c r="AT1438" s="2">
        <v>18.257602842304198</v>
      </c>
      <c r="AU1438" s="2">
        <v>20.399226137651102</v>
      </c>
      <c r="AV1438" s="2">
        <v>19.058144762035099</v>
      </c>
      <c r="AW1438" s="2">
        <v>19.494925841366602</v>
      </c>
      <c r="AX1438" s="2">
        <v>18.453044672663399</v>
      </c>
      <c r="AY1438" s="2">
        <v>18.679892671082499</v>
      </c>
      <c r="AZ1438" s="2">
        <v>19.8984731431946</v>
      </c>
      <c r="BA1438" s="2">
        <v>19.062235698296401</v>
      </c>
      <c r="BB1438" s="2">
        <v>20.242402519036801</v>
      </c>
      <c r="BC1438" s="2">
        <v>20.931808923935598</v>
      </c>
      <c r="BD1438" s="2">
        <v>16.655945449544401</v>
      </c>
      <c r="BE1438" s="2">
        <v>18.8243063444204</v>
      </c>
      <c r="BF1438" s="2">
        <v>18.9231025401095</v>
      </c>
      <c r="BG1438" s="2">
        <v>21.546404418221201</v>
      </c>
      <c r="BH1438" s="2">
        <v>20.027077460313599</v>
      </c>
      <c r="BI1438" s="2">
        <v>19.867535166606501</v>
      </c>
      <c r="BJ1438" s="2">
        <v>18.139289836224801</v>
      </c>
      <c r="BK1438" s="2">
        <v>19.973665503224598</v>
      </c>
      <c r="BL1438" s="2">
        <v>19.184466733512799</v>
      </c>
      <c r="BM1438" s="2">
        <v>18.4239407680613</v>
      </c>
      <c r="BN1438" s="2">
        <v>19.3944553675686</v>
      </c>
      <c r="BO1438" s="2">
        <v>20.991731287873701</v>
      </c>
      <c r="BP1438" s="2">
        <v>19.597514916124599</v>
      </c>
      <c r="BQ1438" s="2">
        <v>18.678922761901401</v>
      </c>
      <c r="BR1438" s="2">
        <v>16.9185395074342</v>
      </c>
      <c r="BS1438" s="2">
        <v>18.152498659569801</v>
      </c>
      <c r="BT1438" s="2">
        <v>16.329512037913702</v>
      </c>
      <c r="BU1438" s="2">
        <v>18.2128228431229</v>
      </c>
      <c r="BV1438" s="2">
        <v>17.605296406055</v>
      </c>
      <c r="BW1438" s="2">
        <v>18.727566496031098</v>
      </c>
      <c r="BX1438" s="2">
        <v>17.0939833274597</v>
      </c>
      <c r="BY1438" s="2">
        <v>19.217566493795399</v>
      </c>
      <c r="BZ1438" s="2">
        <v>19.5911907144575</v>
      </c>
      <c r="CA1438" s="2">
        <v>19.556999658895698</v>
      </c>
      <c r="CB1438" s="2">
        <v>19.523867608930299</v>
      </c>
      <c r="CC1438" s="2">
        <v>17.956859591456698</v>
      </c>
      <c r="CD1438" s="2">
        <v>18.386915160906099</v>
      </c>
      <c r="CE1438" s="2">
        <v>20.749603818078398</v>
      </c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</row>
    <row r="1439" spans="1:97">
      <c r="A1439" s="2" t="s">
        <v>12890</v>
      </c>
      <c r="B1439" s="2">
        <v>367.13038999999998</v>
      </c>
      <c r="C1439" s="2">
        <v>7.5359999999999996</v>
      </c>
      <c r="D1439" s="2" t="s">
        <v>146</v>
      </c>
      <c r="E1439" s="2" t="s">
        <v>12891</v>
      </c>
      <c r="F1439" s="2" t="s">
        <v>12892</v>
      </c>
      <c r="G1439" s="2">
        <v>64929</v>
      </c>
      <c r="H1439" s="3" t="str">
        <f>HYPERLINK("https://cloud.oebiotech.com/#/lm/network/64929", "https://cloud.oebiotech.com/#/lm/network/64929")</f>
        <v>https://cloud.oebiotech.com/#/lm/network/64929</v>
      </c>
      <c r="I1439" s="2" t="s">
        <v>12893</v>
      </c>
      <c r="J1439" s="2">
        <v>96176</v>
      </c>
      <c r="K1439" s="2"/>
      <c r="L1439" s="2">
        <v>3824</v>
      </c>
      <c r="M1439" s="2"/>
      <c r="N1439" s="2"/>
      <c r="O1439" s="2"/>
      <c r="P1439" s="2">
        <v>31749</v>
      </c>
      <c r="Q1439" s="2"/>
      <c r="R1439" s="2"/>
      <c r="S1439" s="2" t="s">
        <v>12894</v>
      </c>
      <c r="T1439" s="2" t="s">
        <v>12895</v>
      </c>
      <c r="U1439" s="2" t="s">
        <v>12896</v>
      </c>
      <c r="V1439" s="2" t="s">
        <v>385</v>
      </c>
      <c r="W1439" s="2" t="s">
        <v>386</v>
      </c>
      <c r="X1439" s="2" t="s">
        <v>375</v>
      </c>
      <c r="Y1439" s="2" t="s">
        <v>388</v>
      </c>
      <c r="Z1439" s="2" t="s">
        <v>389</v>
      </c>
      <c r="AA1439" s="2"/>
      <c r="AB1439" s="2" t="s">
        <v>8443</v>
      </c>
      <c r="AC1439" s="2">
        <v>44.88</v>
      </c>
      <c r="AD1439" s="2">
        <v>86.89</v>
      </c>
      <c r="AE1439" s="2">
        <v>0</v>
      </c>
      <c r="AF1439" s="2" t="s">
        <v>5614</v>
      </c>
      <c r="AG1439" s="2" t="s">
        <v>157</v>
      </c>
      <c r="AH1439" s="2" t="s">
        <v>12897</v>
      </c>
      <c r="AI1439" s="2">
        <v>-1.36</v>
      </c>
      <c r="AJ1439" s="2">
        <v>18.688015647177298</v>
      </c>
      <c r="AK1439" s="2">
        <v>18.768188396310499</v>
      </c>
      <c r="AL1439" s="2">
        <v>18.753365694424399</v>
      </c>
      <c r="AM1439" s="2">
        <v>19.202693435450801</v>
      </c>
      <c r="AN1439" s="2">
        <v>18.839533299624001</v>
      </c>
      <c r="AO1439" s="2">
        <v>19.110267099385599</v>
      </c>
      <c r="AP1439" s="2">
        <v>19.188614946607601</v>
      </c>
      <c r="AQ1439" s="2">
        <v>19.2442643388443</v>
      </c>
      <c r="AR1439" s="2">
        <v>17.387824150460698</v>
      </c>
      <c r="AS1439" s="2">
        <v>9.6233145402724691</v>
      </c>
      <c r="AT1439" s="2">
        <v>16.371183962845802</v>
      </c>
      <c r="AU1439" s="2">
        <v>17.888742535540199</v>
      </c>
      <c r="AV1439" s="2">
        <v>19.708191126744602</v>
      </c>
      <c r="AW1439" s="2">
        <v>19.200026127282499</v>
      </c>
      <c r="AX1439" s="2">
        <v>19.156176768212799</v>
      </c>
      <c r="AY1439" s="2">
        <v>19.099994954632201</v>
      </c>
      <c r="AZ1439" s="2">
        <v>18.538536534381901</v>
      </c>
      <c r="BA1439" s="2">
        <v>18.388740133994101</v>
      </c>
      <c r="BB1439" s="2">
        <v>17.767469042996002</v>
      </c>
      <c r="BC1439" s="2">
        <v>19.5672703494409</v>
      </c>
      <c r="BD1439" s="2">
        <v>19.064792147122301</v>
      </c>
      <c r="BE1439" s="2">
        <v>19.961946744816299</v>
      </c>
      <c r="BF1439" s="2">
        <v>18.658485107695</v>
      </c>
      <c r="BG1439" s="2">
        <v>18.669521609927099</v>
      </c>
      <c r="BH1439" s="2">
        <v>18.492158165270201</v>
      </c>
      <c r="BI1439" s="2">
        <v>9.6233145402724691</v>
      </c>
      <c r="BJ1439" s="2">
        <v>18.334593876713701</v>
      </c>
      <c r="BK1439" s="2">
        <v>18.7961424899886</v>
      </c>
      <c r="BL1439" s="2">
        <v>17.835823559659801</v>
      </c>
      <c r="BM1439" s="2">
        <v>17.435365299875901</v>
      </c>
      <c r="BN1439" s="2">
        <v>16.890680616507201</v>
      </c>
      <c r="BO1439" s="2">
        <v>18.338726895708799</v>
      </c>
      <c r="BP1439" s="2">
        <v>18.694562139377599</v>
      </c>
      <c r="BQ1439" s="2">
        <v>18.329207355742799</v>
      </c>
      <c r="BR1439" s="2">
        <v>19.4897053212439</v>
      </c>
      <c r="BS1439" s="2">
        <v>19.200997139614</v>
      </c>
      <c r="BT1439" s="2">
        <v>18.1840130529026</v>
      </c>
      <c r="BU1439" s="2">
        <v>17.320280611937999</v>
      </c>
      <c r="BV1439" s="2">
        <v>9.6233145402724691</v>
      </c>
      <c r="BW1439" s="2">
        <v>19.2236687815615</v>
      </c>
      <c r="BX1439" s="2">
        <v>19.215264279974001</v>
      </c>
      <c r="BY1439" s="2">
        <v>20.373051740820198</v>
      </c>
      <c r="BZ1439" s="2">
        <v>18.447839988843501</v>
      </c>
      <c r="CA1439" s="2">
        <v>17.634902349916999</v>
      </c>
      <c r="CB1439" s="2">
        <v>19.0031909705503</v>
      </c>
      <c r="CC1439" s="2">
        <v>16.312573499738701</v>
      </c>
      <c r="CD1439" s="2">
        <v>18.7064522417256</v>
      </c>
      <c r="CE1439" s="2">
        <v>19.5225652107362</v>
      </c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</row>
    <row r="1440" spans="1:97">
      <c r="A1440" s="2" t="s">
        <v>12898</v>
      </c>
      <c r="B1440" s="2">
        <v>581.32023000000004</v>
      </c>
      <c r="C1440" s="2">
        <v>10.234</v>
      </c>
      <c r="D1440" s="2" t="s">
        <v>146</v>
      </c>
      <c r="E1440" s="2" t="s">
        <v>12899</v>
      </c>
      <c r="F1440" s="2" t="s">
        <v>12900</v>
      </c>
      <c r="G1440" s="2">
        <v>45796</v>
      </c>
      <c r="H1440" s="3" t="str">
        <f>HYPERLINK("https://cloud.oebiotech.com/#/lm/network/45796", "https://cloud.oebiotech.com/#/lm/network/45796")</f>
        <v>https://cloud.oebiotech.com/#/lm/network/45796</v>
      </c>
      <c r="I1440" s="2"/>
      <c r="J1440" s="2"/>
      <c r="K1440" s="2" t="s">
        <v>12901</v>
      </c>
      <c r="L1440" s="2">
        <v>10995190</v>
      </c>
      <c r="M1440" s="2"/>
      <c r="N1440" s="2"/>
      <c r="O1440" s="2"/>
      <c r="P1440" s="2"/>
      <c r="Q1440" s="2"/>
      <c r="R1440" s="2"/>
      <c r="S1440" s="2"/>
      <c r="T1440" s="2" t="s">
        <v>12902</v>
      </c>
      <c r="U1440" s="2" t="s">
        <v>12903</v>
      </c>
      <c r="V1440" s="2" t="s">
        <v>95</v>
      </c>
      <c r="W1440" s="2" t="s">
        <v>152</v>
      </c>
      <c r="X1440" s="2" t="s">
        <v>1484</v>
      </c>
      <c r="Y1440" s="2" t="s">
        <v>98</v>
      </c>
      <c r="Z1440" s="2" t="s">
        <v>154</v>
      </c>
      <c r="AA1440" s="2" t="s">
        <v>1485</v>
      </c>
      <c r="AB1440" s="2" t="s">
        <v>5118</v>
      </c>
      <c r="AC1440" s="2">
        <v>44.86</v>
      </c>
      <c r="AD1440" s="2">
        <v>67.86</v>
      </c>
      <c r="AE1440" s="2">
        <v>68.83</v>
      </c>
      <c r="AF1440" s="2" t="s">
        <v>12904</v>
      </c>
      <c r="AG1440" s="2" t="s">
        <v>4062</v>
      </c>
      <c r="AH1440" s="2" t="s">
        <v>12905</v>
      </c>
      <c r="AI1440" s="2">
        <v>8.43</v>
      </c>
      <c r="AJ1440" s="2">
        <v>20.056534882914899</v>
      </c>
      <c r="AK1440" s="2">
        <v>19.958800600705501</v>
      </c>
      <c r="AL1440" s="2">
        <v>19.731637784340101</v>
      </c>
      <c r="AM1440" s="2">
        <v>19.8082274101852</v>
      </c>
      <c r="AN1440" s="2">
        <v>19.8741884049155</v>
      </c>
      <c r="AO1440" s="2">
        <v>19.798348279353402</v>
      </c>
      <c r="AP1440" s="2">
        <v>19.9074548158349</v>
      </c>
      <c r="AQ1440" s="2">
        <v>19.656842788487001</v>
      </c>
      <c r="AR1440" s="2">
        <v>20.265891188370698</v>
      </c>
      <c r="AS1440" s="2">
        <v>18.798584349049101</v>
      </c>
      <c r="AT1440" s="2">
        <v>18.997817692826199</v>
      </c>
      <c r="AU1440" s="2">
        <v>19.735816870714899</v>
      </c>
      <c r="AV1440" s="2">
        <v>20.062763065934401</v>
      </c>
      <c r="AW1440" s="2">
        <v>19.713320071913898</v>
      </c>
      <c r="AX1440" s="2">
        <v>20.0436186256875</v>
      </c>
      <c r="AY1440" s="2">
        <v>19.875368430653399</v>
      </c>
      <c r="AZ1440" s="2">
        <v>19.757783254380598</v>
      </c>
      <c r="BA1440" s="2">
        <v>19.027109569589701</v>
      </c>
      <c r="BB1440" s="2">
        <v>19.4795211564625</v>
      </c>
      <c r="BC1440" s="2">
        <v>20.065640815102501</v>
      </c>
      <c r="BD1440" s="2">
        <v>19.345252849846901</v>
      </c>
      <c r="BE1440" s="2">
        <v>20.326942485666201</v>
      </c>
      <c r="BF1440" s="2">
        <v>19.6919641362703</v>
      </c>
      <c r="BG1440" s="2">
        <v>19.599327274849301</v>
      </c>
      <c r="BH1440" s="2">
        <v>20.001198070131998</v>
      </c>
      <c r="BI1440" s="2">
        <v>19.899253370077101</v>
      </c>
      <c r="BJ1440" s="2">
        <v>19.519431412981799</v>
      </c>
      <c r="BK1440" s="2">
        <v>18.912453978662501</v>
      </c>
      <c r="BL1440" s="2">
        <v>19.728133565434401</v>
      </c>
      <c r="BM1440" s="2">
        <v>20.0542818354254</v>
      </c>
      <c r="BN1440" s="2">
        <v>20.076278295568699</v>
      </c>
      <c r="BO1440" s="2">
        <v>19.492985627530601</v>
      </c>
      <c r="BP1440" s="2">
        <v>19.6872061633727</v>
      </c>
      <c r="BQ1440" s="2">
        <v>19.635561106911901</v>
      </c>
      <c r="BR1440" s="2">
        <v>20.078847469089801</v>
      </c>
      <c r="BS1440" s="2">
        <v>20.2856785951431</v>
      </c>
      <c r="BT1440" s="2">
        <v>19.639461416954799</v>
      </c>
      <c r="BU1440" s="2">
        <v>19.198664138920201</v>
      </c>
      <c r="BV1440" s="2">
        <v>19.604835267442301</v>
      </c>
      <c r="BW1440" s="2">
        <v>19.0553194578995</v>
      </c>
      <c r="BX1440" s="2">
        <v>19.969441301564601</v>
      </c>
      <c r="BY1440" s="2">
        <v>20.713900275142301</v>
      </c>
      <c r="BZ1440" s="2">
        <v>19.6626913554929</v>
      </c>
      <c r="CA1440" s="2">
        <v>20.010722823030701</v>
      </c>
      <c r="CB1440" s="2">
        <v>19.750514259898999</v>
      </c>
      <c r="CC1440" s="2">
        <v>19.392926509804699</v>
      </c>
      <c r="CD1440" s="2">
        <v>19.9986212512894</v>
      </c>
      <c r="CE1440" s="2">
        <v>18.749601764102099</v>
      </c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</row>
    <row r="1441" spans="1:97">
      <c r="A1441" s="2" t="s">
        <v>12906</v>
      </c>
      <c r="B1441" s="2">
        <v>192.10512</v>
      </c>
      <c r="C1441" s="2">
        <v>4.1020000000000003</v>
      </c>
      <c r="D1441" s="2" t="s">
        <v>84</v>
      </c>
      <c r="E1441" s="2" t="s">
        <v>12907</v>
      </c>
      <c r="F1441" s="2" t="s">
        <v>12908</v>
      </c>
      <c r="G1441" s="2">
        <v>205509</v>
      </c>
      <c r="H1441" s="3" t="str">
        <f>HYPERLINK("https://cloud.oebiotech.com/#/lm/network/205509", "https://cloud.oebiotech.com/#/lm/network/205509")</f>
        <v>https://cloud.oebiotech.com/#/lm/network/205509</v>
      </c>
      <c r="I1441" s="2" t="s">
        <v>12909</v>
      </c>
      <c r="J1441" s="2"/>
      <c r="K1441" s="2"/>
      <c r="L1441" s="2">
        <v>2724716</v>
      </c>
      <c r="M1441" s="2"/>
      <c r="N1441" s="2"/>
      <c r="O1441" s="2"/>
      <c r="P1441" s="2"/>
      <c r="Q1441" s="2"/>
      <c r="R1441" s="2"/>
      <c r="S1441" s="2"/>
      <c r="T1441" s="2" t="s">
        <v>12910</v>
      </c>
      <c r="U1441" s="2" t="s">
        <v>12911</v>
      </c>
      <c r="V1441" s="2" t="s">
        <v>115</v>
      </c>
      <c r="W1441" s="2" t="s">
        <v>116</v>
      </c>
      <c r="X1441" s="2" t="s">
        <v>117</v>
      </c>
      <c r="Y1441" s="2" t="s">
        <v>118</v>
      </c>
      <c r="Z1441" s="2" t="s">
        <v>119</v>
      </c>
      <c r="AA1441" s="2" t="s">
        <v>120</v>
      </c>
      <c r="AB1441" s="2" t="s">
        <v>8443</v>
      </c>
      <c r="AC1441" s="2">
        <v>44.85</v>
      </c>
      <c r="AD1441" s="2">
        <v>92.06</v>
      </c>
      <c r="AE1441" s="2">
        <v>40.5</v>
      </c>
      <c r="AF1441" s="2" t="s">
        <v>12912</v>
      </c>
      <c r="AG1441" s="2" t="s">
        <v>103</v>
      </c>
      <c r="AH1441" s="2" t="s">
        <v>12913</v>
      </c>
      <c r="AI1441" s="2">
        <v>1.04</v>
      </c>
      <c r="AJ1441" s="2">
        <v>18.509646517855099</v>
      </c>
      <c r="AK1441" s="2">
        <v>17.776223468135001</v>
      </c>
      <c r="AL1441" s="2">
        <v>18.225095051579199</v>
      </c>
      <c r="AM1441" s="2">
        <v>18.211660241981999</v>
      </c>
      <c r="AN1441" s="2">
        <v>18.295875678211999</v>
      </c>
      <c r="AO1441" s="2">
        <v>18.338192963169501</v>
      </c>
      <c r="AP1441" s="2">
        <v>18.239856742884399</v>
      </c>
      <c r="AQ1441" s="2">
        <v>18.219295976091601</v>
      </c>
      <c r="AR1441" s="2">
        <v>17.5860757481904</v>
      </c>
      <c r="AS1441" s="2">
        <v>17.365540286411001</v>
      </c>
      <c r="AT1441" s="2">
        <v>17.241375538886601</v>
      </c>
      <c r="AU1441" s="2">
        <v>14.1048264088653</v>
      </c>
      <c r="AV1441" s="2">
        <v>17.0254284487843</v>
      </c>
      <c r="AW1441" s="2">
        <v>18.371945147402599</v>
      </c>
      <c r="AX1441" s="2">
        <v>17.768201192484302</v>
      </c>
      <c r="AY1441" s="2">
        <v>18.129812458102201</v>
      </c>
      <c r="AZ1441" s="2">
        <v>14.710121938075201</v>
      </c>
      <c r="BA1441" s="2">
        <v>17.811266557577401</v>
      </c>
      <c r="BB1441" s="2">
        <v>18.651845633456901</v>
      </c>
      <c r="BC1441" s="2">
        <v>18.686842926915201</v>
      </c>
      <c r="BD1441" s="2">
        <v>17.613262786384599</v>
      </c>
      <c r="BE1441" s="2">
        <v>19.343141702131</v>
      </c>
      <c r="BF1441" s="2">
        <v>17.939266643972299</v>
      </c>
      <c r="BG1441" s="2">
        <v>16.331214025328102</v>
      </c>
      <c r="BH1441" s="2">
        <v>17.616333098219499</v>
      </c>
      <c r="BI1441" s="2">
        <v>18.1886707444508</v>
      </c>
      <c r="BJ1441" s="2">
        <v>18.821820995826201</v>
      </c>
      <c r="BK1441" s="2">
        <v>16.522437628488099</v>
      </c>
      <c r="BL1441" s="2">
        <v>17.060421622165698</v>
      </c>
      <c r="BM1441" s="2">
        <v>16.968930547766401</v>
      </c>
      <c r="BN1441" s="2">
        <v>17.479619555722699</v>
      </c>
      <c r="BO1441" s="2">
        <v>16.683872279724898</v>
      </c>
      <c r="BP1441" s="2">
        <v>17.0093738772526</v>
      </c>
      <c r="BQ1441" s="2">
        <v>18.177036777475301</v>
      </c>
      <c r="BR1441" s="2">
        <v>17.842074434019199</v>
      </c>
      <c r="BS1441" s="2">
        <v>17.961270895219801</v>
      </c>
      <c r="BT1441" s="2">
        <v>18.340479731291499</v>
      </c>
      <c r="BU1441" s="2">
        <v>17.695338958406399</v>
      </c>
      <c r="BV1441" s="2">
        <v>17.830968639392999</v>
      </c>
      <c r="BW1441" s="2">
        <v>17.8598352761123</v>
      </c>
      <c r="BX1441" s="2">
        <v>17.242173749164898</v>
      </c>
      <c r="BY1441" s="2">
        <v>19.0530562744379</v>
      </c>
      <c r="BZ1441" s="2">
        <v>18.5248153928354</v>
      </c>
      <c r="CA1441" s="2">
        <v>17.800162733723401</v>
      </c>
      <c r="CB1441" s="2">
        <v>14.941460322459401</v>
      </c>
      <c r="CC1441" s="2">
        <v>18.7365331016723</v>
      </c>
      <c r="CD1441" s="2">
        <v>18.1497147247795</v>
      </c>
      <c r="CE1441" s="2">
        <v>15.1658181412436</v>
      </c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</row>
    <row r="1442" spans="1:97">
      <c r="A1442" s="2" t="s">
        <v>12914</v>
      </c>
      <c r="B1442" s="2">
        <v>385.33163000000002</v>
      </c>
      <c r="C1442" s="2">
        <v>13.196</v>
      </c>
      <c r="D1442" s="2" t="s">
        <v>146</v>
      </c>
      <c r="E1442" s="2" t="s">
        <v>12915</v>
      </c>
      <c r="F1442" s="2" t="s">
        <v>12916</v>
      </c>
      <c r="G1442" s="2">
        <v>93683</v>
      </c>
      <c r="H1442" s="3" t="str">
        <f>HYPERLINK("https://cloud.oebiotech.com/#/lm/network/93683", "https://cloud.oebiotech.com/#/lm/network/93683")</f>
        <v>https://cloud.oebiotech.com/#/lm/network/93683</v>
      </c>
      <c r="I1442" s="2" t="s">
        <v>12917</v>
      </c>
      <c r="J1442" s="2"/>
      <c r="K1442" s="2"/>
      <c r="L1442" s="2">
        <v>131779645</v>
      </c>
      <c r="M1442" s="2"/>
      <c r="N1442" s="2"/>
      <c r="O1442" s="2"/>
      <c r="P1442" s="2"/>
      <c r="Q1442" s="2"/>
      <c r="R1442" s="2"/>
      <c r="S1442" s="2"/>
      <c r="T1442" s="2" t="s">
        <v>12918</v>
      </c>
      <c r="U1442" s="2" t="s">
        <v>12919</v>
      </c>
      <c r="V1442" s="2" t="s">
        <v>95</v>
      </c>
      <c r="W1442" s="2" t="s">
        <v>7709</v>
      </c>
      <c r="X1442" s="2" t="s">
        <v>7710</v>
      </c>
      <c r="Y1442" s="2" t="s">
        <v>98</v>
      </c>
      <c r="Z1442" s="2" t="s">
        <v>7711</v>
      </c>
      <c r="AA1442" s="2" t="s">
        <v>7712</v>
      </c>
      <c r="AB1442" s="2" t="s">
        <v>8443</v>
      </c>
      <c r="AC1442" s="2">
        <v>44.84</v>
      </c>
      <c r="AD1442" s="2">
        <v>85.89</v>
      </c>
      <c r="AE1442" s="2">
        <v>0</v>
      </c>
      <c r="AF1442" s="2" t="s">
        <v>12920</v>
      </c>
      <c r="AG1442" s="2" t="s">
        <v>194</v>
      </c>
      <c r="AH1442" s="2" t="s">
        <v>12921</v>
      </c>
      <c r="AI1442" s="2">
        <v>1.82</v>
      </c>
      <c r="AJ1442" s="2">
        <v>17.378853896917299</v>
      </c>
      <c r="AK1442" s="2">
        <v>17.3651210054073</v>
      </c>
      <c r="AL1442" s="2">
        <v>17.3783339780517</v>
      </c>
      <c r="AM1442" s="2">
        <v>17.233218674784101</v>
      </c>
      <c r="AN1442" s="2">
        <v>17.401716019493101</v>
      </c>
      <c r="AO1442" s="2">
        <v>17.283422465834899</v>
      </c>
      <c r="AP1442" s="2">
        <v>17.438750925400299</v>
      </c>
      <c r="AQ1442" s="2">
        <v>17.026279305725499</v>
      </c>
      <c r="AR1442" s="2">
        <v>17.331161267791501</v>
      </c>
      <c r="AS1442" s="2">
        <v>18.532550282719701</v>
      </c>
      <c r="AT1442" s="2">
        <v>16.411302599126198</v>
      </c>
      <c r="AU1442" s="2">
        <v>15.099042010815699</v>
      </c>
      <c r="AV1442" s="2">
        <v>16.8379466901992</v>
      </c>
      <c r="AW1442" s="2">
        <v>16.275012323519999</v>
      </c>
      <c r="AX1442" s="2">
        <v>17.339248841686398</v>
      </c>
      <c r="AY1442" s="2">
        <v>17.271615489136</v>
      </c>
      <c r="AZ1442" s="2">
        <v>18.2955876177509</v>
      </c>
      <c r="BA1442" s="2">
        <v>17.2340173853311</v>
      </c>
      <c r="BB1442" s="2">
        <v>16.347033389290299</v>
      </c>
      <c r="BC1442" s="2">
        <v>18.0724782852175</v>
      </c>
      <c r="BD1442" s="2">
        <v>16.914299399510998</v>
      </c>
      <c r="BE1442" s="2">
        <v>19.726623467816299</v>
      </c>
      <c r="BF1442" s="2">
        <v>14.3158047978611</v>
      </c>
      <c r="BG1442" s="2">
        <v>16.7088164873763</v>
      </c>
      <c r="BH1442" s="2">
        <v>17.5650250016282</v>
      </c>
      <c r="BI1442" s="2">
        <v>15.453018178879899</v>
      </c>
      <c r="BJ1442" s="2">
        <v>18.2272556288796</v>
      </c>
      <c r="BK1442" s="2">
        <v>16.422143135665699</v>
      </c>
      <c r="BL1442" s="2">
        <v>17.043012540338299</v>
      </c>
      <c r="BM1442" s="2">
        <v>17.672606896745801</v>
      </c>
      <c r="BN1442" s="2">
        <v>16.375160454316202</v>
      </c>
      <c r="BO1442" s="2">
        <v>17.382964313202301</v>
      </c>
      <c r="BP1442" s="2">
        <v>15.7160871592053</v>
      </c>
      <c r="BQ1442" s="2">
        <v>16.4513816167171</v>
      </c>
      <c r="BR1442" s="2">
        <v>15.521309663207701</v>
      </c>
      <c r="BS1442" s="2">
        <v>18.252645246034302</v>
      </c>
      <c r="BT1442" s="2">
        <v>15.6400350363956</v>
      </c>
      <c r="BU1442" s="2">
        <v>19.013394485762198</v>
      </c>
      <c r="BV1442" s="2">
        <v>16.3933043088158</v>
      </c>
      <c r="BW1442" s="2">
        <v>14.930287811121801</v>
      </c>
      <c r="BX1442" s="2">
        <v>16.6586916781045</v>
      </c>
      <c r="BY1442" s="2">
        <v>19.749376512721099</v>
      </c>
      <c r="BZ1442" s="2">
        <v>14.7458675666562</v>
      </c>
      <c r="CA1442" s="2">
        <v>14.6338795760838</v>
      </c>
      <c r="CB1442" s="2">
        <v>16.8737488073685</v>
      </c>
      <c r="CC1442" s="2">
        <v>15.4875257286674</v>
      </c>
      <c r="CD1442" s="2">
        <v>18.729270355728399</v>
      </c>
      <c r="CE1442" s="2">
        <v>16.959432382422101</v>
      </c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</row>
    <row r="1443" spans="1:97">
      <c r="A1443" s="2" t="s">
        <v>12922</v>
      </c>
      <c r="B1443" s="2">
        <v>302.19562999999999</v>
      </c>
      <c r="C1443" s="2">
        <v>4.9039999999999999</v>
      </c>
      <c r="D1443" s="2" t="s">
        <v>84</v>
      </c>
      <c r="E1443" s="2" t="s">
        <v>12923</v>
      </c>
      <c r="F1443" s="2" t="s">
        <v>12924</v>
      </c>
      <c r="G1443" s="2">
        <v>198261</v>
      </c>
      <c r="H1443" s="3" t="str">
        <f>HYPERLINK("https://cloud.oebiotech.com/#/lm/network/198261", "https://cloud.oebiotech.com/#/lm/network/198261")</f>
        <v>https://cloud.oebiotech.com/#/lm/network/198261</v>
      </c>
      <c r="I1443" s="2" t="s">
        <v>12925</v>
      </c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 t="s">
        <v>12926</v>
      </c>
      <c r="U1443" s="2" t="s">
        <v>12927</v>
      </c>
      <c r="V1443" s="2" t="s">
        <v>95</v>
      </c>
      <c r="W1443" s="2" t="s">
        <v>96</v>
      </c>
      <c r="X1443" s="2" t="s">
        <v>97</v>
      </c>
      <c r="Y1443" s="2" t="s">
        <v>98</v>
      </c>
      <c r="Z1443" s="2" t="s">
        <v>99</v>
      </c>
      <c r="AA1443" s="2" t="s">
        <v>100</v>
      </c>
      <c r="AB1443" s="2" t="s">
        <v>8443</v>
      </c>
      <c r="AC1443" s="2">
        <v>44.84</v>
      </c>
      <c r="AD1443" s="2">
        <v>90.2</v>
      </c>
      <c r="AE1443" s="2">
        <v>0</v>
      </c>
      <c r="AF1443" s="2" t="s">
        <v>5614</v>
      </c>
      <c r="AG1443" s="2" t="s">
        <v>103</v>
      </c>
      <c r="AH1443" s="2" t="s">
        <v>12928</v>
      </c>
      <c r="AI1443" s="2">
        <v>1.99</v>
      </c>
      <c r="AJ1443" s="2">
        <v>17.108082531073801</v>
      </c>
      <c r="AK1443" s="2">
        <v>16.838812693466998</v>
      </c>
      <c r="AL1443" s="2">
        <v>16.2348911353868</v>
      </c>
      <c r="AM1443" s="2">
        <v>16.7866680803631</v>
      </c>
      <c r="AN1443" s="2">
        <v>16.6918060742147</v>
      </c>
      <c r="AO1443" s="2">
        <v>16.747351206775299</v>
      </c>
      <c r="AP1443" s="2">
        <v>16.976220860778</v>
      </c>
      <c r="AQ1443" s="2">
        <v>16.842383493194699</v>
      </c>
      <c r="AR1443" s="2">
        <v>14.093415088364599</v>
      </c>
      <c r="AS1443" s="2">
        <v>14.5989201831351</v>
      </c>
      <c r="AT1443" s="2">
        <v>17.200981340062199</v>
      </c>
      <c r="AU1443" s="2">
        <v>9.6233145402724691</v>
      </c>
      <c r="AV1443" s="2">
        <v>14.7076778142736</v>
      </c>
      <c r="AW1443" s="2">
        <v>16.062776831538599</v>
      </c>
      <c r="AX1443" s="2">
        <v>16.434113771879701</v>
      </c>
      <c r="AY1443" s="2">
        <v>16.493781349139901</v>
      </c>
      <c r="AZ1443" s="2">
        <v>14.2530622668211</v>
      </c>
      <c r="BA1443" s="2">
        <v>17.580035705848999</v>
      </c>
      <c r="BB1443" s="2">
        <v>16.998663805422201</v>
      </c>
      <c r="BC1443" s="2">
        <v>18.250444989698099</v>
      </c>
      <c r="BD1443" s="2">
        <v>15.707314910039001</v>
      </c>
      <c r="BE1443" s="2">
        <v>16.336644978810501</v>
      </c>
      <c r="BF1443" s="2">
        <v>15.069429627291299</v>
      </c>
      <c r="BG1443" s="2">
        <v>17.214577534977799</v>
      </c>
      <c r="BH1443" s="2">
        <v>14.3956204857271</v>
      </c>
      <c r="BI1443" s="2">
        <v>17.889229676981302</v>
      </c>
      <c r="BJ1443" s="2">
        <v>16.159134786334601</v>
      </c>
      <c r="BK1443" s="2">
        <v>14.435049690495701</v>
      </c>
      <c r="BL1443" s="2">
        <v>17.3204050824578</v>
      </c>
      <c r="BM1443" s="2">
        <v>15.984192129835799</v>
      </c>
      <c r="BN1443" s="2">
        <v>15.411099146784</v>
      </c>
      <c r="BO1443" s="2">
        <v>17.709927009978099</v>
      </c>
      <c r="BP1443" s="2">
        <v>16.797872494446199</v>
      </c>
      <c r="BQ1443" s="2">
        <v>17.602575784196201</v>
      </c>
      <c r="BR1443" s="2">
        <v>17.304075958977101</v>
      </c>
      <c r="BS1443" s="2">
        <v>9.6233145402724691</v>
      </c>
      <c r="BT1443" s="2">
        <v>17.036684476586998</v>
      </c>
      <c r="BU1443" s="2">
        <v>17.695778551209099</v>
      </c>
      <c r="BV1443" s="2">
        <v>16.3028338115273</v>
      </c>
      <c r="BW1443" s="2">
        <v>16.0953865140924</v>
      </c>
      <c r="BX1443" s="2">
        <v>16.4479809173082</v>
      </c>
      <c r="BY1443" s="2">
        <v>16.549016919140598</v>
      </c>
      <c r="BZ1443" s="2">
        <v>17.374674009380399</v>
      </c>
      <c r="CA1443" s="2">
        <v>17.397108295415102</v>
      </c>
      <c r="CB1443" s="2">
        <v>15.523795933985401</v>
      </c>
      <c r="CC1443" s="2">
        <v>17.5123754381125</v>
      </c>
      <c r="CD1443" s="2">
        <v>14.499957347907101</v>
      </c>
      <c r="CE1443" s="2">
        <v>17.3866275006792</v>
      </c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</row>
    <row r="1444" spans="1:97">
      <c r="A1444" s="2" t="s">
        <v>12929</v>
      </c>
      <c r="B1444" s="2">
        <v>126.09113000000001</v>
      </c>
      <c r="C1444" s="2">
        <v>15.231999999999999</v>
      </c>
      <c r="D1444" s="2" t="s">
        <v>84</v>
      </c>
      <c r="E1444" s="2" t="s">
        <v>12930</v>
      </c>
      <c r="F1444" s="2" t="s">
        <v>12931</v>
      </c>
      <c r="G1444" s="2">
        <v>61697</v>
      </c>
      <c r="H1444" s="3" t="str">
        <f>HYPERLINK("https://cloud.oebiotech.com/#/lm/network/61697", "https://cloud.oebiotech.com/#/lm/network/61697")</f>
        <v>https://cloud.oebiotech.com/#/lm/network/61697</v>
      </c>
      <c r="I1444" s="2" t="s">
        <v>12932</v>
      </c>
      <c r="J1444" s="2">
        <v>93013</v>
      </c>
      <c r="K1444" s="2"/>
      <c r="L1444" s="2">
        <v>18000835</v>
      </c>
      <c r="M1444" s="2"/>
      <c r="N1444" s="2"/>
      <c r="O1444" s="2"/>
      <c r="P1444" s="2"/>
      <c r="Q1444" s="2"/>
      <c r="R1444" s="2"/>
      <c r="S1444" s="2" t="s">
        <v>12933</v>
      </c>
      <c r="T1444" s="2" t="s">
        <v>12934</v>
      </c>
      <c r="U1444" s="2" t="s">
        <v>12935</v>
      </c>
      <c r="V1444" s="2" t="s">
        <v>553</v>
      </c>
      <c r="W1444" s="2" t="s">
        <v>554</v>
      </c>
      <c r="X1444" s="2" t="s">
        <v>10907</v>
      </c>
      <c r="Y1444" s="2" t="s">
        <v>556</v>
      </c>
      <c r="Z1444" s="2" t="s">
        <v>557</v>
      </c>
      <c r="AA1444" s="2" t="s">
        <v>10908</v>
      </c>
      <c r="AB1444" s="2" t="s">
        <v>8443</v>
      </c>
      <c r="AC1444" s="2">
        <v>44.82</v>
      </c>
      <c r="AD1444" s="2">
        <v>95.78</v>
      </c>
      <c r="AE1444" s="2">
        <v>39.06</v>
      </c>
      <c r="AF1444" s="2" t="s">
        <v>12936</v>
      </c>
      <c r="AG1444" s="2" t="s">
        <v>103</v>
      </c>
      <c r="AH1444" s="2" t="s">
        <v>12937</v>
      </c>
      <c r="AI1444" s="2">
        <v>1.59</v>
      </c>
      <c r="AJ1444" s="2">
        <v>21.475144598048601</v>
      </c>
      <c r="AK1444" s="2">
        <v>22.335763412072598</v>
      </c>
      <c r="AL1444" s="2">
        <v>22.406044283224201</v>
      </c>
      <c r="AM1444" s="2">
        <v>22.3955269210696</v>
      </c>
      <c r="AN1444" s="2">
        <v>22.3657346122029</v>
      </c>
      <c r="AO1444" s="2">
        <v>22.431330224789001</v>
      </c>
      <c r="AP1444" s="2">
        <v>22.6499438282497</v>
      </c>
      <c r="AQ1444" s="2">
        <v>22.395451284135</v>
      </c>
      <c r="AR1444" s="2">
        <v>22.093402588895302</v>
      </c>
      <c r="AS1444" s="2">
        <v>22.5382470010722</v>
      </c>
      <c r="AT1444" s="2">
        <v>22.367274893477699</v>
      </c>
      <c r="AU1444" s="2">
        <v>22.143073323238699</v>
      </c>
      <c r="AV1444" s="2">
        <v>22.4952176158471</v>
      </c>
      <c r="AW1444" s="2">
        <v>22.372380298344801</v>
      </c>
      <c r="AX1444" s="2">
        <v>22.451782416029999</v>
      </c>
      <c r="AY1444" s="2">
        <v>22.2814544509455</v>
      </c>
      <c r="AZ1444" s="2">
        <v>22.112974629914099</v>
      </c>
      <c r="BA1444" s="2">
        <v>22.355574147663699</v>
      </c>
      <c r="BB1444" s="2">
        <v>22.450820343264901</v>
      </c>
      <c r="BC1444" s="2">
        <v>22.056803222781799</v>
      </c>
      <c r="BD1444" s="2">
        <v>21.3077287819074</v>
      </c>
      <c r="BE1444" s="2">
        <v>22.392056625026399</v>
      </c>
      <c r="BF1444" s="2">
        <v>22.4216747679239</v>
      </c>
      <c r="BG1444" s="2">
        <v>22.042510348352899</v>
      </c>
      <c r="BH1444" s="2">
        <v>22.259423098258502</v>
      </c>
      <c r="BI1444" s="2">
        <v>22.2628649528422</v>
      </c>
      <c r="BJ1444" s="2">
        <v>22.398310933323899</v>
      </c>
      <c r="BK1444" s="2">
        <v>22.446337597793899</v>
      </c>
      <c r="BL1444" s="2">
        <v>22.562288873712401</v>
      </c>
      <c r="BM1444" s="2">
        <v>22.5051412297349</v>
      </c>
      <c r="BN1444" s="2">
        <v>21.367631005338598</v>
      </c>
      <c r="BO1444" s="2">
        <v>21.197768319700501</v>
      </c>
      <c r="BP1444" s="2">
        <v>22.5336981406716</v>
      </c>
      <c r="BQ1444" s="2">
        <v>22.191487184787899</v>
      </c>
      <c r="BR1444" s="2">
        <v>22.695813372916501</v>
      </c>
      <c r="BS1444" s="2">
        <v>22.327832523934202</v>
      </c>
      <c r="BT1444" s="2">
        <v>22.4392922791837</v>
      </c>
      <c r="BU1444" s="2">
        <v>22.3673148542238</v>
      </c>
      <c r="BV1444" s="2">
        <v>22.304755141827599</v>
      </c>
      <c r="BW1444" s="2">
        <v>22.1777439640849</v>
      </c>
      <c r="BX1444" s="2">
        <v>21.175166013342398</v>
      </c>
      <c r="BY1444" s="2">
        <v>22.448071158964201</v>
      </c>
      <c r="BZ1444" s="2">
        <v>22.692083156861901</v>
      </c>
      <c r="CA1444" s="2">
        <v>22.5451515595846</v>
      </c>
      <c r="CB1444" s="2">
        <v>22.4185096837648</v>
      </c>
      <c r="CC1444" s="2">
        <v>22.371034967169201</v>
      </c>
      <c r="CD1444" s="2">
        <v>22.375120856162201</v>
      </c>
      <c r="CE1444" s="2">
        <v>20.947723080481399</v>
      </c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</row>
    <row r="1445" spans="1:97">
      <c r="A1445" s="2" t="s">
        <v>12938</v>
      </c>
      <c r="B1445" s="2">
        <v>290.20861000000002</v>
      </c>
      <c r="C1445" s="2">
        <v>9.8759999999999994</v>
      </c>
      <c r="D1445" s="2" t="s">
        <v>84</v>
      </c>
      <c r="E1445" s="2" t="s">
        <v>12939</v>
      </c>
      <c r="F1445" s="2" t="s">
        <v>12940</v>
      </c>
      <c r="G1445" s="2">
        <v>8899</v>
      </c>
      <c r="H1445" s="3" t="str">
        <f>HYPERLINK("https://cloud.oebiotech.com/#/lm/network/8899", "https://cloud.oebiotech.com/#/lm/network/8899")</f>
        <v>https://cloud.oebiotech.com/#/lm/network/8899</v>
      </c>
      <c r="I1445" s="2"/>
      <c r="J1445" s="2">
        <v>71921</v>
      </c>
      <c r="K1445" s="2" t="s">
        <v>12941</v>
      </c>
      <c r="L1445" s="2">
        <v>14135317</v>
      </c>
      <c r="M1445" s="2" t="s">
        <v>12942</v>
      </c>
      <c r="N1445" s="2"/>
      <c r="O1445" s="2"/>
      <c r="P1445" s="2">
        <v>81359</v>
      </c>
      <c r="Q1445" s="2"/>
      <c r="R1445" s="2"/>
      <c r="S1445" s="2"/>
      <c r="T1445" s="2" t="s">
        <v>12943</v>
      </c>
      <c r="U1445" s="2" t="s">
        <v>12944</v>
      </c>
      <c r="V1445" s="2" t="s">
        <v>95</v>
      </c>
      <c r="W1445" s="2" t="s">
        <v>96</v>
      </c>
      <c r="X1445" s="2" t="s">
        <v>315</v>
      </c>
      <c r="Y1445" s="2" t="s">
        <v>98</v>
      </c>
      <c r="Z1445" s="2" t="s">
        <v>99</v>
      </c>
      <c r="AA1445" s="2" t="s">
        <v>316</v>
      </c>
      <c r="AB1445" s="2" t="s">
        <v>3086</v>
      </c>
      <c r="AC1445" s="2">
        <v>44.82</v>
      </c>
      <c r="AD1445" s="2">
        <v>88.18</v>
      </c>
      <c r="AE1445" s="2">
        <v>0</v>
      </c>
      <c r="AF1445" s="2" t="s">
        <v>5614</v>
      </c>
      <c r="AG1445" s="2" t="s">
        <v>103</v>
      </c>
      <c r="AH1445" s="2" t="s">
        <v>12945</v>
      </c>
      <c r="AI1445" s="2">
        <v>9.99</v>
      </c>
      <c r="AJ1445" s="2">
        <v>18.060387897175598</v>
      </c>
      <c r="AK1445" s="2">
        <v>18.362790353234502</v>
      </c>
      <c r="AL1445" s="2">
        <v>17.8187237764222</v>
      </c>
      <c r="AM1445" s="2">
        <v>17.915842449906499</v>
      </c>
      <c r="AN1445" s="2">
        <v>17.8450589912105</v>
      </c>
      <c r="AO1445" s="2">
        <v>17.466266092700401</v>
      </c>
      <c r="AP1445" s="2">
        <v>18.056825818345501</v>
      </c>
      <c r="AQ1445" s="2">
        <v>18.391762568856699</v>
      </c>
      <c r="AR1445" s="2">
        <v>17.4796394478984</v>
      </c>
      <c r="AS1445" s="2">
        <v>17.5269964553165</v>
      </c>
      <c r="AT1445" s="2">
        <v>17.499966376479499</v>
      </c>
      <c r="AU1445" s="2">
        <v>17.1963980133043</v>
      </c>
      <c r="AV1445" s="2">
        <v>17.4758473242807</v>
      </c>
      <c r="AW1445" s="2">
        <v>17.760303085580698</v>
      </c>
      <c r="AX1445" s="2">
        <v>17.619747638550798</v>
      </c>
      <c r="AY1445" s="2">
        <v>17.457868033459999</v>
      </c>
      <c r="AZ1445" s="2">
        <v>17.5396005718525</v>
      </c>
      <c r="BA1445" s="2">
        <v>17.178408190436599</v>
      </c>
      <c r="BB1445" s="2">
        <v>18.1773765165679</v>
      </c>
      <c r="BC1445" s="2">
        <v>16.112014463293399</v>
      </c>
      <c r="BD1445" s="2">
        <v>17.729166178935301</v>
      </c>
      <c r="BE1445" s="2">
        <v>17.808298941369301</v>
      </c>
      <c r="BF1445" s="2">
        <v>17.350155172832601</v>
      </c>
      <c r="BG1445" s="2">
        <v>17.140049970439499</v>
      </c>
      <c r="BH1445" s="2">
        <v>17.511791715935999</v>
      </c>
      <c r="BI1445" s="2">
        <v>17.504098173724699</v>
      </c>
      <c r="BJ1445" s="2">
        <v>17.797204215807401</v>
      </c>
      <c r="BK1445" s="2">
        <v>17.433255339955402</v>
      </c>
      <c r="BL1445" s="2">
        <v>17.0765265907784</v>
      </c>
      <c r="BM1445" s="2">
        <v>17.719608275623699</v>
      </c>
      <c r="BN1445" s="2">
        <v>17.389654024023301</v>
      </c>
      <c r="BO1445" s="2">
        <v>17.4883198372485</v>
      </c>
      <c r="BP1445" s="2">
        <v>17.2105142062589</v>
      </c>
      <c r="BQ1445" s="2">
        <v>17.878752937007501</v>
      </c>
      <c r="BR1445" s="2">
        <v>17.851067615987098</v>
      </c>
      <c r="BS1445" s="2">
        <v>17.726145966884399</v>
      </c>
      <c r="BT1445" s="2">
        <v>17.5118401175909</v>
      </c>
      <c r="BU1445" s="2">
        <v>17.685993172114799</v>
      </c>
      <c r="BV1445" s="2">
        <v>17.892188811102798</v>
      </c>
      <c r="BW1445" s="2">
        <v>17.4180798130669</v>
      </c>
      <c r="BX1445" s="2">
        <v>17.670759413614299</v>
      </c>
      <c r="BY1445" s="2">
        <v>17.581039158438301</v>
      </c>
      <c r="BZ1445" s="2">
        <v>17.658353061458499</v>
      </c>
      <c r="CA1445" s="2">
        <v>17.734687197002</v>
      </c>
      <c r="CB1445" s="2">
        <v>17.796507554298699</v>
      </c>
      <c r="CC1445" s="2">
        <v>17.647086869461901</v>
      </c>
      <c r="CD1445" s="2">
        <v>17.4692262067774</v>
      </c>
      <c r="CE1445" s="2">
        <v>17.807229186450499</v>
      </c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</row>
    <row r="1446" spans="1:97">
      <c r="A1446" s="2" t="s">
        <v>12946</v>
      </c>
      <c r="B1446" s="2">
        <v>373.16161</v>
      </c>
      <c r="C1446" s="2">
        <v>9.7100000000000009</v>
      </c>
      <c r="D1446" s="2" t="s">
        <v>84</v>
      </c>
      <c r="E1446" s="2" t="s">
        <v>12947</v>
      </c>
      <c r="F1446" s="2" t="s">
        <v>12948</v>
      </c>
      <c r="G1446" s="2">
        <v>55559</v>
      </c>
      <c r="H1446" s="3" t="str">
        <f>HYPERLINK("https://cloud.oebiotech.com/#/lm/network/55559", "https://cloud.oebiotech.com/#/lm/network/55559")</f>
        <v>https://cloud.oebiotech.com/#/lm/network/55559</v>
      </c>
      <c r="I1446" s="2" t="s">
        <v>12949</v>
      </c>
      <c r="J1446" s="2">
        <v>87216</v>
      </c>
      <c r="K1446" s="2"/>
      <c r="L1446" s="2">
        <v>10067873</v>
      </c>
      <c r="M1446" s="2"/>
      <c r="N1446" s="2"/>
      <c r="O1446" s="2"/>
      <c r="P1446" s="2">
        <v>175784</v>
      </c>
      <c r="Q1446" s="2"/>
      <c r="R1446" s="2"/>
      <c r="S1446" s="2" t="s">
        <v>12950</v>
      </c>
      <c r="T1446" s="2" t="s">
        <v>12951</v>
      </c>
      <c r="U1446" s="2" t="s">
        <v>12952</v>
      </c>
      <c r="V1446" s="2" t="s">
        <v>5297</v>
      </c>
      <c r="W1446" s="2" t="s">
        <v>375</v>
      </c>
      <c r="X1446" s="2" t="s">
        <v>375</v>
      </c>
      <c r="Y1446" s="2" t="s">
        <v>5299</v>
      </c>
      <c r="Z1446" s="2"/>
      <c r="AA1446" s="2"/>
      <c r="AB1446" s="2" t="s">
        <v>3086</v>
      </c>
      <c r="AC1446" s="2">
        <v>44.81</v>
      </c>
      <c r="AD1446" s="2">
        <v>86.15</v>
      </c>
      <c r="AE1446" s="2">
        <v>0</v>
      </c>
      <c r="AF1446" s="2" t="s">
        <v>5614</v>
      </c>
      <c r="AG1446" s="2" t="s">
        <v>103</v>
      </c>
      <c r="AH1446" s="2" t="s">
        <v>12953</v>
      </c>
      <c r="AI1446" s="2">
        <v>8.0399999999999991</v>
      </c>
      <c r="AJ1446" s="2">
        <v>17.055855408244302</v>
      </c>
      <c r="AK1446" s="2">
        <v>17.138074168138498</v>
      </c>
      <c r="AL1446" s="2">
        <v>17.010276984813501</v>
      </c>
      <c r="AM1446" s="2">
        <v>16.859097830346101</v>
      </c>
      <c r="AN1446" s="2">
        <v>17.223867470779599</v>
      </c>
      <c r="AO1446" s="2">
        <v>17.070101128253299</v>
      </c>
      <c r="AP1446" s="2">
        <v>17.115516469147799</v>
      </c>
      <c r="AQ1446" s="2">
        <v>16.238216254073301</v>
      </c>
      <c r="AR1446" s="2">
        <v>15.8320778247192</v>
      </c>
      <c r="AS1446" s="2">
        <v>16.571173719440502</v>
      </c>
      <c r="AT1446" s="2">
        <v>16.852164083443199</v>
      </c>
      <c r="AU1446" s="2">
        <v>16.237228823540701</v>
      </c>
      <c r="AV1446" s="2">
        <v>15.354968001772599</v>
      </c>
      <c r="AW1446" s="2">
        <v>15.4169756108268</v>
      </c>
      <c r="AX1446" s="2">
        <v>14.419135262818299</v>
      </c>
      <c r="AY1446" s="2">
        <v>15.88632412744</v>
      </c>
      <c r="AZ1446" s="2">
        <v>14.777219863916701</v>
      </c>
      <c r="BA1446" s="2">
        <v>16.279342879995301</v>
      </c>
      <c r="BB1446" s="2">
        <v>17.083803190973299</v>
      </c>
      <c r="BC1446" s="2">
        <v>16.584184177089501</v>
      </c>
      <c r="BD1446" s="2">
        <v>17.364491641600999</v>
      </c>
      <c r="BE1446" s="2">
        <v>16.324520748180301</v>
      </c>
      <c r="BF1446" s="2">
        <v>15.8981901626046</v>
      </c>
      <c r="BG1446" s="2">
        <v>16.6249128014009</v>
      </c>
      <c r="BH1446" s="2">
        <v>17.574576084812598</v>
      </c>
      <c r="BI1446" s="2">
        <v>16.6634615117948</v>
      </c>
      <c r="BJ1446" s="2">
        <v>14.454488872680299</v>
      </c>
      <c r="BK1446" s="2">
        <v>17.234767295096901</v>
      </c>
      <c r="BL1446" s="2">
        <v>17.533374222626399</v>
      </c>
      <c r="BM1446" s="2">
        <v>17.335680563893199</v>
      </c>
      <c r="BN1446" s="2">
        <v>17.289380162503601</v>
      </c>
      <c r="BO1446" s="2">
        <v>15.734082961651501</v>
      </c>
      <c r="BP1446" s="2">
        <v>17.100735835087399</v>
      </c>
      <c r="BQ1446" s="2">
        <v>16.797484090807401</v>
      </c>
      <c r="BR1446" s="2">
        <v>16.301033846889698</v>
      </c>
      <c r="BS1446" s="2">
        <v>16.537629439677801</v>
      </c>
      <c r="BT1446" s="2">
        <v>15.905956204401299</v>
      </c>
      <c r="BU1446" s="2">
        <v>16.991302054833302</v>
      </c>
      <c r="BV1446" s="2">
        <v>17.8766609450918</v>
      </c>
      <c r="BW1446" s="2">
        <v>9.6233145402724691</v>
      </c>
      <c r="BX1446" s="2">
        <v>14.0078262061521</v>
      </c>
      <c r="BY1446" s="2">
        <v>17.240437694403202</v>
      </c>
      <c r="BZ1446" s="2">
        <v>15.327390191403101</v>
      </c>
      <c r="CA1446" s="2">
        <v>17.1660737158129</v>
      </c>
      <c r="CB1446" s="2">
        <v>17.2213830195507</v>
      </c>
      <c r="CC1446" s="2">
        <v>15.6985557346742</v>
      </c>
      <c r="CD1446" s="2">
        <v>17.568031659298398</v>
      </c>
      <c r="CE1446" s="2">
        <v>17.348822105441698</v>
      </c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</row>
    <row r="1447" spans="1:97">
      <c r="A1447" s="2" t="s">
        <v>12954</v>
      </c>
      <c r="B1447" s="2">
        <v>327.28984000000003</v>
      </c>
      <c r="C1447" s="2">
        <v>13.891999999999999</v>
      </c>
      <c r="D1447" s="2" t="s">
        <v>146</v>
      </c>
      <c r="E1447" s="2" t="s">
        <v>12955</v>
      </c>
      <c r="F1447" s="2" t="s">
        <v>12956</v>
      </c>
      <c r="G1447" s="2">
        <v>9989</v>
      </c>
      <c r="H1447" s="3" t="str">
        <f>HYPERLINK("https://cloud.oebiotech.com/#/lm/network/9989", "https://cloud.oebiotech.com/#/lm/network/9989")</f>
        <v>https://cloud.oebiotech.com/#/lm/network/9989</v>
      </c>
      <c r="I1447" s="2"/>
      <c r="J1447" s="2">
        <v>98195</v>
      </c>
      <c r="K1447" s="2" t="s">
        <v>12957</v>
      </c>
      <c r="L1447" s="2">
        <v>46193079</v>
      </c>
      <c r="M1447" s="2"/>
      <c r="N1447" s="2"/>
      <c r="O1447" s="2"/>
      <c r="P1447" s="2"/>
      <c r="Q1447" s="2"/>
      <c r="R1447" s="2"/>
      <c r="S1447" s="2"/>
      <c r="T1447" s="2" t="s">
        <v>12958</v>
      </c>
      <c r="U1447" s="2" t="s">
        <v>12959</v>
      </c>
      <c r="V1447" s="2" t="s">
        <v>338</v>
      </c>
      <c r="W1447" s="2" t="s">
        <v>339</v>
      </c>
      <c r="X1447" s="2" t="s">
        <v>340</v>
      </c>
      <c r="Y1447" s="2" t="s">
        <v>341</v>
      </c>
      <c r="Z1447" s="2" t="s">
        <v>341</v>
      </c>
      <c r="AA1447" s="2" t="s">
        <v>342</v>
      </c>
      <c r="AB1447" s="2" t="s">
        <v>8443</v>
      </c>
      <c r="AC1447" s="2">
        <v>44.79</v>
      </c>
      <c r="AD1447" s="2">
        <v>86.94</v>
      </c>
      <c r="AE1447" s="2">
        <v>0</v>
      </c>
      <c r="AF1447" s="2" t="s">
        <v>12960</v>
      </c>
      <c r="AG1447" s="2" t="s">
        <v>157</v>
      </c>
      <c r="AH1447" s="2" t="s">
        <v>12961</v>
      </c>
      <c r="AI1447" s="2">
        <v>2.14</v>
      </c>
      <c r="AJ1447" s="2">
        <v>18.2622643601552</v>
      </c>
      <c r="AK1447" s="2">
        <v>17.981074158657201</v>
      </c>
      <c r="AL1447" s="2">
        <v>18.098163863958</v>
      </c>
      <c r="AM1447" s="2">
        <v>17.9063181825077</v>
      </c>
      <c r="AN1447" s="2">
        <v>18.165449759505702</v>
      </c>
      <c r="AO1447" s="2">
        <v>17.934106287257901</v>
      </c>
      <c r="AP1447" s="2">
        <v>18.075848258043901</v>
      </c>
      <c r="AQ1447" s="2">
        <v>18.004075537635401</v>
      </c>
      <c r="AR1447" s="2">
        <v>19.569038577755698</v>
      </c>
      <c r="AS1447" s="2">
        <v>16.1725933418472</v>
      </c>
      <c r="AT1447" s="2">
        <v>17.550189361609402</v>
      </c>
      <c r="AU1447" s="2">
        <v>16.778933629468199</v>
      </c>
      <c r="AV1447" s="2">
        <v>17.876333660374101</v>
      </c>
      <c r="AW1447" s="2">
        <v>15.991613960205299</v>
      </c>
      <c r="AX1447" s="2">
        <v>17.072229239888198</v>
      </c>
      <c r="AY1447" s="2">
        <v>17.246948193606801</v>
      </c>
      <c r="AZ1447" s="2">
        <v>17.314951287766601</v>
      </c>
      <c r="BA1447" s="2">
        <v>18.8841005653092</v>
      </c>
      <c r="BB1447" s="2">
        <v>17.222440316235598</v>
      </c>
      <c r="BC1447" s="2">
        <v>18.135419415544298</v>
      </c>
      <c r="BD1447" s="2">
        <v>16.6512391093598</v>
      </c>
      <c r="BE1447" s="2">
        <v>18.102269519166601</v>
      </c>
      <c r="BF1447" s="2">
        <v>16.894956632123399</v>
      </c>
      <c r="BG1447" s="2">
        <v>17.319579780005999</v>
      </c>
      <c r="BH1447" s="2">
        <v>18.2614194795297</v>
      </c>
      <c r="BI1447" s="2">
        <v>17.5236178508313</v>
      </c>
      <c r="BJ1447" s="2">
        <v>19.347010370512901</v>
      </c>
      <c r="BK1447" s="2">
        <v>17.497663194237301</v>
      </c>
      <c r="BL1447" s="2">
        <v>16.5122628489795</v>
      </c>
      <c r="BM1447" s="2">
        <v>16.981488460403799</v>
      </c>
      <c r="BN1447" s="2">
        <v>16.542356305350101</v>
      </c>
      <c r="BO1447" s="2">
        <v>17.457657177837898</v>
      </c>
      <c r="BP1447" s="2">
        <v>17.303942225537199</v>
      </c>
      <c r="BQ1447" s="2">
        <v>17.296330763766399</v>
      </c>
      <c r="BR1447" s="2">
        <v>18.472862512339798</v>
      </c>
      <c r="BS1447" s="2">
        <v>19.2124782411986</v>
      </c>
      <c r="BT1447" s="2">
        <v>18.359466512421101</v>
      </c>
      <c r="BU1447" s="2">
        <v>18.146569471227501</v>
      </c>
      <c r="BV1447" s="2">
        <v>17.833112884533602</v>
      </c>
      <c r="BW1447" s="2">
        <v>16.6395221647592</v>
      </c>
      <c r="BX1447" s="2">
        <v>16.7920454754377</v>
      </c>
      <c r="BY1447" s="2">
        <v>19.328229384549399</v>
      </c>
      <c r="BZ1447" s="2">
        <v>16.7796973001232</v>
      </c>
      <c r="CA1447" s="2">
        <v>17.206940226821999</v>
      </c>
      <c r="CB1447" s="2">
        <v>18.714904958462999</v>
      </c>
      <c r="CC1447" s="2">
        <v>16.867414734145498</v>
      </c>
      <c r="CD1447" s="2">
        <v>17.775536724481</v>
      </c>
      <c r="CE1447" s="2">
        <v>18.556953684099199</v>
      </c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</row>
    <row r="1448" spans="1:97">
      <c r="A1448" s="2" t="s">
        <v>12962</v>
      </c>
      <c r="B1448" s="2">
        <v>245.15323000000001</v>
      </c>
      <c r="C1448" s="2">
        <v>8.8130000000000006</v>
      </c>
      <c r="D1448" s="2" t="s">
        <v>84</v>
      </c>
      <c r="E1448" s="2" t="s">
        <v>12963</v>
      </c>
      <c r="F1448" s="2" t="s">
        <v>12964</v>
      </c>
      <c r="G1448" s="2">
        <v>61137</v>
      </c>
      <c r="H1448" s="3" t="str">
        <f>HYPERLINK("https://cloud.oebiotech.com/#/lm/network/61137", "https://cloud.oebiotech.com/#/lm/network/61137")</f>
        <v>https://cloud.oebiotech.com/#/lm/network/61137</v>
      </c>
      <c r="I1448" s="2" t="s">
        <v>12965</v>
      </c>
      <c r="J1448" s="2">
        <v>92448</v>
      </c>
      <c r="K1448" s="2"/>
      <c r="L1448" s="2">
        <v>85186102</v>
      </c>
      <c r="M1448" s="2"/>
      <c r="N1448" s="2"/>
      <c r="O1448" s="2"/>
      <c r="P1448" s="2">
        <v>174141</v>
      </c>
      <c r="Q1448" s="2"/>
      <c r="R1448" s="2"/>
      <c r="S1448" s="2" t="s">
        <v>12966</v>
      </c>
      <c r="T1448" s="2" t="s">
        <v>12967</v>
      </c>
      <c r="U1448" s="2" t="s">
        <v>12968</v>
      </c>
      <c r="V1448" s="2" t="s">
        <v>95</v>
      </c>
      <c r="W1448" s="2" t="s">
        <v>180</v>
      </c>
      <c r="X1448" s="2" t="s">
        <v>181</v>
      </c>
      <c r="Y1448" s="2" t="s">
        <v>98</v>
      </c>
      <c r="Z1448" s="2" t="s">
        <v>182</v>
      </c>
      <c r="AA1448" s="2" t="s">
        <v>183</v>
      </c>
      <c r="AB1448" s="2" t="s">
        <v>3086</v>
      </c>
      <c r="AC1448" s="2">
        <v>44.79</v>
      </c>
      <c r="AD1448" s="2">
        <v>73.73</v>
      </c>
      <c r="AE1448" s="2">
        <v>0</v>
      </c>
      <c r="AF1448" s="2" t="s">
        <v>5614</v>
      </c>
      <c r="AG1448" s="2" t="s">
        <v>1578</v>
      </c>
      <c r="AH1448" s="2" t="s">
        <v>1384</v>
      </c>
      <c r="AI1448" s="2">
        <v>-8.16</v>
      </c>
      <c r="AJ1448" s="2">
        <v>20.0197273345692</v>
      </c>
      <c r="AK1448" s="2">
        <v>20.048552473979001</v>
      </c>
      <c r="AL1448" s="2">
        <v>19.928491122642001</v>
      </c>
      <c r="AM1448" s="2">
        <v>20.164511428290499</v>
      </c>
      <c r="AN1448" s="2">
        <v>20.171551758329102</v>
      </c>
      <c r="AO1448" s="2">
        <v>19.962470991214101</v>
      </c>
      <c r="AP1448" s="2">
        <v>20.147212031454099</v>
      </c>
      <c r="AQ1448" s="2">
        <v>19.677827273448901</v>
      </c>
      <c r="AR1448" s="2">
        <v>19.908798090132901</v>
      </c>
      <c r="AS1448" s="2">
        <v>20.192539022662501</v>
      </c>
      <c r="AT1448" s="2">
        <v>19.440278228438601</v>
      </c>
      <c r="AU1448" s="2">
        <v>19.9014567082288</v>
      </c>
      <c r="AV1448" s="2">
        <v>20.230519780894198</v>
      </c>
      <c r="AW1448" s="2">
        <v>19.5100180497978</v>
      </c>
      <c r="AX1448" s="2">
        <v>20.152782284972702</v>
      </c>
      <c r="AY1448" s="2">
        <v>20.035243638696102</v>
      </c>
      <c r="AZ1448" s="2">
        <v>19.534066592759899</v>
      </c>
      <c r="BA1448" s="2">
        <v>19.800453695527601</v>
      </c>
      <c r="BB1448" s="2">
        <v>20.125072082107199</v>
      </c>
      <c r="BC1448" s="2">
        <v>19.576285834877599</v>
      </c>
      <c r="BD1448" s="2">
        <v>20.212837053335601</v>
      </c>
      <c r="BE1448" s="2">
        <v>19.780271662536801</v>
      </c>
      <c r="BF1448" s="2">
        <v>19.848910143430398</v>
      </c>
      <c r="BG1448" s="2">
        <v>20.025191157260299</v>
      </c>
      <c r="BH1448" s="2">
        <v>19.544804788398501</v>
      </c>
      <c r="BI1448" s="2">
        <v>20.0050011350449</v>
      </c>
      <c r="BJ1448" s="2">
        <v>20.087784828059899</v>
      </c>
      <c r="BK1448" s="2">
        <v>20.198203376987902</v>
      </c>
      <c r="BL1448" s="2">
        <v>19.744994618415699</v>
      </c>
      <c r="BM1448" s="2">
        <v>19.777324754137499</v>
      </c>
      <c r="BN1448" s="2">
        <v>19.823952957853599</v>
      </c>
      <c r="BO1448" s="2">
        <v>20.031160928135002</v>
      </c>
      <c r="BP1448" s="2">
        <v>20.1216554045027</v>
      </c>
      <c r="BQ1448" s="2">
        <v>19.999679636426599</v>
      </c>
      <c r="BR1448" s="2">
        <v>19.849603277689202</v>
      </c>
      <c r="BS1448" s="2">
        <v>20.029988194467599</v>
      </c>
      <c r="BT1448" s="2">
        <v>19.9885492835419</v>
      </c>
      <c r="BU1448" s="2">
        <v>20.1473434334963</v>
      </c>
      <c r="BV1448" s="2">
        <v>19.8761495113473</v>
      </c>
      <c r="BW1448" s="2">
        <v>19.823511697632998</v>
      </c>
      <c r="BX1448" s="2">
        <v>19.958314559339001</v>
      </c>
      <c r="BY1448" s="2">
        <v>20.100159583404398</v>
      </c>
      <c r="BZ1448" s="2">
        <v>19.7437176633433</v>
      </c>
      <c r="CA1448" s="2">
        <v>20.043705230478299</v>
      </c>
      <c r="CB1448" s="2">
        <v>19.885241944819199</v>
      </c>
      <c r="CC1448" s="2">
        <v>20.096439424754699</v>
      </c>
      <c r="CD1448" s="2">
        <v>20.0353595456595</v>
      </c>
      <c r="CE1448" s="2">
        <v>20.063192556763301</v>
      </c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</row>
    <row r="1449" spans="1:97">
      <c r="A1449" s="2" t="s">
        <v>12969</v>
      </c>
      <c r="B1449" s="2">
        <v>284.96816999999999</v>
      </c>
      <c r="C1449" s="2">
        <v>3.9180000000000001</v>
      </c>
      <c r="D1449" s="2" t="s">
        <v>146</v>
      </c>
      <c r="E1449" s="2" t="s">
        <v>12970</v>
      </c>
      <c r="F1449" s="2" t="s">
        <v>12971</v>
      </c>
      <c r="G1449" s="2">
        <v>213374</v>
      </c>
      <c r="H1449" s="3" t="str">
        <f>HYPERLINK("https://cloud.oebiotech.com/#/lm/network/213374", "https://cloud.oebiotech.com/#/lm/network/213374")</f>
        <v>https://cloud.oebiotech.com/#/lm/network/213374</v>
      </c>
      <c r="I1449" s="2" t="s">
        <v>12972</v>
      </c>
      <c r="J1449" s="2"/>
      <c r="K1449" s="2"/>
      <c r="L1449" s="2">
        <v>90864630</v>
      </c>
      <c r="M1449" s="2"/>
      <c r="N1449" s="2"/>
      <c r="O1449" s="2"/>
      <c r="P1449" s="2"/>
      <c r="Q1449" s="2"/>
      <c r="R1449" s="2"/>
      <c r="S1449" s="2"/>
      <c r="T1449" s="2" t="s">
        <v>12973</v>
      </c>
      <c r="U1449" s="2" t="s">
        <v>12974</v>
      </c>
      <c r="V1449" s="2" t="s">
        <v>385</v>
      </c>
      <c r="W1449" s="2" t="s">
        <v>386</v>
      </c>
      <c r="X1449" s="2" t="s">
        <v>375</v>
      </c>
      <c r="Y1449" s="2" t="s">
        <v>388</v>
      </c>
      <c r="Z1449" s="2" t="s">
        <v>389</v>
      </c>
      <c r="AA1449" s="2"/>
      <c r="AB1449" s="2" t="s">
        <v>5118</v>
      </c>
      <c r="AC1449" s="2">
        <v>44.76</v>
      </c>
      <c r="AD1449" s="2">
        <v>68.099999999999994</v>
      </c>
      <c r="AE1449" s="2">
        <v>74.31</v>
      </c>
      <c r="AF1449" s="2" t="s">
        <v>12975</v>
      </c>
      <c r="AG1449" s="2" t="s">
        <v>4062</v>
      </c>
      <c r="AH1449" s="2" t="s">
        <v>12976</v>
      </c>
      <c r="AI1449" s="2">
        <v>-1.75</v>
      </c>
      <c r="AJ1449" s="2">
        <v>17.795821651494101</v>
      </c>
      <c r="AK1449" s="2">
        <v>18.005167330215102</v>
      </c>
      <c r="AL1449" s="2">
        <v>17.409556843157599</v>
      </c>
      <c r="AM1449" s="2">
        <v>17.966537051069199</v>
      </c>
      <c r="AN1449" s="2">
        <v>17.904411123501301</v>
      </c>
      <c r="AO1449" s="2">
        <v>17.179848069564599</v>
      </c>
      <c r="AP1449" s="2">
        <v>17.931301184302502</v>
      </c>
      <c r="AQ1449" s="2">
        <v>17.512893126990502</v>
      </c>
      <c r="AR1449" s="2">
        <v>16.443347318797802</v>
      </c>
      <c r="AS1449" s="2">
        <v>16.822897411855902</v>
      </c>
      <c r="AT1449" s="2">
        <v>14.2456893636461</v>
      </c>
      <c r="AU1449" s="2">
        <v>17.5908052182379</v>
      </c>
      <c r="AV1449" s="2">
        <v>15.666015629299</v>
      </c>
      <c r="AW1449" s="2">
        <v>18.539938711797401</v>
      </c>
      <c r="AX1449" s="2">
        <v>18.0964168266831</v>
      </c>
      <c r="AY1449" s="2">
        <v>16.0431328323623</v>
      </c>
      <c r="AZ1449" s="2">
        <v>14.3744058046142</v>
      </c>
      <c r="BA1449" s="2">
        <v>14.819638748341101</v>
      </c>
      <c r="BB1449" s="2">
        <v>18.1981584883893</v>
      </c>
      <c r="BC1449" s="2">
        <v>16.296372441763801</v>
      </c>
      <c r="BD1449" s="2">
        <v>16.0162481076018</v>
      </c>
      <c r="BE1449" s="2">
        <v>16.718086647203599</v>
      </c>
      <c r="BF1449" s="2">
        <v>12.9431026795168</v>
      </c>
      <c r="BG1449" s="2">
        <v>18.785831962238898</v>
      </c>
      <c r="BH1449" s="2">
        <v>19.6371658588575</v>
      </c>
      <c r="BI1449" s="2">
        <v>20.092095963219201</v>
      </c>
      <c r="BJ1449" s="2">
        <v>16.224439633331698</v>
      </c>
      <c r="BK1449" s="2">
        <v>14.045870554918199</v>
      </c>
      <c r="BL1449" s="2">
        <v>16.906950706649599</v>
      </c>
      <c r="BM1449" s="2">
        <v>17.442397410298199</v>
      </c>
      <c r="BN1449" s="2">
        <v>17.442834667764799</v>
      </c>
      <c r="BO1449" s="2">
        <v>17.6100731459277</v>
      </c>
      <c r="BP1449" s="2">
        <v>18.215775321295599</v>
      </c>
      <c r="BQ1449" s="2">
        <v>18.330344329687001</v>
      </c>
      <c r="BR1449" s="2">
        <v>18.430515725362401</v>
      </c>
      <c r="BS1449" s="2">
        <v>17.141665024593799</v>
      </c>
      <c r="BT1449" s="2">
        <v>14.5938246832107</v>
      </c>
      <c r="BU1449" s="2">
        <v>15.7489768922386</v>
      </c>
      <c r="BV1449" s="2">
        <v>16.695612734159901</v>
      </c>
      <c r="BW1449" s="2">
        <v>12.5457343406351</v>
      </c>
      <c r="BX1449" s="2">
        <v>14.209921647650299</v>
      </c>
      <c r="BY1449" s="2">
        <v>17.076058463578899</v>
      </c>
      <c r="BZ1449" s="2">
        <v>16.398064263061698</v>
      </c>
      <c r="CA1449" s="2">
        <v>14.745801930070501</v>
      </c>
      <c r="CB1449" s="2">
        <v>17.256233110475801</v>
      </c>
      <c r="CC1449" s="2">
        <v>18.018799909036399</v>
      </c>
      <c r="CD1449" s="2">
        <v>15.7654689625109</v>
      </c>
      <c r="CE1449" s="2">
        <v>13.4393036690626</v>
      </c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</row>
    <row r="1450" spans="1:97">
      <c r="A1450" s="2" t="s">
        <v>12977</v>
      </c>
      <c r="B1450" s="2">
        <v>504.00833999999998</v>
      </c>
      <c r="C1450" s="2">
        <v>2.2109999999999999</v>
      </c>
      <c r="D1450" s="2" t="s">
        <v>146</v>
      </c>
      <c r="E1450" s="2" t="s">
        <v>12978</v>
      </c>
      <c r="F1450" s="2" t="s">
        <v>12979</v>
      </c>
      <c r="G1450" s="2">
        <v>203367</v>
      </c>
      <c r="H1450" s="3" t="str">
        <f>HYPERLINK("https://cloud.oebiotech.com/#/lm/network/203367", "https://cloud.oebiotech.com/#/lm/network/203367")</f>
        <v>https://cloud.oebiotech.com/#/lm/network/203367</v>
      </c>
      <c r="I1450" s="2" t="s">
        <v>12980</v>
      </c>
      <c r="J1450" s="2"/>
      <c r="K1450" s="2"/>
      <c r="L1450" s="2">
        <v>3104</v>
      </c>
      <c r="M1450" s="2"/>
      <c r="N1450" s="2"/>
      <c r="O1450" s="2"/>
      <c r="P1450" s="2"/>
      <c r="Q1450" s="2"/>
      <c r="R1450" s="2"/>
      <c r="S1450" s="2"/>
      <c r="T1450" s="2" t="s">
        <v>12981</v>
      </c>
      <c r="U1450" s="2" t="s">
        <v>12982</v>
      </c>
      <c r="V1450" s="2" t="s">
        <v>818</v>
      </c>
      <c r="W1450" s="2" t="s">
        <v>9642</v>
      </c>
      <c r="X1450" s="2" t="s">
        <v>9643</v>
      </c>
      <c r="Y1450" s="2" t="s">
        <v>820</v>
      </c>
      <c r="Z1450" s="2" t="s">
        <v>9644</v>
      </c>
      <c r="AA1450" s="2" t="s">
        <v>9645</v>
      </c>
      <c r="AB1450" s="2" t="s">
        <v>5118</v>
      </c>
      <c r="AC1450" s="2">
        <v>44.75</v>
      </c>
      <c r="AD1450" s="2">
        <v>91.14</v>
      </c>
      <c r="AE1450" s="2">
        <v>45.71</v>
      </c>
      <c r="AF1450" s="2" t="s">
        <v>12983</v>
      </c>
      <c r="AG1450" s="2" t="s">
        <v>194</v>
      </c>
      <c r="AH1450" s="2" t="s">
        <v>12984</v>
      </c>
      <c r="AI1450" s="2">
        <v>1.79</v>
      </c>
      <c r="AJ1450" s="2">
        <v>19.152748163758499</v>
      </c>
      <c r="AK1450" s="2">
        <v>19.281105193582199</v>
      </c>
      <c r="AL1450" s="2">
        <v>19.589595759297101</v>
      </c>
      <c r="AM1450" s="2">
        <v>19.075043988760399</v>
      </c>
      <c r="AN1450" s="2">
        <v>18.540962755905898</v>
      </c>
      <c r="AO1450" s="2">
        <v>19.563527307507901</v>
      </c>
      <c r="AP1450" s="2">
        <v>19.5094088611697</v>
      </c>
      <c r="AQ1450" s="2">
        <v>19.3634102351891</v>
      </c>
      <c r="AR1450" s="2">
        <v>19.244292401995601</v>
      </c>
      <c r="AS1450" s="2">
        <v>18.607035755118901</v>
      </c>
      <c r="AT1450" s="2">
        <v>18.885940241200501</v>
      </c>
      <c r="AU1450" s="2">
        <v>19.278227445822399</v>
      </c>
      <c r="AV1450" s="2">
        <v>19.683386257945902</v>
      </c>
      <c r="AW1450" s="2">
        <v>19.4787527364897</v>
      </c>
      <c r="AX1450" s="2">
        <v>19.254297010961601</v>
      </c>
      <c r="AY1450" s="2">
        <v>19.3951272490668</v>
      </c>
      <c r="AZ1450" s="2">
        <v>18.878879175325299</v>
      </c>
      <c r="BA1450" s="2">
        <v>19.107883707151199</v>
      </c>
      <c r="BB1450" s="2">
        <v>19.510943419859998</v>
      </c>
      <c r="BC1450" s="2">
        <v>19.146750010498302</v>
      </c>
      <c r="BD1450" s="2">
        <v>18.9330667801248</v>
      </c>
      <c r="BE1450" s="2">
        <v>19.204281148111601</v>
      </c>
      <c r="BF1450" s="2">
        <v>19.636274941830798</v>
      </c>
      <c r="BG1450" s="2">
        <v>19.607392303220401</v>
      </c>
      <c r="BH1450" s="2">
        <v>19.717134320021501</v>
      </c>
      <c r="BI1450" s="2">
        <v>19.531348237176001</v>
      </c>
      <c r="BJ1450" s="2">
        <v>19.827708238344702</v>
      </c>
      <c r="BK1450" s="2">
        <v>19.4964894696169</v>
      </c>
      <c r="BL1450" s="2">
        <v>19.282360639202501</v>
      </c>
      <c r="BM1450" s="2">
        <v>19.9397173412531</v>
      </c>
      <c r="BN1450" s="2">
        <v>18.794482723226899</v>
      </c>
      <c r="BO1450" s="2">
        <v>19.212948272796901</v>
      </c>
      <c r="BP1450" s="2">
        <v>18.899574567690699</v>
      </c>
      <c r="BQ1450" s="2">
        <v>19.712706936514898</v>
      </c>
      <c r="BR1450" s="2">
        <v>19.180059322440901</v>
      </c>
      <c r="BS1450" s="2">
        <v>19.460872181337599</v>
      </c>
      <c r="BT1450" s="2">
        <v>19.0247912478799</v>
      </c>
      <c r="BU1450" s="2">
        <v>19.078823134742201</v>
      </c>
      <c r="BV1450" s="2">
        <v>18.4920573306092</v>
      </c>
      <c r="BW1450" s="2">
        <v>18.616134267838301</v>
      </c>
      <c r="BX1450" s="2">
        <v>18.973875080448501</v>
      </c>
      <c r="BY1450" s="2">
        <v>18.799586957634901</v>
      </c>
      <c r="BZ1450" s="2">
        <v>19.692350079689099</v>
      </c>
      <c r="CA1450" s="2">
        <v>19.4698273643899</v>
      </c>
      <c r="CB1450" s="2">
        <v>18.807921696977399</v>
      </c>
      <c r="CC1450" s="2">
        <v>19.2476347931742</v>
      </c>
      <c r="CD1450" s="2">
        <v>19.859382121632098</v>
      </c>
      <c r="CE1450" s="2">
        <v>19.288571947132699</v>
      </c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</row>
    <row r="1451" spans="1:97">
      <c r="A1451" s="2" t="s">
        <v>12985</v>
      </c>
      <c r="B1451" s="2">
        <v>539.24913000000004</v>
      </c>
      <c r="C1451" s="2">
        <v>7.7770000000000001</v>
      </c>
      <c r="D1451" s="2" t="s">
        <v>146</v>
      </c>
      <c r="E1451" s="2" t="s">
        <v>12986</v>
      </c>
      <c r="F1451" s="2"/>
      <c r="G1451" s="2">
        <v>595167</v>
      </c>
      <c r="H1451" s="3" t="str">
        <f>HYPERLINK("https://cloud.oebiotech.com/#/lm/network/595167", "https://cloud.oebiotech.com/#/lm/network/595167")</f>
        <v>https://cloud.oebiotech.com/#/lm/network/595167</v>
      </c>
      <c r="I1451" s="2"/>
      <c r="J1451" s="2"/>
      <c r="K1451" s="2"/>
      <c r="L1451" s="2">
        <v>78069871</v>
      </c>
      <c r="M1451" s="2"/>
      <c r="N1451" s="2"/>
      <c r="O1451" s="2"/>
      <c r="P1451" s="2"/>
      <c r="Q1451" s="2"/>
      <c r="R1451" s="2"/>
      <c r="S1451" s="2"/>
      <c r="T1451" s="2" t="s">
        <v>12987</v>
      </c>
      <c r="U1451" s="2" t="s">
        <v>12988</v>
      </c>
      <c r="V1451" s="2" t="s">
        <v>95</v>
      </c>
      <c r="W1451" s="2" t="s">
        <v>180</v>
      </c>
      <c r="X1451" s="2" t="s">
        <v>2714</v>
      </c>
      <c r="Y1451" s="2" t="s">
        <v>98</v>
      </c>
      <c r="Z1451" s="2" t="s">
        <v>182</v>
      </c>
      <c r="AA1451" s="2" t="s">
        <v>2715</v>
      </c>
      <c r="AB1451" s="2" t="s">
        <v>8443</v>
      </c>
      <c r="AC1451" s="2">
        <v>44.75</v>
      </c>
      <c r="AD1451" s="2">
        <v>90.83</v>
      </c>
      <c r="AE1451" s="2">
        <v>43.03</v>
      </c>
      <c r="AF1451" s="2" t="s">
        <v>12989</v>
      </c>
      <c r="AG1451" s="2" t="s">
        <v>157</v>
      </c>
      <c r="AH1451" s="2" t="s">
        <v>12990</v>
      </c>
      <c r="AI1451" s="2">
        <v>1.3</v>
      </c>
      <c r="AJ1451" s="2">
        <v>18.424413878048799</v>
      </c>
      <c r="AK1451" s="2">
        <v>18.189567559796501</v>
      </c>
      <c r="AL1451" s="2">
        <v>17.873059006795</v>
      </c>
      <c r="AM1451" s="2">
        <v>17.6362825544497</v>
      </c>
      <c r="AN1451" s="2">
        <v>17.819820712838698</v>
      </c>
      <c r="AO1451" s="2">
        <v>17.682223366121001</v>
      </c>
      <c r="AP1451" s="2">
        <v>17.748718496110602</v>
      </c>
      <c r="AQ1451" s="2">
        <v>17.540974217090401</v>
      </c>
      <c r="AR1451" s="2">
        <v>16.3291479536209</v>
      </c>
      <c r="AS1451" s="2">
        <v>18.604181496979201</v>
      </c>
      <c r="AT1451" s="2">
        <v>17.9646606866045</v>
      </c>
      <c r="AU1451" s="2">
        <v>18.922176821889298</v>
      </c>
      <c r="AV1451" s="2">
        <v>17.419550577285801</v>
      </c>
      <c r="AW1451" s="2">
        <v>15.7267790746915</v>
      </c>
      <c r="AX1451" s="2">
        <v>16.2578839048203</v>
      </c>
      <c r="AY1451" s="2">
        <v>17.790484239435902</v>
      </c>
      <c r="AZ1451" s="2">
        <v>16.7920900991362</v>
      </c>
      <c r="BA1451" s="2">
        <v>17.717789731539099</v>
      </c>
      <c r="BB1451" s="2">
        <v>17.479626975852099</v>
      </c>
      <c r="BC1451" s="2">
        <v>18.704584608751698</v>
      </c>
      <c r="BD1451" s="2">
        <v>17.0069431422815</v>
      </c>
      <c r="BE1451" s="2">
        <v>18.453589195064101</v>
      </c>
      <c r="BF1451" s="2">
        <v>15.2829280527104</v>
      </c>
      <c r="BG1451" s="2">
        <v>17.952964205773</v>
      </c>
      <c r="BH1451" s="2">
        <v>18.248366702587902</v>
      </c>
      <c r="BI1451" s="2">
        <v>17.299799359208901</v>
      </c>
      <c r="BJ1451" s="2">
        <v>17.141007960239399</v>
      </c>
      <c r="BK1451" s="2">
        <v>15.9966601690197</v>
      </c>
      <c r="BL1451" s="2">
        <v>16.6720996048616</v>
      </c>
      <c r="BM1451" s="2">
        <v>18.014827531122901</v>
      </c>
      <c r="BN1451" s="2">
        <v>18.100826519576199</v>
      </c>
      <c r="BO1451" s="2">
        <v>20.5727027796787</v>
      </c>
      <c r="BP1451" s="2">
        <v>15.5511056111476</v>
      </c>
      <c r="BQ1451" s="2">
        <v>17.0666219438213</v>
      </c>
      <c r="BR1451" s="2">
        <v>15.827549377131</v>
      </c>
      <c r="BS1451" s="2">
        <v>20.514025598618399</v>
      </c>
      <c r="BT1451" s="2">
        <v>19.696942573532301</v>
      </c>
      <c r="BU1451" s="2">
        <v>18.131638705535401</v>
      </c>
      <c r="BV1451" s="2">
        <v>17.111900798438398</v>
      </c>
      <c r="BW1451" s="2">
        <v>17.571398472668399</v>
      </c>
      <c r="BX1451" s="2">
        <v>15.703774639788</v>
      </c>
      <c r="BY1451" s="2">
        <v>19.464112272073201</v>
      </c>
      <c r="BZ1451" s="2">
        <v>15.634065975759</v>
      </c>
      <c r="CA1451" s="2">
        <v>17.729895988585401</v>
      </c>
      <c r="CB1451" s="2">
        <v>17.2170420008154</v>
      </c>
      <c r="CC1451" s="2">
        <v>17.232307556333001</v>
      </c>
      <c r="CD1451" s="2">
        <v>17.135073558742299</v>
      </c>
      <c r="CE1451" s="2">
        <v>15.9199342884489</v>
      </c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</row>
    <row r="1452" spans="1:97">
      <c r="A1452" s="2" t="s">
        <v>12991</v>
      </c>
      <c r="B1452" s="2">
        <v>333.18790000000001</v>
      </c>
      <c r="C1452" s="2">
        <v>4.5620000000000003</v>
      </c>
      <c r="D1452" s="2" t="s">
        <v>84</v>
      </c>
      <c r="E1452" s="2" t="s">
        <v>12992</v>
      </c>
      <c r="F1452" s="2" t="s">
        <v>12993</v>
      </c>
      <c r="G1452" s="2">
        <v>62298</v>
      </c>
      <c r="H1452" s="3" t="str">
        <f>HYPERLINK("https://cloud.oebiotech.com/#/lm/network/62298", "https://cloud.oebiotech.com/#/lm/network/62298")</f>
        <v>https://cloud.oebiotech.com/#/lm/network/62298</v>
      </c>
      <c r="I1452" s="2" t="s">
        <v>12994</v>
      </c>
      <c r="J1452" s="2">
        <v>93589</v>
      </c>
      <c r="K1452" s="2"/>
      <c r="L1452" s="2">
        <v>76401267</v>
      </c>
      <c r="M1452" s="2"/>
      <c r="N1452" s="2"/>
      <c r="O1452" s="2"/>
      <c r="P1452" s="2">
        <v>169135</v>
      </c>
      <c r="Q1452" s="2"/>
      <c r="R1452" s="2"/>
      <c r="S1452" s="2" t="s">
        <v>12995</v>
      </c>
      <c r="T1452" s="2" t="s">
        <v>12996</v>
      </c>
      <c r="U1452" s="2" t="s">
        <v>12997</v>
      </c>
      <c r="V1452" s="2" t="s">
        <v>95</v>
      </c>
      <c r="W1452" s="2" t="s">
        <v>180</v>
      </c>
      <c r="X1452" s="2" t="s">
        <v>2714</v>
      </c>
      <c r="Y1452" s="2" t="s">
        <v>98</v>
      </c>
      <c r="Z1452" s="2" t="s">
        <v>182</v>
      </c>
      <c r="AA1452" s="2" t="s">
        <v>2715</v>
      </c>
      <c r="AB1452" s="2" t="s">
        <v>3086</v>
      </c>
      <c r="AC1452" s="2">
        <v>44.72</v>
      </c>
      <c r="AD1452" s="2">
        <v>89.5</v>
      </c>
      <c r="AE1452" s="2">
        <v>0</v>
      </c>
      <c r="AF1452" s="2" t="s">
        <v>12998</v>
      </c>
      <c r="AG1452" s="2" t="s">
        <v>103</v>
      </c>
      <c r="AH1452" s="2" t="s">
        <v>3340</v>
      </c>
      <c r="AI1452" s="2">
        <v>8.6999999999999993</v>
      </c>
      <c r="AJ1452" s="2">
        <v>18.336901472114299</v>
      </c>
      <c r="AK1452" s="2">
        <v>18.270814477324102</v>
      </c>
      <c r="AL1452" s="2">
        <v>18.280333270894602</v>
      </c>
      <c r="AM1452" s="2">
        <v>18.126757500267001</v>
      </c>
      <c r="AN1452" s="2">
        <v>18.310819240189002</v>
      </c>
      <c r="AO1452" s="2">
        <v>18.484717297994798</v>
      </c>
      <c r="AP1452" s="2">
        <v>18.036971972697099</v>
      </c>
      <c r="AQ1452" s="2">
        <v>18.1360009515234</v>
      </c>
      <c r="AR1452" s="2">
        <v>20.152435713533698</v>
      </c>
      <c r="AS1452" s="2">
        <v>22.2123657326465</v>
      </c>
      <c r="AT1452" s="2">
        <v>20.457705566758499</v>
      </c>
      <c r="AU1452" s="2">
        <v>20.473361820575199</v>
      </c>
      <c r="AV1452" s="2">
        <v>17.2321729051712</v>
      </c>
      <c r="AW1452" s="2">
        <v>22.116385494096601</v>
      </c>
      <c r="AX1452" s="2">
        <v>18.161225493687901</v>
      </c>
      <c r="AY1452" s="2">
        <v>18.294124548700399</v>
      </c>
      <c r="AZ1452" s="2">
        <v>19.7470802067037</v>
      </c>
      <c r="BA1452" s="2">
        <v>18.857588367702199</v>
      </c>
      <c r="BB1452" s="2">
        <v>21.365983685323599</v>
      </c>
      <c r="BC1452" s="2">
        <v>20.9300894889967</v>
      </c>
      <c r="BD1452" s="2">
        <v>19.4880772676701</v>
      </c>
      <c r="BE1452" s="2">
        <v>18.8497252366958</v>
      </c>
      <c r="BF1452" s="2">
        <v>20.029644000723099</v>
      </c>
      <c r="BG1452" s="2">
        <v>21.081633615654699</v>
      </c>
      <c r="BH1452" s="2">
        <v>18.938761601636202</v>
      </c>
      <c r="BI1452" s="2">
        <v>20.569189841471701</v>
      </c>
      <c r="BJ1452" s="2">
        <v>14.074658291280301</v>
      </c>
      <c r="BK1452" s="2">
        <v>15.2033109103117</v>
      </c>
      <c r="BL1452" s="2">
        <v>9.6233145402724691</v>
      </c>
      <c r="BM1452" s="2">
        <v>17.394498282569401</v>
      </c>
      <c r="BN1452" s="2">
        <v>15.3222010399298</v>
      </c>
      <c r="BO1452" s="2">
        <v>18.917750024086999</v>
      </c>
      <c r="BP1452" s="2">
        <v>9.6233145402724691</v>
      </c>
      <c r="BQ1452" s="2">
        <v>16.322438548142401</v>
      </c>
      <c r="BR1452" s="2">
        <v>20.4007379992842</v>
      </c>
      <c r="BS1452" s="2">
        <v>17.087832003941799</v>
      </c>
      <c r="BT1452" s="2">
        <v>14.771950039093801</v>
      </c>
      <c r="BU1452" s="2">
        <v>21.405831271082999</v>
      </c>
      <c r="BV1452" s="2">
        <v>18.4822073388946</v>
      </c>
      <c r="BW1452" s="2">
        <v>14.660776992146401</v>
      </c>
      <c r="BX1452" s="2">
        <v>18.266683157995999</v>
      </c>
      <c r="BY1452" s="2">
        <v>17.538989886886402</v>
      </c>
      <c r="BZ1452" s="2">
        <v>19.777954304467901</v>
      </c>
      <c r="CA1452" s="2">
        <v>9.6233145402724691</v>
      </c>
      <c r="CB1452" s="2">
        <v>20.431566220580599</v>
      </c>
      <c r="CC1452" s="2">
        <v>9.6233145402724691</v>
      </c>
      <c r="CD1452" s="2">
        <v>19.227560550614701</v>
      </c>
      <c r="CE1452" s="2">
        <v>16.973009954047399</v>
      </c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</row>
    <row r="1453" spans="1:97">
      <c r="A1453" s="2" t="s">
        <v>12999</v>
      </c>
      <c r="B1453" s="2">
        <v>371.15890999999999</v>
      </c>
      <c r="C1453" s="2">
        <v>8.9870000000000001</v>
      </c>
      <c r="D1453" s="2" t="s">
        <v>84</v>
      </c>
      <c r="E1453" s="2" t="s">
        <v>13000</v>
      </c>
      <c r="F1453" s="2" t="s">
        <v>13001</v>
      </c>
      <c r="G1453" s="2">
        <v>3619</v>
      </c>
      <c r="H1453" s="3" t="str">
        <f>HYPERLINK("https://cloud.oebiotech.com/#/lm/network/3619", "https://cloud.oebiotech.com/#/lm/network/3619")</f>
        <v>https://cloud.oebiotech.com/#/lm/network/3619</v>
      </c>
      <c r="I1453" s="2"/>
      <c r="J1453" s="2"/>
      <c r="K1453" s="2" t="s">
        <v>13002</v>
      </c>
      <c r="L1453" s="2">
        <v>14016627</v>
      </c>
      <c r="M1453" s="2"/>
      <c r="N1453" s="2"/>
      <c r="O1453" s="2"/>
      <c r="P1453" s="2"/>
      <c r="Q1453" s="2"/>
      <c r="R1453" s="2"/>
      <c r="S1453" s="2"/>
      <c r="T1453" s="2" t="s">
        <v>13003</v>
      </c>
      <c r="U1453" s="2" t="s">
        <v>13004</v>
      </c>
      <c r="V1453" s="2" t="s">
        <v>95</v>
      </c>
      <c r="W1453" s="2" t="s">
        <v>96</v>
      </c>
      <c r="X1453" s="2" t="s">
        <v>3216</v>
      </c>
      <c r="Y1453" s="2" t="s">
        <v>98</v>
      </c>
      <c r="Z1453" s="2" t="s">
        <v>99</v>
      </c>
      <c r="AA1453" s="2" t="s">
        <v>3217</v>
      </c>
      <c r="AB1453" s="2" t="s">
        <v>3086</v>
      </c>
      <c r="AC1453" s="2">
        <v>44.71</v>
      </c>
      <c r="AD1453" s="2">
        <v>75.010000000000005</v>
      </c>
      <c r="AE1453" s="2">
        <v>0</v>
      </c>
      <c r="AF1453" s="2" t="s">
        <v>5614</v>
      </c>
      <c r="AG1453" s="2" t="s">
        <v>3544</v>
      </c>
      <c r="AH1453" s="2" t="s">
        <v>5918</v>
      </c>
      <c r="AI1453" s="2">
        <v>8.08</v>
      </c>
      <c r="AJ1453" s="2">
        <v>18.3632841580493</v>
      </c>
      <c r="AK1453" s="2">
        <v>18.363168766633301</v>
      </c>
      <c r="AL1453" s="2">
        <v>18.108894189842601</v>
      </c>
      <c r="AM1453" s="2">
        <v>18.217426175871399</v>
      </c>
      <c r="AN1453" s="2">
        <v>18.577125038170301</v>
      </c>
      <c r="AO1453" s="2">
        <v>18.263166849326399</v>
      </c>
      <c r="AP1453" s="2">
        <v>18.294289040224999</v>
      </c>
      <c r="AQ1453" s="2">
        <v>18.0975051471911</v>
      </c>
      <c r="AR1453" s="2">
        <v>14.3477998951851</v>
      </c>
      <c r="AS1453" s="2">
        <v>15.0016087502504</v>
      </c>
      <c r="AT1453" s="2">
        <v>17.7219127721661</v>
      </c>
      <c r="AU1453" s="2">
        <v>16.995768365192699</v>
      </c>
      <c r="AV1453" s="2">
        <v>17.722908100154999</v>
      </c>
      <c r="AW1453" s="2">
        <v>17.2308227004544</v>
      </c>
      <c r="AX1453" s="2">
        <v>17.124889680016299</v>
      </c>
      <c r="AY1453" s="2">
        <v>17.432183987765502</v>
      </c>
      <c r="AZ1453" s="2">
        <v>17.067296328372699</v>
      </c>
      <c r="BA1453" s="2">
        <v>17.3401496635481</v>
      </c>
      <c r="BB1453" s="2">
        <v>18.222314364653101</v>
      </c>
      <c r="BC1453" s="2">
        <v>18.2755492395932</v>
      </c>
      <c r="BD1453" s="2">
        <v>16.224994052653798</v>
      </c>
      <c r="BE1453" s="2">
        <v>18.138366055916102</v>
      </c>
      <c r="BF1453" s="2">
        <v>16.4100894066903</v>
      </c>
      <c r="BG1453" s="2">
        <v>16.550571998302701</v>
      </c>
      <c r="BH1453" s="2">
        <v>16.8979713933245</v>
      </c>
      <c r="BI1453" s="2">
        <v>17.793478846063898</v>
      </c>
      <c r="BJ1453" s="2">
        <v>17.362414751580399</v>
      </c>
      <c r="BK1453" s="2">
        <v>18.141373404393899</v>
      </c>
      <c r="BL1453" s="2">
        <v>16.887939308361599</v>
      </c>
      <c r="BM1453" s="2">
        <v>17.9471832280529</v>
      </c>
      <c r="BN1453" s="2">
        <v>18.5749840442509</v>
      </c>
      <c r="BO1453" s="2">
        <v>16.783247916019299</v>
      </c>
      <c r="BP1453" s="2">
        <v>18.769855983071299</v>
      </c>
      <c r="BQ1453" s="2">
        <v>18.322610404701901</v>
      </c>
      <c r="BR1453" s="2">
        <v>18.633334282611202</v>
      </c>
      <c r="BS1453" s="2">
        <v>18.082156735596001</v>
      </c>
      <c r="BT1453" s="2">
        <v>17.268126186023</v>
      </c>
      <c r="BU1453" s="2">
        <v>17.895048730410299</v>
      </c>
      <c r="BV1453" s="2">
        <v>19.425955197517801</v>
      </c>
      <c r="BW1453" s="2">
        <v>17.739394046488599</v>
      </c>
      <c r="BX1453" s="2">
        <v>18.797852487944599</v>
      </c>
      <c r="BY1453" s="2">
        <v>19.266998520674399</v>
      </c>
      <c r="BZ1453" s="2">
        <v>14.0623860217345</v>
      </c>
      <c r="CA1453" s="2">
        <v>17.6311437254022</v>
      </c>
      <c r="CB1453" s="2">
        <v>17.733966227004899</v>
      </c>
      <c r="CC1453" s="2">
        <v>17.038713160003098</v>
      </c>
      <c r="CD1453" s="2">
        <v>18.514515236902799</v>
      </c>
      <c r="CE1453" s="2">
        <v>19.011778798226899</v>
      </c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</row>
    <row r="1454" spans="1:97">
      <c r="A1454" s="2" t="s">
        <v>13005</v>
      </c>
      <c r="B1454" s="2">
        <v>428.37277999999998</v>
      </c>
      <c r="C1454" s="2">
        <v>10.468999999999999</v>
      </c>
      <c r="D1454" s="2" t="s">
        <v>84</v>
      </c>
      <c r="E1454" s="2" t="s">
        <v>13006</v>
      </c>
      <c r="F1454" s="2" t="s">
        <v>13007</v>
      </c>
      <c r="G1454" s="2">
        <v>51397</v>
      </c>
      <c r="H1454" s="3" t="str">
        <f>HYPERLINK("https://cloud.oebiotech.com/#/lm/network/51397", "https://cloud.oebiotech.com/#/lm/network/51397")</f>
        <v>https://cloud.oebiotech.com/#/lm/network/51397</v>
      </c>
      <c r="I1454" s="2" t="s">
        <v>13008</v>
      </c>
      <c r="J1454" s="2">
        <v>62365</v>
      </c>
      <c r="K1454" s="2"/>
      <c r="L1454" s="2">
        <v>53480991</v>
      </c>
      <c r="M1454" s="2"/>
      <c r="N1454" s="2"/>
      <c r="O1454" s="2"/>
      <c r="P1454" s="2"/>
      <c r="Q1454" s="2"/>
      <c r="R1454" s="2"/>
      <c r="S1454" s="2"/>
      <c r="T1454" s="2" t="s">
        <v>13009</v>
      </c>
      <c r="U1454" s="2" t="s">
        <v>13010</v>
      </c>
      <c r="V1454" s="2" t="s">
        <v>95</v>
      </c>
      <c r="W1454" s="2" t="s">
        <v>7709</v>
      </c>
      <c r="X1454" s="2" t="s">
        <v>7710</v>
      </c>
      <c r="Y1454" s="2" t="s">
        <v>98</v>
      </c>
      <c r="Z1454" s="2" t="s">
        <v>7711</v>
      </c>
      <c r="AA1454" s="2" t="s">
        <v>7712</v>
      </c>
      <c r="AB1454" s="2" t="s">
        <v>8443</v>
      </c>
      <c r="AC1454" s="2">
        <v>44.69</v>
      </c>
      <c r="AD1454" s="2">
        <v>96.75</v>
      </c>
      <c r="AE1454" s="2">
        <v>35.86</v>
      </c>
      <c r="AF1454" s="2" t="s">
        <v>13011</v>
      </c>
      <c r="AG1454" s="2" t="s">
        <v>132</v>
      </c>
      <c r="AH1454" s="2" t="s">
        <v>10076</v>
      </c>
      <c r="AI1454" s="2">
        <v>1.4</v>
      </c>
      <c r="AJ1454" s="2">
        <v>23.305420156398402</v>
      </c>
      <c r="AK1454" s="2">
        <v>23.4896036119036</v>
      </c>
      <c r="AL1454" s="2">
        <v>23.3069536011939</v>
      </c>
      <c r="AM1454" s="2">
        <v>23.351722742871299</v>
      </c>
      <c r="AN1454" s="2">
        <v>23.325942454639399</v>
      </c>
      <c r="AO1454" s="2">
        <v>23.390366739893999</v>
      </c>
      <c r="AP1454" s="2">
        <v>23.331439710438701</v>
      </c>
      <c r="AQ1454" s="2">
        <v>23.376584253735601</v>
      </c>
      <c r="AR1454" s="2">
        <v>23.3949922731362</v>
      </c>
      <c r="AS1454" s="2">
        <v>22.3190383707697</v>
      </c>
      <c r="AT1454" s="2">
        <v>23.517301371718201</v>
      </c>
      <c r="AU1454" s="2">
        <v>22.962540257628</v>
      </c>
      <c r="AV1454" s="2">
        <v>23.141947807457701</v>
      </c>
      <c r="AW1454" s="2">
        <v>23.086417040864699</v>
      </c>
      <c r="AX1454" s="2">
        <v>23.207022587799301</v>
      </c>
      <c r="AY1454" s="2">
        <v>22.9829542190888</v>
      </c>
      <c r="AZ1454" s="2">
        <v>22.6528243121701</v>
      </c>
      <c r="BA1454" s="2">
        <v>22.484209221760199</v>
      </c>
      <c r="BB1454" s="2">
        <v>23.0999284094319</v>
      </c>
      <c r="BC1454" s="2">
        <v>24.5005092809259</v>
      </c>
      <c r="BD1454" s="2">
        <v>23.1751440152477</v>
      </c>
      <c r="BE1454" s="2">
        <v>23.922890725784399</v>
      </c>
      <c r="BF1454" s="2">
        <v>23.131569266373901</v>
      </c>
      <c r="BG1454" s="2">
        <v>22.919406615118699</v>
      </c>
      <c r="BH1454" s="2">
        <v>23.474313667493401</v>
      </c>
      <c r="BI1454" s="2">
        <v>23.4801574679942</v>
      </c>
      <c r="BJ1454" s="2">
        <v>23.3887617201746</v>
      </c>
      <c r="BK1454" s="2">
        <v>22.9845824336665</v>
      </c>
      <c r="BL1454" s="2">
        <v>24.002585922803501</v>
      </c>
      <c r="BM1454" s="2">
        <v>22.857454154750901</v>
      </c>
      <c r="BN1454" s="2">
        <v>23.500545304477701</v>
      </c>
      <c r="BO1454" s="2">
        <v>23.0255567040697</v>
      </c>
      <c r="BP1454" s="2">
        <v>23.405124393589801</v>
      </c>
      <c r="BQ1454" s="2">
        <v>23.290657016748199</v>
      </c>
      <c r="BR1454" s="2">
        <v>23.297151718994701</v>
      </c>
      <c r="BS1454" s="2">
        <v>22.991036374842</v>
      </c>
      <c r="BT1454" s="2">
        <v>22.6261605530533</v>
      </c>
      <c r="BU1454" s="2">
        <v>23.451421619905901</v>
      </c>
      <c r="BV1454" s="2">
        <v>23.153019346033499</v>
      </c>
      <c r="BW1454" s="2">
        <v>23.2741213293878</v>
      </c>
      <c r="BX1454" s="2">
        <v>23.5736911924248</v>
      </c>
      <c r="BY1454" s="2">
        <v>23.249319116574402</v>
      </c>
      <c r="BZ1454" s="2">
        <v>23.0668284947728</v>
      </c>
      <c r="CA1454" s="2">
        <v>23.558184761149001</v>
      </c>
      <c r="CB1454" s="2">
        <v>22.808654429146799</v>
      </c>
      <c r="CC1454" s="2">
        <v>23.346345098437101</v>
      </c>
      <c r="CD1454" s="2">
        <v>23.176567436024399</v>
      </c>
      <c r="CE1454" s="2">
        <v>22.604386078681198</v>
      </c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</row>
    <row r="1455" spans="1:97">
      <c r="A1455" s="2" t="s">
        <v>13012</v>
      </c>
      <c r="B1455" s="2">
        <v>152.03845000000001</v>
      </c>
      <c r="C1455" s="2">
        <v>0.58299999999999996</v>
      </c>
      <c r="D1455" s="2" t="s">
        <v>84</v>
      </c>
      <c r="E1455" s="2" t="s">
        <v>13013</v>
      </c>
      <c r="F1455" s="2"/>
      <c r="G1455" s="2">
        <v>596411</v>
      </c>
      <c r="H1455" s="3" t="str">
        <f>HYPERLINK("https://cloud.oebiotech.com/#/lm/network/596411", "https://cloud.oebiotech.com/#/lm/network/596411")</f>
        <v>https://cloud.oebiotech.com/#/lm/network/596411</v>
      </c>
      <c r="I1455" s="2"/>
      <c r="J1455" s="2"/>
      <c r="K1455" s="2"/>
      <c r="L1455" s="2">
        <v>12574414</v>
      </c>
      <c r="M1455" s="2"/>
      <c r="N1455" s="2"/>
      <c r="O1455" s="2"/>
      <c r="P1455" s="2"/>
      <c r="Q1455" s="2"/>
      <c r="R1455" s="2"/>
      <c r="S1455" s="2"/>
      <c r="T1455" s="2" t="s">
        <v>13014</v>
      </c>
      <c r="U1455" s="2" t="s">
        <v>13015</v>
      </c>
      <c r="V1455" s="2" t="s">
        <v>115</v>
      </c>
      <c r="W1455" s="2" t="s">
        <v>613</v>
      </c>
      <c r="X1455" s="2" t="s">
        <v>7162</v>
      </c>
      <c r="Y1455" s="2" t="s">
        <v>118</v>
      </c>
      <c r="Z1455" s="2" t="s">
        <v>615</v>
      </c>
      <c r="AA1455" s="2" t="s">
        <v>7163</v>
      </c>
      <c r="AB1455" s="2" t="s">
        <v>8443</v>
      </c>
      <c r="AC1455" s="2">
        <v>44.66</v>
      </c>
      <c r="AD1455" s="2">
        <v>93.92</v>
      </c>
      <c r="AE1455" s="2">
        <v>0</v>
      </c>
      <c r="AF1455" s="2" t="s">
        <v>5614</v>
      </c>
      <c r="AG1455" s="2" t="s">
        <v>1088</v>
      </c>
      <c r="AH1455" s="2" t="s">
        <v>13016</v>
      </c>
      <c r="AI1455" s="2">
        <v>-1.97</v>
      </c>
      <c r="AJ1455" s="2">
        <v>24.154287392083901</v>
      </c>
      <c r="AK1455" s="2">
        <v>24.285669169799402</v>
      </c>
      <c r="AL1455" s="2">
        <v>24.467345969348901</v>
      </c>
      <c r="AM1455" s="2">
        <v>24.364970810663799</v>
      </c>
      <c r="AN1455" s="2">
        <v>24.5049824469707</v>
      </c>
      <c r="AO1455" s="2">
        <v>24.417182056275699</v>
      </c>
      <c r="AP1455" s="2">
        <v>24.2460783706101</v>
      </c>
      <c r="AQ1455" s="2">
        <v>24.425441669840801</v>
      </c>
      <c r="AR1455" s="2">
        <v>24.058566506557799</v>
      </c>
      <c r="AS1455" s="2">
        <v>23.9066349975765</v>
      </c>
      <c r="AT1455" s="2">
        <v>23.987495654776701</v>
      </c>
      <c r="AU1455" s="2">
        <v>23.996049080816299</v>
      </c>
      <c r="AV1455" s="2">
        <v>24.240255977079102</v>
      </c>
      <c r="AW1455" s="2">
        <v>24.257494022177799</v>
      </c>
      <c r="AX1455" s="2">
        <v>23.939207416895002</v>
      </c>
      <c r="AY1455" s="2">
        <v>24.233331088938399</v>
      </c>
      <c r="AZ1455" s="2">
        <v>24.050158253403801</v>
      </c>
      <c r="BA1455" s="2">
        <v>24.150044051727999</v>
      </c>
      <c r="BB1455" s="2">
        <v>24.238681106056902</v>
      </c>
      <c r="BC1455" s="2">
        <v>24.3068170852194</v>
      </c>
      <c r="BD1455" s="2">
        <v>24.158681051924798</v>
      </c>
      <c r="BE1455" s="2">
        <v>24.5141505701189</v>
      </c>
      <c r="BF1455" s="2">
        <v>24.287470175242898</v>
      </c>
      <c r="BG1455" s="2">
        <v>24.1655624086888</v>
      </c>
      <c r="BH1455" s="2">
        <v>24.333363690738899</v>
      </c>
      <c r="BI1455" s="2">
        <v>23.846982394037902</v>
      </c>
      <c r="BJ1455" s="2">
        <v>24.169652085025099</v>
      </c>
      <c r="BK1455" s="2">
        <v>24.157005796341899</v>
      </c>
      <c r="BL1455" s="2">
        <v>23.558505278737901</v>
      </c>
      <c r="BM1455" s="2">
        <v>24.414641358533</v>
      </c>
      <c r="BN1455" s="2">
        <v>24.308746208147099</v>
      </c>
      <c r="BO1455" s="2">
        <v>24.030772925624799</v>
      </c>
      <c r="BP1455" s="2">
        <v>23.982006650091801</v>
      </c>
      <c r="BQ1455" s="2">
        <v>23.956035294491301</v>
      </c>
      <c r="BR1455" s="2">
        <v>23.7942239519355</v>
      </c>
      <c r="BS1455" s="2">
        <v>24.281723168887599</v>
      </c>
      <c r="BT1455" s="2">
        <v>24.0472247100627</v>
      </c>
      <c r="BU1455" s="2">
        <v>24.216128664791398</v>
      </c>
      <c r="BV1455" s="2">
        <v>24.181416538321301</v>
      </c>
      <c r="BW1455" s="2">
        <v>24.2219143283886</v>
      </c>
      <c r="BX1455" s="2">
        <v>23.8594799598932</v>
      </c>
      <c r="BY1455" s="2">
        <v>24.903476640624799</v>
      </c>
      <c r="BZ1455" s="2">
        <v>24.003715516904599</v>
      </c>
      <c r="CA1455" s="2">
        <v>23.965973511504298</v>
      </c>
      <c r="CB1455" s="2">
        <v>24.3075043692848</v>
      </c>
      <c r="CC1455" s="2">
        <v>24.080361329167701</v>
      </c>
      <c r="CD1455" s="2">
        <v>24.434939126679399</v>
      </c>
      <c r="CE1455" s="2">
        <v>24.228340813285701</v>
      </c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</row>
    <row r="1456" spans="1:97">
      <c r="A1456" s="2" t="s">
        <v>13017</v>
      </c>
      <c r="B1456" s="2">
        <v>253.03501</v>
      </c>
      <c r="C1456" s="2">
        <v>4.2119999999999997</v>
      </c>
      <c r="D1456" s="2" t="s">
        <v>146</v>
      </c>
      <c r="E1456" s="2" t="s">
        <v>13018</v>
      </c>
      <c r="F1456" s="2" t="s">
        <v>13019</v>
      </c>
      <c r="G1456" s="2">
        <v>62786</v>
      </c>
      <c r="H1456" s="3" t="str">
        <f>HYPERLINK("https://cloud.oebiotech.com/#/lm/network/62786", "https://cloud.oebiotech.com/#/lm/network/62786")</f>
        <v>https://cloud.oebiotech.com/#/lm/network/62786</v>
      </c>
      <c r="I1456" s="2" t="s">
        <v>13020</v>
      </c>
      <c r="J1456" s="2">
        <v>94080</v>
      </c>
      <c r="K1456" s="2"/>
      <c r="L1456" s="2">
        <v>13708642</v>
      </c>
      <c r="M1456" s="2"/>
      <c r="N1456" s="2"/>
      <c r="O1456" s="2"/>
      <c r="P1456" s="2">
        <v>174347</v>
      </c>
      <c r="Q1456" s="2"/>
      <c r="R1456" s="2"/>
      <c r="S1456" s="2" t="s">
        <v>13021</v>
      </c>
      <c r="T1456" s="2" t="s">
        <v>13022</v>
      </c>
      <c r="U1456" s="2" t="s">
        <v>13023</v>
      </c>
      <c r="V1456" s="2" t="s">
        <v>385</v>
      </c>
      <c r="W1456" s="2" t="s">
        <v>386</v>
      </c>
      <c r="X1456" s="2" t="s">
        <v>1059</v>
      </c>
      <c r="Y1456" s="2" t="s">
        <v>388</v>
      </c>
      <c r="Z1456" s="2" t="s">
        <v>389</v>
      </c>
      <c r="AA1456" s="2" t="s">
        <v>1060</v>
      </c>
      <c r="AB1456" s="2" t="s">
        <v>8443</v>
      </c>
      <c r="AC1456" s="2">
        <v>44.66</v>
      </c>
      <c r="AD1456" s="2">
        <v>92.61</v>
      </c>
      <c r="AE1456" s="2">
        <v>0</v>
      </c>
      <c r="AF1456" s="2" t="s">
        <v>5614</v>
      </c>
      <c r="AG1456" s="2" t="s">
        <v>194</v>
      </c>
      <c r="AH1456" s="2" t="s">
        <v>13024</v>
      </c>
      <c r="AI1456" s="2">
        <v>1.58</v>
      </c>
      <c r="AJ1456" s="2">
        <v>17.303981187825698</v>
      </c>
      <c r="AK1456" s="2">
        <v>17.5210057114999</v>
      </c>
      <c r="AL1456" s="2">
        <v>17.585880696720601</v>
      </c>
      <c r="AM1456" s="2">
        <v>17.4610613984492</v>
      </c>
      <c r="AN1456" s="2">
        <v>17.098678070053101</v>
      </c>
      <c r="AO1456" s="2">
        <v>17.34458719193</v>
      </c>
      <c r="AP1456" s="2">
        <v>17.4656045058925</v>
      </c>
      <c r="AQ1456" s="2">
        <v>17.692829261336101</v>
      </c>
      <c r="AR1456" s="2">
        <v>17.537545117948699</v>
      </c>
      <c r="AS1456" s="2">
        <v>17.550648874162999</v>
      </c>
      <c r="AT1456" s="2">
        <v>17.297989245807798</v>
      </c>
      <c r="AU1456" s="2">
        <v>17.655851210366102</v>
      </c>
      <c r="AV1456" s="2">
        <v>17.189259544520901</v>
      </c>
      <c r="AW1456" s="2">
        <v>17.428487273197401</v>
      </c>
      <c r="AX1456" s="2">
        <v>17.2821213958714</v>
      </c>
      <c r="AY1456" s="2">
        <v>17.307020389812902</v>
      </c>
      <c r="AZ1456" s="2">
        <v>17.516671793274199</v>
      </c>
      <c r="BA1456" s="2">
        <v>17.658931785569202</v>
      </c>
      <c r="BB1456" s="2">
        <v>17.2310702982167</v>
      </c>
      <c r="BC1456" s="2">
        <v>16.8618138876388</v>
      </c>
      <c r="BD1456" s="2">
        <v>17.419907688330301</v>
      </c>
      <c r="BE1456" s="2">
        <v>17.214202041286899</v>
      </c>
      <c r="BF1456" s="2">
        <v>17.3337275268346</v>
      </c>
      <c r="BG1456" s="2">
        <v>17.396327326013399</v>
      </c>
      <c r="BH1456" s="2">
        <v>17.504773452782899</v>
      </c>
      <c r="BI1456" s="2">
        <v>17.3124034127123</v>
      </c>
      <c r="BJ1456" s="2">
        <v>16.8632509003092</v>
      </c>
      <c r="BK1456" s="2">
        <v>17.433342233174301</v>
      </c>
      <c r="BL1456" s="2">
        <v>17.256197629395899</v>
      </c>
      <c r="BM1456" s="2">
        <v>17.140006419411101</v>
      </c>
      <c r="BN1456" s="2">
        <v>17.070948474344998</v>
      </c>
      <c r="BO1456" s="2">
        <v>17.2756064800571</v>
      </c>
      <c r="BP1456" s="2">
        <v>17.312672670985499</v>
      </c>
      <c r="BQ1456" s="2">
        <v>17.4674654510716</v>
      </c>
      <c r="BR1456" s="2">
        <v>17.3361104058582</v>
      </c>
      <c r="BS1456" s="2">
        <v>17.5008137210909</v>
      </c>
      <c r="BT1456" s="2">
        <v>17.464965980624498</v>
      </c>
      <c r="BU1456" s="2">
        <v>17.432511887425999</v>
      </c>
      <c r="BV1456" s="2">
        <v>17.3602588123244</v>
      </c>
      <c r="BW1456" s="2">
        <v>17.347018678083899</v>
      </c>
      <c r="BX1456" s="2">
        <v>17.406810043650498</v>
      </c>
      <c r="BY1456" s="2">
        <v>16.439990730981499</v>
      </c>
      <c r="BZ1456" s="2">
        <v>17.297735858133802</v>
      </c>
      <c r="CA1456" s="2">
        <v>17.135512505111102</v>
      </c>
      <c r="CB1456" s="2">
        <v>17.2598032031297</v>
      </c>
      <c r="CC1456" s="2">
        <v>17.435521817167501</v>
      </c>
      <c r="CD1456" s="2">
        <v>17.3062787254886</v>
      </c>
      <c r="CE1456" s="2">
        <v>17.1076380182243</v>
      </c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</row>
    <row r="1457" spans="1:97">
      <c r="A1457" s="2" t="s">
        <v>13025</v>
      </c>
      <c r="B1457" s="2">
        <v>260.02285000000001</v>
      </c>
      <c r="C1457" s="2">
        <v>0.78800000000000003</v>
      </c>
      <c r="D1457" s="2" t="s">
        <v>146</v>
      </c>
      <c r="E1457" s="2" t="s">
        <v>13026</v>
      </c>
      <c r="F1457" s="2"/>
      <c r="G1457" s="2">
        <v>594850</v>
      </c>
      <c r="H1457" s="3" t="str">
        <f>HYPERLINK("https://cloud.oebiotech.com/#/lm/network/594850", "https://cloud.oebiotech.com/#/lm/network/594850")</f>
        <v>https://cloud.oebiotech.com/#/lm/network/594850</v>
      </c>
      <c r="I1457" s="2"/>
      <c r="J1457" s="2"/>
      <c r="K1457" s="2"/>
      <c r="L1457" s="2">
        <v>3364668</v>
      </c>
      <c r="M1457" s="2"/>
      <c r="N1457" s="2"/>
      <c r="O1457" s="2"/>
      <c r="P1457" s="2"/>
      <c r="Q1457" s="2"/>
      <c r="R1457" s="2"/>
      <c r="S1457" s="2"/>
      <c r="T1457" s="2" t="s">
        <v>13027</v>
      </c>
      <c r="U1457" s="2" t="s">
        <v>13028</v>
      </c>
      <c r="V1457" s="2" t="s">
        <v>115</v>
      </c>
      <c r="W1457" s="2" t="s">
        <v>116</v>
      </c>
      <c r="X1457" s="2" t="s">
        <v>117</v>
      </c>
      <c r="Y1457" s="2" t="s">
        <v>118</v>
      </c>
      <c r="Z1457" s="2" t="s">
        <v>119</v>
      </c>
      <c r="AA1457" s="2" t="s">
        <v>120</v>
      </c>
      <c r="AB1457" s="2" t="s">
        <v>8443</v>
      </c>
      <c r="AC1457" s="2">
        <v>44.66</v>
      </c>
      <c r="AD1457" s="2">
        <v>90.14</v>
      </c>
      <c r="AE1457" s="2">
        <v>0</v>
      </c>
      <c r="AF1457" s="2" t="s">
        <v>5614</v>
      </c>
      <c r="AG1457" s="2" t="s">
        <v>194</v>
      </c>
      <c r="AH1457" s="2" t="s">
        <v>3236</v>
      </c>
      <c r="AI1457" s="2">
        <v>1.92</v>
      </c>
      <c r="AJ1457" s="2">
        <v>19.266673368276901</v>
      </c>
      <c r="AK1457" s="2">
        <v>19.895795228683401</v>
      </c>
      <c r="AL1457" s="2">
        <v>19.486390492579702</v>
      </c>
      <c r="AM1457" s="2">
        <v>19.672286933407001</v>
      </c>
      <c r="AN1457" s="2">
        <v>19.390684544221202</v>
      </c>
      <c r="AO1457" s="2">
        <v>19.294324045550599</v>
      </c>
      <c r="AP1457" s="2">
        <v>19.4040893846236</v>
      </c>
      <c r="AQ1457" s="2">
        <v>18.724014896097302</v>
      </c>
      <c r="AR1457" s="2">
        <v>20.052684855914698</v>
      </c>
      <c r="AS1457" s="2">
        <v>19.021874918215801</v>
      </c>
      <c r="AT1457" s="2">
        <v>17.5624022377364</v>
      </c>
      <c r="AU1457" s="2">
        <v>18.074925466275499</v>
      </c>
      <c r="AV1457" s="2">
        <v>19.105182560019401</v>
      </c>
      <c r="AW1457" s="2">
        <v>19.556053195537199</v>
      </c>
      <c r="AX1457" s="2">
        <v>19.7674362116806</v>
      </c>
      <c r="AY1457" s="2">
        <v>19.4596929985812</v>
      </c>
      <c r="AZ1457" s="2">
        <v>18.6467570122499</v>
      </c>
      <c r="BA1457" s="2">
        <v>19.068741468181202</v>
      </c>
      <c r="BB1457" s="2">
        <v>18.9808817697999</v>
      </c>
      <c r="BC1457" s="2">
        <v>18.5470933471486</v>
      </c>
      <c r="BD1457" s="2">
        <v>19.585692311363498</v>
      </c>
      <c r="BE1457" s="2">
        <v>19.6487537350434</v>
      </c>
      <c r="BF1457" s="2">
        <v>18.635665518753999</v>
      </c>
      <c r="BG1457" s="2">
        <v>19.841053620196799</v>
      </c>
      <c r="BH1457" s="2">
        <v>17.865965438319101</v>
      </c>
      <c r="BI1457" s="2">
        <v>20.046961322245298</v>
      </c>
      <c r="BJ1457" s="2">
        <v>19.238971889393799</v>
      </c>
      <c r="BK1457" s="2">
        <v>20.054859934181799</v>
      </c>
      <c r="BL1457" s="2">
        <v>19.764705867560199</v>
      </c>
      <c r="BM1457" s="2">
        <v>19.5873632877063</v>
      </c>
      <c r="BN1457" s="2">
        <v>19.138541925169001</v>
      </c>
      <c r="BO1457" s="2">
        <v>18.410084229475299</v>
      </c>
      <c r="BP1457" s="2">
        <v>18.2365274662986</v>
      </c>
      <c r="BQ1457" s="2">
        <v>19.809512356696299</v>
      </c>
      <c r="BR1457" s="2">
        <v>18.185385693922399</v>
      </c>
      <c r="BS1457" s="2">
        <v>17.8363065206816</v>
      </c>
      <c r="BT1457" s="2">
        <v>19.357277847956802</v>
      </c>
      <c r="BU1457" s="2">
        <v>18.9508117369922</v>
      </c>
      <c r="BV1457" s="2">
        <v>19.389710797380001</v>
      </c>
      <c r="BW1457" s="2">
        <v>19.363756601830001</v>
      </c>
      <c r="BX1457" s="2">
        <v>18.759721805316602</v>
      </c>
      <c r="BY1457" s="2">
        <v>19.1516296253712</v>
      </c>
      <c r="BZ1457" s="2">
        <v>18.698381418476998</v>
      </c>
      <c r="CA1457" s="2">
        <v>18.405785207601699</v>
      </c>
      <c r="CB1457" s="2">
        <v>19.371049499339598</v>
      </c>
      <c r="CC1457" s="2">
        <v>20.322481173118799</v>
      </c>
      <c r="CD1457" s="2">
        <v>19.123583159988002</v>
      </c>
      <c r="CE1457" s="2">
        <v>20.168902637344999</v>
      </c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</row>
    <row r="1458" spans="1:97">
      <c r="A1458" s="2" t="s">
        <v>13029</v>
      </c>
      <c r="B1458" s="2">
        <v>493.38936999999999</v>
      </c>
      <c r="C1458" s="2">
        <v>13.515000000000001</v>
      </c>
      <c r="D1458" s="2" t="s">
        <v>146</v>
      </c>
      <c r="E1458" s="2" t="s">
        <v>13030</v>
      </c>
      <c r="F1458" s="2" t="s">
        <v>13031</v>
      </c>
      <c r="G1458" s="2">
        <v>44341</v>
      </c>
      <c r="H1458" s="3" t="str">
        <f>HYPERLINK("https://cloud.oebiotech.com/#/lm/network/44341", "https://cloud.oebiotech.com/#/lm/network/44341")</f>
        <v>https://cloud.oebiotech.com/#/lm/network/44341</v>
      </c>
      <c r="I1458" s="2" t="s">
        <v>13032</v>
      </c>
      <c r="J1458" s="2"/>
      <c r="K1458" s="2" t="s">
        <v>13033</v>
      </c>
      <c r="L1458" s="2">
        <v>3036251</v>
      </c>
      <c r="M1458" s="2"/>
      <c r="N1458" s="2"/>
      <c r="O1458" s="2"/>
      <c r="P1458" s="2">
        <v>67593</v>
      </c>
      <c r="Q1458" s="2"/>
      <c r="R1458" s="2"/>
      <c r="S1458" s="2"/>
      <c r="T1458" s="2" t="s">
        <v>13034</v>
      </c>
      <c r="U1458" s="2" t="s">
        <v>13035</v>
      </c>
      <c r="V1458" s="2" t="s">
        <v>95</v>
      </c>
      <c r="W1458" s="2" t="s">
        <v>152</v>
      </c>
      <c r="X1458" s="2" t="s">
        <v>5502</v>
      </c>
      <c r="Y1458" s="2" t="s">
        <v>98</v>
      </c>
      <c r="Z1458" s="2" t="s">
        <v>154</v>
      </c>
      <c r="AA1458" s="2" t="s">
        <v>5503</v>
      </c>
      <c r="AB1458" s="2" t="s">
        <v>8443</v>
      </c>
      <c r="AC1458" s="2">
        <v>44.66</v>
      </c>
      <c r="AD1458" s="2">
        <v>78.86</v>
      </c>
      <c r="AE1458" s="2">
        <v>44.45</v>
      </c>
      <c r="AF1458" s="2" t="s">
        <v>13036</v>
      </c>
      <c r="AG1458" s="2" t="s">
        <v>157</v>
      </c>
      <c r="AH1458" s="2" t="s">
        <v>13037</v>
      </c>
      <c r="AI1458" s="2">
        <v>0.81</v>
      </c>
      <c r="AJ1458" s="2">
        <v>19.022054113050899</v>
      </c>
      <c r="AK1458" s="2">
        <v>19.0881257957349</v>
      </c>
      <c r="AL1458" s="2">
        <v>18.942236224331701</v>
      </c>
      <c r="AM1458" s="2">
        <v>18.968337313435899</v>
      </c>
      <c r="AN1458" s="2">
        <v>19.3914385117988</v>
      </c>
      <c r="AO1458" s="2">
        <v>18.939266414369399</v>
      </c>
      <c r="AP1458" s="2">
        <v>19.048527796175399</v>
      </c>
      <c r="AQ1458" s="2">
        <v>19.02771343653</v>
      </c>
      <c r="AR1458" s="2">
        <v>18.428175799835198</v>
      </c>
      <c r="AS1458" s="2">
        <v>17.902203565189701</v>
      </c>
      <c r="AT1458" s="2">
        <v>18.788692719325098</v>
      </c>
      <c r="AU1458" s="2">
        <v>16.524550438025599</v>
      </c>
      <c r="AV1458" s="2">
        <v>17.635193293866699</v>
      </c>
      <c r="AW1458" s="2">
        <v>17.721728441058598</v>
      </c>
      <c r="AX1458" s="2">
        <v>17.669360464115499</v>
      </c>
      <c r="AY1458" s="2">
        <v>18.602831429728599</v>
      </c>
      <c r="AZ1458" s="2">
        <v>18.846327112687302</v>
      </c>
      <c r="BA1458" s="2">
        <v>19.2581239337825</v>
      </c>
      <c r="BB1458" s="2">
        <v>18.619214317632199</v>
      </c>
      <c r="BC1458" s="2">
        <v>20.1619438102732</v>
      </c>
      <c r="BD1458" s="2">
        <v>17.917463340665499</v>
      </c>
      <c r="BE1458" s="2">
        <v>19.486813146910698</v>
      </c>
      <c r="BF1458" s="2">
        <v>17.6573639518226</v>
      </c>
      <c r="BG1458" s="2">
        <v>19.311735434375201</v>
      </c>
      <c r="BH1458" s="2">
        <v>17.6779763483873</v>
      </c>
      <c r="BI1458" s="2">
        <v>17.3019212529762</v>
      </c>
      <c r="BJ1458" s="2">
        <v>19.578699876057101</v>
      </c>
      <c r="BK1458" s="2">
        <v>16.773678313251999</v>
      </c>
      <c r="BL1458" s="2">
        <v>19.253238156267599</v>
      </c>
      <c r="BM1458" s="2">
        <v>19.093020546818501</v>
      </c>
      <c r="BN1458" s="2">
        <v>17.959107552430002</v>
      </c>
      <c r="BO1458" s="2">
        <v>18.087893884345799</v>
      </c>
      <c r="BP1458" s="2">
        <v>17.803904888952399</v>
      </c>
      <c r="BQ1458" s="2">
        <v>17.955076876821199</v>
      </c>
      <c r="BR1458" s="2">
        <v>17.4583386809005</v>
      </c>
      <c r="BS1458" s="2">
        <v>18.402058955070601</v>
      </c>
      <c r="BT1458" s="2">
        <v>17.683274550363201</v>
      </c>
      <c r="BU1458" s="2">
        <v>19.5927780149295</v>
      </c>
      <c r="BV1458" s="2">
        <v>18.899517865791299</v>
      </c>
      <c r="BW1458" s="2">
        <v>16.682584955688299</v>
      </c>
      <c r="BX1458" s="2">
        <v>17.914814186029101</v>
      </c>
      <c r="BY1458" s="2">
        <v>20.311435101309399</v>
      </c>
      <c r="BZ1458" s="2">
        <v>17.276630968432599</v>
      </c>
      <c r="CA1458" s="2">
        <v>18.259683597573598</v>
      </c>
      <c r="CB1458" s="2">
        <v>18.381217709948</v>
      </c>
      <c r="CC1458" s="2">
        <v>18.1865307247182</v>
      </c>
      <c r="CD1458" s="2">
        <v>19.8010824586115</v>
      </c>
      <c r="CE1458" s="2">
        <v>18.809540334950299</v>
      </c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</row>
    <row r="1459" spans="1:97">
      <c r="A1459" s="2" t="s">
        <v>13038</v>
      </c>
      <c r="B1459" s="2">
        <v>766.48785999999996</v>
      </c>
      <c r="C1459" s="2">
        <v>10.667999999999999</v>
      </c>
      <c r="D1459" s="2" t="s">
        <v>84</v>
      </c>
      <c r="E1459" s="2" t="s">
        <v>13039</v>
      </c>
      <c r="F1459" s="2" t="s">
        <v>13040</v>
      </c>
      <c r="G1459" s="2">
        <v>220039</v>
      </c>
      <c r="H1459" s="3" t="str">
        <f>HYPERLINK("https://cloud.oebiotech.com/#/lm/network/220039", "https://cloud.oebiotech.com/#/lm/network/220039")</f>
        <v>https://cloud.oebiotech.com/#/lm/network/220039</v>
      </c>
      <c r="I1459" s="2" t="s">
        <v>13041</v>
      </c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 t="s">
        <v>13042</v>
      </c>
      <c r="U1459" s="2" t="s">
        <v>13043</v>
      </c>
      <c r="V1459" s="2" t="s">
        <v>95</v>
      </c>
      <c r="W1459" s="2" t="s">
        <v>96</v>
      </c>
      <c r="X1459" s="2" t="s">
        <v>3216</v>
      </c>
      <c r="Y1459" s="2" t="s">
        <v>98</v>
      </c>
      <c r="Z1459" s="2" t="s">
        <v>99</v>
      </c>
      <c r="AA1459" s="2" t="s">
        <v>3217</v>
      </c>
      <c r="AB1459" s="2" t="s">
        <v>5118</v>
      </c>
      <c r="AC1459" s="2">
        <v>44.64</v>
      </c>
      <c r="AD1459" s="2">
        <v>77.44</v>
      </c>
      <c r="AE1459" s="2">
        <v>62.39</v>
      </c>
      <c r="AF1459" s="2" t="s">
        <v>13044</v>
      </c>
      <c r="AG1459" s="2" t="s">
        <v>132</v>
      </c>
      <c r="AH1459" s="2" t="s">
        <v>13045</v>
      </c>
      <c r="AI1459" s="2">
        <v>-1.83</v>
      </c>
      <c r="AJ1459" s="2">
        <v>22.886707355321001</v>
      </c>
      <c r="AK1459" s="2">
        <v>22.898554459582499</v>
      </c>
      <c r="AL1459" s="2">
        <v>22.7213642999744</v>
      </c>
      <c r="AM1459" s="2">
        <v>22.844236026180301</v>
      </c>
      <c r="AN1459" s="2">
        <v>22.851442165286201</v>
      </c>
      <c r="AO1459" s="2">
        <v>23.2053657645918</v>
      </c>
      <c r="AP1459" s="2">
        <v>22.772133230405501</v>
      </c>
      <c r="AQ1459" s="2">
        <v>22.869769984137701</v>
      </c>
      <c r="AR1459" s="2">
        <v>23.194146387616701</v>
      </c>
      <c r="AS1459" s="2">
        <v>22.295235110978201</v>
      </c>
      <c r="AT1459" s="2">
        <v>22.8043648525911</v>
      </c>
      <c r="AU1459" s="2">
        <v>22.4995207275987</v>
      </c>
      <c r="AV1459" s="2">
        <v>22.3768649925114</v>
      </c>
      <c r="AW1459" s="2">
        <v>22.939868085085902</v>
      </c>
      <c r="AX1459" s="2">
        <v>22.795695746793101</v>
      </c>
      <c r="AY1459" s="2">
        <v>22.8704447647326</v>
      </c>
      <c r="AZ1459" s="2">
        <v>23.027218989611001</v>
      </c>
      <c r="BA1459" s="2">
        <v>21.709777789256599</v>
      </c>
      <c r="BB1459" s="2">
        <v>22.701601171636099</v>
      </c>
      <c r="BC1459" s="2">
        <v>23.428600342534299</v>
      </c>
      <c r="BD1459" s="2">
        <v>22.252437929170299</v>
      </c>
      <c r="BE1459" s="2">
        <v>23.3105640842778</v>
      </c>
      <c r="BF1459" s="2">
        <v>22.791791987675399</v>
      </c>
      <c r="BG1459" s="2">
        <v>22.020299002848699</v>
      </c>
      <c r="BH1459" s="2">
        <v>22.4763290824772</v>
      </c>
      <c r="BI1459" s="2">
        <v>22.8137290322931</v>
      </c>
      <c r="BJ1459" s="2">
        <v>22.638536514283</v>
      </c>
      <c r="BK1459" s="2">
        <v>22.720815548230899</v>
      </c>
      <c r="BL1459" s="2">
        <v>22.702973728564501</v>
      </c>
      <c r="BM1459" s="2">
        <v>22.539105638566401</v>
      </c>
      <c r="BN1459" s="2">
        <v>22.607932597906998</v>
      </c>
      <c r="BO1459" s="2">
        <v>22.8758123204674</v>
      </c>
      <c r="BP1459" s="2">
        <v>22.647572695951901</v>
      </c>
      <c r="BQ1459" s="2">
        <v>22.543427350694099</v>
      </c>
      <c r="BR1459" s="2">
        <v>22.887819548594301</v>
      </c>
      <c r="BS1459" s="2">
        <v>23.076694721662999</v>
      </c>
      <c r="BT1459" s="2">
        <v>22.7756019363452</v>
      </c>
      <c r="BU1459" s="2">
        <v>22.547759676244802</v>
      </c>
      <c r="BV1459" s="2">
        <v>22.868879786640701</v>
      </c>
      <c r="BW1459" s="2">
        <v>22.289739468540599</v>
      </c>
      <c r="BX1459" s="2">
        <v>22.498097771102898</v>
      </c>
      <c r="BY1459" s="2">
        <v>23.672412982908</v>
      </c>
      <c r="BZ1459" s="2">
        <v>22.718629698958701</v>
      </c>
      <c r="CA1459" s="2">
        <v>23.0540480236359</v>
      </c>
      <c r="CB1459" s="2">
        <v>22.356752935531901</v>
      </c>
      <c r="CC1459" s="2">
        <v>22.3351729294086</v>
      </c>
      <c r="CD1459" s="2">
        <v>22.993317101456402</v>
      </c>
      <c r="CE1459" s="2">
        <v>22.036637445885599</v>
      </c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</row>
    <row r="1460" spans="1:97">
      <c r="A1460" s="2" t="s">
        <v>13046</v>
      </c>
      <c r="B1460" s="2">
        <v>581.23865000000001</v>
      </c>
      <c r="C1460" s="2">
        <v>14.948</v>
      </c>
      <c r="D1460" s="2" t="s">
        <v>84</v>
      </c>
      <c r="E1460" s="2" t="s">
        <v>13047</v>
      </c>
      <c r="F1460" s="2" t="s">
        <v>13048</v>
      </c>
      <c r="G1460" s="2">
        <v>56383</v>
      </c>
      <c r="H1460" s="3" t="str">
        <f>HYPERLINK("https://cloud.oebiotech.com/#/lm/network/56383", "https://cloud.oebiotech.com/#/lm/network/56383")</f>
        <v>https://cloud.oebiotech.com/#/lm/network/56383</v>
      </c>
      <c r="I1460" s="2" t="s">
        <v>13049</v>
      </c>
      <c r="J1460" s="2">
        <v>88035</v>
      </c>
      <c r="K1460" s="2"/>
      <c r="L1460" s="2">
        <v>131751214</v>
      </c>
      <c r="M1460" s="2"/>
      <c r="N1460" s="2"/>
      <c r="O1460" s="2"/>
      <c r="P1460" s="2"/>
      <c r="Q1460" s="2"/>
      <c r="R1460" s="2"/>
      <c r="S1460" s="2" t="s">
        <v>13050</v>
      </c>
      <c r="T1460" s="2" t="s">
        <v>13051</v>
      </c>
      <c r="U1460" s="2" t="s">
        <v>13052</v>
      </c>
      <c r="V1460" s="2" t="s">
        <v>374</v>
      </c>
      <c r="W1460" s="2" t="s">
        <v>4450</v>
      </c>
      <c r="X1460" s="2" t="s">
        <v>13053</v>
      </c>
      <c r="Y1460" s="2" t="s">
        <v>376</v>
      </c>
      <c r="Z1460" s="2" t="s">
        <v>4452</v>
      </c>
      <c r="AA1460" s="2" t="s">
        <v>13054</v>
      </c>
      <c r="AB1460" s="2" t="s">
        <v>5118</v>
      </c>
      <c r="AC1460" s="2">
        <v>44.62</v>
      </c>
      <c r="AD1460" s="2">
        <v>90.09</v>
      </c>
      <c r="AE1460" s="2">
        <v>61.89</v>
      </c>
      <c r="AF1460" s="2" t="s">
        <v>13055</v>
      </c>
      <c r="AG1460" s="2" t="s">
        <v>3544</v>
      </c>
      <c r="AH1460" s="2" t="s">
        <v>13056</v>
      </c>
      <c r="AI1460" s="2">
        <v>4.3</v>
      </c>
      <c r="AJ1460" s="2">
        <v>23.007299392297298</v>
      </c>
      <c r="AK1460" s="2">
        <v>21.703819059173</v>
      </c>
      <c r="AL1460" s="2">
        <v>22.987816025049899</v>
      </c>
      <c r="AM1460" s="2">
        <v>22.781524819429102</v>
      </c>
      <c r="AN1460" s="2">
        <v>22.4962107500941</v>
      </c>
      <c r="AO1460" s="2">
        <v>23.0540672962542</v>
      </c>
      <c r="AP1460" s="2">
        <v>23.0194821093848</v>
      </c>
      <c r="AQ1460" s="2">
        <v>22.495551385282301</v>
      </c>
      <c r="AR1460" s="2">
        <v>21.992744145577099</v>
      </c>
      <c r="AS1460" s="2">
        <v>22.950248539046701</v>
      </c>
      <c r="AT1460" s="2">
        <v>23.2876835056353</v>
      </c>
      <c r="AU1460" s="2">
        <v>20.312136320548099</v>
      </c>
      <c r="AV1460" s="2">
        <v>22.0203379988845</v>
      </c>
      <c r="AW1460" s="2">
        <v>23.054470612054502</v>
      </c>
      <c r="AX1460" s="2">
        <v>23.0635859244287</v>
      </c>
      <c r="AY1460" s="2">
        <v>23.247971382473299</v>
      </c>
      <c r="AZ1460" s="2">
        <v>22.2522854202447</v>
      </c>
      <c r="BA1460" s="2">
        <v>21.977706522407502</v>
      </c>
      <c r="BB1460" s="2">
        <v>22.342616833676001</v>
      </c>
      <c r="BC1460" s="2">
        <v>23.9114848212844</v>
      </c>
      <c r="BD1460" s="2">
        <v>22.627547901977799</v>
      </c>
      <c r="BE1460" s="2">
        <v>24.689442564541601</v>
      </c>
      <c r="BF1460" s="2">
        <v>20.7578320505623</v>
      </c>
      <c r="BG1460" s="2">
        <v>23.561544397613702</v>
      </c>
      <c r="BH1460" s="2">
        <v>23.293231237636402</v>
      </c>
      <c r="BI1460" s="2">
        <v>21.814580072135001</v>
      </c>
      <c r="BJ1460" s="2">
        <v>22.8524445644323</v>
      </c>
      <c r="BK1460" s="2">
        <v>21.7943263567367</v>
      </c>
      <c r="BL1460" s="2">
        <v>23.092907629910101</v>
      </c>
      <c r="BM1460" s="2">
        <v>22.297903111302698</v>
      </c>
      <c r="BN1460" s="2">
        <v>23.4781759848889</v>
      </c>
      <c r="BO1460" s="2">
        <v>23.021769291717099</v>
      </c>
      <c r="BP1460" s="2">
        <v>21.813506562261502</v>
      </c>
      <c r="BQ1460" s="2">
        <v>23.0150343913716</v>
      </c>
      <c r="BR1460" s="2">
        <v>22.761335503597</v>
      </c>
      <c r="BS1460" s="2">
        <v>22.1183327053323</v>
      </c>
      <c r="BT1460" s="2">
        <v>22.398711209018199</v>
      </c>
      <c r="BU1460" s="2">
        <v>22.0595921690545</v>
      </c>
      <c r="BV1460" s="2">
        <v>22.8645346836587</v>
      </c>
      <c r="BW1460" s="2">
        <v>22.406694687851999</v>
      </c>
      <c r="BX1460" s="2">
        <v>21.851203492101799</v>
      </c>
      <c r="BY1460" s="2">
        <v>24.040403489103198</v>
      </c>
      <c r="BZ1460" s="2">
        <v>22.021838653758099</v>
      </c>
      <c r="CA1460" s="2">
        <v>23.332995538486699</v>
      </c>
      <c r="CB1460" s="2">
        <v>23.414531344670198</v>
      </c>
      <c r="CC1460" s="2">
        <v>22.259179370919099</v>
      </c>
      <c r="CD1460" s="2">
        <v>23.184014627336001</v>
      </c>
      <c r="CE1460" s="2">
        <v>22.3305425925845</v>
      </c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</row>
    <row r="1461" spans="1:97">
      <c r="A1461" s="2" t="s">
        <v>13057</v>
      </c>
      <c r="B1461" s="2">
        <v>789.61623999999995</v>
      </c>
      <c r="C1461" s="2">
        <v>12.631</v>
      </c>
      <c r="D1461" s="2" t="s">
        <v>84</v>
      </c>
      <c r="E1461" s="2" t="s">
        <v>13058</v>
      </c>
      <c r="F1461" s="2" t="s">
        <v>13059</v>
      </c>
      <c r="G1461" s="2">
        <v>18820</v>
      </c>
      <c r="H1461" s="3" t="str">
        <f>HYPERLINK("https://cloud.oebiotech.com/#/lm/network/18820", "https://cloud.oebiotech.com/#/lm/network/18820")</f>
        <v>https://cloud.oebiotech.com/#/lm/network/18820</v>
      </c>
      <c r="I1461" s="2"/>
      <c r="J1461" s="2">
        <v>75841</v>
      </c>
      <c r="K1461" s="2" t="s">
        <v>13060</v>
      </c>
      <c r="L1461" s="2">
        <v>52922601</v>
      </c>
      <c r="M1461" s="2"/>
      <c r="N1461" s="2"/>
      <c r="O1461" s="2"/>
      <c r="P1461" s="2"/>
      <c r="Q1461" s="2"/>
      <c r="R1461" s="2"/>
      <c r="S1461" s="2"/>
      <c r="T1461" s="2" t="s">
        <v>13061</v>
      </c>
      <c r="U1461" s="2" t="s">
        <v>13062</v>
      </c>
      <c r="V1461" s="2" t="s">
        <v>95</v>
      </c>
      <c r="W1461" s="2" t="s">
        <v>202</v>
      </c>
      <c r="X1461" s="2" t="s">
        <v>203</v>
      </c>
      <c r="Y1461" s="2" t="s">
        <v>98</v>
      </c>
      <c r="Z1461" s="2" t="s">
        <v>204</v>
      </c>
      <c r="AA1461" s="2" t="s">
        <v>205</v>
      </c>
      <c r="AB1461" s="2" t="s">
        <v>3086</v>
      </c>
      <c r="AC1461" s="2">
        <v>44.61</v>
      </c>
      <c r="AD1461" s="2">
        <v>66.709999999999994</v>
      </c>
      <c r="AE1461" s="2">
        <v>0</v>
      </c>
      <c r="AF1461" s="2" t="s">
        <v>5614</v>
      </c>
      <c r="AG1461" s="2" t="s">
        <v>132</v>
      </c>
      <c r="AH1461" s="2" t="s">
        <v>13063</v>
      </c>
      <c r="AI1461" s="2">
        <v>-5.83</v>
      </c>
      <c r="AJ1461" s="2">
        <v>24.062430684694402</v>
      </c>
      <c r="AK1461" s="2">
        <v>23.625468034578201</v>
      </c>
      <c r="AL1461" s="2">
        <v>23.316389638660802</v>
      </c>
      <c r="AM1461" s="2">
        <v>23.008384903324799</v>
      </c>
      <c r="AN1461" s="2">
        <v>23.774942406196999</v>
      </c>
      <c r="AO1461" s="2">
        <v>23.743025475964799</v>
      </c>
      <c r="AP1461" s="2">
        <v>23.529802438396501</v>
      </c>
      <c r="AQ1461" s="2">
        <v>23.958668917841599</v>
      </c>
      <c r="AR1461" s="2">
        <v>24.2406552143614</v>
      </c>
      <c r="AS1461" s="2">
        <v>24.0496805670588</v>
      </c>
      <c r="AT1461" s="2">
        <v>22.690804799700398</v>
      </c>
      <c r="AU1461" s="2">
        <v>19.8568956416511</v>
      </c>
      <c r="AV1461" s="2">
        <v>24.086133390573199</v>
      </c>
      <c r="AW1461" s="2">
        <v>23.893945000802098</v>
      </c>
      <c r="AX1461" s="2">
        <v>23.187851253304299</v>
      </c>
      <c r="AY1461" s="2">
        <v>22.105299354998699</v>
      </c>
      <c r="AZ1461" s="2">
        <v>23.610003256479001</v>
      </c>
      <c r="BA1461" s="2">
        <v>23.964015764108801</v>
      </c>
      <c r="BB1461" s="2">
        <v>23.2156933311324</v>
      </c>
      <c r="BC1461" s="2">
        <v>24.208267160172799</v>
      </c>
      <c r="BD1461" s="2">
        <v>24.321585055347899</v>
      </c>
      <c r="BE1461" s="2">
        <v>24.020498712441899</v>
      </c>
      <c r="BF1461" s="2">
        <v>24.039313792994601</v>
      </c>
      <c r="BG1461" s="2">
        <v>23.554806315033598</v>
      </c>
      <c r="BH1461" s="2">
        <v>23.991761142391901</v>
      </c>
      <c r="BI1461" s="2">
        <v>24.641918219882498</v>
      </c>
      <c r="BJ1461" s="2">
        <v>19.416313665089898</v>
      </c>
      <c r="BK1461" s="2">
        <v>23.714363219494398</v>
      </c>
      <c r="BL1461" s="2">
        <v>21.592636790819299</v>
      </c>
      <c r="BM1461" s="2">
        <v>22.738817323669402</v>
      </c>
      <c r="BN1461" s="2">
        <v>23.461597242737799</v>
      </c>
      <c r="BO1461" s="2">
        <v>23.359749991886201</v>
      </c>
      <c r="BP1461" s="2">
        <v>23.451818664830299</v>
      </c>
      <c r="BQ1461" s="2">
        <v>24.214126210865601</v>
      </c>
      <c r="BR1461" s="2">
        <v>24.2143631966056</v>
      </c>
      <c r="BS1461" s="2">
        <v>23.764390779278301</v>
      </c>
      <c r="BT1461" s="2">
        <v>23.822192818333299</v>
      </c>
      <c r="BU1461" s="2">
        <v>22.549617234849698</v>
      </c>
      <c r="BV1461" s="2">
        <v>23.991811990513501</v>
      </c>
      <c r="BW1461" s="2">
        <v>24.195850003583999</v>
      </c>
      <c r="BX1461" s="2">
        <v>23.985567623577801</v>
      </c>
      <c r="BY1461" s="2">
        <v>24.116423371281801</v>
      </c>
      <c r="BZ1461" s="2">
        <v>23.9725090340797</v>
      </c>
      <c r="CA1461" s="2">
        <v>23.824258030284302</v>
      </c>
      <c r="CB1461" s="2">
        <v>24.3270701179753</v>
      </c>
      <c r="CC1461" s="2">
        <v>23.888141064022999</v>
      </c>
      <c r="CD1461" s="2">
        <v>23.674055493850801</v>
      </c>
      <c r="CE1461" s="2">
        <v>21.5295570905921</v>
      </c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</row>
    <row r="1462" spans="1:97">
      <c r="A1462" s="2" t="s">
        <v>13064</v>
      </c>
      <c r="B1462" s="2">
        <v>250.03853000000001</v>
      </c>
      <c r="C1462" s="2">
        <v>1.028</v>
      </c>
      <c r="D1462" s="2" t="s">
        <v>146</v>
      </c>
      <c r="E1462" s="2" t="s">
        <v>13065</v>
      </c>
      <c r="F1462" s="2" t="s">
        <v>13066</v>
      </c>
      <c r="G1462" s="2">
        <v>201634</v>
      </c>
      <c r="H1462" s="3" t="str">
        <f>HYPERLINK("https://cloud.oebiotech.com/#/lm/network/201634", "https://cloud.oebiotech.com/#/lm/network/201634")</f>
        <v>https://cloud.oebiotech.com/#/lm/network/201634</v>
      </c>
      <c r="I1462" s="2" t="s">
        <v>13067</v>
      </c>
      <c r="J1462" s="2">
        <v>342890</v>
      </c>
      <c r="K1462" s="2"/>
      <c r="L1462" s="2">
        <v>65069</v>
      </c>
      <c r="M1462" s="2"/>
      <c r="N1462" s="2"/>
      <c r="O1462" s="2"/>
      <c r="P1462" s="2"/>
      <c r="Q1462" s="2"/>
      <c r="R1462" s="2"/>
      <c r="S1462" s="2"/>
      <c r="T1462" s="2" t="s">
        <v>13068</v>
      </c>
      <c r="U1462" s="2" t="s">
        <v>13069</v>
      </c>
      <c r="V1462" s="2" t="s">
        <v>385</v>
      </c>
      <c r="W1462" s="2" t="s">
        <v>3319</v>
      </c>
      <c r="X1462" s="2" t="s">
        <v>4101</v>
      </c>
      <c r="Y1462" s="2" t="s">
        <v>388</v>
      </c>
      <c r="Z1462" s="2" t="s">
        <v>3321</v>
      </c>
      <c r="AA1462" s="2" t="s">
        <v>4102</v>
      </c>
      <c r="AB1462" s="2" t="s">
        <v>5118</v>
      </c>
      <c r="AC1462" s="2">
        <v>44.6</v>
      </c>
      <c r="AD1462" s="2">
        <v>75.040000000000006</v>
      </c>
      <c r="AE1462" s="2">
        <v>63.71</v>
      </c>
      <c r="AF1462" s="2" t="s">
        <v>13070</v>
      </c>
      <c r="AG1462" s="2" t="s">
        <v>4062</v>
      </c>
      <c r="AH1462" s="2" t="s">
        <v>13071</v>
      </c>
      <c r="AI1462" s="2">
        <v>1.6</v>
      </c>
      <c r="AJ1462" s="2">
        <v>21.2384491160891</v>
      </c>
      <c r="AK1462" s="2">
        <v>21.061589470427101</v>
      </c>
      <c r="AL1462" s="2">
        <v>20.947045878331799</v>
      </c>
      <c r="AM1462" s="2">
        <v>20.853457076832399</v>
      </c>
      <c r="AN1462" s="2">
        <v>20.8642694582621</v>
      </c>
      <c r="AO1462" s="2">
        <v>20.336082667083399</v>
      </c>
      <c r="AP1462" s="2">
        <v>20.535366941543099</v>
      </c>
      <c r="AQ1462" s="2">
        <v>20.456599248977401</v>
      </c>
      <c r="AR1462" s="2">
        <v>20.9010954384234</v>
      </c>
      <c r="AS1462" s="2">
        <v>20.119557428222599</v>
      </c>
      <c r="AT1462" s="2">
        <v>21.251769931406798</v>
      </c>
      <c r="AU1462" s="2">
        <v>22.5739204629688</v>
      </c>
      <c r="AV1462" s="2">
        <v>22.140338621963199</v>
      </c>
      <c r="AW1462" s="2">
        <v>21.5980138508327</v>
      </c>
      <c r="AX1462" s="2">
        <v>21.371341909544402</v>
      </c>
      <c r="AY1462" s="2">
        <v>22.435428731918002</v>
      </c>
      <c r="AZ1462" s="2">
        <v>21.962667421555899</v>
      </c>
      <c r="BA1462" s="2">
        <v>21.339646825855102</v>
      </c>
      <c r="BB1462" s="2">
        <v>21.808060346227801</v>
      </c>
      <c r="BC1462" s="2">
        <v>21.594146527945298</v>
      </c>
      <c r="BD1462" s="2">
        <v>21.776761736777601</v>
      </c>
      <c r="BE1462" s="2">
        <v>21.414807436942301</v>
      </c>
      <c r="BF1462" s="2">
        <v>21.015654821434101</v>
      </c>
      <c r="BG1462" s="2">
        <v>21.368243471122099</v>
      </c>
      <c r="BH1462" s="2">
        <v>21.6636063893177</v>
      </c>
      <c r="BI1462" s="2">
        <v>21.117954156834301</v>
      </c>
      <c r="BJ1462" s="2">
        <v>21.525831714101699</v>
      </c>
      <c r="BK1462" s="2">
        <v>20.780928146887302</v>
      </c>
      <c r="BL1462" s="2">
        <v>22.0779962688365</v>
      </c>
      <c r="BM1462" s="2">
        <v>22.788158002202302</v>
      </c>
      <c r="BN1462" s="2">
        <v>22.074895344286201</v>
      </c>
      <c r="BO1462" s="2">
        <v>21.109043333519502</v>
      </c>
      <c r="BP1462" s="2">
        <v>20.989242030394902</v>
      </c>
      <c r="BQ1462" s="2">
        <v>21.074692801336099</v>
      </c>
      <c r="BR1462" s="2">
        <v>20.533313894181099</v>
      </c>
      <c r="BS1462" s="2">
        <v>21.17555597678</v>
      </c>
      <c r="BT1462" s="2">
        <v>21.474529794347202</v>
      </c>
      <c r="BU1462" s="2">
        <v>18.005801662731798</v>
      </c>
      <c r="BV1462" s="2">
        <v>22.4367689686866</v>
      </c>
      <c r="BW1462" s="2">
        <v>22.1152242971446</v>
      </c>
      <c r="BX1462" s="2">
        <v>21.868530830228199</v>
      </c>
      <c r="BY1462" s="2">
        <v>19.8827288483137</v>
      </c>
      <c r="BZ1462" s="2">
        <v>20.787639485686</v>
      </c>
      <c r="CA1462" s="2">
        <v>21.409387030628999</v>
      </c>
      <c r="CB1462" s="2">
        <v>20.241075711972599</v>
      </c>
      <c r="CC1462" s="2">
        <v>21.231787575994002</v>
      </c>
      <c r="CD1462" s="2">
        <v>19.588725101523998</v>
      </c>
      <c r="CE1462" s="2">
        <v>16.409907323231501</v>
      </c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</row>
    <row r="1463" spans="1:97">
      <c r="A1463" s="2" t="s">
        <v>13072</v>
      </c>
      <c r="B1463" s="2">
        <v>175.04760999999999</v>
      </c>
      <c r="C1463" s="2">
        <v>1.401</v>
      </c>
      <c r="D1463" s="2" t="s">
        <v>84</v>
      </c>
      <c r="E1463" s="2" t="s">
        <v>13073</v>
      </c>
      <c r="F1463" s="2" t="s">
        <v>13074</v>
      </c>
      <c r="G1463" s="2">
        <v>201792</v>
      </c>
      <c r="H1463" s="3" t="str">
        <f>HYPERLINK("https://cloud.oebiotech.com/#/lm/network/201792", "https://cloud.oebiotech.com/#/lm/network/201792")</f>
        <v>https://cloud.oebiotech.com/#/lm/network/201792</v>
      </c>
      <c r="I1463" s="2" t="s">
        <v>13075</v>
      </c>
      <c r="J1463" s="2"/>
      <c r="K1463" s="2"/>
      <c r="L1463" s="2">
        <v>1742</v>
      </c>
      <c r="M1463" s="2"/>
      <c r="N1463" s="2"/>
      <c r="O1463" s="2"/>
      <c r="P1463" s="2"/>
      <c r="Q1463" s="2"/>
      <c r="R1463" s="2"/>
      <c r="S1463" s="2"/>
      <c r="T1463" s="2" t="s">
        <v>13076</v>
      </c>
      <c r="U1463" s="2" t="s">
        <v>13077</v>
      </c>
      <c r="V1463" s="2" t="s">
        <v>385</v>
      </c>
      <c r="W1463" s="2" t="s">
        <v>386</v>
      </c>
      <c r="X1463" s="2" t="s">
        <v>1059</v>
      </c>
      <c r="Y1463" s="2" t="s">
        <v>388</v>
      </c>
      <c r="Z1463" s="2" t="s">
        <v>389</v>
      </c>
      <c r="AA1463" s="2" t="s">
        <v>1060</v>
      </c>
      <c r="AB1463" s="2" t="s">
        <v>8443</v>
      </c>
      <c r="AC1463" s="2">
        <v>44.59</v>
      </c>
      <c r="AD1463" s="2">
        <v>90.55</v>
      </c>
      <c r="AE1463" s="2">
        <v>0</v>
      </c>
      <c r="AF1463" s="2" t="s">
        <v>13078</v>
      </c>
      <c r="AG1463" s="2" t="s">
        <v>1578</v>
      </c>
      <c r="AH1463" s="2" t="s">
        <v>2673</v>
      </c>
      <c r="AI1463" s="2">
        <v>1.1399999999999999</v>
      </c>
      <c r="AJ1463" s="2">
        <v>23.747418837175299</v>
      </c>
      <c r="AK1463" s="2">
        <v>23.348484889564698</v>
      </c>
      <c r="AL1463" s="2">
        <v>23.965936411228402</v>
      </c>
      <c r="AM1463" s="2">
        <v>24.216813798148099</v>
      </c>
      <c r="AN1463" s="2">
        <v>24.227845135101902</v>
      </c>
      <c r="AO1463" s="2">
        <v>24.205614550563801</v>
      </c>
      <c r="AP1463" s="2">
        <v>24.2826433855776</v>
      </c>
      <c r="AQ1463" s="2">
        <v>23.866362170068498</v>
      </c>
      <c r="AR1463" s="2">
        <v>23.8949003061444</v>
      </c>
      <c r="AS1463" s="2">
        <v>23.905741542605501</v>
      </c>
      <c r="AT1463" s="2">
        <v>23.316503428769899</v>
      </c>
      <c r="AU1463" s="2">
        <v>23.070101174124499</v>
      </c>
      <c r="AV1463" s="2">
        <v>22.741482616099798</v>
      </c>
      <c r="AW1463" s="2">
        <v>23.577863515091099</v>
      </c>
      <c r="AX1463" s="2">
        <v>23.857098429084601</v>
      </c>
      <c r="AY1463" s="2">
        <v>23.487889592795501</v>
      </c>
      <c r="AZ1463" s="2">
        <v>23.273002239226301</v>
      </c>
      <c r="BA1463" s="2">
        <v>23.544588275241399</v>
      </c>
      <c r="BB1463" s="2">
        <v>24.3373703785938</v>
      </c>
      <c r="BC1463" s="2">
        <v>24.403514011031898</v>
      </c>
      <c r="BD1463" s="2">
        <v>22.855981698667801</v>
      </c>
      <c r="BE1463" s="2">
        <v>23.132472830402499</v>
      </c>
      <c r="BF1463" s="2">
        <v>22.4018600681962</v>
      </c>
      <c r="BG1463" s="2">
        <v>24.9802876264398</v>
      </c>
      <c r="BH1463" s="2">
        <v>23.6475403724797</v>
      </c>
      <c r="BI1463" s="2">
        <v>24.938740665772201</v>
      </c>
      <c r="BJ1463" s="2">
        <v>23.7378028757099</v>
      </c>
      <c r="BK1463" s="2">
        <v>24.502765322438599</v>
      </c>
      <c r="BL1463" s="2">
        <v>24.002012430057501</v>
      </c>
      <c r="BM1463" s="2">
        <v>22.769190407529798</v>
      </c>
      <c r="BN1463" s="2">
        <v>23.619500357788102</v>
      </c>
      <c r="BO1463" s="2">
        <v>24.5271148363219</v>
      </c>
      <c r="BP1463" s="2">
        <v>23.4613049089883</v>
      </c>
      <c r="BQ1463" s="2">
        <v>23.882267715975701</v>
      </c>
      <c r="BR1463" s="2">
        <v>23.382020226016898</v>
      </c>
      <c r="BS1463" s="2">
        <v>23.336917564067299</v>
      </c>
      <c r="BT1463" s="2">
        <v>23.158675328228799</v>
      </c>
      <c r="BU1463" s="2">
        <v>23.699699563694701</v>
      </c>
      <c r="BV1463" s="2">
        <v>24.270331201891</v>
      </c>
      <c r="BW1463" s="2">
        <v>23.609418064726398</v>
      </c>
      <c r="BX1463" s="2">
        <v>23.727417338490401</v>
      </c>
      <c r="BY1463" s="2">
        <v>24.060110059880198</v>
      </c>
      <c r="BZ1463" s="2">
        <v>22.5930324767439</v>
      </c>
      <c r="CA1463" s="2">
        <v>22.7944485455345</v>
      </c>
      <c r="CB1463" s="2">
        <v>24.032936088851301</v>
      </c>
      <c r="CC1463" s="2">
        <v>23.681811204382399</v>
      </c>
      <c r="CD1463" s="2">
        <v>23.6963285639793</v>
      </c>
      <c r="CE1463" s="2">
        <v>25.122392923112798</v>
      </c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</row>
    <row r="1464" spans="1:97">
      <c r="A1464" s="2" t="s">
        <v>13079</v>
      </c>
      <c r="B1464" s="2">
        <v>87.091999999999999</v>
      </c>
      <c r="C1464" s="2">
        <v>0.752</v>
      </c>
      <c r="D1464" s="2" t="s">
        <v>84</v>
      </c>
      <c r="E1464" s="2" t="s">
        <v>13080</v>
      </c>
      <c r="F1464" s="2" t="s">
        <v>13081</v>
      </c>
      <c r="G1464" s="2">
        <v>200675</v>
      </c>
      <c r="H1464" s="3" t="str">
        <f>HYPERLINK("https://cloud.oebiotech.com/#/lm/network/200675", "https://cloud.oebiotech.com/#/lm/network/200675")</f>
        <v>https://cloud.oebiotech.com/#/lm/network/200675</v>
      </c>
      <c r="I1464" s="2" t="s">
        <v>13082</v>
      </c>
      <c r="J1464" s="2"/>
      <c r="K1464" s="2"/>
      <c r="L1464" s="2">
        <v>415118</v>
      </c>
      <c r="M1464" s="2"/>
      <c r="N1464" s="2"/>
      <c r="O1464" s="2"/>
      <c r="P1464" s="2"/>
      <c r="Q1464" s="2"/>
      <c r="R1464" s="2"/>
      <c r="S1464" s="2"/>
      <c r="T1464" s="2" t="s">
        <v>13083</v>
      </c>
      <c r="U1464" s="2" t="s">
        <v>13084</v>
      </c>
      <c r="V1464" s="2" t="s">
        <v>166</v>
      </c>
      <c r="W1464" s="2" t="s">
        <v>167</v>
      </c>
      <c r="X1464" s="2" t="s">
        <v>13085</v>
      </c>
      <c r="Y1464" s="2" t="s">
        <v>169</v>
      </c>
      <c r="Z1464" s="2" t="s">
        <v>169</v>
      </c>
      <c r="AA1464" s="2" t="s">
        <v>13086</v>
      </c>
      <c r="AB1464" s="2" t="s">
        <v>8443</v>
      </c>
      <c r="AC1464" s="2">
        <v>44.58</v>
      </c>
      <c r="AD1464" s="2">
        <v>97.39</v>
      </c>
      <c r="AE1464" s="2">
        <v>0</v>
      </c>
      <c r="AF1464" s="2" t="s">
        <v>13087</v>
      </c>
      <c r="AG1464" s="2" t="s">
        <v>103</v>
      </c>
      <c r="AH1464" s="2" t="s">
        <v>13088</v>
      </c>
      <c r="AI1464" s="2">
        <v>-3.79</v>
      </c>
      <c r="AJ1464" s="2">
        <v>21.762504858457799</v>
      </c>
      <c r="AK1464" s="2">
        <v>21.702482466582001</v>
      </c>
      <c r="AL1464" s="2">
        <v>21.884245426444</v>
      </c>
      <c r="AM1464" s="2">
        <v>21.9381976766362</v>
      </c>
      <c r="AN1464" s="2">
        <v>21.900617793146999</v>
      </c>
      <c r="AO1464" s="2">
        <v>22.145687093965101</v>
      </c>
      <c r="AP1464" s="2">
        <v>22.2157960450552</v>
      </c>
      <c r="AQ1464" s="2">
        <v>22.0562978931342</v>
      </c>
      <c r="AR1464" s="2">
        <v>20.303072499753998</v>
      </c>
      <c r="AS1464" s="2">
        <v>9.6233145402724691</v>
      </c>
      <c r="AT1464" s="2">
        <v>20.960110338343402</v>
      </c>
      <c r="AU1464" s="2">
        <v>20.4205788939502</v>
      </c>
      <c r="AV1464" s="2">
        <v>21.854867010132299</v>
      </c>
      <c r="AW1464" s="2">
        <v>21.4446484344674</v>
      </c>
      <c r="AX1464" s="2">
        <v>21.9847622413428</v>
      </c>
      <c r="AY1464" s="2">
        <v>21.692130858577301</v>
      </c>
      <c r="AZ1464" s="2">
        <v>22.824352702790701</v>
      </c>
      <c r="BA1464" s="2">
        <v>21.457305923808001</v>
      </c>
      <c r="BB1464" s="2">
        <v>20.6938493077182</v>
      </c>
      <c r="BC1464" s="2">
        <v>18.9586640340438</v>
      </c>
      <c r="BD1464" s="2">
        <v>22.201371430660501</v>
      </c>
      <c r="BE1464" s="2">
        <v>23.402637892997699</v>
      </c>
      <c r="BF1464" s="2">
        <v>22.869662459653298</v>
      </c>
      <c r="BG1464" s="2">
        <v>20.3379075370359</v>
      </c>
      <c r="BH1464" s="2">
        <v>22.420414429596502</v>
      </c>
      <c r="BI1464" s="2">
        <v>21.561647566157301</v>
      </c>
      <c r="BJ1464" s="2">
        <v>20.889297339839299</v>
      </c>
      <c r="BK1464" s="2">
        <v>21.9083349815464</v>
      </c>
      <c r="BL1464" s="2">
        <v>21.505178212632899</v>
      </c>
      <c r="BM1464" s="2">
        <v>22.1118156553296</v>
      </c>
      <c r="BN1464" s="2">
        <v>21.7615570635481</v>
      </c>
      <c r="BO1464" s="2">
        <v>21.7935859858814</v>
      </c>
      <c r="BP1464" s="2">
        <v>23.514916579933502</v>
      </c>
      <c r="BQ1464" s="2">
        <v>21.817219458926601</v>
      </c>
      <c r="BR1464" s="2">
        <v>19.257274367988799</v>
      </c>
      <c r="BS1464" s="2">
        <v>22.6273138300872</v>
      </c>
      <c r="BT1464" s="2">
        <v>20.861048668737599</v>
      </c>
      <c r="BU1464" s="2">
        <v>22.312774449577901</v>
      </c>
      <c r="BV1464" s="2">
        <v>20.888466350287601</v>
      </c>
      <c r="BW1464" s="2">
        <v>20.625758634587498</v>
      </c>
      <c r="BX1464" s="2">
        <v>22.624237644064198</v>
      </c>
      <c r="BY1464" s="2">
        <v>23.9297287964371</v>
      </c>
      <c r="BZ1464" s="2">
        <v>20.866779857992402</v>
      </c>
      <c r="CA1464" s="2">
        <v>20.1228410348034</v>
      </c>
      <c r="CB1464" s="2">
        <v>20.379564069443202</v>
      </c>
      <c r="CC1464" s="2">
        <v>21.640595238298399</v>
      </c>
      <c r="CD1464" s="2">
        <v>23.385151121688999</v>
      </c>
      <c r="CE1464" s="2">
        <v>23.157085062511399</v>
      </c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</row>
    <row r="1465" spans="1:97">
      <c r="A1465" s="2" t="s">
        <v>13089</v>
      </c>
      <c r="B1465" s="2">
        <v>379.06808999999998</v>
      </c>
      <c r="C1465" s="2">
        <v>0.8</v>
      </c>
      <c r="D1465" s="2" t="s">
        <v>146</v>
      </c>
      <c r="E1465" s="2" t="s">
        <v>13090</v>
      </c>
      <c r="F1465" s="2" t="s">
        <v>13091</v>
      </c>
      <c r="G1465" s="2">
        <v>34180</v>
      </c>
      <c r="H1465" s="3" t="str">
        <f>HYPERLINK("https://cloud.oebiotech.com/#/lm/network/34180", "https://cloud.oebiotech.com/#/lm/network/34180")</f>
        <v>https://cloud.oebiotech.com/#/lm/network/34180</v>
      </c>
      <c r="I1465" s="2"/>
      <c r="J1465" s="2">
        <v>52490</v>
      </c>
      <c r="K1465" s="2" t="s">
        <v>13092</v>
      </c>
      <c r="L1465" s="2">
        <v>485522</v>
      </c>
      <c r="M1465" s="2"/>
      <c r="N1465" s="2"/>
      <c r="O1465" s="2"/>
      <c r="P1465" s="2"/>
      <c r="Q1465" s="2"/>
      <c r="R1465" s="2"/>
      <c r="S1465" s="2"/>
      <c r="T1465" s="2" t="s">
        <v>13093</v>
      </c>
      <c r="U1465" s="2" t="s">
        <v>13094</v>
      </c>
      <c r="V1465" s="2" t="s">
        <v>845</v>
      </c>
      <c r="W1465" s="2" t="s">
        <v>13095</v>
      </c>
      <c r="X1465" s="2" t="s">
        <v>13096</v>
      </c>
      <c r="Y1465" s="2" t="s">
        <v>847</v>
      </c>
      <c r="Z1465" s="2" t="s">
        <v>13097</v>
      </c>
      <c r="AA1465" s="2" t="s">
        <v>13098</v>
      </c>
      <c r="AB1465" s="2" t="s">
        <v>5118</v>
      </c>
      <c r="AC1465" s="2">
        <v>44.57</v>
      </c>
      <c r="AD1465" s="2">
        <v>94.11</v>
      </c>
      <c r="AE1465" s="2">
        <v>46.18</v>
      </c>
      <c r="AF1465" s="2" t="s">
        <v>13099</v>
      </c>
      <c r="AG1465" s="2" t="s">
        <v>157</v>
      </c>
      <c r="AH1465" s="2" t="s">
        <v>13100</v>
      </c>
      <c r="AI1465" s="2">
        <v>-2.64</v>
      </c>
      <c r="AJ1465" s="2">
        <v>22.4799329662128</v>
      </c>
      <c r="AK1465" s="2">
        <v>22.7676176293024</v>
      </c>
      <c r="AL1465" s="2">
        <v>22.6807735689049</v>
      </c>
      <c r="AM1465" s="2">
        <v>22.992152018718201</v>
      </c>
      <c r="AN1465" s="2">
        <v>22.667174119420999</v>
      </c>
      <c r="AO1465" s="2">
        <v>22.746386372097099</v>
      </c>
      <c r="AP1465" s="2">
        <v>22.6696313579316</v>
      </c>
      <c r="AQ1465" s="2">
        <v>22.559724255507199</v>
      </c>
      <c r="AR1465" s="2">
        <v>23.088621459639</v>
      </c>
      <c r="AS1465" s="2">
        <v>23.4875842073474</v>
      </c>
      <c r="AT1465" s="2">
        <v>23.272779933560699</v>
      </c>
      <c r="AU1465" s="2">
        <v>23.4792397818651</v>
      </c>
      <c r="AV1465" s="2">
        <v>22.858313309884601</v>
      </c>
      <c r="AW1465" s="2">
        <v>23.105658613355001</v>
      </c>
      <c r="AX1465" s="2">
        <v>22.362790002825498</v>
      </c>
      <c r="AY1465" s="2">
        <v>23.5025783724105</v>
      </c>
      <c r="AZ1465" s="2">
        <v>23.267358018132398</v>
      </c>
      <c r="BA1465" s="2">
        <v>23.792146470735801</v>
      </c>
      <c r="BB1465" s="2">
        <v>22.976501016013401</v>
      </c>
      <c r="BC1465" s="2">
        <v>22.009340765912601</v>
      </c>
      <c r="BD1465" s="2">
        <v>24.331849788380101</v>
      </c>
      <c r="BE1465" s="2">
        <v>21.874426709498099</v>
      </c>
      <c r="BF1465" s="2">
        <v>23.339858597745099</v>
      </c>
      <c r="BG1465" s="2">
        <v>22.010126105377399</v>
      </c>
      <c r="BH1465" s="2">
        <v>22.3133476231705</v>
      </c>
      <c r="BI1465" s="2">
        <v>22.838263774245199</v>
      </c>
      <c r="BJ1465" s="2">
        <v>22.959562300310701</v>
      </c>
      <c r="BK1465" s="2">
        <v>23.854475942593702</v>
      </c>
      <c r="BL1465" s="2">
        <v>23.565781599190501</v>
      </c>
      <c r="BM1465" s="2">
        <v>23.493283880305601</v>
      </c>
      <c r="BN1465" s="2">
        <v>22.669873923928002</v>
      </c>
      <c r="BO1465" s="2">
        <v>22.537039008194</v>
      </c>
      <c r="BP1465" s="2">
        <v>21.708454319959799</v>
      </c>
      <c r="BQ1465" s="2">
        <v>23.153806404303499</v>
      </c>
      <c r="BR1465" s="2">
        <v>22.277132119594999</v>
      </c>
      <c r="BS1465" s="2">
        <v>22.507888464229602</v>
      </c>
      <c r="BT1465" s="2">
        <v>22.4818268922856</v>
      </c>
      <c r="BU1465" s="2">
        <v>23.0838475308997</v>
      </c>
      <c r="BV1465" s="2">
        <v>22.948049815010901</v>
      </c>
      <c r="BW1465" s="2">
        <v>24.209940810395299</v>
      </c>
      <c r="BX1465" s="2">
        <v>23.657222876898299</v>
      </c>
      <c r="BY1465" s="2">
        <v>20.576718753887</v>
      </c>
      <c r="BZ1465" s="2">
        <v>23.3094901150764</v>
      </c>
      <c r="CA1465" s="2">
        <v>22.464362010666001</v>
      </c>
      <c r="CB1465" s="2">
        <v>22.956629921566101</v>
      </c>
      <c r="CC1465" s="2">
        <v>23.3675291303766</v>
      </c>
      <c r="CD1465" s="2">
        <v>21.047120716159199</v>
      </c>
      <c r="CE1465" s="2">
        <v>23.285235693356199</v>
      </c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</row>
    <row r="1466" spans="1:97">
      <c r="A1466" s="2" t="s">
        <v>13101</v>
      </c>
      <c r="B1466" s="2">
        <v>271.24155999999999</v>
      </c>
      <c r="C1466" s="2">
        <v>9.3409999999999993</v>
      </c>
      <c r="D1466" s="2" t="s">
        <v>84</v>
      </c>
      <c r="E1466" s="2" t="s">
        <v>13102</v>
      </c>
      <c r="F1466" s="2" t="s">
        <v>13103</v>
      </c>
      <c r="G1466" s="2">
        <v>255661</v>
      </c>
      <c r="H1466" s="3" t="str">
        <f>HYPERLINK("https://cloud.oebiotech.com/#/lm/network/255661", "https://cloud.oebiotech.com/#/lm/network/255661")</f>
        <v>https://cloud.oebiotech.com/#/lm/network/255661</v>
      </c>
      <c r="I1466" s="2" t="s">
        <v>13104</v>
      </c>
      <c r="J1466" s="2"/>
      <c r="K1466" s="2"/>
      <c r="L1466" s="2">
        <v>86869</v>
      </c>
      <c r="M1466" s="2"/>
      <c r="N1466" s="2"/>
      <c r="O1466" s="2"/>
      <c r="P1466" s="2"/>
      <c r="Q1466" s="2"/>
      <c r="R1466" s="2"/>
      <c r="S1466" s="2"/>
      <c r="T1466" s="2" t="s">
        <v>13105</v>
      </c>
      <c r="U1466" s="2" t="s">
        <v>13106</v>
      </c>
      <c r="V1466" s="2" t="s">
        <v>95</v>
      </c>
      <c r="W1466" s="2" t="s">
        <v>180</v>
      </c>
      <c r="X1466" s="2" t="s">
        <v>3643</v>
      </c>
      <c r="Y1466" s="2" t="s">
        <v>98</v>
      </c>
      <c r="Z1466" s="2" t="s">
        <v>182</v>
      </c>
      <c r="AA1466" s="2" t="s">
        <v>3644</v>
      </c>
      <c r="AB1466" s="2" t="s">
        <v>5118</v>
      </c>
      <c r="AC1466" s="2">
        <v>44.55</v>
      </c>
      <c r="AD1466" s="2">
        <v>87.55</v>
      </c>
      <c r="AE1466" s="2">
        <v>46.92</v>
      </c>
      <c r="AF1466" s="2" t="s">
        <v>13107</v>
      </c>
      <c r="AG1466" s="2" t="s">
        <v>103</v>
      </c>
      <c r="AH1466" s="2" t="s">
        <v>13108</v>
      </c>
      <c r="AI1466" s="2">
        <v>1.47</v>
      </c>
      <c r="AJ1466" s="2">
        <v>19.246874036047299</v>
      </c>
      <c r="AK1466" s="2">
        <v>18.969640954917399</v>
      </c>
      <c r="AL1466" s="2">
        <v>18.906643198221499</v>
      </c>
      <c r="AM1466" s="2">
        <v>19.142713272781702</v>
      </c>
      <c r="AN1466" s="2">
        <v>18.9810820488409</v>
      </c>
      <c r="AO1466" s="2">
        <v>19.174250626297699</v>
      </c>
      <c r="AP1466" s="2">
        <v>19.3141168383933</v>
      </c>
      <c r="AQ1466" s="2">
        <v>19.173458407584601</v>
      </c>
      <c r="AR1466" s="2">
        <v>9.6233145402724691</v>
      </c>
      <c r="AS1466" s="2">
        <v>18.781450903724</v>
      </c>
      <c r="AT1466" s="2">
        <v>14.625871479500899</v>
      </c>
      <c r="AU1466" s="2">
        <v>9.6233145402724691</v>
      </c>
      <c r="AV1466" s="2">
        <v>15.2340502342085</v>
      </c>
      <c r="AW1466" s="2">
        <v>19.078719904605499</v>
      </c>
      <c r="AX1466" s="2">
        <v>9.6233145402724691</v>
      </c>
      <c r="AY1466" s="2">
        <v>19.069490361535902</v>
      </c>
      <c r="AZ1466" s="2">
        <v>9.6233145402724691</v>
      </c>
      <c r="BA1466" s="2">
        <v>16.518094796201598</v>
      </c>
      <c r="BB1466" s="2">
        <v>15.129528946504299</v>
      </c>
      <c r="BC1466" s="2">
        <v>16.222137730878099</v>
      </c>
      <c r="BD1466" s="2">
        <v>9.6233145402724691</v>
      </c>
      <c r="BE1466" s="2">
        <v>15.4260593054378</v>
      </c>
      <c r="BF1466" s="2">
        <v>14.31582955795</v>
      </c>
      <c r="BG1466" s="2">
        <v>9.6233145402724691</v>
      </c>
      <c r="BH1466" s="2">
        <v>9.6233145402724691</v>
      </c>
      <c r="BI1466" s="2">
        <v>21.847274757966499</v>
      </c>
      <c r="BJ1466" s="2">
        <v>18.007964245531898</v>
      </c>
      <c r="BK1466" s="2">
        <v>15.67306858794</v>
      </c>
      <c r="BL1466" s="2">
        <v>13.6015177839859</v>
      </c>
      <c r="BM1466" s="2">
        <v>16.868705620374602</v>
      </c>
      <c r="BN1466" s="2">
        <v>9.6233145402724691</v>
      </c>
      <c r="BO1466" s="2">
        <v>9.6233145402724691</v>
      </c>
      <c r="BP1466" s="2">
        <v>22.637346823575999</v>
      </c>
      <c r="BQ1466" s="2">
        <v>21.346282553053801</v>
      </c>
      <c r="BR1466" s="2">
        <v>9.6233145402724691</v>
      </c>
      <c r="BS1466" s="2">
        <v>21.3823224679556</v>
      </c>
      <c r="BT1466" s="2">
        <v>13.9296356795452</v>
      </c>
      <c r="BU1466" s="2">
        <v>19.450488999943101</v>
      </c>
      <c r="BV1466" s="2">
        <v>18.160983432107201</v>
      </c>
      <c r="BW1466" s="2">
        <v>9.6233145402724691</v>
      </c>
      <c r="BX1466" s="2">
        <v>14.3071666486328</v>
      </c>
      <c r="BY1466" s="2">
        <v>19.559133255864499</v>
      </c>
      <c r="BZ1466" s="2">
        <v>14.3118518879373</v>
      </c>
      <c r="CA1466" s="2">
        <v>9.6233145402724691</v>
      </c>
      <c r="CB1466" s="2">
        <v>22.532948005061499</v>
      </c>
      <c r="CC1466" s="2">
        <v>20.447317327858102</v>
      </c>
      <c r="CD1466" s="2">
        <v>16.803987163074201</v>
      </c>
      <c r="CE1466" s="2">
        <v>17.9962612374446</v>
      </c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</row>
    <row r="1467" spans="1:97">
      <c r="A1467" s="2" t="s">
        <v>13109</v>
      </c>
      <c r="B1467" s="2">
        <v>285.09960000000001</v>
      </c>
      <c r="C1467" s="2">
        <v>4.0140000000000002</v>
      </c>
      <c r="D1467" s="2" t="s">
        <v>84</v>
      </c>
      <c r="E1467" s="2" t="s">
        <v>13110</v>
      </c>
      <c r="F1467" s="2" t="s">
        <v>13111</v>
      </c>
      <c r="G1467" s="2">
        <v>207457</v>
      </c>
      <c r="H1467" s="3" t="str">
        <f>HYPERLINK("https://cloud.oebiotech.com/#/lm/network/207457", "https://cloud.oebiotech.com/#/lm/network/207457")</f>
        <v>https://cloud.oebiotech.com/#/lm/network/207457</v>
      </c>
      <c r="I1467" s="2" t="s">
        <v>13112</v>
      </c>
      <c r="J1467" s="2"/>
      <c r="K1467" s="2"/>
      <c r="L1467" s="2">
        <v>3303383</v>
      </c>
      <c r="M1467" s="2"/>
      <c r="N1467" s="2"/>
      <c r="O1467" s="2"/>
      <c r="P1467" s="2"/>
      <c r="Q1467" s="2"/>
      <c r="R1467" s="2"/>
      <c r="S1467" s="2"/>
      <c r="T1467" s="2" t="s">
        <v>13113</v>
      </c>
      <c r="U1467" s="2" t="s">
        <v>13114</v>
      </c>
      <c r="V1467" s="2" t="s">
        <v>338</v>
      </c>
      <c r="W1467" s="2" t="s">
        <v>339</v>
      </c>
      <c r="X1467" s="2" t="s">
        <v>663</v>
      </c>
      <c r="Y1467" s="2" t="s">
        <v>341</v>
      </c>
      <c r="Z1467" s="2" t="s">
        <v>341</v>
      </c>
      <c r="AA1467" s="2" t="s">
        <v>664</v>
      </c>
      <c r="AB1467" s="2" t="s">
        <v>3086</v>
      </c>
      <c r="AC1467" s="2">
        <v>44.55</v>
      </c>
      <c r="AD1467" s="2">
        <v>97.84</v>
      </c>
      <c r="AE1467" s="2">
        <v>0</v>
      </c>
      <c r="AF1467" s="2" t="s">
        <v>13115</v>
      </c>
      <c r="AG1467" s="2" t="s">
        <v>103</v>
      </c>
      <c r="AH1467" s="2" t="s">
        <v>10519</v>
      </c>
      <c r="AI1467" s="2">
        <v>-9.4700000000000006</v>
      </c>
      <c r="AJ1467" s="2">
        <v>21.3723949737408</v>
      </c>
      <c r="AK1467" s="2">
        <v>21.382696568975899</v>
      </c>
      <c r="AL1467" s="2">
        <v>21.6197599680115</v>
      </c>
      <c r="AM1467" s="2">
        <v>21.5356680442545</v>
      </c>
      <c r="AN1467" s="2">
        <v>21.674629321766702</v>
      </c>
      <c r="AO1467" s="2">
        <v>21.469407941776598</v>
      </c>
      <c r="AP1467" s="2">
        <v>21.5297200083901</v>
      </c>
      <c r="AQ1467" s="2">
        <v>21.622421071783801</v>
      </c>
      <c r="AR1467" s="2">
        <v>21.143132439873</v>
      </c>
      <c r="AS1467" s="2">
        <v>22.289179350252201</v>
      </c>
      <c r="AT1467" s="2">
        <v>21.420712961933901</v>
      </c>
      <c r="AU1467" s="2">
        <v>21.472286886699401</v>
      </c>
      <c r="AV1467" s="2">
        <v>20.137282718653399</v>
      </c>
      <c r="AW1467" s="2">
        <v>21.948800547410801</v>
      </c>
      <c r="AX1467" s="2">
        <v>20.442323343219901</v>
      </c>
      <c r="AY1467" s="2">
        <v>21.860193860592901</v>
      </c>
      <c r="AZ1467" s="2">
        <v>20.215978192228501</v>
      </c>
      <c r="BA1467" s="2">
        <v>22.230023388958301</v>
      </c>
      <c r="BB1467" s="2">
        <v>22.302202235393999</v>
      </c>
      <c r="BC1467" s="2">
        <v>21.8078489485322</v>
      </c>
      <c r="BD1467" s="2">
        <v>19.596092696572601</v>
      </c>
      <c r="BE1467" s="2">
        <v>22.304105515180801</v>
      </c>
      <c r="BF1467" s="2">
        <v>20.630177842708601</v>
      </c>
      <c r="BG1467" s="2">
        <v>19.066376668342901</v>
      </c>
      <c r="BH1467" s="2">
        <v>19.660029955970298</v>
      </c>
      <c r="BI1467" s="2">
        <v>21.925823532945302</v>
      </c>
      <c r="BJ1467" s="2">
        <v>22.599802460421198</v>
      </c>
      <c r="BK1467" s="2">
        <v>22.048896286325299</v>
      </c>
      <c r="BL1467" s="2">
        <v>21.7495784909555</v>
      </c>
      <c r="BM1467" s="2">
        <v>21.126388233677599</v>
      </c>
      <c r="BN1467" s="2">
        <v>22.111047854477</v>
      </c>
      <c r="BO1467" s="2">
        <v>20.544119856105901</v>
      </c>
      <c r="BP1467" s="2">
        <v>20.454886586426699</v>
      </c>
      <c r="BQ1467" s="2">
        <v>21.481024037803198</v>
      </c>
      <c r="BR1467" s="2">
        <v>19.263768034847001</v>
      </c>
      <c r="BS1467" s="2">
        <v>21.749781970980901</v>
      </c>
      <c r="BT1467" s="2">
        <v>20.777253613293698</v>
      </c>
      <c r="BU1467" s="2">
        <v>21.0400651186741</v>
      </c>
      <c r="BV1467" s="2">
        <v>21.9381300643518</v>
      </c>
      <c r="BW1467" s="2">
        <v>20.1613144231519</v>
      </c>
      <c r="BX1467" s="2">
        <v>20.792785132097801</v>
      </c>
      <c r="BY1467" s="2">
        <v>22.393014386239798</v>
      </c>
      <c r="BZ1467" s="2">
        <v>21.3618592490525</v>
      </c>
      <c r="CA1467" s="2">
        <v>20.414292997255899</v>
      </c>
      <c r="CB1467" s="2">
        <v>19.260519916207201</v>
      </c>
      <c r="CC1467" s="2">
        <v>19.941525486420002</v>
      </c>
      <c r="CD1467" s="2">
        <v>22.040893534010301</v>
      </c>
      <c r="CE1467" s="2">
        <v>22.512992069961602</v>
      </c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</row>
    <row r="1468" spans="1:97">
      <c r="A1468" s="2" t="s">
        <v>13116</v>
      </c>
      <c r="B1468" s="2">
        <v>593.12956999999994</v>
      </c>
      <c r="C1468" s="2">
        <v>9.3610000000000007</v>
      </c>
      <c r="D1468" s="2" t="s">
        <v>146</v>
      </c>
      <c r="E1468" s="2" t="s">
        <v>13117</v>
      </c>
      <c r="F1468" s="2" t="s">
        <v>13118</v>
      </c>
      <c r="G1468" s="2">
        <v>60923</v>
      </c>
      <c r="H1468" s="3" t="str">
        <f>HYPERLINK("https://cloud.oebiotech.com/#/lm/network/60923", "https://cloud.oebiotech.com/#/lm/network/60923")</f>
        <v>https://cloud.oebiotech.com/#/lm/network/60923</v>
      </c>
      <c r="I1468" s="2" t="s">
        <v>13119</v>
      </c>
      <c r="J1468" s="2">
        <v>92277</v>
      </c>
      <c r="K1468" s="2"/>
      <c r="L1468" s="2">
        <v>131752171</v>
      </c>
      <c r="M1468" s="2"/>
      <c r="N1468" s="2"/>
      <c r="O1468" s="2"/>
      <c r="P1468" s="2"/>
      <c r="Q1468" s="2"/>
      <c r="R1468" s="2"/>
      <c r="S1468" s="2" t="s">
        <v>13120</v>
      </c>
      <c r="T1468" s="2" t="s">
        <v>13121</v>
      </c>
      <c r="U1468" s="2" t="s">
        <v>13122</v>
      </c>
      <c r="V1468" s="2" t="s">
        <v>845</v>
      </c>
      <c r="W1468" s="2" t="s">
        <v>1853</v>
      </c>
      <c r="X1468" s="2" t="s">
        <v>6175</v>
      </c>
      <c r="Y1468" s="2" t="s">
        <v>847</v>
      </c>
      <c r="Z1468" s="2" t="s">
        <v>1855</v>
      </c>
      <c r="AA1468" s="2" t="s">
        <v>6176</v>
      </c>
      <c r="AB1468" s="2" t="s">
        <v>5118</v>
      </c>
      <c r="AC1468" s="2">
        <v>44.54</v>
      </c>
      <c r="AD1468" s="2">
        <v>79.7</v>
      </c>
      <c r="AE1468" s="2">
        <v>53.78</v>
      </c>
      <c r="AF1468" s="2" t="s">
        <v>13123</v>
      </c>
      <c r="AG1468" s="2" t="s">
        <v>194</v>
      </c>
      <c r="AH1468" s="2" t="s">
        <v>13124</v>
      </c>
      <c r="AI1468" s="2">
        <v>0.84</v>
      </c>
      <c r="AJ1468" s="2">
        <v>17.643584743146299</v>
      </c>
      <c r="AK1468" s="2">
        <v>17.5335520941487</v>
      </c>
      <c r="AL1468" s="2">
        <v>17.4555759006399</v>
      </c>
      <c r="AM1468" s="2">
        <v>17.100449630921201</v>
      </c>
      <c r="AN1468" s="2">
        <v>17.639973727453601</v>
      </c>
      <c r="AO1468" s="2">
        <v>17.498767027528899</v>
      </c>
      <c r="AP1468" s="2">
        <v>17.779369384267302</v>
      </c>
      <c r="AQ1468" s="2">
        <v>17.809714503864399</v>
      </c>
      <c r="AR1468" s="2">
        <v>17.725734567330498</v>
      </c>
      <c r="AS1468" s="2">
        <v>17.822952415541899</v>
      </c>
      <c r="AT1468" s="2">
        <v>17.591080275258399</v>
      </c>
      <c r="AU1468" s="2">
        <v>17.6207170554217</v>
      </c>
      <c r="AV1468" s="2">
        <v>17.565113832944</v>
      </c>
      <c r="AW1468" s="2">
        <v>17.464467018311002</v>
      </c>
      <c r="AX1468" s="2">
        <v>17.6674235072276</v>
      </c>
      <c r="AY1468" s="2">
        <v>17.3347540802487</v>
      </c>
      <c r="AZ1468" s="2">
        <v>17.575566353245598</v>
      </c>
      <c r="BA1468" s="2">
        <v>17.3243447676209</v>
      </c>
      <c r="BB1468" s="2">
        <v>17.371942935980499</v>
      </c>
      <c r="BC1468" s="2">
        <v>17.782849796930499</v>
      </c>
      <c r="BD1468" s="2">
        <v>17.698676251496199</v>
      </c>
      <c r="BE1468" s="2">
        <v>17.508246263225299</v>
      </c>
      <c r="BF1468" s="2">
        <v>17.593983661615798</v>
      </c>
      <c r="BG1468" s="2">
        <v>17.732039668131101</v>
      </c>
      <c r="BH1468" s="2">
        <v>17.682751865365599</v>
      </c>
      <c r="BI1468" s="2">
        <v>17.182146504701802</v>
      </c>
      <c r="BJ1468" s="2">
        <v>17.222295777608299</v>
      </c>
      <c r="BK1468" s="2">
        <v>17.595898485012</v>
      </c>
      <c r="BL1468" s="2">
        <v>17.331287427712599</v>
      </c>
      <c r="BM1468" s="2">
        <v>17.335992689508799</v>
      </c>
      <c r="BN1468" s="2">
        <v>17.156176620048999</v>
      </c>
      <c r="BO1468" s="2">
        <v>17.528546061939299</v>
      </c>
      <c r="BP1468" s="2">
        <v>17.639555584676401</v>
      </c>
      <c r="BQ1468" s="2">
        <v>17.707683542899101</v>
      </c>
      <c r="BR1468" s="2">
        <v>17.893959333154498</v>
      </c>
      <c r="BS1468" s="2">
        <v>17.331220149626901</v>
      </c>
      <c r="BT1468" s="2">
        <v>18.006056578155299</v>
      </c>
      <c r="BU1468" s="2">
        <v>17.715198814400601</v>
      </c>
      <c r="BV1468" s="2">
        <v>17.775778468787301</v>
      </c>
      <c r="BW1468" s="2">
        <v>17.806092540086102</v>
      </c>
      <c r="BX1468" s="2">
        <v>17.602037671587201</v>
      </c>
      <c r="BY1468" s="2">
        <v>17.5051709615392</v>
      </c>
      <c r="BZ1468" s="2">
        <v>17.471758316185898</v>
      </c>
      <c r="CA1468" s="2">
        <v>17.8272766395758</v>
      </c>
      <c r="CB1468" s="2">
        <v>17.7766904958862</v>
      </c>
      <c r="CC1468" s="2">
        <v>17.539968312305501</v>
      </c>
      <c r="CD1468" s="2">
        <v>17.861676516180601</v>
      </c>
      <c r="CE1468" s="2">
        <v>17.3477383994116</v>
      </c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</row>
    <row r="1469" spans="1:97">
      <c r="A1469" s="2" t="s">
        <v>13125</v>
      </c>
      <c r="B1469" s="2">
        <v>385.16845999999998</v>
      </c>
      <c r="C1469" s="2">
        <v>6.4870000000000001</v>
      </c>
      <c r="D1469" s="2" t="s">
        <v>146</v>
      </c>
      <c r="E1469" s="2" t="s">
        <v>13126</v>
      </c>
      <c r="F1469" s="2" t="s">
        <v>13127</v>
      </c>
      <c r="G1469" s="2">
        <v>45092</v>
      </c>
      <c r="H1469" s="3" t="str">
        <f>HYPERLINK("https://cloud.oebiotech.com/#/lm/network/45092", "https://cloud.oebiotech.com/#/lm/network/45092")</f>
        <v>https://cloud.oebiotech.com/#/lm/network/45092</v>
      </c>
      <c r="I1469" s="2"/>
      <c r="J1469" s="2"/>
      <c r="K1469" s="2" t="s">
        <v>13128</v>
      </c>
      <c r="L1469" s="2">
        <v>17756755</v>
      </c>
      <c r="M1469" s="2"/>
      <c r="N1469" s="2"/>
      <c r="O1469" s="2"/>
      <c r="P1469" s="2">
        <v>47889</v>
      </c>
      <c r="Q1469" s="2"/>
      <c r="R1469" s="2"/>
      <c r="S1469" s="2"/>
      <c r="T1469" s="2" t="s">
        <v>13129</v>
      </c>
      <c r="U1469" s="2" t="s">
        <v>13130</v>
      </c>
      <c r="V1469" s="2" t="s">
        <v>95</v>
      </c>
      <c r="W1469" s="2" t="s">
        <v>152</v>
      </c>
      <c r="X1469" s="2" t="s">
        <v>153</v>
      </c>
      <c r="Y1469" s="2" t="s">
        <v>98</v>
      </c>
      <c r="Z1469" s="2" t="s">
        <v>154</v>
      </c>
      <c r="AA1469" s="2" t="s">
        <v>155</v>
      </c>
      <c r="AB1469" s="2" t="s">
        <v>3086</v>
      </c>
      <c r="AC1469" s="2">
        <v>44.47</v>
      </c>
      <c r="AD1469" s="2">
        <v>85.89</v>
      </c>
      <c r="AE1469" s="2">
        <v>0</v>
      </c>
      <c r="AF1469" s="2" t="s">
        <v>5614</v>
      </c>
      <c r="AG1469" s="2" t="s">
        <v>993</v>
      </c>
      <c r="AH1469" s="2" t="s">
        <v>13131</v>
      </c>
      <c r="AI1469" s="2">
        <v>-8.83</v>
      </c>
      <c r="AJ1469" s="2">
        <v>19.121261883626399</v>
      </c>
      <c r="AK1469" s="2">
        <v>19.1598555237168</v>
      </c>
      <c r="AL1469" s="2">
        <v>19.108312777166301</v>
      </c>
      <c r="AM1469" s="2">
        <v>18.581488546296399</v>
      </c>
      <c r="AN1469" s="2">
        <v>19.097910446078298</v>
      </c>
      <c r="AO1469" s="2">
        <v>18.930142741962499</v>
      </c>
      <c r="AP1469" s="2">
        <v>19.1058218252128</v>
      </c>
      <c r="AQ1469" s="2">
        <v>18.723189295978901</v>
      </c>
      <c r="AR1469" s="2">
        <v>18.839939479791202</v>
      </c>
      <c r="AS1469" s="2">
        <v>15.7172718398784</v>
      </c>
      <c r="AT1469" s="2">
        <v>18.298836025617799</v>
      </c>
      <c r="AU1469" s="2">
        <v>18.365918107410199</v>
      </c>
      <c r="AV1469" s="2">
        <v>19.942604691005499</v>
      </c>
      <c r="AW1469" s="2">
        <v>20.618095836822299</v>
      </c>
      <c r="AX1469" s="2">
        <v>19.7240599418997</v>
      </c>
      <c r="AY1469" s="2">
        <v>18.992407840934501</v>
      </c>
      <c r="AZ1469" s="2">
        <v>18.9390206897144</v>
      </c>
      <c r="BA1469" s="2">
        <v>18.556207445590701</v>
      </c>
      <c r="BB1469" s="2">
        <v>19.7286946832285</v>
      </c>
      <c r="BC1469" s="2">
        <v>18.649274389349898</v>
      </c>
      <c r="BD1469" s="2">
        <v>20.1725592221004</v>
      </c>
      <c r="BE1469" s="2">
        <v>19.500040393076201</v>
      </c>
      <c r="BF1469" s="2">
        <v>19.699159065570701</v>
      </c>
      <c r="BG1469" s="2">
        <v>19.345233268411</v>
      </c>
      <c r="BH1469" s="2">
        <v>16.4792450264293</v>
      </c>
      <c r="BI1469" s="2">
        <v>18.028740180491202</v>
      </c>
      <c r="BJ1469" s="2">
        <v>18.678958547133998</v>
      </c>
      <c r="BK1469" s="2">
        <v>18.1038699946156</v>
      </c>
      <c r="BL1469" s="2">
        <v>18.653465167741</v>
      </c>
      <c r="BM1469" s="2">
        <v>16.2955506701154</v>
      </c>
      <c r="BN1469" s="2">
        <v>17.992786351422701</v>
      </c>
      <c r="BO1469" s="2">
        <v>18.742965514944999</v>
      </c>
      <c r="BP1469" s="2">
        <v>19.9668222430425</v>
      </c>
      <c r="BQ1469" s="2">
        <v>19.918412295497301</v>
      </c>
      <c r="BR1469" s="2">
        <v>19.465807827505099</v>
      </c>
      <c r="BS1469" s="2">
        <v>17.891472647891</v>
      </c>
      <c r="BT1469" s="2">
        <v>18.504740212210599</v>
      </c>
      <c r="BU1469" s="2">
        <v>18.004563550676501</v>
      </c>
      <c r="BV1469" s="2">
        <v>18.593692017637501</v>
      </c>
      <c r="BW1469" s="2">
        <v>17.151320636979001</v>
      </c>
      <c r="BX1469" s="2">
        <v>19.628666387494398</v>
      </c>
      <c r="BY1469" s="2">
        <v>17.856080972550199</v>
      </c>
      <c r="BZ1469" s="2">
        <v>20.156714749268701</v>
      </c>
      <c r="CA1469" s="2">
        <v>17.149048859506301</v>
      </c>
      <c r="CB1469" s="2">
        <v>16.4965447067759</v>
      </c>
      <c r="CC1469" s="2">
        <v>18.655654713407799</v>
      </c>
      <c r="CD1469" s="2">
        <v>18.758433132614901</v>
      </c>
      <c r="CE1469" s="2">
        <v>17.386696200872102</v>
      </c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</row>
    <row r="1470" spans="1:97">
      <c r="A1470" s="2" t="s">
        <v>13132</v>
      </c>
      <c r="B1470" s="2">
        <v>566.30379000000005</v>
      </c>
      <c r="C1470" s="2">
        <v>10.89</v>
      </c>
      <c r="D1470" s="2" t="s">
        <v>146</v>
      </c>
      <c r="E1470" s="2" t="s">
        <v>13133</v>
      </c>
      <c r="F1470" s="2" t="s">
        <v>13134</v>
      </c>
      <c r="G1470" s="2">
        <v>19822</v>
      </c>
      <c r="H1470" s="3" t="str">
        <f>HYPERLINK("https://cloud.oebiotech.com/#/lm/network/19822", "https://cloud.oebiotech.com/#/lm/network/19822")</f>
        <v>https://cloud.oebiotech.com/#/lm/network/19822</v>
      </c>
      <c r="I1470" s="2"/>
      <c r="J1470" s="2">
        <v>40269</v>
      </c>
      <c r="K1470" s="2" t="s">
        <v>13135</v>
      </c>
      <c r="L1470" s="2">
        <v>24779452</v>
      </c>
      <c r="M1470" s="2"/>
      <c r="N1470" s="2"/>
      <c r="O1470" s="2"/>
      <c r="P1470" s="2"/>
      <c r="Q1470" s="2"/>
      <c r="R1470" s="2"/>
      <c r="S1470" s="2"/>
      <c r="T1470" s="2" t="s">
        <v>13136</v>
      </c>
      <c r="U1470" s="2" t="s">
        <v>13137</v>
      </c>
      <c r="V1470" s="2" t="s">
        <v>95</v>
      </c>
      <c r="W1470" s="2" t="s">
        <v>202</v>
      </c>
      <c r="X1470" s="2" t="s">
        <v>203</v>
      </c>
      <c r="Y1470" s="2" t="s">
        <v>98</v>
      </c>
      <c r="Z1470" s="2" t="s">
        <v>204</v>
      </c>
      <c r="AA1470" s="2" t="s">
        <v>205</v>
      </c>
      <c r="AB1470" s="2" t="s">
        <v>3086</v>
      </c>
      <c r="AC1470" s="2">
        <v>44.47</v>
      </c>
      <c r="AD1470" s="2">
        <v>60.35</v>
      </c>
      <c r="AE1470" s="2">
        <v>0</v>
      </c>
      <c r="AF1470" s="2" t="s">
        <v>5614</v>
      </c>
      <c r="AG1470" s="2" t="s">
        <v>4062</v>
      </c>
      <c r="AH1470" s="2" t="s">
        <v>13138</v>
      </c>
      <c r="AI1470" s="2">
        <v>-3.36</v>
      </c>
      <c r="AJ1470" s="2">
        <v>19.310525539280999</v>
      </c>
      <c r="AK1470" s="2">
        <v>19.056210436529199</v>
      </c>
      <c r="AL1470" s="2">
        <v>18.7999075921743</v>
      </c>
      <c r="AM1470" s="2">
        <v>19.333297629442502</v>
      </c>
      <c r="AN1470" s="2">
        <v>19.645455018443499</v>
      </c>
      <c r="AO1470" s="2">
        <v>18.5293692788754</v>
      </c>
      <c r="AP1470" s="2">
        <v>18.379836455953299</v>
      </c>
      <c r="AQ1470" s="2">
        <v>19.4603166212638</v>
      </c>
      <c r="AR1470" s="2">
        <v>19.252725990003501</v>
      </c>
      <c r="AS1470" s="2">
        <v>17.581553384604799</v>
      </c>
      <c r="AT1470" s="2">
        <v>18.353526139693699</v>
      </c>
      <c r="AU1470" s="2">
        <v>18.8988148367748</v>
      </c>
      <c r="AV1470" s="2">
        <v>19.403948303578002</v>
      </c>
      <c r="AW1470" s="2">
        <v>19.482549431799999</v>
      </c>
      <c r="AX1470" s="2">
        <v>19.4631689759651</v>
      </c>
      <c r="AY1470" s="2">
        <v>18.450877288970698</v>
      </c>
      <c r="AZ1470" s="2">
        <v>19.366549367891199</v>
      </c>
      <c r="BA1470" s="2">
        <v>17.018168549951501</v>
      </c>
      <c r="BB1470" s="2">
        <v>19.073030658567902</v>
      </c>
      <c r="BC1470" s="2">
        <v>20.091077206932699</v>
      </c>
      <c r="BD1470" s="2">
        <v>18.991122404603299</v>
      </c>
      <c r="BE1470" s="2">
        <v>19.810112623949099</v>
      </c>
      <c r="BF1470" s="2">
        <v>19.682732014137599</v>
      </c>
      <c r="BG1470" s="2">
        <v>19.193121288092399</v>
      </c>
      <c r="BH1470" s="2">
        <v>18.536624651780201</v>
      </c>
      <c r="BI1470" s="2">
        <v>19.943429086574699</v>
      </c>
      <c r="BJ1470" s="2">
        <v>19.050393869740201</v>
      </c>
      <c r="BK1470" s="2">
        <v>18.6906804183688</v>
      </c>
      <c r="BL1470" s="2">
        <v>20.086735374400401</v>
      </c>
      <c r="BM1470" s="2">
        <v>19.413124692776499</v>
      </c>
      <c r="BN1470" s="2">
        <v>20.0842685267775</v>
      </c>
      <c r="BO1470" s="2">
        <v>19.446869375194801</v>
      </c>
      <c r="BP1470" s="2">
        <v>19.420260248762698</v>
      </c>
      <c r="BQ1470" s="2">
        <v>19.435237643912199</v>
      </c>
      <c r="BR1470" s="2">
        <v>19.817081710588099</v>
      </c>
      <c r="BS1470" s="2">
        <v>19.148487828363301</v>
      </c>
      <c r="BT1470" s="2">
        <v>19.051520507854399</v>
      </c>
      <c r="BU1470" s="2">
        <v>18.972650392537599</v>
      </c>
      <c r="BV1470" s="2">
        <v>19.108937031715801</v>
      </c>
      <c r="BW1470" s="2">
        <v>18.462427303355799</v>
      </c>
      <c r="BX1470" s="2">
        <v>18.555251623303199</v>
      </c>
      <c r="BY1470" s="2">
        <v>19.930894009423199</v>
      </c>
      <c r="BZ1470" s="2">
        <v>19.224897284813299</v>
      </c>
      <c r="CA1470" s="2">
        <v>19.161592938188299</v>
      </c>
      <c r="CB1470" s="2">
        <v>19.055257409092899</v>
      </c>
      <c r="CC1470" s="2">
        <v>17.396223287475799</v>
      </c>
      <c r="CD1470" s="2">
        <v>18.887772220410099</v>
      </c>
      <c r="CE1470" s="2">
        <v>17.669755389876801</v>
      </c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</row>
    <row r="1471" spans="1:97">
      <c r="A1471" s="2" t="s">
        <v>13139</v>
      </c>
      <c r="B1471" s="2">
        <v>208.03908999999999</v>
      </c>
      <c r="C1471" s="2">
        <v>0.58199999999999996</v>
      </c>
      <c r="D1471" s="2" t="s">
        <v>84</v>
      </c>
      <c r="E1471" s="2" t="s">
        <v>13140</v>
      </c>
      <c r="F1471" s="2" t="s">
        <v>13141</v>
      </c>
      <c r="G1471" s="2">
        <v>82941</v>
      </c>
      <c r="H1471" s="3" t="str">
        <f>HYPERLINK("https://cloud.oebiotech.com/#/lm/network/82941", "https://cloud.oebiotech.com/#/lm/network/82941")</f>
        <v>https://cloud.oebiotech.com/#/lm/network/82941</v>
      </c>
      <c r="I1471" s="2" t="s">
        <v>13142</v>
      </c>
      <c r="J1471" s="2"/>
      <c r="K1471" s="2"/>
      <c r="L1471" s="2">
        <v>92043695</v>
      </c>
      <c r="M1471" s="2"/>
      <c r="N1471" s="2"/>
      <c r="O1471" s="2"/>
      <c r="P1471" s="2"/>
      <c r="Q1471" s="2"/>
      <c r="R1471" s="2"/>
      <c r="S1471" s="2"/>
      <c r="T1471" s="2" t="s">
        <v>13143</v>
      </c>
      <c r="U1471" s="2" t="s">
        <v>13144</v>
      </c>
      <c r="V1471" s="2" t="s">
        <v>115</v>
      </c>
      <c r="W1471" s="2" t="s">
        <v>613</v>
      </c>
      <c r="X1471" s="2" t="s">
        <v>614</v>
      </c>
      <c r="Y1471" s="2" t="s">
        <v>118</v>
      </c>
      <c r="Z1471" s="2" t="s">
        <v>615</v>
      </c>
      <c r="AA1471" s="2" t="s">
        <v>616</v>
      </c>
      <c r="AB1471" s="2" t="s">
        <v>8443</v>
      </c>
      <c r="AC1471" s="2">
        <v>44.46</v>
      </c>
      <c r="AD1471" s="2">
        <v>93.17</v>
      </c>
      <c r="AE1471" s="2">
        <v>0</v>
      </c>
      <c r="AF1471" s="2" t="s">
        <v>13145</v>
      </c>
      <c r="AG1471" s="2" t="s">
        <v>132</v>
      </c>
      <c r="AH1471" s="2" t="s">
        <v>13146</v>
      </c>
      <c r="AI1471" s="2">
        <v>-1.92</v>
      </c>
      <c r="AJ1471" s="2">
        <v>23.253484858589701</v>
      </c>
      <c r="AK1471" s="2">
        <v>22.838306406218301</v>
      </c>
      <c r="AL1471" s="2">
        <v>23.322807577183202</v>
      </c>
      <c r="AM1471" s="2">
        <v>23.368895193122398</v>
      </c>
      <c r="AN1471" s="2">
        <v>23.415300938027801</v>
      </c>
      <c r="AO1471" s="2">
        <v>23.377034320676302</v>
      </c>
      <c r="AP1471" s="2">
        <v>23.2382572438379</v>
      </c>
      <c r="AQ1471" s="2">
        <v>23.063837917389801</v>
      </c>
      <c r="AR1471" s="2">
        <v>23.139722019350099</v>
      </c>
      <c r="AS1471" s="2">
        <v>22.7937581351052</v>
      </c>
      <c r="AT1471" s="2">
        <v>23.031647043725702</v>
      </c>
      <c r="AU1471" s="2">
        <v>22.863930219802199</v>
      </c>
      <c r="AV1471" s="2">
        <v>23.179700785152299</v>
      </c>
      <c r="AW1471" s="2">
        <v>22.8748356676894</v>
      </c>
      <c r="AX1471" s="2">
        <v>23.031183009950499</v>
      </c>
      <c r="AY1471" s="2">
        <v>22.864199653304201</v>
      </c>
      <c r="AZ1471" s="2">
        <v>22.7954425944455</v>
      </c>
      <c r="BA1471" s="2">
        <v>22.963047849190001</v>
      </c>
      <c r="BB1471" s="2">
        <v>23.364977008328999</v>
      </c>
      <c r="BC1471" s="2">
        <v>22.862691328377501</v>
      </c>
      <c r="BD1471" s="2">
        <v>23.127286303739002</v>
      </c>
      <c r="BE1471" s="2">
        <v>23.055184379816598</v>
      </c>
      <c r="BF1471" s="2">
        <v>23.150340206921602</v>
      </c>
      <c r="BG1471" s="2">
        <v>22.860097814097202</v>
      </c>
      <c r="BH1471" s="2">
        <v>23.080138014653599</v>
      </c>
      <c r="BI1471" s="2">
        <v>22.6491281311413</v>
      </c>
      <c r="BJ1471" s="2">
        <v>23.178029510840702</v>
      </c>
      <c r="BK1471" s="2">
        <v>22.892071288518899</v>
      </c>
      <c r="BL1471" s="2">
        <v>23.043012022852601</v>
      </c>
      <c r="BM1471" s="2">
        <v>23.0580706910043</v>
      </c>
      <c r="BN1471" s="2">
        <v>23.1048141022331</v>
      </c>
      <c r="BO1471" s="2">
        <v>22.859041849441901</v>
      </c>
      <c r="BP1471" s="2">
        <v>22.7494082864755</v>
      </c>
      <c r="BQ1471" s="2">
        <v>22.784804450509299</v>
      </c>
      <c r="BR1471" s="2">
        <v>22.483751807984799</v>
      </c>
      <c r="BS1471" s="2">
        <v>22.938951015025701</v>
      </c>
      <c r="BT1471" s="2">
        <v>23.030391909974199</v>
      </c>
      <c r="BU1471" s="2">
        <v>22.985185831051599</v>
      </c>
      <c r="BV1471" s="2">
        <v>23.1172653644436</v>
      </c>
      <c r="BW1471" s="2">
        <v>23.0996115069638</v>
      </c>
      <c r="BX1471" s="2">
        <v>22.830794807343999</v>
      </c>
      <c r="BY1471" s="2">
        <v>22.643946533697601</v>
      </c>
      <c r="BZ1471" s="2">
        <v>23.115216548608501</v>
      </c>
      <c r="CA1471" s="2">
        <v>22.694749098612299</v>
      </c>
      <c r="CB1471" s="2">
        <v>23.1919169462718</v>
      </c>
      <c r="CC1471" s="2">
        <v>22.8568606509589</v>
      </c>
      <c r="CD1471" s="2">
        <v>23.135917267474401</v>
      </c>
      <c r="CE1471" s="2">
        <v>23.1884517327717</v>
      </c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</row>
    <row r="1472" spans="1:97">
      <c r="A1472" s="2" t="s">
        <v>13147</v>
      </c>
      <c r="B1472" s="2">
        <v>230.17490000000001</v>
      </c>
      <c r="C1472" s="2">
        <v>6.2619999999999996</v>
      </c>
      <c r="D1472" s="2" t="s">
        <v>84</v>
      </c>
      <c r="E1472" s="2" t="s">
        <v>13148</v>
      </c>
      <c r="F1472" s="2" t="s">
        <v>13149</v>
      </c>
      <c r="G1472" s="2">
        <v>52233</v>
      </c>
      <c r="H1472" s="3" t="str">
        <f>HYPERLINK("https://cloud.oebiotech.com/#/lm/network/52233", "https://cloud.oebiotech.com/#/lm/network/52233")</f>
        <v>https://cloud.oebiotech.com/#/lm/network/52233</v>
      </c>
      <c r="I1472" s="2" t="s">
        <v>13150</v>
      </c>
      <c r="J1472" s="2"/>
      <c r="K1472" s="2"/>
      <c r="L1472" s="2">
        <v>1712391</v>
      </c>
      <c r="M1472" s="2"/>
      <c r="N1472" s="2"/>
      <c r="O1472" s="2"/>
      <c r="P1472" s="2">
        <v>74430</v>
      </c>
      <c r="Q1472" s="2"/>
      <c r="R1472" s="2"/>
      <c r="S1472" s="2"/>
      <c r="T1472" s="2" t="s">
        <v>13151</v>
      </c>
      <c r="U1472" s="2" t="s">
        <v>13152</v>
      </c>
      <c r="V1472" s="2" t="s">
        <v>115</v>
      </c>
      <c r="W1472" s="2" t="s">
        <v>116</v>
      </c>
      <c r="X1472" s="2" t="s">
        <v>117</v>
      </c>
      <c r="Y1472" s="2" t="s">
        <v>118</v>
      </c>
      <c r="Z1472" s="2" t="s">
        <v>119</v>
      </c>
      <c r="AA1472" s="2" t="s">
        <v>120</v>
      </c>
      <c r="AB1472" s="2" t="s">
        <v>8443</v>
      </c>
      <c r="AC1472" s="2">
        <v>44.43</v>
      </c>
      <c r="AD1472" s="2">
        <v>92.38</v>
      </c>
      <c r="AE1472" s="2">
        <v>37.22</v>
      </c>
      <c r="AF1472" s="2" t="s">
        <v>13153</v>
      </c>
      <c r="AG1472" s="2" t="s">
        <v>103</v>
      </c>
      <c r="AH1472" s="2" t="s">
        <v>4698</v>
      </c>
      <c r="AI1472" s="2">
        <v>0.87</v>
      </c>
      <c r="AJ1472" s="2">
        <v>18.801304122888201</v>
      </c>
      <c r="AK1472" s="2">
        <v>19.2002768154032</v>
      </c>
      <c r="AL1472" s="2">
        <v>19.167799890058799</v>
      </c>
      <c r="AM1472" s="2">
        <v>18.646599596153401</v>
      </c>
      <c r="AN1472" s="2">
        <v>19.2505653404695</v>
      </c>
      <c r="AO1472" s="2">
        <v>19.130210366916302</v>
      </c>
      <c r="AP1472" s="2">
        <v>18.5880716030311</v>
      </c>
      <c r="AQ1472" s="2">
        <v>19.020254975878299</v>
      </c>
      <c r="AR1472" s="2">
        <v>19.236806826483001</v>
      </c>
      <c r="AS1472" s="2">
        <v>18.6668151438828</v>
      </c>
      <c r="AT1472" s="2">
        <v>19.058993716199101</v>
      </c>
      <c r="AU1472" s="2">
        <v>18.8768485352686</v>
      </c>
      <c r="AV1472" s="2">
        <v>18.610456196030398</v>
      </c>
      <c r="AW1472" s="2">
        <v>18.720410508461502</v>
      </c>
      <c r="AX1472" s="2">
        <v>18.588840404827501</v>
      </c>
      <c r="AY1472" s="2">
        <v>18.863978485917599</v>
      </c>
      <c r="AZ1472" s="2">
        <v>18.668651167084299</v>
      </c>
      <c r="BA1472" s="2">
        <v>18.6779121587827</v>
      </c>
      <c r="BB1472" s="2">
        <v>19.328499891073701</v>
      </c>
      <c r="BC1472" s="2">
        <v>18.834610141430499</v>
      </c>
      <c r="BD1472" s="2">
        <v>18.9423324273669</v>
      </c>
      <c r="BE1472" s="2">
        <v>18.7715211286956</v>
      </c>
      <c r="BF1472" s="2">
        <v>18.990870734847999</v>
      </c>
      <c r="BG1472" s="2">
        <v>18.152275581787901</v>
      </c>
      <c r="BH1472" s="2">
        <v>18.4762359501742</v>
      </c>
      <c r="BI1472" s="2">
        <v>19.052670675310299</v>
      </c>
      <c r="BJ1472" s="2">
        <v>18.818126832394999</v>
      </c>
      <c r="BK1472" s="2">
        <v>18.8331100115971</v>
      </c>
      <c r="BL1472" s="2">
        <v>18.477408354974301</v>
      </c>
      <c r="BM1472" s="2">
        <v>18.4960902636622</v>
      </c>
      <c r="BN1472" s="2">
        <v>18.794958881761399</v>
      </c>
      <c r="BO1472" s="2">
        <v>19.6538826568917</v>
      </c>
      <c r="BP1472" s="2">
        <v>18.892792880772401</v>
      </c>
      <c r="BQ1472" s="2">
        <v>18.4894573396409</v>
      </c>
      <c r="BR1472" s="2">
        <v>19.191864860332299</v>
      </c>
      <c r="BS1472" s="2">
        <v>18.964367522068201</v>
      </c>
      <c r="BT1472" s="2">
        <v>18.6341310113785</v>
      </c>
      <c r="BU1472" s="2">
        <v>18.554587690099002</v>
      </c>
      <c r="BV1472" s="2">
        <v>18.426941555476201</v>
      </c>
      <c r="BW1472" s="2">
        <v>18.9025587432644</v>
      </c>
      <c r="BX1472" s="2">
        <v>18.621586992355301</v>
      </c>
      <c r="BY1472" s="2">
        <v>18.746111085113899</v>
      </c>
      <c r="BZ1472" s="2">
        <v>18.951226252300199</v>
      </c>
      <c r="CA1472" s="2">
        <v>18.527160221038301</v>
      </c>
      <c r="CB1472" s="2">
        <v>18.567586897420199</v>
      </c>
      <c r="CC1472" s="2">
        <v>18.316312338967599</v>
      </c>
      <c r="CD1472" s="2">
        <v>18.356668090053802</v>
      </c>
      <c r="CE1472" s="2">
        <v>18.2613707645834</v>
      </c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</row>
    <row r="1473" spans="1:97">
      <c r="A1473" s="2" t="s">
        <v>13154</v>
      </c>
      <c r="B1473" s="2">
        <v>512.26797999999997</v>
      </c>
      <c r="C1473" s="2">
        <v>9.2520000000000007</v>
      </c>
      <c r="D1473" s="2" t="s">
        <v>146</v>
      </c>
      <c r="E1473" s="2" t="s">
        <v>13155</v>
      </c>
      <c r="F1473" s="2" t="s">
        <v>13156</v>
      </c>
      <c r="G1473" s="2">
        <v>212924</v>
      </c>
      <c r="H1473" s="3" t="str">
        <f>HYPERLINK("https://cloud.oebiotech.com/#/lm/network/212924", "https://cloud.oebiotech.com/#/lm/network/212924")</f>
        <v>https://cloud.oebiotech.com/#/lm/network/212924</v>
      </c>
      <c r="I1473" s="2" t="s">
        <v>13157</v>
      </c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 t="s">
        <v>13158</v>
      </c>
      <c r="U1473" s="2" t="s">
        <v>13159</v>
      </c>
      <c r="V1473" s="2" t="s">
        <v>553</v>
      </c>
      <c r="W1473" s="2" t="s">
        <v>933</v>
      </c>
      <c r="X1473" s="2" t="s">
        <v>13160</v>
      </c>
      <c r="Y1473" s="2" t="s">
        <v>556</v>
      </c>
      <c r="Z1473" s="2" t="s">
        <v>935</v>
      </c>
      <c r="AA1473" s="2" t="s">
        <v>13161</v>
      </c>
      <c r="AB1473" s="2" t="s">
        <v>8443</v>
      </c>
      <c r="AC1473" s="2">
        <v>44.41</v>
      </c>
      <c r="AD1473" s="2">
        <v>94.25</v>
      </c>
      <c r="AE1473" s="2">
        <v>0</v>
      </c>
      <c r="AF1473" s="2" t="s">
        <v>13162</v>
      </c>
      <c r="AG1473" s="2" t="s">
        <v>993</v>
      </c>
      <c r="AH1473" s="2" t="s">
        <v>13163</v>
      </c>
      <c r="AI1473" s="2">
        <v>4.29</v>
      </c>
      <c r="AJ1473" s="2">
        <v>22.495025670345498</v>
      </c>
      <c r="AK1473" s="2">
        <v>21.984313487719401</v>
      </c>
      <c r="AL1473" s="2">
        <v>22.271446656398901</v>
      </c>
      <c r="AM1473" s="2">
        <v>22.464811314581901</v>
      </c>
      <c r="AN1473" s="2">
        <v>21.4603991499513</v>
      </c>
      <c r="AO1473" s="2">
        <v>22.543535558658299</v>
      </c>
      <c r="AP1473" s="2">
        <v>22.393369331917398</v>
      </c>
      <c r="AQ1473" s="2">
        <v>22.4782300511038</v>
      </c>
      <c r="AR1473" s="2">
        <v>23.295295390581199</v>
      </c>
      <c r="AS1473" s="2">
        <v>19.7534980573407</v>
      </c>
      <c r="AT1473" s="2">
        <v>22.145410190000799</v>
      </c>
      <c r="AU1473" s="2">
        <v>23.119139841873501</v>
      </c>
      <c r="AV1473" s="2">
        <v>23.621709024190402</v>
      </c>
      <c r="AW1473" s="2">
        <v>21.992432871744899</v>
      </c>
      <c r="AX1473" s="2">
        <v>18.603311068692602</v>
      </c>
      <c r="AY1473" s="2">
        <v>25.190410740226199</v>
      </c>
      <c r="AZ1473" s="2">
        <v>22.5010746593031</v>
      </c>
      <c r="BA1473" s="2">
        <v>18.325950168217201</v>
      </c>
      <c r="BB1473" s="2">
        <v>19.237688224299799</v>
      </c>
      <c r="BC1473" s="2">
        <v>17.267362512016099</v>
      </c>
      <c r="BD1473" s="2">
        <v>22.127420200706499</v>
      </c>
      <c r="BE1473" s="2">
        <v>23.839583294184699</v>
      </c>
      <c r="BF1473" s="2">
        <v>19.636534155455301</v>
      </c>
      <c r="BG1473" s="2">
        <v>14.814682593958601</v>
      </c>
      <c r="BH1473" s="2">
        <v>22.061863040650401</v>
      </c>
      <c r="BI1473" s="2">
        <v>20.175379999739</v>
      </c>
      <c r="BJ1473" s="2">
        <v>23.468344825872201</v>
      </c>
      <c r="BK1473" s="2">
        <v>15.9095668658398</v>
      </c>
      <c r="BL1473" s="2">
        <v>21.274521315160701</v>
      </c>
      <c r="BM1473" s="2">
        <v>23.011898282411099</v>
      </c>
      <c r="BN1473" s="2">
        <v>22.900946092250798</v>
      </c>
      <c r="BO1473" s="2">
        <v>21.898178339782099</v>
      </c>
      <c r="BP1473" s="2">
        <v>23.7112002878807</v>
      </c>
      <c r="BQ1473" s="2">
        <v>24.8160870817836</v>
      </c>
      <c r="BR1473" s="2">
        <v>21.990174693673701</v>
      </c>
      <c r="BS1473" s="2">
        <v>24.977043530304901</v>
      </c>
      <c r="BT1473" s="2">
        <v>22.730279896565101</v>
      </c>
      <c r="BU1473" s="2">
        <v>20.676680642975899</v>
      </c>
      <c r="BV1473" s="2">
        <v>17.8199863192444</v>
      </c>
      <c r="BW1473" s="2">
        <v>15.781385585487101</v>
      </c>
      <c r="BX1473" s="2">
        <v>22.637253988834999</v>
      </c>
      <c r="BY1473" s="2">
        <v>23.7399285008036</v>
      </c>
      <c r="BZ1473" s="2">
        <v>16.2315905839693</v>
      </c>
      <c r="CA1473" s="2">
        <v>16.236585482009499</v>
      </c>
      <c r="CB1473" s="2">
        <v>20.0519911562182</v>
      </c>
      <c r="CC1473" s="2">
        <v>19.125252695111602</v>
      </c>
      <c r="CD1473" s="2">
        <v>22.747728275862301</v>
      </c>
      <c r="CE1473" s="2">
        <v>13.944169392936899</v>
      </c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</row>
    <row r="1474" spans="1:97">
      <c r="A1474" s="2" t="s">
        <v>13164</v>
      </c>
      <c r="B1474" s="2">
        <v>442.98131999999998</v>
      </c>
      <c r="C1474" s="2">
        <v>4.8040000000000003</v>
      </c>
      <c r="D1474" s="2" t="s">
        <v>84</v>
      </c>
      <c r="E1474" s="2" t="s">
        <v>13165</v>
      </c>
      <c r="F1474" s="2" t="s">
        <v>13166</v>
      </c>
      <c r="G1474" s="2">
        <v>53365</v>
      </c>
      <c r="H1474" s="3" t="str">
        <f>HYPERLINK("https://cloud.oebiotech.com/#/lm/network/53365", "https://cloud.oebiotech.com/#/lm/network/53365")</f>
        <v>https://cloud.oebiotech.com/#/lm/network/53365</v>
      </c>
      <c r="I1474" s="2" t="s">
        <v>13167</v>
      </c>
      <c r="J1474" s="2">
        <v>85472</v>
      </c>
      <c r="K1474" s="2"/>
      <c r="L1474" s="2">
        <v>5351</v>
      </c>
      <c r="M1474" s="2"/>
      <c r="N1474" s="2"/>
      <c r="O1474" s="2"/>
      <c r="P1474" s="2">
        <v>553043</v>
      </c>
      <c r="Q1474" s="2"/>
      <c r="R1474" s="2"/>
      <c r="S1474" s="2" t="s">
        <v>13168</v>
      </c>
      <c r="T1474" s="2" t="s">
        <v>13169</v>
      </c>
      <c r="U1474" s="2" t="s">
        <v>13170</v>
      </c>
      <c r="V1474" s="2" t="s">
        <v>385</v>
      </c>
      <c r="W1474" s="2" t="s">
        <v>386</v>
      </c>
      <c r="X1474" s="2" t="s">
        <v>10971</v>
      </c>
      <c r="Y1474" s="2" t="s">
        <v>388</v>
      </c>
      <c r="Z1474" s="2" t="s">
        <v>389</v>
      </c>
      <c r="AA1474" s="2" t="s">
        <v>10972</v>
      </c>
      <c r="AB1474" s="2" t="s">
        <v>5118</v>
      </c>
      <c r="AC1474" s="2">
        <v>44.41</v>
      </c>
      <c r="AD1474" s="2">
        <v>74.459999999999994</v>
      </c>
      <c r="AE1474" s="2">
        <v>68.72</v>
      </c>
      <c r="AF1474" s="2" t="s">
        <v>13171</v>
      </c>
      <c r="AG1474" s="2" t="s">
        <v>3544</v>
      </c>
      <c r="AH1474" s="2" t="s">
        <v>13172</v>
      </c>
      <c r="AI1474" s="2">
        <v>-2.48</v>
      </c>
      <c r="AJ1474" s="2">
        <v>18.9126162445238</v>
      </c>
      <c r="AK1474" s="2">
        <v>18.792738067835899</v>
      </c>
      <c r="AL1474" s="2">
        <v>19.175015843248399</v>
      </c>
      <c r="AM1474" s="2">
        <v>18.930879402447299</v>
      </c>
      <c r="AN1474" s="2">
        <v>19.150077300810199</v>
      </c>
      <c r="AO1474" s="2">
        <v>18.6429841453892</v>
      </c>
      <c r="AP1474" s="2">
        <v>18.9862312582915</v>
      </c>
      <c r="AQ1474" s="2">
        <v>18.113598371552602</v>
      </c>
      <c r="AR1474" s="2">
        <v>14.7268711206123</v>
      </c>
      <c r="AS1474" s="2">
        <v>9.6233145402724691</v>
      </c>
      <c r="AT1474" s="2">
        <v>9.6233145402724691</v>
      </c>
      <c r="AU1474" s="2">
        <v>13.5493972345066</v>
      </c>
      <c r="AV1474" s="2">
        <v>21.4247761473049</v>
      </c>
      <c r="AW1474" s="2">
        <v>18.658570145070701</v>
      </c>
      <c r="AX1474" s="2">
        <v>16.846642178666599</v>
      </c>
      <c r="AY1474" s="2">
        <v>14.450554020723599</v>
      </c>
      <c r="AZ1474" s="2">
        <v>17.700556894422999</v>
      </c>
      <c r="BA1474" s="2">
        <v>9.6233145402724691</v>
      </c>
      <c r="BB1474" s="2">
        <v>9.6233145402724691</v>
      </c>
      <c r="BC1474" s="2">
        <v>9.6233145402724691</v>
      </c>
      <c r="BD1474" s="2">
        <v>17.570173239150002</v>
      </c>
      <c r="BE1474" s="2">
        <v>22.333840556721</v>
      </c>
      <c r="BF1474" s="2">
        <v>17.8823542593735</v>
      </c>
      <c r="BG1474" s="2">
        <v>9.6233145402724691</v>
      </c>
      <c r="BH1474" s="2">
        <v>20.071707311751801</v>
      </c>
      <c r="BI1474" s="2">
        <v>20.300629706914499</v>
      </c>
      <c r="BJ1474" s="2">
        <v>20.689825936003299</v>
      </c>
      <c r="BK1474" s="2">
        <v>9.6233145402724691</v>
      </c>
      <c r="BL1474" s="2">
        <v>18.277294438846202</v>
      </c>
      <c r="BM1474" s="2">
        <v>9.6233145402724691</v>
      </c>
      <c r="BN1474" s="2">
        <v>9.6233145402724691</v>
      </c>
      <c r="BO1474" s="2">
        <v>9.6233145402724691</v>
      </c>
      <c r="BP1474" s="2">
        <v>20.512374174523799</v>
      </c>
      <c r="BQ1474" s="2">
        <v>18.352972923664201</v>
      </c>
      <c r="BR1474" s="2">
        <v>18.664387455741899</v>
      </c>
      <c r="BS1474" s="2">
        <v>17.4252262316474</v>
      </c>
      <c r="BT1474" s="2">
        <v>18.2740299689575</v>
      </c>
      <c r="BU1474" s="2">
        <v>14.694517319286399</v>
      </c>
      <c r="BV1474" s="2">
        <v>9.6233145402724691</v>
      </c>
      <c r="BW1474" s="2">
        <v>9.6233145402724691</v>
      </c>
      <c r="BX1474" s="2">
        <v>17.646867418249698</v>
      </c>
      <c r="BY1474" s="2">
        <v>22.331348794904599</v>
      </c>
      <c r="BZ1474" s="2">
        <v>9.6233145402724691</v>
      </c>
      <c r="CA1474" s="2">
        <v>9.6233145402724691</v>
      </c>
      <c r="CB1474" s="2">
        <v>19.094898522177399</v>
      </c>
      <c r="CC1474" s="2">
        <v>9.6233145402724691</v>
      </c>
      <c r="CD1474" s="2">
        <v>19.950742705964</v>
      </c>
      <c r="CE1474" s="2">
        <v>9.6233145402724691</v>
      </c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</row>
    <row r="1475" spans="1:97">
      <c r="A1475" s="2" t="s">
        <v>13173</v>
      </c>
      <c r="B1475" s="2">
        <v>227.12848</v>
      </c>
      <c r="C1475" s="2">
        <v>7.9989999999999997</v>
      </c>
      <c r="D1475" s="2" t="s">
        <v>146</v>
      </c>
      <c r="E1475" s="2" t="s">
        <v>13174</v>
      </c>
      <c r="F1475" s="2" t="s">
        <v>13175</v>
      </c>
      <c r="G1475" s="2">
        <v>1096</v>
      </c>
      <c r="H1475" s="3" t="str">
        <f>HYPERLINK("https://cloud.oebiotech.com/#/lm/network/1096", "https://cloud.oebiotech.com/#/lm/network/1096")</f>
        <v>https://cloud.oebiotech.com/#/lm/network/1096</v>
      </c>
      <c r="I1475" s="2"/>
      <c r="J1475" s="2">
        <v>74268</v>
      </c>
      <c r="K1475" s="2" t="s">
        <v>13176</v>
      </c>
      <c r="L1475" s="2">
        <v>5312731</v>
      </c>
      <c r="M1475" s="2"/>
      <c r="N1475" s="2"/>
      <c r="O1475" s="2"/>
      <c r="P1475" s="2"/>
      <c r="Q1475" s="2"/>
      <c r="R1475" s="2"/>
      <c r="S1475" s="2"/>
      <c r="T1475" s="2" t="s">
        <v>13177</v>
      </c>
      <c r="U1475" s="2" t="s">
        <v>13178</v>
      </c>
      <c r="V1475" s="2" t="s">
        <v>95</v>
      </c>
      <c r="W1475" s="2" t="s">
        <v>96</v>
      </c>
      <c r="X1475" s="2" t="s">
        <v>141</v>
      </c>
      <c r="Y1475" s="2" t="s">
        <v>98</v>
      </c>
      <c r="Z1475" s="2" t="s">
        <v>99</v>
      </c>
      <c r="AA1475" s="2" t="s">
        <v>142</v>
      </c>
      <c r="AB1475" s="2" t="s">
        <v>8443</v>
      </c>
      <c r="AC1475" s="2">
        <v>44.4</v>
      </c>
      <c r="AD1475" s="2">
        <v>92.72</v>
      </c>
      <c r="AE1475" s="2">
        <v>41.38</v>
      </c>
      <c r="AF1475" s="2" t="s">
        <v>13179</v>
      </c>
      <c r="AG1475" s="2" t="s">
        <v>157</v>
      </c>
      <c r="AH1475" s="2" t="s">
        <v>13180</v>
      </c>
      <c r="AI1475" s="2">
        <v>1.76</v>
      </c>
      <c r="AJ1475" s="2">
        <v>19.994010347142499</v>
      </c>
      <c r="AK1475" s="2">
        <v>19.827105880986299</v>
      </c>
      <c r="AL1475" s="2">
        <v>20.313997612484901</v>
      </c>
      <c r="AM1475" s="2">
        <v>20.251087372634899</v>
      </c>
      <c r="AN1475" s="2">
        <v>20.153218883597599</v>
      </c>
      <c r="AO1475" s="2">
        <v>20.357820826878001</v>
      </c>
      <c r="AP1475" s="2">
        <v>20.268667395045998</v>
      </c>
      <c r="AQ1475" s="2">
        <v>20.391992190188098</v>
      </c>
      <c r="AR1475" s="2">
        <v>19.7080333503175</v>
      </c>
      <c r="AS1475" s="2">
        <v>20.0867726866597</v>
      </c>
      <c r="AT1475" s="2">
        <v>20.021024794619301</v>
      </c>
      <c r="AU1475" s="2">
        <v>20.116407791059199</v>
      </c>
      <c r="AV1475" s="2">
        <v>20.2375173373959</v>
      </c>
      <c r="AW1475" s="2">
        <v>20.2963998567148</v>
      </c>
      <c r="AX1475" s="2">
        <v>19.982638623664801</v>
      </c>
      <c r="AY1475" s="2">
        <v>20.230663943547601</v>
      </c>
      <c r="AZ1475" s="2">
        <v>20.1535192893671</v>
      </c>
      <c r="BA1475" s="2">
        <v>20.2785536459239</v>
      </c>
      <c r="BB1475" s="2">
        <v>20.361272664438101</v>
      </c>
      <c r="BC1475" s="2">
        <v>20.498830648507401</v>
      </c>
      <c r="BD1475" s="2">
        <v>19.973707426709701</v>
      </c>
      <c r="BE1475" s="2">
        <v>20.0879778458551</v>
      </c>
      <c r="BF1475" s="2">
        <v>20.1771169129775</v>
      </c>
      <c r="BG1475" s="2">
        <v>19.777062971932001</v>
      </c>
      <c r="BH1475" s="2">
        <v>19.723510200337898</v>
      </c>
      <c r="BI1475" s="2">
        <v>19.8367419595094</v>
      </c>
      <c r="BJ1475" s="2">
        <v>20.0253188928714</v>
      </c>
      <c r="BK1475" s="2">
        <v>19.7965886037898</v>
      </c>
      <c r="BL1475" s="2">
        <v>19.889548509236601</v>
      </c>
      <c r="BM1475" s="2">
        <v>19.983904299157299</v>
      </c>
      <c r="BN1475" s="2">
        <v>20.124526371621599</v>
      </c>
      <c r="BO1475" s="2">
        <v>20.016511902477401</v>
      </c>
      <c r="BP1475" s="2">
        <v>20.0624114254808</v>
      </c>
      <c r="BQ1475" s="2">
        <v>20.1303081676867</v>
      </c>
      <c r="BR1475" s="2">
        <v>19.903679381969699</v>
      </c>
      <c r="BS1475" s="2">
        <v>20.0358901042474</v>
      </c>
      <c r="BT1475" s="2">
        <v>20.238879832161299</v>
      </c>
      <c r="BU1475" s="2">
        <v>20.311820176167199</v>
      </c>
      <c r="BV1475" s="2">
        <v>20.364024773002701</v>
      </c>
      <c r="BW1475" s="2">
        <v>20.2715142300491</v>
      </c>
      <c r="BX1475" s="2">
        <v>20.011831009701702</v>
      </c>
      <c r="BY1475" s="2">
        <v>19.9701442094428</v>
      </c>
      <c r="BZ1475" s="2">
        <v>19.764335954260901</v>
      </c>
      <c r="CA1475" s="2">
        <v>20.053721267684899</v>
      </c>
      <c r="CB1475" s="2">
        <v>20.058591417005498</v>
      </c>
      <c r="CC1475" s="2">
        <v>20.290278780225801</v>
      </c>
      <c r="CD1475" s="2">
        <v>20.322140523224402</v>
      </c>
      <c r="CE1475" s="2">
        <v>20.432699682452199</v>
      </c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</row>
    <row r="1476" spans="1:97">
      <c r="A1476" s="2" t="s">
        <v>13181</v>
      </c>
      <c r="B1476" s="2">
        <v>399.32521000000003</v>
      </c>
      <c r="C1476" s="2">
        <v>7.8010000000000002</v>
      </c>
      <c r="D1476" s="2" t="s">
        <v>84</v>
      </c>
      <c r="E1476" s="2" t="s">
        <v>13182</v>
      </c>
      <c r="F1476" s="2" t="s">
        <v>13183</v>
      </c>
      <c r="G1476" s="2">
        <v>198817</v>
      </c>
      <c r="H1476" s="3" t="str">
        <f>HYPERLINK("https://cloud.oebiotech.com/#/lm/network/198817", "https://cloud.oebiotech.com/#/lm/network/198817")</f>
        <v>https://cloud.oebiotech.com/#/lm/network/198817</v>
      </c>
      <c r="I1476" s="2" t="s">
        <v>13184</v>
      </c>
      <c r="J1476" s="2"/>
      <c r="K1476" s="2"/>
      <c r="L1476" s="2">
        <v>2524</v>
      </c>
      <c r="M1476" s="2"/>
      <c r="N1476" s="2"/>
      <c r="O1476" s="2"/>
      <c r="P1476" s="2">
        <v>125427</v>
      </c>
      <c r="Q1476" s="2"/>
      <c r="R1476" s="2"/>
      <c r="S1476" s="2"/>
      <c r="T1476" s="2" t="s">
        <v>13185</v>
      </c>
      <c r="U1476" s="2" t="s">
        <v>13186</v>
      </c>
      <c r="V1476" s="2" t="s">
        <v>95</v>
      </c>
      <c r="W1476" s="2" t="s">
        <v>152</v>
      </c>
      <c r="X1476" s="2" t="s">
        <v>1484</v>
      </c>
      <c r="Y1476" s="2" t="s">
        <v>98</v>
      </c>
      <c r="Z1476" s="2" t="s">
        <v>154</v>
      </c>
      <c r="AA1476" s="2" t="s">
        <v>1485</v>
      </c>
      <c r="AB1476" s="2" t="s">
        <v>5118</v>
      </c>
      <c r="AC1476" s="2">
        <v>44.4</v>
      </c>
      <c r="AD1476" s="2">
        <v>82.46</v>
      </c>
      <c r="AE1476" s="2">
        <v>49.6</v>
      </c>
      <c r="AF1476" s="2" t="s">
        <v>13187</v>
      </c>
      <c r="AG1476" s="2" t="s">
        <v>1088</v>
      </c>
      <c r="AH1476" s="2" t="s">
        <v>13188</v>
      </c>
      <c r="AI1476" s="2">
        <v>3.01</v>
      </c>
      <c r="AJ1476" s="2">
        <v>17.984422519935698</v>
      </c>
      <c r="AK1476" s="2">
        <v>17.887001604746199</v>
      </c>
      <c r="AL1476" s="2">
        <v>18.306046109291898</v>
      </c>
      <c r="AM1476" s="2">
        <v>18.1494436322889</v>
      </c>
      <c r="AN1476" s="2">
        <v>17.6109904936886</v>
      </c>
      <c r="AO1476" s="2">
        <v>17.680063670914201</v>
      </c>
      <c r="AP1476" s="2">
        <v>18.285290949028401</v>
      </c>
      <c r="AQ1476" s="2">
        <v>17.981396589459301</v>
      </c>
      <c r="AR1476" s="2">
        <v>17.829916064075501</v>
      </c>
      <c r="AS1476" s="2">
        <v>15.9725607335553</v>
      </c>
      <c r="AT1476" s="2">
        <v>18.3403818881864</v>
      </c>
      <c r="AU1476" s="2">
        <v>15.789427680426201</v>
      </c>
      <c r="AV1476" s="2">
        <v>17.644893669479799</v>
      </c>
      <c r="AW1476" s="2">
        <v>18.3485322372007</v>
      </c>
      <c r="AX1476" s="2">
        <v>18.020618113280801</v>
      </c>
      <c r="AY1476" s="2">
        <v>18.6147072923116</v>
      </c>
      <c r="AZ1476" s="2">
        <v>17.2275207144272</v>
      </c>
      <c r="BA1476" s="2">
        <v>17.989135014939301</v>
      </c>
      <c r="BB1476" s="2">
        <v>17.735808724613399</v>
      </c>
      <c r="BC1476" s="2">
        <v>19.485648402429099</v>
      </c>
      <c r="BD1476" s="2">
        <v>17.385205531059398</v>
      </c>
      <c r="BE1476" s="2">
        <v>18.0415483082093</v>
      </c>
      <c r="BF1476" s="2">
        <v>17.097690002910401</v>
      </c>
      <c r="BG1476" s="2">
        <v>17.338528353510899</v>
      </c>
      <c r="BH1476" s="2">
        <v>17.596314402220699</v>
      </c>
      <c r="BI1476" s="2">
        <v>18.850743780348601</v>
      </c>
      <c r="BJ1476" s="2">
        <v>17.8001272720009</v>
      </c>
      <c r="BK1476" s="2">
        <v>17.653442635143499</v>
      </c>
      <c r="BL1476" s="2">
        <v>17.8336612326138</v>
      </c>
      <c r="BM1476" s="2">
        <v>16.3723189140863</v>
      </c>
      <c r="BN1476" s="2">
        <v>18.336140618172202</v>
      </c>
      <c r="BO1476" s="2">
        <v>15.7833154523169</v>
      </c>
      <c r="BP1476" s="2">
        <v>17.836915956519999</v>
      </c>
      <c r="BQ1476" s="2">
        <v>17.0500282371559</v>
      </c>
      <c r="BR1476" s="2">
        <v>16.835129632933</v>
      </c>
      <c r="BS1476" s="2">
        <v>18.401654821518001</v>
      </c>
      <c r="BT1476" s="2">
        <v>17.983599211074502</v>
      </c>
      <c r="BU1476" s="2">
        <v>18.348297905720202</v>
      </c>
      <c r="BV1476" s="2">
        <v>18.316029480099701</v>
      </c>
      <c r="BW1476" s="2">
        <v>18.1878749805098</v>
      </c>
      <c r="BX1476" s="2">
        <v>17.207725594402199</v>
      </c>
      <c r="BY1476" s="2">
        <v>19.405562694720501</v>
      </c>
      <c r="BZ1476" s="2">
        <v>18.489865830986101</v>
      </c>
      <c r="CA1476" s="2">
        <v>17.331174129259299</v>
      </c>
      <c r="CB1476" s="2">
        <v>18.2196003868509</v>
      </c>
      <c r="CC1476" s="2">
        <v>18.450070473063999</v>
      </c>
      <c r="CD1476" s="2">
        <v>17.530548228055199</v>
      </c>
      <c r="CE1476" s="2">
        <v>17.988068252476999</v>
      </c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</row>
    <row r="1477" spans="1:97">
      <c r="A1477" s="2" t="s">
        <v>13189</v>
      </c>
      <c r="B1477" s="2">
        <v>495.26427999999999</v>
      </c>
      <c r="C1477" s="2">
        <v>8.8019999999999996</v>
      </c>
      <c r="D1477" s="2" t="s">
        <v>146</v>
      </c>
      <c r="E1477" s="2" t="s">
        <v>13190</v>
      </c>
      <c r="F1477" s="2" t="s">
        <v>13191</v>
      </c>
      <c r="G1477" s="2">
        <v>250020</v>
      </c>
      <c r="H1477" s="3" t="str">
        <f>HYPERLINK("https://cloud.oebiotech.com/#/lm/network/250020", "https://cloud.oebiotech.com/#/lm/network/250020")</f>
        <v>https://cloud.oebiotech.com/#/lm/network/250020</v>
      </c>
      <c r="I1477" s="2" t="s">
        <v>13192</v>
      </c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 t="s">
        <v>13193</v>
      </c>
      <c r="U1477" s="2" t="s">
        <v>13194</v>
      </c>
      <c r="V1477" s="2" t="s">
        <v>95</v>
      </c>
      <c r="W1477" s="2" t="s">
        <v>96</v>
      </c>
      <c r="X1477" s="2" t="s">
        <v>3216</v>
      </c>
      <c r="Y1477" s="2" t="s">
        <v>98</v>
      </c>
      <c r="Z1477" s="2" t="s">
        <v>99</v>
      </c>
      <c r="AA1477" s="2" t="s">
        <v>3217</v>
      </c>
      <c r="AB1477" s="2" t="s">
        <v>3086</v>
      </c>
      <c r="AC1477" s="2">
        <v>44.37</v>
      </c>
      <c r="AD1477" s="2">
        <v>81.97</v>
      </c>
      <c r="AE1477" s="2">
        <v>0</v>
      </c>
      <c r="AF1477" s="2" t="s">
        <v>5614</v>
      </c>
      <c r="AG1477" s="2" t="s">
        <v>157</v>
      </c>
      <c r="AH1477" s="2" t="s">
        <v>13195</v>
      </c>
      <c r="AI1477" s="2">
        <v>-8.8800000000000008</v>
      </c>
      <c r="AJ1477" s="2">
        <v>18.9774299448469</v>
      </c>
      <c r="AK1477" s="2">
        <v>19.250785568181598</v>
      </c>
      <c r="AL1477" s="2">
        <v>18.9628464536307</v>
      </c>
      <c r="AM1477" s="2">
        <v>19.275369683482399</v>
      </c>
      <c r="AN1477" s="2">
        <v>18.935549929541398</v>
      </c>
      <c r="AO1477" s="2">
        <v>19.023700703812398</v>
      </c>
      <c r="AP1477" s="2">
        <v>18.763573280769702</v>
      </c>
      <c r="AQ1477" s="2">
        <v>18.763760607888901</v>
      </c>
      <c r="AR1477" s="2">
        <v>18.5080594779404</v>
      </c>
      <c r="AS1477" s="2">
        <v>18.6246537933723</v>
      </c>
      <c r="AT1477" s="2">
        <v>18.593354099271899</v>
      </c>
      <c r="AU1477" s="2">
        <v>18.801929974404398</v>
      </c>
      <c r="AV1477" s="2">
        <v>18.108499699039999</v>
      </c>
      <c r="AW1477" s="2">
        <v>19.064594370680201</v>
      </c>
      <c r="AX1477" s="2">
        <v>18.588796824116301</v>
      </c>
      <c r="AY1477" s="2">
        <v>18.933556646487201</v>
      </c>
      <c r="AZ1477" s="2">
        <v>18.652167815739102</v>
      </c>
      <c r="BA1477" s="2">
        <v>18.882839592904499</v>
      </c>
      <c r="BB1477" s="2">
        <v>19.222533593513099</v>
      </c>
      <c r="BC1477" s="2">
        <v>19.102282079831099</v>
      </c>
      <c r="BD1477" s="2">
        <v>18.722188357299299</v>
      </c>
      <c r="BE1477" s="2">
        <v>19.0863851621789</v>
      </c>
      <c r="BF1477" s="2">
        <v>18.959507607101401</v>
      </c>
      <c r="BG1477" s="2">
        <v>18.959811692181699</v>
      </c>
      <c r="BH1477" s="2">
        <v>19.206756931927298</v>
      </c>
      <c r="BI1477" s="2">
        <v>18.240140910897299</v>
      </c>
      <c r="BJ1477" s="2">
        <v>18.945448008719801</v>
      </c>
      <c r="BK1477" s="2">
        <v>19.159162017012701</v>
      </c>
      <c r="BL1477" s="2">
        <v>18.924714574294999</v>
      </c>
      <c r="BM1477" s="2">
        <v>19.040327558306799</v>
      </c>
      <c r="BN1477" s="2">
        <v>19.050672802253001</v>
      </c>
      <c r="BO1477" s="2">
        <v>18.544483333527101</v>
      </c>
      <c r="BP1477" s="2">
        <v>18.1611099805496</v>
      </c>
      <c r="BQ1477" s="2">
        <v>18.8109370505356</v>
      </c>
      <c r="BR1477" s="2">
        <v>18.814043438568799</v>
      </c>
      <c r="BS1477" s="2">
        <v>18.667791422964399</v>
      </c>
      <c r="BT1477" s="2">
        <v>18.464649722668</v>
      </c>
      <c r="BU1477" s="2">
        <v>18.4719988637363</v>
      </c>
      <c r="BV1477" s="2">
        <v>19.0137046772583</v>
      </c>
      <c r="BW1477" s="2">
        <v>18.9862917086969</v>
      </c>
      <c r="BX1477" s="2">
        <v>19.174224776347401</v>
      </c>
      <c r="BY1477" s="2">
        <v>18.833894666682301</v>
      </c>
      <c r="BZ1477" s="2">
        <v>19.040815580984098</v>
      </c>
      <c r="CA1477" s="2">
        <v>18.7268601804907</v>
      </c>
      <c r="CB1477" s="2">
        <v>18.966669157366901</v>
      </c>
      <c r="CC1477" s="2">
        <v>18.536597828125402</v>
      </c>
      <c r="CD1477" s="2">
        <v>19.0487129159701</v>
      </c>
      <c r="CE1477" s="2">
        <v>18.585892356553298</v>
      </c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</row>
    <row r="1478" spans="1:97">
      <c r="A1478" s="2" t="s">
        <v>13196</v>
      </c>
      <c r="B1478" s="2">
        <v>287.05957999999998</v>
      </c>
      <c r="C1478" s="2">
        <v>1.2649999999999999</v>
      </c>
      <c r="D1478" s="2" t="s">
        <v>146</v>
      </c>
      <c r="E1478" s="2" t="s">
        <v>13197</v>
      </c>
      <c r="F1478" s="2" t="s">
        <v>13198</v>
      </c>
      <c r="G1478" s="2">
        <v>61942</v>
      </c>
      <c r="H1478" s="3" t="str">
        <f>HYPERLINK("https://cloud.oebiotech.com/#/lm/network/61942", "https://cloud.oebiotech.com/#/lm/network/61942")</f>
        <v>https://cloud.oebiotech.com/#/lm/network/61942</v>
      </c>
      <c r="I1478" s="2" t="s">
        <v>13199</v>
      </c>
      <c r="J1478" s="2">
        <v>93242</v>
      </c>
      <c r="K1478" s="2"/>
      <c r="L1478" s="2">
        <v>928446</v>
      </c>
      <c r="M1478" s="2"/>
      <c r="N1478" s="2"/>
      <c r="O1478" s="2"/>
      <c r="P1478" s="2"/>
      <c r="Q1478" s="2"/>
      <c r="R1478" s="2"/>
      <c r="S1478" s="2" t="s">
        <v>13200</v>
      </c>
      <c r="T1478" s="2" t="s">
        <v>13201</v>
      </c>
      <c r="U1478" s="2" t="s">
        <v>13202</v>
      </c>
      <c r="V1478" s="2" t="s">
        <v>553</v>
      </c>
      <c r="W1478" s="2" t="s">
        <v>554</v>
      </c>
      <c r="X1478" s="2" t="s">
        <v>10907</v>
      </c>
      <c r="Y1478" s="2" t="s">
        <v>556</v>
      </c>
      <c r="Z1478" s="2" t="s">
        <v>557</v>
      </c>
      <c r="AA1478" s="2" t="s">
        <v>10908</v>
      </c>
      <c r="AB1478" s="2" t="s">
        <v>5118</v>
      </c>
      <c r="AC1478" s="2">
        <v>44.36</v>
      </c>
      <c r="AD1478" s="2">
        <v>72.459999999999994</v>
      </c>
      <c r="AE1478" s="2">
        <v>61.96</v>
      </c>
      <c r="AF1478" s="2" t="s">
        <v>13203</v>
      </c>
      <c r="AG1478" s="2" t="s">
        <v>4062</v>
      </c>
      <c r="AH1478" s="2" t="s">
        <v>13204</v>
      </c>
      <c r="AI1478" s="2">
        <v>-1.05</v>
      </c>
      <c r="AJ1478" s="2">
        <v>19.646351731175599</v>
      </c>
      <c r="AK1478" s="2">
        <v>20.355453726054801</v>
      </c>
      <c r="AL1478" s="2">
        <v>20.817854258798601</v>
      </c>
      <c r="AM1478" s="2">
        <v>20.695604629702899</v>
      </c>
      <c r="AN1478" s="2">
        <v>20.746930619287301</v>
      </c>
      <c r="AO1478" s="2">
        <v>19.822669301508899</v>
      </c>
      <c r="AP1478" s="2">
        <v>20.6036377445702</v>
      </c>
      <c r="AQ1478" s="2">
        <v>20.691929123585702</v>
      </c>
      <c r="AR1478" s="2">
        <v>19.717708231319602</v>
      </c>
      <c r="AS1478" s="2">
        <v>20.947669167102301</v>
      </c>
      <c r="AT1478" s="2">
        <v>19.664188332605899</v>
      </c>
      <c r="AU1478" s="2">
        <v>20.894613660788</v>
      </c>
      <c r="AV1478" s="2">
        <v>20.464528799780101</v>
      </c>
      <c r="AW1478" s="2">
        <v>20.388930971274601</v>
      </c>
      <c r="AX1478" s="2">
        <v>19.900140284573901</v>
      </c>
      <c r="AY1478" s="2">
        <v>20.545141729772901</v>
      </c>
      <c r="AZ1478" s="2">
        <v>19.8646176333386</v>
      </c>
      <c r="BA1478" s="2">
        <v>19.7349906251047</v>
      </c>
      <c r="BB1478" s="2">
        <v>20.5376730393583</v>
      </c>
      <c r="BC1478" s="2">
        <v>19.783405735606099</v>
      </c>
      <c r="BD1478" s="2">
        <v>19.886148991269501</v>
      </c>
      <c r="BE1478" s="2">
        <v>20.222693695619299</v>
      </c>
      <c r="BF1478" s="2">
        <v>20.510087253356701</v>
      </c>
      <c r="BG1478" s="2">
        <v>20.566167506319001</v>
      </c>
      <c r="BH1478" s="2">
        <v>20.0938924696223</v>
      </c>
      <c r="BI1478" s="2">
        <v>19.508124915520899</v>
      </c>
      <c r="BJ1478" s="2">
        <v>20.576704584262899</v>
      </c>
      <c r="BK1478" s="2">
        <v>20.710790033077799</v>
      </c>
      <c r="BL1478" s="2">
        <v>20.1750310279186</v>
      </c>
      <c r="BM1478" s="2">
        <v>20.389349692929599</v>
      </c>
      <c r="BN1478" s="2">
        <v>20.425745873416499</v>
      </c>
      <c r="BO1478" s="2">
        <v>19.687534556237999</v>
      </c>
      <c r="BP1478" s="2">
        <v>20.571626144062702</v>
      </c>
      <c r="BQ1478" s="2">
        <v>19.675286004564601</v>
      </c>
      <c r="BR1478" s="2">
        <v>20.375434087077402</v>
      </c>
      <c r="BS1478" s="2">
        <v>20.5164654644012</v>
      </c>
      <c r="BT1478" s="2">
        <v>20.478553166599301</v>
      </c>
      <c r="BU1478" s="2">
        <v>20.477496552284499</v>
      </c>
      <c r="BV1478" s="2">
        <v>20.267296232599598</v>
      </c>
      <c r="BW1478" s="2">
        <v>19.946518672819799</v>
      </c>
      <c r="BX1478" s="2">
        <v>20.300517862644</v>
      </c>
      <c r="BY1478" s="2">
        <v>19.871979664397699</v>
      </c>
      <c r="BZ1478" s="2">
        <v>20.350380493792201</v>
      </c>
      <c r="CA1478" s="2">
        <v>19.3033565053579</v>
      </c>
      <c r="CB1478" s="2">
        <v>20.900648134710501</v>
      </c>
      <c r="CC1478" s="2">
        <v>20.255191216178002</v>
      </c>
      <c r="CD1478" s="2">
        <v>20.4349412525217</v>
      </c>
      <c r="CE1478" s="2">
        <v>19.7615450645152</v>
      </c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</row>
    <row r="1479" spans="1:97">
      <c r="A1479" s="2" t="s">
        <v>13205</v>
      </c>
      <c r="B1479" s="2">
        <v>433.3356</v>
      </c>
      <c r="C1479" s="2">
        <v>9.7959999999999994</v>
      </c>
      <c r="D1479" s="2" t="s">
        <v>146</v>
      </c>
      <c r="E1479" s="2" t="s">
        <v>13206</v>
      </c>
      <c r="F1479" s="2" t="s">
        <v>13207</v>
      </c>
      <c r="G1479" s="2">
        <v>43804</v>
      </c>
      <c r="H1479" s="3" t="str">
        <f>HYPERLINK("https://cloud.oebiotech.com/#/lm/network/43804", "https://cloud.oebiotech.com/#/lm/network/43804")</f>
        <v>https://cloud.oebiotech.com/#/lm/network/43804</v>
      </c>
      <c r="I1479" s="2"/>
      <c r="J1479" s="2"/>
      <c r="K1479" s="2" t="s">
        <v>13208</v>
      </c>
      <c r="L1479" s="2">
        <v>21629550</v>
      </c>
      <c r="M1479" s="2"/>
      <c r="N1479" s="2"/>
      <c r="O1479" s="2"/>
      <c r="P1479" s="2"/>
      <c r="Q1479" s="2"/>
      <c r="R1479" s="2"/>
      <c r="S1479" s="2"/>
      <c r="T1479" s="2" t="s">
        <v>13209</v>
      </c>
      <c r="U1479" s="2" t="s">
        <v>13210</v>
      </c>
      <c r="V1479" s="2" t="s">
        <v>95</v>
      </c>
      <c r="W1479" s="2" t="s">
        <v>152</v>
      </c>
      <c r="X1479" s="2" t="s">
        <v>1420</v>
      </c>
      <c r="Y1479" s="2" t="s">
        <v>98</v>
      </c>
      <c r="Z1479" s="2" t="s">
        <v>154</v>
      </c>
      <c r="AA1479" s="2" t="s">
        <v>1421</v>
      </c>
      <c r="AB1479" s="2" t="s">
        <v>3086</v>
      </c>
      <c r="AC1479" s="2">
        <v>44.36</v>
      </c>
      <c r="AD1479" s="2">
        <v>82.06</v>
      </c>
      <c r="AE1479" s="2">
        <v>0</v>
      </c>
      <c r="AF1479" s="2" t="s">
        <v>5614</v>
      </c>
      <c r="AG1479" s="2" t="s">
        <v>194</v>
      </c>
      <c r="AH1479" s="2" t="s">
        <v>3523</v>
      </c>
      <c r="AI1479" s="2">
        <v>-7.62</v>
      </c>
      <c r="AJ1479" s="2">
        <v>16.713374565823901</v>
      </c>
      <c r="AK1479" s="2">
        <v>16.636965260706798</v>
      </c>
      <c r="AL1479" s="2">
        <v>17.363589385243099</v>
      </c>
      <c r="AM1479" s="2">
        <v>16.914124881630901</v>
      </c>
      <c r="AN1479" s="2">
        <v>17.2117759597594</v>
      </c>
      <c r="AO1479" s="2">
        <v>17.098902447662599</v>
      </c>
      <c r="AP1479" s="2">
        <v>16.4736309243603</v>
      </c>
      <c r="AQ1479" s="2">
        <v>16.3634072406104</v>
      </c>
      <c r="AR1479" s="2">
        <v>17.119815530717101</v>
      </c>
      <c r="AS1479" s="2">
        <v>16.902050019220798</v>
      </c>
      <c r="AT1479" s="2">
        <v>17.150140659796499</v>
      </c>
      <c r="AU1479" s="2">
        <v>16.803723491036902</v>
      </c>
      <c r="AV1479" s="2">
        <v>16.903266512581801</v>
      </c>
      <c r="AW1479" s="2">
        <v>16.697639016182201</v>
      </c>
      <c r="AX1479" s="2">
        <v>16.6583667303913</v>
      </c>
      <c r="AY1479" s="2">
        <v>16.985421378658899</v>
      </c>
      <c r="AZ1479" s="2">
        <v>16.720925972641499</v>
      </c>
      <c r="BA1479" s="2">
        <v>17.003299831182002</v>
      </c>
      <c r="BB1479" s="2">
        <v>16.8800919128591</v>
      </c>
      <c r="BC1479" s="2">
        <v>16.0481468929569</v>
      </c>
      <c r="BD1479" s="2">
        <v>16.640905229373502</v>
      </c>
      <c r="BE1479" s="2">
        <v>16.539554001365499</v>
      </c>
      <c r="BF1479" s="2">
        <v>16.679444773937099</v>
      </c>
      <c r="BG1479" s="2">
        <v>16.6190894129507</v>
      </c>
      <c r="BH1479" s="2">
        <v>17.053094680154501</v>
      </c>
      <c r="BI1479" s="2">
        <v>16.849671183268601</v>
      </c>
      <c r="BJ1479" s="2">
        <v>16.979939809467801</v>
      </c>
      <c r="BK1479" s="2">
        <v>16.485263129710201</v>
      </c>
      <c r="BL1479" s="2">
        <v>16.471414845402599</v>
      </c>
      <c r="BM1479" s="2">
        <v>17.2523809488432</v>
      </c>
      <c r="BN1479" s="2">
        <v>16.6234458672592</v>
      </c>
      <c r="BO1479" s="2">
        <v>17.1921196922391</v>
      </c>
      <c r="BP1479" s="2">
        <v>16.941597295185801</v>
      </c>
      <c r="BQ1479" s="2">
        <v>16.9871981609577</v>
      </c>
      <c r="BR1479" s="2">
        <v>17.069954332936501</v>
      </c>
      <c r="BS1479" s="2">
        <v>16.998879944511799</v>
      </c>
      <c r="BT1479" s="2">
        <v>16.328515931834701</v>
      </c>
      <c r="BU1479" s="2">
        <v>16.963549646194799</v>
      </c>
      <c r="BV1479" s="2">
        <v>16.6963887840786</v>
      </c>
      <c r="BW1479" s="2">
        <v>16.872795220062802</v>
      </c>
      <c r="BX1479" s="2">
        <v>16.8124148682593</v>
      </c>
      <c r="BY1479" s="2">
        <v>17.067845543351599</v>
      </c>
      <c r="BZ1479" s="2">
        <v>17.032527707388301</v>
      </c>
      <c r="CA1479" s="2">
        <v>17.183539627630601</v>
      </c>
      <c r="CB1479" s="2">
        <v>17.0293889325207</v>
      </c>
      <c r="CC1479" s="2">
        <v>16.6502682523255</v>
      </c>
      <c r="CD1479" s="2">
        <v>16.617752262696701</v>
      </c>
      <c r="CE1479" s="2">
        <v>16.745077497656901</v>
      </c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</row>
    <row r="1480" spans="1:97">
      <c r="A1480" s="2" t="s">
        <v>13211</v>
      </c>
      <c r="B1480" s="2">
        <v>226.07070999999999</v>
      </c>
      <c r="C1480" s="2">
        <v>4.2990000000000004</v>
      </c>
      <c r="D1480" s="2" t="s">
        <v>84</v>
      </c>
      <c r="E1480" s="2" t="s">
        <v>13212</v>
      </c>
      <c r="F1480" s="2" t="s">
        <v>13213</v>
      </c>
      <c r="G1480" s="2">
        <v>256993</v>
      </c>
      <c r="H1480" s="3" t="str">
        <f>HYPERLINK("https://cloud.oebiotech.com/#/lm/network/256993", "https://cloud.oebiotech.com/#/lm/network/256993")</f>
        <v>https://cloud.oebiotech.com/#/lm/network/256993</v>
      </c>
      <c r="I1480" s="2" t="s">
        <v>13214</v>
      </c>
      <c r="J1480" s="2">
        <v>3363</v>
      </c>
      <c r="K1480" s="2"/>
      <c r="L1480" s="2">
        <v>443142</v>
      </c>
      <c r="M1480" s="2" t="s">
        <v>13215</v>
      </c>
      <c r="N1480" s="2" t="s">
        <v>10433</v>
      </c>
      <c r="O1480" s="2" t="s">
        <v>10434</v>
      </c>
      <c r="P1480" s="2">
        <v>18198</v>
      </c>
      <c r="Q1480" s="2"/>
      <c r="R1480" s="2"/>
      <c r="S1480" s="2" t="s">
        <v>13216</v>
      </c>
      <c r="T1480" s="2" t="s">
        <v>13217</v>
      </c>
      <c r="U1480" s="2" t="s">
        <v>13218</v>
      </c>
      <c r="V1480" s="2" t="s">
        <v>115</v>
      </c>
      <c r="W1480" s="2" t="s">
        <v>116</v>
      </c>
      <c r="X1480" s="2" t="s">
        <v>1238</v>
      </c>
      <c r="Y1480" s="2" t="s">
        <v>118</v>
      </c>
      <c r="Z1480" s="2" t="s">
        <v>119</v>
      </c>
      <c r="AA1480" s="2" t="s">
        <v>1239</v>
      </c>
      <c r="AB1480" s="2" t="s">
        <v>8443</v>
      </c>
      <c r="AC1480" s="2">
        <v>44.35</v>
      </c>
      <c r="AD1480" s="2">
        <v>93.76</v>
      </c>
      <c r="AE1480" s="2">
        <v>37.06</v>
      </c>
      <c r="AF1480" s="2" t="s">
        <v>13219</v>
      </c>
      <c r="AG1480" s="2" t="s">
        <v>103</v>
      </c>
      <c r="AH1480" s="2" t="s">
        <v>13220</v>
      </c>
      <c r="AI1480" s="2">
        <v>1.33</v>
      </c>
      <c r="AJ1480" s="2">
        <v>18.030792610174299</v>
      </c>
      <c r="AK1480" s="2">
        <v>18.248713307188702</v>
      </c>
      <c r="AL1480" s="2">
        <v>18.213914188328101</v>
      </c>
      <c r="AM1480" s="2">
        <v>18.543390530618101</v>
      </c>
      <c r="AN1480" s="2">
        <v>18.371508793688601</v>
      </c>
      <c r="AO1480" s="2">
        <v>18.703080409734302</v>
      </c>
      <c r="AP1480" s="2">
        <v>18.6709581158552</v>
      </c>
      <c r="AQ1480" s="2">
        <v>18.671512871522602</v>
      </c>
      <c r="AR1480" s="2">
        <v>9.6233145402724691</v>
      </c>
      <c r="AS1480" s="2">
        <v>16.675321139180902</v>
      </c>
      <c r="AT1480" s="2">
        <v>16.883240029073701</v>
      </c>
      <c r="AU1480" s="2">
        <v>16.666164490405301</v>
      </c>
      <c r="AV1480" s="2">
        <v>19.237312442474401</v>
      </c>
      <c r="AW1480" s="2">
        <v>9.6233145402724691</v>
      </c>
      <c r="AX1480" s="2">
        <v>18.5542007949227</v>
      </c>
      <c r="AY1480" s="2">
        <v>17.988153429408399</v>
      </c>
      <c r="AZ1480" s="2">
        <v>14.384441109800299</v>
      </c>
      <c r="BA1480" s="2">
        <v>18.942994447590198</v>
      </c>
      <c r="BB1480" s="2">
        <v>15.3042204663122</v>
      </c>
      <c r="BC1480" s="2">
        <v>16.3847002896056</v>
      </c>
      <c r="BD1480" s="2">
        <v>15.2131794213514</v>
      </c>
      <c r="BE1480" s="2">
        <v>20.2369586513035</v>
      </c>
      <c r="BF1480" s="2">
        <v>19.635478634812699</v>
      </c>
      <c r="BG1480" s="2">
        <v>14.7539515967315</v>
      </c>
      <c r="BH1480" s="2">
        <v>9.6233145402724691</v>
      </c>
      <c r="BI1480" s="2">
        <v>21.447754912707399</v>
      </c>
      <c r="BJ1480" s="2">
        <v>13.804822751855401</v>
      </c>
      <c r="BK1480" s="2">
        <v>9.6233145402724691</v>
      </c>
      <c r="BL1480" s="2">
        <v>9.6233145402724691</v>
      </c>
      <c r="BM1480" s="2">
        <v>18.136419288019599</v>
      </c>
      <c r="BN1480" s="2">
        <v>14.2110646832701</v>
      </c>
      <c r="BO1480" s="2">
        <v>19.8114231921009</v>
      </c>
      <c r="BP1480" s="2">
        <v>17.445741136688198</v>
      </c>
      <c r="BQ1480" s="2">
        <v>18.4373045737361</v>
      </c>
      <c r="BR1480" s="2">
        <v>20.190583611395699</v>
      </c>
      <c r="BS1480" s="2">
        <v>17.968786585363201</v>
      </c>
      <c r="BT1480" s="2">
        <v>9.6233145402724691</v>
      </c>
      <c r="BU1480" s="2">
        <v>18.560106201028301</v>
      </c>
      <c r="BV1480" s="2">
        <v>19.7049917691381</v>
      </c>
      <c r="BW1480" s="2">
        <v>14.549161956288501</v>
      </c>
      <c r="BX1480" s="2">
        <v>18.126334133855998</v>
      </c>
      <c r="BY1480" s="2">
        <v>20.9346460516837</v>
      </c>
      <c r="BZ1480" s="2">
        <v>17.777194302492902</v>
      </c>
      <c r="CA1480" s="2">
        <v>19.3665589296733</v>
      </c>
      <c r="CB1480" s="2">
        <v>13.9369148583471</v>
      </c>
      <c r="CC1480" s="2">
        <v>18.807247616617101</v>
      </c>
      <c r="CD1480" s="2">
        <v>9.6233145402724691</v>
      </c>
      <c r="CE1480" s="2">
        <v>9.6233145402724691</v>
      </c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</row>
    <row r="1481" spans="1:97">
      <c r="A1481" s="2" t="s">
        <v>13221</v>
      </c>
      <c r="B1481" s="2">
        <v>295.0951</v>
      </c>
      <c r="C1481" s="2">
        <v>2.0640000000000001</v>
      </c>
      <c r="D1481" s="2" t="s">
        <v>84</v>
      </c>
      <c r="E1481" s="2" t="s">
        <v>13222</v>
      </c>
      <c r="F1481" s="2" t="s">
        <v>13223</v>
      </c>
      <c r="G1481" s="2">
        <v>197317</v>
      </c>
      <c r="H1481" s="3" t="str">
        <f>HYPERLINK("https://cloud.oebiotech.com/#/lm/network/197317", "https://cloud.oebiotech.com/#/lm/network/197317")</f>
        <v>https://cloud.oebiotech.com/#/lm/network/197317</v>
      </c>
      <c r="I1481" s="2" t="s">
        <v>13224</v>
      </c>
      <c r="J1481" s="2"/>
      <c r="K1481" s="2"/>
      <c r="L1481" s="2">
        <v>91971539</v>
      </c>
      <c r="M1481" s="2"/>
      <c r="N1481" s="2"/>
      <c r="O1481" s="2"/>
      <c r="P1481" s="2"/>
      <c r="Q1481" s="2"/>
      <c r="R1481" s="2"/>
      <c r="S1481" s="2"/>
      <c r="T1481" s="2" t="s">
        <v>13225</v>
      </c>
      <c r="U1481" s="2" t="s">
        <v>13226</v>
      </c>
      <c r="V1481" s="2" t="s">
        <v>115</v>
      </c>
      <c r="W1481" s="2" t="s">
        <v>613</v>
      </c>
      <c r="X1481" s="2" t="s">
        <v>614</v>
      </c>
      <c r="Y1481" s="2" t="s">
        <v>118</v>
      </c>
      <c r="Z1481" s="2" t="s">
        <v>615</v>
      </c>
      <c r="AA1481" s="2" t="s">
        <v>616</v>
      </c>
      <c r="AB1481" s="2" t="s">
        <v>8443</v>
      </c>
      <c r="AC1481" s="2">
        <v>44.3</v>
      </c>
      <c r="AD1481" s="2">
        <v>89.11</v>
      </c>
      <c r="AE1481" s="2">
        <v>0</v>
      </c>
      <c r="AF1481" s="2" t="s">
        <v>5614</v>
      </c>
      <c r="AG1481" s="2" t="s">
        <v>132</v>
      </c>
      <c r="AH1481" s="2" t="s">
        <v>13227</v>
      </c>
      <c r="AI1481" s="2">
        <v>2.37</v>
      </c>
      <c r="AJ1481" s="2">
        <v>18.166956448753101</v>
      </c>
      <c r="AK1481" s="2">
        <v>18.590072999698201</v>
      </c>
      <c r="AL1481" s="2">
        <v>18.4613392717179</v>
      </c>
      <c r="AM1481" s="2">
        <v>18.6257748628286</v>
      </c>
      <c r="AN1481" s="2">
        <v>17.8026014319422</v>
      </c>
      <c r="AO1481" s="2">
        <v>17.947043587512699</v>
      </c>
      <c r="AP1481" s="2">
        <v>17.871536625870998</v>
      </c>
      <c r="AQ1481" s="2">
        <v>18.015925861989899</v>
      </c>
      <c r="AR1481" s="2">
        <v>17.375149167189399</v>
      </c>
      <c r="AS1481" s="2">
        <v>16.7795613722074</v>
      </c>
      <c r="AT1481" s="2">
        <v>15.906497933761401</v>
      </c>
      <c r="AU1481" s="2">
        <v>17.639144812190001</v>
      </c>
      <c r="AV1481" s="2">
        <v>18.0550704520608</v>
      </c>
      <c r="AW1481" s="2">
        <v>18.465805436590301</v>
      </c>
      <c r="AX1481" s="2">
        <v>17.899016862853699</v>
      </c>
      <c r="AY1481" s="2">
        <v>18.198659607198401</v>
      </c>
      <c r="AZ1481" s="2">
        <v>17.373241647796</v>
      </c>
      <c r="BA1481" s="2">
        <v>16.871251199834699</v>
      </c>
      <c r="BB1481" s="2">
        <v>18.191277725324099</v>
      </c>
      <c r="BC1481" s="2">
        <v>16.4892325455974</v>
      </c>
      <c r="BD1481" s="2">
        <v>15.2144902637068</v>
      </c>
      <c r="BE1481" s="2">
        <v>18.743273864643101</v>
      </c>
      <c r="BF1481" s="2">
        <v>19.141094127166401</v>
      </c>
      <c r="BG1481" s="2">
        <v>18.0436450294869</v>
      </c>
      <c r="BH1481" s="2">
        <v>19.3448329820813</v>
      </c>
      <c r="BI1481" s="2">
        <v>17.484424616322599</v>
      </c>
      <c r="BJ1481" s="2">
        <v>18.0896795565613</v>
      </c>
      <c r="BK1481" s="2">
        <v>14.3252836683185</v>
      </c>
      <c r="BL1481" s="2">
        <v>16.969831223805301</v>
      </c>
      <c r="BM1481" s="2">
        <v>19.437741589472999</v>
      </c>
      <c r="BN1481" s="2">
        <v>17.784417842260702</v>
      </c>
      <c r="BO1481" s="2">
        <v>17.536255033301099</v>
      </c>
      <c r="BP1481" s="2">
        <v>18.639126860750899</v>
      </c>
      <c r="BQ1481" s="2">
        <v>19.105686138679701</v>
      </c>
      <c r="BR1481" s="2">
        <v>17.3690890795604</v>
      </c>
      <c r="BS1481" s="2">
        <v>18.4994159583797</v>
      </c>
      <c r="BT1481" s="2">
        <v>13.9821771946333</v>
      </c>
      <c r="BU1481" s="2">
        <v>17.254968800629399</v>
      </c>
      <c r="BV1481" s="2">
        <v>17.567600599870602</v>
      </c>
      <c r="BW1481" s="2">
        <v>16.4649442104541</v>
      </c>
      <c r="BX1481" s="2">
        <v>18.343185064694001</v>
      </c>
      <c r="BY1481" s="2">
        <v>19.1145604841217</v>
      </c>
      <c r="BZ1481" s="2">
        <v>19.456697880679599</v>
      </c>
      <c r="CA1481" s="2">
        <v>18.904388424828898</v>
      </c>
      <c r="CB1481" s="2">
        <v>17.011873121396501</v>
      </c>
      <c r="CC1481" s="2">
        <v>15.2852204977812</v>
      </c>
      <c r="CD1481" s="2">
        <v>19.315793699897601</v>
      </c>
      <c r="CE1481" s="2">
        <v>17.527062376310301</v>
      </c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</row>
    <row r="1482" spans="1:97">
      <c r="A1482" s="2" t="s">
        <v>13228</v>
      </c>
      <c r="B1482" s="2">
        <v>549.17465000000004</v>
      </c>
      <c r="C1482" s="2">
        <v>6.5529999999999999</v>
      </c>
      <c r="D1482" s="2" t="s">
        <v>146</v>
      </c>
      <c r="E1482" s="2" t="s">
        <v>13229</v>
      </c>
      <c r="F1482" s="2" t="s">
        <v>13230</v>
      </c>
      <c r="G1482" s="2">
        <v>208772</v>
      </c>
      <c r="H1482" s="3" t="str">
        <f>HYPERLINK("https://cloud.oebiotech.com/#/lm/network/208772", "https://cloud.oebiotech.com/#/lm/network/208772")</f>
        <v>https://cloud.oebiotech.com/#/lm/network/208772</v>
      </c>
      <c r="I1482" s="2" t="s">
        <v>13231</v>
      </c>
      <c r="J1482" s="2">
        <v>418225</v>
      </c>
      <c r="K1482" s="2"/>
      <c r="L1482" s="2">
        <v>83213</v>
      </c>
      <c r="M1482" s="2"/>
      <c r="N1482" s="2"/>
      <c r="O1482" s="2"/>
      <c r="P1482" s="2">
        <v>50688</v>
      </c>
      <c r="Q1482" s="2"/>
      <c r="R1482" s="2"/>
      <c r="S1482" s="2"/>
      <c r="T1482" s="2" t="s">
        <v>13232</v>
      </c>
      <c r="U1482" s="2" t="s">
        <v>13233</v>
      </c>
      <c r="V1482" s="2" t="s">
        <v>385</v>
      </c>
      <c r="W1482" s="2" t="s">
        <v>386</v>
      </c>
      <c r="X1482" s="2" t="s">
        <v>1059</v>
      </c>
      <c r="Y1482" s="2" t="s">
        <v>388</v>
      </c>
      <c r="Z1482" s="2" t="s">
        <v>389</v>
      </c>
      <c r="AA1482" s="2" t="s">
        <v>1060</v>
      </c>
      <c r="AB1482" s="2" t="s">
        <v>8443</v>
      </c>
      <c r="AC1482" s="2">
        <v>44.29</v>
      </c>
      <c r="AD1482" s="2">
        <v>80.430000000000007</v>
      </c>
      <c r="AE1482" s="2">
        <v>0</v>
      </c>
      <c r="AF1482" s="2" t="s">
        <v>5614</v>
      </c>
      <c r="AG1482" s="2" t="s">
        <v>3880</v>
      </c>
      <c r="AH1482" s="2" t="s">
        <v>13234</v>
      </c>
      <c r="AI1482" s="2">
        <v>-1.46</v>
      </c>
      <c r="AJ1482" s="2">
        <v>16.764757968845402</v>
      </c>
      <c r="AK1482" s="2">
        <v>17.012585476984</v>
      </c>
      <c r="AL1482" s="2">
        <v>16.929992747698901</v>
      </c>
      <c r="AM1482" s="2">
        <v>16.7745909607969</v>
      </c>
      <c r="AN1482" s="2">
        <v>16.695251540408599</v>
      </c>
      <c r="AO1482" s="2">
        <v>16.7667153671606</v>
      </c>
      <c r="AP1482" s="2">
        <v>16.955707112957398</v>
      </c>
      <c r="AQ1482" s="2">
        <v>16.922908735719801</v>
      </c>
      <c r="AR1482" s="2">
        <v>14.3025496806869</v>
      </c>
      <c r="AS1482" s="2">
        <v>13.0958601537798</v>
      </c>
      <c r="AT1482" s="2">
        <v>16.985140048637099</v>
      </c>
      <c r="AU1482" s="2">
        <v>15.107568550718</v>
      </c>
      <c r="AV1482" s="2">
        <v>16.4759317689042</v>
      </c>
      <c r="AW1482" s="2">
        <v>16.945551741834599</v>
      </c>
      <c r="AX1482" s="2">
        <v>16.1196216352478</v>
      </c>
      <c r="AY1482" s="2">
        <v>17.473301536110501</v>
      </c>
      <c r="AZ1482" s="2">
        <v>16.603431478754601</v>
      </c>
      <c r="BA1482" s="2">
        <v>16.705279229410799</v>
      </c>
      <c r="BB1482" s="2">
        <v>16.496528635165301</v>
      </c>
      <c r="BC1482" s="2">
        <v>18.661704033907601</v>
      </c>
      <c r="BD1482" s="2">
        <v>15.531756098292499</v>
      </c>
      <c r="BE1482" s="2">
        <v>17.838518010301499</v>
      </c>
      <c r="BF1482" s="2">
        <v>15.317631305121401</v>
      </c>
      <c r="BG1482" s="2">
        <v>16.910106069897999</v>
      </c>
      <c r="BH1482" s="2">
        <v>16.207887896150002</v>
      </c>
      <c r="BI1482" s="2">
        <v>12.5017725109164</v>
      </c>
      <c r="BJ1482" s="2">
        <v>16.764502967192598</v>
      </c>
      <c r="BK1482" s="2">
        <v>17.347817539058099</v>
      </c>
      <c r="BL1482" s="2">
        <v>16.989257998860001</v>
      </c>
      <c r="BM1482" s="2">
        <v>15.8895807257502</v>
      </c>
      <c r="BN1482" s="2">
        <v>16.221028368993899</v>
      </c>
      <c r="BO1482" s="2">
        <v>16.3525245428626</v>
      </c>
      <c r="BP1482" s="2">
        <v>16.8604059978531</v>
      </c>
      <c r="BQ1482" s="2">
        <v>15.7422112633681</v>
      </c>
      <c r="BR1482" s="2">
        <v>17.013303588300399</v>
      </c>
      <c r="BS1482" s="2">
        <v>15.8998296396716</v>
      </c>
      <c r="BT1482" s="2">
        <v>15.6544712883186</v>
      </c>
      <c r="BU1482" s="2">
        <v>17.100701345772102</v>
      </c>
      <c r="BV1482" s="2">
        <v>15.1468128695514</v>
      </c>
      <c r="BW1482" s="2">
        <v>17.235155990717899</v>
      </c>
      <c r="BX1482" s="2">
        <v>16.086048915777202</v>
      </c>
      <c r="BY1482" s="2">
        <v>18.0824130135926</v>
      </c>
      <c r="BZ1482" s="2">
        <v>16.296573375556701</v>
      </c>
      <c r="CA1482" s="2">
        <v>9.6233145402724691</v>
      </c>
      <c r="CB1482" s="2">
        <v>17.4104617860947</v>
      </c>
      <c r="CC1482" s="2">
        <v>15.868832198426199</v>
      </c>
      <c r="CD1482" s="2">
        <v>16.471778078945199</v>
      </c>
      <c r="CE1482" s="2">
        <v>17.933590560362699</v>
      </c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</row>
    <row r="1483" spans="1:97">
      <c r="A1483" s="2" t="s">
        <v>13235</v>
      </c>
      <c r="B1483" s="2">
        <v>276.19328000000002</v>
      </c>
      <c r="C1483" s="2">
        <v>9.2899999999999991</v>
      </c>
      <c r="D1483" s="2" t="s">
        <v>84</v>
      </c>
      <c r="E1483" s="2" t="s">
        <v>13236</v>
      </c>
      <c r="F1483" s="2" t="s">
        <v>13237</v>
      </c>
      <c r="G1483" s="2">
        <v>209762</v>
      </c>
      <c r="H1483" s="3" t="str">
        <f>HYPERLINK("https://cloud.oebiotech.com/#/lm/network/209762", "https://cloud.oebiotech.com/#/lm/network/209762")</f>
        <v>https://cloud.oebiotech.com/#/lm/network/209762</v>
      </c>
      <c r="I1483" s="2" t="s">
        <v>13238</v>
      </c>
      <c r="J1483" s="2"/>
      <c r="K1483" s="2"/>
      <c r="L1483" s="2">
        <v>11579763</v>
      </c>
      <c r="M1483" s="2"/>
      <c r="N1483" s="2"/>
      <c r="O1483" s="2"/>
      <c r="P1483" s="2"/>
      <c r="Q1483" s="2"/>
      <c r="R1483" s="2"/>
      <c r="S1483" s="2"/>
      <c r="T1483" s="2" t="s">
        <v>13239</v>
      </c>
      <c r="U1483" s="2" t="s">
        <v>13240</v>
      </c>
      <c r="V1483" s="2" t="s">
        <v>95</v>
      </c>
      <c r="W1483" s="2" t="s">
        <v>180</v>
      </c>
      <c r="X1483" s="2" t="s">
        <v>5048</v>
      </c>
      <c r="Y1483" s="2" t="s">
        <v>98</v>
      </c>
      <c r="Z1483" s="2" t="s">
        <v>182</v>
      </c>
      <c r="AA1483" s="2" t="s">
        <v>5049</v>
      </c>
      <c r="AB1483" s="2" t="s">
        <v>3086</v>
      </c>
      <c r="AC1483" s="2">
        <v>44.29</v>
      </c>
      <c r="AD1483" s="2">
        <v>89.58</v>
      </c>
      <c r="AE1483" s="2">
        <v>0</v>
      </c>
      <c r="AF1483" s="2" t="s">
        <v>5614</v>
      </c>
      <c r="AG1483" s="2" t="s">
        <v>132</v>
      </c>
      <c r="AH1483" s="2" t="s">
        <v>13241</v>
      </c>
      <c r="AI1483" s="2">
        <v>9.0500000000000007</v>
      </c>
      <c r="AJ1483" s="2">
        <v>18.1877485839142</v>
      </c>
      <c r="AK1483" s="2">
        <v>18.0253701029146</v>
      </c>
      <c r="AL1483" s="2">
        <v>18.110500794883801</v>
      </c>
      <c r="AM1483" s="2">
        <v>18.1048640238077</v>
      </c>
      <c r="AN1483" s="2">
        <v>18.1543289711102</v>
      </c>
      <c r="AO1483" s="2">
        <v>17.974407139238</v>
      </c>
      <c r="AP1483" s="2">
        <v>18.498156536373699</v>
      </c>
      <c r="AQ1483" s="2">
        <v>17.597378770081601</v>
      </c>
      <c r="AR1483" s="2">
        <v>17.308769541533501</v>
      </c>
      <c r="AS1483" s="2">
        <v>17.204527110048701</v>
      </c>
      <c r="AT1483" s="2">
        <v>17.466738389381302</v>
      </c>
      <c r="AU1483" s="2">
        <v>16.666007998539499</v>
      </c>
      <c r="AV1483" s="2">
        <v>17.159684327609401</v>
      </c>
      <c r="AW1483" s="2">
        <v>17.293386956273601</v>
      </c>
      <c r="AX1483" s="2">
        <v>17.141475241173801</v>
      </c>
      <c r="AY1483" s="2">
        <v>17.319670533473602</v>
      </c>
      <c r="AZ1483" s="2">
        <v>16.439817576122898</v>
      </c>
      <c r="BA1483" s="2">
        <v>17.084365572886</v>
      </c>
      <c r="BB1483" s="2">
        <v>17.5692626438269</v>
      </c>
      <c r="BC1483" s="2">
        <v>17.196160917558899</v>
      </c>
      <c r="BD1483" s="2">
        <v>17.6472629967353</v>
      </c>
      <c r="BE1483" s="2">
        <v>17.695059759665899</v>
      </c>
      <c r="BF1483" s="2">
        <v>16.1316998403775</v>
      </c>
      <c r="BG1483" s="2">
        <v>17.012139682013299</v>
      </c>
      <c r="BH1483" s="2">
        <v>17.464224653058</v>
      </c>
      <c r="BI1483" s="2">
        <v>17.1530035149203</v>
      </c>
      <c r="BJ1483" s="2">
        <v>17.578976734718299</v>
      </c>
      <c r="BK1483" s="2">
        <v>17.300200603130602</v>
      </c>
      <c r="BL1483" s="2">
        <v>16.5535186038605</v>
      </c>
      <c r="BM1483" s="2">
        <v>17.019087026245</v>
      </c>
      <c r="BN1483" s="2">
        <v>18.246743706146901</v>
      </c>
      <c r="BO1483" s="2">
        <v>16.988453478495899</v>
      </c>
      <c r="BP1483" s="2">
        <v>17.7243908788037</v>
      </c>
      <c r="BQ1483" s="2">
        <v>16.4503437850124</v>
      </c>
      <c r="BR1483" s="2">
        <v>17.537810502420299</v>
      </c>
      <c r="BS1483" s="2">
        <v>17.7474866631384</v>
      </c>
      <c r="BT1483" s="2">
        <v>17.595923026873599</v>
      </c>
      <c r="BU1483" s="2">
        <v>17.7241924057254</v>
      </c>
      <c r="BV1483" s="2">
        <v>17.567196155714999</v>
      </c>
      <c r="BW1483" s="2">
        <v>16.949892124701499</v>
      </c>
      <c r="BX1483" s="2">
        <v>17.388312909967699</v>
      </c>
      <c r="BY1483" s="2">
        <v>17.913183359205998</v>
      </c>
      <c r="BZ1483" s="2">
        <v>17.951253519992601</v>
      </c>
      <c r="CA1483" s="2">
        <v>17.385390337459999</v>
      </c>
      <c r="CB1483" s="2">
        <v>17.265631710336301</v>
      </c>
      <c r="CC1483" s="2">
        <v>16.9420342601457</v>
      </c>
      <c r="CD1483" s="2">
        <v>17.889640908845099</v>
      </c>
      <c r="CE1483" s="2">
        <v>17.2570447898186</v>
      </c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</row>
    <row r="1484" spans="1:97">
      <c r="A1484" s="2" t="s">
        <v>13242</v>
      </c>
      <c r="B1484" s="2">
        <v>415.15199999999999</v>
      </c>
      <c r="C1484" s="2">
        <v>8.25</v>
      </c>
      <c r="D1484" s="2" t="s">
        <v>84</v>
      </c>
      <c r="E1484" s="2" t="s">
        <v>13243</v>
      </c>
      <c r="F1484" s="2" t="s">
        <v>13244</v>
      </c>
      <c r="G1484" s="2">
        <v>56394</v>
      </c>
      <c r="H1484" s="3" t="str">
        <f>HYPERLINK("https://cloud.oebiotech.com/#/lm/network/56394", "https://cloud.oebiotech.com/#/lm/network/56394")</f>
        <v>https://cloud.oebiotech.com/#/lm/network/56394</v>
      </c>
      <c r="I1484" s="2" t="s">
        <v>13245</v>
      </c>
      <c r="J1484" s="2">
        <v>88046</v>
      </c>
      <c r="K1484" s="2"/>
      <c r="L1484" s="2">
        <v>131751217</v>
      </c>
      <c r="M1484" s="2"/>
      <c r="N1484" s="2"/>
      <c r="O1484" s="2"/>
      <c r="P1484" s="2"/>
      <c r="Q1484" s="2"/>
      <c r="R1484" s="2"/>
      <c r="S1484" s="2" t="s">
        <v>13246</v>
      </c>
      <c r="T1484" s="2" t="s">
        <v>13247</v>
      </c>
      <c r="U1484" s="2" t="s">
        <v>13248</v>
      </c>
      <c r="V1484" s="2" t="s">
        <v>95</v>
      </c>
      <c r="W1484" s="2" t="s">
        <v>180</v>
      </c>
      <c r="X1484" s="2" t="s">
        <v>2949</v>
      </c>
      <c r="Y1484" s="2" t="s">
        <v>98</v>
      </c>
      <c r="Z1484" s="2" t="s">
        <v>182</v>
      </c>
      <c r="AA1484" s="2" t="s">
        <v>2950</v>
      </c>
      <c r="AB1484" s="2" t="s">
        <v>8443</v>
      </c>
      <c r="AC1484" s="2">
        <v>44.29</v>
      </c>
      <c r="AD1484" s="2">
        <v>88.79</v>
      </c>
      <c r="AE1484" s="2">
        <v>0</v>
      </c>
      <c r="AF1484" s="2" t="s">
        <v>13249</v>
      </c>
      <c r="AG1484" s="2" t="s">
        <v>3544</v>
      </c>
      <c r="AH1484" s="2" t="s">
        <v>13250</v>
      </c>
      <c r="AI1484" s="2">
        <v>-0.72</v>
      </c>
      <c r="AJ1484" s="2">
        <v>20.677603150446899</v>
      </c>
      <c r="AK1484" s="2">
        <v>20.9099525279875</v>
      </c>
      <c r="AL1484" s="2">
        <v>20.210223523307199</v>
      </c>
      <c r="AM1484" s="2">
        <v>20.8881552106917</v>
      </c>
      <c r="AN1484" s="2">
        <v>20.984169497768399</v>
      </c>
      <c r="AO1484" s="2">
        <v>20.835656122562799</v>
      </c>
      <c r="AP1484" s="2">
        <v>20.630077655751101</v>
      </c>
      <c r="AQ1484" s="2">
        <v>20.819331919690399</v>
      </c>
      <c r="AR1484" s="2">
        <v>20.094485262864701</v>
      </c>
      <c r="AS1484" s="2">
        <v>16.401992606957901</v>
      </c>
      <c r="AT1484" s="2">
        <v>19.079747785859201</v>
      </c>
      <c r="AU1484" s="2">
        <v>18.947884166619598</v>
      </c>
      <c r="AV1484" s="2">
        <v>22.385050296035999</v>
      </c>
      <c r="AW1484" s="2">
        <v>22.989655159290798</v>
      </c>
      <c r="AX1484" s="2">
        <v>21.982953768359501</v>
      </c>
      <c r="AY1484" s="2">
        <v>21.467629886919202</v>
      </c>
      <c r="AZ1484" s="2">
        <v>20.184943848768199</v>
      </c>
      <c r="BA1484" s="2">
        <v>18.369116265498299</v>
      </c>
      <c r="BB1484" s="2">
        <v>19.0876961425476</v>
      </c>
      <c r="BC1484" s="2">
        <v>20.055120404986901</v>
      </c>
      <c r="BD1484" s="2">
        <v>21.7269929236199</v>
      </c>
      <c r="BE1484" s="2">
        <v>21.070729348296101</v>
      </c>
      <c r="BF1484" s="2">
        <v>21.0118047336194</v>
      </c>
      <c r="BG1484" s="2">
        <v>22.2467512027544</v>
      </c>
      <c r="BH1484" s="2">
        <v>19.6516176737886</v>
      </c>
      <c r="BI1484" s="2">
        <v>19.792220370826499</v>
      </c>
      <c r="BJ1484" s="2">
        <v>20.653758225648499</v>
      </c>
      <c r="BK1484" s="2">
        <v>20.443745343758501</v>
      </c>
      <c r="BL1484" s="2">
        <v>19.747367729723301</v>
      </c>
      <c r="BM1484" s="2">
        <v>15.7487963800695</v>
      </c>
      <c r="BN1484" s="2">
        <v>17.938299749672701</v>
      </c>
      <c r="BO1484" s="2">
        <v>18.116440777366801</v>
      </c>
      <c r="BP1484" s="2">
        <v>21.968171272405002</v>
      </c>
      <c r="BQ1484" s="2">
        <v>21.698823670843101</v>
      </c>
      <c r="BR1484" s="2">
        <v>22.032699087542898</v>
      </c>
      <c r="BS1484" s="2">
        <v>21.0884527849222</v>
      </c>
      <c r="BT1484" s="2">
        <v>17.9987465964685</v>
      </c>
      <c r="BU1484" s="2">
        <v>16.468245215740701</v>
      </c>
      <c r="BV1484" s="2">
        <v>13.9146663555263</v>
      </c>
      <c r="BW1484" s="2">
        <v>18.3957451489884</v>
      </c>
      <c r="BX1484" s="2">
        <v>21.546435355990599</v>
      </c>
      <c r="BY1484" s="2">
        <v>21.088006569770101</v>
      </c>
      <c r="BZ1484" s="2">
        <v>19.944971097639598</v>
      </c>
      <c r="CA1484" s="2">
        <v>18.957598466527099</v>
      </c>
      <c r="CB1484" s="2">
        <v>18.3594733329886</v>
      </c>
      <c r="CC1484" s="2">
        <v>20.033302166035401</v>
      </c>
      <c r="CD1484" s="2">
        <v>20.536865283565099</v>
      </c>
      <c r="CE1484" s="2">
        <v>19.472120015151098</v>
      </c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</row>
    <row r="1485" spans="1:97">
      <c r="A1485" s="2" t="s">
        <v>13251</v>
      </c>
      <c r="B1485" s="2">
        <v>1025.6324300000001</v>
      </c>
      <c r="C1485" s="2">
        <v>10.664</v>
      </c>
      <c r="D1485" s="2" t="s">
        <v>146</v>
      </c>
      <c r="E1485" s="2" t="s">
        <v>13252</v>
      </c>
      <c r="F1485" s="2" t="s">
        <v>13253</v>
      </c>
      <c r="G1485" s="2">
        <v>42034</v>
      </c>
      <c r="H1485" s="3" t="str">
        <f>HYPERLINK("https://cloud.oebiotech.com/#/lm/network/42034", "https://cloud.oebiotech.com/#/lm/network/42034")</f>
        <v>https://cloud.oebiotech.com/#/lm/network/42034</v>
      </c>
      <c r="I1485" s="2"/>
      <c r="J1485" s="2"/>
      <c r="K1485" s="2" t="s">
        <v>13254</v>
      </c>
      <c r="L1485" s="2">
        <v>44261964</v>
      </c>
      <c r="M1485" s="2"/>
      <c r="N1485" s="2"/>
      <c r="O1485" s="2"/>
      <c r="P1485" s="2"/>
      <c r="Q1485" s="2"/>
      <c r="R1485" s="2"/>
      <c r="S1485" s="2"/>
      <c r="T1485" s="2" t="s">
        <v>13255</v>
      </c>
      <c r="U1485" s="2" t="s">
        <v>13256</v>
      </c>
      <c r="V1485" s="2" t="s">
        <v>95</v>
      </c>
      <c r="W1485" s="2" t="s">
        <v>2361</v>
      </c>
      <c r="X1485" s="2" t="s">
        <v>12383</v>
      </c>
      <c r="Y1485" s="2" t="s">
        <v>98</v>
      </c>
      <c r="Z1485" s="2" t="s">
        <v>2363</v>
      </c>
      <c r="AA1485" s="2" t="s">
        <v>12384</v>
      </c>
      <c r="AB1485" s="2" t="s">
        <v>5118</v>
      </c>
      <c r="AC1485" s="2">
        <v>44.28</v>
      </c>
      <c r="AD1485" s="2">
        <v>78.89</v>
      </c>
      <c r="AE1485" s="2">
        <v>62.78</v>
      </c>
      <c r="AF1485" s="2" t="s">
        <v>13257</v>
      </c>
      <c r="AG1485" s="2" t="s">
        <v>4062</v>
      </c>
      <c r="AH1485" s="2" t="s">
        <v>13258</v>
      </c>
      <c r="AI1485" s="2">
        <v>-2.54</v>
      </c>
      <c r="AJ1485" s="2">
        <v>19.1973937165371</v>
      </c>
      <c r="AK1485" s="2">
        <v>18.921294913819501</v>
      </c>
      <c r="AL1485" s="2">
        <v>18.972840517329001</v>
      </c>
      <c r="AM1485" s="2">
        <v>19.168079654083801</v>
      </c>
      <c r="AN1485" s="2">
        <v>18.819170604996302</v>
      </c>
      <c r="AO1485" s="2">
        <v>18.749282388407</v>
      </c>
      <c r="AP1485" s="2">
        <v>18.544578230532299</v>
      </c>
      <c r="AQ1485" s="2">
        <v>18.2161543380609</v>
      </c>
      <c r="AR1485" s="2">
        <v>19.165867640890198</v>
      </c>
      <c r="AS1485" s="2">
        <v>18.450769057743301</v>
      </c>
      <c r="AT1485" s="2">
        <v>18.571494874701902</v>
      </c>
      <c r="AU1485" s="2">
        <v>18.6032648436287</v>
      </c>
      <c r="AV1485" s="2">
        <v>18.708248644231301</v>
      </c>
      <c r="AW1485" s="2">
        <v>18.718291013070299</v>
      </c>
      <c r="AX1485" s="2">
        <v>18.483331796328901</v>
      </c>
      <c r="AY1485" s="2">
        <v>18.717885230351701</v>
      </c>
      <c r="AZ1485" s="2">
        <v>18.871865000514301</v>
      </c>
      <c r="BA1485" s="2">
        <v>17.855714133882401</v>
      </c>
      <c r="BB1485" s="2">
        <v>18.5717017673451</v>
      </c>
      <c r="BC1485" s="2">
        <v>18.8274804687799</v>
      </c>
      <c r="BD1485" s="2">
        <v>18.585906436225699</v>
      </c>
      <c r="BE1485" s="2">
        <v>19.4339824813452</v>
      </c>
      <c r="BF1485" s="2">
        <v>18.644235974335601</v>
      </c>
      <c r="BG1485" s="2">
        <v>19.0620237852212</v>
      </c>
      <c r="BH1485" s="2">
        <v>18.597776187422198</v>
      </c>
      <c r="BI1485" s="2">
        <v>18.8400476399197</v>
      </c>
      <c r="BJ1485" s="2">
        <v>18.671887207588099</v>
      </c>
      <c r="BK1485" s="2">
        <v>18.483533776558598</v>
      </c>
      <c r="BL1485" s="2">
        <v>18.898775520303399</v>
      </c>
      <c r="BM1485" s="2">
        <v>18.378228337370899</v>
      </c>
      <c r="BN1485" s="2">
        <v>18.515373294881499</v>
      </c>
      <c r="BO1485" s="2">
        <v>18.6780563577972</v>
      </c>
      <c r="BP1485" s="2">
        <v>18.539877161993399</v>
      </c>
      <c r="BQ1485" s="2">
        <v>18.604007018827801</v>
      </c>
      <c r="BR1485" s="2">
        <v>18.952448607954999</v>
      </c>
      <c r="BS1485" s="2">
        <v>18.938303282178001</v>
      </c>
      <c r="BT1485" s="2">
        <v>18.884582152062599</v>
      </c>
      <c r="BU1485" s="2">
        <v>18.316214743674401</v>
      </c>
      <c r="BV1485" s="2">
        <v>18.217175278304801</v>
      </c>
      <c r="BW1485" s="2">
        <v>18.3182400393389</v>
      </c>
      <c r="BX1485" s="2">
        <v>18.349613792448299</v>
      </c>
      <c r="BY1485" s="2">
        <v>19.407924352959199</v>
      </c>
      <c r="BZ1485" s="2">
        <v>18.615895010346499</v>
      </c>
      <c r="CA1485" s="2">
        <v>18.953709681194599</v>
      </c>
      <c r="CB1485" s="2">
        <v>18.718194169538201</v>
      </c>
      <c r="CC1485" s="2">
        <v>18.337896901717802</v>
      </c>
      <c r="CD1485" s="2">
        <v>18.597599514433401</v>
      </c>
      <c r="CE1485" s="2">
        <v>18.094613657276199</v>
      </c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</row>
    <row r="1486" spans="1:97">
      <c r="A1486" s="2" t="s">
        <v>13259</v>
      </c>
      <c r="B1486" s="2">
        <v>362.19047</v>
      </c>
      <c r="C1486" s="2">
        <v>4.8810000000000002</v>
      </c>
      <c r="D1486" s="2" t="s">
        <v>84</v>
      </c>
      <c r="E1486" s="2" t="s">
        <v>13260</v>
      </c>
      <c r="F1486" s="2" t="s">
        <v>13261</v>
      </c>
      <c r="G1486" s="2">
        <v>56830</v>
      </c>
      <c r="H1486" s="3" t="str">
        <f>HYPERLINK("https://cloud.oebiotech.com/#/lm/network/56830", "https://cloud.oebiotech.com/#/lm/network/56830")</f>
        <v>https://cloud.oebiotech.com/#/lm/network/56830</v>
      </c>
      <c r="I1486" s="2" t="s">
        <v>13262</v>
      </c>
      <c r="J1486" s="2">
        <v>88507</v>
      </c>
      <c r="K1486" s="2"/>
      <c r="L1486" s="2">
        <v>1151816</v>
      </c>
      <c r="M1486" s="2"/>
      <c r="N1486" s="2"/>
      <c r="O1486" s="2"/>
      <c r="P1486" s="2">
        <v>175005</v>
      </c>
      <c r="Q1486" s="2"/>
      <c r="R1486" s="2"/>
      <c r="S1486" s="2" t="s">
        <v>13263</v>
      </c>
      <c r="T1486" s="2" t="s">
        <v>13264</v>
      </c>
      <c r="U1486" s="2" t="s">
        <v>13265</v>
      </c>
      <c r="V1486" s="2" t="s">
        <v>385</v>
      </c>
      <c r="W1486" s="2" t="s">
        <v>386</v>
      </c>
      <c r="X1486" s="2" t="s">
        <v>13266</v>
      </c>
      <c r="Y1486" s="2" t="s">
        <v>388</v>
      </c>
      <c r="Z1486" s="2" t="s">
        <v>389</v>
      </c>
      <c r="AA1486" s="2" t="s">
        <v>13267</v>
      </c>
      <c r="AB1486" s="2" t="s">
        <v>8443</v>
      </c>
      <c r="AC1486" s="2">
        <v>44.27</v>
      </c>
      <c r="AD1486" s="2">
        <v>84.09</v>
      </c>
      <c r="AE1486" s="2">
        <v>0</v>
      </c>
      <c r="AF1486" s="2" t="s">
        <v>13268</v>
      </c>
      <c r="AG1486" s="2" t="s">
        <v>1088</v>
      </c>
      <c r="AH1486" s="2" t="s">
        <v>13269</v>
      </c>
      <c r="AI1486" s="2">
        <v>-0.55000000000000004</v>
      </c>
      <c r="AJ1486" s="2">
        <v>18.9676119959971</v>
      </c>
      <c r="AK1486" s="2">
        <v>19.4433566682108</v>
      </c>
      <c r="AL1486" s="2">
        <v>19.099186749647298</v>
      </c>
      <c r="AM1486" s="2">
        <v>19.0980540387263</v>
      </c>
      <c r="AN1486" s="2">
        <v>19.161718547606501</v>
      </c>
      <c r="AO1486" s="2">
        <v>19.106237576640499</v>
      </c>
      <c r="AP1486" s="2">
        <v>18.320549153371999</v>
      </c>
      <c r="AQ1486" s="2">
        <v>19.385465121283602</v>
      </c>
      <c r="AR1486" s="2">
        <v>9.6233145402724691</v>
      </c>
      <c r="AS1486" s="2">
        <v>15.358483627571101</v>
      </c>
      <c r="AT1486" s="2">
        <v>15.0886524414704</v>
      </c>
      <c r="AU1486" s="2">
        <v>15.720298775223601</v>
      </c>
      <c r="AV1486" s="2">
        <v>14.6159887718373</v>
      </c>
      <c r="AW1486" s="2">
        <v>9.6233145402724691</v>
      </c>
      <c r="AX1486" s="2">
        <v>14.8418891141103</v>
      </c>
      <c r="AY1486" s="2">
        <v>15.8760262125053</v>
      </c>
      <c r="AZ1486" s="2">
        <v>9.6233145402724691</v>
      </c>
      <c r="BA1486" s="2">
        <v>14.2920440541237</v>
      </c>
      <c r="BB1486" s="2">
        <v>15.787670234552399</v>
      </c>
      <c r="BC1486" s="2">
        <v>9.6233145402724691</v>
      </c>
      <c r="BD1486" s="2">
        <v>15.4168895400148</v>
      </c>
      <c r="BE1486" s="2">
        <v>9.6233145402724691</v>
      </c>
      <c r="BF1486" s="2">
        <v>17.231452865741801</v>
      </c>
      <c r="BG1486" s="2">
        <v>14.7444459980257</v>
      </c>
      <c r="BH1486" s="2">
        <v>16.5777242941544</v>
      </c>
      <c r="BI1486" s="2">
        <v>9.6233145402724691</v>
      </c>
      <c r="BJ1486" s="2">
        <v>14.988826677327999</v>
      </c>
      <c r="BK1486" s="2">
        <v>15.6169318652202</v>
      </c>
      <c r="BL1486" s="2">
        <v>15.2708074069222</v>
      </c>
      <c r="BM1486" s="2">
        <v>21.009142509153399</v>
      </c>
      <c r="BN1486" s="2">
        <v>14.401499544482199</v>
      </c>
      <c r="BO1486" s="2">
        <v>15.0812824487522</v>
      </c>
      <c r="BP1486" s="2">
        <v>14.656245520846999</v>
      </c>
      <c r="BQ1486" s="2">
        <v>15.5732968843609</v>
      </c>
      <c r="BR1486" s="2">
        <v>9.6233145402724691</v>
      </c>
      <c r="BS1486" s="2">
        <v>16.764374023895201</v>
      </c>
      <c r="BT1486" s="2">
        <v>9.6233145402724691</v>
      </c>
      <c r="BU1486" s="2">
        <v>14.5748920870146</v>
      </c>
      <c r="BV1486" s="2">
        <v>9.6233145402724691</v>
      </c>
      <c r="BW1486" s="2">
        <v>14.296922657707199</v>
      </c>
      <c r="BX1486" s="2">
        <v>16.301929110012299</v>
      </c>
      <c r="BY1486" s="2">
        <v>17.497968206290398</v>
      </c>
      <c r="BZ1486" s="2">
        <v>14.296969246163201</v>
      </c>
      <c r="CA1486" s="2">
        <v>24.451638635953199</v>
      </c>
      <c r="CB1486" s="2">
        <v>18.9753737670536</v>
      </c>
      <c r="CC1486" s="2">
        <v>9.6233145402724691</v>
      </c>
      <c r="CD1486" s="2">
        <v>15.8605717389323</v>
      </c>
      <c r="CE1486" s="2">
        <v>15.0546941868554</v>
      </c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</row>
    <row r="1487" spans="1:97">
      <c r="A1487" s="2" t="s">
        <v>13270</v>
      </c>
      <c r="B1487" s="2">
        <v>415.15195999999997</v>
      </c>
      <c r="C1487" s="2">
        <v>6.5069999999999997</v>
      </c>
      <c r="D1487" s="2" t="s">
        <v>84</v>
      </c>
      <c r="E1487" s="2" t="s">
        <v>13271</v>
      </c>
      <c r="F1487" s="2" t="s">
        <v>13272</v>
      </c>
      <c r="G1487" s="2">
        <v>212836</v>
      </c>
      <c r="H1487" s="3" t="str">
        <f>HYPERLINK("https://cloud.oebiotech.com/#/lm/network/212836", "https://cloud.oebiotech.com/#/lm/network/212836")</f>
        <v>https://cloud.oebiotech.com/#/lm/network/212836</v>
      </c>
      <c r="I1487" s="2" t="s">
        <v>13273</v>
      </c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 t="s">
        <v>13274</v>
      </c>
      <c r="U1487" s="2" t="s">
        <v>13275</v>
      </c>
      <c r="V1487" s="2" t="s">
        <v>338</v>
      </c>
      <c r="W1487" s="2" t="s">
        <v>339</v>
      </c>
      <c r="X1487" s="2" t="s">
        <v>1663</v>
      </c>
      <c r="Y1487" s="2" t="s">
        <v>341</v>
      </c>
      <c r="Z1487" s="2" t="s">
        <v>341</v>
      </c>
      <c r="AA1487" s="2" t="s">
        <v>1664</v>
      </c>
      <c r="AB1487" s="2" t="s">
        <v>8443</v>
      </c>
      <c r="AC1487" s="2">
        <v>44.25</v>
      </c>
      <c r="AD1487" s="2">
        <v>84.91</v>
      </c>
      <c r="AE1487" s="2">
        <v>0</v>
      </c>
      <c r="AF1487" s="2" t="s">
        <v>13276</v>
      </c>
      <c r="AG1487" s="2" t="s">
        <v>1088</v>
      </c>
      <c r="AH1487" s="2" t="s">
        <v>13277</v>
      </c>
      <c r="AI1487" s="2">
        <v>-0.24</v>
      </c>
      <c r="AJ1487" s="2">
        <v>17.488915563335201</v>
      </c>
      <c r="AK1487" s="2">
        <v>17.187672866276699</v>
      </c>
      <c r="AL1487" s="2">
        <v>17.521834429318002</v>
      </c>
      <c r="AM1487" s="2">
        <v>17.902894584788701</v>
      </c>
      <c r="AN1487" s="2">
        <v>16.991910301946799</v>
      </c>
      <c r="AO1487" s="2">
        <v>17.385221122116899</v>
      </c>
      <c r="AP1487" s="2">
        <v>17.602031725271502</v>
      </c>
      <c r="AQ1487" s="2">
        <v>17.264392475233201</v>
      </c>
      <c r="AR1487" s="2">
        <v>16.116077696071301</v>
      </c>
      <c r="AS1487" s="2">
        <v>9.6233145402724691</v>
      </c>
      <c r="AT1487" s="2">
        <v>9.6233145402724691</v>
      </c>
      <c r="AU1487" s="2">
        <v>16.101578308978599</v>
      </c>
      <c r="AV1487" s="2">
        <v>18.598708580868301</v>
      </c>
      <c r="AW1487" s="2">
        <v>18.490846020544399</v>
      </c>
      <c r="AX1487" s="2">
        <v>18.2140365577627</v>
      </c>
      <c r="AY1487" s="2">
        <v>18.246481944021099</v>
      </c>
      <c r="AZ1487" s="2">
        <v>16.223665011103002</v>
      </c>
      <c r="BA1487" s="2">
        <v>17.000872582415301</v>
      </c>
      <c r="BB1487" s="2">
        <v>13.871203543106599</v>
      </c>
      <c r="BC1487" s="2">
        <v>19.1457611300048</v>
      </c>
      <c r="BD1487" s="2">
        <v>17.5626196421595</v>
      </c>
      <c r="BE1487" s="2">
        <v>17.691698884012698</v>
      </c>
      <c r="BF1487" s="2">
        <v>17.0315869532741</v>
      </c>
      <c r="BG1487" s="2">
        <v>17.935874755759301</v>
      </c>
      <c r="BH1487" s="2">
        <v>16.557421069903899</v>
      </c>
      <c r="BI1487" s="2">
        <v>14.6590007986138</v>
      </c>
      <c r="BJ1487" s="2">
        <v>17.156344232925498</v>
      </c>
      <c r="BK1487" s="2">
        <v>17.6419659231514</v>
      </c>
      <c r="BL1487" s="2">
        <v>15.5212513781632</v>
      </c>
      <c r="BM1487" s="2">
        <v>9.6233145402724691</v>
      </c>
      <c r="BN1487" s="2">
        <v>14.209312470561599</v>
      </c>
      <c r="BO1487" s="2">
        <v>16.501804381872699</v>
      </c>
      <c r="BP1487" s="2">
        <v>18.928828686247702</v>
      </c>
      <c r="BQ1487" s="2">
        <v>17.143621371355898</v>
      </c>
      <c r="BR1487" s="2">
        <v>18.652440908606401</v>
      </c>
      <c r="BS1487" s="2">
        <v>18.608811949285201</v>
      </c>
      <c r="BT1487" s="2">
        <v>15.3059046339523</v>
      </c>
      <c r="BU1487" s="2">
        <v>14.3200925635128</v>
      </c>
      <c r="BV1487" s="2">
        <v>13.897459778425301</v>
      </c>
      <c r="BW1487" s="2">
        <v>18.020959598791499</v>
      </c>
      <c r="BX1487" s="2">
        <v>17.9018740720838</v>
      </c>
      <c r="BY1487" s="2">
        <v>18.748179383237101</v>
      </c>
      <c r="BZ1487" s="2">
        <v>15.794134316356301</v>
      </c>
      <c r="CA1487" s="2">
        <v>14.291463555111701</v>
      </c>
      <c r="CB1487" s="2">
        <v>18.1213044357015</v>
      </c>
      <c r="CC1487" s="2">
        <v>15.628436141627301</v>
      </c>
      <c r="CD1487" s="2">
        <v>17.050879057530501</v>
      </c>
      <c r="CE1487" s="2">
        <v>18.1759344109431</v>
      </c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</row>
    <row r="1488" spans="1:97">
      <c r="A1488" s="2" t="s">
        <v>13278</v>
      </c>
      <c r="B1488" s="2">
        <v>527.21272999999997</v>
      </c>
      <c r="C1488" s="2">
        <v>6.2469999999999999</v>
      </c>
      <c r="D1488" s="2" t="s">
        <v>146</v>
      </c>
      <c r="E1488" s="2" t="s">
        <v>13279</v>
      </c>
      <c r="F1488" s="2"/>
      <c r="G1488" s="2">
        <v>595022</v>
      </c>
      <c r="H1488" s="3" t="str">
        <f>HYPERLINK("https://cloud.oebiotech.com/#/lm/network/595022", "https://cloud.oebiotech.com/#/lm/network/595022")</f>
        <v>https://cloud.oebiotech.com/#/lm/network/595022</v>
      </c>
      <c r="I1488" s="2"/>
      <c r="J1488" s="2"/>
      <c r="K1488" s="2"/>
      <c r="L1488" s="2">
        <v>18925442</v>
      </c>
      <c r="M1488" s="2"/>
      <c r="N1488" s="2"/>
      <c r="O1488" s="2"/>
      <c r="P1488" s="2"/>
      <c r="Q1488" s="2"/>
      <c r="R1488" s="2"/>
      <c r="S1488" s="2"/>
      <c r="T1488" s="2" t="s">
        <v>13280</v>
      </c>
      <c r="U1488" s="2" t="s">
        <v>13281</v>
      </c>
      <c r="V1488" s="2" t="s">
        <v>385</v>
      </c>
      <c r="W1488" s="2" t="s">
        <v>386</v>
      </c>
      <c r="X1488" s="2" t="s">
        <v>1059</v>
      </c>
      <c r="Y1488" s="2" t="s">
        <v>388</v>
      </c>
      <c r="Z1488" s="2" t="s">
        <v>389</v>
      </c>
      <c r="AA1488" s="2" t="s">
        <v>1060</v>
      </c>
      <c r="AB1488" s="2" t="s">
        <v>5118</v>
      </c>
      <c r="AC1488" s="2">
        <v>44.24</v>
      </c>
      <c r="AD1488" s="2">
        <v>93.84</v>
      </c>
      <c r="AE1488" s="2">
        <v>51.62</v>
      </c>
      <c r="AF1488" s="2" t="s">
        <v>13282</v>
      </c>
      <c r="AG1488" s="2" t="s">
        <v>157</v>
      </c>
      <c r="AH1488" s="2" t="s">
        <v>13283</v>
      </c>
      <c r="AI1488" s="2">
        <v>3.79</v>
      </c>
      <c r="AJ1488" s="2">
        <v>19.304526126071799</v>
      </c>
      <c r="AK1488" s="2">
        <v>19.194815444446402</v>
      </c>
      <c r="AL1488" s="2">
        <v>19.205683970423799</v>
      </c>
      <c r="AM1488" s="2">
        <v>19.155599554927701</v>
      </c>
      <c r="AN1488" s="2">
        <v>19.381717434983301</v>
      </c>
      <c r="AO1488" s="2">
        <v>18.9856906479482</v>
      </c>
      <c r="AP1488" s="2">
        <v>19.306490344266798</v>
      </c>
      <c r="AQ1488" s="2">
        <v>19.2278305381171</v>
      </c>
      <c r="AR1488" s="2">
        <v>18.532802664783301</v>
      </c>
      <c r="AS1488" s="2">
        <v>17.666356405613602</v>
      </c>
      <c r="AT1488" s="2">
        <v>19.4307925421787</v>
      </c>
      <c r="AU1488" s="2">
        <v>18.266095886056402</v>
      </c>
      <c r="AV1488" s="2">
        <v>19.204354040708999</v>
      </c>
      <c r="AW1488" s="2">
        <v>19.358585272728099</v>
      </c>
      <c r="AX1488" s="2">
        <v>18.2034507198371</v>
      </c>
      <c r="AY1488" s="2">
        <v>19.671836547480702</v>
      </c>
      <c r="AZ1488" s="2">
        <v>18.6642886268707</v>
      </c>
      <c r="BA1488" s="2">
        <v>19.335075132010299</v>
      </c>
      <c r="BB1488" s="2">
        <v>19.320630878243001</v>
      </c>
      <c r="BC1488" s="2">
        <v>18.454855308189099</v>
      </c>
      <c r="BD1488" s="2">
        <v>18.648499253268302</v>
      </c>
      <c r="BE1488" s="2">
        <v>18.4863493812135</v>
      </c>
      <c r="BF1488" s="2">
        <v>17.918446159601</v>
      </c>
      <c r="BG1488" s="2">
        <v>18.862270880664401</v>
      </c>
      <c r="BH1488" s="2">
        <v>18.530894933462498</v>
      </c>
      <c r="BI1488" s="2">
        <v>19.6285083554992</v>
      </c>
      <c r="BJ1488" s="2">
        <v>18.926267498307201</v>
      </c>
      <c r="BK1488" s="2">
        <v>19.294005735107302</v>
      </c>
      <c r="BL1488" s="2">
        <v>18.997516029349999</v>
      </c>
      <c r="BM1488" s="2">
        <v>18.643733576619201</v>
      </c>
      <c r="BN1488" s="2">
        <v>20.169812200873402</v>
      </c>
      <c r="BO1488" s="2">
        <v>18.803030949089699</v>
      </c>
      <c r="BP1488" s="2">
        <v>19.4813864223796</v>
      </c>
      <c r="BQ1488" s="2">
        <v>19.875212856832999</v>
      </c>
      <c r="BR1488" s="2">
        <v>18.8433654554638</v>
      </c>
      <c r="BS1488" s="2">
        <v>19.4572491836905</v>
      </c>
      <c r="BT1488" s="2">
        <v>19.3964966862099</v>
      </c>
      <c r="BU1488" s="2">
        <v>20.009578604580799</v>
      </c>
      <c r="BV1488" s="2">
        <v>19.9473513097054</v>
      </c>
      <c r="BW1488" s="2">
        <v>17.537165457464901</v>
      </c>
      <c r="BX1488" s="2">
        <v>18.144672680065099</v>
      </c>
      <c r="BY1488" s="2">
        <v>19.352175145386799</v>
      </c>
      <c r="BZ1488" s="2">
        <v>17.6668363246302</v>
      </c>
      <c r="CA1488" s="2">
        <v>19.6046270645442</v>
      </c>
      <c r="CB1488" s="2">
        <v>19.336856874489701</v>
      </c>
      <c r="CC1488" s="2">
        <v>19.0800242508564</v>
      </c>
      <c r="CD1488" s="2">
        <v>19.908294860704601</v>
      </c>
      <c r="CE1488" s="2">
        <v>19.353879473436098</v>
      </c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</row>
    <row r="1489" spans="1:97">
      <c r="A1489" s="2" t="s">
        <v>13284</v>
      </c>
      <c r="B1489" s="2">
        <v>512.46649000000002</v>
      </c>
      <c r="C1489" s="2">
        <v>11.933</v>
      </c>
      <c r="D1489" s="2" t="s">
        <v>84</v>
      </c>
      <c r="E1489" s="2" t="s">
        <v>13285</v>
      </c>
      <c r="F1489" s="2" t="s">
        <v>13286</v>
      </c>
      <c r="G1489" s="2">
        <v>197525</v>
      </c>
      <c r="H1489" s="3" t="str">
        <f>HYPERLINK("https://cloud.oebiotech.com/#/lm/network/197525", "https://cloud.oebiotech.com/#/lm/network/197525")</f>
        <v>https://cloud.oebiotech.com/#/lm/network/197525</v>
      </c>
      <c r="I1489" s="2" t="s">
        <v>13287</v>
      </c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 t="s">
        <v>13288</v>
      </c>
      <c r="U1489" s="2" t="s">
        <v>13289</v>
      </c>
      <c r="V1489" s="2" t="s">
        <v>95</v>
      </c>
      <c r="W1489" s="2" t="s">
        <v>96</v>
      </c>
      <c r="X1489" s="2" t="s">
        <v>97</v>
      </c>
      <c r="Y1489" s="2" t="s">
        <v>98</v>
      </c>
      <c r="Z1489" s="2" t="s">
        <v>99</v>
      </c>
      <c r="AA1489" s="2" t="s">
        <v>100</v>
      </c>
      <c r="AB1489" s="2" t="s">
        <v>8443</v>
      </c>
      <c r="AC1489" s="2">
        <v>44.24</v>
      </c>
      <c r="AD1489" s="2">
        <v>95.18</v>
      </c>
      <c r="AE1489" s="2">
        <v>36.020000000000003</v>
      </c>
      <c r="AF1489" s="2" t="s">
        <v>13290</v>
      </c>
      <c r="AG1489" s="2" t="s">
        <v>103</v>
      </c>
      <c r="AH1489" s="2" t="s">
        <v>13291</v>
      </c>
      <c r="AI1489" s="2">
        <v>1.56</v>
      </c>
      <c r="AJ1489" s="2">
        <v>22.817788070414899</v>
      </c>
      <c r="AK1489" s="2">
        <v>22.801643687026299</v>
      </c>
      <c r="AL1489" s="2">
        <v>22.668191674647201</v>
      </c>
      <c r="AM1489" s="2">
        <v>21.809870879241199</v>
      </c>
      <c r="AN1489" s="2">
        <v>22.986129956165598</v>
      </c>
      <c r="AO1489" s="2">
        <v>22.951746932059901</v>
      </c>
      <c r="AP1489" s="2">
        <v>22.3140969763929</v>
      </c>
      <c r="AQ1489" s="2">
        <v>23.024942274904902</v>
      </c>
      <c r="AR1489" s="2">
        <v>23.180732041553501</v>
      </c>
      <c r="AS1489" s="2">
        <v>21.478324849750098</v>
      </c>
      <c r="AT1489" s="2">
        <v>22.3127330710435</v>
      </c>
      <c r="AU1489" s="2">
        <v>21.576781339341199</v>
      </c>
      <c r="AV1489" s="2">
        <v>22.260607608288801</v>
      </c>
      <c r="AW1489" s="2">
        <v>21.679036332264602</v>
      </c>
      <c r="AX1489" s="2">
        <v>22.670881970206398</v>
      </c>
      <c r="AY1489" s="2">
        <v>22.864208150707402</v>
      </c>
      <c r="AZ1489" s="2">
        <v>22.144263960287201</v>
      </c>
      <c r="BA1489" s="2">
        <v>22.457941046355899</v>
      </c>
      <c r="BB1489" s="2">
        <v>22.943051947706699</v>
      </c>
      <c r="BC1489" s="2">
        <v>23.711180934569299</v>
      </c>
      <c r="BD1489" s="2">
        <v>22.76930404817</v>
      </c>
      <c r="BE1489" s="2">
        <v>21.890873118794499</v>
      </c>
      <c r="BF1489" s="2">
        <v>21.955532836470798</v>
      </c>
      <c r="BG1489" s="2">
        <v>21.2976939844458</v>
      </c>
      <c r="BH1489" s="2">
        <v>21.798019167343298</v>
      </c>
      <c r="BI1489" s="2">
        <v>23.0247114579408</v>
      </c>
      <c r="BJ1489" s="2">
        <v>23.253810685988899</v>
      </c>
      <c r="BK1489" s="2">
        <v>22.369166910192099</v>
      </c>
      <c r="BL1489" s="2">
        <v>23.844877186384</v>
      </c>
      <c r="BM1489" s="2">
        <v>23.429290137523299</v>
      </c>
      <c r="BN1489" s="2">
        <v>22.847246546061601</v>
      </c>
      <c r="BO1489" s="2">
        <v>21.411494876809599</v>
      </c>
      <c r="BP1489" s="2">
        <v>22.970804220765899</v>
      </c>
      <c r="BQ1489" s="2">
        <v>23.252357275920701</v>
      </c>
      <c r="BR1489" s="2">
        <v>22.6705584992247</v>
      </c>
      <c r="BS1489" s="2">
        <v>22.6062938601914</v>
      </c>
      <c r="BT1489" s="2">
        <v>21.598058362916198</v>
      </c>
      <c r="BU1489" s="2">
        <v>22.342198922122101</v>
      </c>
      <c r="BV1489" s="2">
        <v>22.3468575075348</v>
      </c>
      <c r="BW1489" s="2">
        <v>22.202556921223099</v>
      </c>
      <c r="BX1489" s="2">
        <v>23.218460265303101</v>
      </c>
      <c r="BY1489" s="2">
        <v>23.408703314340901</v>
      </c>
      <c r="BZ1489" s="2">
        <v>21.741154381557902</v>
      </c>
      <c r="CA1489" s="2">
        <v>22.272311794793598</v>
      </c>
      <c r="CB1489" s="2">
        <v>21.0203518870251</v>
      </c>
      <c r="CC1489" s="2">
        <v>23.073456585911199</v>
      </c>
      <c r="CD1489" s="2">
        <v>23.826432992757201</v>
      </c>
      <c r="CE1489" s="2">
        <v>22.124435744793601</v>
      </c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</row>
    <row r="1490" spans="1:97">
      <c r="A1490" s="2" t="s">
        <v>13292</v>
      </c>
      <c r="B1490" s="2">
        <v>284.12795</v>
      </c>
      <c r="C1490" s="2">
        <v>9.827</v>
      </c>
      <c r="D1490" s="2" t="s">
        <v>84</v>
      </c>
      <c r="E1490" s="2" t="s">
        <v>13293</v>
      </c>
      <c r="F1490" s="2" t="s">
        <v>13294</v>
      </c>
      <c r="G1490" s="2">
        <v>204430</v>
      </c>
      <c r="H1490" s="3" t="str">
        <f>HYPERLINK("https://cloud.oebiotech.com/#/lm/network/204430", "https://cloud.oebiotech.com/#/lm/network/204430")</f>
        <v>https://cloud.oebiotech.com/#/lm/network/204430</v>
      </c>
      <c r="I1490" s="2" t="s">
        <v>13295</v>
      </c>
      <c r="J1490" s="2"/>
      <c r="K1490" s="2"/>
      <c r="L1490" s="2">
        <v>123970</v>
      </c>
      <c r="M1490" s="2"/>
      <c r="N1490" s="2"/>
      <c r="O1490" s="2"/>
      <c r="P1490" s="2"/>
      <c r="Q1490" s="2"/>
      <c r="R1490" s="2"/>
      <c r="S1490" s="2"/>
      <c r="T1490" s="2" t="s">
        <v>13296</v>
      </c>
      <c r="U1490" s="2" t="s">
        <v>13297</v>
      </c>
      <c r="V1490" s="2" t="s">
        <v>385</v>
      </c>
      <c r="W1490" s="2" t="s">
        <v>386</v>
      </c>
      <c r="X1490" s="2" t="s">
        <v>13298</v>
      </c>
      <c r="Y1490" s="2" t="s">
        <v>388</v>
      </c>
      <c r="Z1490" s="2" t="s">
        <v>389</v>
      </c>
      <c r="AA1490" s="2" t="s">
        <v>13299</v>
      </c>
      <c r="AB1490" s="2" t="s">
        <v>8443</v>
      </c>
      <c r="AC1490" s="2">
        <v>44.22</v>
      </c>
      <c r="AD1490" s="2">
        <v>89.15</v>
      </c>
      <c r="AE1490" s="2">
        <v>39.92</v>
      </c>
      <c r="AF1490" s="2" t="s">
        <v>13300</v>
      </c>
      <c r="AG1490" s="2" t="s">
        <v>103</v>
      </c>
      <c r="AH1490" s="2" t="s">
        <v>13301</v>
      </c>
      <c r="AI1490" s="2">
        <v>0.7</v>
      </c>
      <c r="AJ1490" s="2">
        <v>18.591591227654</v>
      </c>
      <c r="AK1490" s="2">
        <v>18.6677954761326</v>
      </c>
      <c r="AL1490" s="2">
        <v>18.7741213862788</v>
      </c>
      <c r="AM1490" s="2">
        <v>18.609664242641799</v>
      </c>
      <c r="AN1490" s="2">
        <v>18.405350868462399</v>
      </c>
      <c r="AO1490" s="2">
        <v>18.751289849560202</v>
      </c>
      <c r="AP1490" s="2">
        <v>18.584762932009099</v>
      </c>
      <c r="AQ1490" s="2">
        <v>18.211564951997801</v>
      </c>
      <c r="AR1490" s="2">
        <v>17.739048992147499</v>
      </c>
      <c r="AS1490" s="2">
        <v>18.520174099760201</v>
      </c>
      <c r="AT1490" s="2">
        <v>18.031934573037699</v>
      </c>
      <c r="AU1490" s="2">
        <v>18.406099350982998</v>
      </c>
      <c r="AV1490" s="2">
        <v>18.2156250421788</v>
      </c>
      <c r="AW1490" s="2">
        <v>18.041074039582199</v>
      </c>
      <c r="AX1490" s="2">
        <v>17.150172102675199</v>
      </c>
      <c r="AY1490" s="2">
        <v>18.078391118725499</v>
      </c>
      <c r="AZ1490" s="2">
        <v>18.614939847310701</v>
      </c>
      <c r="BA1490" s="2">
        <v>17.651809834875898</v>
      </c>
      <c r="BB1490" s="2">
        <v>17.988972924083299</v>
      </c>
      <c r="BC1490" s="2">
        <v>18.2799366159214</v>
      </c>
      <c r="BD1490" s="2">
        <v>16.577588000777599</v>
      </c>
      <c r="BE1490" s="2">
        <v>18.941637181032799</v>
      </c>
      <c r="BF1490" s="2">
        <v>16.420042939571299</v>
      </c>
      <c r="BG1490" s="2">
        <v>18.6143368016015</v>
      </c>
      <c r="BH1490" s="2">
        <v>16.019883659179602</v>
      </c>
      <c r="BI1490" s="2">
        <v>19.2096225167322</v>
      </c>
      <c r="BJ1490" s="2">
        <v>18.0056172580747</v>
      </c>
      <c r="BK1490" s="2">
        <v>18.200240050857399</v>
      </c>
      <c r="BL1490" s="2">
        <v>18.134537672743701</v>
      </c>
      <c r="BM1490" s="2">
        <v>16.9467594121007</v>
      </c>
      <c r="BN1490" s="2">
        <v>17.439116386728202</v>
      </c>
      <c r="BO1490" s="2">
        <v>18.205143753021598</v>
      </c>
      <c r="BP1490" s="2">
        <v>18.1911180272213</v>
      </c>
      <c r="BQ1490" s="2">
        <v>17.535542090140499</v>
      </c>
      <c r="BR1490" s="2">
        <v>18.998260275660598</v>
      </c>
      <c r="BS1490" s="2">
        <v>18.8701901039978</v>
      </c>
      <c r="BT1490" s="2">
        <v>17.070459455798201</v>
      </c>
      <c r="BU1490" s="2">
        <v>18.397720167626101</v>
      </c>
      <c r="BV1490" s="2">
        <v>18.536360035675798</v>
      </c>
      <c r="BW1490" s="2">
        <v>14.757749908967</v>
      </c>
      <c r="BX1490" s="2">
        <v>18.1531276472247</v>
      </c>
      <c r="BY1490" s="2">
        <v>19.988561113109899</v>
      </c>
      <c r="BZ1490" s="2">
        <v>17.669706955526198</v>
      </c>
      <c r="CA1490" s="2">
        <v>18.121665546547899</v>
      </c>
      <c r="CB1490" s="2">
        <v>19.466106660654901</v>
      </c>
      <c r="CC1490" s="2">
        <v>19.672815373413801</v>
      </c>
      <c r="CD1490" s="2">
        <v>18.5478240976846</v>
      </c>
      <c r="CE1490" s="2">
        <v>17.79586584155</v>
      </c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</row>
    <row r="1491" spans="1:97">
      <c r="A1491" s="2" t="s">
        <v>13302</v>
      </c>
      <c r="B1491" s="2">
        <v>438.29743000000002</v>
      </c>
      <c r="C1491" s="2">
        <v>9.7240000000000002</v>
      </c>
      <c r="D1491" s="2" t="s">
        <v>84</v>
      </c>
      <c r="E1491" s="2" t="s">
        <v>13303</v>
      </c>
      <c r="F1491" s="2" t="s">
        <v>13304</v>
      </c>
      <c r="G1491" s="2">
        <v>21244</v>
      </c>
      <c r="H1491" s="3" t="str">
        <f>HYPERLINK("https://cloud.oebiotech.com/#/lm/network/21244", "https://cloud.oebiotech.com/#/lm/network/21244")</f>
        <v>https://cloud.oebiotech.com/#/lm/network/21244</v>
      </c>
      <c r="I1491" s="2"/>
      <c r="J1491" s="2"/>
      <c r="K1491" s="2" t="s">
        <v>13305</v>
      </c>
      <c r="L1491" s="2">
        <v>137323914</v>
      </c>
      <c r="M1491" s="2"/>
      <c r="N1491" s="2"/>
      <c r="O1491" s="2"/>
      <c r="P1491" s="2"/>
      <c r="Q1491" s="2"/>
      <c r="R1491" s="2"/>
      <c r="S1491" s="2"/>
      <c r="T1491" s="2" t="s">
        <v>13306</v>
      </c>
      <c r="U1491" s="2" t="s">
        <v>13307</v>
      </c>
      <c r="V1491" s="2" t="s">
        <v>95</v>
      </c>
      <c r="W1491" s="2" t="s">
        <v>202</v>
      </c>
      <c r="X1491" s="2" t="s">
        <v>327</v>
      </c>
      <c r="Y1491" s="2" t="s">
        <v>98</v>
      </c>
      <c r="Z1491" s="2" t="s">
        <v>204</v>
      </c>
      <c r="AA1491" s="2" t="s">
        <v>328</v>
      </c>
      <c r="AB1491" s="2" t="s">
        <v>8443</v>
      </c>
      <c r="AC1491" s="2">
        <v>44.19</v>
      </c>
      <c r="AD1491" s="2">
        <v>85.63</v>
      </c>
      <c r="AE1491" s="2">
        <v>0</v>
      </c>
      <c r="AF1491" s="2" t="s">
        <v>5614</v>
      </c>
      <c r="AG1491" s="2" t="s">
        <v>1088</v>
      </c>
      <c r="AH1491" s="2" t="s">
        <v>1579</v>
      </c>
      <c r="AI1491" s="2">
        <v>2.5099999999999998</v>
      </c>
      <c r="AJ1491" s="2">
        <v>18.576929363037902</v>
      </c>
      <c r="AK1491" s="2">
        <v>18.4106155633343</v>
      </c>
      <c r="AL1491" s="2">
        <v>18.4509478684291</v>
      </c>
      <c r="AM1491" s="2">
        <v>18.425430816063798</v>
      </c>
      <c r="AN1491" s="2">
        <v>18.5097312490877</v>
      </c>
      <c r="AO1491" s="2">
        <v>18.2925994276743</v>
      </c>
      <c r="AP1491" s="2">
        <v>18.571629782291499</v>
      </c>
      <c r="AQ1491" s="2">
        <v>18.536062502770601</v>
      </c>
      <c r="AR1491" s="2">
        <v>17.8568552723751</v>
      </c>
      <c r="AS1491" s="2">
        <v>17.3820714279931</v>
      </c>
      <c r="AT1491" s="2">
        <v>18.396858357633199</v>
      </c>
      <c r="AU1491" s="2">
        <v>17.351772532852699</v>
      </c>
      <c r="AV1491" s="2">
        <v>17.807640884156399</v>
      </c>
      <c r="AW1491" s="2">
        <v>18.496049291202901</v>
      </c>
      <c r="AX1491" s="2">
        <v>17.809558767016402</v>
      </c>
      <c r="AY1491" s="2">
        <v>17.6205567004926</v>
      </c>
      <c r="AZ1491" s="2">
        <v>18.775849827048901</v>
      </c>
      <c r="BA1491" s="2">
        <v>18.587778395162601</v>
      </c>
      <c r="BB1491" s="2">
        <v>18.304940825793</v>
      </c>
      <c r="BC1491" s="2">
        <v>18.947313579376601</v>
      </c>
      <c r="BD1491" s="2">
        <v>17.794332473364001</v>
      </c>
      <c r="BE1491" s="2">
        <v>19.113837682026698</v>
      </c>
      <c r="BF1491" s="2">
        <v>18.354070359964801</v>
      </c>
      <c r="BG1491" s="2">
        <v>19.490834682829899</v>
      </c>
      <c r="BH1491" s="2">
        <v>18.139279892278498</v>
      </c>
      <c r="BI1491" s="2">
        <v>18.840041983081498</v>
      </c>
      <c r="BJ1491" s="2">
        <v>18.2221546686546</v>
      </c>
      <c r="BK1491" s="2">
        <v>18.650558989054701</v>
      </c>
      <c r="BL1491" s="2">
        <v>18.313696377364501</v>
      </c>
      <c r="BM1491" s="2">
        <v>17.869453354838502</v>
      </c>
      <c r="BN1491" s="2">
        <v>18.688322476234902</v>
      </c>
      <c r="BO1491" s="2">
        <v>18.026934998850599</v>
      </c>
      <c r="BP1491" s="2">
        <v>17.9524608652445</v>
      </c>
      <c r="BQ1491" s="2">
        <v>17.816381208307899</v>
      </c>
      <c r="BR1491" s="2">
        <v>18.674059030397601</v>
      </c>
      <c r="BS1491" s="2">
        <v>17.547631561290299</v>
      </c>
      <c r="BT1491" s="2">
        <v>18.6969412494993</v>
      </c>
      <c r="BU1491" s="2">
        <v>18.4154263753097</v>
      </c>
      <c r="BV1491" s="2">
        <v>18.202405859674698</v>
      </c>
      <c r="BW1491" s="2">
        <v>17.5234746639956</v>
      </c>
      <c r="BX1491" s="2">
        <v>17.9292604316454</v>
      </c>
      <c r="BY1491" s="2">
        <v>19.407311523991599</v>
      </c>
      <c r="BZ1491" s="2">
        <v>18.288948014480901</v>
      </c>
      <c r="CA1491" s="2">
        <v>18.963028981846701</v>
      </c>
      <c r="CB1491" s="2">
        <v>18.163024522756299</v>
      </c>
      <c r="CC1491" s="2">
        <v>19.310572578044901</v>
      </c>
      <c r="CD1491" s="2">
        <v>18.513028806359198</v>
      </c>
      <c r="CE1491" s="2">
        <v>18.822348504552</v>
      </c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</row>
    <row r="1492" spans="1:97">
      <c r="A1492" s="2" t="s">
        <v>13308</v>
      </c>
      <c r="B1492" s="2">
        <v>246.15191999999999</v>
      </c>
      <c r="C1492" s="2">
        <v>7.2809999999999997</v>
      </c>
      <c r="D1492" s="2" t="s">
        <v>84</v>
      </c>
      <c r="E1492" s="2" t="s">
        <v>13309</v>
      </c>
      <c r="F1492" s="2" t="s">
        <v>13310</v>
      </c>
      <c r="G1492" s="2">
        <v>81817</v>
      </c>
      <c r="H1492" s="3" t="str">
        <f>HYPERLINK("https://cloud.oebiotech.com/#/lm/network/81817", "https://cloud.oebiotech.com/#/lm/network/81817")</f>
        <v>https://cloud.oebiotech.com/#/lm/network/81817</v>
      </c>
      <c r="I1492" s="2" t="s">
        <v>13311</v>
      </c>
      <c r="J1492" s="2"/>
      <c r="K1492" s="2"/>
      <c r="L1492" s="2">
        <v>124202115</v>
      </c>
      <c r="M1492" s="2"/>
      <c r="N1492" s="2"/>
      <c r="O1492" s="2"/>
      <c r="P1492" s="2">
        <v>89859</v>
      </c>
      <c r="Q1492" s="2"/>
      <c r="R1492" s="2"/>
      <c r="S1492" s="2"/>
      <c r="T1492" s="2" t="s">
        <v>13312</v>
      </c>
      <c r="U1492" s="2" t="s">
        <v>13313</v>
      </c>
      <c r="V1492" s="2" t="s">
        <v>95</v>
      </c>
      <c r="W1492" s="2" t="s">
        <v>96</v>
      </c>
      <c r="X1492" s="2" t="s">
        <v>10693</v>
      </c>
      <c r="Y1492" s="2" t="s">
        <v>98</v>
      </c>
      <c r="Z1492" s="2" t="s">
        <v>99</v>
      </c>
      <c r="AA1492" s="2" t="s">
        <v>10694</v>
      </c>
      <c r="AB1492" s="2" t="s">
        <v>8443</v>
      </c>
      <c r="AC1492" s="2">
        <v>44.18</v>
      </c>
      <c r="AD1492" s="2">
        <v>95.15</v>
      </c>
      <c r="AE1492" s="2">
        <v>33.549999999999997</v>
      </c>
      <c r="AF1492" s="2" t="s">
        <v>13314</v>
      </c>
      <c r="AG1492" s="2" t="s">
        <v>103</v>
      </c>
      <c r="AH1492" s="2" t="s">
        <v>13315</v>
      </c>
      <c r="AI1492" s="2">
        <v>1.22</v>
      </c>
      <c r="AJ1492" s="2">
        <v>21.4714376196419</v>
      </c>
      <c r="AK1492" s="2">
        <v>22.2104625288137</v>
      </c>
      <c r="AL1492" s="2">
        <v>22.2285507872806</v>
      </c>
      <c r="AM1492" s="2">
        <v>21.7675377584122</v>
      </c>
      <c r="AN1492" s="2">
        <v>22.3558053785443</v>
      </c>
      <c r="AO1492" s="2">
        <v>21.732175989917</v>
      </c>
      <c r="AP1492" s="2">
        <v>22.365462420074099</v>
      </c>
      <c r="AQ1492" s="2">
        <v>22.386318583007998</v>
      </c>
      <c r="AR1492" s="2">
        <v>21.819435913192098</v>
      </c>
      <c r="AS1492" s="2">
        <v>21.7088813788863</v>
      </c>
      <c r="AT1492" s="2">
        <v>22.277603132222801</v>
      </c>
      <c r="AU1492" s="2">
        <v>22.703180679461301</v>
      </c>
      <c r="AV1492" s="2">
        <v>21.7628859321633</v>
      </c>
      <c r="AW1492" s="2">
        <v>22.134811859239701</v>
      </c>
      <c r="AX1492" s="2">
        <v>21.5323141862028</v>
      </c>
      <c r="AY1492" s="2">
        <v>21.667521168743502</v>
      </c>
      <c r="AZ1492" s="2">
        <v>21.5630039651824</v>
      </c>
      <c r="BA1492" s="2">
        <v>21.955092014399899</v>
      </c>
      <c r="BB1492" s="2">
        <v>22.288990612934601</v>
      </c>
      <c r="BC1492" s="2">
        <v>22.769369108502801</v>
      </c>
      <c r="BD1492" s="2">
        <v>21.519370129094501</v>
      </c>
      <c r="BE1492" s="2">
        <v>21.3159925328419</v>
      </c>
      <c r="BF1492" s="2">
        <v>22.406464955484999</v>
      </c>
      <c r="BG1492" s="2">
        <v>21.7684461397767</v>
      </c>
      <c r="BH1492" s="2">
        <v>21.6141477632824</v>
      </c>
      <c r="BI1492" s="2">
        <v>21.841213681636798</v>
      </c>
      <c r="BJ1492" s="2">
        <v>22.1007082071329</v>
      </c>
      <c r="BK1492" s="2">
        <v>22.006967268363798</v>
      </c>
      <c r="BL1492" s="2">
        <v>21.432849665431601</v>
      </c>
      <c r="BM1492" s="2">
        <v>22.1300842375034</v>
      </c>
      <c r="BN1492" s="2">
        <v>21.767668124432099</v>
      </c>
      <c r="BO1492" s="2">
        <v>21.399167332692901</v>
      </c>
      <c r="BP1492" s="2">
        <v>21.499278676315701</v>
      </c>
      <c r="BQ1492" s="2">
        <v>22.029738891650499</v>
      </c>
      <c r="BR1492" s="2">
        <v>22.158908172656801</v>
      </c>
      <c r="BS1492" s="2">
        <v>21.539095585201601</v>
      </c>
      <c r="BT1492" s="2">
        <v>22.0554949339244</v>
      </c>
      <c r="BU1492" s="2">
        <v>21.8530543995649</v>
      </c>
      <c r="BV1492" s="2">
        <v>22.378528464225798</v>
      </c>
      <c r="BW1492" s="2">
        <v>21.872447453783</v>
      </c>
      <c r="BX1492" s="2">
        <v>21.825673559313898</v>
      </c>
      <c r="BY1492" s="2">
        <v>21.050518144582199</v>
      </c>
      <c r="BZ1492" s="2">
        <v>22.0918733290825</v>
      </c>
      <c r="CA1492" s="2">
        <v>21.762313142173799</v>
      </c>
      <c r="CB1492" s="2">
        <v>20.915763090348001</v>
      </c>
      <c r="CC1492" s="2">
        <v>21.9605346378932</v>
      </c>
      <c r="CD1492" s="2">
        <v>20.6859833714351</v>
      </c>
      <c r="CE1492" s="2">
        <v>21.923479853533902</v>
      </c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</row>
    <row r="1493" spans="1:97">
      <c r="A1493" s="2" t="s">
        <v>13316</v>
      </c>
      <c r="B1493" s="2">
        <v>323.05347</v>
      </c>
      <c r="C1493" s="2">
        <v>7.4029999999999996</v>
      </c>
      <c r="D1493" s="2" t="s">
        <v>146</v>
      </c>
      <c r="E1493" s="2" t="s">
        <v>13317</v>
      </c>
      <c r="F1493" s="2" t="s">
        <v>13318</v>
      </c>
      <c r="G1493" s="2">
        <v>29838</v>
      </c>
      <c r="H1493" s="3" t="str">
        <f>HYPERLINK("https://cloud.oebiotech.com/#/lm/network/29838", "https://cloud.oebiotech.com/#/lm/network/29838")</f>
        <v>https://cloud.oebiotech.com/#/lm/network/29838</v>
      </c>
      <c r="I1493" s="2"/>
      <c r="J1493" s="2">
        <v>48195</v>
      </c>
      <c r="K1493" s="2" t="s">
        <v>13319</v>
      </c>
      <c r="L1493" s="2">
        <v>44257477</v>
      </c>
      <c r="M1493" s="2"/>
      <c r="N1493" s="2"/>
      <c r="O1493" s="2"/>
      <c r="P1493" s="2"/>
      <c r="Q1493" s="2"/>
      <c r="R1493" s="2"/>
      <c r="S1493" s="2"/>
      <c r="T1493" s="2" t="s">
        <v>13320</v>
      </c>
      <c r="U1493" s="2" t="s">
        <v>13321</v>
      </c>
      <c r="V1493" s="2" t="s">
        <v>845</v>
      </c>
      <c r="W1493" s="2" t="s">
        <v>3853</v>
      </c>
      <c r="X1493" s="2" t="s">
        <v>13322</v>
      </c>
      <c r="Y1493" s="2" t="s">
        <v>847</v>
      </c>
      <c r="Z1493" s="2" t="s">
        <v>3855</v>
      </c>
      <c r="AA1493" s="2" t="s">
        <v>13323</v>
      </c>
      <c r="AB1493" s="2" t="s">
        <v>3086</v>
      </c>
      <c r="AC1493" s="2">
        <v>44.17</v>
      </c>
      <c r="AD1493" s="2">
        <v>88.16</v>
      </c>
      <c r="AE1493" s="2">
        <v>0</v>
      </c>
      <c r="AF1493" s="2" t="s">
        <v>5614</v>
      </c>
      <c r="AG1493" s="2" t="s">
        <v>194</v>
      </c>
      <c r="AH1493" s="2" t="s">
        <v>13324</v>
      </c>
      <c r="AI1493" s="2">
        <v>8.0500000000000007</v>
      </c>
      <c r="AJ1493" s="2">
        <v>16.459467160446799</v>
      </c>
      <c r="AK1493" s="2">
        <v>16.1884686933826</v>
      </c>
      <c r="AL1493" s="2">
        <v>16.2132667719513</v>
      </c>
      <c r="AM1493" s="2">
        <v>16.399338013295399</v>
      </c>
      <c r="AN1493" s="2">
        <v>16.561250349627201</v>
      </c>
      <c r="AO1493" s="2">
        <v>16.294005914659301</v>
      </c>
      <c r="AP1493" s="2">
        <v>16.453815754228501</v>
      </c>
      <c r="AQ1493" s="2">
        <v>16.1844350848801</v>
      </c>
      <c r="AR1493" s="2">
        <v>15.4013762108604</v>
      </c>
      <c r="AS1493" s="2">
        <v>14.3134818272889</v>
      </c>
      <c r="AT1493" s="2">
        <v>16.785110528327699</v>
      </c>
      <c r="AU1493" s="2">
        <v>16.560605851551401</v>
      </c>
      <c r="AV1493" s="2">
        <v>15.0127790302433</v>
      </c>
      <c r="AW1493" s="2">
        <v>17.144782896111401</v>
      </c>
      <c r="AX1493" s="2">
        <v>13.955565457273</v>
      </c>
      <c r="AY1493" s="2">
        <v>14.7754106927687</v>
      </c>
      <c r="AZ1493" s="2">
        <v>14.4987295585816</v>
      </c>
      <c r="BA1493" s="2">
        <v>17.274836930994098</v>
      </c>
      <c r="BB1493" s="2">
        <v>16.2015375715999</v>
      </c>
      <c r="BC1493" s="2">
        <v>16.902366045792601</v>
      </c>
      <c r="BD1493" s="2">
        <v>16.934728647564899</v>
      </c>
      <c r="BE1493" s="2">
        <v>15.230862937982399</v>
      </c>
      <c r="BF1493" s="2">
        <v>14.8790988240175</v>
      </c>
      <c r="BG1493" s="2">
        <v>15.286002855495401</v>
      </c>
      <c r="BH1493" s="2">
        <v>15.8882402438926</v>
      </c>
      <c r="BI1493" s="2">
        <v>15.530276778925501</v>
      </c>
      <c r="BJ1493" s="2">
        <v>18.862648828323699</v>
      </c>
      <c r="BK1493" s="2">
        <v>17.306677726697099</v>
      </c>
      <c r="BL1493" s="2">
        <v>16.420733642016501</v>
      </c>
      <c r="BM1493" s="2">
        <v>15.7785838528953</v>
      </c>
      <c r="BN1493" s="2">
        <v>17.4256761807403</v>
      </c>
      <c r="BO1493" s="2">
        <v>16.905978995901599</v>
      </c>
      <c r="BP1493" s="2">
        <v>9.6233145402724691</v>
      </c>
      <c r="BQ1493" s="2">
        <v>16.130662256610201</v>
      </c>
      <c r="BR1493" s="2">
        <v>15.112460277139901</v>
      </c>
      <c r="BS1493" s="2">
        <v>15.8249343839086</v>
      </c>
      <c r="BT1493" s="2">
        <v>18.558964431728199</v>
      </c>
      <c r="BU1493" s="2">
        <v>17.0522306226101</v>
      </c>
      <c r="BV1493" s="2">
        <v>15.905046365042001</v>
      </c>
      <c r="BW1493" s="2">
        <v>14.0744743282375</v>
      </c>
      <c r="BX1493" s="2">
        <v>16.851891142416299</v>
      </c>
      <c r="BY1493" s="2">
        <v>15.5802205796425</v>
      </c>
      <c r="BZ1493" s="2">
        <v>9.6233145402724691</v>
      </c>
      <c r="CA1493" s="2">
        <v>15.5749207573162</v>
      </c>
      <c r="CB1493" s="2">
        <v>9.6233145402724691</v>
      </c>
      <c r="CC1493" s="2">
        <v>16.594721442119098</v>
      </c>
      <c r="CD1493" s="2">
        <v>16.651644841675701</v>
      </c>
      <c r="CE1493" s="2">
        <v>17.344434188463499</v>
      </c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</row>
    <row r="1494" spans="1:97">
      <c r="A1494" s="2" t="s">
        <v>13325</v>
      </c>
      <c r="B1494" s="2">
        <v>216.98</v>
      </c>
      <c r="C1494" s="2">
        <v>3.5259999999999998</v>
      </c>
      <c r="D1494" s="2" t="s">
        <v>146</v>
      </c>
      <c r="E1494" s="2" t="s">
        <v>13326</v>
      </c>
      <c r="F1494" s="2" t="s">
        <v>13327</v>
      </c>
      <c r="G1494" s="2">
        <v>81986</v>
      </c>
      <c r="H1494" s="3" t="str">
        <f>HYPERLINK("https://cloud.oebiotech.com/#/lm/network/81986", "https://cloud.oebiotech.com/#/lm/network/81986")</f>
        <v>https://cloud.oebiotech.com/#/lm/network/81986</v>
      </c>
      <c r="I1494" s="2" t="s">
        <v>13328</v>
      </c>
      <c r="J1494" s="2"/>
      <c r="K1494" s="2"/>
      <c r="L1494" s="2">
        <v>21126437</v>
      </c>
      <c r="M1494" s="2"/>
      <c r="N1494" s="2"/>
      <c r="O1494" s="2"/>
      <c r="P1494" s="2">
        <v>88717</v>
      </c>
      <c r="Q1494" s="2"/>
      <c r="R1494" s="2"/>
      <c r="S1494" s="2"/>
      <c r="T1494" s="2" t="s">
        <v>13329</v>
      </c>
      <c r="U1494" s="2" t="s">
        <v>13330</v>
      </c>
      <c r="V1494" s="2" t="s">
        <v>115</v>
      </c>
      <c r="W1494" s="2" t="s">
        <v>613</v>
      </c>
      <c r="X1494" s="2" t="s">
        <v>614</v>
      </c>
      <c r="Y1494" s="2" t="s">
        <v>118</v>
      </c>
      <c r="Z1494" s="2" t="s">
        <v>615</v>
      </c>
      <c r="AA1494" s="2" t="s">
        <v>616</v>
      </c>
      <c r="AB1494" s="2" t="s">
        <v>5118</v>
      </c>
      <c r="AC1494" s="2">
        <v>44.17</v>
      </c>
      <c r="AD1494" s="2">
        <v>92.36</v>
      </c>
      <c r="AE1494" s="2">
        <v>64.599999999999994</v>
      </c>
      <c r="AF1494" s="2" t="s">
        <v>13331</v>
      </c>
      <c r="AG1494" s="2" t="s">
        <v>194</v>
      </c>
      <c r="AH1494" s="2" t="s">
        <v>13332</v>
      </c>
      <c r="AI1494" s="2">
        <v>5.53</v>
      </c>
      <c r="AJ1494" s="2">
        <v>18.195495679050001</v>
      </c>
      <c r="AK1494" s="2">
        <v>18.289441945265601</v>
      </c>
      <c r="AL1494" s="2">
        <v>17.870967703373701</v>
      </c>
      <c r="AM1494" s="2">
        <v>18.188843315379799</v>
      </c>
      <c r="AN1494" s="2">
        <v>18.202763013193302</v>
      </c>
      <c r="AO1494" s="2">
        <v>18.030171760536099</v>
      </c>
      <c r="AP1494" s="2">
        <v>18.2024764556778</v>
      </c>
      <c r="AQ1494" s="2">
        <v>17.713692257734401</v>
      </c>
      <c r="AR1494" s="2">
        <v>18.425911221287901</v>
      </c>
      <c r="AS1494" s="2">
        <v>16.972032145533898</v>
      </c>
      <c r="AT1494" s="2">
        <v>17.5932970118843</v>
      </c>
      <c r="AU1494" s="2">
        <v>16.811630699990499</v>
      </c>
      <c r="AV1494" s="2">
        <v>18.146073798021799</v>
      </c>
      <c r="AW1494" s="2">
        <v>18.033177770721</v>
      </c>
      <c r="AX1494" s="2">
        <v>18.2709333005063</v>
      </c>
      <c r="AY1494" s="2">
        <v>17.2943952204269</v>
      </c>
      <c r="AZ1494" s="2">
        <v>17.7313848657442</v>
      </c>
      <c r="BA1494" s="2">
        <v>16.877578553050199</v>
      </c>
      <c r="BB1494" s="2">
        <v>17.061580881279699</v>
      </c>
      <c r="BC1494" s="2">
        <v>17.842487050659301</v>
      </c>
      <c r="BD1494" s="2">
        <v>18.034521457342901</v>
      </c>
      <c r="BE1494" s="2">
        <v>17.544382052859</v>
      </c>
      <c r="BF1494" s="2">
        <v>17.578534708286</v>
      </c>
      <c r="BG1494" s="2">
        <v>19.494842052132</v>
      </c>
      <c r="BH1494" s="2">
        <v>17.535601850901202</v>
      </c>
      <c r="BI1494" s="2">
        <v>19.238129911206499</v>
      </c>
      <c r="BJ1494" s="2">
        <v>18.3155983882979</v>
      </c>
      <c r="BK1494" s="2">
        <v>17.928574411380001</v>
      </c>
      <c r="BL1494" s="2">
        <v>18.0870467467218</v>
      </c>
      <c r="BM1494" s="2">
        <v>17.630272102771201</v>
      </c>
      <c r="BN1494" s="2">
        <v>17.6423419745011</v>
      </c>
      <c r="BO1494" s="2">
        <v>16.987294327005401</v>
      </c>
      <c r="BP1494" s="2">
        <v>17.859481463237099</v>
      </c>
      <c r="BQ1494" s="2">
        <v>16.9326031300068</v>
      </c>
      <c r="BR1494" s="2">
        <v>18.254918529872501</v>
      </c>
      <c r="BS1494" s="2">
        <v>17.6098661664217</v>
      </c>
      <c r="BT1494" s="2">
        <v>16.9472919738953</v>
      </c>
      <c r="BU1494" s="2">
        <v>17.572388333118699</v>
      </c>
      <c r="BV1494" s="2">
        <v>17.4456595937042</v>
      </c>
      <c r="BW1494" s="2">
        <v>16.501297628007698</v>
      </c>
      <c r="BX1494" s="2">
        <v>17.8292431401103</v>
      </c>
      <c r="BY1494" s="2">
        <v>16.394890194466701</v>
      </c>
      <c r="BZ1494" s="2">
        <v>17.127199487651101</v>
      </c>
      <c r="CA1494" s="2">
        <v>19.1425276905982</v>
      </c>
      <c r="CB1494" s="2">
        <v>17.456531612485701</v>
      </c>
      <c r="CC1494" s="2">
        <v>18.759114504532501</v>
      </c>
      <c r="CD1494" s="2">
        <v>18.560055733720599</v>
      </c>
      <c r="CE1494" s="2">
        <v>17.982679521348501</v>
      </c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</row>
    <row r="1495" spans="1:97">
      <c r="A1495" s="2" t="s">
        <v>13333</v>
      </c>
      <c r="B1495" s="2">
        <v>276.15992</v>
      </c>
      <c r="C1495" s="2">
        <v>11.552</v>
      </c>
      <c r="D1495" s="2" t="s">
        <v>146</v>
      </c>
      <c r="E1495" s="2" t="s">
        <v>13334</v>
      </c>
      <c r="F1495" s="2" t="s">
        <v>13335</v>
      </c>
      <c r="G1495" s="2">
        <v>451630</v>
      </c>
      <c r="H1495" s="3" t="str">
        <f>HYPERLINK("https://cloud.oebiotech.com/#/lm/network/451630", "https://cloud.oebiotech.com/#/lm/network/451630")</f>
        <v>https://cloud.oebiotech.com/#/lm/network/451630</v>
      </c>
      <c r="I1495" s="2"/>
      <c r="J1495" s="2">
        <v>833691</v>
      </c>
      <c r="K1495" s="2"/>
      <c r="L1495" s="2">
        <v>53971904</v>
      </c>
      <c r="M1495" s="2"/>
      <c r="N1495" s="2"/>
      <c r="O1495" s="2"/>
      <c r="P1495" s="2"/>
      <c r="Q1495" s="2"/>
      <c r="R1495" s="2"/>
      <c r="S1495" s="2"/>
      <c r="T1495" s="2" t="s">
        <v>13336</v>
      </c>
      <c r="U1495" s="2" t="s">
        <v>13337</v>
      </c>
      <c r="V1495" s="2" t="s">
        <v>553</v>
      </c>
      <c r="W1495" s="2" t="s">
        <v>3192</v>
      </c>
      <c r="X1495" s="2" t="s">
        <v>13338</v>
      </c>
      <c r="Y1495" s="2" t="s">
        <v>556</v>
      </c>
      <c r="Z1495" s="2" t="s">
        <v>3194</v>
      </c>
      <c r="AA1495" s="2" t="s">
        <v>13339</v>
      </c>
      <c r="AB1495" s="2" t="s">
        <v>8443</v>
      </c>
      <c r="AC1495" s="2">
        <v>44.16</v>
      </c>
      <c r="AD1495" s="2">
        <v>90.17</v>
      </c>
      <c r="AE1495" s="2">
        <v>36.479999999999997</v>
      </c>
      <c r="AF1495" s="2" t="s">
        <v>13340</v>
      </c>
      <c r="AG1495" s="2" t="s">
        <v>194</v>
      </c>
      <c r="AH1495" s="2" t="s">
        <v>13341</v>
      </c>
      <c r="AI1495" s="2">
        <v>2.17</v>
      </c>
      <c r="AJ1495" s="2">
        <v>19.2454011564548</v>
      </c>
      <c r="AK1495" s="2">
        <v>19.535281167835201</v>
      </c>
      <c r="AL1495" s="2">
        <v>19.395377591511799</v>
      </c>
      <c r="AM1495" s="2">
        <v>19.9039458322613</v>
      </c>
      <c r="AN1495" s="2">
        <v>20.019148627330502</v>
      </c>
      <c r="AO1495" s="2">
        <v>20.271011305682901</v>
      </c>
      <c r="AP1495" s="2">
        <v>19.4121748096426</v>
      </c>
      <c r="AQ1495" s="2">
        <v>20.322994796379</v>
      </c>
      <c r="AR1495" s="2">
        <v>19.490135527873299</v>
      </c>
      <c r="AS1495" s="2">
        <v>19.152317798376199</v>
      </c>
      <c r="AT1495" s="2">
        <v>19.091736501784201</v>
      </c>
      <c r="AU1495" s="2">
        <v>19.747662045809601</v>
      </c>
      <c r="AV1495" s="2">
        <v>19.716817837305999</v>
      </c>
      <c r="AW1495" s="2">
        <v>19.2305391066086</v>
      </c>
      <c r="AX1495" s="2">
        <v>19.118393912308498</v>
      </c>
      <c r="AY1495" s="2">
        <v>19.241055455869301</v>
      </c>
      <c r="AZ1495" s="2">
        <v>19.9276974337014</v>
      </c>
      <c r="BA1495" s="2">
        <v>19.4373900041826</v>
      </c>
      <c r="BB1495" s="2">
        <v>19.788462194502799</v>
      </c>
      <c r="BC1495" s="2">
        <v>19.545252083832999</v>
      </c>
      <c r="BD1495" s="2">
        <v>19.4718790314679</v>
      </c>
      <c r="BE1495" s="2">
        <v>19.472115075657499</v>
      </c>
      <c r="BF1495" s="2">
        <v>19.814893137452799</v>
      </c>
      <c r="BG1495" s="2">
        <v>18.5911810700877</v>
      </c>
      <c r="BH1495" s="2">
        <v>19.002886254385899</v>
      </c>
      <c r="BI1495" s="2">
        <v>19.918607141532199</v>
      </c>
      <c r="BJ1495" s="2">
        <v>19.859799613668699</v>
      </c>
      <c r="BK1495" s="2">
        <v>19.209614592678999</v>
      </c>
      <c r="BL1495" s="2">
        <v>19.429895609139201</v>
      </c>
      <c r="BM1495" s="2">
        <v>19.7376956064995</v>
      </c>
      <c r="BN1495" s="2">
        <v>19.455017212917401</v>
      </c>
      <c r="BO1495" s="2">
        <v>19.778151695650202</v>
      </c>
      <c r="BP1495" s="2">
        <v>19.3614573063068</v>
      </c>
      <c r="BQ1495" s="2">
        <v>18.810790920422999</v>
      </c>
      <c r="BR1495" s="2">
        <v>20.042508307746498</v>
      </c>
      <c r="BS1495" s="2">
        <v>19.9489062706071</v>
      </c>
      <c r="BT1495" s="2">
        <v>20.038481031086999</v>
      </c>
      <c r="BU1495" s="2">
        <v>18.8472861756394</v>
      </c>
      <c r="BV1495" s="2">
        <v>19.963831916409401</v>
      </c>
      <c r="BW1495" s="2">
        <v>19.340040558966699</v>
      </c>
      <c r="BX1495" s="2">
        <v>19.7499139513043</v>
      </c>
      <c r="BY1495" s="2">
        <v>20.370234184305399</v>
      </c>
      <c r="BZ1495" s="2">
        <v>18.999013528055301</v>
      </c>
      <c r="CA1495" s="2">
        <v>19.2766290602937</v>
      </c>
      <c r="CB1495" s="2">
        <v>19.6037165975265</v>
      </c>
      <c r="CC1495" s="2">
        <v>19.603577123826</v>
      </c>
      <c r="CD1495" s="2">
        <v>19.922198356629998</v>
      </c>
      <c r="CE1495" s="2">
        <v>20.024117436421701</v>
      </c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</row>
    <row r="1496" spans="1:97">
      <c r="A1496" s="2" t="s">
        <v>13342</v>
      </c>
      <c r="B1496" s="2">
        <v>140.00172000000001</v>
      </c>
      <c r="C1496" s="2">
        <v>0.58299999999999996</v>
      </c>
      <c r="D1496" s="2" t="s">
        <v>84</v>
      </c>
      <c r="E1496" s="2" t="s">
        <v>13343</v>
      </c>
      <c r="F1496" s="2" t="s">
        <v>13344</v>
      </c>
      <c r="G1496" s="2">
        <v>200750</v>
      </c>
      <c r="H1496" s="3" t="str">
        <f>HYPERLINK("https://cloud.oebiotech.com/#/lm/network/200750", "https://cloud.oebiotech.com/#/lm/network/200750")</f>
        <v>https://cloud.oebiotech.com/#/lm/network/200750</v>
      </c>
      <c r="I1496" s="2" t="s">
        <v>13345</v>
      </c>
      <c r="J1496" s="2"/>
      <c r="K1496" s="2"/>
      <c r="L1496" s="2">
        <v>11083961</v>
      </c>
      <c r="M1496" s="2"/>
      <c r="N1496" s="2"/>
      <c r="O1496" s="2"/>
      <c r="P1496" s="2"/>
      <c r="Q1496" s="2"/>
      <c r="R1496" s="2"/>
      <c r="S1496" s="2"/>
      <c r="T1496" s="2" t="s">
        <v>13346</v>
      </c>
      <c r="U1496" s="2" t="s">
        <v>13347</v>
      </c>
      <c r="V1496" s="2" t="s">
        <v>115</v>
      </c>
      <c r="W1496" s="2" t="s">
        <v>2162</v>
      </c>
      <c r="X1496" s="2" t="s">
        <v>2163</v>
      </c>
      <c r="Y1496" s="2" t="s">
        <v>118</v>
      </c>
      <c r="Z1496" s="2" t="s">
        <v>2164</v>
      </c>
      <c r="AA1496" s="2" t="s">
        <v>2164</v>
      </c>
      <c r="AB1496" s="2" t="s">
        <v>8443</v>
      </c>
      <c r="AC1496" s="2">
        <v>44.16</v>
      </c>
      <c r="AD1496" s="2">
        <v>95.22</v>
      </c>
      <c r="AE1496" s="2">
        <v>0</v>
      </c>
      <c r="AF1496" s="2" t="s">
        <v>5614</v>
      </c>
      <c r="AG1496" s="2" t="s">
        <v>103</v>
      </c>
      <c r="AH1496" s="2" t="s">
        <v>13348</v>
      </c>
      <c r="AI1496" s="2">
        <v>-3.57</v>
      </c>
      <c r="AJ1496" s="2">
        <v>21.529036323163499</v>
      </c>
      <c r="AK1496" s="2">
        <v>21.592098047099999</v>
      </c>
      <c r="AL1496" s="2">
        <v>21.3901463950167</v>
      </c>
      <c r="AM1496" s="2">
        <v>21.637620268774501</v>
      </c>
      <c r="AN1496" s="2">
        <v>21.793553144275101</v>
      </c>
      <c r="AO1496" s="2">
        <v>21.542031393964201</v>
      </c>
      <c r="AP1496" s="2">
        <v>21.4801880323161</v>
      </c>
      <c r="AQ1496" s="2">
        <v>21.431751037907901</v>
      </c>
      <c r="AR1496" s="2">
        <v>21.194131581706198</v>
      </c>
      <c r="AS1496" s="2">
        <v>20.9986582004674</v>
      </c>
      <c r="AT1496" s="2">
        <v>21.084077192633998</v>
      </c>
      <c r="AU1496" s="2">
        <v>21.1026367068513</v>
      </c>
      <c r="AV1496" s="2">
        <v>21.537212702424998</v>
      </c>
      <c r="AW1496" s="2">
        <v>21.235162834741299</v>
      </c>
      <c r="AX1496" s="2">
        <v>21.354812883828899</v>
      </c>
      <c r="AY1496" s="2">
        <v>21.2787049173863</v>
      </c>
      <c r="AZ1496" s="2">
        <v>21.0717745414542</v>
      </c>
      <c r="BA1496" s="2">
        <v>21.723182878497099</v>
      </c>
      <c r="BB1496" s="2">
        <v>21.773548646169701</v>
      </c>
      <c r="BC1496" s="2">
        <v>21.601852494896399</v>
      </c>
      <c r="BD1496" s="2">
        <v>21.6320720664935</v>
      </c>
      <c r="BE1496" s="2">
        <v>21.533250810896899</v>
      </c>
      <c r="BF1496" s="2">
        <v>21.887664925050199</v>
      </c>
      <c r="BG1496" s="2">
        <v>21.372589446505099</v>
      </c>
      <c r="BH1496" s="2">
        <v>21.596983057947899</v>
      </c>
      <c r="BI1496" s="2">
        <v>21.2507856086531</v>
      </c>
      <c r="BJ1496" s="2">
        <v>21.541473541291801</v>
      </c>
      <c r="BK1496" s="2">
        <v>21.176594954406799</v>
      </c>
      <c r="BL1496" s="2">
        <v>21.403859663352499</v>
      </c>
      <c r="BM1496" s="2">
        <v>21.520918202301001</v>
      </c>
      <c r="BN1496" s="2">
        <v>21.6989304601436</v>
      </c>
      <c r="BO1496" s="2">
        <v>21.324500784432299</v>
      </c>
      <c r="BP1496" s="2">
        <v>21.187866924023499</v>
      </c>
      <c r="BQ1496" s="2">
        <v>21.4905935982367</v>
      </c>
      <c r="BR1496" s="2">
        <v>21.166409113260599</v>
      </c>
      <c r="BS1496" s="2">
        <v>21.458503374241801</v>
      </c>
      <c r="BT1496" s="2">
        <v>21.690294445774001</v>
      </c>
      <c r="BU1496" s="2">
        <v>21.310471293028701</v>
      </c>
      <c r="BV1496" s="2">
        <v>21.554397572042099</v>
      </c>
      <c r="BW1496" s="2">
        <v>21.572519049368498</v>
      </c>
      <c r="BX1496" s="2">
        <v>21.133901905269099</v>
      </c>
      <c r="BY1496" s="2">
        <v>21.3205849430013</v>
      </c>
      <c r="BZ1496" s="2">
        <v>21.626796335114999</v>
      </c>
      <c r="CA1496" s="2">
        <v>21.237402072994399</v>
      </c>
      <c r="CB1496" s="2">
        <v>21.5338921154407</v>
      </c>
      <c r="CC1496" s="2">
        <v>21.396846982971098</v>
      </c>
      <c r="CD1496" s="2">
        <v>21.694797009763601</v>
      </c>
      <c r="CE1496" s="2">
        <v>21.538631013512699</v>
      </c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</row>
    <row r="1497" spans="1:97">
      <c r="A1497" s="2" t="s">
        <v>13349</v>
      </c>
      <c r="B1497" s="2">
        <v>241.22692000000001</v>
      </c>
      <c r="C1497" s="2">
        <v>10.436999999999999</v>
      </c>
      <c r="D1497" s="2" t="s">
        <v>84</v>
      </c>
      <c r="E1497" s="2" t="s">
        <v>13350</v>
      </c>
      <c r="F1497" s="2" t="s">
        <v>13351</v>
      </c>
      <c r="G1497" s="2">
        <v>8738</v>
      </c>
      <c r="H1497" s="3" t="str">
        <f>HYPERLINK("https://cloud.oebiotech.com/#/lm/network/8738", "https://cloud.oebiotech.com/#/lm/network/8738")</f>
        <v>https://cloud.oebiotech.com/#/lm/network/8738</v>
      </c>
      <c r="I1497" s="2" t="s">
        <v>13352</v>
      </c>
      <c r="J1497" s="2">
        <v>87312</v>
      </c>
      <c r="K1497" s="2" t="s">
        <v>13353</v>
      </c>
      <c r="L1497" s="2">
        <v>11368078</v>
      </c>
      <c r="M1497" s="2"/>
      <c r="N1497" s="2"/>
      <c r="O1497" s="2"/>
      <c r="P1497" s="2"/>
      <c r="Q1497" s="2"/>
      <c r="R1497" s="2"/>
      <c r="S1497" s="2" t="s">
        <v>13354</v>
      </c>
      <c r="T1497" s="2" t="s">
        <v>13355</v>
      </c>
      <c r="U1497" s="2" t="s">
        <v>13356</v>
      </c>
      <c r="V1497" s="2" t="s">
        <v>95</v>
      </c>
      <c r="W1497" s="2" t="s">
        <v>96</v>
      </c>
      <c r="X1497" s="2" t="s">
        <v>315</v>
      </c>
      <c r="Y1497" s="2" t="s">
        <v>98</v>
      </c>
      <c r="Z1497" s="2" t="s">
        <v>99</v>
      </c>
      <c r="AA1497" s="2" t="s">
        <v>316</v>
      </c>
      <c r="AB1497" s="2" t="s">
        <v>8443</v>
      </c>
      <c r="AC1497" s="2">
        <v>44.15</v>
      </c>
      <c r="AD1497" s="2">
        <v>91</v>
      </c>
      <c r="AE1497" s="2">
        <v>0</v>
      </c>
      <c r="AF1497" s="2" t="s">
        <v>13357</v>
      </c>
      <c r="AG1497" s="2" t="s">
        <v>132</v>
      </c>
      <c r="AH1497" s="2" t="s">
        <v>13358</v>
      </c>
      <c r="AI1497" s="2">
        <v>2.0699999999999998</v>
      </c>
      <c r="AJ1497" s="2">
        <v>21.335749166024101</v>
      </c>
      <c r="AK1497" s="2">
        <v>20.815675425491101</v>
      </c>
      <c r="AL1497" s="2">
        <v>21.333277295350701</v>
      </c>
      <c r="AM1497" s="2">
        <v>21.2388654097957</v>
      </c>
      <c r="AN1497" s="2">
        <v>21.107589953196001</v>
      </c>
      <c r="AO1497" s="2">
        <v>21.1763962819361</v>
      </c>
      <c r="AP1497" s="2">
        <v>21.232961318952199</v>
      </c>
      <c r="AQ1497" s="2">
        <v>21.213365800483899</v>
      </c>
      <c r="AR1497" s="2">
        <v>21.071298780264001</v>
      </c>
      <c r="AS1497" s="2">
        <v>21.1201996547438</v>
      </c>
      <c r="AT1497" s="2">
        <v>21.359940759942202</v>
      </c>
      <c r="AU1497" s="2">
        <v>20.525018006818598</v>
      </c>
      <c r="AV1497" s="2">
        <v>21.219143912097401</v>
      </c>
      <c r="AW1497" s="2">
        <v>20.5260066194896</v>
      </c>
      <c r="AX1497" s="2">
        <v>20.755076245744299</v>
      </c>
      <c r="AY1497" s="2">
        <v>21.1403642655002</v>
      </c>
      <c r="AZ1497" s="2">
        <v>21.2390532565211</v>
      </c>
      <c r="BA1497" s="2">
        <v>19.979447413485801</v>
      </c>
      <c r="BB1497" s="2">
        <v>21.254995918438802</v>
      </c>
      <c r="BC1497" s="2">
        <v>20.043034548332098</v>
      </c>
      <c r="BD1497" s="2">
        <v>20.874351436958399</v>
      </c>
      <c r="BE1497" s="2">
        <v>21.199467347544001</v>
      </c>
      <c r="BF1497" s="2">
        <v>21.360366521861501</v>
      </c>
      <c r="BG1497" s="2">
        <v>20.8752366342671</v>
      </c>
      <c r="BH1497" s="2">
        <v>21.263588410352298</v>
      </c>
      <c r="BI1497" s="2">
        <v>21.149279992104599</v>
      </c>
      <c r="BJ1497" s="2">
        <v>21.114633853799202</v>
      </c>
      <c r="BK1497" s="2">
        <v>21.128146582980602</v>
      </c>
      <c r="BL1497" s="2">
        <v>20.553075261689099</v>
      </c>
      <c r="BM1497" s="2">
        <v>19.9950076864944</v>
      </c>
      <c r="BN1497" s="2">
        <v>21.225945239882499</v>
      </c>
      <c r="BO1497" s="2">
        <v>20.0923585348514</v>
      </c>
      <c r="BP1497" s="2">
        <v>19.840635783918898</v>
      </c>
      <c r="BQ1497" s="2">
        <v>21.145210774662001</v>
      </c>
      <c r="BR1497" s="2">
        <v>20.5814152824891</v>
      </c>
      <c r="BS1497" s="2">
        <v>20.8901351187858</v>
      </c>
      <c r="BT1497" s="2">
        <v>20.5017154815243</v>
      </c>
      <c r="BU1497" s="2">
        <v>21.065748751552601</v>
      </c>
      <c r="BV1497" s="2">
        <v>20.703741483798002</v>
      </c>
      <c r="BW1497" s="2">
        <v>21.137417830067399</v>
      </c>
      <c r="BX1497" s="2">
        <v>20.912928364945301</v>
      </c>
      <c r="BY1497" s="2">
        <v>20.640876861409101</v>
      </c>
      <c r="BZ1497" s="2">
        <v>21.116850860223099</v>
      </c>
      <c r="CA1497" s="2">
        <v>21.018273270351202</v>
      </c>
      <c r="CB1497" s="2">
        <v>21.177411246488699</v>
      </c>
      <c r="CC1497" s="2">
        <v>21.273884704258101</v>
      </c>
      <c r="CD1497" s="2">
        <v>21.215212529435401</v>
      </c>
      <c r="CE1497" s="2">
        <v>21.284472780002101</v>
      </c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</row>
    <row r="1498" spans="1:97">
      <c r="A1498" s="2" t="s">
        <v>13359</v>
      </c>
      <c r="B1498" s="2">
        <v>421.18624</v>
      </c>
      <c r="C1498" s="2">
        <v>6.2359999999999998</v>
      </c>
      <c r="D1498" s="2" t="s">
        <v>146</v>
      </c>
      <c r="E1498" s="2" t="s">
        <v>13360</v>
      </c>
      <c r="F1498" s="2"/>
      <c r="G1498" s="2">
        <v>595565</v>
      </c>
      <c r="H1498" s="3" t="str">
        <f>HYPERLINK("https://cloud.oebiotech.com/#/lm/network/595565", "https://cloud.oebiotech.com/#/lm/network/595565")</f>
        <v>https://cloud.oebiotech.com/#/lm/network/595565</v>
      </c>
      <c r="I1498" s="2"/>
      <c r="J1498" s="2"/>
      <c r="K1498" s="2"/>
      <c r="L1498" s="2">
        <v>13313064</v>
      </c>
      <c r="M1498" s="2"/>
      <c r="N1498" s="2"/>
      <c r="O1498" s="2"/>
      <c r="P1498" s="2"/>
      <c r="Q1498" s="2"/>
      <c r="R1498" s="2"/>
      <c r="S1498" s="2"/>
      <c r="T1498" s="2" t="s">
        <v>13361</v>
      </c>
      <c r="U1498" s="2" t="s">
        <v>13362</v>
      </c>
      <c r="V1498" s="2" t="s">
        <v>95</v>
      </c>
      <c r="W1498" s="2" t="s">
        <v>152</v>
      </c>
      <c r="X1498" s="2" t="s">
        <v>4609</v>
      </c>
      <c r="Y1498" s="2" t="s">
        <v>98</v>
      </c>
      <c r="Z1498" s="2" t="s">
        <v>154</v>
      </c>
      <c r="AA1498" s="2" t="s">
        <v>4610</v>
      </c>
      <c r="AB1498" s="2" t="s">
        <v>8443</v>
      </c>
      <c r="AC1498" s="2">
        <v>44.14</v>
      </c>
      <c r="AD1498" s="2">
        <v>85.5</v>
      </c>
      <c r="AE1498" s="2">
        <v>0</v>
      </c>
      <c r="AF1498" s="2" t="s">
        <v>13363</v>
      </c>
      <c r="AG1498" s="2" t="s">
        <v>157</v>
      </c>
      <c r="AH1498" s="2" t="s">
        <v>13250</v>
      </c>
      <c r="AI1498" s="2">
        <v>1.42</v>
      </c>
      <c r="AJ1498" s="2">
        <v>16.559922240673998</v>
      </c>
      <c r="AK1498" s="2">
        <v>16.748981607783499</v>
      </c>
      <c r="AL1498" s="2">
        <v>16.465524635938699</v>
      </c>
      <c r="AM1498" s="2">
        <v>16.207167834840099</v>
      </c>
      <c r="AN1498" s="2">
        <v>16.280499659477201</v>
      </c>
      <c r="AO1498" s="2">
        <v>16.218339784292102</v>
      </c>
      <c r="AP1498" s="2">
        <v>16.5722231074134</v>
      </c>
      <c r="AQ1498" s="2">
        <v>16.144313498532</v>
      </c>
      <c r="AR1498" s="2">
        <v>9.6233145402724691</v>
      </c>
      <c r="AS1498" s="2">
        <v>9.6233145402724691</v>
      </c>
      <c r="AT1498" s="2">
        <v>9.6233145402724691</v>
      </c>
      <c r="AU1498" s="2">
        <v>17.482303467159099</v>
      </c>
      <c r="AV1498" s="2">
        <v>15.1420663612379</v>
      </c>
      <c r="AW1498" s="2">
        <v>17.271251908150798</v>
      </c>
      <c r="AX1498" s="2">
        <v>9.6233145402724691</v>
      </c>
      <c r="AY1498" s="2">
        <v>17.254949245974299</v>
      </c>
      <c r="AZ1498" s="2">
        <v>12.3764998551878</v>
      </c>
      <c r="BA1498" s="2">
        <v>13.8522193239362</v>
      </c>
      <c r="BB1498" s="2">
        <v>15.504313757331699</v>
      </c>
      <c r="BC1498" s="2">
        <v>17.501709311059599</v>
      </c>
      <c r="BD1498" s="2">
        <v>18.045814576073901</v>
      </c>
      <c r="BE1498" s="2">
        <v>12.867854003913999</v>
      </c>
      <c r="BF1498" s="2">
        <v>18.729081683308902</v>
      </c>
      <c r="BG1498" s="2">
        <v>15.816668199166299</v>
      </c>
      <c r="BH1498" s="2">
        <v>17.173243599080301</v>
      </c>
      <c r="BI1498" s="2">
        <v>15.757731681768</v>
      </c>
      <c r="BJ1498" s="2">
        <v>17.343805620422899</v>
      </c>
      <c r="BK1498" s="2">
        <v>17.069997534252199</v>
      </c>
      <c r="BL1498" s="2">
        <v>9.6233145402724691</v>
      </c>
      <c r="BM1498" s="2">
        <v>18.4231842490478</v>
      </c>
      <c r="BN1498" s="2">
        <v>17.435379869804901</v>
      </c>
      <c r="BO1498" s="2">
        <v>11.6457935098903</v>
      </c>
      <c r="BP1498" s="2">
        <v>12.025496038361601</v>
      </c>
      <c r="BQ1498" s="2">
        <v>17.467038383557</v>
      </c>
      <c r="BR1498" s="2">
        <v>9.6233145402724691</v>
      </c>
      <c r="BS1498" s="2">
        <v>9.6233145402724691</v>
      </c>
      <c r="BT1498" s="2">
        <v>17.555222784164201</v>
      </c>
      <c r="BU1498" s="2">
        <v>9.6233145402724691</v>
      </c>
      <c r="BV1498" s="2">
        <v>9.6233145402724691</v>
      </c>
      <c r="BW1498" s="2">
        <v>12.0424015242258</v>
      </c>
      <c r="BX1498" s="2">
        <v>9.6233145402724691</v>
      </c>
      <c r="BY1498" s="2">
        <v>11.938476938666399</v>
      </c>
      <c r="BZ1498" s="2">
        <v>16.014833849828499</v>
      </c>
      <c r="CA1498" s="2">
        <v>17.7224745631239</v>
      </c>
      <c r="CB1498" s="2">
        <v>9.6233145402724691</v>
      </c>
      <c r="CC1498" s="2">
        <v>9.6233145402724691</v>
      </c>
      <c r="CD1498" s="2">
        <v>17.4544598751243</v>
      </c>
      <c r="CE1498" s="2">
        <v>9.6233145402724691</v>
      </c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</row>
    <row r="1499" spans="1:97">
      <c r="A1499" s="2" t="s">
        <v>13364</v>
      </c>
      <c r="B1499" s="2">
        <v>397.36786999999998</v>
      </c>
      <c r="C1499" s="2">
        <v>14.734999999999999</v>
      </c>
      <c r="D1499" s="2" t="s">
        <v>146</v>
      </c>
      <c r="E1499" s="2" t="s">
        <v>13365</v>
      </c>
      <c r="F1499" s="2" t="s">
        <v>13366</v>
      </c>
      <c r="G1499" s="2">
        <v>1350</v>
      </c>
      <c r="H1499" s="3" t="str">
        <f>HYPERLINK("https://cloud.oebiotech.com/#/lm/network/1350", "https://cloud.oebiotech.com/#/lm/network/1350")</f>
        <v>https://cloud.oebiotech.com/#/lm/network/1350</v>
      </c>
      <c r="I1499" s="2" t="s">
        <v>13367</v>
      </c>
      <c r="J1499" s="2">
        <v>95360</v>
      </c>
      <c r="K1499" s="2" t="s">
        <v>13368</v>
      </c>
      <c r="L1499" s="2">
        <v>23427392</v>
      </c>
      <c r="M1499" s="2"/>
      <c r="N1499" s="2"/>
      <c r="O1499" s="2"/>
      <c r="P1499" s="2"/>
      <c r="Q1499" s="2"/>
      <c r="R1499" s="2"/>
      <c r="S1499" s="2" t="s">
        <v>13369</v>
      </c>
      <c r="T1499" s="2" t="s">
        <v>13370</v>
      </c>
      <c r="U1499" s="2" t="s">
        <v>13371</v>
      </c>
      <c r="V1499" s="2" t="s">
        <v>95</v>
      </c>
      <c r="W1499" s="2" t="s">
        <v>96</v>
      </c>
      <c r="X1499" s="2" t="s">
        <v>141</v>
      </c>
      <c r="Y1499" s="2" t="s">
        <v>98</v>
      </c>
      <c r="Z1499" s="2" t="s">
        <v>99</v>
      </c>
      <c r="AA1499" s="2" t="s">
        <v>142</v>
      </c>
      <c r="AB1499" s="2" t="s">
        <v>8443</v>
      </c>
      <c r="AC1499" s="2">
        <v>44.13</v>
      </c>
      <c r="AD1499" s="2">
        <v>83.61</v>
      </c>
      <c r="AE1499" s="2">
        <v>0</v>
      </c>
      <c r="AF1499" s="2" t="s">
        <v>13372</v>
      </c>
      <c r="AG1499" s="2" t="s">
        <v>194</v>
      </c>
      <c r="AH1499" s="2" t="s">
        <v>13373</v>
      </c>
      <c r="AI1499" s="2">
        <v>2.0099999999999998</v>
      </c>
      <c r="AJ1499" s="2">
        <v>18.4721582807754</v>
      </c>
      <c r="AK1499" s="2">
        <v>18.315919840246</v>
      </c>
      <c r="AL1499" s="2">
        <v>18.4287986384441</v>
      </c>
      <c r="AM1499" s="2">
        <v>18.189466166227799</v>
      </c>
      <c r="AN1499" s="2">
        <v>18.268203783320899</v>
      </c>
      <c r="AO1499" s="2">
        <v>18.3649597373288</v>
      </c>
      <c r="AP1499" s="2">
        <v>18.044788819120502</v>
      </c>
      <c r="AQ1499" s="2">
        <v>18.379208191181899</v>
      </c>
      <c r="AR1499" s="2">
        <v>18.575684817795601</v>
      </c>
      <c r="AS1499" s="2">
        <v>19.271504655431698</v>
      </c>
      <c r="AT1499" s="2">
        <v>17.9146852146838</v>
      </c>
      <c r="AU1499" s="2">
        <v>16.3634929686615</v>
      </c>
      <c r="AV1499" s="2">
        <v>17.742107687858901</v>
      </c>
      <c r="AW1499" s="2">
        <v>17.9698535340058</v>
      </c>
      <c r="AX1499" s="2">
        <v>17.224426914792499</v>
      </c>
      <c r="AY1499" s="2">
        <v>19.082560209901999</v>
      </c>
      <c r="AZ1499" s="2">
        <v>18.288706684895399</v>
      </c>
      <c r="BA1499" s="2">
        <v>18.2268531360012</v>
      </c>
      <c r="BB1499" s="2">
        <v>17.6550480064688</v>
      </c>
      <c r="BC1499" s="2">
        <v>18.5282342817362</v>
      </c>
      <c r="BD1499" s="2">
        <v>18.6222036417327</v>
      </c>
      <c r="BE1499" s="2">
        <v>19.943010420969198</v>
      </c>
      <c r="BF1499" s="2">
        <v>15.1719699523721</v>
      </c>
      <c r="BG1499" s="2">
        <v>18.406791155613199</v>
      </c>
      <c r="BH1499" s="2">
        <v>19.268879589889199</v>
      </c>
      <c r="BI1499" s="2">
        <v>17.115378897144598</v>
      </c>
      <c r="BJ1499" s="2">
        <v>19.058282906348101</v>
      </c>
      <c r="BK1499" s="2">
        <v>17.837043136384001</v>
      </c>
      <c r="BL1499" s="2">
        <v>18.060578467315601</v>
      </c>
      <c r="BM1499" s="2">
        <v>18.592448277354201</v>
      </c>
      <c r="BN1499" s="2">
        <v>16.9125884705809</v>
      </c>
      <c r="BO1499" s="2">
        <v>17.234796291888301</v>
      </c>
      <c r="BP1499" s="2">
        <v>17.882981141393401</v>
      </c>
      <c r="BQ1499" s="2">
        <v>17.708310117194301</v>
      </c>
      <c r="BR1499" s="2">
        <v>16.469032511118499</v>
      </c>
      <c r="BS1499" s="2">
        <v>19.1919570039191</v>
      </c>
      <c r="BT1499" s="2">
        <v>17.051949920725502</v>
      </c>
      <c r="BU1499" s="2">
        <v>17.851479925978399</v>
      </c>
      <c r="BV1499" s="2">
        <v>17.5509371785088</v>
      </c>
      <c r="BW1499" s="2">
        <v>17.6292049082566</v>
      </c>
      <c r="BX1499" s="2">
        <v>18.119688194780402</v>
      </c>
      <c r="BY1499" s="2">
        <v>20.211618146447101</v>
      </c>
      <c r="BZ1499" s="2">
        <v>16.469494602437699</v>
      </c>
      <c r="CA1499" s="2">
        <v>18.528640372574401</v>
      </c>
      <c r="CB1499" s="2">
        <v>19.111916636685901</v>
      </c>
      <c r="CC1499" s="2">
        <v>17.102845505405298</v>
      </c>
      <c r="CD1499" s="2">
        <v>19.467956275256402</v>
      </c>
      <c r="CE1499" s="2">
        <v>18.205008308976399</v>
      </c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</row>
    <row r="1500" spans="1:97">
      <c r="A1500" s="2" t="s">
        <v>13374</v>
      </c>
      <c r="B1500" s="2">
        <v>323.07422000000003</v>
      </c>
      <c r="C1500" s="2">
        <v>4.9509999999999996</v>
      </c>
      <c r="D1500" s="2" t="s">
        <v>146</v>
      </c>
      <c r="E1500" s="2" t="s">
        <v>13375</v>
      </c>
      <c r="F1500" s="2" t="s">
        <v>13376</v>
      </c>
      <c r="G1500" s="2">
        <v>595780</v>
      </c>
      <c r="H1500" s="3" t="str">
        <f>HYPERLINK("https://cloud.oebiotech.com/#/lm/network/595780", "https://cloud.oebiotech.com/#/lm/network/595780")</f>
        <v>https://cloud.oebiotech.com/#/lm/network/595780</v>
      </c>
      <c r="I1500" s="2"/>
      <c r="J1500" s="2"/>
      <c r="K1500" s="2"/>
      <c r="L1500" s="2">
        <v>131831701</v>
      </c>
      <c r="M1500" s="2"/>
      <c r="N1500" s="2"/>
      <c r="O1500" s="2"/>
      <c r="P1500" s="2"/>
      <c r="Q1500" s="2"/>
      <c r="R1500" s="2"/>
      <c r="S1500" s="2"/>
      <c r="T1500" s="2" t="s">
        <v>13377</v>
      </c>
      <c r="U1500" s="2" t="s">
        <v>13378</v>
      </c>
      <c r="V1500" s="2" t="s">
        <v>845</v>
      </c>
      <c r="W1500" s="2" t="s">
        <v>970</v>
      </c>
      <c r="X1500" s="2" t="s">
        <v>9566</v>
      </c>
      <c r="Y1500" s="2" t="s">
        <v>847</v>
      </c>
      <c r="Z1500" s="2" t="s">
        <v>972</v>
      </c>
      <c r="AA1500" s="2" t="s">
        <v>9567</v>
      </c>
      <c r="AB1500" s="2" t="s">
        <v>5118</v>
      </c>
      <c r="AC1500" s="2">
        <v>44.12</v>
      </c>
      <c r="AD1500" s="2">
        <v>97.51</v>
      </c>
      <c r="AE1500" s="2">
        <v>86.06</v>
      </c>
      <c r="AF1500" s="2" t="s">
        <v>13379</v>
      </c>
      <c r="AG1500" s="2" t="s">
        <v>194</v>
      </c>
      <c r="AH1500" s="2" t="s">
        <v>13380</v>
      </c>
      <c r="AI1500" s="2">
        <v>9.2899999999999991</v>
      </c>
      <c r="AJ1500" s="2">
        <v>22.314580956982802</v>
      </c>
      <c r="AK1500" s="2">
        <v>22.326661462158999</v>
      </c>
      <c r="AL1500" s="2">
        <v>22.3184193093559</v>
      </c>
      <c r="AM1500" s="2">
        <v>22.4352586027114</v>
      </c>
      <c r="AN1500" s="2">
        <v>22.470660884619999</v>
      </c>
      <c r="AO1500" s="2">
        <v>22.4779310935903</v>
      </c>
      <c r="AP1500" s="2">
        <v>22.119675313040499</v>
      </c>
      <c r="AQ1500" s="2">
        <v>22.4102732815515</v>
      </c>
      <c r="AR1500" s="2">
        <v>21.324069634119201</v>
      </c>
      <c r="AS1500" s="2">
        <v>20.890199636250699</v>
      </c>
      <c r="AT1500" s="2">
        <v>21.440636713782901</v>
      </c>
      <c r="AU1500" s="2">
        <v>22.878284744213801</v>
      </c>
      <c r="AV1500" s="2">
        <v>21.700352574810601</v>
      </c>
      <c r="AW1500" s="2">
        <v>21.842555453132501</v>
      </c>
      <c r="AX1500" s="2">
        <v>20.9013106627539</v>
      </c>
      <c r="AY1500" s="2">
        <v>20.676964178256799</v>
      </c>
      <c r="AZ1500" s="2">
        <v>21.387477272369299</v>
      </c>
      <c r="BA1500" s="2">
        <v>23.1468258576575</v>
      </c>
      <c r="BB1500" s="2">
        <v>23.296245654844299</v>
      </c>
      <c r="BC1500" s="2">
        <v>22.891476115225299</v>
      </c>
      <c r="BD1500" s="2">
        <v>22.9336459838457</v>
      </c>
      <c r="BE1500" s="2">
        <v>21.720574965214201</v>
      </c>
      <c r="BF1500" s="2">
        <v>22.082874088875599</v>
      </c>
      <c r="BG1500" s="2">
        <v>22.176036218043699</v>
      </c>
      <c r="BH1500" s="2">
        <v>23.049136340067701</v>
      </c>
      <c r="BI1500" s="2">
        <v>20.936767859376499</v>
      </c>
      <c r="BJ1500" s="2">
        <v>23.377340708378501</v>
      </c>
      <c r="BK1500" s="2">
        <v>23.5883472651754</v>
      </c>
      <c r="BL1500" s="2">
        <v>22.415477042328</v>
      </c>
      <c r="BM1500" s="2">
        <v>22.232124071107801</v>
      </c>
      <c r="BN1500" s="2">
        <v>22.628963651735098</v>
      </c>
      <c r="BO1500" s="2">
        <v>22.962480674802901</v>
      </c>
      <c r="BP1500" s="2">
        <v>21.0812307339413</v>
      </c>
      <c r="BQ1500" s="2">
        <v>21.376696445859</v>
      </c>
      <c r="BR1500" s="2">
        <v>20.9677271623823</v>
      </c>
      <c r="BS1500" s="2">
        <v>21.3126221002621</v>
      </c>
      <c r="BT1500" s="2">
        <v>23.8806255755104</v>
      </c>
      <c r="BU1500" s="2">
        <v>23.1678811296593</v>
      </c>
      <c r="BV1500" s="2">
        <v>22.7420590293967</v>
      </c>
      <c r="BW1500" s="2">
        <v>22.018349166831701</v>
      </c>
      <c r="BX1500" s="2">
        <v>22.860297032346299</v>
      </c>
      <c r="BY1500" s="2">
        <v>21.986709420247699</v>
      </c>
      <c r="BZ1500" s="2">
        <v>21.408095073909902</v>
      </c>
      <c r="CA1500" s="2">
        <v>21.8329357209983</v>
      </c>
      <c r="CB1500" s="2">
        <v>22.049445898624899</v>
      </c>
      <c r="CC1500" s="2">
        <v>21.230012769537801</v>
      </c>
      <c r="CD1500" s="2">
        <v>22.985424458877301</v>
      </c>
      <c r="CE1500" s="2">
        <v>23.427919691856101</v>
      </c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</row>
    <row r="1501" spans="1:97">
      <c r="A1501" s="2" t="s">
        <v>13381</v>
      </c>
      <c r="B1501" s="2">
        <v>247.07156000000001</v>
      </c>
      <c r="C1501" s="2">
        <v>5.0140000000000002</v>
      </c>
      <c r="D1501" s="2" t="s">
        <v>146</v>
      </c>
      <c r="E1501" s="2" t="s">
        <v>13382</v>
      </c>
      <c r="F1501" s="2" t="s">
        <v>13383</v>
      </c>
      <c r="G1501" s="2">
        <v>82427</v>
      </c>
      <c r="H1501" s="3" t="str">
        <f>HYPERLINK("https://cloud.oebiotech.com/#/lm/network/82427", "https://cloud.oebiotech.com/#/lm/network/82427")</f>
        <v>https://cloud.oebiotech.com/#/lm/network/82427</v>
      </c>
      <c r="I1501" s="2" t="s">
        <v>13384</v>
      </c>
      <c r="J1501" s="2">
        <v>1821</v>
      </c>
      <c r="K1501" s="2"/>
      <c r="L1501" s="2">
        <v>9785</v>
      </c>
      <c r="M1501" s="2"/>
      <c r="N1501" s="2"/>
      <c r="O1501" s="2"/>
      <c r="P1501" s="2"/>
      <c r="Q1501" s="2"/>
      <c r="R1501" s="2"/>
      <c r="S1501" s="2" t="s">
        <v>13385</v>
      </c>
      <c r="T1501" s="2" t="s">
        <v>13386</v>
      </c>
      <c r="U1501" s="2" t="s">
        <v>13387</v>
      </c>
      <c r="V1501" s="2" t="s">
        <v>553</v>
      </c>
      <c r="W1501" s="2" t="s">
        <v>6104</v>
      </c>
      <c r="X1501" s="2" t="s">
        <v>6105</v>
      </c>
      <c r="Y1501" s="2" t="s">
        <v>556</v>
      </c>
      <c r="Z1501" s="2" t="s">
        <v>6106</v>
      </c>
      <c r="AA1501" s="2" t="s">
        <v>6107</v>
      </c>
      <c r="AB1501" s="2" t="s">
        <v>8443</v>
      </c>
      <c r="AC1501" s="2">
        <v>44.11</v>
      </c>
      <c r="AD1501" s="2">
        <v>92.31</v>
      </c>
      <c r="AE1501" s="2">
        <v>0</v>
      </c>
      <c r="AF1501" s="2" t="s">
        <v>5614</v>
      </c>
      <c r="AG1501" s="2" t="s">
        <v>194</v>
      </c>
      <c r="AH1501" s="2" t="s">
        <v>12778</v>
      </c>
      <c r="AI1501" s="2">
        <v>3.24</v>
      </c>
      <c r="AJ1501" s="2">
        <v>18.324886309501501</v>
      </c>
      <c r="AK1501" s="2">
        <v>18.269291214382498</v>
      </c>
      <c r="AL1501" s="2">
        <v>18.197354502536999</v>
      </c>
      <c r="AM1501" s="2">
        <v>18.0230603289857</v>
      </c>
      <c r="AN1501" s="2">
        <v>18.170060306460702</v>
      </c>
      <c r="AO1501" s="2">
        <v>18.063609689387199</v>
      </c>
      <c r="AP1501" s="2">
        <v>17.9566898634788</v>
      </c>
      <c r="AQ1501" s="2">
        <v>18.206201707666199</v>
      </c>
      <c r="AR1501" s="2">
        <v>17.404022817883501</v>
      </c>
      <c r="AS1501" s="2">
        <v>16.039608373131301</v>
      </c>
      <c r="AT1501" s="2">
        <v>17.7705962779056</v>
      </c>
      <c r="AU1501" s="2">
        <v>16.660484547130199</v>
      </c>
      <c r="AV1501" s="2">
        <v>17.414671611390698</v>
      </c>
      <c r="AW1501" s="2">
        <v>18.790173406103101</v>
      </c>
      <c r="AX1501" s="2">
        <v>17.456513885706102</v>
      </c>
      <c r="AY1501" s="2">
        <v>18.548323917269698</v>
      </c>
      <c r="AZ1501" s="2">
        <v>17.974701883470299</v>
      </c>
      <c r="BA1501" s="2">
        <v>18.6130407916365</v>
      </c>
      <c r="BB1501" s="2">
        <v>17.773281859020202</v>
      </c>
      <c r="BC1501" s="2">
        <v>18.6446879299417</v>
      </c>
      <c r="BD1501" s="2">
        <v>16.8259238512316</v>
      </c>
      <c r="BE1501" s="2">
        <v>18.5580042295311</v>
      </c>
      <c r="BF1501" s="2">
        <v>18.554884199524398</v>
      </c>
      <c r="BG1501" s="2">
        <v>17.519536207244499</v>
      </c>
      <c r="BH1501" s="2">
        <v>16.689578862002399</v>
      </c>
      <c r="BI1501" s="2">
        <v>16.5196611287992</v>
      </c>
      <c r="BJ1501" s="2">
        <v>17.644913238727199</v>
      </c>
      <c r="BK1501" s="2">
        <v>18.028183373886598</v>
      </c>
      <c r="BL1501" s="2">
        <v>17.667818339944599</v>
      </c>
      <c r="BM1501" s="2">
        <v>16.7251458796229</v>
      </c>
      <c r="BN1501" s="2">
        <v>17.689785565988601</v>
      </c>
      <c r="BO1501" s="2">
        <v>17.678695379465101</v>
      </c>
      <c r="BP1501" s="2">
        <v>17.550058410563299</v>
      </c>
      <c r="BQ1501" s="2">
        <v>17.561824022545899</v>
      </c>
      <c r="BR1501" s="2">
        <v>17.641356218312101</v>
      </c>
      <c r="BS1501" s="2">
        <v>18.3018061603501</v>
      </c>
      <c r="BT1501" s="2">
        <v>16.7005270932653</v>
      </c>
      <c r="BU1501" s="2">
        <v>19.321845144582301</v>
      </c>
      <c r="BV1501" s="2">
        <v>17.557139220275602</v>
      </c>
      <c r="BW1501" s="2">
        <v>18.5586205962158</v>
      </c>
      <c r="BX1501" s="2">
        <v>17.714814057186899</v>
      </c>
      <c r="BY1501" s="2">
        <v>18.723980377799901</v>
      </c>
      <c r="BZ1501" s="2">
        <v>18.913123741100001</v>
      </c>
      <c r="CA1501" s="2">
        <v>16.521485117653999</v>
      </c>
      <c r="CB1501" s="2">
        <v>17.604631914388499</v>
      </c>
      <c r="CC1501" s="2">
        <v>17.4653839360932</v>
      </c>
      <c r="CD1501" s="2">
        <v>18.219940220556602</v>
      </c>
      <c r="CE1501" s="2">
        <v>19.033996442293201</v>
      </c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</row>
    <row r="1502" spans="1:97">
      <c r="A1502" s="2" t="s">
        <v>13388</v>
      </c>
      <c r="B1502" s="2">
        <v>399.34706999999997</v>
      </c>
      <c r="C1502" s="2">
        <v>13.698</v>
      </c>
      <c r="D1502" s="2" t="s">
        <v>146</v>
      </c>
      <c r="E1502" s="2" t="s">
        <v>13389</v>
      </c>
      <c r="F1502" s="2" t="s">
        <v>13390</v>
      </c>
      <c r="G1502" s="2">
        <v>93688</v>
      </c>
      <c r="H1502" s="3" t="str">
        <f>HYPERLINK("https://cloud.oebiotech.com/#/lm/network/93688", "https://cloud.oebiotech.com/#/lm/network/93688")</f>
        <v>https://cloud.oebiotech.com/#/lm/network/93688</v>
      </c>
      <c r="I1502" s="2" t="s">
        <v>13391</v>
      </c>
      <c r="J1502" s="2"/>
      <c r="K1502" s="2"/>
      <c r="L1502" s="2">
        <v>131779648</v>
      </c>
      <c r="M1502" s="2"/>
      <c r="N1502" s="2"/>
      <c r="O1502" s="2"/>
      <c r="P1502" s="2"/>
      <c r="Q1502" s="2"/>
      <c r="R1502" s="2"/>
      <c r="S1502" s="2"/>
      <c r="T1502" s="2" t="s">
        <v>13392</v>
      </c>
      <c r="U1502" s="2" t="s">
        <v>13393</v>
      </c>
      <c r="V1502" s="2" t="s">
        <v>95</v>
      </c>
      <c r="W1502" s="2" t="s">
        <v>7762</v>
      </c>
      <c r="X1502" s="2" t="s">
        <v>375</v>
      </c>
      <c r="Y1502" s="2" t="s">
        <v>98</v>
      </c>
      <c r="Z1502" s="2" t="s">
        <v>7763</v>
      </c>
      <c r="AA1502" s="2"/>
      <c r="AB1502" s="2" t="s">
        <v>8443</v>
      </c>
      <c r="AC1502" s="2">
        <v>44.11</v>
      </c>
      <c r="AD1502" s="2">
        <v>83.65</v>
      </c>
      <c r="AE1502" s="2">
        <v>0</v>
      </c>
      <c r="AF1502" s="2" t="s">
        <v>13394</v>
      </c>
      <c r="AG1502" s="2" t="s">
        <v>194</v>
      </c>
      <c r="AH1502" s="2" t="s">
        <v>13395</v>
      </c>
      <c r="AI1502" s="2">
        <v>2.25</v>
      </c>
      <c r="AJ1502" s="2">
        <v>17.871077774737302</v>
      </c>
      <c r="AK1502" s="2">
        <v>17.701719742468899</v>
      </c>
      <c r="AL1502" s="2">
        <v>17.7048795274527</v>
      </c>
      <c r="AM1502" s="2">
        <v>17.417398800062799</v>
      </c>
      <c r="AN1502" s="2">
        <v>17.743998052965399</v>
      </c>
      <c r="AO1502" s="2">
        <v>16.7400198526819</v>
      </c>
      <c r="AP1502" s="2">
        <v>17.545397254829499</v>
      </c>
      <c r="AQ1502" s="2">
        <v>17.705061297545001</v>
      </c>
      <c r="AR1502" s="2">
        <v>14.437882085845199</v>
      </c>
      <c r="AS1502" s="2">
        <v>16.770910067367101</v>
      </c>
      <c r="AT1502" s="2">
        <v>17.577353366053899</v>
      </c>
      <c r="AU1502" s="2">
        <v>16.569582111021301</v>
      </c>
      <c r="AV1502" s="2">
        <v>16.345245831752202</v>
      </c>
      <c r="AW1502" s="2">
        <v>17.0271986832648</v>
      </c>
      <c r="AX1502" s="2">
        <v>17.287168200564</v>
      </c>
      <c r="AY1502" s="2">
        <v>17.404458055926401</v>
      </c>
      <c r="AZ1502" s="2">
        <v>16.309317537800101</v>
      </c>
      <c r="BA1502" s="2">
        <v>17.354332642416502</v>
      </c>
      <c r="BB1502" s="2">
        <v>17.942313467943201</v>
      </c>
      <c r="BC1502" s="2">
        <v>18.498625014294099</v>
      </c>
      <c r="BD1502" s="2">
        <v>15.8641769536359</v>
      </c>
      <c r="BE1502" s="2">
        <v>17.791365524330701</v>
      </c>
      <c r="BF1502" s="2">
        <v>16.7808603706141</v>
      </c>
      <c r="BG1502" s="2">
        <v>17.402960994927199</v>
      </c>
      <c r="BH1502" s="2">
        <v>16.104155828322899</v>
      </c>
      <c r="BI1502" s="2">
        <v>16.7235113668902</v>
      </c>
      <c r="BJ1502" s="2">
        <v>17.6956325108827</v>
      </c>
      <c r="BK1502" s="2">
        <v>14.9118436956501</v>
      </c>
      <c r="BL1502" s="2">
        <v>16.221880289941598</v>
      </c>
      <c r="BM1502" s="2">
        <v>17.3834970791575</v>
      </c>
      <c r="BN1502" s="2">
        <v>16.5216562572021</v>
      </c>
      <c r="BO1502" s="2">
        <v>17.632669094630799</v>
      </c>
      <c r="BP1502" s="2">
        <v>16.6677453823322</v>
      </c>
      <c r="BQ1502" s="2">
        <v>17.095870659030499</v>
      </c>
      <c r="BR1502" s="2">
        <v>17.577844572688999</v>
      </c>
      <c r="BS1502" s="2">
        <v>17.384635372554602</v>
      </c>
      <c r="BT1502" s="2">
        <v>16.881458027463101</v>
      </c>
      <c r="BU1502" s="2">
        <v>17.6226873926847</v>
      </c>
      <c r="BV1502" s="2">
        <v>18.382382459622502</v>
      </c>
      <c r="BW1502" s="2">
        <v>16.068499937935101</v>
      </c>
      <c r="BX1502" s="2">
        <v>17.268302487633399</v>
      </c>
      <c r="BY1502" s="2">
        <v>18.312260343271799</v>
      </c>
      <c r="BZ1502" s="2">
        <v>16.696528838969801</v>
      </c>
      <c r="CA1502" s="2">
        <v>16.428959262732601</v>
      </c>
      <c r="CB1502" s="2">
        <v>17.192880042143202</v>
      </c>
      <c r="CC1502" s="2">
        <v>16.1596792037294</v>
      </c>
      <c r="CD1502" s="2">
        <v>17.972294949012898</v>
      </c>
      <c r="CE1502" s="2">
        <v>16.0426533138731</v>
      </c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</row>
    <row r="1503" spans="1:97">
      <c r="A1503" s="2" t="s">
        <v>13396</v>
      </c>
      <c r="B1503" s="2">
        <v>1002.65957</v>
      </c>
      <c r="C1503" s="2">
        <v>10.663</v>
      </c>
      <c r="D1503" s="2" t="s">
        <v>84</v>
      </c>
      <c r="E1503" s="2" t="s">
        <v>13397</v>
      </c>
      <c r="F1503" s="2" t="s">
        <v>13398</v>
      </c>
      <c r="G1503" s="2">
        <v>237682</v>
      </c>
      <c r="H1503" s="3" t="str">
        <f>HYPERLINK("https://cloud.oebiotech.com/#/lm/network/237682", "https://cloud.oebiotech.com/#/lm/network/237682")</f>
        <v>https://cloud.oebiotech.com/#/lm/network/237682</v>
      </c>
      <c r="I1503" s="2" t="s">
        <v>13399</v>
      </c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 t="s">
        <v>13400</v>
      </c>
      <c r="U1503" s="2" t="s">
        <v>13401</v>
      </c>
      <c r="V1503" s="2" t="s">
        <v>95</v>
      </c>
      <c r="W1503" s="2" t="s">
        <v>96</v>
      </c>
      <c r="X1503" s="2" t="s">
        <v>3216</v>
      </c>
      <c r="Y1503" s="2" t="s">
        <v>98</v>
      </c>
      <c r="Z1503" s="2" t="s">
        <v>99</v>
      </c>
      <c r="AA1503" s="2" t="s">
        <v>3217</v>
      </c>
      <c r="AB1503" s="2" t="s">
        <v>8443</v>
      </c>
      <c r="AC1503" s="2">
        <v>44.09</v>
      </c>
      <c r="AD1503" s="2">
        <v>54.96</v>
      </c>
      <c r="AE1503" s="2">
        <v>35.22</v>
      </c>
      <c r="AF1503" s="2" t="s">
        <v>13402</v>
      </c>
      <c r="AG1503" s="2" t="s">
        <v>132</v>
      </c>
      <c r="AH1503" s="2" t="s">
        <v>13403</v>
      </c>
      <c r="AI1503" s="2">
        <v>-1.99</v>
      </c>
      <c r="AJ1503" s="2">
        <v>20.1130495750783</v>
      </c>
      <c r="AK1503" s="2">
        <v>20.119557010297701</v>
      </c>
      <c r="AL1503" s="2">
        <v>20.2571105863145</v>
      </c>
      <c r="AM1503" s="2">
        <v>20.6517050173372</v>
      </c>
      <c r="AN1503" s="2">
        <v>20.378409530740001</v>
      </c>
      <c r="AO1503" s="2">
        <v>20.942265860648298</v>
      </c>
      <c r="AP1503" s="2">
        <v>20.583950089587901</v>
      </c>
      <c r="AQ1503" s="2">
        <v>20.6998493910245</v>
      </c>
      <c r="AR1503" s="2">
        <v>20.5159100389244</v>
      </c>
      <c r="AS1503" s="2">
        <v>19.733160308377698</v>
      </c>
      <c r="AT1503" s="2">
        <v>19.9436399404144</v>
      </c>
      <c r="AU1503" s="2">
        <v>19.717513823580902</v>
      </c>
      <c r="AV1503" s="2">
        <v>19.414210452231799</v>
      </c>
      <c r="AW1503" s="2">
        <v>20.561763725647999</v>
      </c>
      <c r="AX1503" s="2">
        <v>20.068605896105801</v>
      </c>
      <c r="AY1503" s="2">
        <v>19.613518703577899</v>
      </c>
      <c r="AZ1503" s="2">
        <v>20.4872934195105</v>
      </c>
      <c r="BA1503" s="2">
        <v>18.370167559184502</v>
      </c>
      <c r="BB1503" s="2">
        <v>20.386806274324101</v>
      </c>
      <c r="BC1503" s="2">
        <v>20.9299266924194</v>
      </c>
      <c r="BD1503" s="2">
        <v>19.3599396717944</v>
      </c>
      <c r="BE1503" s="2">
        <v>20.7801101106656</v>
      </c>
      <c r="BF1503" s="2">
        <v>20.202930033899001</v>
      </c>
      <c r="BG1503" s="2">
        <v>20.668359768629902</v>
      </c>
      <c r="BH1503" s="2">
        <v>19.810726415175001</v>
      </c>
      <c r="BI1503" s="2">
        <v>20.210679155033599</v>
      </c>
      <c r="BJ1503" s="2">
        <v>20.581342336801999</v>
      </c>
      <c r="BK1503" s="2">
        <v>20.343294105259599</v>
      </c>
      <c r="BL1503" s="2">
        <v>20.455899570384499</v>
      </c>
      <c r="BM1503" s="2">
        <v>20.257884514665498</v>
      </c>
      <c r="BN1503" s="2">
        <v>19.954713229129801</v>
      </c>
      <c r="BO1503" s="2">
        <v>20.716649280462502</v>
      </c>
      <c r="BP1503" s="2">
        <v>20.337132913168499</v>
      </c>
      <c r="BQ1503" s="2">
        <v>20.126294389614401</v>
      </c>
      <c r="BR1503" s="2">
        <v>21.051704633445699</v>
      </c>
      <c r="BS1503" s="2">
        <v>20.779724892888002</v>
      </c>
      <c r="BT1503" s="2">
        <v>20.205054035295699</v>
      </c>
      <c r="BU1503" s="2">
        <v>20.444525221821699</v>
      </c>
      <c r="BV1503" s="2">
        <v>20.603475099565099</v>
      </c>
      <c r="BW1503" s="2">
        <v>19.722364640784299</v>
      </c>
      <c r="BX1503" s="2">
        <v>20.391584251041099</v>
      </c>
      <c r="BY1503" s="2">
        <v>21.713344835262401</v>
      </c>
      <c r="BZ1503" s="2">
        <v>20.008393577418101</v>
      </c>
      <c r="CA1503" s="2">
        <v>21.079968703062399</v>
      </c>
      <c r="CB1503" s="2">
        <v>19.111652354554401</v>
      </c>
      <c r="CC1503" s="2">
        <v>20.207643197596202</v>
      </c>
      <c r="CD1503" s="2">
        <v>20.414645962045299</v>
      </c>
      <c r="CE1503" s="2">
        <v>18.699572080522302</v>
      </c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</row>
    <row r="1504" spans="1:97">
      <c r="A1504" s="2" t="s">
        <v>13404</v>
      </c>
      <c r="B1504" s="2">
        <v>449.01283999999998</v>
      </c>
      <c r="C1504" s="2">
        <v>0.66200000000000003</v>
      </c>
      <c r="D1504" s="2" t="s">
        <v>84</v>
      </c>
      <c r="E1504" s="2" t="s">
        <v>13405</v>
      </c>
      <c r="F1504" s="2" t="s">
        <v>13406</v>
      </c>
      <c r="G1504" s="2">
        <v>33059</v>
      </c>
      <c r="H1504" s="3" t="str">
        <f>HYPERLINK("https://cloud.oebiotech.com/#/lm/network/33059", "https://cloud.oebiotech.com/#/lm/network/33059")</f>
        <v>https://cloud.oebiotech.com/#/lm/network/33059</v>
      </c>
      <c r="I1504" s="2"/>
      <c r="J1504" s="2">
        <v>51386</v>
      </c>
      <c r="K1504" s="2" t="s">
        <v>13407</v>
      </c>
      <c r="L1504" s="2">
        <v>5323515</v>
      </c>
      <c r="M1504" s="2"/>
      <c r="N1504" s="2"/>
      <c r="O1504" s="2"/>
      <c r="P1504" s="2"/>
      <c r="Q1504" s="2"/>
      <c r="R1504" s="2"/>
      <c r="S1504" s="2"/>
      <c r="T1504" s="2" t="s">
        <v>13408</v>
      </c>
      <c r="U1504" s="2" t="s">
        <v>13409</v>
      </c>
      <c r="V1504" s="2" t="s">
        <v>845</v>
      </c>
      <c r="W1504" s="2" t="s">
        <v>1853</v>
      </c>
      <c r="X1504" s="2" t="s">
        <v>1854</v>
      </c>
      <c r="Y1504" s="2" t="s">
        <v>847</v>
      </c>
      <c r="Z1504" s="2" t="s">
        <v>1855</v>
      </c>
      <c r="AA1504" s="2" t="s">
        <v>1856</v>
      </c>
      <c r="AB1504" s="2" t="s">
        <v>5118</v>
      </c>
      <c r="AC1504" s="2">
        <v>44.08</v>
      </c>
      <c r="AD1504" s="2">
        <v>72.08</v>
      </c>
      <c r="AE1504" s="2">
        <v>83.38</v>
      </c>
      <c r="AF1504" s="2" t="s">
        <v>13410</v>
      </c>
      <c r="AG1504" s="2" t="s">
        <v>1578</v>
      </c>
      <c r="AH1504" s="2" t="s">
        <v>13411</v>
      </c>
      <c r="AI1504" s="2">
        <v>4.68</v>
      </c>
      <c r="AJ1504" s="2">
        <v>23.558846157616401</v>
      </c>
      <c r="AK1504" s="2">
        <v>23.838233086524799</v>
      </c>
      <c r="AL1504" s="2">
        <v>24.053525259621601</v>
      </c>
      <c r="AM1504" s="2">
        <v>23.756208629865402</v>
      </c>
      <c r="AN1504" s="2">
        <v>23.633653093872802</v>
      </c>
      <c r="AO1504" s="2">
        <v>23.736535021572902</v>
      </c>
      <c r="AP1504" s="2">
        <v>23.377868056915698</v>
      </c>
      <c r="AQ1504" s="2">
        <v>23.140787767324699</v>
      </c>
      <c r="AR1504" s="2">
        <v>23.1209745942386</v>
      </c>
      <c r="AS1504" s="2">
        <v>21.3143678302335</v>
      </c>
      <c r="AT1504" s="2">
        <v>22.656376978830501</v>
      </c>
      <c r="AU1504" s="2">
        <v>23.103423354091799</v>
      </c>
      <c r="AV1504" s="2">
        <v>22.888570085735001</v>
      </c>
      <c r="AW1504" s="2">
        <v>23.120318055113199</v>
      </c>
      <c r="AX1504" s="2">
        <v>23.0437275048758</v>
      </c>
      <c r="AY1504" s="2">
        <v>23.366228727368298</v>
      </c>
      <c r="AZ1504" s="2">
        <v>22.553640214350001</v>
      </c>
      <c r="BA1504" s="2">
        <v>22.485664305836998</v>
      </c>
      <c r="BB1504" s="2">
        <v>23.413137833263701</v>
      </c>
      <c r="BC1504" s="2">
        <v>24.432722983101002</v>
      </c>
      <c r="BD1504" s="2">
        <v>23.902733338400999</v>
      </c>
      <c r="BE1504" s="2">
        <v>23.959218850355601</v>
      </c>
      <c r="BF1504" s="2">
        <v>23.816971290605199</v>
      </c>
      <c r="BG1504" s="2">
        <v>23.638158556800398</v>
      </c>
      <c r="BH1504" s="2">
        <v>22.8102634461771</v>
      </c>
      <c r="BI1504" s="2">
        <v>23.789442336386699</v>
      </c>
      <c r="BJ1504" s="2">
        <v>23.769254338806999</v>
      </c>
      <c r="BK1504" s="2">
        <v>23.426683008349599</v>
      </c>
      <c r="BL1504" s="2">
        <v>23.245479543218899</v>
      </c>
      <c r="BM1504" s="2">
        <v>24.298232120158101</v>
      </c>
      <c r="BN1504" s="2">
        <v>23.491404432223</v>
      </c>
      <c r="BO1504" s="2">
        <v>22.6645045479926</v>
      </c>
      <c r="BP1504" s="2">
        <v>23.274432910616699</v>
      </c>
      <c r="BQ1504" s="2">
        <v>23.095209858918</v>
      </c>
      <c r="BR1504" s="2">
        <v>23.4914008954614</v>
      </c>
      <c r="BS1504" s="2">
        <v>22.865500714872098</v>
      </c>
      <c r="BT1504" s="2">
        <v>23.342582790855101</v>
      </c>
      <c r="BU1504" s="2">
        <v>23.882179266688901</v>
      </c>
      <c r="BV1504" s="2">
        <v>24.0335382105044</v>
      </c>
      <c r="BW1504" s="2">
        <v>23.867322678921202</v>
      </c>
      <c r="BX1504" s="2">
        <v>23.202023456940601</v>
      </c>
      <c r="BY1504" s="2">
        <v>24.243423197161199</v>
      </c>
      <c r="BZ1504" s="2">
        <v>24.423594997935499</v>
      </c>
      <c r="CA1504" s="2">
        <v>23.338754143079701</v>
      </c>
      <c r="CB1504" s="2">
        <v>22.1853978569088</v>
      </c>
      <c r="CC1504" s="2">
        <v>23.167510759997</v>
      </c>
      <c r="CD1504" s="2">
        <v>23.234665230232199</v>
      </c>
      <c r="CE1504" s="2">
        <v>23.4321057755947</v>
      </c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</row>
    <row r="1505" spans="1:97">
      <c r="A1505" s="2" t="s">
        <v>13412</v>
      </c>
      <c r="B1505" s="2">
        <v>787.60266000000001</v>
      </c>
      <c r="C1505" s="2">
        <v>12.853999999999999</v>
      </c>
      <c r="D1505" s="2" t="s">
        <v>84</v>
      </c>
      <c r="E1505" s="2" t="s">
        <v>13413</v>
      </c>
      <c r="F1505" s="2" t="s">
        <v>13414</v>
      </c>
      <c r="G1505" s="2">
        <v>251292</v>
      </c>
      <c r="H1505" s="3" t="str">
        <f>HYPERLINK("https://cloud.oebiotech.com/#/lm/network/251292", "https://cloud.oebiotech.com/#/lm/network/251292")</f>
        <v>https://cloud.oebiotech.com/#/lm/network/251292</v>
      </c>
      <c r="I1505" s="2" t="s">
        <v>13415</v>
      </c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 t="s">
        <v>13416</v>
      </c>
      <c r="U1505" s="2" t="s">
        <v>13417</v>
      </c>
      <c r="V1505" s="2" t="s">
        <v>95</v>
      </c>
      <c r="W1505" s="2" t="s">
        <v>96</v>
      </c>
      <c r="X1505" s="2" t="s">
        <v>3216</v>
      </c>
      <c r="Y1505" s="2" t="s">
        <v>98</v>
      </c>
      <c r="Z1505" s="2" t="s">
        <v>99</v>
      </c>
      <c r="AA1505" s="2" t="s">
        <v>3217</v>
      </c>
      <c r="AB1505" s="2" t="s">
        <v>8443</v>
      </c>
      <c r="AC1505" s="2">
        <v>44.08</v>
      </c>
      <c r="AD1505" s="2">
        <v>91.72</v>
      </c>
      <c r="AE1505" s="2">
        <v>0</v>
      </c>
      <c r="AF1505" s="2" t="s">
        <v>5614</v>
      </c>
      <c r="AG1505" s="2" t="s">
        <v>1578</v>
      </c>
      <c r="AH1505" s="2" t="s">
        <v>13418</v>
      </c>
      <c r="AI1505" s="2">
        <v>3.94</v>
      </c>
      <c r="AJ1505" s="2">
        <v>26.780288085721999</v>
      </c>
      <c r="AK1505" s="2">
        <v>26.915005994253999</v>
      </c>
      <c r="AL1505" s="2">
        <v>27.004046967477699</v>
      </c>
      <c r="AM1505" s="2">
        <v>26.964964777893702</v>
      </c>
      <c r="AN1505" s="2">
        <v>26.915225591362798</v>
      </c>
      <c r="AO1505" s="2">
        <v>27.107105837452401</v>
      </c>
      <c r="AP1505" s="2">
        <v>26.342142199537701</v>
      </c>
      <c r="AQ1505" s="2">
        <v>26.359372395216901</v>
      </c>
      <c r="AR1505" s="2">
        <v>27.289912222892202</v>
      </c>
      <c r="AS1505" s="2">
        <v>27.350984142304501</v>
      </c>
      <c r="AT1505" s="2">
        <v>26.994733680717701</v>
      </c>
      <c r="AU1505" s="2">
        <v>26.116022799983099</v>
      </c>
      <c r="AV1505" s="2">
        <v>27.1153178165487</v>
      </c>
      <c r="AW1505" s="2">
        <v>27.179342124945101</v>
      </c>
      <c r="AX1505" s="2">
        <v>27.282326502699799</v>
      </c>
      <c r="AY1505" s="2">
        <v>27.417556807020599</v>
      </c>
      <c r="AZ1505" s="2">
        <v>27.218578570096401</v>
      </c>
      <c r="BA1505" s="2">
        <v>27.020613229925601</v>
      </c>
      <c r="BB1505" s="2">
        <v>27.119207281660099</v>
      </c>
      <c r="BC1505" s="2">
        <v>26.782390995092801</v>
      </c>
      <c r="BD1505" s="2">
        <v>27.147580947091502</v>
      </c>
      <c r="BE1505" s="2">
        <v>26.976560511075299</v>
      </c>
      <c r="BF1505" s="2">
        <v>27.223707552367401</v>
      </c>
      <c r="BG1505" s="2">
        <v>27.060618213326801</v>
      </c>
      <c r="BH1505" s="2">
        <v>27.380572586911299</v>
      </c>
      <c r="BI1505" s="2">
        <v>26.615377533457899</v>
      </c>
      <c r="BJ1505" s="2">
        <v>26.9543736783951</v>
      </c>
      <c r="BK1505" s="2">
        <v>27.354626440311002</v>
      </c>
      <c r="BL1505" s="2">
        <v>26.132985011926301</v>
      </c>
      <c r="BM1505" s="2">
        <v>27.5049422192332</v>
      </c>
      <c r="BN1505" s="2">
        <v>27.1895838554424</v>
      </c>
      <c r="BO1505" s="2">
        <v>27.3647648964292</v>
      </c>
      <c r="BP1505" s="2">
        <v>25.404690329621101</v>
      </c>
      <c r="BQ1505" s="2">
        <v>27.405373518977601</v>
      </c>
      <c r="BR1505" s="2">
        <v>26.3342760308031</v>
      </c>
      <c r="BS1505" s="2">
        <v>26.0692684698496</v>
      </c>
      <c r="BT1505" s="2">
        <v>26.6010828941378</v>
      </c>
      <c r="BU1505" s="2">
        <v>27.106564378078701</v>
      </c>
      <c r="BV1505" s="2">
        <v>26.308383735647801</v>
      </c>
      <c r="BW1505" s="2">
        <v>27.137603627273901</v>
      </c>
      <c r="BX1505" s="2">
        <v>27.183243082816599</v>
      </c>
      <c r="BY1505" s="2">
        <v>27.180892127245102</v>
      </c>
      <c r="BZ1505" s="2">
        <v>26.719164563923901</v>
      </c>
      <c r="CA1505" s="2">
        <v>26.902556689020098</v>
      </c>
      <c r="CB1505" s="2">
        <v>27.1744768600885</v>
      </c>
      <c r="CC1505" s="2">
        <v>27.038553903582699</v>
      </c>
      <c r="CD1505" s="2">
        <v>27.136144593199901</v>
      </c>
      <c r="CE1505" s="2">
        <v>28.0529867447237</v>
      </c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</row>
    <row r="1506" spans="1:97">
      <c r="A1506" s="2" t="s">
        <v>13419</v>
      </c>
      <c r="B1506" s="2">
        <v>536.46659</v>
      </c>
      <c r="C1506" s="2">
        <v>11.478999999999999</v>
      </c>
      <c r="D1506" s="2" t="s">
        <v>84</v>
      </c>
      <c r="E1506" s="2" t="s">
        <v>13420</v>
      </c>
      <c r="F1506" s="2" t="s">
        <v>13421</v>
      </c>
      <c r="G1506" s="2">
        <v>198176</v>
      </c>
      <c r="H1506" s="3" t="str">
        <f>HYPERLINK("https://cloud.oebiotech.com/#/lm/network/198176", "https://cloud.oebiotech.com/#/lm/network/198176")</f>
        <v>https://cloud.oebiotech.com/#/lm/network/198176</v>
      </c>
      <c r="I1506" s="2" t="s">
        <v>13422</v>
      </c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 t="s">
        <v>13423</v>
      </c>
      <c r="U1506" s="2" t="s">
        <v>13424</v>
      </c>
      <c r="V1506" s="2" t="s">
        <v>95</v>
      </c>
      <c r="W1506" s="2" t="s">
        <v>96</v>
      </c>
      <c r="X1506" s="2" t="s">
        <v>97</v>
      </c>
      <c r="Y1506" s="2" t="s">
        <v>98</v>
      </c>
      <c r="Z1506" s="2" t="s">
        <v>99</v>
      </c>
      <c r="AA1506" s="2" t="s">
        <v>100</v>
      </c>
      <c r="AB1506" s="2" t="s">
        <v>8443</v>
      </c>
      <c r="AC1506" s="2">
        <v>44.05</v>
      </c>
      <c r="AD1506" s="2">
        <v>91.73</v>
      </c>
      <c r="AE1506" s="2">
        <v>37.549999999999997</v>
      </c>
      <c r="AF1506" s="2" t="s">
        <v>13425</v>
      </c>
      <c r="AG1506" s="2" t="s">
        <v>103</v>
      </c>
      <c r="AH1506" s="2" t="s">
        <v>13426</v>
      </c>
      <c r="AI1506" s="2">
        <v>1.3</v>
      </c>
      <c r="AJ1506" s="2">
        <v>19.6967279794547</v>
      </c>
      <c r="AK1506" s="2">
        <v>19.941978816016299</v>
      </c>
      <c r="AL1506" s="2">
        <v>19.983302646370898</v>
      </c>
      <c r="AM1506" s="2">
        <v>20.169496525215401</v>
      </c>
      <c r="AN1506" s="2">
        <v>20.269979576894301</v>
      </c>
      <c r="AO1506" s="2">
        <v>19.941754224728001</v>
      </c>
      <c r="AP1506" s="2">
        <v>19.960246796457898</v>
      </c>
      <c r="AQ1506" s="2">
        <v>20.330110209963401</v>
      </c>
      <c r="AR1506" s="2">
        <v>20.152355928426299</v>
      </c>
      <c r="AS1506" s="2">
        <v>18.462675601584898</v>
      </c>
      <c r="AT1506" s="2">
        <v>19.7605986567205</v>
      </c>
      <c r="AU1506" s="2">
        <v>19.250093641247801</v>
      </c>
      <c r="AV1506" s="2">
        <v>19.8793353877534</v>
      </c>
      <c r="AW1506" s="2">
        <v>19.357434156285802</v>
      </c>
      <c r="AX1506" s="2">
        <v>19.590739296146001</v>
      </c>
      <c r="AY1506" s="2">
        <v>20.078871451308</v>
      </c>
      <c r="AZ1506" s="2">
        <v>19.886540204623</v>
      </c>
      <c r="BA1506" s="2">
        <v>19.097167804180501</v>
      </c>
      <c r="BB1506" s="2">
        <v>19.048315057335302</v>
      </c>
      <c r="BC1506" s="2">
        <v>20.573538152186501</v>
      </c>
      <c r="BD1506" s="2">
        <v>20.119355391737798</v>
      </c>
      <c r="BE1506" s="2">
        <v>20.489499891319699</v>
      </c>
      <c r="BF1506" s="2">
        <v>19.990936280093798</v>
      </c>
      <c r="BG1506" s="2">
        <v>19.555737120433999</v>
      </c>
      <c r="BH1506" s="2">
        <v>19.8053374430019</v>
      </c>
      <c r="BI1506" s="2">
        <v>18.962641113549299</v>
      </c>
      <c r="BJ1506" s="2">
        <v>19.029355256157999</v>
      </c>
      <c r="BK1506" s="2">
        <v>19.468355246567398</v>
      </c>
      <c r="BL1506" s="2">
        <v>20.468995583938199</v>
      </c>
      <c r="BM1506" s="2">
        <v>20.108890285785002</v>
      </c>
      <c r="BN1506" s="2">
        <v>19.872025160549299</v>
      </c>
      <c r="BO1506" s="2">
        <v>19.076563202485701</v>
      </c>
      <c r="BP1506" s="2">
        <v>20.5032736165284</v>
      </c>
      <c r="BQ1506" s="2">
        <v>19.717125247534899</v>
      </c>
      <c r="BR1506" s="2">
        <v>20.7672502181154</v>
      </c>
      <c r="BS1506" s="2">
        <v>20.748566466168999</v>
      </c>
      <c r="BT1506" s="2">
        <v>20.524601206309399</v>
      </c>
      <c r="BU1506" s="2">
        <v>19.5702257074926</v>
      </c>
      <c r="BV1506" s="2">
        <v>19.6274113546372</v>
      </c>
      <c r="BW1506" s="2">
        <v>19.455062599190601</v>
      </c>
      <c r="BX1506" s="2">
        <v>20.3370769406887</v>
      </c>
      <c r="BY1506" s="2">
        <v>20.643396266233101</v>
      </c>
      <c r="BZ1506" s="2">
        <v>19.8489131989617</v>
      </c>
      <c r="CA1506" s="2">
        <v>20.258746175505699</v>
      </c>
      <c r="CB1506" s="2">
        <v>18.983419211406499</v>
      </c>
      <c r="CC1506" s="2">
        <v>19.2543789313373</v>
      </c>
      <c r="CD1506" s="2">
        <v>20.2999468436253</v>
      </c>
      <c r="CE1506" s="2">
        <v>19.455549513499101</v>
      </c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</row>
    <row r="1507" spans="1:97">
      <c r="A1507" s="2" t="s">
        <v>13427</v>
      </c>
      <c r="B1507" s="2">
        <v>188.05578</v>
      </c>
      <c r="C1507" s="2">
        <v>0.82399999999999995</v>
      </c>
      <c r="D1507" s="2" t="s">
        <v>146</v>
      </c>
      <c r="E1507" s="2" t="s">
        <v>13428</v>
      </c>
      <c r="F1507" s="2" t="s">
        <v>13429</v>
      </c>
      <c r="G1507" s="2">
        <v>47110</v>
      </c>
      <c r="H1507" s="3" t="str">
        <f>HYPERLINK("https://cloud.oebiotech.com/#/lm/network/47110", "https://cloud.oebiotech.com/#/lm/network/47110")</f>
        <v>https://cloud.oebiotech.com/#/lm/network/47110</v>
      </c>
      <c r="I1507" s="2" t="s">
        <v>13430</v>
      </c>
      <c r="J1507" s="2">
        <v>5569</v>
      </c>
      <c r="K1507" s="2"/>
      <c r="L1507" s="2">
        <v>23592950</v>
      </c>
      <c r="M1507" s="2"/>
      <c r="N1507" s="2"/>
      <c r="O1507" s="2"/>
      <c r="P1507" s="2"/>
      <c r="Q1507" s="2"/>
      <c r="R1507" s="2"/>
      <c r="S1507" s="2" t="s">
        <v>13431</v>
      </c>
      <c r="T1507" s="2" t="s">
        <v>13432</v>
      </c>
      <c r="U1507" s="2" t="s">
        <v>13433</v>
      </c>
      <c r="V1507" s="2" t="s">
        <v>115</v>
      </c>
      <c r="W1507" s="2" t="s">
        <v>116</v>
      </c>
      <c r="X1507" s="2" t="s">
        <v>117</v>
      </c>
      <c r="Y1507" s="2" t="s">
        <v>118</v>
      </c>
      <c r="Z1507" s="2" t="s">
        <v>119</v>
      </c>
      <c r="AA1507" s="2" t="s">
        <v>120</v>
      </c>
      <c r="AB1507" s="2" t="s">
        <v>8443</v>
      </c>
      <c r="AC1507" s="2">
        <v>44</v>
      </c>
      <c r="AD1507" s="2">
        <v>95.32</v>
      </c>
      <c r="AE1507" s="2">
        <v>0</v>
      </c>
      <c r="AF1507" s="2" t="s">
        <v>5614</v>
      </c>
      <c r="AG1507" s="2" t="s">
        <v>194</v>
      </c>
      <c r="AH1507" s="2" t="s">
        <v>7595</v>
      </c>
      <c r="AI1507" s="2">
        <v>3.19</v>
      </c>
      <c r="AJ1507" s="2">
        <v>19.548363563439999</v>
      </c>
      <c r="AK1507" s="2">
        <v>19.555530022434599</v>
      </c>
      <c r="AL1507" s="2">
        <v>20.028697209516199</v>
      </c>
      <c r="AM1507" s="2">
        <v>19.470002914770699</v>
      </c>
      <c r="AN1507" s="2">
        <v>19.280127501611499</v>
      </c>
      <c r="AO1507" s="2">
        <v>19.284857348324401</v>
      </c>
      <c r="AP1507" s="2">
        <v>19.7226549803792</v>
      </c>
      <c r="AQ1507" s="2">
        <v>19.1011514126996</v>
      </c>
      <c r="AR1507" s="2">
        <v>19.065576592336502</v>
      </c>
      <c r="AS1507" s="2">
        <v>17.6224451085005</v>
      </c>
      <c r="AT1507" s="2">
        <v>18.318616285931</v>
      </c>
      <c r="AU1507" s="2">
        <v>19.570127533980301</v>
      </c>
      <c r="AV1507" s="2">
        <v>19.215871233935498</v>
      </c>
      <c r="AW1507" s="2">
        <v>19.736649727898801</v>
      </c>
      <c r="AX1507" s="2">
        <v>18.8070266907208</v>
      </c>
      <c r="AY1507" s="2">
        <v>19.527368338612401</v>
      </c>
      <c r="AZ1507" s="2">
        <v>19.2971455295352</v>
      </c>
      <c r="BA1507" s="2">
        <v>17.8817930522073</v>
      </c>
      <c r="BB1507" s="2">
        <v>19.223273136045002</v>
      </c>
      <c r="BC1507" s="2">
        <v>18.520738329851099</v>
      </c>
      <c r="BD1507" s="2">
        <v>17.817269932122699</v>
      </c>
      <c r="BE1507" s="2">
        <v>19.6474366606468</v>
      </c>
      <c r="BF1507" s="2">
        <v>19.977838490132498</v>
      </c>
      <c r="BG1507" s="2">
        <v>19.4385868802167</v>
      </c>
      <c r="BH1507" s="2">
        <v>19.535672562072701</v>
      </c>
      <c r="BI1507" s="2">
        <v>19.469355998532102</v>
      </c>
      <c r="BJ1507" s="2">
        <v>19.897143221861299</v>
      </c>
      <c r="BK1507" s="2">
        <v>19.3993174415134</v>
      </c>
      <c r="BL1507" s="2">
        <v>17.6591745016853</v>
      </c>
      <c r="BM1507" s="2">
        <v>20.152733324429601</v>
      </c>
      <c r="BN1507" s="2">
        <v>19.677033272069799</v>
      </c>
      <c r="BO1507" s="2">
        <v>19.576211438927398</v>
      </c>
      <c r="BP1507" s="2">
        <v>18.677916562019298</v>
      </c>
      <c r="BQ1507" s="2">
        <v>19.8912099666023</v>
      </c>
      <c r="BR1507" s="2">
        <v>19.973566294403501</v>
      </c>
      <c r="BS1507" s="2">
        <v>19.595169357613301</v>
      </c>
      <c r="BT1507" s="2">
        <v>18.613268398775102</v>
      </c>
      <c r="BU1507" s="2">
        <v>19.285466497665901</v>
      </c>
      <c r="BV1507" s="2">
        <v>19.6024311435622</v>
      </c>
      <c r="BW1507" s="2">
        <v>18.207153675941701</v>
      </c>
      <c r="BX1507" s="2">
        <v>20.0370502342492</v>
      </c>
      <c r="BY1507" s="2">
        <v>20.6090341085368</v>
      </c>
      <c r="BZ1507" s="2">
        <v>20.255098193651399</v>
      </c>
      <c r="CA1507" s="2">
        <v>20.112383964967101</v>
      </c>
      <c r="CB1507" s="2">
        <v>19.717274199829699</v>
      </c>
      <c r="CC1507" s="2">
        <v>18.9279306744805</v>
      </c>
      <c r="CD1507" s="2">
        <v>19.7669645933087</v>
      </c>
      <c r="CE1507" s="2">
        <v>18.817139716423501</v>
      </c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</row>
    <row r="1508" spans="1:97">
      <c r="A1508" s="2" t="s">
        <v>13434</v>
      </c>
      <c r="B1508" s="2">
        <v>453.15588000000002</v>
      </c>
      <c r="C1508" s="2">
        <v>5.0839999999999996</v>
      </c>
      <c r="D1508" s="2" t="s">
        <v>146</v>
      </c>
      <c r="E1508" s="2" t="s">
        <v>13435</v>
      </c>
      <c r="F1508" s="2" t="s">
        <v>13436</v>
      </c>
      <c r="G1508" s="2">
        <v>82688</v>
      </c>
      <c r="H1508" s="3" t="str">
        <f>HYPERLINK("https://cloud.oebiotech.com/#/lm/network/82688", "https://cloud.oebiotech.com/#/lm/network/82688")</f>
        <v>https://cloud.oebiotech.com/#/lm/network/82688</v>
      </c>
      <c r="I1508" s="2" t="s">
        <v>13437</v>
      </c>
      <c r="J1508" s="2"/>
      <c r="K1508" s="2"/>
      <c r="L1508" s="2">
        <v>131769970</v>
      </c>
      <c r="M1508" s="2"/>
      <c r="N1508" s="2"/>
      <c r="O1508" s="2"/>
      <c r="P1508" s="2"/>
      <c r="Q1508" s="2"/>
      <c r="R1508" s="2"/>
      <c r="S1508" s="2"/>
      <c r="T1508" s="2" t="s">
        <v>13438</v>
      </c>
      <c r="U1508" s="2" t="s">
        <v>13439</v>
      </c>
      <c r="V1508" s="2" t="s">
        <v>818</v>
      </c>
      <c r="W1508" s="2" t="s">
        <v>10627</v>
      </c>
      <c r="X1508" s="2" t="s">
        <v>13440</v>
      </c>
      <c r="Y1508" s="2" t="s">
        <v>820</v>
      </c>
      <c r="Z1508" s="2" t="s">
        <v>10629</v>
      </c>
      <c r="AA1508" s="2" t="s">
        <v>13441</v>
      </c>
      <c r="AB1508" s="2" t="s">
        <v>3086</v>
      </c>
      <c r="AC1508" s="2">
        <v>43.99</v>
      </c>
      <c r="AD1508" s="2">
        <v>85.48</v>
      </c>
      <c r="AE1508" s="2">
        <v>0</v>
      </c>
      <c r="AF1508" s="2" t="s">
        <v>5614</v>
      </c>
      <c r="AG1508" s="2" t="s">
        <v>157</v>
      </c>
      <c r="AH1508" s="2" t="s">
        <v>13442</v>
      </c>
      <c r="AI1508" s="2">
        <v>-9.7100000000000009</v>
      </c>
      <c r="AJ1508" s="2">
        <v>18.077631422029199</v>
      </c>
      <c r="AK1508" s="2">
        <v>17.959220894589699</v>
      </c>
      <c r="AL1508" s="2">
        <v>17.931827480996098</v>
      </c>
      <c r="AM1508" s="2">
        <v>18.079742682513601</v>
      </c>
      <c r="AN1508" s="2">
        <v>17.912154191991998</v>
      </c>
      <c r="AO1508" s="2">
        <v>17.927279588918701</v>
      </c>
      <c r="AP1508" s="2">
        <v>17.993652472176802</v>
      </c>
      <c r="AQ1508" s="2">
        <v>17.965158154416301</v>
      </c>
      <c r="AR1508" s="2">
        <v>16.807825185524401</v>
      </c>
      <c r="AS1508" s="2">
        <v>16.437936200520099</v>
      </c>
      <c r="AT1508" s="2">
        <v>17.376650343430001</v>
      </c>
      <c r="AU1508" s="2">
        <v>18.059508499749601</v>
      </c>
      <c r="AV1508" s="2">
        <v>17.2971883709126</v>
      </c>
      <c r="AW1508" s="2">
        <v>18.584263283745202</v>
      </c>
      <c r="AX1508" s="2">
        <v>16.772668321812201</v>
      </c>
      <c r="AY1508" s="2">
        <v>17.5090001238244</v>
      </c>
      <c r="AZ1508" s="2">
        <v>17.074127661394598</v>
      </c>
      <c r="BA1508" s="2">
        <v>18.523700425654699</v>
      </c>
      <c r="BB1508" s="2">
        <v>18.675381515650098</v>
      </c>
      <c r="BC1508" s="2">
        <v>18.738703162659601</v>
      </c>
      <c r="BD1508" s="2">
        <v>17.533071204987198</v>
      </c>
      <c r="BE1508" s="2">
        <v>17.257840087342998</v>
      </c>
      <c r="BF1508" s="2">
        <v>16.758786787536799</v>
      </c>
      <c r="BG1508" s="2">
        <v>17.449063989045101</v>
      </c>
      <c r="BH1508" s="2">
        <v>16.843662860931399</v>
      </c>
      <c r="BI1508" s="2">
        <v>17.064870308306201</v>
      </c>
      <c r="BJ1508" s="2">
        <v>16.4246254251095</v>
      </c>
      <c r="BK1508" s="2">
        <v>17.458970296173799</v>
      </c>
      <c r="BL1508" s="2">
        <v>14.7405729252981</v>
      </c>
      <c r="BM1508" s="2">
        <v>16.3324296264081</v>
      </c>
      <c r="BN1508" s="2">
        <v>17.2153437777005</v>
      </c>
      <c r="BO1508" s="2">
        <v>18.4173944731813</v>
      </c>
      <c r="BP1508" s="2">
        <v>17.7857151588039</v>
      </c>
      <c r="BQ1508" s="2">
        <v>18.192764869204201</v>
      </c>
      <c r="BR1508" s="2">
        <v>17.507111325514799</v>
      </c>
      <c r="BS1508" s="2">
        <v>17.288369017011</v>
      </c>
      <c r="BT1508" s="2">
        <v>18.202082489658</v>
      </c>
      <c r="BU1508" s="2">
        <v>18.994194445447501</v>
      </c>
      <c r="BV1508" s="2">
        <v>18.681570361755799</v>
      </c>
      <c r="BW1508" s="2">
        <v>17.303663574381901</v>
      </c>
      <c r="BX1508" s="2">
        <v>17.384780630949901</v>
      </c>
      <c r="BY1508" s="2">
        <v>17.721052981983402</v>
      </c>
      <c r="BZ1508" s="2">
        <v>18.2336969993673</v>
      </c>
      <c r="CA1508" s="2">
        <v>16.0230040538198</v>
      </c>
      <c r="CB1508" s="2">
        <v>17.861596376788999</v>
      </c>
      <c r="CC1508" s="2">
        <v>16.436596224714702</v>
      </c>
      <c r="CD1508" s="2">
        <v>17.477945025063399</v>
      </c>
      <c r="CE1508" s="2">
        <v>17.453287034026001</v>
      </c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</row>
    <row r="1509" spans="1:97">
      <c r="A1509" s="2" t="s">
        <v>13443</v>
      </c>
      <c r="B1509" s="2">
        <v>379.16037</v>
      </c>
      <c r="C1509" s="2">
        <v>4.76</v>
      </c>
      <c r="D1509" s="2" t="s">
        <v>146</v>
      </c>
      <c r="E1509" s="2" t="s">
        <v>13444</v>
      </c>
      <c r="F1509" s="2" t="s">
        <v>13445</v>
      </c>
      <c r="G1509" s="2">
        <v>63430</v>
      </c>
      <c r="H1509" s="3" t="str">
        <f>HYPERLINK("https://cloud.oebiotech.com/#/lm/network/63430", "https://cloud.oebiotech.com/#/lm/network/63430")</f>
        <v>https://cloud.oebiotech.com/#/lm/network/63430</v>
      </c>
      <c r="I1509" s="2" t="s">
        <v>13446</v>
      </c>
      <c r="J1509" s="2">
        <v>94751</v>
      </c>
      <c r="K1509" s="2"/>
      <c r="L1509" s="2">
        <v>24197</v>
      </c>
      <c r="M1509" s="2"/>
      <c r="N1509" s="2"/>
      <c r="O1509" s="2"/>
      <c r="P1509" s="2">
        <v>87368</v>
      </c>
      <c r="Q1509" s="2"/>
      <c r="R1509" s="2"/>
      <c r="S1509" s="2" t="s">
        <v>13447</v>
      </c>
      <c r="T1509" s="2" t="s">
        <v>13448</v>
      </c>
      <c r="U1509" s="2" t="s">
        <v>13449</v>
      </c>
      <c r="V1509" s="2" t="s">
        <v>115</v>
      </c>
      <c r="W1509" s="2" t="s">
        <v>832</v>
      </c>
      <c r="X1509" s="2" t="s">
        <v>833</v>
      </c>
      <c r="Y1509" s="2" t="s">
        <v>118</v>
      </c>
      <c r="Z1509" s="2" t="s">
        <v>834</v>
      </c>
      <c r="AA1509" s="2" t="s">
        <v>835</v>
      </c>
      <c r="AB1509" s="2" t="s">
        <v>8443</v>
      </c>
      <c r="AC1509" s="2">
        <v>43.98</v>
      </c>
      <c r="AD1509" s="2">
        <v>89.3</v>
      </c>
      <c r="AE1509" s="2">
        <v>0</v>
      </c>
      <c r="AF1509" s="2" t="s">
        <v>13450</v>
      </c>
      <c r="AG1509" s="2" t="s">
        <v>3880</v>
      </c>
      <c r="AH1509" s="2" t="s">
        <v>13451</v>
      </c>
      <c r="AI1509" s="2">
        <v>1.58</v>
      </c>
      <c r="AJ1509" s="2">
        <v>16.918768454835</v>
      </c>
      <c r="AK1509" s="2">
        <v>17.032173180031702</v>
      </c>
      <c r="AL1509" s="2">
        <v>16.702540267062702</v>
      </c>
      <c r="AM1509" s="2">
        <v>16.740710336952802</v>
      </c>
      <c r="AN1509" s="2">
        <v>17.041799658706399</v>
      </c>
      <c r="AO1509" s="2">
        <v>16.926459201546201</v>
      </c>
      <c r="AP1509" s="2">
        <v>17.243634795585599</v>
      </c>
      <c r="AQ1509" s="2">
        <v>17.023981921878899</v>
      </c>
      <c r="AR1509" s="2">
        <v>17.909366399735799</v>
      </c>
      <c r="AS1509" s="2">
        <v>9.6233145402724691</v>
      </c>
      <c r="AT1509" s="2">
        <v>9.6233145402724691</v>
      </c>
      <c r="AU1509" s="2">
        <v>17.8619623285974</v>
      </c>
      <c r="AV1509" s="2">
        <v>16.743582312798999</v>
      </c>
      <c r="AW1509" s="2">
        <v>19.253645473415499</v>
      </c>
      <c r="AX1509" s="2">
        <v>9.6233145402724691</v>
      </c>
      <c r="AY1509" s="2">
        <v>17.073849410404801</v>
      </c>
      <c r="AZ1509" s="2">
        <v>17.6993293900995</v>
      </c>
      <c r="BA1509" s="2">
        <v>9.6233145402724691</v>
      </c>
      <c r="BB1509" s="2">
        <v>9.6233145402724691</v>
      </c>
      <c r="BC1509" s="2">
        <v>9.6233145402724691</v>
      </c>
      <c r="BD1509" s="2">
        <v>14.022763112796699</v>
      </c>
      <c r="BE1509" s="2">
        <v>15.3850062877924</v>
      </c>
      <c r="BF1509" s="2">
        <v>17.421888296005999</v>
      </c>
      <c r="BG1509" s="2">
        <v>9.6233145402724691</v>
      </c>
      <c r="BH1509" s="2">
        <v>15.8262224836052</v>
      </c>
      <c r="BI1509" s="2">
        <v>9.6233145402724691</v>
      </c>
      <c r="BJ1509" s="2">
        <v>13.766256617695401</v>
      </c>
      <c r="BK1509" s="2">
        <v>18.360340826426299</v>
      </c>
      <c r="BL1509" s="2">
        <v>9.6233145402724691</v>
      </c>
      <c r="BM1509" s="2">
        <v>16.3981277434196</v>
      </c>
      <c r="BN1509" s="2">
        <v>17.029574421533699</v>
      </c>
      <c r="BO1509" s="2">
        <v>9.6233145402724691</v>
      </c>
      <c r="BP1509" s="2">
        <v>9.6233145402724691</v>
      </c>
      <c r="BQ1509" s="2">
        <v>13.254216677875499</v>
      </c>
      <c r="BR1509" s="2">
        <v>17.723077477691898</v>
      </c>
      <c r="BS1509" s="2">
        <v>19.294508415353501</v>
      </c>
      <c r="BT1509" s="2">
        <v>9.6233145402724691</v>
      </c>
      <c r="BU1509" s="2">
        <v>9.6233145402724691</v>
      </c>
      <c r="BV1509" s="2">
        <v>9.6233145402724691</v>
      </c>
      <c r="BW1509" s="2">
        <v>15.3227182611926</v>
      </c>
      <c r="BX1509" s="2">
        <v>15.256830075497801</v>
      </c>
      <c r="BY1509" s="2">
        <v>19.3753213287061</v>
      </c>
      <c r="BZ1509" s="2">
        <v>17.5777224504446</v>
      </c>
      <c r="CA1509" s="2">
        <v>15.9129033665207</v>
      </c>
      <c r="CB1509" s="2">
        <v>9.6233145402724691</v>
      </c>
      <c r="CC1509" s="2">
        <v>9.6233145402724691</v>
      </c>
      <c r="CD1509" s="2">
        <v>9.6233145402724691</v>
      </c>
      <c r="CE1509" s="2">
        <v>9.6233145402724691</v>
      </c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</row>
    <row r="1510" spans="1:97">
      <c r="A1510" s="2" t="s">
        <v>13452</v>
      </c>
      <c r="B1510" s="2">
        <v>229.01711</v>
      </c>
      <c r="C1510" s="2">
        <v>5.9320000000000004</v>
      </c>
      <c r="D1510" s="2" t="s">
        <v>146</v>
      </c>
      <c r="E1510" s="2" t="s">
        <v>13453</v>
      </c>
      <c r="F1510" s="2" t="s">
        <v>13454</v>
      </c>
      <c r="G1510" s="2">
        <v>595745</v>
      </c>
      <c r="H1510" s="3" t="str">
        <f>HYPERLINK("https://cloud.oebiotech.com/#/lm/network/595745", "https://cloud.oebiotech.com/#/lm/network/595745")</f>
        <v>https://cloud.oebiotech.com/#/lm/network/595745</v>
      </c>
      <c r="I1510" s="2"/>
      <c r="J1510" s="2"/>
      <c r="K1510" s="2"/>
      <c r="L1510" s="2">
        <v>131838878</v>
      </c>
      <c r="M1510" s="2"/>
      <c r="N1510" s="2"/>
      <c r="O1510" s="2"/>
      <c r="P1510" s="2"/>
      <c r="Q1510" s="2"/>
      <c r="R1510" s="2"/>
      <c r="S1510" s="2"/>
      <c r="T1510" s="2" t="s">
        <v>13455</v>
      </c>
      <c r="U1510" s="2" t="s">
        <v>13456</v>
      </c>
      <c r="V1510" s="2" t="s">
        <v>115</v>
      </c>
      <c r="W1510" s="2" t="s">
        <v>613</v>
      </c>
      <c r="X1510" s="2" t="s">
        <v>614</v>
      </c>
      <c r="Y1510" s="2" t="s">
        <v>118</v>
      </c>
      <c r="Z1510" s="2" t="s">
        <v>615</v>
      </c>
      <c r="AA1510" s="2" t="s">
        <v>616</v>
      </c>
      <c r="AB1510" s="2" t="s">
        <v>8443</v>
      </c>
      <c r="AC1510" s="2">
        <v>43.97</v>
      </c>
      <c r="AD1510" s="2">
        <v>91.27</v>
      </c>
      <c r="AE1510" s="2">
        <v>43.08</v>
      </c>
      <c r="AF1510" s="2" t="s">
        <v>13457</v>
      </c>
      <c r="AG1510" s="2" t="s">
        <v>194</v>
      </c>
      <c r="AH1510" s="2" t="s">
        <v>2969</v>
      </c>
      <c r="AI1510" s="2">
        <v>2.1800000000000002</v>
      </c>
      <c r="AJ1510" s="2">
        <v>18.2495125614074</v>
      </c>
      <c r="AK1510" s="2">
        <v>18.2943879953947</v>
      </c>
      <c r="AL1510" s="2">
        <v>18.365453569237001</v>
      </c>
      <c r="AM1510" s="2">
        <v>18.5205478606849</v>
      </c>
      <c r="AN1510" s="2">
        <v>18.543890529332302</v>
      </c>
      <c r="AO1510" s="2">
        <v>18.594457721628299</v>
      </c>
      <c r="AP1510" s="2">
        <v>18.5330848208501</v>
      </c>
      <c r="AQ1510" s="2">
        <v>18.4754342104168</v>
      </c>
      <c r="AR1510" s="2">
        <v>14.314115156262099</v>
      </c>
      <c r="AS1510" s="2">
        <v>17.167724489982501</v>
      </c>
      <c r="AT1510" s="2">
        <v>9.6233145402724691</v>
      </c>
      <c r="AU1510" s="2">
        <v>17.7996421616783</v>
      </c>
      <c r="AV1510" s="2">
        <v>19.3154075614144</v>
      </c>
      <c r="AW1510" s="2">
        <v>16.689658162312</v>
      </c>
      <c r="AX1510" s="2">
        <v>14.682882691497401</v>
      </c>
      <c r="AY1510" s="2">
        <v>17.775095500992201</v>
      </c>
      <c r="AZ1510" s="2">
        <v>15.875364440636799</v>
      </c>
      <c r="BA1510" s="2">
        <v>17.4998122603394</v>
      </c>
      <c r="BB1510" s="2">
        <v>18.6513327042009</v>
      </c>
      <c r="BC1510" s="2">
        <v>21.5223317419801</v>
      </c>
      <c r="BD1510" s="2">
        <v>17.058926832619001</v>
      </c>
      <c r="BE1510" s="2">
        <v>12.5733110874936</v>
      </c>
      <c r="BF1510" s="2">
        <v>18.877382369916401</v>
      </c>
      <c r="BG1510" s="2">
        <v>16.4930736108678</v>
      </c>
      <c r="BH1510" s="2">
        <v>9.6233145402724691</v>
      </c>
      <c r="BI1510" s="2">
        <v>18.1650668529036</v>
      </c>
      <c r="BJ1510" s="2">
        <v>16.1470093081866</v>
      </c>
      <c r="BK1510" s="2">
        <v>15.820789514922501</v>
      </c>
      <c r="BL1510" s="2">
        <v>18.0127475005077</v>
      </c>
      <c r="BM1510" s="2">
        <v>20.418462602683601</v>
      </c>
      <c r="BN1510" s="2">
        <v>14.8875067076515</v>
      </c>
      <c r="BO1510" s="2">
        <v>17.932494194000199</v>
      </c>
      <c r="BP1510" s="2">
        <v>18.5201713367689</v>
      </c>
      <c r="BQ1510" s="2">
        <v>18.1121947707516</v>
      </c>
      <c r="BR1510" s="2">
        <v>17.002200469427699</v>
      </c>
      <c r="BS1510" s="2">
        <v>18.194016592832</v>
      </c>
      <c r="BT1510" s="2">
        <v>17.953591784785999</v>
      </c>
      <c r="BU1510" s="2">
        <v>17.6014464008604</v>
      </c>
      <c r="BV1510" s="2">
        <v>17.714281007634899</v>
      </c>
      <c r="BW1510" s="2">
        <v>15.904594169949</v>
      </c>
      <c r="BX1510" s="2">
        <v>19.6130475743158</v>
      </c>
      <c r="BY1510" s="2">
        <v>18.095164989363901</v>
      </c>
      <c r="BZ1510" s="2">
        <v>15.430298669055899</v>
      </c>
      <c r="CA1510" s="2">
        <v>19.988701951018601</v>
      </c>
      <c r="CB1510" s="2">
        <v>20.278396550446299</v>
      </c>
      <c r="CC1510" s="2">
        <v>18.042769148001</v>
      </c>
      <c r="CD1510" s="2">
        <v>17.604988080033301</v>
      </c>
      <c r="CE1510" s="2">
        <v>18.172019876430699</v>
      </c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</row>
    <row r="1511" spans="1:97">
      <c r="A1511" s="2" t="s">
        <v>13458</v>
      </c>
      <c r="B1511" s="2">
        <v>347.15947999999997</v>
      </c>
      <c r="C1511" s="2">
        <v>6.0780000000000003</v>
      </c>
      <c r="D1511" s="2" t="s">
        <v>84</v>
      </c>
      <c r="E1511" s="2" t="s">
        <v>13459</v>
      </c>
      <c r="F1511" s="2" t="s">
        <v>13460</v>
      </c>
      <c r="G1511" s="2">
        <v>351988</v>
      </c>
      <c r="H1511" s="3" t="str">
        <f>HYPERLINK("https://cloud.oebiotech.com/#/lm/network/351988", "https://cloud.oebiotech.com/#/lm/network/351988")</f>
        <v>https://cloud.oebiotech.com/#/lm/network/351988</v>
      </c>
      <c r="I1511" s="2"/>
      <c r="J1511" s="2">
        <v>427115</v>
      </c>
      <c r="K1511" s="2"/>
      <c r="L1511" s="2">
        <v>16119330</v>
      </c>
      <c r="M1511" s="2"/>
      <c r="N1511" s="2"/>
      <c r="O1511" s="2"/>
      <c r="P1511" s="2"/>
      <c r="Q1511" s="2"/>
      <c r="R1511" s="2"/>
      <c r="S1511" s="2"/>
      <c r="T1511" s="2" t="s">
        <v>13461</v>
      </c>
      <c r="U1511" s="2" t="s">
        <v>13462</v>
      </c>
      <c r="V1511" s="2" t="s">
        <v>845</v>
      </c>
      <c r="W1511" s="2" t="s">
        <v>970</v>
      </c>
      <c r="X1511" s="2" t="s">
        <v>971</v>
      </c>
      <c r="Y1511" s="2" t="s">
        <v>847</v>
      </c>
      <c r="Z1511" s="2" t="s">
        <v>972</v>
      </c>
      <c r="AA1511" s="2" t="s">
        <v>973</v>
      </c>
      <c r="AB1511" s="2" t="s">
        <v>8443</v>
      </c>
      <c r="AC1511" s="2">
        <v>43.97</v>
      </c>
      <c r="AD1511" s="2">
        <v>88.39</v>
      </c>
      <c r="AE1511" s="2">
        <v>0</v>
      </c>
      <c r="AF1511" s="2" t="s">
        <v>5614</v>
      </c>
      <c r="AG1511" s="2" t="s">
        <v>132</v>
      </c>
      <c r="AH1511" s="2" t="s">
        <v>13463</v>
      </c>
      <c r="AI1511" s="2">
        <v>2.02</v>
      </c>
      <c r="AJ1511" s="2">
        <v>17.783066268623301</v>
      </c>
      <c r="AK1511" s="2">
        <v>17.7699536481034</v>
      </c>
      <c r="AL1511" s="2">
        <v>17.743043151098998</v>
      </c>
      <c r="AM1511" s="2">
        <v>17.947844652821999</v>
      </c>
      <c r="AN1511" s="2">
        <v>18.167412657307601</v>
      </c>
      <c r="AO1511" s="2">
        <v>18.0791850593004</v>
      </c>
      <c r="AP1511" s="2">
        <v>18.016104817604202</v>
      </c>
      <c r="AQ1511" s="2">
        <v>18.162328677640598</v>
      </c>
      <c r="AR1511" s="2">
        <v>9.6233145402724691</v>
      </c>
      <c r="AS1511" s="2">
        <v>15.9921076448415</v>
      </c>
      <c r="AT1511" s="2">
        <v>17.6126324767767</v>
      </c>
      <c r="AU1511" s="2">
        <v>9.6233145402724691</v>
      </c>
      <c r="AV1511" s="2">
        <v>17.220992483622801</v>
      </c>
      <c r="AW1511" s="2">
        <v>17.928503744209301</v>
      </c>
      <c r="AX1511" s="2">
        <v>17.634770502158698</v>
      </c>
      <c r="AY1511" s="2">
        <v>17.303086127055501</v>
      </c>
      <c r="AZ1511" s="2">
        <v>15.398309148203699</v>
      </c>
      <c r="BA1511" s="2">
        <v>17.200855895055899</v>
      </c>
      <c r="BB1511" s="2">
        <v>17.759657413639999</v>
      </c>
      <c r="BC1511" s="2">
        <v>18.042048720372101</v>
      </c>
      <c r="BD1511" s="2">
        <v>16.660973454053799</v>
      </c>
      <c r="BE1511" s="2">
        <v>19.5986428553861</v>
      </c>
      <c r="BF1511" s="2">
        <v>17.250769726415498</v>
      </c>
      <c r="BG1511" s="2">
        <v>18.809798299659199</v>
      </c>
      <c r="BH1511" s="2">
        <v>17.8422729295702</v>
      </c>
      <c r="BI1511" s="2">
        <v>18.3672463155057</v>
      </c>
      <c r="BJ1511" s="2">
        <v>18.347104866311</v>
      </c>
      <c r="BK1511" s="2">
        <v>16.966180295178901</v>
      </c>
      <c r="BL1511" s="2">
        <v>17.059245056624299</v>
      </c>
      <c r="BM1511" s="2">
        <v>13.8748728341616</v>
      </c>
      <c r="BN1511" s="2">
        <v>17.608116039084301</v>
      </c>
      <c r="BO1511" s="2">
        <v>18.206503885674199</v>
      </c>
      <c r="BP1511" s="2">
        <v>18.5028981782567</v>
      </c>
      <c r="BQ1511" s="2">
        <v>16.6488193053607</v>
      </c>
      <c r="BR1511" s="2">
        <v>18.623581861688098</v>
      </c>
      <c r="BS1511" s="2">
        <v>17.838339558632399</v>
      </c>
      <c r="BT1511" s="2">
        <v>15.9758150610757</v>
      </c>
      <c r="BU1511" s="2">
        <v>17.368991580949601</v>
      </c>
      <c r="BV1511" s="2">
        <v>17.0064013630437</v>
      </c>
      <c r="BW1511" s="2">
        <v>17.4733889046543</v>
      </c>
      <c r="BX1511" s="2">
        <v>16.1734989352857</v>
      </c>
      <c r="BY1511" s="2">
        <v>19.334287341318198</v>
      </c>
      <c r="BZ1511" s="2">
        <v>15.046082082025</v>
      </c>
      <c r="CA1511" s="2">
        <v>16.516912352810401</v>
      </c>
      <c r="CB1511" s="2">
        <v>18.464079357986801</v>
      </c>
      <c r="CC1511" s="2">
        <v>15.945875181235399</v>
      </c>
      <c r="CD1511" s="2">
        <v>18.960920411679101</v>
      </c>
      <c r="CE1511" s="2">
        <v>18.1481562401143</v>
      </c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</row>
    <row r="1512" spans="1:97">
      <c r="A1512" s="2" t="s">
        <v>13464</v>
      </c>
      <c r="B1512" s="2">
        <v>465.24862000000002</v>
      </c>
      <c r="C1512" s="2">
        <v>7.6280000000000001</v>
      </c>
      <c r="D1512" s="2" t="s">
        <v>146</v>
      </c>
      <c r="E1512" s="2" t="s">
        <v>13465</v>
      </c>
      <c r="F1512" s="2" t="s">
        <v>13466</v>
      </c>
      <c r="G1512" s="2">
        <v>46633</v>
      </c>
      <c r="H1512" s="3" t="str">
        <f>HYPERLINK("https://cloud.oebiotech.com/#/lm/network/46633", "https://cloud.oebiotech.com/#/lm/network/46633")</f>
        <v>https://cloud.oebiotech.com/#/lm/network/46633</v>
      </c>
      <c r="I1512" s="2" t="s">
        <v>13467</v>
      </c>
      <c r="J1512" s="2">
        <v>7064</v>
      </c>
      <c r="K1512" s="2" t="s">
        <v>13468</v>
      </c>
      <c r="L1512" s="2">
        <v>443078</v>
      </c>
      <c r="M1512" s="2" t="s">
        <v>13469</v>
      </c>
      <c r="N1512" s="2" t="s">
        <v>1564</v>
      </c>
      <c r="O1512" s="2" t="s">
        <v>1565</v>
      </c>
      <c r="P1512" s="2">
        <v>37451</v>
      </c>
      <c r="Q1512" s="2"/>
      <c r="R1512" s="2"/>
      <c r="S1512" s="2" t="s">
        <v>13470</v>
      </c>
      <c r="T1512" s="2" t="s">
        <v>13471</v>
      </c>
      <c r="U1512" s="2" t="s">
        <v>13472</v>
      </c>
      <c r="V1512" s="2" t="s">
        <v>95</v>
      </c>
      <c r="W1512" s="2" t="s">
        <v>152</v>
      </c>
      <c r="X1512" s="2" t="s">
        <v>2791</v>
      </c>
      <c r="Y1512" s="2" t="s">
        <v>98</v>
      </c>
      <c r="Z1512" s="2" t="s">
        <v>154</v>
      </c>
      <c r="AA1512" s="2" t="s">
        <v>2792</v>
      </c>
      <c r="AB1512" s="2" t="s">
        <v>8443</v>
      </c>
      <c r="AC1512" s="2">
        <v>43.96</v>
      </c>
      <c r="AD1512" s="2">
        <v>83.26</v>
      </c>
      <c r="AE1512" s="2">
        <v>0</v>
      </c>
      <c r="AF1512" s="2" t="s">
        <v>13473</v>
      </c>
      <c r="AG1512" s="2" t="s">
        <v>194</v>
      </c>
      <c r="AH1512" s="2" t="s">
        <v>11472</v>
      </c>
      <c r="AI1512" s="2">
        <v>1.72</v>
      </c>
      <c r="AJ1512" s="2">
        <v>18.148835771306398</v>
      </c>
      <c r="AK1512" s="2">
        <v>18.151606141406099</v>
      </c>
      <c r="AL1512" s="2">
        <v>18.344833307086901</v>
      </c>
      <c r="AM1512" s="2">
        <v>18.446151165807201</v>
      </c>
      <c r="AN1512" s="2">
        <v>18.2405703187213</v>
      </c>
      <c r="AO1512" s="2">
        <v>18.359871744020801</v>
      </c>
      <c r="AP1512" s="2">
        <v>18.204122859137801</v>
      </c>
      <c r="AQ1512" s="2">
        <v>18.427398418125701</v>
      </c>
      <c r="AR1512" s="2">
        <v>17.870784734029499</v>
      </c>
      <c r="AS1512" s="2">
        <v>16.131998796146899</v>
      </c>
      <c r="AT1512" s="2">
        <v>16.318165175527199</v>
      </c>
      <c r="AU1512" s="2">
        <v>17.7875993948111</v>
      </c>
      <c r="AV1512" s="2">
        <v>17.746304236470898</v>
      </c>
      <c r="AW1512" s="2">
        <v>19.206053529071301</v>
      </c>
      <c r="AX1512" s="2">
        <v>18.256888662240598</v>
      </c>
      <c r="AY1512" s="2">
        <v>18.711736533854801</v>
      </c>
      <c r="AZ1512" s="2">
        <v>17.807580074001802</v>
      </c>
      <c r="BA1512" s="2">
        <v>17.366708537697701</v>
      </c>
      <c r="BB1512" s="2">
        <v>16.941028114048699</v>
      </c>
      <c r="BC1512" s="2">
        <v>17.282593734876901</v>
      </c>
      <c r="BD1512" s="2">
        <v>18.417638324224299</v>
      </c>
      <c r="BE1512" s="2">
        <v>19.227425902226699</v>
      </c>
      <c r="BF1512" s="2">
        <v>15.779811931259699</v>
      </c>
      <c r="BG1512" s="2">
        <v>19.0100921403006</v>
      </c>
      <c r="BH1512" s="2">
        <v>18.153647619754199</v>
      </c>
      <c r="BI1512" s="2">
        <v>16.432011525054101</v>
      </c>
      <c r="BJ1512" s="2">
        <v>18.063168114950098</v>
      </c>
      <c r="BK1512" s="2">
        <v>18.161064353511001</v>
      </c>
      <c r="BL1512" s="2">
        <v>18.420061819438601</v>
      </c>
      <c r="BM1512" s="2">
        <v>16.703726388066801</v>
      </c>
      <c r="BN1512" s="2">
        <v>15.864800358946001</v>
      </c>
      <c r="BO1512" s="2">
        <v>18.0514557994528</v>
      </c>
      <c r="BP1512" s="2">
        <v>18.6726470856993</v>
      </c>
      <c r="BQ1512" s="2">
        <v>18.7053873729662</v>
      </c>
      <c r="BR1512" s="2">
        <v>17.9265969109906</v>
      </c>
      <c r="BS1512" s="2">
        <v>18.2473754412764</v>
      </c>
      <c r="BT1512" s="2">
        <v>17.820668310016998</v>
      </c>
      <c r="BU1512" s="2">
        <v>16.707864488360201</v>
      </c>
      <c r="BV1512" s="2">
        <v>15.0421360074064</v>
      </c>
      <c r="BW1512" s="2">
        <v>16.995642622976199</v>
      </c>
      <c r="BX1512" s="2">
        <v>18.097498768885998</v>
      </c>
      <c r="BY1512" s="2">
        <v>19.961053103941701</v>
      </c>
      <c r="BZ1512" s="2">
        <v>17.174957369807299</v>
      </c>
      <c r="CA1512" s="2">
        <v>15.629270661493299</v>
      </c>
      <c r="CB1512" s="2">
        <v>19.0293150538022</v>
      </c>
      <c r="CC1512" s="2">
        <v>16.480050017982101</v>
      </c>
      <c r="CD1512" s="2">
        <v>17.5858607501217</v>
      </c>
      <c r="CE1512" s="2">
        <v>18.7361799286296</v>
      </c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</row>
    <row r="1513" spans="1:97">
      <c r="A1513" s="2" t="s">
        <v>13474</v>
      </c>
      <c r="B1513" s="2">
        <v>303.10797000000002</v>
      </c>
      <c r="C1513" s="2">
        <v>5.75</v>
      </c>
      <c r="D1513" s="2" t="s">
        <v>146</v>
      </c>
      <c r="E1513" s="2" t="s">
        <v>13475</v>
      </c>
      <c r="F1513" s="2" t="s">
        <v>13476</v>
      </c>
      <c r="G1513" s="2">
        <v>208149</v>
      </c>
      <c r="H1513" s="3" t="str">
        <f>HYPERLINK("https://cloud.oebiotech.com/#/lm/network/208149", "https://cloud.oebiotech.com/#/lm/network/208149")</f>
        <v>https://cloud.oebiotech.com/#/lm/network/208149</v>
      </c>
      <c r="I1513" s="2" t="s">
        <v>13477</v>
      </c>
      <c r="J1513" s="2"/>
      <c r="K1513" s="2"/>
      <c r="L1513" s="2">
        <v>4229821</v>
      </c>
      <c r="M1513" s="2"/>
      <c r="N1513" s="2"/>
      <c r="O1513" s="2"/>
      <c r="P1513" s="2"/>
      <c r="Q1513" s="2"/>
      <c r="R1513" s="2"/>
      <c r="S1513" s="2"/>
      <c r="T1513" s="2" t="s">
        <v>13478</v>
      </c>
      <c r="U1513" s="2" t="s">
        <v>13479</v>
      </c>
      <c r="V1513" s="2" t="s">
        <v>553</v>
      </c>
      <c r="W1513" s="2" t="s">
        <v>13480</v>
      </c>
      <c r="X1513" s="2" t="s">
        <v>375</v>
      </c>
      <c r="Y1513" s="2" t="s">
        <v>556</v>
      </c>
      <c r="Z1513" s="2" t="s">
        <v>13481</v>
      </c>
      <c r="AA1513" s="2"/>
      <c r="AB1513" s="2" t="s">
        <v>8443</v>
      </c>
      <c r="AC1513" s="2">
        <v>43.96</v>
      </c>
      <c r="AD1513" s="2">
        <v>91.03</v>
      </c>
      <c r="AE1513" s="2">
        <v>0</v>
      </c>
      <c r="AF1513" s="2" t="s">
        <v>5614</v>
      </c>
      <c r="AG1513" s="2" t="s">
        <v>157</v>
      </c>
      <c r="AH1513" s="2" t="s">
        <v>13482</v>
      </c>
      <c r="AI1513" s="2">
        <v>1.98</v>
      </c>
      <c r="AJ1513" s="2">
        <v>16.980943727389199</v>
      </c>
      <c r="AK1513" s="2">
        <v>16.6144687326514</v>
      </c>
      <c r="AL1513" s="2">
        <v>17.0962311899473</v>
      </c>
      <c r="AM1513" s="2">
        <v>15.9798726186485</v>
      </c>
      <c r="AN1513" s="2">
        <v>16.8241129771408</v>
      </c>
      <c r="AO1513" s="2">
        <v>16.378665880798501</v>
      </c>
      <c r="AP1513" s="2">
        <v>16.5426472537902</v>
      </c>
      <c r="AQ1513" s="2">
        <v>16.410808237902302</v>
      </c>
      <c r="AR1513" s="2">
        <v>16.4247945092343</v>
      </c>
      <c r="AS1513" s="2">
        <v>15.3256125432797</v>
      </c>
      <c r="AT1513" s="2">
        <v>16.7545141001481</v>
      </c>
      <c r="AU1513" s="2">
        <v>16.334894587365099</v>
      </c>
      <c r="AV1513" s="2">
        <v>15.8637574906477</v>
      </c>
      <c r="AW1513" s="2">
        <v>17.087222275333101</v>
      </c>
      <c r="AX1513" s="2">
        <v>13.8979768275205</v>
      </c>
      <c r="AY1513" s="2">
        <v>15.3224637227773</v>
      </c>
      <c r="AZ1513" s="2">
        <v>14.478952851340599</v>
      </c>
      <c r="BA1513" s="2">
        <v>18.018491164410801</v>
      </c>
      <c r="BB1513" s="2">
        <v>15.832581262977801</v>
      </c>
      <c r="BC1513" s="2">
        <v>14.5346402906309</v>
      </c>
      <c r="BD1513" s="2">
        <v>16.952752393090901</v>
      </c>
      <c r="BE1513" s="2">
        <v>14.6511733685818</v>
      </c>
      <c r="BF1513" s="2">
        <v>15.6909891016596</v>
      </c>
      <c r="BG1513" s="2">
        <v>16.223928353933701</v>
      </c>
      <c r="BH1513" s="2">
        <v>15.755025513805</v>
      </c>
      <c r="BI1513" s="2">
        <v>14.8337276848874</v>
      </c>
      <c r="BJ1513" s="2">
        <v>18.703128716869401</v>
      </c>
      <c r="BK1513" s="2">
        <v>17.5665075599311</v>
      </c>
      <c r="BL1513" s="2">
        <v>16.697255113164999</v>
      </c>
      <c r="BM1513" s="2">
        <v>15.604774724139</v>
      </c>
      <c r="BN1513" s="2">
        <v>16.164585842604499</v>
      </c>
      <c r="BO1513" s="2">
        <v>17.147831554909899</v>
      </c>
      <c r="BP1513" s="2">
        <v>12.144935412469801</v>
      </c>
      <c r="BQ1513" s="2">
        <v>16.608997754921301</v>
      </c>
      <c r="BR1513" s="2">
        <v>13.2290170474273</v>
      </c>
      <c r="BS1513" s="2">
        <v>15.340617204638001</v>
      </c>
      <c r="BT1513" s="2">
        <v>18.853147364944299</v>
      </c>
      <c r="BU1513" s="2">
        <v>17.599082016301399</v>
      </c>
      <c r="BV1513" s="2">
        <v>16.211557157426402</v>
      </c>
      <c r="BW1513" s="2">
        <v>13.900396082119199</v>
      </c>
      <c r="BX1513" s="2">
        <v>16.566277657603798</v>
      </c>
      <c r="BY1513" s="2">
        <v>15.814278033946501</v>
      </c>
      <c r="BZ1513" s="2">
        <v>14.3362017820023</v>
      </c>
      <c r="CA1513" s="2">
        <v>15.5532341904657</v>
      </c>
      <c r="CB1513" s="2">
        <v>13.547019822325399</v>
      </c>
      <c r="CC1513" s="2">
        <v>16.311806664369399</v>
      </c>
      <c r="CD1513" s="2">
        <v>16.747870802227101</v>
      </c>
      <c r="CE1513" s="2">
        <v>16.834773596088102</v>
      </c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</row>
    <row r="1514" spans="1:97">
      <c r="A1514" s="2" t="s">
        <v>13483</v>
      </c>
      <c r="B1514" s="2">
        <v>309.00038000000001</v>
      </c>
      <c r="C1514" s="2">
        <v>5.8109999999999999</v>
      </c>
      <c r="D1514" s="2" t="s">
        <v>146</v>
      </c>
      <c r="E1514" s="2" t="s">
        <v>13484</v>
      </c>
      <c r="F1514" s="2" t="s">
        <v>13485</v>
      </c>
      <c r="G1514" s="2">
        <v>201884</v>
      </c>
      <c r="H1514" s="3" t="str">
        <f>HYPERLINK("https://cloud.oebiotech.com/#/lm/network/201884", "https://cloud.oebiotech.com/#/lm/network/201884")</f>
        <v>https://cloud.oebiotech.com/#/lm/network/201884</v>
      </c>
      <c r="I1514" s="2" t="s">
        <v>13486</v>
      </c>
      <c r="J1514" s="2"/>
      <c r="K1514" s="2"/>
      <c r="L1514" s="2">
        <v>15809</v>
      </c>
      <c r="M1514" s="2"/>
      <c r="N1514" s="2"/>
      <c r="O1514" s="2"/>
      <c r="P1514" s="2"/>
      <c r="Q1514" s="2"/>
      <c r="R1514" s="2"/>
      <c r="S1514" s="2"/>
      <c r="T1514" s="2" t="s">
        <v>13487</v>
      </c>
      <c r="U1514" s="2" t="s">
        <v>13488</v>
      </c>
      <c r="V1514" s="2" t="s">
        <v>385</v>
      </c>
      <c r="W1514" s="2" t="s">
        <v>386</v>
      </c>
      <c r="X1514" s="2" t="s">
        <v>12519</v>
      </c>
      <c r="Y1514" s="2" t="s">
        <v>388</v>
      </c>
      <c r="Z1514" s="2" t="s">
        <v>389</v>
      </c>
      <c r="AA1514" s="2" t="s">
        <v>12520</v>
      </c>
      <c r="AB1514" s="2" t="s">
        <v>8443</v>
      </c>
      <c r="AC1514" s="2">
        <v>43.92</v>
      </c>
      <c r="AD1514" s="2">
        <v>85.68</v>
      </c>
      <c r="AE1514" s="2">
        <v>0</v>
      </c>
      <c r="AF1514" s="2" t="s">
        <v>5614</v>
      </c>
      <c r="AG1514" s="2" t="s">
        <v>3880</v>
      </c>
      <c r="AH1514" s="2" t="s">
        <v>13489</v>
      </c>
      <c r="AI1514" s="2">
        <v>1.62</v>
      </c>
      <c r="AJ1514" s="2">
        <v>16.678583359639902</v>
      </c>
      <c r="AK1514" s="2">
        <v>16.76864931011</v>
      </c>
      <c r="AL1514" s="2">
        <v>16.807526241984601</v>
      </c>
      <c r="AM1514" s="2">
        <v>17.039166995468101</v>
      </c>
      <c r="AN1514" s="2">
        <v>17.021012590965501</v>
      </c>
      <c r="AO1514" s="2">
        <v>17.3777077270408</v>
      </c>
      <c r="AP1514" s="2">
        <v>17.181508013313898</v>
      </c>
      <c r="AQ1514" s="2">
        <v>17.3471780703394</v>
      </c>
      <c r="AR1514" s="2">
        <v>16.789664306877398</v>
      </c>
      <c r="AS1514" s="2">
        <v>16.958151885959101</v>
      </c>
      <c r="AT1514" s="2">
        <v>16.730452756170699</v>
      </c>
      <c r="AU1514" s="2">
        <v>15.3701155683764</v>
      </c>
      <c r="AV1514" s="2">
        <v>16.988212578637999</v>
      </c>
      <c r="AW1514" s="2">
        <v>16.9475681115388</v>
      </c>
      <c r="AX1514" s="2">
        <v>17.164374889769899</v>
      </c>
      <c r="AY1514" s="2">
        <v>16.9585233764066</v>
      </c>
      <c r="AZ1514" s="2">
        <v>17.290398069889001</v>
      </c>
      <c r="BA1514" s="2">
        <v>16.753080784855001</v>
      </c>
      <c r="BB1514" s="2">
        <v>17.106736417364701</v>
      </c>
      <c r="BC1514" s="2">
        <v>16.153524521759302</v>
      </c>
      <c r="BD1514" s="2">
        <v>16.971690496775999</v>
      </c>
      <c r="BE1514" s="2">
        <v>16.9679740531957</v>
      </c>
      <c r="BF1514" s="2">
        <v>17.1190404005443</v>
      </c>
      <c r="BG1514" s="2">
        <v>17.4567069434699</v>
      </c>
      <c r="BH1514" s="2">
        <v>17.089344646217299</v>
      </c>
      <c r="BI1514" s="2">
        <v>17.0951960048736</v>
      </c>
      <c r="BJ1514" s="2">
        <v>17.2752190737353</v>
      </c>
      <c r="BK1514" s="2">
        <v>16.956748218584298</v>
      </c>
      <c r="BL1514" s="2">
        <v>16.9926652167448</v>
      </c>
      <c r="BM1514" s="2">
        <v>16.617946638716901</v>
      </c>
      <c r="BN1514" s="2">
        <v>17.283233440208502</v>
      </c>
      <c r="BO1514" s="2">
        <v>17.2997185247361</v>
      </c>
      <c r="BP1514" s="2">
        <v>17.631252525737601</v>
      </c>
      <c r="BQ1514" s="2">
        <v>17.1304545296159</v>
      </c>
      <c r="BR1514" s="2">
        <v>17.299778078006</v>
      </c>
      <c r="BS1514" s="2">
        <v>16.931351917970201</v>
      </c>
      <c r="BT1514" s="2">
        <v>17.1479807691783</v>
      </c>
      <c r="BU1514" s="2">
        <v>17.246715644254301</v>
      </c>
      <c r="BV1514" s="2">
        <v>16.824937366373899</v>
      </c>
      <c r="BW1514" s="2">
        <v>16.961969516304102</v>
      </c>
      <c r="BX1514" s="2">
        <v>17.1476831200799</v>
      </c>
      <c r="BY1514" s="2">
        <v>17.357015670749998</v>
      </c>
      <c r="BZ1514" s="2">
        <v>17.258861627277199</v>
      </c>
      <c r="CA1514" s="2">
        <v>16.890548578887401</v>
      </c>
      <c r="CB1514" s="2">
        <v>17.514671295914098</v>
      </c>
      <c r="CC1514" s="2">
        <v>17.360143564557401</v>
      </c>
      <c r="CD1514" s="2">
        <v>17.629048981405401</v>
      </c>
      <c r="CE1514" s="2">
        <v>17.414373410874699</v>
      </c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</row>
    <row r="1515" spans="1:97">
      <c r="A1515" s="2" t="s">
        <v>13490</v>
      </c>
      <c r="B1515" s="2">
        <v>333.14371</v>
      </c>
      <c r="C1515" s="2">
        <v>5.7050000000000001</v>
      </c>
      <c r="D1515" s="2" t="s">
        <v>84</v>
      </c>
      <c r="E1515" s="2" t="s">
        <v>13491</v>
      </c>
      <c r="F1515" s="2" t="s">
        <v>13492</v>
      </c>
      <c r="G1515" s="2">
        <v>54293</v>
      </c>
      <c r="H1515" s="3" t="str">
        <f>HYPERLINK("https://cloud.oebiotech.com/#/lm/network/54293", "https://cloud.oebiotech.com/#/lm/network/54293")</f>
        <v>https://cloud.oebiotech.com/#/lm/network/54293</v>
      </c>
      <c r="I1515" s="2" t="s">
        <v>13493</v>
      </c>
      <c r="J1515" s="2">
        <v>86188</v>
      </c>
      <c r="K1515" s="2"/>
      <c r="L1515" s="2">
        <v>5494828</v>
      </c>
      <c r="M1515" s="2"/>
      <c r="N1515" s="2"/>
      <c r="O1515" s="2"/>
      <c r="P1515" s="2">
        <v>172546</v>
      </c>
      <c r="Q1515" s="2"/>
      <c r="R1515" s="2"/>
      <c r="S1515" s="2" t="s">
        <v>13494</v>
      </c>
      <c r="T1515" s="2" t="s">
        <v>13495</v>
      </c>
      <c r="U1515" s="2" t="s">
        <v>13496</v>
      </c>
      <c r="V1515" s="2" t="s">
        <v>553</v>
      </c>
      <c r="W1515" s="2" t="s">
        <v>1599</v>
      </c>
      <c r="X1515" s="2" t="s">
        <v>11153</v>
      </c>
      <c r="Y1515" s="2" t="s">
        <v>556</v>
      </c>
      <c r="Z1515" s="2" t="s">
        <v>1601</v>
      </c>
      <c r="AA1515" s="2" t="s">
        <v>11154</v>
      </c>
      <c r="AB1515" s="2" t="s">
        <v>5118</v>
      </c>
      <c r="AC1515" s="2">
        <v>43.91</v>
      </c>
      <c r="AD1515" s="2">
        <v>87.76</v>
      </c>
      <c r="AE1515" s="2">
        <v>48.5</v>
      </c>
      <c r="AF1515" s="2" t="s">
        <v>13497</v>
      </c>
      <c r="AG1515" s="2" t="s">
        <v>132</v>
      </c>
      <c r="AH1515" s="2" t="s">
        <v>13498</v>
      </c>
      <c r="AI1515" s="2">
        <v>2.4</v>
      </c>
      <c r="AJ1515" s="2">
        <v>20.0961581976917</v>
      </c>
      <c r="AK1515" s="2">
        <v>20.183618506288902</v>
      </c>
      <c r="AL1515" s="2">
        <v>20.335990694787899</v>
      </c>
      <c r="AM1515" s="2">
        <v>20.250217908124199</v>
      </c>
      <c r="AN1515" s="2">
        <v>20.346694366050901</v>
      </c>
      <c r="AO1515" s="2">
        <v>20.230395341954701</v>
      </c>
      <c r="AP1515" s="2">
        <v>19.966386526390099</v>
      </c>
      <c r="AQ1515" s="2">
        <v>20.492206741036298</v>
      </c>
      <c r="AR1515" s="2">
        <v>17.958462544173099</v>
      </c>
      <c r="AS1515" s="2">
        <v>19.463615668322799</v>
      </c>
      <c r="AT1515" s="2">
        <v>19.931514452818199</v>
      </c>
      <c r="AU1515" s="2">
        <v>17.616398650948099</v>
      </c>
      <c r="AV1515" s="2">
        <v>19.3118370795918</v>
      </c>
      <c r="AW1515" s="2">
        <v>19.9373861200162</v>
      </c>
      <c r="AX1515" s="2">
        <v>20.0611457539468</v>
      </c>
      <c r="AY1515" s="2">
        <v>20.086383412718501</v>
      </c>
      <c r="AZ1515" s="2">
        <v>18.6084053235071</v>
      </c>
      <c r="BA1515" s="2">
        <v>19.323810189540101</v>
      </c>
      <c r="BB1515" s="2">
        <v>19.998252437542899</v>
      </c>
      <c r="BC1515" s="2">
        <v>20.063909837017</v>
      </c>
      <c r="BD1515" s="2">
        <v>17.693377101367702</v>
      </c>
      <c r="BE1515" s="2">
        <v>21.126277819736401</v>
      </c>
      <c r="BF1515" s="2">
        <v>19.1406390037912</v>
      </c>
      <c r="BG1515" s="2">
        <v>20.555761213163201</v>
      </c>
      <c r="BH1515" s="2">
        <v>19.608926560522601</v>
      </c>
      <c r="BI1515" s="2">
        <v>20.441036662793099</v>
      </c>
      <c r="BJ1515" s="2">
        <v>20.322455118558999</v>
      </c>
      <c r="BK1515" s="2">
        <v>18.854070485995301</v>
      </c>
      <c r="BL1515" s="2">
        <v>19.646535489344402</v>
      </c>
      <c r="BM1515" s="2">
        <v>17.428007766060201</v>
      </c>
      <c r="BN1515" s="2">
        <v>19.7732727464394</v>
      </c>
      <c r="BO1515" s="2">
        <v>20.627120395872801</v>
      </c>
      <c r="BP1515" s="2">
        <v>19.935140455123101</v>
      </c>
      <c r="BQ1515" s="2">
        <v>19.650775776285698</v>
      </c>
      <c r="BR1515" s="2">
        <v>20.230271478724202</v>
      </c>
      <c r="BS1515" s="2">
        <v>19.624461461338601</v>
      </c>
      <c r="BT1515" s="2">
        <v>18.808780584516299</v>
      </c>
      <c r="BU1515" s="2">
        <v>19.383006030989701</v>
      </c>
      <c r="BV1515" s="2">
        <v>19.9891978805503</v>
      </c>
      <c r="BW1515" s="2">
        <v>19.262348169460299</v>
      </c>
      <c r="BX1515" s="2">
        <v>18.926213573561</v>
      </c>
      <c r="BY1515" s="2">
        <v>20.9957155622484</v>
      </c>
      <c r="BZ1515" s="2">
        <v>18.139643576257502</v>
      </c>
      <c r="CA1515" s="2">
        <v>19.325749508478999</v>
      </c>
      <c r="CB1515" s="2">
        <v>20.342668989517101</v>
      </c>
      <c r="CC1515" s="2">
        <v>19.574691766942699</v>
      </c>
      <c r="CD1515" s="2">
        <v>20.705665069676201</v>
      </c>
      <c r="CE1515" s="2">
        <v>20.400819495032898</v>
      </c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</row>
    <row r="1516" spans="1:97">
      <c r="A1516" s="2" t="s">
        <v>13499</v>
      </c>
      <c r="B1516" s="2">
        <v>364.03456999999997</v>
      </c>
      <c r="C1516" s="2">
        <v>4.2809999999999997</v>
      </c>
      <c r="D1516" s="2" t="s">
        <v>84</v>
      </c>
      <c r="E1516" s="2" t="s">
        <v>13500</v>
      </c>
      <c r="F1516" s="2" t="s">
        <v>13501</v>
      </c>
      <c r="G1516" s="2">
        <v>63012</v>
      </c>
      <c r="H1516" s="3" t="str">
        <f>HYPERLINK("https://cloud.oebiotech.com/#/lm/network/63012", "https://cloud.oebiotech.com/#/lm/network/63012")</f>
        <v>https://cloud.oebiotech.com/#/lm/network/63012</v>
      </c>
      <c r="I1516" s="2" t="s">
        <v>13502</v>
      </c>
      <c r="J1516" s="2">
        <v>94308</v>
      </c>
      <c r="K1516" s="2"/>
      <c r="L1516" s="2">
        <v>4472903</v>
      </c>
      <c r="M1516" s="2"/>
      <c r="N1516" s="2"/>
      <c r="O1516" s="2"/>
      <c r="P1516" s="2"/>
      <c r="Q1516" s="2"/>
      <c r="R1516" s="2"/>
      <c r="S1516" s="2" t="s">
        <v>13503</v>
      </c>
      <c r="T1516" s="2" t="s">
        <v>13504</v>
      </c>
      <c r="U1516" s="2" t="s">
        <v>13505</v>
      </c>
      <c r="V1516" s="2" t="s">
        <v>374</v>
      </c>
      <c r="W1516" s="2" t="s">
        <v>6758</v>
      </c>
      <c r="X1516" s="2" t="s">
        <v>13506</v>
      </c>
      <c r="Y1516" s="2" t="s">
        <v>376</v>
      </c>
      <c r="Z1516" s="2" t="s">
        <v>6759</v>
      </c>
      <c r="AA1516" s="2" t="s">
        <v>13507</v>
      </c>
      <c r="AB1516" s="2" t="s">
        <v>5118</v>
      </c>
      <c r="AC1516" s="2">
        <v>43.91</v>
      </c>
      <c r="AD1516" s="2">
        <v>74.89</v>
      </c>
      <c r="AE1516" s="2">
        <v>55.85</v>
      </c>
      <c r="AF1516" s="2" t="s">
        <v>13508</v>
      </c>
      <c r="AG1516" s="2" t="s">
        <v>1578</v>
      </c>
      <c r="AH1516" s="2" t="s">
        <v>13509</v>
      </c>
      <c r="AI1516" s="2">
        <v>0.27</v>
      </c>
      <c r="AJ1516" s="2">
        <v>17.854014707390501</v>
      </c>
      <c r="AK1516" s="2">
        <v>18.151019017134399</v>
      </c>
      <c r="AL1516" s="2">
        <v>18.0979663679224</v>
      </c>
      <c r="AM1516" s="2">
        <v>18.473465169421001</v>
      </c>
      <c r="AN1516" s="2">
        <v>18.3408424883043</v>
      </c>
      <c r="AO1516" s="2">
        <v>18.5192146783662</v>
      </c>
      <c r="AP1516" s="2">
        <v>17.905190952909901</v>
      </c>
      <c r="AQ1516" s="2">
        <v>18.1784224883801</v>
      </c>
      <c r="AR1516" s="2">
        <v>16.567557598248101</v>
      </c>
      <c r="AS1516" s="2">
        <v>15.689289058052999</v>
      </c>
      <c r="AT1516" s="2">
        <v>9.6233145402724691</v>
      </c>
      <c r="AU1516" s="2">
        <v>14.076282836983101</v>
      </c>
      <c r="AV1516" s="2">
        <v>19.343646202072801</v>
      </c>
      <c r="AW1516" s="2">
        <v>17.922045195961601</v>
      </c>
      <c r="AX1516" s="2">
        <v>19.211359855195099</v>
      </c>
      <c r="AY1516" s="2">
        <v>17.539486679744002</v>
      </c>
      <c r="AZ1516" s="2">
        <v>17.5401846576802</v>
      </c>
      <c r="BA1516" s="2">
        <v>18.264551961968898</v>
      </c>
      <c r="BB1516" s="2">
        <v>19.041081608353799</v>
      </c>
      <c r="BC1516" s="2">
        <v>14.914464085779301</v>
      </c>
      <c r="BD1516" s="2">
        <v>18.287906679453201</v>
      </c>
      <c r="BE1516" s="2">
        <v>19.769271387745501</v>
      </c>
      <c r="BF1516" s="2">
        <v>17.5772607113406</v>
      </c>
      <c r="BG1516" s="2">
        <v>18.898150268034399</v>
      </c>
      <c r="BH1516" s="2">
        <v>19.097839660056401</v>
      </c>
      <c r="BI1516" s="2">
        <v>19.774006897479602</v>
      </c>
      <c r="BJ1516" s="2">
        <v>18.925207052532699</v>
      </c>
      <c r="BK1516" s="2">
        <v>19.192649012900102</v>
      </c>
      <c r="BL1516" s="2">
        <v>18.964643061752302</v>
      </c>
      <c r="BM1516" s="2">
        <v>17.8298841127048</v>
      </c>
      <c r="BN1516" s="2">
        <v>15.394066729815499</v>
      </c>
      <c r="BO1516" s="2">
        <v>9.6233145402724691</v>
      </c>
      <c r="BP1516" s="2">
        <v>19.015813159722601</v>
      </c>
      <c r="BQ1516" s="2">
        <v>18.171216583047599</v>
      </c>
      <c r="BR1516" s="2">
        <v>17.184883863955601</v>
      </c>
      <c r="BS1516" s="2">
        <v>18.497720842014299</v>
      </c>
      <c r="BT1516" s="2">
        <v>19.236862028866099</v>
      </c>
      <c r="BU1516" s="2">
        <v>16.9052393807284</v>
      </c>
      <c r="BV1516" s="2">
        <v>16.6667776694912</v>
      </c>
      <c r="BW1516" s="2">
        <v>9.6233145402724691</v>
      </c>
      <c r="BX1516" s="2">
        <v>18.028901856421601</v>
      </c>
      <c r="BY1516" s="2">
        <v>19.4865153908774</v>
      </c>
      <c r="BZ1516" s="2">
        <v>17.793811570643602</v>
      </c>
      <c r="CA1516" s="2">
        <v>15.8330059332971</v>
      </c>
      <c r="CB1516" s="2">
        <v>18.339412443927401</v>
      </c>
      <c r="CC1516" s="2">
        <v>17.491157567220998</v>
      </c>
      <c r="CD1516" s="2">
        <v>18.370380144198801</v>
      </c>
      <c r="CE1516" s="2">
        <v>17.284194681194599</v>
      </c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</row>
    <row r="1517" spans="1:97">
      <c r="A1517" s="2" t="s">
        <v>13510</v>
      </c>
      <c r="B1517" s="2">
        <v>538.48220000000003</v>
      </c>
      <c r="C1517" s="2">
        <v>11.984999999999999</v>
      </c>
      <c r="D1517" s="2" t="s">
        <v>84</v>
      </c>
      <c r="E1517" s="2" t="s">
        <v>13511</v>
      </c>
      <c r="F1517" s="2" t="s">
        <v>13512</v>
      </c>
      <c r="G1517" s="2">
        <v>198175</v>
      </c>
      <c r="H1517" s="3" t="str">
        <f>HYPERLINK("https://cloud.oebiotech.com/#/lm/network/198175", "https://cloud.oebiotech.com/#/lm/network/198175")</f>
        <v>https://cloud.oebiotech.com/#/lm/network/198175</v>
      </c>
      <c r="I1517" s="2" t="s">
        <v>13513</v>
      </c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 t="s">
        <v>13514</v>
      </c>
      <c r="U1517" s="2" t="s">
        <v>13515</v>
      </c>
      <c r="V1517" s="2" t="s">
        <v>95</v>
      </c>
      <c r="W1517" s="2" t="s">
        <v>96</v>
      </c>
      <c r="X1517" s="2" t="s">
        <v>97</v>
      </c>
      <c r="Y1517" s="2" t="s">
        <v>98</v>
      </c>
      <c r="Z1517" s="2" t="s">
        <v>99</v>
      </c>
      <c r="AA1517" s="2" t="s">
        <v>100</v>
      </c>
      <c r="AB1517" s="2" t="s">
        <v>8443</v>
      </c>
      <c r="AC1517" s="2">
        <v>43.91</v>
      </c>
      <c r="AD1517" s="2">
        <v>94.25</v>
      </c>
      <c r="AE1517" s="2">
        <v>34.68</v>
      </c>
      <c r="AF1517" s="2" t="s">
        <v>13516</v>
      </c>
      <c r="AG1517" s="2" t="s">
        <v>103</v>
      </c>
      <c r="AH1517" s="2" t="s">
        <v>13517</v>
      </c>
      <c r="AI1517" s="2">
        <v>1.49</v>
      </c>
      <c r="AJ1517" s="2">
        <v>21.968045070971701</v>
      </c>
      <c r="AK1517" s="2">
        <v>21.939677864954</v>
      </c>
      <c r="AL1517" s="2">
        <v>22.110538198453099</v>
      </c>
      <c r="AM1517" s="2">
        <v>22.168389426626199</v>
      </c>
      <c r="AN1517" s="2">
        <v>22.069196100498601</v>
      </c>
      <c r="AO1517" s="2">
        <v>21.5776632568903</v>
      </c>
      <c r="AP1517" s="2">
        <v>20.9914704098986</v>
      </c>
      <c r="AQ1517" s="2">
        <v>22.185429774807901</v>
      </c>
      <c r="AR1517" s="2">
        <v>22.249584812816298</v>
      </c>
      <c r="AS1517" s="2">
        <v>20.479717297079901</v>
      </c>
      <c r="AT1517" s="2">
        <v>21.732536081536399</v>
      </c>
      <c r="AU1517" s="2">
        <v>20.590481096645501</v>
      </c>
      <c r="AV1517" s="2">
        <v>22.6757571512032</v>
      </c>
      <c r="AW1517" s="2">
        <v>21.835537478687399</v>
      </c>
      <c r="AX1517" s="2">
        <v>21.432023660935702</v>
      </c>
      <c r="AY1517" s="2">
        <v>22.013978652895801</v>
      </c>
      <c r="AZ1517" s="2">
        <v>21.878141910751701</v>
      </c>
      <c r="BA1517" s="2">
        <v>21.247829299679399</v>
      </c>
      <c r="BB1517" s="2">
        <v>21.1991700497205</v>
      </c>
      <c r="BC1517" s="2">
        <v>22.642722820966299</v>
      </c>
      <c r="BD1517" s="2">
        <v>22.034581368605501</v>
      </c>
      <c r="BE1517" s="2">
        <v>21.960236365957901</v>
      </c>
      <c r="BF1517" s="2">
        <v>22.252937199797401</v>
      </c>
      <c r="BG1517" s="2">
        <v>21.406851964869499</v>
      </c>
      <c r="BH1517" s="2">
        <v>21.843634697142502</v>
      </c>
      <c r="BI1517" s="2">
        <v>21.290643008610701</v>
      </c>
      <c r="BJ1517" s="2">
        <v>21.695205479835298</v>
      </c>
      <c r="BK1517" s="2">
        <v>21.717504673991499</v>
      </c>
      <c r="BL1517" s="2">
        <v>22.266586598840501</v>
      </c>
      <c r="BM1517" s="2">
        <v>22.064257348942501</v>
      </c>
      <c r="BN1517" s="2">
        <v>21.94098248529</v>
      </c>
      <c r="BO1517" s="2">
        <v>21.1387531961653</v>
      </c>
      <c r="BP1517" s="2">
        <v>22.9177956871467</v>
      </c>
      <c r="BQ1517" s="2">
        <v>21.788308711229199</v>
      </c>
      <c r="BR1517" s="2">
        <v>22.254020711671899</v>
      </c>
      <c r="BS1517" s="2">
        <v>22.313111946871601</v>
      </c>
      <c r="BT1517" s="2">
        <v>22.450171022433299</v>
      </c>
      <c r="BU1517" s="2">
        <v>21.281955958070299</v>
      </c>
      <c r="BV1517" s="2">
        <v>20.6151671281179</v>
      </c>
      <c r="BW1517" s="2">
        <v>22.420093634952199</v>
      </c>
      <c r="BX1517" s="2">
        <v>22.285221883694302</v>
      </c>
      <c r="BY1517" s="2">
        <v>22.373493376495201</v>
      </c>
      <c r="BZ1517" s="2">
        <v>22.108391956456</v>
      </c>
      <c r="CA1517" s="2">
        <v>22.255785550082201</v>
      </c>
      <c r="CB1517" s="2">
        <v>20.636289051699599</v>
      </c>
      <c r="CC1517" s="2">
        <v>21.180903320790101</v>
      </c>
      <c r="CD1517" s="2">
        <v>21.134982696195699</v>
      </c>
      <c r="CE1517" s="2">
        <v>20.48570780963</v>
      </c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</row>
    <row r="1518" spans="1:97">
      <c r="A1518" s="2" t="s">
        <v>13518</v>
      </c>
      <c r="B1518" s="2">
        <v>172.02959999999999</v>
      </c>
      <c r="C1518" s="2">
        <v>0.85199999999999998</v>
      </c>
      <c r="D1518" s="2" t="s">
        <v>146</v>
      </c>
      <c r="E1518" s="2" t="s">
        <v>13519</v>
      </c>
      <c r="F1518" s="2" t="s">
        <v>13520</v>
      </c>
      <c r="G1518" s="2">
        <v>53205</v>
      </c>
      <c r="H1518" s="3" t="str">
        <f>HYPERLINK("https://cloud.oebiotech.com/#/lm/network/53205", "https://cloud.oebiotech.com/#/lm/network/53205")</f>
        <v>https://cloud.oebiotech.com/#/lm/network/53205</v>
      </c>
      <c r="I1518" s="2" t="s">
        <v>13521</v>
      </c>
      <c r="J1518" s="2">
        <v>788</v>
      </c>
      <c r="K1518" s="2"/>
      <c r="L1518" s="2">
        <v>3767</v>
      </c>
      <c r="M1518" s="2" t="s">
        <v>13522</v>
      </c>
      <c r="N1518" s="2"/>
      <c r="O1518" s="2"/>
      <c r="P1518" s="2">
        <v>6030</v>
      </c>
      <c r="Q1518" s="2" t="s">
        <v>13523</v>
      </c>
      <c r="R1518" s="2" t="s">
        <v>13524</v>
      </c>
      <c r="S1518" s="2" t="s">
        <v>13525</v>
      </c>
      <c r="T1518" s="2" t="s">
        <v>13526</v>
      </c>
      <c r="U1518" s="2" t="s">
        <v>13527</v>
      </c>
      <c r="V1518" s="2" t="s">
        <v>553</v>
      </c>
      <c r="W1518" s="2" t="s">
        <v>2447</v>
      </c>
      <c r="X1518" s="2" t="s">
        <v>2448</v>
      </c>
      <c r="Y1518" s="2" t="s">
        <v>556</v>
      </c>
      <c r="Z1518" s="2" t="s">
        <v>2449</v>
      </c>
      <c r="AA1518" s="2" t="s">
        <v>2450</v>
      </c>
      <c r="AB1518" s="2" t="s">
        <v>3086</v>
      </c>
      <c r="AC1518" s="2">
        <v>43.9</v>
      </c>
      <c r="AD1518" s="2">
        <v>78.260000000000005</v>
      </c>
      <c r="AE1518" s="2">
        <v>0</v>
      </c>
      <c r="AF1518" s="2" t="s">
        <v>5614</v>
      </c>
      <c r="AG1518" s="2" t="s">
        <v>4062</v>
      </c>
      <c r="AH1518" s="2" t="s">
        <v>13528</v>
      </c>
      <c r="AI1518" s="2">
        <v>-7.56</v>
      </c>
      <c r="AJ1518" s="2">
        <v>18.601218081723999</v>
      </c>
      <c r="AK1518" s="2">
        <v>18.762619704075501</v>
      </c>
      <c r="AL1518" s="2">
        <v>19.3710956906692</v>
      </c>
      <c r="AM1518" s="2">
        <v>18.370253354823902</v>
      </c>
      <c r="AN1518" s="2">
        <v>19.322590007433199</v>
      </c>
      <c r="AO1518" s="2">
        <v>19.025196430228402</v>
      </c>
      <c r="AP1518" s="2">
        <v>18.291682753305501</v>
      </c>
      <c r="AQ1518" s="2">
        <v>18.729744268496599</v>
      </c>
      <c r="AR1518" s="2">
        <v>18.181201961264801</v>
      </c>
      <c r="AS1518" s="2">
        <v>18.056768093632702</v>
      </c>
      <c r="AT1518" s="2">
        <v>18.683474003764001</v>
      </c>
      <c r="AU1518" s="2">
        <v>19.0317152275579</v>
      </c>
      <c r="AV1518" s="2">
        <v>19.316883037571401</v>
      </c>
      <c r="AW1518" s="2">
        <v>19.019564505000201</v>
      </c>
      <c r="AX1518" s="2">
        <v>17.964415216479701</v>
      </c>
      <c r="AY1518" s="2">
        <v>18.930237502108</v>
      </c>
      <c r="AZ1518" s="2">
        <v>16.699594683459001</v>
      </c>
      <c r="BA1518" s="2">
        <v>18.491385780631798</v>
      </c>
      <c r="BB1518" s="2">
        <v>19.523109817899801</v>
      </c>
      <c r="BC1518" s="2">
        <v>19.976473602536998</v>
      </c>
      <c r="BD1518" s="2">
        <v>17.484782387110599</v>
      </c>
      <c r="BE1518" s="2">
        <v>17.955778503059001</v>
      </c>
      <c r="BF1518" s="2">
        <v>18.814615070866299</v>
      </c>
      <c r="BG1518" s="2">
        <v>19.347261675006699</v>
      </c>
      <c r="BH1518" s="2">
        <v>19.648938328231001</v>
      </c>
      <c r="BI1518" s="2">
        <v>18.9001310248842</v>
      </c>
      <c r="BJ1518" s="2">
        <v>18.5162055228448</v>
      </c>
      <c r="BK1518" s="2">
        <v>18.473898581154</v>
      </c>
      <c r="BL1518" s="2">
        <v>18.142392745271401</v>
      </c>
      <c r="BM1518" s="2">
        <v>19.0349080695702</v>
      </c>
      <c r="BN1518" s="2">
        <v>18.922425490087502</v>
      </c>
      <c r="BO1518" s="2">
        <v>18.1005491620875</v>
      </c>
      <c r="BP1518" s="2">
        <v>18.9965258432957</v>
      </c>
      <c r="BQ1518" s="2">
        <v>19.031194898983099</v>
      </c>
      <c r="BR1518" s="2">
        <v>19.2636592783734</v>
      </c>
      <c r="BS1518" s="2">
        <v>18.442945398647701</v>
      </c>
      <c r="BT1518" s="2">
        <v>18.589147115786002</v>
      </c>
      <c r="BU1518" s="2">
        <v>18.4736052815487</v>
      </c>
      <c r="BV1518" s="2">
        <v>18.8111873635644</v>
      </c>
      <c r="BW1518" s="2">
        <v>19.727128588551</v>
      </c>
      <c r="BX1518" s="2">
        <v>18.749580651347799</v>
      </c>
      <c r="BY1518" s="2">
        <v>19.183183814442501</v>
      </c>
      <c r="BZ1518" s="2">
        <v>19.0662246575525</v>
      </c>
      <c r="CA1518" s="2">
        <v>17.4250638385071</v>
      </c>
      <c r="CB1518" s="2">
        <v>18.494189243327298</v>
      </c>
      <c r="CC1518" s="2">
        <v>19.400056464602599</v>
      </c>
      <c r="CD1518" s="2">
        <v>18.613230262871699</v>
      </c>
      <c r="CE1518" s="2">
        <v>19.023143762764001</v>
      </c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</row>
    <row r="1519" spans="1:97">
      <c r="A1519" s="2" t="s">
        <v>13529</v>
      </c>
      <c r="B1519" s="2">
        <v>142.99270000000001</v>
      </c>
      <c r="C1519" s="2">
        <v>0.81200000000000006</v>
      </c>
      <c r="D1519" s="2" t="s">
        <v>146</v>
      </c>
      <c r="E1519" s="2" t="s">
        <v>13530</v>
      </c>
      <c r="F1519" s="2" t="s">
        <v>13531</v>
      </c>
      <c r="G1519" s="2">
        <v>200754</v>
      </c>
      <c r="H1519" s="3" t="str">
        <f>HYPERLINK("https://cloud.oebiotech.com/#/lm/network/200754", "https://cloud.oebiotech.com/#/lm/network/200754")</f>
        <v>https://cloud.oebiotech.com/#/lm/network/200754</v>
      </c>
      <c r="I1519" s="2" t="s">
        <v>13532</v>
      </c>
      <c r="J1519" s="2">
        <v>337705</v>
      </c>
      <c r="K1519" s="2"/>
      <c r="L1519" s="2">
        <v>10437</v>
      </c>
      <c r="M1519" s="2"/>
      <c r="N1519" s="2"/>
      <c r="O1519" s="2"/>
      <c r="P1519" s="2">
        <v>33202</v>
      </c>
      <c r="Q1519" s="2"/>
      <c r="R1519" s="2"/>
      <c r="S1519" s="2"/>
      <c r="T1519" s="2" t="s">
        <v>13533</v>
      </c>
      <c r="U1519" s="2" t="s">
        <v>13534</v>
      </c>
      <c r="V1519" s="2" t="s">
        <v>553</v>
      </c>
      <c r="W1519" s="2" t="s">
        <v>6104</v>
      </c>
      <c r="X1519" s="2" t="s">
        <v>6105</v>
      </c>
      <c r="Y1519" s="2" t="s">
        <v>556</v>
      </c>
      <c r="Z1519" s="2" t="s">
        <v>6106</v>
      </c>
      <c r="AA1519" s="2" t="s">
        <v>6107</v>
      </c>
      <c r="AB1519" s="2" t="s">
        <v>8443</v>
      </c>
      <c r="AC1519" s="2">
        <v>43.9</v>
      </c>
      <c r="AD1519" s="2">
        <v>94.25</v>
      </c>
      <c r="AE1519" s="2">
        <v>0</v>
      </c>
      <c r="AF1519" s="2" t="s">
        <v>5614</v>
      </c>
      <c r="AG1519" s="2" t="s">
        <v>194</v>
      </c>
      <c r="AH1519" s="2" t="s">
        <v>13535</v>
      </c>
      <c r="AI1519" s="2">
        <v>-4.2</v>
      </c>
      <c r="AJ1519" s="2">
        <v>18.726054739739901</v>
      </c>
      <c r="AK1519" s="2">
        <v>19.743133261014801</v>
      </c>
      <c r="AL1519" s="2">
        <v>19.3160775554318</v>
      </c>
      <c r="AM1519" s="2">
        <v>19.302621834161101</v>
      </c>
      <c r="AN1519" s="2">
        <v>19.181279354012599</v>
      </c>
      <c r="AO1519" s="2">
        <v>19.3831442165006</v>
      </c>
      <c r="AP1519" s="2">
        <v>19.295464843921799</v>
      </c>
      <c r="AQ1519" s="2">
        <v>19.449333864164</v>
      </c>
      <c r="AR1519" s="2">
        <v>19.609745570942401</v>
      </c>
      <c r="AS1519" s="2">
        <v>18.5633522557813</v>
      </c>
      <c r="AT1519" s="2">
        <v>17.635596691033101</v>
      </c>
      <c r="AU1519" s="2">
        <v>17.288140706218201</v>
      </c>
      <c r="AV1519" s="2">
        <v>19.305069678116698</v>
      </c>
      <c r="AW1519" s="2">
        <v>19.096230057314902</v>
      </c>
      <c r="AX1519" s="2">
        <v>19.756933218413199</v>
      </c>
      <c r="AY1519" s="2">
        <v>19.5262831816691</v>
      </c>
      <c r="AZ1519" s="2">
        <v>18.8899820573569</v>
      </c>
      <c r="BA1519" s="2">
        <v>17.849986802238998</v>
      </c>
      <c r="BB1519" s="2">
        <v>19.7671228298084</v>
      </c>
      <c r="BC1519" s="2">
        <v>19.712230130744999</v>
      </c>
      <c r="BD1519" s="2">
        <v>19.808440123335501</v>
      </c>
      <c r="BE1519" s="2">
        <v>19.105531845591301</v>
      </c>
      <c r="BF1519" s="2">
        <v>19.606867060433601</v>
      </c>
      <c r="BG1519" s="2">
        <v>19.4008801448912</v>
      </c>
      <c r="BH1519" s="2">
        <v>19.697255622297799</v>
      </c>
      <c r="BI1519" s="2">
        <v>19.808063921713799</v>
      </c>
      <c r="BJ1519" s="2">
        <v>18.383752758883801</v>
      </c>
      <c r="BK1519" s="2">
        <v>18.760201808161</v>
      </c>
      <c r="BL1519" s="2">
        <v>19.277224231795401</v>
      </c>
      <c r="BM1519" s="2">
        <v>16.932582485275699</v>
      </c>
      <c r="BN1519" s="2">
        <v>18.620028262141101</v>
      </c>
      <c r="BO1519" s="2">
        <v>18.201675160342699</v>
      </c>
      <c r="BP1519" s="2">
        <v>18.3247830529785</v>
      </c>
      <c r="BQ1519" s="2">
        <v>18.194354762170001</v>
      </c>
      <c r="BR1519" s="2">
        <v>18.5056244143633</v>
      </c>
      <c r="BS1519" s="2">
        <v>19.189206520841701</v>
      </c>
      <c r="BT1519" s="2">
        <v>9.6233145402724691</v>
      </c>
      <c r="BU1519" s="2">
        <v>20.246389703651801</v>
      </c>
      <c r="BV1519" s="2">
        <v>19.611407216610001</v>
      </c>
      <c r="BW1519" s="2">
        <v>18.228740777224299</v>
      </c>
      <c r="BX1519" s="2">
        <v>17.7264184162451</v>
      </c>
      <c r="BY1519" s="2">
        <v>19.784542578415302</v>
      </c>
      <c r="BZ1519" s="2">
        <v>18.8339476472513</v>
      </c>
      <c r="CA1519" s="2">
        <v>20.667933606145699</v>
      </c>
      <c r="CB1519" s="2">
        <v>17.5528398041264</v>
      </c>
      <c r="CC1519" s="2">
        <v>18.654533662461301</v>
      </c>
      <c r="CD1519" s="2">
        <v>19.1195976497625</v>
      </c>
      <c r="CE1519" s="2">
        <v>17.794935282161799</v>
      </c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</row>
    <row r="1520" spans="1:97">
      <c r="A1520" s="2" t="s">
        <v>13536</v>
      </c>
      <c r="B1520" s="2">
        <v>285.24302999999998</v>
      </c>
      <c r="C1520" s="2">
        <v>10.965999999999999</v>
      </c>
      <c r="D1520" s="2" t="s">
        <v>146</v>
      </c>
      <c r="E1520" s="2" t="s">
        <v>13537</v>
      </c>
      <c r="F1520" s="2" t="s">
        <v>13538</v>
      </c>
      <c r="G1520" s="2">
        <v>1697</v>
      </c>
      <c r="H1520" s="3" t="str">
        <f>HYPERLINK("https://cloud.oebiotech.com/#/lm/network/1697", "https://cloud.oebiotech.com/#/lm/network/1697")</f>
        <v>https://cloud.oebiotech.com/#/lm/network/1697</v>
      </c>
      <c r="I1520" s="2"/>
      <c r="J1520" s="2">
        <v>74500</v>
      </c>
      <c r="K1520" s="2" t="s">
        <v>13539</v>
      </c>
      <c r="L1520" s="2">
        <v>4308451</v>
      </c>
      <c r="M1520" s="2"/>
      <c r="N1520" s="2"/>
      <c r="O1520" s="2"/>
      <c r="P1520" s="2">
        <v>79177</v>
      </c>
      <c r="Q1520" s="2"/>
      <c r="R1520" s="2"/>
      <c r="S1520" s="2"/>
      <c r="T1520" s="2" t="s">
        <v>13540</v>
      </c>
      <c r="U1520" s="2" t="s">
        <v>13541</v>
      </c>
      <c r="V1520" s="2" t="s">
        <v>95</v>
      </c>
      <c r="W1520" s="2" t="s">
        <v>96</v>
      </c>
      <c r="X1520" s="2" t="s">
        <v>141</v>
      </c>
      <c r="Y1520" s="2" t="s">
        <v>98</v>
      </c>
      <c r="Z1520" s="2" t="s">
        <v>99</v>
      </c>
      <c r="AA1520" s="2" t="s">
        <v>142</v>
      </c>
      <c r="AB1520" s="2" t="s">
        <v>8443</v>
      </c>
      <c r="AC1520" s="2">
        <v>43.89</v>
      </c>
      <c r="AD1520" s="2">
        <v>88.99</v>
      </c>
      <c r="AE1520" s="2">
        <v>0</v>
      </c>
      <c r="AF1520" s="2" t="s">
        <v>5614</v>
      </c>
      <c r="AG1520" s="2" t="s">
        <v>194</v>
      </c>
      <c r="AH1520" s="2" t="s">
        <v>13542</v>
      </c>
      <c r="AI1520" s="2">
        <v>1.75</v>
      </c>
      <c r="AJ1520" s="2">
        <v>17.390772864268399</v>
      </c>
      <c r="AK1520" s="2">
        <v>18.633483574172899</v>
      </c>
      <c r="AL1520" s="2">
        <v>18.200451428216098</v>
      </c>
      <c r="AM1520" s="2">
        <v>18.188036632187998</v>
      </c>
      <c r="AN1520" s="2">
        <v>18.347935807978999</v>
      </c>
      <c r="AO1520" s="2">
        <v>18.518513624482502</v>
      </c>
      <c r="AP1520" s="2">
        <v>17.7538690951909</v>
      </c>
      <c r="AQ1520" s="2">
        <v>17.9530468185045</v>
      </c>
      <c r="AR1520" s="2">
        <v>16.645104764003399</v>
      </c>
      <c r="AS1520" s="2">
        <v>15.7569047059028</v>
      </c>
      <c r="AT1520" s="2">
        <v>15.8531721029095</v>
      </c>
      <c r="AU1520" s="2">
        <v>16.829525168452001</v>
      </c>
      <c r="AV1520" s="2">
        <v>16.8183366398079</v>
      </c>
      <c r="AW1520" s="2">
        <v>16.418923032618601</v>
      </c>
      <c r="AX1520" s="2">
        <v>16.1523286184993</v>
      </c>
      <c r="AY1520" s="2">
        <v>16.041700214479</v>
      </c>
      <c r="AZ1520" s="2">
        <v>14.7185467892332</v>
      </c>
      <c r="BA1520" s="2">
        <v>16.3471450164981</v>
      </c>
      <c r="BB1520" s="2">
        <v>16.3644836905261</v>
      </c>
      <c r="BC1520" s="2">
        <v>16.062778517651498</v>
      </c>
      <c r="BD1520" s="2">
        <v>16.3467299619332</v>
      </c>
      <c r="BE1520" s="2">
        <v>16.871758718532998</v>
      </c>
      <c r="BF1520" s="2">
        <v>14.490837717978099</v>
      </c>
      <c r="BG1520" s="2">
        <v>15.898499359788699</v>
      </c>
      <c r="BH1520" s="2">
        <v>16.933360206939899</v>
      </c>
      <c r="BI1520" s="2">
        <v>16.462498438356601</v>
      </c>
      <c r="BJ1520" s="2">
        <v>16.188377123637999</v>
      </c>
      <c r="BK1520" s="2">
        <v>16.949380130085199</v>
      </c>
      <c r="BL1520" s="2">
        <v>17.473370908118401</v>
      </c>
      <c r="BM1520" s="2">
        <v>16.570234177123901</v>
      </c>
      <c r="BN1520" s="2">
        <v>17.096130279204701</v>
      </c>
      <c r="BO1520" s="2">
        <v>16.607516707617901</v>
      </c>
      <c r="BP1520" s="2">
        <v>15.8649258296192</v>
      </c>
      <c r="BQ1520" s="2">
        <v>15.9333155958464</v>
      </c>
      <c r="BR1520" s="2">
        <v>15.8134515378153</v>
      </c>
      <c r="BS1520" s="2">
        <v>16.1436165886659</v>
      </c>
      <c r="BT1520" s="2">
        <v>15.8398604605862</v>
      </c>
      <c r="BU1520" s="2">
        <v>16.741590357043599</v>
      </c>
      <c r="BV1520" s="2">
        <v>16.3179539821408</v>
      </c>
      <c r="BW1520" s="2">
        <v>15.4431436403557</v>
      </c>
      <c r="BX1520" s="2">
        <v>14.1740323015885</v>
      </c>
      <c r="BY1520" s="2">
        <v>18.149145540440902</v>
      </c>
      <c r="BZ1520" s="2">
        <v>17.574668468668399</v>
      </c>
      <c r="CA1520" s="2">
        <v>14.9183331208583</v>
      </c>
      <c r="CB1520" s="2">
        <v>17.962987424475099</v>
      </c>
      <c r="CC1520" s="2">
        <v>16.085422664429601</v>
      </c>
      <c r="CD1520" s="2">
        <v>15.9986814326565</v>
      </c>
      <c r="CE1520" s="2">
        <v>16.872694717190999</v>
      </c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</row>
    <row r="1521" spans="1:97">
      <c r="A1521" s="2" t="s">
        <v>13543</v>
      </c>
      <c r="B1521" s="2">
        <v>230.01238000000001</v>
      </c>
      <c r="C1521" s="2">
        <v>4.5190000000000001</v>
      </c>
      <c r="D1521" s="2" t="s">
        <v>146</v>
      </c>
      <c r="E1521" s="2" t="s">
        <v>13544</v>
      </c>
      <c r="F1521" s="2" t="s">
        <v>13545</v>
      </c>
      <c r="G1521" s="2">
        <v>197083</v>
      </c>
      <c r="H1521" s="3" t="str">
        <f>HYPERLINK("https://cloud.oebiotech.com/#/lm/network/197083", "https://cloud.oebiotech.com/#/lm/network/197083")</f>
        <v>https://cloud.oebiotech.com/#/lm/network/197083</v>
      </c>
      <c r="I1521" s="2" t="s">
        <v>13546</v>
      </c>
      <c r="J1521" s="2"/>
      <c r="K1521" s="2"/>
      <c r="L1521" s="2">
        <v>181671</v>
      </c>
      <c r="M1521" s="2"/>
      <c r="N1521" s="2"/>
      <c r="O1521" s="2"/>
      <c r="P1521" s="2">
        <v>133562</v>
      </c>
      <c r="Q1521" s="2"/>
      <c r="R1521" s="2"/>
      <c r="S1521" s="2" t="s">
        <v>13547</v>
      </c>
      <c r="T1521" s="2" t="s">
        <v>13548</v>
      </c>
      <c r="U1521" s="2" t="s">
        <v>13549</v>
      </c>
      <c r="V1521" s="2" t="s">
        <v>115</v>
      </c>
      <c r="W1521" s="2" t="s">
        <v>613</v>
      </c>
      <c r="X1521" s="2" t="s">
        <v>614</v>
      </c>
      <c r="Y1521" s="2" t="s">
        <v>118</v>
      </c>
      <c r="Z1521" s="2" t="s">
        <v>615</v>
      </c>
      <c r="AA1521" s="2" t="s">
        <v>616</v>
      </c>
      <c r="AB1521" s="2" t="s">
        <v>8443</v>
      </c>
      <c r="AC1521" s="2">
        <v>43.88</v>
      </c>
      <c r="AD1521" s="2">
        <v>91.39</v>
      </c>
      <c r="AE1521" s="2">
        <v>42.35</v>
      </c>
      <c r="AF1521" s="2" t="s">
        <v>13550</v>
      </c>
      <c r="AG1521" s="2" t="s">
        <v>194</v>
      </c>
      <c r="AH1521" s="2" t="s">
        <v>13551</v>
      </c>
      <c r="AI1521" s="2">
        <v>2.17</v>
      </c>
      <c r="AJ1521" s="2">
        <v>17.3881142636261</v>
      </c>
      <c r="AK1521" s="2">
        <v>17.590661603605401</v>
      </c>
      <c r="AL1521" s="2">
        <v>17.7448008646891</v>
      </c>
      <c r="AM1521" s="2">
        <v>17.816005008831301</v>
      </c>
      <c r="AN1521" s="2">
        <v>17.820831389006401</v>
      </c>
      <c r="AO1521" s="2">
        <v>17.5004507232596</v>
      </c>
      <c r="AP1521" s="2">
        <v>17.449919353840201</v>
      </c>
      <c r="AQ1521" s="2">
        <v>17.330912940240601</v>
      </c>
      <c r="AR1521" s="2">
        <v>12.3009702356348</v>
      </c>
      <c r="AS1521" s="2">
        <v>9.6233145402724691</v>
      </c>
      <c r="AT1521" s="2">
        <v>9.6233145402724691</v>
      </c>
      <c r="AU1521" s="2">
        <v>11.608199368188</v>
      </c>
      <c r="AV1521" s="2">
        <v>21.436537286674</v>
      </c>
      <c r="AW1521" s="2">
        <v>16.635609868802501</v>
      </c>
      <c r="AX1521" s="2">
        <v>14.8204996032577</v>
      </c>
      <c r="AY1521" s="2">
        <v>16.7451108581628</v>
      </c>
      <c r="AZ1521" s="2">
        <v>18.4444158355588</v>
      </c>
      <c r="BA1521" s="2">
        <v>18.1552822733121</v>
      </c>
      <c r="BB1521" s="2">
        <v>14.845247947971799</v>
      </c>
      <c r="BC1521" s="2">
        <v>9.6233145402724691</v>
      </c>
      <c r="BD1521" s="2">
        <v>17.866157232164198</v>
      </c>
      <c r="BE1521" s="2">
        <v>20.029669866288401</v>
      </c>
      <c r="BF1521" s="2">
        <v>11.4902141056905</v>
      </c>
      <c r="BG1521" s="2">
        <v>13.496813840640399</v>
      </c>
      <c r="BH1521" s="2">
        <v>15.7401918457957</v>
      </c>
      <c r="BI1521" s="2">
        <v>13.818085816193401</v>
      </c>
      <c r="BJ1521" s="2">
        <v>18.198412570856199</v>
      </c>
      <c r="BK1521" s="2">
        <v>14.244202518999799</v>
      </c>
      <c r="BL1521" s="2">
        <v>15.927361775632599</v>
      </c>
      <c r="BM1521" s="2">
        <v>13.3880738077376</v>
      </c>
      <c r="BN1521" s="2">
        <v>15.278278839569801</v>
      </c>
      <c r="BO1521" s="2">
        <v>9.6233145402724691</v>
      </c>
      <c r="BP1521" s="2">
        <v>18.851863058757601</v>
      </c>
      <c r="BQ1521" s="2">
        <v>17.305435680670598</v>
      </c>
      <c r="BR1521" s="2">
        <v>15.4078881198575</v>
      </c>
      <c r="BS1521" s="2">
        <v>18.803015114591101</v>
      </c>
      <c r="BT1521" s="2">
        <v>16.314831920638799</v>
      </c>
      <c r="BU1521" s="2">
        <v>18.294839916573402</v>
      </c>
      <c r="BV1521" s="2">
        <v>16.399364885526101</v>
      </c>
      <c r="BW1521" s="2">
        <v>9.6233145402724691</v>
      </c>
      <c r="BX1521" s="2">
        <v>14.929250085372299</v>
      </c>
      <c r="BY1521" s="2">
        <v>20.092913489951702</v>
      </c>
      <c r="BZ1521" s="2">
        <v>15.875149623453201</v>
      </c>
      <c r="CA1521" s="2">
        <v>15.582265788848799</v>
      </c>
      <c r="CB1521" s="2">
        <v>9.6233145402724691</v>
      </c>
      <c r="CC1521" s="2">
        <v>9.6233145402724691</v>
      </c>
      <c r="CD1521" s="2">
        <v>14.998452922932</v>
      </c>
      <c r="CE1521" s="2">
        <v>14.4832048700975</v>
      </c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</row>
    <row r="1522" spans="1:97">
      <c r="A1522" s="2" t="s">
        <v>13552</v>
      </c>
      <c r="B1522" s="2">
        <v>203.03639000000001</v>
      </c>
      <c r="C1522" s="2">
        <v>0.84299999999999997</v>
      </c>
      <c r="D1522" s="2" t="s">
        <v>146</v>
      </c>
      <c r="E1522" s="2" t="s">
        <v>13553</v>
      </c>
      <c r="F1522" s="2" t="s">
        <v>13554</v>
      </c>
      <c r="G1522" s="2">
        <v>200166</v>
      </c>
      <c r="H1522" s="3" t="str">
        <f>HYPERLINK("https://cloud.oebiotech.com/#/lm/network/200166", "https://cloud.oebiotech.com/#/lm/network/200166")</f>
        <v>https://cloud.oebiotech.com/#/lm/network/200166</v>
      </c>
      <c r="I1522" s="2" t="s">
        <v>13555</v>
      </c>
      <c r="J1522" s="2">
        <v>343562</v>
      </c>
      <c r="K1522" s="2"/>
      <c r="L1522" s="2">
        <v>73697</v>
      </c>
      <c r="M1522" s="2"/>
      <c r="N1522" s="2"/>
      <c r="O1522" s="2"/>
      <c r="P1522" s="2">
        <v>52445</v>
      </c>
      <c r="Q1522" s="2"/>
      <c r="R1522" s="2"/>
      <c r="S1522" s="2"/>
      <c r="T1522" s="2" t="s">
        <v>13556</v>
      </c>
      <c r="U1522" s="2" t="s">
        <v>13557</v>
      </c>
      <c r="V1522" s="2" t="s">
        <v>13558</v>
      </c>
      <c r="W1522" s="2" t="s">
        <v>13559</v>
      </c>
      <c r="X1522" s="2" t="s">
        <v>13560</v>
      </c>
      <c r="Y1522" s="2" t="s">
        <v>13561</v>
      </c>
      <c r="Z1522" s="2" t="s">
        <v>13562</v>
      </c>
      <c r="AA1522" s="2" t="s">
        <v>13563</v>
      </c>
      <c r="AB1522" s="2" t="s">
        <v>8443</v>
      </c>
      <c r="AC1522" s="2">
        <v>43.87</v>
      </c>
      <c r="AD1522" s="2">
        <v>91.92</v>
      </c>
      <c r="AE1522" s="2">
        <v>34.270000000000003</v>
      </c>
      <c r="AF1522" s="2" t="s">
        <v>13564</v>
      </c>
      <c r="AG1522" s="2" t="s">
        <v>194</v>
      </c>
      <c r="AH1522" s="2" t="s">
        <v>13565</v>
      </c>
      <c r="AI1522" s="2">
        <v>-0.49</v>
      </c>
      <c r="AJ1522" s="2">
        <v>20.9456541602515</v>
      </c>
      <c r="AK1522" s="2">
        <v>20.927673897793198</v>
      </c>
      <c r="AL1522" s="2">
        <v>21.047806565580402</v>
      </c>
      <c r="AM1522" s="2">
        <v>21.040948366763001</v>
      </c>
      <c r="AN1522" s="2">
        <v>20.826920319016601</v>
      </c>
      <c r="AO1522" s="2">
        <v>20.807065930813401</v>
      </c>
      <c r="AP1522" s="2">
        <v>20.953611605354901</v>
      </c>
      <c r="AQ1522" s="2">
        <v>20.612110569894099</v>
      </c>
      <c r="AR1522" s="2">
        <v>20.735668102102</v>
      </c>
      <c r="AS1522" s="2">
        <v>19.9118436810245</v>
      </c>
      <c r="AT1522" s="2">
        <v>20.4553202762262</v>
      </c>
      <c r="AU1522" s="2">
        <v>20.565788844758298</v>
      </c>
      <c r="AV1522" s="2">
        <v>21.136359241604499</v>
      </c>
      <c r="AW1522" s="2">
        <v>20.924166353251501</v>
      </c>
      <c r="AX1522" s="2">
        <v>20.9037025477584</v>
      </c>
      <c r="AY1522" s="2">
        <v>20.482938954149098</v>
      </c>
      <c r="AZ1522" s="2">
        <v>20.883484610782599</v>
      </c>
      <c r="BA1522" s="2">
        <v>20.104987826336501</v>
      </c>
      <c r="BB1522" s="2">
        <v>21.149171905716202</v>
      </c>
      <c r="BC1522" s="2">
        <v>20.0599966375847</v>
      </c>
      <c r="BD1522" s="2">
        <v>21.441653741984599</v>
      </c>
      <c r="BE1522" s="2">
        <v>20.748169324346801</v>
      </c>
      <c r="BF1522" s="2">
        <v>21.183382505598299</v>
      </c>
      <c r="BG1522" s="2">
        <v>21.127590838348599</v>
      </c>
      <c r="BH1522" s="2">
        <v>20.398721504487099</v>
      </c>
      <c r="BI1522" s="2">
        <v>21.032445823503899</v>
      </c>
      <c r="BJ1522" s="2">
        <v>21.0185668558765</v>
      </c>
      <c r="BK1522" s="2">
        <v>20.551986115927999</v>
      </c>
      <c r="BL1522" s="2">
        <v>20.320355134662599</v>
      </c>
      <c r="BM1522" s="2">
        <v>21.053247132542499</v>
      </c>
      <c r="BN1522" s="2">
        <v>20.722551016835901</v>
      </c>
      <c r="BO1522" s="2">
        <v>19.895473528677702</v>
      </c>
      <c r="BP1522" s="2">
        <v>20.6726402149867</v>
      </c>
      <c r="BQ1522" s="2">
        <v>20.518660262490201</v>
      </c>
      <c r="BR1522" s="2">
        <v>20.563707038820802</v>
      </c>
      <c r="BS1522" s="2">
        <v>21.058048618789901</v>
      </c>
      <c r="BT1522" s="2">
        <v>19.711132070583599</v>
      </c>
      <c r="BU1522" s="2">
        <v>21.199820365681902</v>
      </c>
      <c r="BV1522" s="2">
        <v>21.248194637510299</v>
      </c>
      <c r="BW1522" s="2">
        <v>20.937512352394499</v>
      </c>
      <c r="BX1522" s="2">
        <v>20.3702467553404</v>
      </c>
      <c r="BY1522" s="2">
        <v>21.4857701816107</v>
      </c>
      <c r="BZ1522" s="2">
        <v>20.843128264628199</v>
      </c>
      <c r="CA1522" s="2">
        <v>21.889517829356802</v>
      </c>
      <c r="CB1522" s="2">
        <v>19.903719315144901</v>
      </c>
      <c r="CC1522" s="2">
        <v>20.996987883715899</v>
      </c>
      <c r="CD1522" s="2">
        <v>20.786695675711499</v>
      </c>
      <c r="CE1522" s="2">
        <v>18.535208994351901</v>
      </c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</row>
    <row r="1523" spans="1:97">
      <c r="A1523" s="2" t="s">
        <v>13566</v>
      </c>
      <c r="B1523" s="2">
        <v>455.17153999999999</v>
      </c>
      <c r="C1523" s="2">
        <v>5.585</v>
      </c>
      <c r="D1523" s="2" t="s">
        <v>146</v>
      </c>
      <c r="E1523" s="2" t="s">
        <v>13567</v>
      </c>
      <c r="F1523" s="2" t="s">
        <v>13568</v>
      </c>
      <c r="G1523" s="2">
        <v>200738</v>
      </c>
      <c r="H1523" s="3" t="str">
        <f>HYPERLINK("https://cloud.oebiotech.com/#/lm/network/200738", "https://cloud.oebiotech.com/#/lm/network/200738")</f>
        <v>https://cloud.oebiotech.com/#/lm/network/200738</v>
      </c>
      <c r="I1523" s="2" t="s">
        <v>13569</v>
      </c>
      <c r="J1523" s="2"/>
      <c r="K1523" s="2"/>
      <c r="L1523" s="2">
        <v>4646</v>
      </c>
      <c r="M1523" s="2"/>
      <c r="N1523" s="2"/>
      <c r="O1523" s="2"/>
      <c r="P1523" s="2">
        <v>92359</v>
      </c>
      <c r="Q1523" s="2"/>
      <c r="R1523" s="2"/>
      <c r="S1523" s="2"/>
      <c r="T1523" s="2" t="s">
        <v>13570</v>
      </c>
      <c r="U1523" s="2" t="s">
        <v>13571</v>
      </c>
      <c r="V1523" s="2" t="s">
        <v>845</v>
      </c>
      <c r="W1523" s="2" t="s">
        <v>970</v>
      </c>
      <c r="X1523" s="2" t="s">
        <v>11620</v>
      </c>
      <c r="Y1523" s="2" t="s">
        <v>847</v>
      </c>
      <c r="Z1523" s="2" t="s">
        <v>972</v>
      </c>
      <c r="AA1523" s="2" t="s">
        <v>11621</v>
      </c>
      <c r="AB1523" s="2" t="s">
        <v>8443</v>
      </c>
      <c r="AC1523" s="2">
        <v>43.87</v>
      </c>
      <c r="AD1523" s="2">
        <v>82.17</v>
      </c>
      <c r="AE1523" s="2">
        <v>0</v>
      </c>
      <c r="AF1523" s="2" t="s">
        <v>5614</v>
      </c>
      <c r="AG1523" s="2" t="s">
        <v>3880</v>
      </c>
      <c r="AH1523" s="2" t="s">
        <v>13572</v>
      </c>
      <c r="AI1523" s="2">
        <v>2.2000000000000002</v>
      </c>
      <c r="AJ1523" s="2">
        <v>16.638184308527901</v>
      </c>
      <c r="AK1523" s="2">
        <v>16.474514470779599</v>
      </c>
      <c r="AL1523" s="2">
        <v>16.766066734262001</v>
      </c>
      <c r="AM1523" s="2">
        <v>16.2867465326608</v>
      </c>
      <c r="AN1523" s="2">
        <v>16.230556204021099</v>
      </c>
      <c r="AO1523" s="2">
        <v>16.815513513779699</v>
      </c>
      <c r="AP1523" s="2">
        <v>16.233368396475399</v>
      </c>
      <c r="AQ1523" s="2">
        <v>16.226008523415601</v>
      </c>
      <c r="AR1523" s="2">
        <v>16.883215323955898</v>
      </c>
      <c r="AS1523" s="2">
        <v>9.6233145402724691</v>
      </c>
      <c r="AT1523" s="2">
        <v>17.116375540154099</v>
      </c>
      <c r="AU1523" s="2">
        <v>16.455334605877301</v>
      </c>
      <c r="AV1523" s="2">
        <v>17.054001161307902</v>
      </c>
      <c r="AW1523" s="2">
        <v>18.754897938287801</v>
      </c>
      <c r="AX1523" s="2">
        <v>16.953245911099799</v>
      </c>
      <c r="AY1523" s="2">
        <v>16.9471823717539</v>
      </c>
      <c r="AZ1523" s="2">
        <v>16.312168590531702</v>
      </c>
      <c r="BA1523" s="2">
        <v>15.7672236387195</v>
      </c>
      <c r="BB1523" s="2">
        <v>16.8316285135149</v>
      </c>
      <c r="BC1523" s="2">
        <v>15.7255806117115</v>
      </c>
      <c r="BD1523" s="2">
        <v>17.441640987842501</v>
      </c>
      <c r="BE1523" s="2">
        <v>16.565147013087799</v>
      </c>
      <c r="BF1523" s="2">
        <v>16.772267916541601</v>
      </c>
      <c r="BG1523" s="2">
        <v>17.135212572875801</v>
      </c>
      <c r="BH1523" s="2">
        <v>13.577655411557</v>
      </c>
      <c r="BI1523" s="2">
        <v>16.5272014650713</v>
      </c>
      <c r="BJ1523" s="2">
        <v>16.550085097877499</v>
      </c>
      <c r="BK1523" s="2">
        <v>16.453813182632</v>
      </c>
      <c r="BL1523" s="2">
        <v>16.1127534738227</v>
      </c>
      <c r="BM1523" s="2">
        <v>13.126133346791701</v>
      </c>
      <c r="BN1523" s="2">
        <v>16.608546063788999</v>
      </c>
      <c r="BO1523" s="2">
        <v>16.457456231241999</v>
      </c>
      <c r="BP1523" s="2">
        <v>17.206535363878501</v>
      </c>
      <c r="BQ1523" s="2">
        <v>17.257070118658699</v>
      </c>
      <c r="BR1523" s="2">
        <v>17.452263846723799</v>
      </c>
      <c r="BS1523" s="2">
        <v>16.004214978939199</v>
      </c>
      <c r="BT1523" s="2">
        <v>16.4130687300609</v>
      </c>
      <c r="BU1523" s="2">
        <v>16.8159902539116</v>
      </c>
      <c r="BV1523" s="2">
        <v>16.274997405068401</v>
      </c>
      <c r="BW1523" s="2">
        <v>13.7426694332724</v>
      </c>
      <c r="BX1523" s="2">
        <v>16.944830999795599</v>
      </c>
      <c r="BY1523" s="2">
        <v>14.878388645512</v>
      </c>
      <c r="BZ1523" s="2">
        <v>17.020233187440599</v>
      </c>
      <c r="CA1523" s="2">
        <v>15.6891099320141</v>
      </c>
      <c r="CB1523" s="2">
        <v>13.165872693781401</v>
      </c>
      <c r="CC1523" s="2">
        <v>16.3573248474869</v>
      </c>
      <c r="CD1523" s="2">
        <v>16.782849413086598</v>
      </c>
      <c r="CE1523" s="2">
        <v>16.036196369170799</v>
      </c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</row>
    <row r="1524" spans="1:97">
      <c r="A1524" s="2" t="s">
        <v>13573</v>
      </c>
      <c r="B1524" s="2">
        <v>447.31087000000002</v>
      </c>
      <c r="C1524" s="2">
        <v>12.103</v>
      </c>
      <c r="D1524" s="2" t="s">
        <v>146</v>
      </c>
      <c r="E1524" s="2" t="s">
        <v>13574</v>
      </c>
      <c r="F1524" s="2" t="s">
        <v>13575</v>
      </c>
      <c r="G1524" s="2">
        <v>45216</v>
      </c>
      <c r="H1524" s="3" t="str">
        <f>HYPERLINK("https://cloud.oebiotech.com/#/lm/network/45216", "https://cloud.oebiotech.com/#/lm/network/45216")</f>
        <v>https://cloud.oebiotech.com/#/lm/network/45216</v>
      </c>
      <c r="I1524" s="2"/>
      <c r="J1524" s="2"/>
      <c r="K1524" s="2" t="s">
        <v>13576</v>
      </c>
      <c r="L1524" s="2">
        <v>9547303</v>
      </c>
      <c r="M1524" s="2"/>
      <c r="N1524" s="2"/>
      <c r="O1524" s="2"/>
      <c r="P1524" s="2"/>
      <c r="Q1524" s="2"/>
      <c r="R1524" s="2"/>
      <c r="S1524" s="2"/>
      <c r="T1524" s="2" t="s">
        <v>13577</v>
      </c>
      <c r="U1524" s="2" t="s">
        <v>13578</v>
      </c>
      <c r="V1524" s="2" t="s">
        <v>95</v>
      </c>
      <c r="W1524" s="2" t="s">
        <v>152</v>
      </c>
      <c r="X1524" s="2" t="s">
        <v>1484</v>
      </c>
      <c r="Y1524" s="2" t="s">
        <v>98</v>
      </c>
      <c r="Z1524" s="2" t="s">
        <v>154</v>
      </c>
      <c r="AA1524" s="2" t="s">
        <v>1485</v>
      </c>
      <c r="AB1524" s="2" t="s">
        <v>8443</v>
      </c>
      <c r="AC1524" s="2">
        <v>43.85</v>
      </c>
      <c r="AD1524" s="2">
        <v>82.61</v>
      </c>
      <c r="AE1524" s="2">
        <v>0</v>
      </c>
      <c r="AF1524" s="2" t="s">
        <v>13579</v>
      </c>
      <c r="AG1524" s="2" t="s">
        <v>157</v>
      </c>
      <c r="AH1524" s="2" t="s">
        <v>13580</v>
      </c>
      <c r="AI1524" s="2">
        <v>1.56</v>
      </c>
      <c r="AJ1524" s="2">
        <v>18.009515322362599</v>
      </c>
      <c r="AK1524" s="2">
        <v>18.269510291567901</v>
      </c>
      <c r="AL1524" s="2">
        <v>18.257036730548901</v>
      </c>
      <c r="AM1524" s="2">
        <v>18.281974295721199</v>
      </c>
      <c r="AN1524" s="2">
        <v>18.1335553081766</v>
      </c>
      <c r="AO1524" s="2">
        <v>17.873563126582599</v>
      </c>
      <c r="AP1524" s="2">
        <v>17.941641708235998</v>
      </c>
      <c r="AQ1524" s="2">
        <v>17.321609652441499</v>
      </c>
      <c r="AR1524" s="2">
        <v>16.587878871703001</v>
      </c>
      <c r="AS1524" s="2">
        <v>17.7353863200997</v>
      </c>
      <c r="AT1524" s="2">
        <v>18.412589817024902</v>
      </c>
      <c r="AU1524" s="2">
        <v>16.577174321689199</v>
      </c>
      <c r="AV1524" s="2">
        <v>16.680881565310798</v>
      </c>
      <c r="AW1524" s="2">
        <v>18.247233147634599</v>
      </c>
      <c r="AX1524" s="2">
        <v>17.8875920839895</v>
      </c>
      <c r="AY1524" s="2">
        <v>18.274108250620099</v>
      </c>
      <c r="AZ1524" s="2">
        <v>17.750965745917799</v>
      </c>
      <c r="BA1524" s="2">
        <v>18.298647487608001</v>
      </c>
      <c r="BB1524" s="2">
        <v>18.427047086325</v>
      </c>
      <c r="BC1524" s="2">
        <v>18.714250750646499</v>
      </c>
      <c r="BD1524" s="2">
        <v>18.466504012859101</v>
      </c>
      <c r="BE1524" s="2">
        <v>19.401784525651099</v>
      </c>
      <c r="BF1524" s="2">
        <v>17.6433157823746</v>
      </c>
      <c r="BG1524" s="2">
        <v>18.193516697836898</v>
      </c>
      <c r="BH1524" s="2">
        <v>16.0047454022287</v>
      </c>
      <c r="BI1524" s="2">
        <v>16.2035531426272</v>
      </c>
      <c r="BJ1524" s="2">
        <v>19.075610630433399</v>
      </c>
      <c r="BK1524" s="2">
        <v>16.4002904201073</v>
      </c>
      <c r="BL1524" s="2">
        <v>16.245211749049901</v>
      </c>
      <c r="BM1524" s="2">
        <v>17.5722024528697</v>
      </c>
      <c r="BN1524" s="2">
        <v>18.015987584590899</v>
      </c>
      <c r="BO1524" s="2">
        <v>17.050869069546302</v>
      </c>
      <c r="BP1524" s="2">
        <v>16.973716646350201</v>
      </c>
      <c r="BQ1524" s="2">
        <v>18.255503407070901</v>
      </c>
      <c r="BR1524" s="2">
        <v>17.761873291562999</v>
      </c>
      <c r="BS1524" s="2">
        <v>18.4218516108335</v>
      </c>
      <c r="BT1524" s="2">
        <v>18.056461124444201</v>
      </c>
      <c r="BU1524" s="2">
        <v>18.5446868922003</v>
      </c>
      <c r="BV1524" s="2">
        <v>18.065058603859899</v>
      </c>
      <c r="BW1524" s="2">
        <v>17.117780356222799</v>
      </c>
      <c r="BX1524" s="2">
        <v>18.422006561336399</v>
      </c>
      <c r="BY1524" s="2">
        <v>19.5447280532156</v>
      </c>
      <c r="BZ1524" s="2">
        <v>17.791742798797401</v>
      </c>
      <c r="CA1524" s="2">
        <v>17.1317882477281</v>
      </c>
      <c r="CB1524" s="2">
        <v>15.4080765967062</v>
      </c>
      <c r="CC1524" s="2">
        <v>15.928024191634</v>
      </c>
      <c r="CD1524" s="2">
        <v>18.858588265427201</v>
      </c>
      <c r="CE1524" s="2">
        <v>15.824104521976199</v>
      </c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</row>
    <row r="1525" spans="1:97">
      <c r="A1525" s="2" t="s">
        <v>13581</v>
      </c>
      <c r="B1525" s="2">
        <v>365.24058000000002</v>
      </c>
      <c r="C1525" s="2">
        <v>4.8680000000000003</v>
      </c>
      <c r="D1525" s="2" t="s">
        <v>84</v>
      </c>
      <c r="E1525" s="2" t="s">
        <v>13582</v>
      </c>
      <c r="F1525" s="2" t="s">
        <v>13583</v>
      </c>
      <c r="G1525" s="2">
        <v>198553</v>
      </c>
      <c r="H1525" s="3" t="str">
        <f>HYPERLINK("https://cloud.oebiotech.com/#/lm/network/198553", "https://cloud.oebiotech.com/#/lm/network/198553")</f>
        <v>https://cloud.oebiotech.com/#/lm/network/198553</v>
      </c>
      <c r="I1525" s="2" t="s">
        <v>13584</v>
      </c>
      <c r="J1525" s="2"/>
      <c r="K1525" s="2"/>
      <c r="L1525" s="2">
        <v>18318642</v>
      </c>
      <c r="M1525" s="2"/>
      <c r="N1525" s="2"/>
      <c r="O1525" s="2"/>
      <c r="P1525" s="2"/>
      <c r="Q1525" s="2"/>
      <c r="R1525" s="2"/>
      <c r="S1525" s="2"/>
      <c r="T1525" s="2" t="s">
        <v>13585</v>
      </c>
      <c r="U1525" s="2" t="s">
        <v>13586</v>
      </c>
      <c r="V1525" s="2" t="s">
        <v>115</v>
      </c>
      <c r="W1525" s="2" t="s">
        <v>116</v>
      </c>
      <c r="X1525" s="2" t="s">
        <v>117</v>
      </c>
      <c r="Y1525" s="2" t="s">
        <v>118</v>
      </c>
      <c r="Z1525" s="2" t="s">
        <v>119</v>
      </c>
      <c r="AA1525" s="2" t="s">
        <v>120</v>
      </c>
      <c r="AB1525" s="2" t="s">
        <v>8443</v>
      </c>
      <c r="AC1525" s="2">
        <v>43.84</v>
      </c>
      <c r="AD1525" s="2">
        <v>90.24</v>
      </c>
      <c r="AE1525" s="2">
        <v>38.54</v>
      </c>
      <c r="AF1525" s="2" t="s">
        <v>13587</v>
      </c>
      <c r="AG1525" s="2" t="s">
        <v>1578</v>
      </c>
      <c r="AH1525" s="2" t="s">
        <v>13588</v>
      </c>
      <c r="AI1525" s="2">
        <v>1.37</v>
      </c>
      <c r="AJ1525" s="2">
        <v>21.9432968919564</v>
      </c>
      <c r="AK1525" s="2">
        <v>22.318236408798501</v>
      </c>
      <c r="AL1525" s="2">
        <v>22.868981610277402</v>
      </c>
      <c r="AM1525" s="2">
        <v>22.8982316653703</v>
      </c>
      <c r="AN1525" s="2">
        <v>23.0428850329296</v>
      </c>
      <c r="AO1525" s="2">
        <v>22.846057672719802</v>
      </c>
      <c r="AP1525" s="2">
        <v>22.996928912215001</v>
      </c>
      <c r="AQ1525" s="2">
        <v>23.151478304394701</v>
      </c>
      <c r="AR1525" s="2">
        <v>22.3482971600003</v>
      </c>
      <c r="AS1525" s="2">
        <v>22.601393341830899</v>
      </c>
      <c r="AT1525" s="2">
        <v>22.9419016028281</v>
      </c>
      <c r="AU1525" s="2">
        <v>22.8878599027313</v>
      </c>
      <c r="AV1525" s="2">
        <v>22.557135886632899</v>
      </c>
      <c r="AW1525" s="2">
        <v>22.883784413313101</v>
      </c>
      <c r="AX1525" s="2">
        <v>21.7282836528146</v>
      </c>
      <c r="AY1525" s="2">
        <v>22.951202949471099</v>
      </c>
      <c r="AZ1525" s="2">
        <v>22.879373029345999</v>
      </c>
      <c r="BA1525" s="2">
        <v>22.862899299170302</v>
      </c>
      <c r="BB1525" s="2">
        <v>22.851780557942298</v>
      </c>
      <c r="BC1525" s="2">
        <v>23.006937191142001</v>
      </c>
      <c r="BD1525" s="2">
        <v>23.055255988930501</v>
      </c>
      <c r="BE1525" s="2">
        <v>22.829100271764499</v>
      </c>
      <c r="BF1525" s="2">
        <v>22.702854170357199</v>
      </c>
      <c r="BG1525" s="2">
        <v>22.942392368437702</v>
      </c>
      <c r="BH1525" s="2">
        <v>23.017374824712999</v>
      </c>
      <c r="BI1525" s="2">
        <v>22.9473413313852</v>
      </c>
      <c r="BJ1525" s="2">
        <v>22.9832310411932</v>
      </c>
      <c r="BK1525" s="2">
        <v>23.016113380778702</v>
      </c>
      <c r="BL1525" s="2">
        <v>23.194202520615899</v>
      </c>
      <c r="BM1525" s="2">
        <v>22.645219730305602</v>
      </c>
      <c r="BN1525" s="2">
        <v>23.135689715037</v>
      </c>
      <c r="BO1525" s="2">
        <v>23.1429786549532</v>
      </c>
      <c r="BP1525" s="2">
        <v>22.956523284663302</v>
      </c>
      <c r="BQ1525" s="2">
        <v>22.9672208435681</v>
      </c>
      <c r="BR1525" s="2">
        <v>23.190273845937899</v>
      </c>
      <c r="BS1525" s="2">
        <v>22.970945019862999</v>
      </c>
      <c r="BT1525" s="2">
        <v>22.8546242407267</v>
      </c>
      <c r="BU1525" s="2">
        <v>23.103061400941002</v>
      </c>
      <c r="BV1525" s="2">
        <v>23.131404507680202</v>
      </c>
      <c r="BW1525" s="2">
        <v>23.2876838775876</v>
      </c>
      <c r="BX1525" s="2">
        <v>22.3549106622003</v>
      </c>
      <c r="BY1525" s="2">
        <v>22.870443882348599</v>
      </c>
      <c r="BZ1525" s="2">
        <v>23.210047960205799</v>
      </c>
      <c r="CA1525" s="2">
        <v>22.211923685438499</v>
      </c>
      <c r="CB1525" s="2">
        <v>23.156599287888898</v>
      </c>
      <c r="CC1525" s="2">
        <v>23.154162814731698</v>
      </c>
      <c r="CD1525" s="2">
        <v>23.014996077204401</v>
      </c>
      <c r="CE1525" s="2">
        <v>23.296746488507399</v>
      </c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</row>
    <row r="1526" spans="1:97">
      <c r="A1526" s="2" t="s">
        <v>13589</v>
      </c>
      <c r="B1526" s="2">
        <v>582.27130999999997</v>
      </c>
      <c r="C1526" s="2">
        <v>6.9660000000000002</v>
      </c>
      <c r="D1526" s="2" t="s">
        <v>146</v>
      </c>
      <c r="E1526" s="2" t="s">
        <v>13590</v>
      </c>
      <c r="F1526" s="2" t="s">
        <v>13591</v>
      </c>
      <c r="G1526" s="2">
        <v>28362</v>
      </c>
      <c r="H1526" s="3" t="str">
        <f>HYPERLINK("https://cloud.oebiotech.com/#/lm/network/28362", "https://cloud.oebiotech.com/#/lm/network/28362")</f>
        <v>https://cloud.oebiotech.com/#/lm/network/28362</v>
      </c>
      <c r="I1526" s="2"/>
      <c r="J1526" s="2"/>
      <c r="K1526" s="2" t="s">
        <v>13592</v>
      </c>
      <c r="L1526" s="2"/>
      <c r="M1526" s="2"/>
      <c r="N1526" s="2"/>
      <c r="O1526" s="2"/>
      <c r="P1526" s="2"/>
      <c r="Q1526" s="2"/>
      <c r="R1526" s="2"/>
      <c r="S1526" s="2"/>
      <c r="T1526" s="2" t="s">
        <v>13593</v>
      </c>
      <c r="U1526" s="2" t="s">
        <v>13594</v>
      </c>
      <c r="V1526" s="2" t="s">
        <v>553</v>
      </c>
      <c r="W1526" s="2" t="s">
        <v>8921</v>
      </c>
      <c r="X1526" s="2" t="s">
        <v>375</v>
      </c>
      <c r="Y1526" s="2" t="s">
        <v>556</v>
      </c>
      <c r="Z1526" s="2" t="s">
        <v>8923</v>
      </c>
      <c r="AA1526" s="2"/>
      <c r="AB1526" s="2" t="s">
        <v>5118</v>
      </c>
      <c r="AC1526" s="2">
        <v>43.83</v>
      </c>
      <c r="AD1526" s="2">
        <v>77</v>
      </c>
      <c r="AE1526" s="2">
        <v>52.68</v>
      </c>
      <c r="AF1526" s="2" t="s">
        <v>13595</v>
      </c>
      <c r="AG1526" s="2" t="s">
        <v>194</v>
      </c>
      <c r="AH1526" s="2" t="s">
        <v>13596</v>
      </c>
      <c r="AI1526" s="2">
        <v>-0.69</v>
      </c>
      <c r="AJ1526" s="2">
        <v>19.371839548213199</v>
      </c>
      <c r="AK1526" s="2">
        <v>19.336611987829802</v>
      </c>
      <c r="AL1526" s="2">
        <v>19.2839301800099</v>
      </c>
      <c r="AM1526" s="2">
        <v>19.271591326199399</v>
      </c>
      <c r="AN1526" s="2">
        <v>19.309635263411899</v>
      </c>
      <c r="AO1526" s="2">
        <v>19.124683644026401</v>
      </c>
      <c r="AP1526" s="2">
        <v>19.338191134741098</v>
      </c>
      <c r="AQ1526" s="2">
        <v>19.374714694209501</v>
      </c>
      <c r="AR1526" s="2">
        <v>17.2453931015168</v>
      </c>
      <c r="AS1526" s="2">
        <v>11.708626972980101</v>
      </c>
      <c r="AT1526" s="2">
        <v>16.087668564773502</v>
      </c>
      <c r="AU1526" s="2">
        <v>17.4197888805509</v>
      </c>
      <c r="AV1526" s="2">
        <v>13.121342483581</v>
      </c>
      <c r="AW1526" s="2">
        <v>19.498067673979801</v>
      </c>
      <c r="AX1526" s="2">
        <v>12.2346557923278</v>
      </c>
      <c r="AY1526" s="2">
        <v>18.538763285267098</v>
      </c>
      <c r="AZ1526" s="2">
        <v>17.014658658909099</v>
      </c>
      <c r="BA1526" s="2">
        <v>9.6233145402724691</v>
      </c>
      <c r="BB1526" s="2">
        <v>21.482851295684501</v>
      </c>
      <c r="BC1526" s="2">
        <v>11.8687068259323</v>
      </c>
      <c r="BD1526" s="2">
        <v>15.760067312975</v>
      </c>
      <c r="BE1526" s="2">
        <v>16.840342871487898</v>
      </c>
      <c r="BF1526" s="2">
        <v>15.2307807734446</v>
      </c>
      <c r="BG1526" s="2">
        <v>9.6233145402724691</v>
      </c>
      <c r="BH1526" s="2">
        <v>16.995522390361899</v>
      </c>
      <c r="BI1526" s="2">
        <v>9.6233145402724691</v>
      </c>
      <c r="BJ1526" s="2">
        <v>13.415048506126499</v>
      </c>
      <c r="BK1526" s="2">
        <v>17.223788959761901</v>
      </c>
      <c r="BL1526" s="2">
        <v>9.6233145402724691</v>
      </c>
      <c r="BM1526" s="2">
        <v>18.086992343023599</v>
      </c>
      <c r="BN1526" s="2">
        <v>17.867707736264101</v>
      </c>
      <c r="BO1526" s="2">
        <v>16.1723649988406</v>
      </c>
      <c r="BP1526" s="2">
        <v>9.6233145402724691</v>
      </c>
      <c r="BQ1526" s="2">
        <v>14.215010398331501</v>
      </c>
      <c r="BR1526" s="2">
        <v>15.456214502844199</v>
      </c>
      <c r="BS1526" s="2">
        <v>16.923916222763999</v>
      </c>
      <c r="BT1526" s="2">
        <v>16.236072134800398</v>
      </c>
      <c r="BU1526" s="2">
        <v>9.6233145402724691</v>
      </c>
      <c r="BV1526" s="2">
        <v>19.936001889915801</v>
      </c>
      <c r="BW1526" s="2">
        <v>12.2382255856058</v>
      </c>
      <c r="BX1526" s="2">
        <v>15.7203869600235</v>
      </c>
      <c r="BY1526" s="2">
        <v>16.0467299040493</v>
      </c>
      <c r="BZ1526" s="2">
        <v>18.618565383391399</v>
      </c>
      <c r="CA1526" s="2">
        <v>14.8736536572109</v>
      </c>
      <c r="CB1526" s="2">
        <v>15.4943406014267</v>
      </c>
      <c r="CC1526" s="2">
        <v>14.511876166891099</v>
      </c>
      <c r="CD1526" s="2">
        <v>13.673437172006301</v>
      </c>
      <c r="CE1526" s="2">
        <v>11.8007907232387</v>
      </c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</row>
    <row r="1527" spans="1:97">
      <c r="A1527" s="2" t="s">
        <v>13597</v>
      </c>
      <c r="B1527" s="2">
        <v>274.17552999999998</v>
      </c>
      <c r="C1527" s="2">
        <v>0.79200000000000004</v>
      </c>
      <c r="D1527" s="2" t="s">
        <v>84</v>
      </c>
      <c r="E1527" s="2" t="s">
        <v>13598</v>
      </c>
      <c r="F1527" s="2" t="s">
        <v>13599</v>
      </c>
      <c r="G1527" s="2">
        <v>202123</v>
      </c>
      <c r="H1527" s="3" t="str">
        <f>HYPERLINK("https://cloud.oebiotech.com/#/lm/network/202123", "https://cloud.oebiotech.com/#/lm/network/202123")</f>
        <v>https://cloud.oebiotech.com/#/lm/network/202123</v>
      </c>
      <c r="I1527" s="2" t="s">
        <v>13600</v>
      </c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 t="s">
        <v>13601</v>
      </c>
      <c r="U1527" s="2" t="s">
        <v>13602</v>
      </c>
      <c r="V1527" s="2" t="s">
        <v>115</v>
      </c>
      <c r="W1527" s="2" t="s">
        <v>116</v>
      </c>
      <c r="X1527" s="2" t="s">
        <v>117</v>
      </c>
      <c r="Y1527" s="2" t="s">
        <v>118</v>
      </c>
      <c r="Z1527" s="2" t="s">
        <v>119</v>
      </c>
      <c r="AA1527" s="2" t="s">
        <v>120</v>
      </c>
      <c r="AB1527" s="2" t="s">
        <v>8443</v>
      </c>
      <c r="AC1527" s="2">
        <v>43.82</v>
      </c>
      <c r="AD1527" s="2">
        <v>91.89</v>
      </c>
      <c r="AE1527" s="2">
        <v>0</v>
      </c>
      <c r="AF1527" s="2" t="s">
        <v>13603</v>
      </c>
      <c r="AG1527" s="2" t="s">
        <v>1088</v>
      </c>
      <c r="AH1527" s="2" t="s">
        <v>13604</v>
      </c>
      <c r="AI1527" s="2">
        <v>4.38</v>
      </c>
      <c r="AJ1527" s="2">
        <v>20.575962458663099</v>
      </c>
      <c r="AK1527" s="2">
        <v>20.756726485873902</v>
      </c>
      <c r="AL1527" s="2">
        <v>20.886356386263799</v>
      </c>
      <c r="AM1527" s="2">
        <v>20.623092586210401</v>
      </c>
      <c r="AN1527" s="2">
        <v>20.869805852712901</v>
      </c>
      <c r="AO1527" s="2">
        <v>21.001575814107799</v>
      </c>
      <c r="AP1527" s="2">
        <v>20.856347870851099</v>
      </c>
      <c r="AQ1527" s="2">
        <v>21.486405940958001</v>
      </c>
      <c r="AR1527" s="2">
        <v>19.791919701646599</v>
      </c>
      <c r="AS1527" s="2">
        <v>19.795971223347401</v>
      </c>
      <c r="AT1527" s="2">
        <v>19.944480974472601</v>
      </c>
      <c r="AU1527" s="2">
        <v>20.460838543473901</v>
      </c>
      <c r="AV1527" s="2">
        <v>21.123685104792401</v>
      </c>
      <c r="AW1527" s="2">
        <v>20.331880994607602</v>
      </c>
      <c r="AX1527" s="2">
        <v>20.208126431331198</v>
      </c>
      <c r="AY1527" s="2">
        <v>19.537118163549099</v>
      </c>
      <c r="AZ1527" s="2">
        <v>21.2127268463239</v>
      </c>
      <c r="BA1527" s="2">
        <v>20.080933732917099</v>
      </c>
      <c r="BB1527" s="2">
        <v>20.421760243034502</v>
      </c>
      <c r="BC1527" s="2">
        <v>18.474875222100799</v>
      </c>
      <c r="BD1527" s="2">
        <v>20.287239706790199</v>
      </c>
      <c r="BE1527" s="2">
        <v>19.586296945708099</v>
      </c>
      <c r="BF1527" s="2">
        <v>19.6936061119962</v>
      </c>
      <c r="BG1527" s="2">
        <v>19.438748083192099</v>
      </c>
      <c r="BH1527" s="2">
        <v>19.505639919805599</v>
      </c>
      <c r="BI1527" s="2">
        <v>19.664286751626399</v>
      </c>
      <c r="BJ1527" s="2">
        <v>19.616443146845199</v>
      </c>
      <c r="BK1527" s="2">
        <v>20.839731568516001</v>
      </c>
      <c r="BL1527" s="2">
        <v>21.1968620169072</v>
      </c>
      <c r="BM1527" s="2">
        <v>21.3917799925438</v>
      </c>
      <c r="BN1527" s="2">
        <v>20.566600777746999</v>
      </c>
      <c r="BO1527" s="2">
        <v>21.559679823649098</v>
      </c>
      <c r="BP1527" s="2">
        <v>20.878528079443999</v>
      </c>
      <c r="BQ1527" s="2">
        <v>20.411222490086999</v>
      </c>
      <c r="BR1527" s="2">
        <v>20.632075440027201</v>
      </c>
      <c r="BS1527" s="2">
        <v>22.0085650480476</v>
      </c>
      <c r="BT1527" s="2">
        <v>23.247446094603202</v>
      </c>
      <c r="BU1527" s="2">
        <v>21.722739899086001</v>
      </c>
      <c r="BV1527" s="2">
        <v>21.841696995346801</v>
      </c>
      <c r="BW1527" s="2">
        <v>20.290356950214601</v>
      </c>
      <c r="BX1527" s="2">
        <v>21.3999727151581</v>
      </c>
      <c r="BY1527" s="2">
        <v>20.6554096048907</v>
      </c>
      <c r="BZ1527" s="2">
        <v>18.985058141266698</v>
      </c>
      <c r="CA1527" s="2">
        <v>20.9244253135256</v>
      </c>
      <c r="CB1527" s="2">
        <v>19.893989393056501</v>
      </c>
      <c r="CC1527" s="2">
        <v>19.9109791102867</v>
      </c>
      <c r="CD1527" s="2">
        <v>20.865974859519</v>
      </c>
      <c r="CE1527" s="2">
        <v>19.494059693343601</v>
      </c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</row>
    <row r="1528" spans="1:97">
      <c r="A1528" s="2" t="s">
        <v>13605</v>
      </c>
      <c r="B1528" s="2">
        <v>309.20391000000001</v>
      </c>
      <c r="C1528" s="2">
        <v>0.91700000000000004</v>
      </c>
      <c r="D1528" s="2" t="s">
        <v>84</v>
      </c>
      <c r="E1528" s="2" t="s">
        <v>13606</v>
      </c>
      <c r="F1528" s="2" t="s">
        <v>13606</v>
      </c>
      <c r="G1528" s="2">
        <v>3458</v>
      </c>
      <c r="H1528" s="3" t="str">
        <f>HYPERLINK("https://cloud.oebiotech.com/#/lm/network/3458", "https://cloud.oebiotech.com/#/lm/network/3458")</f>
        <v>https://cloud.oebiotech.com/#/lm/network/3458</v>
      </c>
      <c r="I1528" s="2"/>
      <c r="J1528" s="2"/>
      <c r="K1528" s="2" t="s">
        <v>13607</v>
      </c>
      <c r="L1528" s="2">
        <v>131839866</v>
      </c>
      <c r="M1528" s="2"/>
      <c r="N1528" s="2"/>
      <c r="O1528" s="2"/>
      <c r="P1528" s="2"/>
      <c r="Q1528" s="2"/>
      <c r="R1528" s="2"/>
      <c r="S1528" s="2"/>
      <c r="T1528" s="2" t="s">
        <v>13608</v>
      </c>
      <c r="U1528" s="2" t="s">
        <v>13609</v>
      </c>
      <c r="V1528" s="2" t="s">
        <v>95</v>
      </c>
      <c r="W1528" s="2" t="s">
        <v>96</v>
      </c>
      <c r="X1528" s="2" t="s">
        <v>3216</v>
      </c>
      <c r="Y1528" s="2" t="s">
        <v>98</v>
      </c>
      <c r="Z1528" s="2" t="s">
        <v>99</v>
      </c>
      <c r="AA1528" s="2" t="s">
        <v>3217</v>
      </c>
      <c r="AB1528" s="2" t="s">
        <v>5118</v>
      </c>
      <c r="AC1528" s="2">
        <v>43.81</v>
      </c>
      <c r="AD1528" s="2">
        <v>88.4</v>
      </c>
      <c r="AE1528" s="2">
        <v>61.39</v>
      </c>
      <c r="AF1528" s="2" t="s">
        <v>13610</v>
      </c>
      <c r="AG1528" s="2" t="s">
        <v>103</v>
      </c>
      <c r="AH1528" s="2" t="s">
        <v>13611</v>
      </c>
      <c r="AI1528" s="2">
        <v>6.79</v>
      </c>
      <c r="AJ1528" s="2">
        <v>21.620632115166</v>
      </c>
      <c r="AK1528" s="2">
        <v>20.3410577981881</v>
      </c>
      <c r="AL1528" s="2">
        <v>21.695856020824301</v>
      </c>
      <c r="AM1528" s="2">
        <v>21.7457590308458</v>
      </c>
      <c r="AN1528" s="2">
        <v>21.023069434902801</v>
      </c>
      <c r="AO1528" s="2">
        <v>21.7082122813196</v>
      </c>
      <c r="AP1528" s="2">
        <v>21.521579291964201</v>
      </c>
      <c r="AQ1528" s="2">
        <v>21.383458988027702</v>
      </c>
      <c r="AR1528" s="2">
        <v>21.456321855029501</v>
      </c>
      <c r="AS1528" s="2">
        <v>21.5963051970176</v>
      </c>
      <c r="AT1528" s="2">
        <v>21.587553661595202</v>
      </c>
      <c r="AU1528" s="2">
        <v>21.585741949395899</v>
      </c>
      <c r="AV1528" s="2">
        <v>21.477057711165301</v>
      </c>
      <c r="AW1528" s="2">
        <v>21.5462465913578</v>
      </c>
      <c r="AX1528" s="2">
        <v>21.802570112253601</v>
      </c>
      <c r="AY1528" s="2">
        <v>21.606039485135</v>
      </c>
      <c r="AZ1528" s="2">
        <v>21.531428904785301</v>
      </c>
      <c r="BA1528" s="2">
        <v>21.537076201701002</v>
      </c>
      <c r="BB1528" s="2">
        <v>21.7977628945094</v>
      </c>
      <c r="BC1528" s="2">
        <v>21.5443349100189</v>
      </c>
      <c r="BD1528" s="2">
        <v>21.781322733903998</v>
      </c>
      <c r="BE1528" s="2">
        <v>21.373484293347701</v>
      </c>
      <c r="BF1528" s="2">
        <v>20.406758267006499</v>
      </c>
      <c r="BG1528" s="2">
        <v>21.583843326467701</v>
      </c>
      <c r="BH1528" s="2">
        <v>21.2225404210314</v>
      </c>
      <c r="BI1528" s="2">
        <v>21.7055942373729</v>
      </c>
      <c r="BJ1528" s="2">
        <v>21.731354190487</v>
      </c>
      <c r="BK1528" s="2">
        <v>21.405614213078401</v>
      </c>
      <c r="BL1528" s="2">
        <v>21.571858921305498</v>
      </c>
      <c r="BM1528" s="2">
        <v>21.175145504950599</v>
      </c>
      <c r="BN1528" s="2">
        <v>21.440483862989002</v>
      </c>
      <c r="BO1528" s="2">
        <v>21.4755040885209</v>
      </c>
      <c r="BP1528" s="2">
        <v>21.208088996804801</v>
      </c>
      <c r="BQ1528" s="2">
        <v>21.4143463521768</v>
      </c>
      <c r="BR1528" s="2">
        <v>21.6377845877944</v>
      </c>
      <c r="BS1528" s="2">
        <v>21.325745293008001</v>
      </c>
      <c r="BT1528" s="2">
        <v>21.6582028385033</v>
      </c>
      <c r="BU1528" s="2">
        <v>21.121137167446602</v>
      </c>
      <c r="BV1528" s="2">
        <v>21.636619669094099</v>
      </c>
      <c r="BW1528" s="2">
        <v>21.3582734788273</v>
      </c>
      <c r="BX1528" s="2">
        <v>21.331295295937899</v>
      </c>
      <c r="BY1528" s="2">
        <v>21.449803032422199</v>
      </c>
      <c r="BZ1528" s="2">
        <v>21.339528462603202</v>
      </c>
      <c r="CA1528" s="2">
        <v>21.6934153247974</v>
      </c>
      <c r="CB1528" s="2">
        <v>21.647164762397399</v>
      </c>
      <c r="CC1528" s="2">
        <v>21.573995441579999</v>
      </c>
      <c r="CD1528" s="2">
        <v>21.5149664414825</v>
      </c>
      <c r="CE1528" s="2">
        <v>21.524068849120901</v>
      </c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</row>
    <row r="1529" spans="1:97">
      <c r="A1529" s="2" t="s">
        <v>13612</v>
      </c>
      <c r="B1529" s="2">
        <v>229.00817000000001</v>
      </c>
      <c r="C1529" s="2">
        <v>4.2169999999999996</v>
      </c>
      <c r="D1529" s="2" t="s">
        <v>84</v>
      </c>
      <c r="E1529" s="2" t="s">
        <v>13613</v>
      </c>
      <c r="F1529" s="2" t="s">
        <v>13614</v>
      </c>
      <c r="G1529" s="2">
        <v>211326</v>
      </c>
      <c r="H1529" s="3" t="str">
        <f>HYPERLINK("https://cloud.oebiotech.com/#/lm/network/211326", "https://cloud.oebiotech.com/#/lm/network/211326")</f>
        <v>https://cloud.oebiotech.com/#/lm/network/211326</v>
      </c>
      <c r="I1529" s="2" t="s">
        <v>13615</v>
      </c>
      <c r="J1529" s="2"/>
      <c r="K1529" s="2"/>
      <c r="L1529" s="2">
        <v>21864131</v>
      </c>
      <c r="M1529" s="2"/>
      <c r="N1529" s="2"/>
      <c r="O1529" s="2"/>
      <c r="P1529" s="2"/>
      <c r="Q1529" s="2"/>
      <c r="R1529" s="2"/>
      <c r="S1529" s="2"/>
      <c r="T1529" s="2" t="s">
        <v>13616</v>
      </c>
      <c r="U1529" s="2" t="s">
        <v>13617</v>
      </c>
      <c r="V1529" s="2" t="s">
        <v>385</v>
      </c>
      <c r="W1529" s="2" t="s">
        <v>386</v>
      </c>
      <c r="X1529" s="2" t="s">
        <v>1059</v>
      </c>
      <c r="Y1529" s="2" t="s">
        <v>388</v>
      </c>
      <c r="Z1529" s="2" t="s">
        <v>389</v>
      </c>
      <c r="AA1529" s="2" t="s">
        <v>1060</v>
      </c>
      <c r="AB1529" s="2" t="s">
        <v>8443</v>
      </c>
      <c r="AC1529" s="2">
        <v>43.8</v>
      </c>
      <c r="AD1529" s="2">
        <v>94.77</v>
      </c>
      <c r="AE1529" s="2">
        <v>0</v>
      </c>
      <c r="AF1529" s="2" t="s">
        <v>13618</v>
      </c>
      <c r="AG1529" s="2" t="s">
        <v>103</v>
      </c>
      <c r="AH1529" s="2" t="s">
        <v>13619</v>
      </c>
      <c r="AI1529" s="2">
        <v>3.93</v>
      </c>
      <c r="AJ1529" s="2">
        <v>18.113923783396</v>
      </c>
      <c r="AK1529" s="2">
        <v>18.792650225265199</v>
      </c>
      <c r="AL1529" s="2">
        <v>19.155245752541699</v>
      </c>
      <c r="AM1529" s="2">
        <v>19.030477881096498</v>
      </c>
      <c r="AN1529" s="2">
        <v>18.8904740055393</v>
      </c>
      <c r="AO1529" s="2">
        <v>19.045909845438398</v>
      </c>
      <c r="AP1529" s="2">
        <v>18.9581413765656</v>
      </c>
      <c r="AQ1529" s="2">
        <v>19.000086869261199</v>
      </c>
      <c r="AR1529" s="2">
        <v>13.8790222200969</v>
      </c>
      <c r="AS1529" s="2">
        <v>17.3865159400879</v>
      </c>
      <c r="AT1529" s="2">
        <v>19.707827054391998</v>
      </c>
      <c r="AU1529" s="2">
        <v>18.488427170833699</v>
      </c>
      <c r="AV1529" s="2">
        <v>19.9198729560941</v>
      </c>
      <c r="AW1529" s="2">
        <v>16.282638164254202</v>
      </c>
      <c r="AX1529" s="2">
        <v>20.6135077774818</v>
      </c>
      <c r="AY1529" s="2">
        <v>18.09849693908</v>
      </c>
      <c r="AZ1529" s="2">
        <v>19.017547027142101</v>
      </c>
      <c r="BA1529" s="2">
        <v>20.914222736604799</v>
      </c>
      <c r="BB1529" s="2">
        <v>18.5890329711684</v>
      </c>
      <c r="BC1529" s="2">
        <v>13.763381487577201</v>
      </c>
      <c r="BD1529" s="2">
        <v>15.583544410126001</v>
      </c>
      <c r="BE1529" s="2">
        <v>19.632457415076601</v>
      </c>
      <c r="BF1529" s="2">
        <v>18.275428022345</v>
      </c>
      <c r="BG1529" s="2">
        <v>18.3017690144551</v>
      </c>
      <c r="BH1529" s="2">
        <v>9.6233145402724691</v>
      </c>
      <c r="BI1529" s="2">
        <v>21.348326783155201</v>
      </c>
      <c r="BJ1529" s="2">
        <v>18.0220237338842</v>
      </c>
      <c r="BK1529" s="2">
        <v>9.6233145402724691</v>
      </c>
      <c r="BL1529" s="2">
        <v>14.4282855756947</v>
      </c>
      <c r="BM1529" s="2">
        <v>18.7646987899324</v>
      </c>
      <c r="BN1529" s="2">
        <v>18.2516175367521</v>
      </c>
      <c r="BO1529" s="2">
        <v>21.293819527745899</v>
      </c>
      <c r="BP1529" s="2">
        <v>16.360485850930299</v>
      </c>
      <c r="BQ1529" s="2">
        <v>17.2412638007564</v>
      </c>
      <c r="BR1529" s="2">
        <v>21.003309296040399</v>
      </c>
      <c r="BS1529" s="2">
        <v>18.2750914615063</v>
      </c>
      <c r="BT1529" s="2">
        <v>9.6233145402724691</v>
      </c>
      <c r="BU1529" s="2">
        <v>20.723619868794799</v>
      </c>
      <c r="BV1529" s="2">
        <v>18.6007875361923</v>
      </c>
      <c r="BW1529" s="2">
        <v>15.315072414511</v>
      </c>
      <c r="BX1529" s="2">
        <v>14.159233553621499</v>
      </c>
      <c r="BY1529" s="2">
        <v>20.517461337212399</v>
      </c>
      <c r="BZ1529" s="2">
        <v>13.644395972317501</v>
      </c>
      <c r="CA1529" s="2">
        <v>17.491277218348898</v>
      </c>
      <c r="CB1529" s="2">
        <v>9.6233145402724691</v>
      </c>
      <c r="CC1529" s="2">
        <v>21.143984965056202</v>
      </c>
      <c r="CD1529" s="2">
        <v>9.6233145402724691</v>
      </c>
      <c r="CE1529" s="2">
        <v>9.6233145402724691</v>
      </c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</row>
    <row r="1530" spans="1:97">
      <c r="A1530" s="2" t="s">
        <v>13620</v>
      </c>
      <c r="B1530" s="2">
        <v>370.15233000000001</v>
      </c>
      <c r="C1530" s="2">
        <v>4.024</v>
      </c>
      <c r="D1530" s="2" t="s">
        <v>84</v>
      </c>
      <c r="E1530" s="2" t="s">
        <v>13621</v>
      </c>
      <c r="F1530" s="2" t="s">
        <v>13622</v>
      </c>
      <c r="G1530" s="2">
        <v>82924</v>
      </c>
      <c r="H1530" s="3" t="str">
        <f>HYPERLINK("https://cloud.oebiotech.com/#/lm/network/82924", "https://cloud.oebiotech.com/#/lm/network/82924")</f>
        <v>https://cloud.oebiotech.com/#/lm/network/82924</v>
      </c>
      <c r="I1530" s="2" t="s">
        <v>13623</v>
      </c>
      <c r="J1530" s="2"/>
      <c r="K1530" s="2"/>
      <c r="L1530" s="2">
        <v>131770027</v>
      </c>
      <c r="M1530" s="2"/>
      <c r="N1530" s="2"/>
      <c r="O1530" s="2"/>
      <c r="P1530" s="2"/>
      <c r="Q1530" s="2"/>
      <c r="R1530" s="2"/>
      <c r="S1530" s="2"/>
      <c r="T1530" s="2" t="s">
        <v>13624</v>
      </c>
      <c r="U1530" s="2" t="s">
        <v>13625</v>
      </c>
      <c r="V1530" s="2" t="s">
        <v>115</v>
      </c>
      <c r="W1530" s="2" t="s">
        <v>116</v>
      </c>
      <c r="X1530" s="2" t="s">
        <v>117</v>
      </c>
      <c r="Y1530" s="2" t="s">
        <v>118</v>
      </c>
      <c r="Z1530" s="2" t="s">
        <v>119</v>
      </c>
      <c r="AA1530" s="2" t="s">
        <v>120</v>
      </c>
      <c r="AB1530" s="2" t="s">
        <v>8443</v>
      </c>
      <c r="AC1530" s="2">
        <v>43.8</v>
      </c>
      <c r="AD1530" s="2">
        <v>74.760000000000005</v>
      </c>
      <c r="AE1530" s="2">
        <v>0</v>
      </c>
      <c r="AF1530" s="2" t="s">
        <v>13626</v>
      </c>
      <c r="AG1530" s="2" t="s">
        <v>3544</v>
      </c>
      <c r="AH1530" s="2" t="s">
        <v>13627</v>
      </c>
      <c r="AI1530" s="2">
        <v>1.08</v>
      </c>
      <c r="AJ1530" s="2">
        <v>18.0903414417314</v>
      </c>
      <c r="AK1530" s="2">
        <v>18.1000410140715</v>
      </c>
      <c r="AL1530" s="2">
        <v>18.153052812759899</v>
      </c>
      <c r="AM1530" s="2">
        <v>18.2112192412818</v>
      </c>
      <c r="AN1530" s="2">
        <v>18.571946356384199</v>
      </c>
      <c r="AO1530" s="2">
        <v>18.5457370551004</v>
      </c>
      <c r="AP1530" s="2">
        <v>18.685007194691799</v>
      </c>
      <c r="AQ1530" s="2">
        <v>18.7626041658628</v>
      </c>
      <c r="AR1530" s="2">
        <v>18.0905066976017</v>
      </c>
      <c r="AS1530" s="2">
        <v>17.622258059299501</v>
      </c>
      <c r="AT1530" s="2">
        <v>18.146032666599901</v>
      </c>
      <c r="AU1530" s="2">
        <v>15.5325553049218</v>
      </c>
      <c r="AV1530" s="2">
        <v>18.468204399569199</v>
      </c>
      <c r="AW1530" s="2">
        <v>18.422858655960599</v>
      </c>
      <c r="AX1530" s="2">
        <v>18.875619959424899</v>
      </c>
      <c r="AY1530" s="2">
        <v>18.422581318475</v>
      </c>
      <c r="AZ1530" s="2">
        <v>19.3126907718826</v>
      </c>
      <c r="BA1530" s="2">
        <v>17.189542851501599</v>
      </c>
      <c r="BB1530" s="2">
        <v>18.2579461307153</v>
      </c>
      <c r="BC1530" s="2">
        <v>9.6233145402724691</v>
      </c>
      <c r="BD1530" s="2">
        <v>18.021137497262799</v>
      </c>
      <c r="BE1530" s="2">
        <v>18.220743055631299</v>
      </c>
      <c r="BF1530" s="2">
        <v>17.879187870962799</v>
      </c>
      <c r="BG1530" s="2">
        <v>19.384004007285998</v>
      </c>
      <c r="BH1530" s="2">
        <v>19.222334673320301</v>
      </c>
      <c r="BI1530" s="2">
        <v>18.560732751945601</v>
      </c>
      <c r="BJ1530" s="2">
        <v>18.895677546570202</v>
      </c>
      <c r="BK1530" s="2">
        <v>18.283154340556798</v>
      </c>
      <c r="BL1530" s="2">
        <v>17.327222895148498</v>
      </c>
      <c r="BM1530" s="2">
        <v>16.525275486037</v>
      </c>
      <c r="BN1530" s="2">
        <v>18.211268918824199</v>
      </c>
      <c r="BO1530" s="2">
        <v>18.376449236741198</v>
      </c>
      <c r="BP1530" s="2">
        <v>19.292977344121599</v>
      </c>
      <c r="BQ1530" s="2">
        <v>18.294116873467399</v>
      </c>
      <c r="BR1530" s="2">
        <v>18.433128332759001</v>
      </c>
      <c r="BS1530" s="2">
        <v>17.926878369514199</v>
      </c>
      <c r="BT1530" s="2">
        <v>17.552607563145401</v>
      </c>
      <c r="BU1530" s="2">
        <v>17.385297642270199</v>
      </c>
      <c r="BV1530" s="2">
        <v>17.023496969171902</v>
      </c>
      <c r="BW1530" s="2">
        <v>17.51444978032</v>
      </c>
      <c r="BX1530" s="2">
        <v>17.878413672915599</v>
      </c>
      <c r="BY1530" s="2">
        <v>19.5774620027655</v>
      </c>
      <c r="BZ1530" s="2">
        <v>17.687099998124499</v>
      </c>
      <c r="CA1530" s="2">
        <v>18.401806082860102</v>
      </c>
      <c r="CB1530" s="2">
        <v>18.759233969220102</v>
      </c>
      <c r="CC1530" s="2">
        <v>18.061869311550101</v>
      </c>
      <c r="CD1530" s="2">
        <v>19.6902743143587</v>
      </c>
      <c r="CE1530" s="2">
        <v>18.575947044802</v>
      </c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</row>
    <row r="1531" spans="1:97">
      <c r="A1531" s="2" t="s">
        <v>13628</v>
      </c>
      <c r="B1531" s="2">
        <v>455.23817000000003</v>
      </c>
      <c r="C1531" s="2">
        <v>11.429</v>
      </c>
      <c r="D1531" s="2" t="s">
        <v>146</v>
      </c>
      <c r="E1531" s="2" t="s">
        <v>13629</v>
      </c>
      <c r="F1531" s="2" t="s">
        <v>13630</v>
      </c>
      <c r="G1531" s="2">
        <v>26105</v>
      </c>
      <c r="H1531" s="3" t="str">
        <f>HYPERLINK("https://cloud.oebiotech.com/#/lm/network/26105", "https://cloud.oebiotech.com/#/lm/network/26105")</f>
        <v>https://cloud.oebiotech.com/#/lm/network/26105</v>
      </c>
      <c r="I1531" s="2" t="s">
        <v>13631</v>
      </c>
      <c r="J1531" s="2">
        <v>5316</v>
      </c>
      <c r="K1531" s="2" t="s">
        <v>13632</v>
      </c>
      <c r="L1531" s="2">
        <v>89566</v>
      </c>
      <c r="M1531" s="2" t="s">
        <v>13633</v>
      </c>
      <c r="N1531" s="2"/>
      <c r="O1531" s="2"/>
      <c r="P1531" s="2">
        <v>64023</v>
      </c>
      <c r="Q1531" s="2"/>
      <c r="R1531" s="2"/>
      <c r="S1531" s="2"/>
      <c r="T1531" s="2" t="s">
        <v>13634</v>
      </c>
      <c r="U1531" s="2" t="s">
        <v>13635</v>
      </c>
      <c r="V1531" s="2" t="s">
        <v>95</v>
      </c>
      <c r="W1531" s="2" t="s">
        <v>202</v>
      </c>
      <c r="X1531" s="2" t="s">
        <v>6038</v>
      </c>
      <c r="Y1531" s="2" t="s">
        <v>98</v>
      </c>
      <c r="Z1531" s="2" t="s">
        <v>204</v>
      </c>
      <c r="AA1531" s="2" t="s">
        <v>6039</v>
      </c>
      <c r="AB1531" s="2" t="s">
        <v>3086</v>
      </c>
      <c r="AC1531" s="2">
        <v>43.79</v>
      </c>
      <c r="AD1531" s="2">
        <v>86.53</v>
      </c>
      <c r="AE1531" s="2">
        <v>0</v>
      </c>
      <c r="AF1531" s="2" t="s">
        <v>5614</v>
      </c>
      <c r="AG1531" s="2" t="s">
        <v>157</v>
      </c>
      <c r="AH1531" s="2" t="s">
        <v>13636</v>
      </c>
      <c r="AI1531" s="2">
        <v>7.25</v>
      </c>
      <c r="AJ1531" s="2">
        <v>16.933362512385301</v>
      </c>
      <c r="AK1531" s="2">
        <v>16.4646232816226</v>
      </c>
      <c r="AL1531" s="2">
        <v>16.7443044737186</v>
      </c>
      <c r="AM1531" s="2">
        <v>16.625134190169899</v>
      </c>
      <c r="AN1531" s="2">
        <v>16.927351705117999</v>
      </c>
      <c r="AO1531" s="2">
        <v>16.443483466172101</v>
      </c>
      <c r="AP1531" s="2">
        <v>16.422351935901499</v>
      </c>
      <c r="AQ1531" s="2">
        <v>16.914231884387799</v>
      </c>
      <c r="AR1531" s="2">
        <v>16.701994069355699</v>
      </c>
      <c r="AS1531" s="2">
        <v>15.4315139271998</v>
      </c>
      <c r="AT1531" s="2">
        <v>15.834390557838899</v>
      </c>
      <c r="AU1531" s="2">
        <v>15.2971118691601</v>
      </c>
      <c r="AV1531" s="2">
        <v>15.9579778337406</v>
      </c>
      <c r="AW1531" s="2">
        <v>16.851381221470501</v>
      </c>
      <c r="AX1531" s="2">
        <v>16.235327671799901</v>
      </c>
      <c r="AY1531" s="2">
        <v>18.062775988481501</v>
      </c>
      <c r="AZ1531" s="2">
        <v>17.529365503897999</v>
      </c>
      <c r="BA1531" s="2">
        <v>16.346895617293502</v>
      </c>
      <c r="BB1531" s="2">
        <v>16.622087005315802</v>
      </c>
      <c r="BC1531" s="2">
        <v>16.2978215493345</v>
      </c>
      <c r="BD1531" s="2">
        <v>16.1452983206404</v>
      </c>
      <c r="BE1531" s="2">
        <v>17.820640889500002</v>
      </c>
      <c r="BF1531" s="2">
        <v>15.741779539978801</v>
      </c>
      <c r="BG1531" s="2">
        <v>15.904170064175799</v>
      </c>
      <c r="BH1531" s="2">
        <v>16.5958049745091</v>
      </c>
      <c r="BI1531" s="2">
        <v>16.708653105087301</v>
      </c>
      <c r="BJ1531" s="2">
        <v>17.227194180746601</v>
      </c>
      <c r="BK1531" s="2">
        <v>15.7274371005358</v>
      </c>
      <c r="BL1531" s="2">
        <v>16.284174343624301</v>
      </c>
      <c r="BM1531" s="2">
        <v>16.687292429701198</v>
      </c>
      <c r="BN1531" s="2">
        <v>14.4806198237942</v>
      </c>
      <c r="BO1531" s="2">
        <v>15.885361777222</v>
      </c>
      <c r="BP1531" s="2">
        <v>15.7490219512603</v>
      </c>
      <c r="BQ1531" s="2">
        <v>16.079870989725698</v>
      </c>
      <c r="BR1531" s="2">
        <v>15.6775988064673</v>
      </c>
      <c r="BS1531" s="2">
        <v>17.966593150552701</v>
      </c>
      <c r="BT1531" s="2">
        <v>17.457344484168399</v>
      </c>
      <c r="BU1531" s="2">
        <v>16.054489218252002</v>
      </c>
      <c r="BV1531" s="2">
        <v>16.265055871830299</v>
      </c>
      <c r="BW1531" s="2">
        <v>15.4387431296157</v>
      </c>
      <c r="BX1531" s="2">
        <v>15.6914354743845</v>
      </c>
      <c r="BY1531" s="2">
        <v>18.012931214260099</v>
      </c>
      <c r="BZ1531" s="2">
        <v>15.7222613485139</v>
      </c>
      <c r="CA1531" s="2">
        <v>15.4446325172492</v>
      </c>
      <c r="CB1531" s="2">
        <v>15.709383804184499</v>
      </c>
      <c r="CC1531" s="2">
        <v>16.583444365812898</v>
      </c>
      <c r="CD1531" s="2">
        <v>16.6319084228778</v>
      </c>
      <c r="CE1531" s="2">
        <v>15.636905236856601</v>
      </c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</row>
    <row r="1532" spans="1:97">
      <c r="A1532" s="2" t="s">
        <v>13637</v>
      </c>
      <c r="B1532" s="2">
        <v>501.13234999999997</v>
      </c>
      <c r="C1532" s="2">
        <v>4.3289999999999997</v>
      </c>
      <c r="D1532" s="2" t="s">
        <v>146</v>
      </c>
      <c r="E1532" s="2" t="s">
        <v>13638</v>
      </c>
      <c r="F1532" s="2" t="s">
        <v>13639</v>
      </c>
      <c r="G1532" s="2">
        <v>82086</v>
      </c>
      <c r="H1532" s="3" t="str">
        <f>HYPERLINK("https://cloud.oebiotech.com/#/lm/network/82086", "https://cloud.oebiotech.com/#/lm/network/82086")</f>
        <v>https://cloud.oebiotech.com/#/lm/network/82086</v>
      </c>
      <c r="I1532" s="2" t="s">
        <v>13640</v>
      </c>
      <c r="J1532" s="2"/>
      <c r="K1532" s="2"/>
      <c r="L1532" s="2">
        <v>131769818</v>
      </c>
      <c r="M1532" s="2"/>
      <c r="N1532" s="2"/>
      <c r="O1532" s="2"/>
      <c r="P1532" s="2"/>
      <c r="Q1532" s="2"/>
      <c r="R1532" s="2"/>
      <c r="S1532" s="2"/>
      <c r="T1532" s="2" t="s">
        <v>13641</v>
      </c>
      <c r="U1532" s="2" t="s">
        <v>13642</v>
      </c>
      <c r="V1532" s="2" t="s">
        <v>115</v>
      </c>
      <c r="W1532" s="2" t="s">
        <v>116</v>
      </c>
      <c r="X1532" s="2" t="s">
        <v>117</v>
      </c>
      <c r="Y1532" s="2" t="s">
        <v>118</v>
      </c>
      <c r="Z1532" s="2" t="s">
        <v>119</v>
      </c>
      <c r="AA1532" s="2" t="s">
        <v>120</v>
      </c>
      <c r="AB1532" s="2" t="s">
        <v>5118</v>
      </c>
      <c r="AC1532" s="2">
        <v>43.79</v>
      </c>
      <c r="AD1532" s="2">
        <v>82.39</v>
      </c>
      <c r="AE1532" s="2">
        <v>72.13</v>
      </c>
      <c r="AF1532" s="2" t="s">
        <v>13643</v>
      </c>
      <c r="AG1532" s="2" t="s">
        <v>157</v>
      </c>
      <c r="AH1532" s="2" t="s">
        <v>13644</v>
      </c>
      <c r="AI1532" s="2">
        <v>-5.19</v>
      </c>
      <c r="AJ1532" s="2">
        <v>16.6830254347798</v>
      </c>
      <c r="AK1532" s="2">
        <v>17.127819150693899</v>
      </c>
      <c r="AL1532" s="2">
        <v>17.0643955407986</v>
      </c>
      <c r="AM1532" s="2">
        <v>17.2055004203857</v>
      </c>
      <c r="AN1532" s="2">
        <v>17.064389119683899</v>
      </c>
      <c r="AO1532" s="2">
        <v>17.211037202443499</v>
      </c>
      <c r="AP1532" s="2">
        <v>16.645972608756701</v>
      </c>
      <c r="AQ1532" s="2">
        <v>16.941751445587499</v>
      </c>
      <c r="AR1532" s="2">
        <v>9.6233145402724691</v>
      </c>
      <c r="AS1532" s="2">
        <v>13.1565050123647</v>
      </c>
      <c r="AT1532" s="2">
        <v>15.4889199554505</v>
      </c>
      <c r="AU1532" s="2">
        <v>14.4179929018983</v>
      </c>
      <c r="AV1532" s="2">
        <v>16.4855043450391</v>
      </c>
      <c r="AW1532" s="2">
        <v>15.191530420008901</v>
      </c>
      <c r="AX1532" s="2">
        <v>16.425488022380801</v>
      </c>
      <c r="AY1532" s="2">
        <v>16.201446636185398</v>
      </c>
      <c r="AZ1532" s="2">
        <v>14.184207446102601</v>
      </c>
      <c r="BA1532" s="2">
        <v>9.6233145402724691</v>
      </c>
      <c r="BB1532" s="2">
        <v>18.374763187668599</v>
      </c>
      <c r="BC1532" s="2">
        <v>19.115553120627599</v>
      </c>
      <c r="BD1532" s="2">
        <v>15.9923123747826</v>
      </c>
      <c r="BE1532" s="2">
        <v>18.053134888358901</v>
      </c>
      <c r="BF1532" s="2">
        <v>17.464415724519601</v>
      </c>
      <c r="BG1532" s="2">
        <v>18.052455176643001</v>
      </c>
      <c r="BH1532" s="2">
        <v>16.5280204495578</v>
      </c>
      <c r="BI1532" s="2">
        <v>17.656999405065299</v>
      </c>
      <c r="BJ1532" s="2">
        <v>17.074086256528901</v>
      </c>
      <c r="BK1532" s="2">
        <v>14.7752800196949</v>
      </c>
      <c r="BL1532" s="2">
        <v>15.9626669520894</v>
      </c>
      <c r="BM1532" s="2">
        <v>17.50181565314</v>
      </c>
      <c r="BN1532" s="2">
        <v>17.095870762022798</v>
      </c>
      <c r="BO1532" s="2">
        <v>16.207127979808199</v>
      </c>
      <c r="BP1532" s="2">
        <v>16.416184621420999</v>
      </c>
      <c r="BQ1532" s="2">
        <v>16.508150532499702</v>
      </c>
      <c r="BR1532" s="2">
        <v>16.403653182469601</v>
      </c>
      <c r="BS1532" s="2">
        <v>16.094445984572001</v>
      </c>
      <c r="BT1532" s="2">
        <v>12.3570130925665</v>
      </c>
      <c r="BU1532" s="2">
        <v>15.0538321474172</v>
      </c>
      <c r="BV1532" s="2">
        <v>17.6503148891519</v>
      </c>
      <c r="BW1532" s="2">
        <v>16.111144434319598</v>
      </c>
      <c r="BX1532" s="2">
        <v>15.901784470401299</v>
      </c>
      <c r="BY1532" s="2">
        <v>17.372026372289</v>
      </c>
      <c r="BZ1532" s="2">
        <v>16.436827338228301</v>
      </c>
      <c r="CA1532" s="2">
        <v>18.419575224079001</v>
      </c>
      <c r="CB1532" s="2">
        <v>16.1639587862208</v>
      </c>
      <c r="CC1532" s="2">
        <v>17.1991598808705</v>
      </c>
      <c r="CD1532" s="2">
        <v>17.697881821465501</v>
      </c>
      <c r="CE1532" s="2">
        <v>17.466357314007201</v>
      </c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</row>
    <row r="1533" spans="1:97">
      <c r="A1533" s="2" t="s">
        <v>13645</v>
      </c>
      <c r="B1533" s="2">
        <v>464.31277999999998</v>
      </c>
      <c r="C1533" s="2">
        <v>10.912000000000001</v>
      </c>
      <c r="D1533" s="2" t="s">
        <v>146</v>
      </c>
      <c r="E1533" s="2" t="s">
        <v>13646</v>
      </c>
      <c r="F1533" s="2" t="s">
        <v>13647</v>
      </c>
      <c r="G1533" s="2">
        <v>198057</v>
      </c>
      <c r="H1533" s="3" t="str">
        <f>HYPERLINK("https://cloud.oebiotech.com/#/lm/network/198057", "https://cloud.oebiotech.com/#/lm/network/198057")</f>
        <v>https://cloud.oebiotech.com/#/lm/network/198057</v>
      </c>
      <c r="I1533" s="2" t="s">
        <v>13648</v>
      </c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 t="s">
        <v>13649</v>
      </c>
      <c r="U1533" s="2" t="s">
        <v>13650</v>
      </c>
      <c r="V1533" s="2" t="s">
        <v>95</v>
      </c>
      <c r="W1533" s="2" t="s">
        <v>96</v>
      </c>
      <c r="X1533" s="2" t="s">
        <v>97</v>
      </c>
      <c r="Y1533" s="2" t="s">
        <v>98</v>
      </c>
      <c r="Z1533" s="2" t="s">
        <v>99</v>
      </c>
      <c r="AA1533" s="2" t="s">
        <v>100</v>
      </c>
      <c r="AB1533" s="2" t="s">
        <v>3086</v>
      </c>
      <c r="AC1533" s="2">
        <v>43.78</v>
      </c>
      <c r="AD1533" s="2">
        <v>62.21</v>
      </c>
      <c r="AE1533" s="2">
        <v>0</v>
      </c>
      <c r="AF1533" s="2" t="s">
        <v>5614</v>
      </c>
      <c r="AG1533" s="2" t="s">
        <v>4062</v>
      </c>
      <c r="AH1533" s="2" t="s">
        <v>13651</v>
      </c>
      <c r="AI1533" s="2">
        <v>4.3099999999999996</v>
      </c>
      <c r="AJ1533" s="2">
        <v>17.076710187963499</v>
      </c>
      <c r="AK1533" s="2">
        <v>17.720769766536598</v>
      </c>
      <c r="AL1533" s="2">
        <v>17.822550728376299</v>
      </c>
      <c r="AM1533" s="2">
        <v>17.409770786981401</v>
      </c>
      <c r="AN1533" s="2">
        <v>17.583466916788701</v>
      </c>
      <c r="AO1533" s="2">
        <v>17.779324301230702</v>
      </c>
      <c r="AP1533" s="2">
        <v>18.0531796040828</v>
      </c>
      <c r="AQ1533" s="2">
        <v>18.060269510413999</v>
      </c>
      <c r="AR1533" s="2">
        <v>17.442623870976199</v>
      </c>
      <c r="AS1533" s="2">
        <v>16.676318129987202</v>
      </c>
      <c r="AT1533" s="2">
        <v>17.556738641758798</v>
      </c>
      <c r="AU1533" s="2">
        <v>16.909676902329799</v>
      </c>
      <c r="AV1533" s="2">
        <v>17.809004069127599</v>
      </c>
      <c r="AW1533" s="2">
        <v>17.7366066588752</v>
      </c>
      <c r="AX1533" s="2">
        <v>17.312436031267801</v>
      </c>
      <c r="AY1533" s="2">
        <v>17.766550130635899</v>
      </c>
      <c r="AZ1533" s="2">
        <v>17.610276274290801</v>
      </c>
      <c r="BA1533" s="2">
        <v>16.1855845478498</v>
      </c>
      <c r="BB1533" s="2">
        <v>17.7389502675533</v>
      </c>
      <c r="BC1533" s="2">
        <v>18.629553956778899</v>
      </c>
      <c r="BD1533" s="2">
        <v>17.5036400486111</v>
      </c>
      <c r="BE1533" s="2">
        <v>18.081436470265601</v>
      </c>
      <c r="BF1533" s="2">
        <v>18.148101857829602</v>
      </c>
      <c r="BG1533" s="2">
        <v>18.090711419082702</v>
      </c>
      <c r="BH1533" s="2">
        <v>17.809745649216701</v>
      </c>
      <c r="BI1533" s="2">
        <v>17.516464743020698</v>
      </c>
      <c r="BJ1533" s="2">
        <v>17.707190730533799</v>
      </c>
      <c r="BK1533" s="2">
        <v>16.837006474734199</v>
      </c>
      <c r="BL1533" s="2">
        <v>17.705504823075401</v>
      </c>
      <c r="BM1533" s="2">
        <v>17.4101918703061</v>
      </c>
      <c r="BN1533" s="2">
        <v>17.769132294168401</v>
      </c>
      <c r="BO1533" s="2">
        <v>17.455115270368601</v>
      </c>
      <c r="BP1533" s="2">
        <v>17.854555656708602</v>
      </c>
      <c r="BQ1533" s="2">
        <v>17.533713368692499</v>
      </c>
      <c r="BR1533" s="2">
        <v>17.956454887986901</v>
      </c>
      <c r="BS1533" s="2">
        <v>17.695986678997102</v>
      </c>
      <c r="BT1533" s="2">
        <v>17.893420577208001</v>
      </c>
      <c r="BU1533" s="2">
        <v>18.185925328161801</v>
      </c>
      <c r="BV1533" s="2">
        <v>17.326746428782599</v>
      </c>
      <c r="BW1533" s="2">
        <v>16.6426536307006</v>
      </c>
      <c r="BX1533" s="2">
        <v>17.748076005956399</v>
      </c>
      <c r="BY1533" s="2">
        <v>18.707775838028599</v>
      </c>
      <c r="BZ1533" s="2">
        <v>18.019909062534101</v>
      </c>
      <c r="CA1533" s="2">
        <v>18.160537544651898</v>
      </c>
      <c r="CB1533" s="2">
        <v>17.5662888079315</v>
      </c>
      <c r="CC1533" s="2">
        <v>17.082587443731001</v>
      </c>
      <c r="CD1533" s="2">
        <v>17.704786270236699</v>
      </c>
      <c r="CE1533" s="2">
        <v>16.526166953095501</v>
      </c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</row>
    <row r="1534" spans="1:97">
      <c r="A1534" s="2" t="s">
        <v>13652</v>
      </c>
      <c r="B1534" s="2">
        <v>352.28406999999999</v>
      </c>
      <c r="C1534" s="2">
        <v>14.590999999999999</v>
      </c>
      <c r="D1534" s="2" t="s">
        <v>84</v>
      </c>
      <c r="E1534" s="2" t="s">
        <v>13653</v>
      </c>
      <c r="F1534" s="2" t="s">
        <v>13654</v>
      </c>
      <c r="G1534" s="2">
        <v>2257</v>
      </c>
      <c r="H1534" s="3" t="str">
        <f>HYPERLINK("https://cloud.oebiotech.com/#/lm/network/2257", "https://cloud.oebiotech.com/#/lm/network/2257")</f>
        <v>https://cloud.oebiotech.com/#/lm/network/2257</v>
      </c>
      <c r="I1534" s="2"/>
      <c r="J1534" s="2"/>
      <c r="K1534" s="2" t="s">
        <v>13655</v>
      </c>
      <c r="L1534" s="2">
        <v>137323811</v>
      </c>
      <c r="M1534" s="2"/>
      <c r="N1534" s="2"/>
      <c r="O1534" s="2"/>
      <c r="P1534" s="2"/>
      <c r="Q1534" s="2"/>
      <c r="R1534" s="2"/>
      <c r="S1534" s="2"/>
      <c r="T1534" s="2" t="s">
        <v>13656</v>
      </c>
      <c r="U1534" s="2" t="s">
        <v>13657</v>
      </c>
      <c r="V1534" s="2" t="s">
        <v>95</v>
      </c>
      <c r="W1534" s="2" t="s">
        <v>96</v>
      </c>
      <c r="X1534" s="2" t="s">
        <v>97</v>
      </c>
      <c r="Y1534" s="2" t="s">
        <v>98</v>
      </c>
      <c r="Z1534" s="2" t="s">
        <v>99</v>
      </c>
      <c r="AA1534" s="2" t="s">
        <v>100</v>
      </c>
      <c r="AB1534" s="2" t="s">
        <v>8443</v>
      </c>
      <c r="AC1534" s="2">
        <v>43.77</v>
      </c>
      <c r="AD1534" s="2">
        <v>86.3</v>
      </c>
      <c r="AE1534" s="2">
        <v>43.31</v>
      </c>
      <c r="AF1534" s="2" t="s">
        <v>13658</v>
      </c>
      <c r="AG1534" s="2" t="s">
        <v>132</v>
      </c>
      <c r="AH1534" s="2" t="s">
        <v>13659</v>
      </c>
      <c r="AI1534" s="2">
        <v>1.42</v>
      </c>
      <c r="AJ1534" s="2">
        <v>21.300821616036501</v>
      </c>
      <c r="AK1534" s="2">
        <v>20.917205830578801</v>
      </c>
      <c r="AL1534" s="2">
        <v>20.946207823873099</v>
      </c>
      <c r="AM1534" s="2">
        <v>20.119237464940699</v>
      </c>
      <c r="AN1534" s="2">
        <v>21.075156709317</v>
      </c>
      <c r="AO1534" s="2">
        <v>21.081076410816099</v>
      </c>
      <c r="AP1534" s="2">
        <v>20.613683358368998</v>
      </c>
      <c r="AQ1534" s="2">
        <v>21.258995362694598</v>
      </c>
      <c r="AR1534" s="2">
        <v>20.9095362058818</v>
      </c>
      <c r="AS1534" s="2">
        <v>19.539122092603701</v>
      </c>
      <c r="AT1534" s="2">
        <v>19.682138957027099</v>
      </c>
      <c r="AU1534" s="2">
        <v>19.868177006854701</v>
      </c>
      <c r="AV1534" s="2">
        <v>20.715300149807401</v>
      </c>
      <c r="AW1534" s="2">
        <v>20.876616883788099</v>
      </c>
      <c r="AX1534" s="2">
        <v>19.683272562544499</v>
      </c>
      <c r="AY1534" s="2">
        <v>20.674649332206801</v>
      </c>
      <c r="AZ1534" s="2">
        <v>20.431256339844399</v>
      </c>
      <c r="BA1534" s="2">
        <v>19.804761933063698</v>
      </c>
      <c r="BB1534" s="2">
        <v>19.801333255540801</v>
      </c>
      <c r="BC1534" s="2">
        <v>20.1636604606162</v>
      </c>
      <c r="BD1534" s="2">
        <v>19.3611159787778</v>
      </c>
      <c r="BE1534" s="2">
        <v>21.376405092529801</v>
      </c>
      <c r="BF1534" s="2">
        <v>19.835502775687601</v>
      </c>
      <c r="BG1534" s="2">
        <v>20.927075056797499</v>
      </c>
      <c r="BH1534" s="2">
        <v>20.609903264453699</v>
      </c>
      <c r="BI1534" s="2">
        <v>20.407050367144699</v>
      </c>
      <c r="BJ1534" s="2">
        <v>20.4014382852402</v>
      </c>
      <c r="BK1534" s="2">
        <v>20.047445788402101</v>
      </c>
      <c r="BL1534" s="2">
        <v>20.717360477667999</v>
      </c>
      <c r="BM1534" s="2">
        <v>20.430831960623401</v>
      </c>
      <c r="BN1534" s="2">
        <v>20.3782563149094</v>
      </c>
      <c r="BO1534" s="2">
        <v>19.959376032096099</v>
      </c>
      <c r="BP1534" s="2">
        <v>20.853423815006899</v>
      </c>
      <c r="BQ1534" s="2">
        <v>20.525037885151299</v>
      </c>
      <c r="BR1534" s="2">
        <v>20.903360163649602</v>
      </c>
      <c r="BS1534" s="2">
        <v>20.720821675721599</v>
      </c>
      <c r="BT1534" s="2">
        <v>19.1370529464055</v>
      </c>
      <c r="BU1534" s="2">
        <v>19.5657021837096</v>
      </c>
      <c r="BV1534" s="2">
        <v>18.852318001605799</v>
      </c>
      <c r="BW1534" s="2">
        <v>19.673069433582398</v>
      </c>
      <c r="BX1534" s="2">
        <v>21.1010123292732</v>
      </c>
      <c r="BY1534" s="2">
        <v>22.627448260297498</v>
      </c>
      <c r="BZ1534" s="2">
        <v>20.8439274517991</v>
      </c>
      <c r="CA1534" s="2">
        <v>21.393380212898499</v>
      </c>
      <c r="CB1534" s="2">
        <v>20.0205945128052</v>
      </c>
      <c r="CC1534" s="2">
        <v>19.7699001364889</v>
      </c>
      <c r="CD1534" s="2">
        <v>20.897147684008299</v>
      </c>
      <c r="CE1534" s="2">
        <v>19.578317919922998</v>
      </c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</row>
    <row r="1535" spans="1:97">
      <c r="A1535" s="2" t="s">
        <v>13660</v>
      </c>
      <c r="B1535" s="2">
        <v>245.04840999999999</v>
      </c>
      <c r="C1535" s="2">
        <v>5.742</v>
      </c>
      <c r="D1535" s="2" t="s">
        <v>146</v>
      </c>
      <c r="E1535" s="2" t="s">
        <v>13661</v>
      </c>
      <c r="F1535" s="2" t="s">
        <v>13662</v>
      </c>
      <c r="G1535" s="2">
        <v>199453</v>
      </c>
      <c r="H1535" s="3" t="str">
        <f>HYPERLINK("https://cloud.oebiotech.com/#/lm/network/199453", "https://cloud.oebiotech.com/#/lm/network/199453")</f>
        <v>https://cloud.oebiotech.com/#/lm/network/199453</v>
      </c>
      <c r="I1535" s="2" t="s">
        <v>13663</v>
      </c>
      <c r="J1535" s="2"/>
      <c r="K1535" s="2"/>
      <c r="L1535" s="2">
        <v>76137</v>
      </c>
      <c r="M1535" s="2"/>
      <c r="N1535" s="2"/>
      <c r="O1535" s="2"/>
      <c r="P1535" s="2"/>
      <c r="Q1535" s="2"/>
      <c r="R1535" s="2"/>
      <c r="S1535" s="2"/>
      <c r="T1535" s="2" t="s">
        <v>13664</v>
      </c>
      <c r="U1535" s="2" t="s">
        <v>13665</v>
      </c>
      <c r="V1535" s="2" t="s">
        <v>553</v>
      </c>
      <c r="W1535" s="2" t="s">
        <v>10339</v>
      </c>
      <c r="X1535" s="2" t="s">
        <v>10340</v>
      </c>
      <c r="Y1535" s="2" t="s">
        <v>556</v>
      </c>
      <c r="Z1535" s="2" t="s">
        <v>10341</v>
      </c>
      <c r="AA1535" s="2" t="s">
        <v>10342</v>
      </c>
      <c r="AB1535" s="2" t="s">
        <v>8443</v>
      </c>
      <c r="AC1535" s="2">
        <v>43.76</v>
      </c>
      <c r="AD1535" s="2">
        <v>83.02</v>
      </c>
      <c r="AE1535" s="2">
        <v>0</v>
      </c>
      <c r="AF1535" s="2" t="s">
        <v>13666</v>
      </c>
      <c r="AG1535" s="2" t="s">
        <v>4062</v>
      </c>
      <c r="AH1535" s="2" t="s">
        <v>13667</v>
      </c>
      <c r="AI1535" s="2">
        <v>1.22</v>
      </c>
      <c r="AJ1535" s="2">
        <v>22.151722520152799</v>
      </c>
      <c r="AK1535" s="2">
        <v>22.098524371680899</v>
      </c>
      <c r="AL1535" s="2">
        <v>22.296680787925698</v>
      </c>
      <c r="AM1535" s="2">
        <v>22.189985494754801</v>
      </c>
      <c r="AN1535" s="2">
        <v>22.161522837794099</v>
      </c>
      <c r="AO1535" s="2">
        <v>22.213035542434099</v>
      </c>
      <c r="AP1535" s="2">
        <v>22.101571506253499</v>
      </c>
      <c r="AQ1535" s="2">
        <v>22.209720240168899</v>
      </c>
      <c r="AR1535" s="2">
        <v>17.504796569462101</v>
      </c>
      <c r="AS1535" s="2">
        <v>16.417252585484398</v>
      </c>
      <c r="AT1535" s="2">
        <v>19.2588047994821</v>
      </c>
      <c r="AU1535" s="2">
        <v>18.230394133984799</v>
      </c>
      <c r="AV1535" s="2">
        <v>18.0770537827864</v>
      </c>
      <c r="AW1535" s="2">
        <v>21.054525201145701</v>
      </c>
      <c r="AX1535" s="2">
        <v>25.026698870488399</v>
      </c>
      <c r="AY1535" s="2">
        <v>24.761353591978899</v>
      </c>
      <c r="AZ1535" s="2">
        <v>15.775551127404199</v>
      </c>
      <c r="BA1535" s="2">
        <v>19.912527863057399</v>
      </c>
      <c r="BB1535" s="2">
        <v>15.2845660400068</v>
      </c>
      <c r="BC1535" s="2">
        <v>9.6233145402724691</v>
      </c>
      <c r="BD1535" s="2">
        <v>20.5435277803975</v>
      </c>
      <c r="BE1535" s="2">
        <v>22.3296222727895</v>
      </c>
      <c r="BF1535" s="2">
        <v>21.153890630768799</v>
      </c>
      <c r="BG1535" s="2">
        <v>17.565501606113099</v>
      </c>
      <c r="BH1535" s="2">
        <v>18.8151045260595</v>
      </c>
      <c r="BI1535" s="2">
        <v>21.152206695529301</v>
      </c>
      <c r="BJ1535" s="2">
        <v>16.8347285453032</v>
      </c>
      <c r="BK1535" s="2">
        <v>20.936194684120299</v>
      </c>
      <c r="BL1535" s="2">
        <v>15.5488201026811</v>
      </c>
      <c r="BM1535" s="2">
        <v>16.1816024463348</v>
      </c>
      <c r="BN1535" s="2">
        <v>22.1794785577131</v>
      </c>
      <c r="BO1535" s="2">
        <v>21.783937176535002</v>
      </c>
      <c r="BP1535" s="2">
        <v>17.531807336913001</v>
      </c>
      <c r="BQ1535" s="2">
        <v>24.8690671681038</v>
      </c>
      <c r="BR1535" s="2">
        <v>20.177075634927</v>
      </c>
      <c r="BS1535" s="2">
        <v>17.523649472532099</v>
      </c>
      <c r="BT1535" s="2">
        <v>12.6480092257324</v>
      </c>
      <c r="BU1535" s="2">
        <v>22.670547642278699</v>
      </c>
      <c r="BV1535" s="2">
        <v>19.756830482802101</v>
      </c>
      <c r="BW1535" s="2">
        <v>16.851020752348401</v>
      </c>
      <c r="BX1535" s="2">
        <v>20.018999460466102</v>
      </c>
      <c r="BY1535" s="2">
        <v>25.121598455737001</v>
      </c>
      <c r="BZ1535" s="2">
        <v>16.215247450734299</v>
      </c>
      <c r="CA1535" s="2">
        <v>20.2911982470285</v>
      </c>
      <c r="CB1535" s="2">
        <v>19.4530643517218</v>
      </c>
      <c r="CC1535" s="2">
        <v>22.0213683935769</v>
      </c>
      <c r="CD1535" s="2">
        <v>24.798385385344901</v>
      </c>
      <c r="CE1535" s="2">
        <v>22.859414419779199</v>
      </c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</row>
    <row r="1536" spans="1:97">
      <c r="A1536" s="2" t="s">
        <v>13668</v>
      </c>
      <c r="B1536" s="2">
        <v>414.32058000000001</v>
      </c>
      <c r="C1536" s="2">
        <v>9.1029999999999998</v>
      </c>
      <c r="D1536" s="2" t="s">
        <v>84</v>
      </c>
      <c r="E1536" s="2" t="s">
        <v>13669</v>
      </c>
      <c r="F1536" s="2" t="s">
        <v>13670</v>
      </c>
      <c r="G1536" s="2">
        <v>8326</v>
      </c>
      <c r="H1536" s="3" t="str">
        <f>HYPERLINK("https://cloud.oebiotech.com/#/lm/network/8326", "https://cloud.oebiotech.com/#/lm/network/8326")</f>
        <v>https://cloud.oebiotech.com/#/lm/network/8326</v>
      </c>
      <c r="I1536" s="2" t="s">
        <v>13671</v>
      </c>
      <c r="J1536" s="2"/>
      <c r="K1536" s="2" t="s">
        <v>13672</v>
      </c>
      <c r="L1536" s="2">
        <v>71464549</v>
      </c>
      <c r="M1536" s="2"/>
      <c r="N1536" s="2"/>
      <c r="O1536" s="2"/>
      <c r="P1536" s="2">
        <v>73068</v>
      </c>
      <c r="Q1536" s="2"/>
      <c r="R1536" s="2"/>
      <c r="S1536" s="2"/>
      <c r="T1536" s="2" t="s">
        <v>13673</v>
      </c>
      <c r="U1536" s="2" t="s">
        <v>13674</v>
      </c>
      <c r="V1536" s="2" t="s">
        <v>95</v>
      </c>
      <c r="W1536" s="2" t="s">
        <v>96</v>
      </c>
      <c r="X1536" s="2" t="s">
        <v>97</v>
      </c>
      <c r="Y1536" s="2" t="s">
        <v>98</v>
      </c>
      <c r="Z1536" s="2" t="s">
        <v>99</v>
      </c>
      <c r="AA1536" s="2" t="s">
        <v>100</v>
      </c>
      <c r="AB1536" s="2" t="s">
        <v>8443</v>
      </c>
      <c r="AC1536" s="2">
        <v>43.76</v>
      </c>
      <c r="AD1536" s="2">
        <v>84.7</v>
      </c>
      <c r="AE1536" s="2">
        <v>0</v>
      </c>
      <c r="AF1536" s="2" t="s">
        <v>13675</v>
      </c>
      <c r="AG1536" s="2" t="s">
        <v>103</v>
      </c>
      <c r="AH1536" s="2" t="s">
        <v>3889</v>
      </c>
      <c r="AI1536" s="2">
        <v>1.93</v>
      </c>
      <c r="AJ1536" s="2">
        <v>18.042325636724598</v>
      </c>
      <c r="AK1536" s="2">
        <v>18.068060120472399</v>
      </c>
      <c r="AL1536" s="2">
        <v>17.632242295816798</v>
      </c>
      <c r="AM1536" s="2">
        <v>17.7890667439789</v>
      </c>
      <c r="AN1536" s="2">
        <v>17.436821158334599</v>
      </c>
      <c r="AO1536" s="2">
        <v>18.100344548535499</v>
      </c>
      <c r="AP1536" s="2">
        <v>17.619122521268899</v>
      </c>
      <c r="AQ1536" s="2">
        <v>17.3577937278787</v>
      </c>
      <c r="AR1536" s="2">
        <v>14.303978334787701</v>
      </c>
      <c r="AS1536" s="2">
        <v>16.669478738663098</v>
      </c>
      <c r="AT1536" s="2">
        <v>18.691536414003298</v>
      </c>
      <c r="AU1536" s="2">
        <v>14.1144085099073</v>
      </c>
      <c r="AV1536" s="2">
        <v>13.781100455966101</v>
      </c>
      <c r="AW1536" s="2">
        <v>15.2849003528822</v>
      </c>
      <c r="AX1536" s="2">
        <v>17.524881413561399</v>
      </c>
      <c r="AY1536" s="2">
        <v>17.443481604552701</v>
      </c>
      <c r="AZ1536" s="2">
        <v>15.272808725794899</v>
      </c>
      <c r="BA1536" s="2">
        <v>18.052415427127801</v>
      </c>
      <c r="BB1536" s="2">
        <v>16.682206628749299</v>
      </c>
      <c r="BC1536" s="2">
        <v>19.575029115564799</v>
      </c>
      <c r="BD1536" s="2">
        <v>16.132781453392401</v>
      </c>
      <c r="BE1536" s="2">
        <v>17.072066431662599</v>
      </c>
      <c r="BF1536" s="2">
        <v>17.9177655220148</v>
      </c>
      <c r="BG1536" s="2">
        <v>18.2039537786371</v>
      </c>
      <c r="BH1536" s="2">
        <v>16.032499081515098</v>
      </c>
      <c r="BI1536" s="2">
        <v>19.008951783195801</v>
      </c>
      <c r="BJ1536" s="2">
        <v>17.747083403722499</v>
      </c>
      <c r="BK1536" s="2">
        <v>14.8051080193604</v>
      </c>
      <c r="BL1536" s="2">
        <v>17.964500222006301</v>
      </c>
      <c r="BM1536" s="2">
        <v>15.2801045005783</v>
      </c>
      <c r="BN1536" s="2">
        <v>16.739588132135101</v>
      </c>
      <c r="BO1536" s="2">
        <v>18.293644790592001</v>
      </c>
      <c r="BP1536" s="2">
        <v>17.8941108997554</v>
      </c>
      <c r="BQ1536" s="2">
        <v>18.2338709600836</v>
      </c>
      <c r="BR1536" s="2">
        <v>16.871445420823299</v>
      </c>
      <c r="BS1536" s="2">
        <v>16.285935327954299</v>
      </c>
      <c r="BT1536" s="2">
        <v>16.8192747504789</v>
      </c>
      <c r="BU1536" s="2">
        <v>18.575223534120202</v>
      </c>
      <c r="BV1536" s="2">
        <v>14.2088874172131</v>
      </c>
      <c r="BW1536" s="2">
        <v>18.0920758140606</v>
      </c>
      <c r="BX1536" s="2">
        <v>17.183888110079099</v>
      </c>
      <c r="BY1536" s="2">
        <v>15.4305257299928</v>
      </c>
      <c r="BZ1536" s="2">
        <v>17.820167678848101</v>
      </c>
      <c r="CA1536" s="2">
        <v>18.022026443916101</v>
      </c>
      <c r="CB1536" s="2">
        <v>17.1267171754074</v>
      </c>
      <c r="CC1536" s="2">
        <v>18.538109873326899</v>
      </c>
      <c r="CD1536" s="2">
        <v>16.424406291466401</v>
      </c>
      <c r="CE1536" s="2">
        <v>18.189512930734399</v>
      </c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</row>
    <row r="1537" spans="1:97">
      <c r="A1537" s="2" t="s">
        <v>13676</v>
      </c>
      <c r="B1537" s="2">
        <v>481.03093999999999</v>
      </c>
      <c r="C1537" s="2">
        <v>4.9530000000000003</v>
      </c>
      <c r="D1537" s="2" t="s">
        <v>146</v>
      </c>
      <c r="E1537" s="2" t="s">
        <v>13677</v>
      </c>
      <c r="F1537" s="2" t="s">
        <v>13678</v>
      </c>
      <c r="G1537" s="2">
        <v>47655</v>
      </c>
      <c r="H1537" s="3" t="str">
        <f>HYPERLINK("https://cloud.oebiotech.com/#/lm/network/47655", "https://cloud.oebiotech.com/#/lm/network/47655")</f>
        <v>https://cloud.oebiotech.com/#/lm/network/47655</v>
      </c>
      <c r="I1537" s="2" t="s">
        <v>13679</v>
      </c>
      <c r="J1537" s="2">
        <v>3538</v>
      </c>
      <c r="K1537" s="2"/>
      <c r="L1537" s="2">
        <v>123727</v>
      </c>
      <c r="M1537" s="2" t="s">
        <v>13680</v>
      </c>
      <c r="N1537" s="2" t="s">
        <v>5658</v>
      </c>
      <c r="O1537" s="2" t="s">
        <v>5659</v>
      </c>
      <c r="P1537" s="2">
        <v>16732</v>
      </c>
      <c r="Q1537" s="2"/>
      <c r="R1537" s="2"/>
      <c r="S1537" s="2" t="s">
        <v>13681</v>
      </c>
      <c r="T1537" s="2" t="s">
        <v>13682</v>
      </c>
      <c r="U1537" s="2" t="s">
        <v>13683</v>
      </c>
      <c r="V1537" s="2" t="s">
        <v>818</v>
      </c>
      <c r="W1537" s="2" t="s">
        <v>8374</v>
      </c>
      <c r="X1537" s="2" t="s">
        <v>10302</v>
      </c>
      <c r="Y1537" s="2" t="s">
        <v>820</v>
      </c>
      <c r="Z1537" s="2" t="s">
        <v>8376</v>
      </c>
      <c r="AA1537" s="2" t="s">
        <v>10303</v>
      </c>
      <c r="AB1537" s="2" t="s">
        <v>5118</v>
      </c>
      <c r="AC1537" s="2">
        <v>43.75</v>
      </c>
      <c r="AD1537" s="2">
        <v>79.5</v>
      </c>
      <c r="AE1537" s="2">
        <v>57.1</v>
      </c>
      <c r="AF1537" s="2" t="s">
        <v>13684</v>
      </c>
      <c r="AG1537" s="2" t="s">
        <v>4062</v>
      </c>
      <c r="AH1537" s="2" t="s">
        <v>13685</v>
      </c>
      <c r="AI1537" s="2">
        <v>-2.29</v>
      </c>
      <c r="AJ1537" s="2">
        <v>19.2460541763976</v>
      </c>
      <c r="AK1537" s="2">
        <v>19.1437287784251</v>
      </c>
      <c r="AL1537" s="2">
        <v>19.222020340489099</v>
      </c>
      <c r="AM1537" s="2">
        <v>19.2588963299977</v>
      </c>
      <c r="AN1537" s="2">
        <v>19.4443715691237</v>
      </c>
      <c r="AO1537" s="2">
        <v>19.4177813481177</v>
      </c>
      <c r="AP1537" s="2">
        <v>19.121371372989501</v>
      </c>
      <c r="AQ1537" s="2">
        <v>19.167666602194601</v>
      </c>
      <c r="AR1537" s="2">
        <v>18.172205977315901</v>
      </c>
      <c r="AS1537" s="2">
        <v>18.026219210829201</v>
      </c>
      <c r="AT1537" s="2">
        <v>18.425386639433</v>
      </c>
      <c r="AU1537" s="2">
        <v>19.799008136531601</v>
      </c>
      <c r="AV1537" s="2">
        <v>18.6555268100748</v>
      </c>
      <c r="AW1537" s="2">
        <v>18.7074897005356</v>
      </c>
      <c r="AX1537" s="2">
        <v>17.690261848258899</v>
      </c>
      <c r="AY1537" s="2">
        <v>17.297398326774299</v>
      </c>
      <c r="AZ1537" s="2">
        <v>18.184993035421702</v>
      </c>
      <c r="BA1537" s="2">
        <v>20.116422171100599</v>
      </c>
      <c r="BB1537" s="2">
        <v>20.200026941742099</v>
      </c>
      <c r="BC1537" s="2">
        <v>19.720568473471101</v>
      </c>
      <c r="BD1537" s="2">
        <v>19.9171625677549</v>
      </c>
      <c r="BE1537" s="2">
        <v>18.6297757015633</v>
      </c>
      <c r="BF1537" s="2">
        <v>18.714627274141101</v>
      </c>
      <c r="BG1537" s="2">
        <v>19.0312628113522</v>
      </c>
      <c r="BH1537" s="2">
        <v>19.730517353441599</v>
      </c>
      <c r="BI1537" s="2">
        <v>17.586884124005401</v>
      </c>
      <c r="BJ1537" s="2">
        <v>20.2482197341463</v>
      </c>
      <c r="BK1537" s="2">
        <v>20.355239392503801</v>
      </c>
      <c r="BL1537" s="2">
        <v>19.3171984169037</v>
      </c>
      <c r="BM1537" s="2">
        <v>19.031996233555201</v>
      </c>
      <c r="BN1537" s="2">
        <v>19.451037627789301</v>
      </c>
      <c r="BO1537" s="2">
        <v>19.8024130066017</v>
      </c>
      <c r="BP1537" s="2">
        <v>17.929706175728999</v>
      </c>
      <c r="BQ1537" s="2">
        <v>18.289971313265799</v>
      </c>
      <c r="BR1537" s="2">
        <v>17.7578284134852</v>
      </c>
      <c r="BS1537" s="2">
        <v>18.0167260371027</v>
      </c>
      <c r="BT1537" s="2">
        <v>20.599074386497001</v>
      </c>
      <c r="BU1537" s="2">
        <v>20.103463702995199</v>
      </c>
      <c r="BV1537" s="2">
        <v>19.609010167573899</v>
      </c>
      <c r="BW1537" s="2">
        <v>18.9107029488496</v>
      </c>
      <c r="BX1537" s="2">
        <v>19.729574244723398</v>
      </c>
      <c r="BY1537" s="2">
        <v>18.8316488610741</v>
      </c>
      <c r="BZ1537" s="2">
        <v>18.125789291536599</v>
      </c>
      <c r="CA1537" s="2">
        <v>18.662542066031499</v>
      </c>
      <c r="CB1537" s="2">
        <v>18.942037067386799</v>
      </c>
      <c r="CC1537" s="2">
        <v>17.8666713143772</v>
      </c>
      <c r="CD1537" s="2">
        <v>19.8053076510121</v>
      </c>
      <c r="CE1537" s="2">
        <v>20.182328090786001</v>
      </c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</row>
    <row r="1538" spans="1:97">
      <c r="A1538" s="2" t="s">
        <v>13686</v>
      </c>
      <c r="B1538" s="2">
        <v>277.03241000000003</v>
      </c>
      <c r="C1538" s="2">
        <v>4.6980000000000004</v>
      </c>
      <c r="D1538" s="2" t="s">
        <v>146</v>
      </c>
      <c r="E1538" s="2" t="s">
        <v>13687</v>
      </c>
      <c r="F1538" s="2" t="s">
        <v>13688</v>
      </c>
      <c r="G1538" s="2">
        <v>205289</v>
      </c>
      <c r="H1538" s="3" t="str">
        <f>HYPERLINK("https://cloud.oebiotech.com/#/lm/network/205289", "https://cloud.oebiotech.com/#/lm/network/205289")</f>
        <v>https://cloud.oebiotech.com/#/lm/network/205289</v>
      </c>
      <c r="I1538" s="2" t="s">
        <v>13689</v>
      </c>
      <c r="J1538" s="2"/>
      <c r="K1538" s="2"/>
      <c r="L1538" s="2">
        <v>129729445</v>
      </c>
      <c r="M1538" s="2"/>
      <c r="N1538" s="2"/>
      <c r="O1538" s="2"/>
      <c r="P1538" s="2"/>
      <c r="Q1538" s="2"/>
      <c r="R1538" s="2"/>
      <c r="S1538" s="2"/>
      <c r="T1538" s="2" t="s">
        <v>13690</v>
      </c>
      <c r="U1538" s="2" t="s">
        <v>13691</v>
      </c>
      <c r="V1538" s="2" t="s">
        <v>115</v>
      </c>
      <c r="W1538" s="2" t="s">
        <v>116</v>
      </c>
      <c r="X1538" s="2" t="s">
        <v>117</v>
      </c>
      <c r="Y1538" s="2" t="s">
        <v>118</v>
      </c>
      <c r="Z1538" s="2" t="s">
        <v>119</v>
      </c>
      <c r="AA1538" s="2" t="s">
        <v>120</v>
      </c>
      <c r="AB1538" s="2" t="s">
        <v>5118</v>
      </c>
      <c r="AC1538" s="2">
        <v>43.75</v>
      </c>
      <c r="AD1538" s="2">
        <v>81.58</v>
      </c>
      <c r="AE1538" s="2">
        <v>90.83</v>
      </c>
      <c r="AF1538" s="2" t="s">
        <v>13692</v>
      </c>
      <c r="AG1538" s="2" t="s">
        <v>4062</v>
      </c>
      <c r="AH1538" s="2" t="s">
        <v>13693</v>
      </c>
      <c r="AI1538" s="2">
        <v>7.58</v>
      </c>
      <c r="AJ1538" s="2">
        <v>21.460632795631199</v>
      </c>
      <c r="AK1538" s="2">
        <v>21.429379947989499</v>
      </c>
      <c r="AL1538" s="2">
        <v>21.301819660101099</v>
      </c>
      <c r="AM1538" s="2">
        <v>21.3850070674569</v>
      </c>
      <c r="AN1538" s="2">
        <v>21.3482590845448</v>
      </c>
      <c r="AO1538" s="2">
        <v>21.425670326770899</v>
      </c>
      <c r="AP1538" s="2">
        <v>21.2732787440194</v>
      </c>
      <c r="AQ1538" s="2">
        <v>21.392300031788299</v>
      </c>
      <c r="AR1538" s="2">
        <v>21.412071990438999</v>
      </c>
      <c r="AS1538" s="2">
        <v>21.434340141574399</v>
      </c>
      <c r="AT1538" s="2">
        <v>21.5138815625285</v>
      </c>
      <c r="AU1538" s="2">
        <v>21.431118518304299</v>
      </c>
      <c r="AV1538" s="2">
        <v>21.322222042451902</v>
      </c>
      <c r="AW1538" s="2">
        <v>21.349986334433002</v>
      </c>
      <c r="AX1538" s="2">
        <v>21.297295485585298</v>
      </c>
      <c r="AY1538" s="2">
        <v>21.442150797238501</v>
      </c>
      <c r="AZ1538" s="2">
        <v>21.429033840245999</v>
      </c>
      <c r="BA1538" s="2">
        <v>21.467766617282901</v>
      </c>
      <c r="BB1538" s="2">
        <v>21.5240628787726</v>
      </c>
      <c r="BC1538" s="2">
        <v>21.627084700058699</v>
      </c>
      <c r="BD1538" s="2">
        <v>21.441103007846401</v>
      </c>
      <c r="BE1538" s="2">
        <v>21.305996207208</v>
      </c>
      <c r="BF1538" s="2">
        <v>21.365375380479001</v>
      </c>
      <c r="BG1538" s="2">
        <v>21.5202516916059</v>
      </c>
      <c r="BH1538" s="2">
        <v>21.5012669949094</v>
      </c>
      <c r="BI1538" s="2">
        <v>21.3295270601112</v>
      </c>
      <c r="BJ1538" s="2">
        <v>21.541709344102902</v>
      </c>
      <c r="BK1538" s="2">
        <v>21.372820535145699</v>
      </c>
      <c r="BL1538" s="2">
        <v>21.485895693609901</v>
      </c>
      <c r="BM1538" s="2">
        <v>21.2621669168268</v>
      </c>
      <c r="BN1538" s="2">
        <v>21.486615862423601</v>
      </c>
      <c r="BO1538" s="2">
        <v>21.361402826561001</v>
      </c>
      <c r="BP1538" s="2">
        <v>21.329561746337198</v>
      </c>
      <c r="BQ1538" s="2">
        <v>21.183479705558401</v>
      </c>
      <c r="BR1538" s="2">
        <v>21.489293314794399</v>
      </c>
      <c r="BS1538" s="2">
        <v>21.418159547399402</v>
      </c>
      <c r="BT1538" s="2">
        <v>21.465482706428499</v>
      </c>
      <c r="BU1538" s="2">
        <v>21.385494343852599</v>
      </c>
      <c r="BV1538" s="2">
        <v>21.7105557427486</v>
      </c>
      <c r="BW1538" s="2">
        <v>21.433088314616199</v>
      </c>
      <c r="BX1538" s="2">
        <v>21.3198499179389</v>
      </c>
      <c r="BY1538" s="2">
        <v>21.168607425624302</v>
      </c>
      <c r="BZ1538" s="2">
        <v>21.497043232747501</v>
      </c>
      <c r="CA1538" s="2">
        <v>21.476492498856899</v>
      </c>
      <c r="CB1538" s="2">
        <v>21.4822168879878</v>
      </c>
      <c r="CC1538" s="2">
        <v>21.1233336189729</v>
      </c>
      <c r="CD1538" s="2">
        <v>21.324437935827</v>
      </c>
      <c r="CE1538" s="2">
        <v>21.148011880445399</v>
      </c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</row>
    <row r="1539" spans="1:97">
      <c r="A1539" s="2" t="s">
        <v>13694</v>
      </c>
      <c r="B1539" s="2">
        <v>309.16784999999999</v>
      </c>
      <c r="C1539" s="2">
        <v>10.483000000000001</v>
      </c>
      <c r="D1539" s="2" t="s">
        <v>146</v>
      </c>
      <c r="E1539" s="2" t="s">
        <v>13695</v>
      </c>
      <c r="F1539" s="2" t="s">
        <v>13696</v>
      </c>
      <c r="G1539" s="2">
        <v>83431</v>
      </c>
      <c r="H1539" s="3" t="str">
        <f>HYPERLINK("https://cloud.oebiotech.com/#/lm/network/83431", "https://cloud.oebiotech.com/#/lm/network/83431")</f>
        <v>https://cloud.oebiotech.com/#/lm/network/83431</v>
      </c>
      <c r="I1539" s="2" t="s">
        <v>13697</v>
      </c>
      <c r="J1539" s="2"/>
      <c r="K1539" s="2"/>
      <c r="L1539" s="2">
        <v>75639</v>
      </c>
      <c r="M1539" s="2"/>
      <c r="N1539" s="2"/>
      <c r="O1539" s="2"/>
      <c r="P1539" s="2">
        <v>88829</v>
      </c>
      <c r="Q1539" s="2"/>
      <c r="R1539" s="2"/>
      <c r="S1539" s="2"/>
      <c r="T1539" s="2" t="s">
        <v>13698</v>
      </c>
      <c r="U1539" s="2" t="s">
        <v>13699</v>
      </c>
      <c r="V1539" s="2" t="s">
        <v>385</v>
      </c>
      <c r="W1539" s="2" t="s">
        <v>386</v>
      </c>
      <c r="X1539" s="2" t="s">
        <v>1059</v>
      </c>
      <c r="Y1539" s="2" t="s">
        <v>388</v>
      </c>
      <c r="Z1539" s="2" t="s">
        <v>389</v>
      </c>
      <c r="AA1539" s="2" t="s">
        <v>1060</v>
      </c>
      <c r="AB1539" s="2" t="s">
        <v>3086</v>
      </c>
      <c r="AC1539" s="2">
        <v>43.75</v>
      </c>
      <c r="AD1539" s="2">
        <v>89.21</v>
      </c>
      <c r="AE1539" s="2">
        <v>0</v>
      </c>
      <c r="AF1539" s="2" t="s">
        <v>13700</v>
      </c>
      <c r="AG1539" s="2" t="s">
        <v>157</v>
      </c>
      <c r="AH1539" s="2" t="s">
        <v>6698</v>
      </c>
      <c r="AI1539" s="2">
        <v>9.3800000000000008</v>
      </c>
      <c r="AJ1539" s="2">
        <v>18.9166588953554</v>
      </c>
      <c r="AK1539" s="2">
        <v>18.7978938934985</v>
      </c>
      <c r="AL1539" s="2">
        <v>18.811219480789099</v>
      </c>
      <c r="AM1539" s="2">
        <v>18.937422530329101</v>
      </c>
      <c r="AN1539" s="2">
        <v>18.7448712101524</v>
      </c>
      <c r="AO1539" s="2">
        <v>18.8222295471042</v>
      </c>
      <c r="AP1539" s="2">
        <v>18.2498913810179</v>
      </c>
      <c r="AQ1539" s="2">
        <v>18.868023505045901</v>
      </c>
      <c r="AR1539" s="2">
        <v>16.6085900987079</v>
      </c>
      <c r="AS1539" s="2">
        <v>18.1497480124577</v>
      </c>
      <c r="AT1539" s="2">
        <v>19.352095511444499</v>
      </c>
      <c r="AU1539" s="2">
        <v>16.857661775195801</v>
      </c>
      <c r="AV1539" s="2">
        <v>16.996607212527401</v>
      </c>
      <c r="AW1539" s="2">
        <v>17.7880048750126</v>
      </c>
      <c r="AX1539" s="2">
        <v>18.347557226794699</v>
      </c>
      <c r="AY1539" s="2">
        <v>17.434774401905699</v>
      </c>
      <c r="AZ1539" s="2">
        <v>14.9592530499845</v>
      </c>
      <c r="BA1539" s="2">
        <v>19.106849288831398</v>
      </c>
      <c r="BB1539" s="2">
        <v>19.042973437928801</v>
      </c>
      <c r="BC1539" s="2">
        <v>19.959118918185599</v>
      </c>
      <c r="BD1539" s="2">
        <v>14.642468619394</v>
      </c>
      <c r="BE1539" s="2">
        <v>18.1544662905991</v>
      </c>
      <c r="BF1539" s="2">
        <v>18.0532572035264</v>
      </c>
      <c r="BG1539" s="2">
        <v>18.862934871836199</v>
      </c>
      <c r="BH1539" s="2">
        <v>17.400041616948101</v>
      </c>
      <c r="BI1539" s="2">
        <v>18.7711759350363</v>
      </c>
      <c r="BJ1539" s="2">
        <v>18.554156642403299</v>
      </c>
      <c r="BK1539" s="2">
        <v>16.423815645852802</v>
      </c>
      <c r="BL1539" s="2">
        <v>19.530138977229299</v>
      </c>
      <c r="BM1539" s="2">
        <v>17.822868975870101</v>
      </c>
      <c r="BN1539" s="2">
        <v>18.888236081180999</v>
      </c>
      <c r="BO1539" s="2">
        <v>18.7057874066575</v>
      </c>
      <c r="BP1539" s="2">
        <v>18.231677201905899</v>
      </c>
      <c r="BQ1539" s="2">
        <v>19.3038133839324</v>
      </c>
      <c r="BR1539" s="2">
        <v>19.231144381711601</v>
      </c>
      <c r="BS1539" s="2">
        <v>13.260657896536101</v>
      </c>
      <c r="BT1539" s="2">
        <v>16.569565497800799</v>
      </c>
      <c r="BU1539" s="2">
        <v>19.313685351729699</v>
      </c>
      <c r="BV1539" s="2">
        <v>19.170905968762401</v>
      </c>
      <c r="BW1539" s="2">
        <v>18.441169643727001</v>
      </c>
      <c r="BX1539" s="2">
        <v>17.167149673725699</v>
      </c>
      <c r="BY1539" s="2">
        <v>17.885800025195699</v>
      </c>
      <c r="BZ1539" s="2">
        <v>18.519475047788202</v>
      </c>
      <c r="CA1539" s="2">
        <v>18.001526233247201</v>
      </c>
      <c r="CB1539" s="2">
        <v>19.3537552092262</v>
      </c>
      <c r="CC1539" s="2">
        <v>19.5059303447084</v>
      </c>
      <c r="CD1539" s="2">
        <v>18.265245233407001</v>
      </c>
      <c r="CE1539" s="2">
        <v>19.4536769618284</v>
      </c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</row>
    <row r="1540" spans="1:97">
      <c r="A1540" s="2" t="s">
        <v>13701</v>
      </c>
      <c r="B1540" s="2">
        <v>265.03001999999998</v>
      </c>
      <c r="C1540" s="2">
        <v>4.335</v>
      </c>
      <c r="D1540" s="2" t="s">
        <v>146</v>
      </c>
      <c r="E1540" s="2" t="s">
        <v>13702</v>
      </c>
      <c r="F1540" s="2" t="s">
        <v>13703</v>
      </c>
      <c r="G1540" s="2">
        <v>212740</v>
      </c>
      <c r="H1540" s="3" t="str">
        <f>HYPERLINK("https://cloud.oebiotech.com/#/lm/network/212740", "https://cloud.oebiotech.com/#/lm/network/212740")</f>
        <v>https://cloud.oebiotech.com/#/lm/network/212740</v>
      </c>
      <c r="I1540" s="2" t="s">
        <v>13704</v>
      </c>
      <c r="J1540" s="2"/>
      <c r="K1540" s="2"/>
      <c r="L1540" s="2">
        <v>3034797</v>
      </c>
      <c r="M1540" s="2"/>
      <c r="N1540" s="2"/>
      <c r="O1540" s="2"/>
      <c r="P1540" s="2"/>
      <c r="Q1540" s="2"/>
      <c r="R1540" s="2"/>
      <c r="S1540" s="2"/>
      <c r="T1540" s="2" t="s">
        <v>13705</v>
      </c>
      <c r="U1540" s="2" t="s">
        <v>13706</v>
      </c>
      <c r="V1540" s="2" t="s">
        <v>385</v>
      </c>
      <c r="W1540" s="2" t="s">
        <v>3319</v>
      </c>
      <c r="X1540" s="2" t="s">
        <v>4101</v>
      </c>
      <c r="Y1540" s="2" t="s">
        <v>388</v>
      </c>
      <c r="Z1540" s="2" t="s">
        <v>3321</v>
      </c>
      <c r="AA1540" s="2" t="s">
        <v>4102</v>
      </c>
      <c r="AB1540" s="2" t="s">
        <v>5118</v>
      </c>
      <c r="AC1540" s="2">
        <v>43.73</v>
      </c>
      <c r="AD1540" s="2">
        <v>93.78</v>
      </c>
      <c r="AE1540" s="2">
        <v>53.12</v>
      </c>
      <c r="AF1540" s="2" t="s">
        <v>13707</v>
      </c>
      <c r="AG1540" s="2" t="s">
        <v>157</v>
      </c>
      <c r="AH1540" s="2" t="s">
        <v>7488</v>
      </c>
      <c r="AI1540" s="2">
        <v>-4.53</v>
      </c>
      <c r="AJ1540" s="2">
        <v>23.575918406426201</v>
      </c>
      <c r="AK1540" s="2">
        <v>23.4826021921345</v>
      </c>
      <c r="AL1540" s="2">
        <v>23.4322636780105</v>
      </c>
      <c r="AM1540" s="2">
        <v>23.5866181285325</v>
      </c>
      <c r="AN1540" s="2">
        <v>23.564785865972102</v>
      </c>
      <c r="AO1540" s="2">
        <v>23.398206745417699</v>
      </c>
      <c r="AP1540" s="2">
        <v>23.385994373299599</v>
      </c>
      <c r="AQ1540" s="2">
        <v>23.501343369891</v>
      </c>
      <c r="AR1540" s="2">
        <v>22.499469115232198</v>
      </c>
      <c r="AS1540" s="2">
        <v>22.337352869206899</v>
      </c>
      <c r="AT1540" s="2">
        <v>23.2007826145046</v>
      </c>
      <c r="AU1540" s="2">
        <v>22.635357650375902</v>
      </c>
      <c r="AV1540" s="2">
        <v>23.246996563244199</v>
      </c>
      <c r="AW1540" s="2">
        <v>23.339945430820698</v>
      </c>
      <c r="AX1540" s="2">
        <v>23.481735661109902</v>
      </c>
      <c r="AY1540" s="2">
        <v>23.3355052893052</v>
      </c>
      <c r="AZ1540" s="2">
        <v>22.6194616989184</v>
      </c>
      <c r="BA1540" s="2">
        <v>22.816209391539299</v>
      </c>
      <c r="BB1540" s="2">
        <v>23.666740692475098</v>
      </c>
      <c r="BC1540" s="2">
        <v>24.160945387111301</v>
      </c>
      <c r="BD1540" s="2">
        <v>23.294685580118198</v>
      </c>
      <c r="BE1540" s="2">
        <v>23.848846184900101</v>
      </c>
      <c r="BF1540" s="2">
        <v>23.439882433023801</v>
      </c>
      <c r="BG1540" s="2">
        <v>23.813608768994499</v>
      </c>
      <c r="BH1540" s="2">
        <v>23.486170935614499</v>
      </c>
      <c r="BI1540" s="2">
        <v>23.5207214586164</v>
      </c>
      <c r="BJ1540" s="2">
        <v>23.422539889049101</v>
      </c>
      <c r="BK1540" s="2">
        <v>22.994584267830501</v>
      </c>
      <c r="BL1540" s="2">
        <v>23.3030608615239</v>
      </c>
      <c r="BM1540" s="2">
        <v>23.774576756390498</v>
      </c>
      <c r="BN1540" s="2">
        <v>23.437696518442301</v>
      </c>
      <c r="BO1540" s="2">
        <v>23.2460093948619</v>
      </c>
      <c r="BP1540" s="2">
        <v>23.3044934702285</v>
      </c>
      <c r="BQ1540" s="2">
        <v>23.297060055730601</v>
      </c>
      <c r="BR1540" s="2">
        <v>23.318881148534199</v>
      </c>
      <c r="BS1540" s="2">
        <v>23.116417076863598</v>
      </c>
      <c r="BT1540" s="2">
        <v>22.6067962757831</v>
      </c>
      <c r="BU1540" s="2">
        <v>23.013614088963301</v>
      </c>
      <c r="BV1540" s="2">
        <v>23.633015448568798</v>
      </c>
      <c r="BW1540" s="2">
        <v>23.345416105679998</v>
      </c>
      <c r="BX1540" s="2">
        <v>23.217618458728602</v>
      </c>
      <c r="BY1540" s="2">
        <v>23.378626980635001</v>
      </c>
      <c r="BZ1540" s="2">
        <v>23.383897936144301</v>
      </c>
      <c r="CA1540" s="2">
        <v>23.9366297462593</v>
      </c>
      <c r="CB1540" s="2">
        <v>23.3379681402524</v>
      </c>
      <c r="CC1540" s="2">
        <v>23.539044113575098</v>
      </c>
      <c r="CD1540" s="2">
        <v>23.6167254233034</v>
      </c>
      <c r="CE1540" s="2">
        <v>23.5756821533272</v>
      </c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</row>
    <row r="1541" spans="1:97">
      <c r="A1541" s="2" t="s">
        <v>13708</v>
      </c>
      <c r="B1541" s="2">
        <v>181.01415</v>
      </c>
      <c r="C1541" s="2">
        <v>10.566000000000001</v>
      </c>
      <c r="D1541" s="2" t="s">
        <v>84</v>
      </c>
      <c r="E1541" s="2" t="s">
        <v>13709</v>
      </c>
      <c r="F1541" s="2" t="s">
        <v>13710</v>
      </c>
      <c r="G1541" s="2">
        <v>10145</v>
      </c>
      <c r="H1541" s="3" t="str">
        <f>HYPERLINK("https://cloud.oebiotech.com/#/lm/network/10145", "https://cloud.oebiotech.com/#/lm/network/10145")</f>
        <v>https://cloud.oebiotech.com/#/lm/network/10145</v>
      </c>
      <c r="I1541" s="2"/>
      <c r="J1541" s="2"/>
      <c r="K1541" s="2" t="s">
        <v>13711</v>
      </c>
      <c r="L1541" s="2">
        <v>134812260</v>
      </c>
      <c r="M1541" s="2"/>
      <c r="N1541" s="2"/>
      <c r="O1541" s="2"/>
      <c r="P1541" s="2"/>
      <c r="Q1541" s="2"/>
      <c r="R1541" s="2"/>
      <c r="S1541" s="2"/>
      <c r="T1541" s="2" t="s">
        <v>13712</v>
      </c>
      <c r="U1541" s="2" t="s">
        <v>13713</v>
      </c>
      <c r="V1541" s="2" t="s">
        <v>553</v>
      </c>
      <c r="W1541" s="2" t="s">
        <v>13714</v>
      </c>
      <c r="X1541" s="2" t="s">
        <v>375</v>
      </c>
      <c r="Y1541" s="2" t="s">
        <v>556</v>
      </c>
      <c r="Z1541" s="2" t="s">
        <v>13715</v>
      </c>
      <c r="AA1541" s="2"/>
      <c r="AB1541" s="2" t="s">
        <v>8443</v>
      </c>
      <c r="AC1541" s="2">
        <v>43.73</v>
      </c>
      <c r="AD1541" s="2">
        <v>88.82</v>
      </c>
      <c r="AE1541" s="2">
        <v>37.94</v>
      </c>
      <c r="AF1541" s="2" t="s">
        <v>13716</v>
      </c>
      <c r="AG1541" s="2" t="s">
        <v>103</v>
      </c>
      <c r="AH1541" s="2" t="s">
        <v>13717</v>
      </c>
      <c r="AI1541" s="2">
        <v>-1.1000000000000001</v>
      </c>
      <c r="AJ1541" s="2">
        <v>21.082612227887601</v>
      </c>
      <c r="AK1541" s="2">
        <v>21.5134004033754</v>
      </c>
      <c r="AL1541" s="2">
        <v>21.880533767167499</v>
      </c>
      <c r="AM1541" s="2">
        <v>22.0742218210194</v>
      </c>
      <c r="AN1541" s="2">
        <v>22.1964085258405</v>
      </c>
      <c r="AO1541" s="2">
        <v>21.9433331283599</v>
      </c>
      <c r="AP1541" s="2">
        <v>21.881173530646301</v>
      </c>
      <c r="AQ1541" s="2">
        <v>22.074617042090701</v>
      </c>
      <c r="AR1541" s="2">
        <v>22.096069410782601</v>
      </c>
      <c r="AS1541" s="2">
        <v>22.1021636944301</v>
      </c>
      <c r="AT1541" s="2">
        <v>22.392281070757299</v>
      </c>
      <c r="AU1541" s="2">
        <v>22.103638455707099</v>
      </c>
      <c r="AV1541" s="2">
        <v>21.757200709476201</v>
      </c>
      <c r="AW1541" s="2">
        <v>22.223777929116402</v>
      </c>
      <c r="AX1541" s="2">
        <v>21.992445737945001</v>
      </c>
      <c r="AY1541" s="2">
        <v>21.827066627693402</v>
      </c>
      <c r="AZ1541" s="2">
        <v>21.216378951726199</v>
      </c>
      <c r="BA1541" s="2">
        <v>22.1527146110631</v>
      </c>
      <c r="BB1541" s="2">
        <v>21.788837827843899</v>
      </c>
      <c r="BC1541" s="2">
        <v>21.913442011882299</v>
      </c>
      <c r="BD1541" s="2">
        <v>21.484338808548401</v>
      </c>
      <c r="BE1541" s="2">
        <v>21.420217034254101</v>
      </c>
      <c r="BF1541" s="2">
        <v>22.176885362771198</v>
      </c>
      <c r="BG1541" s="2">
        <v>21.622494959168701</v>
      </c>
      <c r="BH1541" s="2">
        <v>22.158582009521599</v>
      </c>
      <c r="BI1541" s="2">
        <v>21.0773121815742</v>
      </c>
      <c r="BJ1541" s="2">
        <v>21.188545172122701</v>
      </c>
      <c r="BK1541" s="2">
        <v>22.313639911608899</v>
      </c>
      <c r="BL1541" s="2">
        <v>22.144212801868701</v>
      </c>
      <c r="BM1541" s="2">
        <v>22.124437660125899</v>
      </c>
      <c r="BN1541" s="2">
        <v>22.202553985934198</v>
      </c>
      <c r="BO1541" s="2">
        <v>21.984496094726499</v>
      </c>
      <c r="BP1541" s="2">
        <v>21.698926226525</v>
      </c>
      <c r="BQ1541" s="2">
        <v>21.804770096729602</v>
      </c>
      <c r="BR1541" s="2">
        <v>20.862410745854898</v>
      </c>
      <c r="BS1541" s="2">
        <v>21.034935694194701</v>
      </c>
      <c r="BT1541" s="2">
        <v>21.5736989380136</v>
      </c>
      <c r="BU1541" s="2">
        <v>21.519870210954402</v>
      </c>
      <c r="BV1541" s="2">
        <v>22.131350236074599</v>
      </c>
      <c r="BW1541" s="2">
        <v>21.846871896405901</v>
      </c>
      <c r="BX1541" s="2">
        <v>21.9173536378674</v>
      </c>
      <c r="BY1541" s="2">
        <v>21.750718335733701</v>
      </c>
      <c r="BZ1541" s="2">
        <v>22.322636002646</v>
      </c>
      <c r="CA1541" s="2">
        <v>21.403679958844201</v>
      </c>
      <c r="CB1541" s="2">
        <v>22.17242187738</v>
      </c>
      <c r="CC1541" s="2">
        <v>21.4281540604429</v>
      </c>
      <c r="CD1541" s="2">
        <v>22.0115850356528</v>
      </c>
      <c r="CE1541" s="2">
        <v>22.0762619731115</v>
      </c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</row>
    <row r="1542" spans="1:97">
      <c r="A1542" s="2" t="s">
        <v>13718</v>
      </c>
      <c r="B1542" s="2">
        <v>323.10840999999999</v>
      </c>
      <c r="C1542" s="2">
        <v>8.0619999999999994</v>
      </c>
      <c r="D1542" s="2" t="s">
        <v>146</v>
      </c>
      <c r="E1542" s="2" t="s">
        <v>13719</v>
      </c>
      <c r="F1542" s="2" t="s">
        <v>13720</v>
      </c>
      <c r="G1542" s="2">
        <v>207912</v>
      </c>
      <c r="H1542" s="3" t="str">
        <f>HYPERLINK("https://cloud.oebiotech.com/#/lm/network/207912", "https://cloud.oebiotech.com/#/lm/network/207912")</f>
        <v>https://cloud.oebiotech.com/#/lm/network/207912</v>
      </c>
      <c r="I1542" s="2" t="s">
        <v>13721</v>
      </c>
      <c r="J1542" s="2"/>
      <c r="K1542" s="2"/>
      <c r="L1542" s="2">
        <v>71330</v>
      </c>
      <c r="M1542" s="2"/>
      <c r="N1542" s="2"/>
      <c r="O1542" s="2"/>
      <c r="P1542" s="2"/>
      <c r="Q1542" s="2"/>
      <c r="R1542" s="2"/>
      <c r="S1542" s="2"/>
      <c r="T1542" s="2" t="s">
        <v>13722</v>
      </c>
      <c r="U1542" s="2" t="s">
        <v>13723</v>
      </c>
      <c r="V1542" s="2" t="s">
        <v>553</v>
      </c>
      <c r="W1542" s="2" t="s">
        <v>9812</v>
      </c>
      <c r="X1542" s="2" t="s">
        <v>375</v>
      </c>
      <c r="Y1542" s="2" t="s">
        <v>556</v>
      </c>
      <c r="Z1542" s="2" t="s">
        <v>9814</v>
      </c>
      <c r="AA1542" s="2"/>
      <c r="AB1542" s="2" t="s">
        <v>3086</v>
      </c>
      <c r="AC1542" s="2">
        <v>43.72</v>
      </c>
      <c r="AD1542" s="2">
        <v>68</v>
      </c>
      <c r="AE1542" s="2">
        <v>0</v>
      </c>
      <c r="AF1542" s="2" t="s">
        <v>5614</v>
      </c>
      <c r="AG1542" s="2" t="s">
        <v>4062</v>
      </c>
      <c r="AH1542" s="2" t="s">
        <v>13724</v>
      </c>
      <c r="AI1542" s="2">
        <v>-4.6399999999999997</v>
      </c>
      <c r="AJ1542" s="2">
        <v>17.1145215706904</v>
      </c>
      <c r="AK1542" s="2">
        <v>17.410655971650201</v>
      </c>
      <c r="AL1542" s="2">
        <v>17.0326931021573</v>
      </c>
      <c r="AM1542" s="2">
        <v>17.028448179249501</v>
      </c>
      <c r="AN1542" s="2">
        <v>17.058986003085</v>
      </c>
      <c r="AO1542" s="2">
        <v>16.959162809260601</v>
      </c>
      <c r="AP1542" s="2">
        <v>16.886720531951902</v>
      </c>
      <c r="AQ1542" s="2">
        <v>16.674036506725301</v>
      </c>
      <c r="AR1542" s="2">
        <v>12.138556598720401</v>
      </c>
      <c r="AS1542" s="2">
        <v>16.299860339740899</v>
      </c>
      <c r="AT1542" s="2">
        <v>17.756012798940102</v>
      </c>
      <c r="AU1542" s="2">
        <v>14.541682288735799</v>
      </c>
      <c r="AV1542" s="2">
        <v>11.984667668896799</v>
      </c>
      <c r="AW1542" s="2">
        <v>16.514628998694</v>
      </c>
      <c r="AX1542" s="2">
        <v>16.198539811125499</v>
      </c>
      <c r="AY1542" s="2">
        <v>15.3398256516343</v>
      </c>
      <c r="AZ1542" s="2">
        <v>9.6233145402724691</v>
      </c>
      <c r="BA1542" s="2">
        <v>17.4928428875923</v>
      </c>
      <c r="BB1542" s="2">
        <v>17.5674678031627</v>
      </c>
      <c r="BC1542" s="2">
        <v>17.881601115487399</v>
      </c>
      <c r="BD1542" s="2">
        <v>13.425007353216101</v>
      </c>
      <c r="BE1542" s="2">
        <v>15.893837369411999</v>
      </c>
      <c r="BF1542" s="2">
        <v>15.9280149356441</v>
      </c>
      <c r="BG1542" s="2">
        <v>17.384683512621699</v>
      </c>
      <c r="BH1542" s="2">
        <v>15.787254455676701</v>
      </c>
      <c r="BI1542" s="2">
        <v>16.969298373939999</v>
      </c>
      <c r="BJ1542" s="2">
        <v>16.404280915832199</v>
      </c>
      <c r="BK1542" s="2">
        <v>14.689129320204501</v>
      </c>
      <c r="BL1542" s="2">
        <v>17.477514645654399</v>
      </c>
      <c r="BM1542" s="2">
        <v>16.973946529823099</v>
      </c>
      <c r="BN1542" s="2">
        <v>18.112925902655199</v>
      </c>
      <c r="BO1542" s="2">
        <v>17.061070951569501</v>
      </c>
      <c r="BP1542" s="2">
        <v>15.5938964444398</v>
      </c>
      <c r="BQ1542" s="2">
        <v>17.6403243822609</v>
      </c>
      <c r="BR1542" s="2">
        <v>17.6022244604418</v>
      </c>
      <c r="BS1542" s="2">
        <v>13.2167155491576</v>
      </c>
      <c r="BT1542" s="2">
        <v>13.8842077310006</v>
      </c>
      <c r="BU1542" s="2">
        <v>17.5459296183021</v>
      </c>
      <c r="BV1542" s="2">
        <v>17.4721396340972</v>
      </c>
      <c r="BW1542" s="2">
        <v>16.403054809663399</v>
      </c>
      <c r="BX1542" s="2">
        <v>15.620828649070701</v>
      </c>
      <c r="BY1542" s="2">
        <v>16.8147407901956</v>
      </c>
      <c r="BZ1542" s="2">
        <v>16.762787921277098</v>
      </c>
      <c r="CA1542" s="2">
        <v>15.5690886761705</v>
      </c>
      <c r="CB1542" s="2">
        <v>16.881439625134</v>
      </c>
      <c r="CC1542" s="2">
        <v>17.8085072290284</v>
      </c>
      <c r="CD1542" s="2">
        <v>14.0759211494727</v>
      </c>
      <c r="CE1542" s="2">
        <v>17.468621020331302</v>
      </c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</row>
    <row r="1543" spans="1:97">
      <c r="A1543" s="2" t="s">
        <v>13725</v>
      </c>
      <c r="B1543" s="2">
        <v>443.18335999999999</v>
      </c>
      <c r="C1543" s="2">
        <v>7.9169999999999998</v>
      </c>
      <c r="D1543" s="2" t="s">
        <v>84</v>
      </c>
      <c r="E1543" s="2" t="s">
        <v>13726</v>
      </c>
      <c r="F1543" s="2" t="s">
        <v>13727</v>
      </c>
      <c r="G1543" s="2">
        <v>63122</v>
      </c>
      <c r="H1543" s="3" t="str">
        <f>HYPERLINK("https://cloud.oebiotech.com/#/lm/network/63122", "https://cloud.oebiotech.com/#/lm/network/63122")</f>
        <v>https://cloud.oebiotech.com/#/lm/network/63122</v>
      </c>
      <c r="I1543" s="2" t="s">
        <v>13728</v>
      </c>
      <c r="J1543" s="2">
        <v>94430</v>
      </c>
      <c r="K1543" s="2"/>
      <c r="L1543" s="2">
        <v>85234534</v>
      </c>
      <c r="M1543" s="2"/>
      <c r="N1543" s="2"/>
      <c r="O1543" s="2"/>
      <c r="P1543" s="2"/>
      <c r="Q1543" s="2"/>
      <c r="R1543" s="2"/>
      <c r="S1543" s="2"/>
      <c r="T1543" s="2" t="s">
        <v>13729</v>
      </c>
      <c r="U1543" s="2" t="s">
        <v>13730</v>
      </c>
      <c r="V1543" s="2" t="s">
        <v>95</v>
      </c>
      <c r="W1543" s="2" t="s">
        <v>180</v>
      </c>
      <c r="X1543" s="2" t="s">
        <v>2949</v>
      </c>
      <c r="Y1543" s="2" t="s">
        <v>98</v>
      </c>
      <c r="Z1543" s="2" t="s">
        <v>182</v>
      </c>
      <c r="AA1543" s="2" t="s">
        <v>2950</v>
      </c>
      <c r="AB1543" s="2" t="s">
        <v>8443</v>
      </c>
      <c r="AC1543" s="2">
        <v>43.71</v>
      </c>
      <c r="AD1543" s="2">
        <v>74.510000000000005</v>
      </c>
      <c r="AE1543" s="2">
        <v>0</v>
      </c>
      <c r="AF1543" s="2" t="s">
        <v>13731</v>
      </c>
      <c r="AG1543" s="2" t="s">
        <v>3544</v>
      </c>
      <c r="AH1543" s="2" t="s">
        <v>13732</v>
      </c>
      <c r="AI1543" s="2">
        <v>-0.9</v>
      </c>
      <c r="AJ1543" s="2">
        <v>18.687417889469401</v>
      </c>
      <c r="AK1543" s="2">
        <v>19.098956558249</v>
      </c>
      <c r="AL1543" s="2">
        <v>18.986172416723399</v>
      </c>
      <c r="AM1543" s="2">
        <v>18.930583074072601</v>
      </c>
      <c r="AN1543" s="2">
        <v>19.121680038673301</v>
      </c>
      <c r="AO1543" s="2">
        <v>19.049211301715701</v>
      </c>
      <c r="AP1543" s="2">
        <v>18.825283445821</v>
      </c>
      <c r="AQ1543" s="2">
        <v>18.8486495897493</v>
      </c>
      <c r="AR1543" s="2">
        <v>14.367222934319599</v>
      </c>
      <c r="AS1543" s="2">
        <v>15.609182201714299</v>
      </c>
      <c r="AT1543" s="2">
        <v>19.3915473010596</v>
      </c>
      <c r="AU1543" s="2">
        <v>18.2109546617272</v>
      </c>
      <c r="AV1543" s="2">
        <v>19.5856412459853</v>
      </c>
      <c r="AW1543" s="2">
        <v>19.4373151207277</v>
      </c>
      <c r="AX1543" s="2">
        <v>18.915138927895701</v>
      </c>
      <c r="AY1543" s="2">
        <v>19.786805302191301</v>
      </c>
      <c r="AZ1543" s="2">
        <v>19.022679819529401</v>
      </c>
      <c r="BA1543" s="2">
        <v>19.1793080281216</v>
      </c>
      <c r="BB1543" s="2">
        <v>17.7115155423201</v>
      </c>
      <c r="BC1543" s="2">
        <v>20.938126947906301</v>
      </c>
      <c r="BD1543" s="2">
        <v>17.495727246179701</v>
      </c>
      <c r="BE1543" s="2">
        <v>20.594326936870999</v>
      </c>
      <c r="BF1543" s="2">
        <v>16.7632795505952</v>
      </c>
      <c r="BG1543" s="2">
        <v>18.909389957851801</v>
      </c>
      <c r="BH1543" s="2">
        <v>19.602262507729801</v>
      </c>
      <c r="BI1543" s="2">
        <v>14.1774312177917</v>
      </c>
      <c r="BJ1543" s="2">
        <v>18.686645272275801</v>
      </c>
      <c r="BK1543" s="2">
        <v>18.354875482760601</v>
      </c>
      <c r="BL1543" s="2">
        <v>17.5957127689666</v>
      </c>
      <c r="BM1543" s="2">
        <v>17.253269600769102</v>
      </c>
      <c r="BN1543" s="2">
        <v>18.110232480275702</v>
      </c>
      <c r="BO1543" s="2">
        <v>18.6006884627833</v>
      </c>
      <c r="BP1543" s="2">
        <v>18.639177392774801</v>
      </c>
      <c r="BQ1543" s="2">
        <v>18.1460946865657</v>
      </c>
      <c r="BR1543" s="2">
        <v>19.069650314280999</v>
      </c>
      <c r="BS1543" s="2">
        <v>18.893801797179801</v>
      </c>
      <c r="BT1543" s="2">
        <v>18.7699796608734</v>
      </c>
      <c r="BU1543" s="2">
        <v>19.117569066614699</v>
      </c>
      <c r="BV1543" s="2">
        <v>16.538508912666099</v>
      </c>
      <c r="BW1543" s="2">
        <v>19.418809557330299</v>
      </c>
      <c r="BX1543" s="2">
        <v>18.023332953523798</v>
      </c>
      <c r="BY1543" s="2">
        <v>19.920214330522999</v>
      </c>
      <c r="BZ1543" s="2">
        <v>17.678190086749598</v>
      </c>
      <c r="CA1543" s="2">
        <v>9.6233145402724691</v>
      </c>
      <c r="CB1543" s="2">
        <v>19.5828700418841</v>
      </c>
      <c r="CC1543" s="2">
        <v>17.502307461030998</v>
      </c>
      <c r="CD1543" s="2">
        <v>18.462887322244601</v>
      </c>
      <c r="CE1543" s="2">
        <v>19.6748547388632</v>
      </c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</row>
    <row r="1544" spans="1:97">
      <c r="A1544" s="2" t="s">
        <v>13733</v>
      </c>
      <c r="B1544" s="2">
        <v>196.02224000000001</v>
      </c>
      <c r="C1544" s="2">
        <v>1.101</v>
      </c>
      <c r="D1544" s="2" t="s">
        <v>146</v>
      </c>
      <c r="E1544" s="2" t="s">
        <v>13734</v>
      </c>
      <c r="F1544" s="2" t="s">
        <v>13735</v>
      </c>
      <c r="G1544" s="2">
        <v>255191</v>
      </c>
      <c r="H1544" s="3" t="str">
        <f>HYPERLINK("https://cloud.oebiotech.com/#/lm/network/255191", "https://cloud.oebiotech.com/#/lm/network/255191")</f>
        <v>https://cloud.oebiotech.com/#/lm/network/255191</v>
      </c>
      <c r="I1544" s="2" t="s">
        <v>13736</v>
      </c>
      <c r="J1544" s="2"/>
      <c r="K1544" s="2"/>
      <c r="L1544" s="2">
        <v>11989381</v>
      </c>
      <c r="M1544" s="2"/>
      <c r="N1544" s="2"/>
      <c r="O1544" s="2"/>
      <c r="P1544" s="2"/>
      <c r="Q1544" s="2"/>
      <c r="R1544" s="2"/>
      <c r="S1544" s="2"/>
      <c r="T1544" s="2" t="s">
        <v>13737</v>
      </c>
      <c r="U1544" s="2" t="s">
        <v>13738</v>
      </c>
      <c r="V1544" s="2" t="s">
        <v>115</v>
      </c>
      <c r="W1544" s="2" t="s">
        <v>116</v>
      </c>
      <c r="X1544" s="2" t="s">
        <v>117</v>
      </c>
      <c r="Y1544" s="2" t="s">
        <v>118</v>
      </c>
      <c r="Z1544" s="2" t="s">
        <v>119</v>
      </c>
      <c r="AA1544" s="2" t="s">
        <v>120</v>
      </c>
      <c r="AB1544" s="2" t="s">
        <v>5118</v>
      </c>
      <c r="AC1544" s="2">
        <v>43.69</v>
      </c>
      <c r="AD1544" s="2">
        <v>75.23</v>
      </c>
      <c r="AE1544" s="2">
        <v>60.01</v>
      </c>
      <c r="AF1544" s="2" t="s">
        <v>13739</v>
      </c>
      <c r="AG1544" s="2" t="s">
        <v>4062</v>
      </c>
      <c r="AH1544" s="2" t="s">
        <v>13740</v>
      </c>
      <c r="AI1544" s="2">
        <v>-9.18</v>
      </c>
      <c r="AJ1544" s="2">
        <v>20.632949709414699</v>
      </c>
      <c r="AK1544" s="2">
        <v>20.771671347264999</v>
      </c>
      <c r="AL1544" s="2">
        <v>20.7489417216464</v>
      </c>
      <c r="AM1544" s="2">
        <v>20.6932428752928</v>
      </c>
      <c r="AN1544" s="2">
        <v>20.7249772192351</v>
      </c>
      <c r="AO1544" s="2">
        <v>20.0932457285978</v>
      </c>
      <c r="AP1544" s="2">
        <v>20.600954466754398</v>
      </c>
      <c r="AQ1544" s="2">
        <v>20.789413861159002</v>
      </c>
      <c r="AR1544" s="2">
        <v>20.207819184603</v>
      </c>
      <c r="AS1544" s="2">
        <v>20.7467459725802</v>
      </c>
      <c r="AT1544" s="2">
        <v>20.774791578952598</v>
      </c>
      <c r="AU1544" s="2">
        <v>20.3559397061262</v>
      </c>
      <c r="AV1544" s="2">
        <v>20.760051706627198</v>
      </c>
      <c r="AW1544" s="2">
        <v>20.5489693256491</v>
      </c>
      <c r="AX1544" s="2">
        <v>20.4229771599075</v>
      </c>
      <c r="AY1544" s="2">
        <v>20.340187921020899</v>
      </c>
      <c r="AZ1544" s="2">
        <v>20.461536600794702</v>
      </c>
      <c r="BA1544" s="2">
        <v>20.533650659292999</v>
      </c>
      <c r="BB1544" s="2">
        <v>20.4430315887615</v>
      </c>
      <c r="BC1544" s="2">
        <v>20.915508573566399</v>
      </c>
      <c r="BD1544" s="2">
        <v>19.623928451978301</v>
      </c>
      <c r="BE1544" s="2">
        <v>20.843475460000299</v>
      </c>
      <c r="BF1544" s="2">
        <v>20.956640998477599</v>
      </c>
      <c r="BG1544" s="2">
        <v>20.503687608563201</v>
      </c>
      <c r="BH1544" s="2">
        <v>20.296793714071399</v>
      </c>
      <c r="BI1544" s="2">
        <v>19.933842022581299</v>
      </c>
      <c r="BJ1544" s="2">
        <v>20.749604194503998</v>
      </c>
      <c r="BK1544" s="2">
        <v>20.263670738873</v>
      </c>
      <c r="BL1544" s="2">
        <v>19.94621410049</v>
      </c>
      <c r="BM1544" s="2">
        <v>20.581173617954601</v>
      </c>
      <c r="BN1544" s="2">
        <v>20.729050490057801</v>
      </c>
      <c r="BO1544" s="2">
        <v>20.6106018725803</v>
      </c>
      <c r="BP1544" s="2">
        <v>20.4438058947927</v>
      </c>
      <c r="BQ1544" s="2">
        <v>20.692552104873698</v>
      </c>
      <c r="BR1544" s="2">
        <v>20.856772251239601</v>
      </c>
      <c r="BS1544" s="2">
        <v>20.668419874433201</v>
      </c>
      <c r="BT1544" s="2">
        <v>20.662103312800799</v>
      </c>
      <c r="BU1544" s="2">
        <v>21.309856657408801</v>
      </c>
      <c r="BV1544" s="2">
        <v>20.012608649645099</v>
      </c>
      <c r="BW1544" s="2">
        <v>20.569155400254299</v>
      </c>
      <c r="BX1544" s="2">
        <v>20.332102618927401</v>
      </c>
      <c r="BY1544" s="2">
        <v>20.771435176554998</v>
      </c>
      <c r="BZ1544" s="2">
        <v>20.725270620523101</v>
      </c>
      <c r="CA1544" s="2">
        <v>20.4568632676419</v>
      </c>
      <c r="CB1544" s="2">
        <v>20.357353952918199</v>
      </c>
      <c r="CC1544" s="2">
        <v>19.970072416988501</v>
      </c>
      <c r="CD1544" s="2">
        <v>21.028834851040799</v>
      </c>
      <c r="CE1544" s="2">
        <v>20.213735431534801</v>
      </c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</row>
    <row r="1545" spans="1:97">
      <c r="A1545" s="2" t="s">
        <v>13741</v>
      </c>
      <c r="B1545" s="2">
        <v>266.98979000000003</v>
      </c>
      <c r="C1545" s="2">
        <v>5.4880000000000004</v>
      </c>
      <c r="D1545" s="2" t="s">
        <v>146</v>
      </c>
      <c r="E1545" s="2" t="s">
        <v>13742</v>
      </c>
      <c r="F1545" s="2" t="s">
        <v>13743</v>
      </c>
      <c r="G1545" s="2">
        <v>59047</v>
      </c>
      <c r="H1545" s="3" t="str">
        <f>HYPERLINK("https://cloud.oebiotech.com/#/lm/network/59047", "https://cloud.oebiotech.com/#/lm/network/59047")</f>
        <v>https://cloud.oebiotech.com/#/lm/network/59047</v>
      </c>
      <c r="I1545" s="2" t="s">
        <v>13744</v>
      </c>
      <c r="J1545" s="2">
        <v>90481</v>
      </c>
      <c r="K1545" s="2"/>
      <c r="L1545" s="2">
        <v>13259263</v>
      </c>
      <c r="M1545" s="2"/>
      <c r="N1545" s="2"/>
      <c r="O1545" s="2"/>
      <c r="P1545" s="2">
        <v>169131</v>
      </c>
      <c r="Q1545" s="2"/>
      <c r="R1545" s="2"/>
      <c r="S1545" s="2" t="s">
        <v>13745</v>
      </c>
      <c r="T1545" s="2" t="s">
        <v>13746</v>
      </c>
      <c r="U1545" s="2" t="s">
        <v>13747</v>
      </c>
      <c r="V1545" s="2" t="s">
        <v>553</v>
      </c>
      <c r="W1545" s="2" t="s">
        <v>10424</v>
      </c>
      <c r="X1545" s="2" t="s">
        <v>13748</v>
      </c>
      <c r="Y1545" s="2" t="s">
        <v>556</v>
      </c>
      <c r="Z1545" s="2" t="s">
        <v>10425</v>
      </c>
      <c r="AA1545" s="2" t="s">
        <v>13749</v>
      </c>
      <c r="AB1545" s="2" t="s">
        <v>5118</v>
      </c>
      <c r="AC1545" s="2">
        <v>43.69</v>
      </c>
      <c r="AD1545" s="2">
        <v>79.16</v>
      </c>
      <c r="AE1545" s="2">
        <v>66.27</v>
      </c>
      <c r="AF1545" s="2" t="s">
        <v>13750</v>
      </c>
      <c r="AG1545" s="2" t="s">
        <v>4062</v>
      </c>
      <c r="AH1545" s="2" t="s">
        <v>13751</v>
      </c>
      <c r="AI1545" s="2">
        <v>-3.75</v>
      </c>
      <c r="AJ1545" s="2">
        <v>21.1933365146574</v>
      </c>
      <c r="AK1545" s="2">
        <v>20.944470522302499</v>
      </c>
      <c r="AL1545" s="2">
        <v>21.025706762337101</v>
      </c>
      <c r="AM1545" s="2">
        <v>20.9009293147069</v>
      </c>
      <c r="AN1545" s="2">
        <v>20.960953299633399</v>
      </c>
      <c r="AO1545" s="2">
        <v>21.020533543122799</v>
      </c>
      <c r="AP1545" s="2">
        <v>20.889598066521899</v>
      </c>
      <c r="AQ1545" s="2">
        <v>21.113012516447</v>
      </c>
      <c r="AR1545" s="2">
        <v>20.830848131988901</v>
      </c>
      <c r="AS1545" s="2">
        <v>21.0104894925819</v>
      </c>
      <c r="AT1545" s="2">
        <v>20.978248302553698</v>
      </c>
      <c r="AU1545" s="2">
        <v>20.8331716858</v>
      </c>
      <c r="AV1545" s="2">
        <v>21.114015250936099</v>
      </c>
      <c r="AW1545" s="2">
        <v>20.9414313358733</v>
      </c>
      <c r="AX1545" s="2">
        <v>21.056625709802201</v>
      </c>
      <c r="AY1545" s="2">
        <v>21.03351799711</v>
      </c>
      <c r="AZ1545" s="2">
        <v>20.9888726548681</v>
      </c>
      <c r="BA1545" s="2">
        <v>20.828334047362802</v>
      </c>
      <c r="BB1545" s="2">
        <v>21.004609399725801</v>
      </c>
      <c r="BC1545" s="2">
        <v>20.916281525012899</v>
      </c>
      <c r="BD1545" s="2">
        <v>20.945699355771701</v>
      </c>
      <c r="BE1545" s="2">
        <v>20.82317306253</v>
      </c>
      <c r="BF1545" s="2">
        <v>20.850225279918</v>
      </c>
      <c r="BG1545" s="2">
        <v>20.980588947940099</v>
      </c>
      <c r="BH1545" s="2">
        <v>20.921480646804</v>
      </c>
      <c r="BI1545" s="2">
        <v>20.749428180266499</v>
      </c>
      <c r="BJ1545" s="2">
        <v>20.821365254927699</v>
      </c>
      <c r="BK1545" s="2">
        <v>20.8212002428136</v>
      </c>
      <c r="BL1545" s="2">
        <v>21.0189137022249</v>
      </c>
      <c r="BM1545" s="2">
        <v>20.828547651713102</v>
      </c>
      <c r="BN1545" s="2">
        <v>20.9956368199677</v>
      </c>
      <c r="BO1545" s="2">
        <v>21.016224326692001</v>
      </c>
      <c r="BP1545" s="2">
        <v>20.842801299294699</v>
      </c>
      <c r="BQ1545" s="2">
        <v>20.851583793284899</v>
      </c>
      <c r="BR1545" s="2">
        <v>20.709392992800002</v>
      </c>
      <c r="BS1545" s="2">
        <v>20.899180772429901</v>
      </c>
      <c r="BT1545" s="2">
        <v>20.761835293821001</v>
      </c>
      <c r="BU1545" s="2">
        <v>20.975931225346599</v>
      </c>
      <c r="BV1545" s="2">
        <v>20.776771959649299</v>
      </c>
      <c r="BW1545" s="2">
        <v>20.700347697608901</v>
      </c>
      <c r="BX1545" s="2">
        <v>20.5938481482127</v>
      </c>
      <c r="BY1545" s="2">
        <v>20.842102578395899</v>
      </c>
      <c r="BZ1545" s="2">
        <v>20.890943817097899</v>
      </c>
      <c r="CA1545" s="2">
        <v>20.662383928906301</v>
      </c>
      <c r="CB1545" s="2">
        <v>20.9354000863521</v>
      </c>
      <c r="CC1545" s="2">
        <v>21.042765481576598</v>
      </c>
      <c r="CD1545" s="2">
        <v>20.792019921074399</v>
      </c>
      <c r="CE1545" s="2">
        <v>20.9211394193362</v>
      </c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</row>
    <row r="1546" spans="1:97">
      <c r="A1546" s="2" t="s">
        <v>13752</v>
      </c>
      <c r="B1546" s="2">
        <v>298.27364</v>
      </c>
      <c r="C1546" s="2">
        <v>9.4239999999999995</v>
      </c>
      <c r="D1546" s="2" t="s">
        <v>84</v>
      </c>
      <c r="E1546" s="2" t="s">
        <v>13753</v>
      </c>
      <c r="F1546" s="2" t="s">
        <v>13754</v>
      </c>
      <c r="G1546" s="2">
        <v>795</v>
      </c>
      <c r="H1546" s="3" t="str">
        <f>HYPERLINK("https://cloud.oebiotech.com/#/lm/network/795", "https://cloud.oebiotech.com/#/lm/network/795")</f>
        <v>https://cloud.oebiotech.com/#/lm/network/795</v>
      </c>
      <c r="I1546" s="2"/>
      <c r="J1546" s="2">
        <v>73975</v>
      </c>
      <c r="K1546" s="2" t="s">
        <v>13755</v>
      </c>
      <c r="L1546" s="2">
        <v>5312453</v>
      </c>
      <c r="M1546" s="2"/>
      <c r="N1546" s="2"/>
      <c r="O1546" s="2"/>
      <c r="P1546" s="2"/>
      <c r="Q1546" s="2"/>
      <c r="R1546" s="2"/>
      <c r="S1546" s="2"/>
      <c r="T1546" s="2" t="s">
        <v>13756</v>
      </c>
      <c r="U1546" s="2" t="s">
        <v>13757</v>
      </c>
      <c r="V1546" s="2" t="s">
        <v>95</v>
      </c>
      <c r="W1546" s="2" t="s">
        <v>96</v>
      </c>
      <c r="X1546" s="2" t="s">
        <v>919</v>
      </c>
      <c r="Y1546" s="2" t="s">
        <v>98</v>
      </c>
      <c r="Z1546" s="2" t="s">
        <v>99</v>
      </c>
      <c r="AA1546" s="2" t="s">
        <v>920</v>
      </c>
      <c r="AB1546" s="2" t="s">
        <v>8443</v>
      </c>
      <c r="AC1546" s="2">
        <v>43.69</v>
      </c>
      <c r="AD1546" s="2">
        <v>88.41</v>
      </c>
      <c r="AE1546" s="2">
        <v>39.700000000000003</v>
      </c>
      <c r="AF1546" s="2" t="s">
        <v>13758</v>
      </c>
      <c r="AG1546" s="2" t="s">
        <v>132</v>
      </c>
      <c r="AH1546" s="2" t="s">
        <v>2123</v>
      </c>
      <c r="AI1546" s="2">
        <v>1.34</v>
      </c>
      <c r="AJ1546" s="2">
        <v>19.697492434436999</v>
      </c>
      <c r="AK1546" s="2">
        <v>20.112368068211001</v>
      </c>
      <c r="AL1546" s="2">
        <v>20.068142593179601</v>
      </c>
      <c r="AM1546" s="2">
        <v>20.257426448301999</v>
      </c>
      <c r="AN1546" s="2">
        <v>19.979395398463001</v>
      </c>
      <c r="AO1546" s="2">
        <v>20.212800571864701</v>
      </c>
      <c r="AP1546" s="2">
        <v>19.901174842737301</v>
      </c>
      <c r="AQ1546" s="2">
        <v>19.697485053205199</v>
      </c>
      <c r="AR1546" s="2">
        <v>20.3682062702328</v>
      </c>
      <c r="AS1546" s="2">
        <v>20.217709507475199</v>
      </c>
      <c r="AT1546" s="2">
        <v>20.182007562271799</v>
      </c>
      <c r="AU1546" s="2">
        <v>19.937066017436699</v>
      </c>
      <c r="AV1546" s="2">
        <v>19.958597558240601</v>
      </c>
      <c r="AW1546" s="2">
        <v>19.714380495653302</v>
      </c>
      <c r="AX1546" s="2">
        <v>20.3534191620789</v>
      </c>
      <c r="AY1546" s="2">
        <v>20.190421461138701</v>
      </c>
      <c r="AZ1546" s="2">
        <v>20.276973847268899</v>
      </c>
      <c r="BA1546" s="2">
        <v>20.249392435286499</v>
      </c>
      <c r="BB1546" s="2">
        <v>20.186986478825101</v>
      </c>
      <c r="BC1546" s="2">
        <v>19.831982513921702</v>
      </c>
      <c r="BD1546" s="2">
        <v>20.034859480104299</v>
      </c>
      <c r="BE1546" s="2">
        <v>19.87711465328</v>
      </c>
      <c r="BF1546" s="2">
        <v>19.951568654992901</v>
      </c>
      <c r="BG1546" s="2">
        <v>20.091334875694699</v>
      </c>
      <c r="BH1546" s="2">
        <v>20.129814708969398</v>
      </c>
      <c r="BI1546" s="2">
        <v>20.0381083732827</v>
      </c>
      <c r="BJ1546" s="2">
        <v>20.234900944411599</v>
      </c>
      <c r="BK1546" s="2">
        <v>20.192166021572199</v>
      </c>
      <c r="BL1546" s="2">
        <v>20.176054759205901</v>
      </c>
      <c r="BM1546" s="2">
        <v>19.553110492145901</v>
      </c>
      <c r="BN1546" s="2">
        <v>19.805918736065099</v>
      </c>
      <c r="BO1546" s="2">
        <v>20.184715588161499</v>
      </c>
      <c r="BP1546" s="2">
        <v>20.118052760273901</v>
      </c>
      <c r="BQ1546" s="2">
        <v>20.186365953934398</v>
      </c>
      <c r="BR1546" s="2">
        <v>20.050110218881699</v>
      </c>
      <c r="BS1546" s="2">
        <v>19.934016476112699</v>
      </c>
      <c r="BT1546" s="2">
        <v>20.150196874618299</v>
      </c>
      <c r="BU1546" s="2">
        <v>20.1193318071495</v>
      </c>
      <c r="BV1546" s="2">
        <v>19.581635007588801</v>
      </c>
      <c r="BW1546" s="2">
        <v>20.029900533194301</v>
      </c>
      <c r="BX1546" s="2">
        <v>19.984589503332501</v>
      </c>
      <c r="BY1546" s="2">
        <v>19.887890995224499</v>
      </c>
      <c r="BZ1546" s="2">
        <v>20.175893939422298</v>
      </c>
      <c r="CA1546" s="2">
        <v>19.898589726626799</v>
      </c>
      <c r="CB1546" s="2">
        <v>20.192405472455199</v>
      </c>
      <c r="CC1546" s="2">
        <v>20.029045121650501</v>
      </c>
      <c r="CD1546" s="2">
        <v>19.847690653209099</v>
      </c>
      <c r="CE1546" s="2">
        <v>19.6399177489841</v>
      </c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</row>
    <row r="1547" spans="1:97">
      <c r="A1547" s="2" t="s">
        <v>13759</v>
      </c>
      <c r="B1547" s="2">
        <v>340.06427000000002</v>
      </c>
      <c r="C1547" s="2">
        <v>4.9509999999999996</v>
      </c>
      <c r="D1547" s="2" t="s">
        <v>146</v>
      </c>
      <c r="E1547" s="2" t="s">
        <v>13760</v>
      </c>
      <c r="F1547" s="2" t="s">
        <v>13761</v>
      </c>
      <c r="G1547" s="2">
        <v>209289</v>
      </c>
      <c r="H1547" s="3" t="str">
        <f>HYPERLINK("https://cloud.oebiotech.com/#/lm/network/209289", "https://cloud.oebiotech.com/#/lm/network/209289")</f>
        <v>https://cloud.oebiotech.com/#/lm/network/209289</v>
      </c>
      <c r="I1547" s="2" t="s">
        <v>13762</v>
      </c>
      <c r="J1547" s="2">
        <v>445473</v>
      </c>
      <c r="K1547" s="2"/>
      <c r="L1547" s="2">
        <v>87725</v>
      </c>
      <c r="M1547" s="2"/>
      <c r="N1547" s="2"/>
      <c r="O1547" s="2"/>
      <c r="P1547" s="2"/>
      <c r="Q1547" s="2"/>
      <c r="R1547" s="2"/>
      <c r="S1547" s="2"/>
      <c r="T1547" s="2" t="s">
        <v>13763</v>
      </c>
      <c r="U1547" s="2" t="s">
        <v>13764</v>
      </c>
      <c r="V1547" s="2" t="s">
        <v>385</v>
      </c>
      <c r="W1547" s="2" t="s">
        <v>386</v>
      </c>
      <c r="X1547" s="2" t="s">
        <v>13266</v>
      </c>
      <c r="Y1547" s="2" t="s">
        <v>388</v>
      </c>
      <c r="Z1547" s="2" t="s">
        <v>389</v>
      </c>
      <c r="AA1547" s="2" t="s">
        <v>13267</v>
      </c>
      <c r="AB1547" s="2" t="s">
        <v>3086</v>
      </c>
      <c r="AC1547" s="2">
        <v>43.67</v>
      </c>
      <c r="AD1547" s="2">
        <v>87.47</v>
      </c>
      <c r="AE1547" s="2">
        <v>0</v>
      </c>
      <c r="AF1547" s="2" t="s">
        <v>13765</v>
      </c>
      <c r="AG1547" s="2" t="s">
        <v>157</v>
      </c>
      <c r="AH1547" s="2" t="s">
        <v>13766</v>
      </c>
      <c r="AI1547" s="2">
        <v>-10</v>
      </c>
      <c r="AJ1547" s="2">
        <v>18.980493428629</v>
      </c>
      <c r="AK1547" s="2">
        <v>18.9663987080806</v>
      </c>
      <c r="AL1547" s="2">
        <v>18.9878719102052</v>
      </c>
      <c r="AM1547" s="2">
        <v>18.9706166217175</v>
      </c>
      <c r="AN1547" s="2">
        <v>19.174449777318099</v>
      </c>
      <c r="AO1547" s="2">
        <v>19.050310402692201</v>
      </c>
      <c r="AP1547" s="2">
        <v>18.943585802693299</v>
      </c>
      <c r="AQ1547" s="2">
        <v>19.010129220396699</v>
      </c>
      <c r="AR1547" s="2">
        <v>17.817513403009102</v>
      </c>
      <c r="AS1547" s="2">
        <v>17.38867447366</v>
      </c>
      <c r="AT1547" s="2">
        <v>18.121008822115801</v>
      </c>
      <c r="AU1547" s="2">
        <v>19.721899859077599</v>
      </c>
      <c r="AV1547" s="2">
        <v>18.242239354973499</v>
      </c>
      <c r="AW1547" s="2">
        <v>18.409640452402201</v>
      </c>
      <c r="AX1547" s="2">
        <v>17.306875183908598</v>
      </c>
      <c r="AY1547" s="2">
        <v>16.617360131586199</v>
      </c>
      <c r="AZ1547" s="2">
        <v>17.8647815615806</v>
      </c>
      <c r="BA1547" s="2">
        <v>19.991842116635201</v>
      </c>
      <c r="BB1547" s="2">
        <v>20.049004861048601</v>
      </c>
      <c r="BC1547" s="2">
        <v>19.679715982027599</v>
      </c>
      <c r="BD1547" s="2">
        <v>19.648298311194502</v>
      </c>
      <c r="BE1547" s="2">
        <v>18.333190036783801</v>
      </c>
      <c r="BF1547" s="2">
        <v>18.654087054479302</v>
      </c>
      <c r="BG1547" s="2">
        <v>18.7239519895464</v>
      </c>
      <c r="BH1547" s="2">
        <v>19.626838537920001</v>
      </c>
      <c r="BI1547" s="2">
        <v>17.280766511767499</v>
      </c>
      <c r="BJ1547" s="2">
        <v>20.0992589723359</v>
      </c>
      <c r="BK1547" s="2">
        <v>20.263007943193902</v>
      </c>
      <c r="BL1547" s="2">
        <v>18.943706608283801</v>
      </c>
      <c r="BM1547" s="2">
        <v>18.670984870120702</v>
      </c>
      <c r="BN1547" s="2">
        <v>19.182526166347898</v>
      </c>
      <c r="BO1547" s="2">
        <v>19.544378354697098</v>
      </c>
      <c r="BP1547" s="2">
        <v>17.455298560713398</v>
      </c>
      <c r="BQ1547" s="2">
        <v>17.985279052540001</v>
      </c>
      <c r="BR1547" s="2">
        <v>17.503757116442099</v>
      </c>
      <c r="BS1547" s="2">
        <v>17.5336761881832</v>
      </c>
      <c r="BT1547" s="2">
        <v>20.543811423805899</v>
      </c>
      <c r="BU1547" s="2">
        <v>19.895144699329801</v>
      </c>
      <c r="BV1547" s="2">
        <v>19.2772852658033</v>
      </c>
      <c r="BW1547" s="2">
        <v>18.532596090642599</v>
      </c>
      <c r="BX1547" s="2">
        <v>19.334385380368499</v>
      </c>
      <c r="BY1547" s="2">
        <v>18.453706296598401</v>
      </c>
      <c r="BZ1547" s="2">
        <v>17.812665363692599</v>
      </c>
      <c r="CA1547" s="2">
        <v>18.454915936762202</v>
      </c>
      <c r="CB1547" s="2">
        <v>18.527247519514699</v>
      </c>
      <c r="CC1547" s="2">
        <v>17.497936016648801</v>
      </c>
      <c r="CD1547" s="2">
        <v>19.623735076722401</v>
      </c>
      <c r="CE1547" s="2">
        <v>20.066456504386402</v>
      </c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</row>
    <row r="1548" spans="1:97">
      <c r="A1548" s="2" t="s">
        <v>13767</v>
      </c>
      <c r="B1548" s="2">
        <v>426.95015000000001</v>
      </c>
      <c r="C1548" s="2">
        <v>0.71</v>
      </c>
      <c r="D1548" s="2" t="s">
        <v>146</v>
      </c>
      <c r="E1548" s="2" t="s">
        <v>13768</v>
      </c>
      <c r="F1548" s="2" t="s">
        <v>13769</v>
      </c>
      <c r="G1548" s="2">
        <v>595666</v>
      </c>
      <c r="H1548" s="3" t="str">
        <f>HYPERLINK("https://cloud.oebiotech.com/#/lm/network/595666", "https://cloud.oebiotech.com/#/lm/network/595666")</f>
        <v>https://cloud.oebiotech.com/#/lm/network/595666</v>
      </c>
      <c r="I1548" s="2"/>
      <c r="J1548" s="2"/>
      <c r="K1548" s="2"/>
      <c r="L1548" s="2">
        <v>54106559</v>
      </c>
      <c r="M1548" s="2"/>
      <c r="N1548" s="2"/>
      <c r="O1548" s="2"/>
      <c r="P1548" s="2"/>
      <c r="Q1548" s="2"/>
      <c r="R1548" s="2"/>
      <c r="S1548" s="2"/>
      <c r="T1548" s="2" t="s">
        <v>13770</v>
      </c>
      <c r="U1548" s="2" t="s">
        <v>13771</v>
      </c>
      <c r="V1548" s="2" t="s">
        <v>95</v>
      </c>
      <c r="W1548" s="2" t="s">
        <v>96</v>
      </c>
      <c r="X1548" s="2" t="s">
        <v>141</v>
      </c>
      <c r="Y1548" s="2" t="s">
        <v>98</v>
      </c>
      <c r="Z1548" s="2" t="s">
        <v>99</v>
      </c>
      <c r="AA1548" s="2" t="s">
        <v>142</v>
      </c>
      <c r="AB1548" s="2" t="s">
        <v>8443</v>
      </c>
      <c r="AC1548" s="2">
        <v>43.67</v>
      </c>
      <c r="AD1548" s="2">
        <v>87.12</v>
      </c>
      <c r="AE1548" s="2">
        <v>0</v>
      </c>
      <c r="AF1548" s="2" t="s">
        <v>5614</v>
      </c>
      <c r="AG1548" s="2" t="s">
        <v>3880</v>
      </c>
      <c r="AH1548" s="2" t="s">
        <v>13772</v>
      </c>
      <c r="AI1548" s="2">
        <v>-1.87</v>
      </c>
      <c r="AJ1548" s="2">
        <v>19.3970192130265</v>
      </c>
      <c r="AK1548" s="2">
        <v>18.8187769738432</v>
      </c>
      <c r="AL1548" s="2">
        <v>19.673612958270201</v>
      </c>
      <c r="AM1548" s="2">
        <v>18.7946463143643</v>
      </c>
      <c r="AN1548" s="2">
        <v>18.961288533050801</v>
      </c>
      <c r="AO1548" s="2">
        <v>19.557834749812098</v>
      </c>
      <c r="AP1548" s="2">
        <v>19.092664528477499</v>
      </c>
      <c r="AQ1548" s="2">
        <v>18.8261470552752</v>
      </c>
      <c r="AR1548" s="2">
        <v>18.311731288605799</v>
      </c>
      <c r="AS1548" s="2">
        <v>16.329756578084801</v>
      </c>
      <c r="AT1548" s="2">
        <v>17.679924893974601</v>
      </c>
      <c r="AU1548" s="2">
        <v>19.848599300970399</v>
      </c>
      <c r="AV1548" s="2">
        <v>18.796935309865201</v>
      </c>
      <c r="AW1548" s="2">
        <v>18.644005946145299</v>
      </c>
      <c r="AX1548" s="2">
        <v>18.410920998961299</v>
      </c>
      <c r="AY1548" s="2">
        <v>19.141421055521398</v>
      </c>
      <c r="AZ1548" s="2">
        <v>16.907308972855699</v>
      </c>
      <c r="BA1548" s="2">
        <v>18.822524463910302</v>
      </c>
      <c r="BB1548" s="2">
        <v>19.657938241901402</v>
      </c>
      <c r="BC1548" s="2">
        <v>20.9086083351018</v>
      </c>
      <c r="BD1548" s="2">
        <v>19.028587388986899</v>
      </c>
      <c r="BE1548" s="2">
        <v>19.7386215160742</v>
      </c>
      <c r="BF1548" s="2">
        <v>19.141797818228699</v>
      </c>
      <c r="BG1548" s="2">
        <v>18.525696478514</v>
      </c>
      <c r="BH1548" s="2">
        <v>17.971108081991101</v>
      </c>
      <c r="BI1548" s="2">
        <v>18.7119804388281</v>
      </c>
      <c r="BJ1548" s="2">
        <v>18.691703109079199</v>
      </c>
      <c r="BK1548" s="2">
        <v>18.820628082693698</v>
      </c>
      <c r="BL1548" s="2">
        <v>18.7310716433085</v>
      </c>
      <c r="BM1548" s="2">
        <v>20.003571905655502</v>
      </c>
      <c r="BN1548" s="2">
        <v>18.841860405202301</v>
      </c>
      <c r="BO1548" s="2">
        <v>17.431768541180698</v>
      </c>
      <c r="BP1548" s="2">
        <v>17.5529533222204</v>
      </c>
      <c r="BQ1548" s="2">
        <v>18.884184414045802</v>
      </c>
      <c r="BR1548" s="2">
        <v>19.353668017637101</v>
      </c>
      <c r="BS1548" s="2">
        <v>18.311474094593802</v>
      </c>
      <c r="BT1548" s="2">
        <v>18.9604125994586</v>
      </c>
      <c r="BU1548" s="2">
        <v>18.872851269012099</v>
      </c>
      <c r="BV1548" s="2">
        <v>19.534421459264401</v>
      </c>
      <c r="BW1548" s="2">
        <v>19.011728440884799</v>
      </c>
      <c r="BX1548" s="2">
        <v>19.717991513030402</v>
      </c>
      <c r="BY1548" s="2">
        <v>18.707934737604798</v>
      </c>
      <c r="BZ1548" s="2">
        <v>18.766440620280001</v>
      </c>
      <c r="CA1548" s="2">
        <v>19.005267652267701</v>
      </c>
      <c r="CB1548" s="2">
        <v>18.6128110972579</v>
      </c>
      <c r="CC1548" s="2">
        <v>18.208867704039498</v>
      </c>
      <c r="CD1548" s="2">
        <v>17.789328713721101</v>
      </c>
      <c r="CE1548" s="2">
        <v>18.468953506674598</v>
      </c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</row>
    <row r="1549" spans="1:97">
      <c r="A1549" s="2" t="s">
        <v>13773</v>
      </c>
      <c r="B1549" s="2">
        <v>376.06063999999998</v>
      </c>
      <c r="C1549" s="2">
        <v>0.96299999999999997</v>
      </c>
      <c r="D1549" s="2" t="s">
        <v>146</v>
      </c>
      <c r="E1549" s="2" t="s">
        <v>13774</v>
      </c>
      <c r="F1549" s="2" t="s">
        <v>13775</v>
      </c>
      <c r="G1549" s="2">
        <v>211232</v>
      </c>
      <c r="H1549" s="3" t="str">
        <f>HYPERLINK("https://cloud.oebiotech.com/#/lm/network/211232", "https://cloud.oebiotech.com/#/lm/network/211232")</f>
        <v>https://cloud.oebiotech.com/#/lm/network/211232</v>
      </c>
      <c r="I1549" s="2" t="s">
        <v>13776</v>
      </c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 t="s">
        <v>13777</v>
      </c>
      <c r="U1549" s="2" t="s">
        <v>13778</v>
      </c>
      <c r="V1549" s="2" t="s">
        <v>553</v>
      </c>
      <c r="W1549" s="2" t="s">
        <v>13779</v>
      </c>
      <c r="X1549" s="2" t="s">
        <v>375</v>
      </c>
      <c r="Y1549" s="2" t="s">
        <v>556</v>
      </c>
      <c r="Z1549" s="2" t="s">
        <v>13780</v>
      </c>
      <c r="AA1549" s="2"/>
      <c r="AB1549" s="2" t="s">
        <v>8443</v>
      </c>
      <c r="AC1549" s="2">
        <v>43.65</v>
      </c>
      <c r="AD1549" s="2">
        <v>85.5</v>
      </c>
      <c r="AE1549" s="2">
        <v>40.909999999999997</v>
      </c>
      <c r="AF1549" s="2" t="s">
        <v>13781</v>
      </c>
      <c r="AG1549" s="2" t="s">
        <v>157</v>
      </c>
      <c r="AH1549" s="2" t="s">
        <v>13782</v>
      </c>
      <c r="AI1549" s="2">
        <v>0.8</v>
      </c>
      <c r="AJ1549" s="2">
        <v>20.552019796436198</v>
      </c>
      <c r="AK1549" s="2">
        <v>20.097533167677099</v>
      </c>
      <c r="AL1549" s="2">
        <v>20.310346900041399</v>
      </c>
      <c r="AM1549" s="2">
        <v>20.4889691011319</v>
      </c>
      <c r="AN1549" s="2">
        <v>20.4625360813721</v>
      </c>
      <c r="AO1549" s="2">
        <v>20.184895870800599</v>
      </c>
      <c r="AP1549" s="2">
        <v>20.334472523023098</v>
      </c>
      <c r="AQ1549" s="2">
        <v>20.420742707446301</v>
      </c>
      <c r="AR1549" s="2">
        <v>20.146306849787301</v>
      </c>
      <c r="AS1549" s="2">
        <v>20.4569184291699</v>
      </c>
      <c r="AT1549" s="2">
        <v>20.529756495223499</v>
      </c>
      <c r="AU1549" s="2">
        <v>20.857581974361398</v>
      </c>
      <c r="AV1549" s="2">
        <v>20.750773013275499</v>
      </c>
      <c r="AW1549" s="2">
        <v>20.7165963250694</v>
      </c>
      <c r="AX1549" s="2">
        <v>20.5973548167971</v>
      </c>
      <c r="AY1549" s="2">
        <v>20.556191622712301</v>
      </c>
      <c r="AZ1549" s="2">
        <v>19.923603330015801</v>
      </c>
      <c r="BA1549" s="2">
        <v>20.7111291458775</v>
      </c>
      <c r="BB1549" s="2">
        <v>21.009405754187501</v>
      </c>
      <c r="BC1549" s="2">
        <v>20.3200635672268</v>
      </c>
      <c r="BD1549" s="2">
        <v>20.361162510668201</v>
      </c>
      <c r="BE1549" s="2">
        <v>20.199556634574201</v>
      </c>
      <c r="BF1549" s="2">
        <v>19.345137913417101</v>
      </c>
      <c r="BG1549" s="2">
        <v>20.609062893094599</v>
      </c>
      <c r="BH1549" s="2">
        <v>20.534545991471099</v>
      </c>
      <c r="BI1549" s="2">
        <v>19.889728639180301</v>
      </c>
      <c r="BJ1549" s="2">
        <v>20.052302288918199</v>
      </c>
      <c r="BK1549" s="2">
        <v>20.664666508314198</v>
      </c>
      <c r="BL1549" s="2">
        <v>20.279443217033801</v>
      </c>
      <c r="BM1549" s="2">
        <v>20.747195057211702</v>
      </c>
      <c r="BN1549" s="2">
        <v>20.019608753246501</v>
      </c>
      <c r="BO1549" s="2">
        <v>20.5712801741638</v>
      </c>
      <c r="BP1549" s="2">
        <v>20.334513124508501</v>
      </c>
      <c r="BQ1549" s="2">
        <v>19.841768225787899</v>
      </c>
      <c r="BR1549" s="2">
        <v>20.3799418415005</v>
      </c>
      <c r="BS1549" s="2">
        <v>20.228675423577101</v>
      </c>
      <c r="BT1549" s="2">
        <v>20.329412747327599</v>
      </c>
      <c r="BU1549" s="2">
        <v>20.183848030644299</v>
      </c>
      <c r="BV1549" s="2">
        <v>20.4602148663833</v>
      </c>
      <c r="BW1549" s="2">
        <v>20.8084576895852</v>
      </c>
      <c r="BX1549" s="2">
        <v>20.5201281163719</v>
      </c>
      <c r="BY1549" s="2">
        <v>20.2234026572606</v>
      </c>
      <c r="BZ1549" s="2">
        <v>20.963312779351401</v>
      </c>
      <c r="CA1549" s="2">
        <v>20.058790282223601</v>
      </c>
      <c r="CB1549" s="2">
        <v>20.4657899353966</v>
      </c>
      <c r="CC1549" s="2">
        <v>19.8247326182377</v>
      </c>
      <c r="CD1549" s="2">
        <v>19.9054249370847</v>
      </c>
      <c r="CE1549" s="2">
        <v>19.946469640574598</v>
      </c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</row>
    <row r="1550" spans="1:97">
      <c r="A1550" s="2" t="s">
        <v>13783</v>
      </c>
      <c r="B1550" s="2">
        <v>223.02412000000001</v>
      </c>
      <c r="C1550" s="2">
        <v>4.8150000000000004</v>
      </c>
      <c r="D1550" s="2" t="s">
        <v>146</v>
      </c>
      <c r="E1550" s="2" t="s">
        <v>13784</v>
      </c>
      <c r="F1550" s="2" t="s">
        <v>13785</v>
      </c>
      <c r="G1550" s="2">
        <v>209572</v>
      </c>
      <c r="H1550" s="3" t="str">
        <f>HYPERLINK("https://cloud.oebiotech.com/#/lm/network/209572", "https://cloud.oebiotech.com/#/lm/network/209572")</f>
        <v>https://cloud.oebiotech.com/#/lm/network/209572</v>
      </c>
      <c r="I1550" s="2" t="s">
        <v>13786</v>
      </c>
      <c r="J1550" s="2"/>
      <c r="K1550" s="2"/>
      <c r="L1550" s="2">
        <v>10236</v>
      </c>
      <c r="M1550" s="2"/>
      <c r="N1550" s="2"/>
      <c r="O1550" s="2"/>
      <c r="P1550" s="2">
        <v>86374</v>
      </c>
      <c r="Q1550" s="2"/>
      <c r="R1550" s="2"/>
      <c r="S1550" s="2"/>
      <c r="T1550" s="2" t="s">
        <v>13787</v>
      </c>
      <c r="U1550" s="2" t="s">
        <v>13788</v>
      </c>
      <c r="V1550" s="2" t="s">
        <v>385</v>
      </c>
      <c r="W1550" s="2" t="s">
        <v>8683</v>
      </c>
      <c r="X1550" s="2" t="s">
        <v>13789</v>
      </c>
      <c r="Y1550" s="2" t="s">
        <v>388</v>
      </c>
      <c r="Z1550" s="2" t="s">
        <v>8684</v>
      </c>
      <c r="AA1550" s="2" t="s">
        <v>13790</v>
      </c>
      <c r="AB1550" s="2" t="s">
        <v>8443</v>
      </c>
      <c r="AC1550" s="2">
        <v>43.64</v>
      </c>
      <c r="AD1550" s="2">
        <v>93.35</v>
      </c>
      <c r="AE1550" s="2">
        <v>0</v>
      </c>
      <c r="AF1550" s="2" t="s">
        <v>5614</v>
      </c>
      <c r="AG1550" s="2" t="s">
        <v>157</v>
      </c>
      <c r="AH1550" s="2" t="s">
        <v>13791</v>
      </c>
      <c r="AI1550" s="2">
        <v>3.14</v>
      </c>
      <c r="AJ1550" s="2">
        <v>17.274603374754399</v>
      </c>
      <c r="AK1550" s="2">
        <v>17.295069636758299</v>
      </c>
      <c r="AL1550" s="2">
        <v>17.318415530311398</v>
      </c>
      <c r="AM1550" s="2">
        <v>16.7325421511683</v>
      </c>
      <c r="AN1550" s="2">
        <v>16.967819302940701</v>
      </c>
      <c r="AO1550" s="2">
        <v>17.315415035758001</v>
      </c>
      <c r="AP1550" s="2">
        <v>17.236948657789402</v>
      </c>
      <c r="AQ1550" s="2">
        <v>17.016073088346399</v>
      </c>
      <c r="AR1550" s="2">
        <v>17.465014862630799</v>
      </c>
      <c r="AS1550" s="2">
        <v>17.099072326505201</v>
      </c>
      <c r="AT1550" s="2">
        <v>17.351131190953701</v>
      </c>
      <c r="AU1550" s="2">
        <v>17.087162283009299</v>
      </c>
      <c r="AV1550" s="2">
        <v>16.614491307110001</v>
      </c>
      <c r="AW1550" s="2">
        <v>17.452248159120401</v>
      </c>
      <c r="AX1550" s="2">
        <v>17.098980041509201</v>
      </c>
      <c r="AY1550" s="2">
        <v>17.364957429705601</v>
      </c>
      <c r="AZ1550" s="2">
        <v>17.2168333719681</v>
      </c>
      <c r="BA1550" s="2">
        <v>17.427268152113498</v>
      </c>
      <c r="BB1550" s="2">
        <v>17.034370083005999</v>
      </c>
      <c r="BC1550" s="2">
        <v>17.1890620172003</v>
      </c>
      <c r="BD1550" s="2">
        <v>17.359161098115202</v>
      </c>
      <c r="BE1550" s="2">
        <v>14.3350616072156</v>
      </c>
      <c r="BF1550" s="2">
        <v>17.2766823055068</v>
      </c>
      <c r="BG1550" s="2">
        <v>17.3338013254507</v>
      </c>
      <c r="BH1550" s="2">
        <v>17.384703071699601</v>
      </c>
      <c r="BI1550" s="2">
        <v>17.318567964148102</v>
      </c>
      <c r="BJ1550" s="2">
        <v>17.044327195917202</v>
      </c>
      <c r="BK1550" s="2">
        <v>17.135926275164501</v>
      </c>
      <c r="BL1550" s="2">
        <v>17.1933923347441</v>
      </c>
      <c r="BM1550" s="2">
        <v>17.5894976881691</v>
      </c>
      <c r="BN1550" s="2">
        <v>17.518841148002601</v>
      </c>
      <c r="BO1550" s="2">
        <v>17.287381423416502</v>
      </c>
      <c r="BP1550" s="2">
        <v>17.376951442349998</v>
      </c>
      <c r="BQ1550" s="2">
        <v>17.474645490693</v>
      </c>
      <c r="BR1550" s="2">
        <v>17.0905344537689</v>
      </c>
      <c r="BS1550" s="2">
        <v>17.428873168048401</v>
      </c>
      <c r="BT1550" s="2">
        <v>17.3119715905395</v>
      </c>
      <c r="BU1550" s="2">
        <v>17.276116860919299</v>
      </c>
      <c r="BV1550" s="2">
        <v>17.474670045701099</v>
      </c>
      <c r="BW1550" s="2">
        <v>17.306816456781998</v>
      </c>
      <c r="BX1550" s="2">
        <v>17.436182860449499</v>
      </c>
      <c r="BY1550" s="2">
        <v>16.438867369918501</v>
      </c>
      <c r="BZ1550" s="2">
        <v>17.431457530652899</v>
      </c>
      <c r="CA1550" s="2">
        <v>17.2819056740286</v>
      </c>
      <c r="CB1550" s="2">
        <v>17.3244799633882</v>
      </c>
      <c r="CC1550" s="2">
        <v>17.350979225167801</v>
      </c>
      <c r="CD1550" s="2">
        <v>16.9427044055357</v>
      </c>
      <c r="CE1550" s="2">
        <v>17.155891524785201</v>
      </c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</row>
    <row r="1551" spans="1:97">
      <c r="A1551" s="2" t="s">
        <v>13792</v>
      </c>
      <c r="B1551" s="2">
        <v>229.11792</v>
      </c>
      <c r="C1551" s="2">
        <v>0.76100000000000001</v>
      </c>
      <c r="D1551" s="2" t="s">
        <v>84</v>
      </c>
      <c r="E1551" s="2" t="s">
        <v>13793</v>
      </c>
      <c r="F1551" s="2" t="s">
        <v>13794</v>
      </c>
      <c r="G1551" s="2">
        <v>210582</v>
      </c>
      <c r="H1551" s="3" t="str">
        <f>HYPERLINK("https://cloud.oebiotech.com/#/lm/network/210582", "https://cloud.oebiotech.com/#/lm/network/210582")</f>
        <v>https://cloud.oebiotech.com/#/lm/network/210582</v>
      </c>
      <c r="I1551" s="2" t="s">
        <v>13795</v>
      </c>
      <c r="J1551" s="2">
        <v>85915</v>
      </c>
      <c r="K1551" s="2"/>
      <c r="L1551" s="2">
        <v>3952518</v>
      </c>
      <c r="M1551" s="2"/>
      <c r="N1551" s="2"/>
      <c r="O1551" s="2"/>
      <c r="P1551" s="2"/>
      <c r="Q1551" s="2"/>
      <c r="R1551" s="2"/>
      <c r="S1551" s="2"/>
      <c r="T1551" s="2" t="s">
        <v>13796</v>
      </c>
      <c r="U1551" s="2" t="s">
        <v>13797</v>
      </c>
      <c r="V1551" s="2" t="s">
        <v>115</v>
      </c>
      <c r="W1551" s="2" t="s">
        <v>116</v>
      </c>
      <c r="X1551" s="2" t="s">
        <v>117</v>
      </c>
      <c r="Y1551" s="2" t="s">
        <v>118</v>
      </c>
      <c r="Z1551" s="2" t="s">
        <v>119</v>
      </c>
      <c r="AA1551" s="2" t="s">
        <v>120</v>
      </c>
      <c r="AB1551" s="2" t="s">
        <v>8443</v>
      </c>
      <c r="AC1551" s="2">
        <v>43.6</v>
      </c>
      <c r="AD1551" s="2">
        <v>93.11</v>
      </c>
      <c r="AE1551" s="2">
        <v>35.83</v>
      </c>
      <c r="AF1551" s="2" t="s">
        <v>13798</v>
      </c>
      <c r="AG1551" s="2" t="s">
        <v>103</v>
      </c>
      <c r="AH1551" s="2" t="s">
        <v>8023</v>
      </c>
      <c r="AI1551" s="2">
        <v>1.75</v>
      </c>
      <c r="AJ1551" s="2">
        <v>21.5191629089367</v>
      </c>
      <c r="AK1551" s="2">
        <v>21.506726218351002</v>
      </c>
      <c r="AL1551" s="2">
        <v>21.296221896725601</v>
      </c>
      <c r="AM1551" s="2">
        <v>21.376041776233599</v>
      </c>
      <c r="AN1551" s="2">
        <v>21.479492929082198</v>
      </c>
      <c r="AO1551" s="2">
        <v>21.562514064989401</v>
      </c>
      <c r="AP1551" s="2">
        <v>21.529590517237299</v>
      </c>
      <c r="AQ1551" s="2">
        <v>21.568684672215699</v>
      </c>
      <c r="AR1551" s="2">
        <v>21.072657760416199</v>
      </c>
      <c r="AS1551" s="2">
        <v>20.593239320321999</v>
      </c>
      <c r="AT1551" s="2">
        <v>20.974523921058399</v>
      </c>
      <c r="AU1551" s="2">
        <v>19.267050110182598</v>
      </c>
      <c r="AV1551" s="2">
        <v>23.694280806910001</v>
      </c>
      <c r="AW1551" s="2">
        <v>22.5338089862509</v>
      </c>
      <c r="AX1551" s="2">
        <v>21.6337099388961</v>
      </c>
      <c r="AY1551" s="2">
        <v>20.621686339960299</v>
      </c>
      <c r="AZ1551" s="2">
        <v>20.605576879546302</v>
      </c>
      <c r="BA1551" s="2">
        <v>20.4247728008271</v>
      </c>
      <c r="BB1551" s="2">
        <v>21.912341456307299</v>
      </c>
      <c r="BC1551" s="2">
        <v>20.5124161810209</v>
      </c>
      <c r="BD1551" s="2">
        <v>21.563867127639</v>
      </c>
      <c r="BE1551" s="2">
        <v>20.6858173227496</v>
      </c>
      <c r="BF1551" s="2">
        <v>20.9617351166528</v>
      </c>
      <c r="BG1551" s="2">
        <v>20.6515556464112</v>
      </c>
      <c r="BH1551" s="2">
        <v>22.943599213914901</v>
      </c>
      <c r="BI1551" s="2">
        <v>21.137016636890198</v>
      </c>
      <c r="BJ1551" s="2">
        <v>22.812587631018701</v>
      </c>
      <c r="BK1551" s="2">
        <v>20.862271493706299</v>
      </c>
      <c r="BL1551" s="2">
        <v>20.6500884322083</v>
      </c>
      <c r="BM1551" s="2">
        <v>22.662774702634898</v>
      </c>
      <c r="BN1551" s="2">
        <v>22.231896421532099</v>
      </c>
      <c r="BO1551" s="2">
        <v>18.901300990687599</v>
      </c>
      <c r="BP1551" s="2">
        <v>21.275993611932101</v>
      </c>
      <c r="BQ1551" s="2">
        <v>21.925647184057201</v>
      </c>
      <c r="BR1551" s="2">
        <v>20.394600300009198</v>
      </c>
      <c r="BS1551" s="2">
        <v>20.596858965422399</v>
      </c>
      <c r="BT1551" s="2">
        <v>20.772535016079601</v>
      </c>
      <c r="BU1551" s="2">
        <v>19.2929310533295</v>
      </c>
      <c r="BV1551" s="2">
        <v>21.5620675846179</v>
      </c>
      <c r="BW1551" s="2">
        <v>18.540578318485998</v>
      </c>
      <c r="BX1551" s="2">
        <v>22.295081195256699</v>
      </c>
      <c r="BY1551" s="2">
        <v>20.6917880762891</v>
      </c>
      <c r="BZ1551" s="2">
        <v>21.166037694067501</v>
      </c>
      <c r="CA1551" s="2">
        <v>21.024628785993102</v>
      </c>
      <c r="CB1551" s="2">
        <v>20.001360195394199</v>
      </c>
      <c r="CC1551" s="2">
        <v>21.476543404621701</v>
      </c>
      <c r="CD1551" s="2">
        <v>21.623525940130399</v>
      </c>
      <c r="CE1551" s="2">
        <v>20.568275655729298</v>
      </c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</row>
    <row r="1552" spans="1:97">
      <c r="A1552" s="2" t="s">
        <v>13799</v>
      </c>
      <c r="B1552" s="2">
        <v>246.08627999999999</v>
      </c>
      <c r="C1552" s="2">
        <v>5.6689999999999996</v>
      </c>
      <c r="D1552" s="2" t="s">
        <v>84</v>
      </c>
      <c r="E1552" s="2" t="s">
        <v>13800</v>
      </c>
      <c r="F1552" s="2" t="s">
        <v>13801</v>
      </c>
      <c r="G1552" s="2">
        <v>83559</v>
      </c>
      <c r="H1552" s="3" t="str">
        <f>HYPERLINK("https://cloud.oebiotech.com/#/lm/network/83559", "https://cloud.oebiotech.com/#/lm/network/83559")</f>
        <v>https://cloud.oebiotech.com/#/lm/network/83559</v>
      </c>
      <c r="I1552" s="2" t="s">
        <v>13802</v>
      </c>
      <c r="J1552" s="2">
        <v>73232</v>
      </c>
      <c r="K1552" s="2"/>
      <c r="L1552" s="2">
        <v>53297437</v>
      </c>
      <c r="M1552" s="2" t="s">
        <v>13803</v>
      </c>
      <c r="N1552" s="2" t="s">
        <v>12618</v>
      </c>
      <c r="O1552" s="2" t="s">
        <v>12619</v>
      </c>
      <c r="P1552" s="2">
        <v>82561</v>
      </c>
      <c r="Q1552" s="2"/>
      <c r="R1552" s="2"/>
      <c r="S1552" s="2"/>
      <c r="T1552" s="2" t="s">
        <v>13804</v>
      </c>
      <c r="U1552" s="2" t="s">
        <v>13805</v>
      </c>
      <c r="V1552" s="2" t="s">
        <v>338</v>
      </c>
      <c r="W1552" s="2" t="s">
        <v>339</v>
      </c>
      <c r="X1552" s="2" t="s">
        <v>340</v>
      </c>
      <c r="Y1552" s="2" t="s">
        <v>341</v>
      </c>
      <c r="Z1552" s="2" t="s">
        <v>341</v>
      </c>
      <c r="AA1552" s="2" t="s">
        <v>342</v>
      </c>
      <c r="AB1552" s="2" t="s">
        <v>5118</v>
      </c>
      <c r="AC1552" s="2">
        <v>43.57</v>
      </c>
      <c r="AD1552" s="2">
        <v>73.150000000000006</v>
      </c>
      <c r="AE1552" s="2">
        <v>86.03</v>
      </c>
      <c r="AF1552" s="2" t="s">
        <v>13806</v>
      </c>
      <c r="AG1552" s="2" t="s">
        <v>1578</v>
      </c>
      <c r="AH1552" s="2" t="s">
        <v>13807</v>
      </c>
      <c r="AI1552" s="2">
        <v>-5.69</v>
      </c>
      <c r="AJ1552" s="2">
        <v>17.048440895018299</v>
      </c>
      <c r="AK1552" s="2">
        <v>18.745635692058698</v>
      </c>
      <c r="AL1552" s="2">
        <v>17.9156905237991</v>
      </c>
      <c r="AM1552" s="2">
        <v>18.1475828632842</v>
      </c>
      <c r="AN1552" s="2">
        <v>18.235716123014502</v>
      </c>
      <c r="AO1552" s="2">
        <v>18.508965240159899</v>
      </c>
      <c r="AP1552" s="2">
        <v>18.2762831911575</v>
      </c>
      <c r="AQ1552" s="2">
        <v>18.318782244588</v>
      </c>
      <c r="AR1552" s="2">
        <v>20.3698999206499</v>
      </c>
      <c r="AS1552" s="2">
        <v>17.902651093494299</v>
      </c>
      <c r="AT1552" s="2">
        <v>18.886186211717899</v>
      </c>
      <c r="AU1552" s="2">
        <v>21.345726952468301</v>
      </c>
      <c r="AV1552" s="2">
        <v>22.3111197818757</v>
      </c>
      <c r="AW1552" s="2">
        <v>18.298274947463302</v>
      </c>
      <c r="AX1552" s="2">
        <v>22.906858515671999</v>
      </c>
      <c r="AY1552" s="2">
        <v>21.1144769562048</v>
      </c>
      <c r="AZ1552" s="2">
        <v>16.822820502733599</v>
      </c>
      <c r="BA1552" s="2">
        <v>22.158213532174099</v>
      </c>
      <c r="BB1552" s="2">
        <v>19.918506751942299</v>
      </c>
      <c r="BC1552" s="2">
        <v>20.712797550918101</v>
      </c>
      <c r="BD1552" s="2">
        <v>20.625692391153802</v>
      </c>
      <c r="BE1552" s="2">
        <v>21.1251344356982</v>
      </c>
      <c r="BF1552" s="2">
        <v>19.683259967250201</v>
      </c>
      <c r="BG1552" s="2">
        <v>20.492730416171501</v>
      </c>
      <c r="BH1552" s="2">
        <v>21.784235687014299</v>
      </c>
      <c r="BI1552" s="2">
        <v>18.1970935126933</v>
      </c>
      <c r="BJ1552" s="2">
        <v>21.350217488493598</v>
      </c>
      <c r="BK1552" s="2">
        <v>22.2144321323008</v>
      </c>
      <c r="BL1552" s="2">
        <v>22.363364219593301</v>
      </c>
      <c r="BM1552" s="2">
        <v>21.8635761981458</v>
      </c>
      <c r="BN1552" s="2">
        <v>22.0442996071056</v>
      </c>
      <c r="BO1552" s="2">
        <v>19.133198390942098</v>
      </c>
      <c r="BP1552" s="2">
        <v>22.793877941683299</v>
      </c>
      <c r="BQ1552" s="2">
        <v>22.110244114607202</v>
      </c>
      <c r="BR1552" s="2">
        <v>19.522539580253198</v>
      </c>
      <c r="BS1552" s="2">
        <v>21.2815053591479</v>
      </c>
      <c r="BT1552" s="2">
        <v>22.280327767894299</v>
      </c>
      <c r="BU1552" s="2">
        <v>20.328499102179201</v>
      </c>
      <c r="BV1552" s="2">
        <v>22.9538325827031</v>
      </c>
      <c r="BW1552" s="2">
        <v>22.0739397125759</v>
      </c>
      <c r="BX1552" s="2">
        <v>22.3780634938765</v>
      </c>
      <c r="BY1552" s="2">
        <v>22.6369766144362</v>
      </c>
      <c r="BZ1552" s="2">
        <v>20.8511040288376</v>
      </c>
      <c r="CA1552" s="2">
        <v>22.0155600136037</v>
      </c>
      <c r="CB1552" s="2">
        <v>20.7434856730235</v>
      </c>
      <c r="CC1552" s="2">
        <v>21.2073178236266</v>
      </c>
      <c r="CD1552" s="2">
        <v>20.986822353702099</v>
      </c>
      <c r="CE1552" s="2">
        <v>22.303897288318801</v>
      </c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</row>
    <row r="1553" spans="1:97">
      <c r="A1553" s="2" t="s">
        <v>13808</v>
      </c>
      <c r="B1553" s="2">
        <v>313.06468000000001</v>
      </c>
      <c r="C1553" s="2">
        <v>0.79</v>
      </c>
      <c r="D1553" s="2" t="s">
        <v>146</v>
      </c>
      <c r="E1553" s="2" t="s">
        <v>13809</v>
      </c>
      <c r="F1553" s="2" t="s">
        <v>13810</v>
      </c>
      <c r="G1553" s="2">
        <v>202167</v>
      </c>
      <c r="H1553" s="3" t="str">
        <f>HYPERLINK("https://cloud.oebiotech.com/#/lm/network/202167", "https://cloud.oebiotech.com/#/lm/network/202167")</f>
        <v>https://cloud.oebiotech.com/#/lm/network/202167</v>
      </c>
      <c r="I1553" s="2" t="s">
        <v>13811</v>
      </c>
      <c r="J1553" s="2"/>
      <c r="K1553" s="2"/>
      <c r="L1553" s="2">
        <v>30476</v>
      </c>
      <c r="M1553" s="2"/>
      <c r="N1553" s="2"/>
      <c r="O1553" s="2"/>
      <c r="P1553" s="2"/>
      <c r="Q1553" s="2"/>
      <c r="R1553" s="2"/>
      <c r="S1553" s="2"/>
      <c r="T1553" s="2" t="s">
        <v>13812</v>
      </c>
      <c r="U1553" s="2" t="s">
        <v>13813</v>
      </c>
      <c r="V1553" s="2" t="s">
        <v>385</v>
      </c>
      <c r="W1553" s="2" t="s">
        <v>386</v>
      </c>
      <c r="X1553" s="2" t="s">
        <v>2011</v>
      </c>
      <c r="Y1553" s="2" t="s">
        <v>388</v>
      </c>
      <c r="Z1553" s="2" t="s">
        <v>389</v>
      </c>
      <c r="AA1553" s="2" t="s">
        <v>2012</v>
      </c>
      <c r="AB1553" s="2" t="s">
        <v>8443</v>
      </c>
      <c r="AC1553" s="2">
        <v>43.57</v>
      </c>
      <c r="AD1553" s="2">
        <v>92.28</v>
      </c>
      <c r="AE1553" s="2">
        <v>35.69</v>
      </c>
      <c r="AF1553" s="2" t="s">
        <v>13814</v>
      </c>
      <c r="AG1553" s="2" t="s">
        <v>157</v>
      </c>
      <c r="AH1553" s="2" t="s">
        <v>13815</v>
      </c>
      <c r="AI1553" s="2">
        <v>1.6</v>
      </c>
      <c r="AJ1553" s="2">
        <v>29.279596374900098</v>
      </c>
      <c r="AK1553" s="2">
        <v>28.7030669982963</v>
      </c>
      <c r="AL1553" s="2">
        <v>29.171097506822999</v>
      </c>
      <c r="AM1553" s="2">
        <v>29.401119380952402</v>
      </c>
      <c r="AN1553" s="2">
        <v>28.482897092857399</v>
      </c>
      <c r="AO1553" s="2">
        <v>29.257521834133499</v>
      </c>
      <c r="AP1553" s="2">
        <v>29.359019251765002</v>
      </c>
      <c r="AQ1553" s="2">
        <v>29.261673882471399</v>
      </c>
      <c r="AR1553" s="2">
        <v>28.9157364147881</v>
      </c>
      <c r="AS1553" s="2">
        <v>29.121061065289599</v>
      </c>
      <c r="AT1553" s="2">
        <v>29.154701629805899</v>
      </c>
      <c r="AU1553" s="2">
        <v>29.381259030935301</v>
      </c>
      <c r="AV1553" s="2">
        <v>29.012276447916001</v>
      </c>
      <c r="AW1553" s="2">
        <v>29.0990356359397</v>
      </c>
      <c r="AX1553" s="2">
        <v>29.0084730896202</v>
      </c>
      <c r="AY1553" s="2">
        <v>27.841235414295099</v>
      </c>
      <c r="AZ1553" s="2">
        <v>28.993166763078399</v>
      </c>
      <c r="BA1553" s="2">
        <v>29.407012615476798</v>
      </c>
      <c r="BB1553" s="2">
        <v>29.303806318287499</v>
      </c>
      <c r="BC1553" s="2">
        <v>28.108350962112699</v>
      </c>
      <c r="BD1553" s="2">
        <v>29.5204849052041</v>
      </c>
      <c r="BE1553" s="2">
        <v>29.471802613320801</v>
      </c>
      <c r="BF1553" s="2">
        <v>21.778736641973801</v>
      </c>
      <c r="BG1553" s="2">
        <v>29.056164287238399</v>
      </c>
      <c r="BH1553" s="2">
        <v>29.257785773467401</v>
      </c>
      <c r="BI1553" s="2">
        <v>29.084028337789</v>
      </c>
      <c r="BJ1553" s="2">
        <v>29.073996706901902</v>
      </c>
      <c r="BK1553" s="2">
        <v>29.407064723177001</v>
      </c>
      <c r="BL1553" s="2">
        <v>29.247213727065699</v>
      </c>
      <c r="BM1553" s="2">
        <v>22.786092275935701</v>
      </c>
      <c r="BN1553" s="2">
        <v>29.100396747132798</v>
      </c>
      <c r="BO1553" s="2">
        <v>29.136001266648101</v>
      </c>
      <c r="BP1553" s="2">
        <v>28.954003387711101</v>
      </c>
      <c r="BQ1553" s="2">
        <v>29.278706518684</v>
      </c>
      <c r="BR1553" s="2">
        <v>29.135263100808601</v>
      </c>
      <c r="BS1553" s="2">
        <v>28.9281381445333</v>
      </c>
      <c r="BT1553" s="2">
        <v>28.8713922223744</v>
      </c>
      <c r="BU1553" s="2">
        <v>28.971526640241802</v>
      </c>
      <c r="BV1553" s="2">
        <v>29.1453813564843</v>
      </c>
      <c r="BW1553" s="2">
        <v>29.425008401283101</v>
      </c>
      <c r="BX1553" s="2">
        <v>29.252723730819699</v>
      </c>
      <c r="BY1553" s="2">
        <v>29.040396900526101</v>
      </c>
      <c r="BZ1553" s="2">
        <v>29.378189828705999</v>
      </c>
      <c r="CA1553" s="2">
        <v>29.2346987029287</v>
      </c>
      <c r="CB1553" s="2">
        <v>28.871978457372499</v>
      </c>
      <c r="CC1553" s="2">
        <v>29.2795266340969</v>
      </c>
      <c r="CD1553" s="2">
        <v>28.863974073810201</v>
      </c>
      <c r="CE1553" s="2">
        <v>28.801322359947001</v>
      </c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</row>
    <row r="1554" spans="1:97">
      <c r="A1554" s="2" t="s">
        <v>13816</v>
      </c>
      <c r="B1554" s="2">
        <v>261.14355999999998</v>
      </c>
      <c r="C1554" s="2">
        <v>3.6869999999999998</v>
      </c>
      <c r="D1554" s="2" t="s">
        <v>84</v>
      </c>
      <c r="E1554" s="2" t="s">
        <v>13817</v>
      </c>
      <c r="F1554" s="2" t="s">
        <v>13818</v>
      </c>
      <c r="G1554" s="2">
        <v>51188</v>
      </c>
      <c r="H1554" s="3" t="str">
        <f>HYPERLINK("https://cloud.oebiotech.com/#/lm/network/51188", "https://cloud.oebiotech.com/#/lm/network/51188")</f>
        <v>https://cloud.oebiotech.com/#/lm/network/51188</v>
      </c>
      <c r="I1554" s="2" t="s">
        <v>13819</v>
      </c>
      <c r="J1554" s="2">
        <v>62019</v>
      </c>
      <c r="K1554" s="2"/>
      <c r="L1554" s="2">
        <v>22885096</v>
      </c>
      <c r="M1554" s="2"/>
      <c r="N1554" s="2"/>
      <c r="O1554" s="2"/>
      <c r="P1554" s="2">
        <v>68434</v>
      </c>
      <c r="Q1554" s="2"/>
      <c r="R1554" s="2"/>
      <c r="S1554" s="2" t="s">
        <v>13820</v>
      </c>
      <c r="T1554" s="2" t="s">
        <v>13821</v>
      </c>
      <c r="U1554" s="2" t="s">
        <v>13822</v>
      </c>
      <c r="V1554" s="2" t="s">
        <v>115</v>
      </c>
      <c r="W1554" s="2" t="s">
        <v>116</v>
      </c>
      <c r="X1554" s="2" t="s">
        <v>117</v>
      </c>
      <c r="Y1554" s="2" t="s">
        <v>118</v>
      </c>
      <c r="Z1554" s="2" t="s">
        <v>119</v>
      </c>
      <c r="AA1554" s="2" t="s">
        <v>120</v>
      </c>
      <c r="AB1554" s="2" t="s">
        <v>5118</v>
      </c>
      <c r="AC1554" s="2">
        <v>43.55</v>
      </c>
      <c r="AD1554" s="2">
        <v>92.47</v>
      </c>
      <c r="AE1554" s="2">
        <v>46.92</v>
      </c>
      <c r="AF1554" s="2" t="s">
        <v>13823</v>
      </c>
      <c r="AG1554" s="2" t="s">
        <v>103</v>
      </c>
      <c r="AH1554" s="2" t="s">
        <v>2539</v>
      </c>
      <c r="AI1554" s="2">
        <v>3.45</v>
      </c>
      <c r="AJ1554" s="2">
        <v>20.820002264716301</v>
      </c>
      <c r="AK1554" s="2">
        <v>20.872103196790199</v>
      </c>
      <c r="AL1554" s="2">
        <v>20.963065738795901</v>
      </c>
      <c r="AM1554" s="2">
        <v>20.232350575058199</v>
      </c>
      <c r="AN1554" s="2">
        <v>20.513962287716801</v>
      </c>
      <c r="AO1554" s="2">
        <v>20.718483484925599</v>
      </c>
      <c r="AP1554" s="2">
        <v>20.725152288378801</v>
      </c>
      <c r="AQ1554" s="2">
        <v>21.108591147416799</v>
      </c>
      <c r="AR1554" s="2">
        <v>19.882369425719101</v>
      </c>
      <c r="AS1554" s="2">
        <v>18.985769962741401</v>
      </c>
      <c r="AT1554" s="2">
        <v>19.755533209314301</v>
      </c>
      <c r="AU1554" s="2">
        <v>20.033796629494201</v>
      </c>
      <c r="AV1554" s="2">
        <v>20.475618479830601</v>
      </c>
      <c r="AW1554" s="2">
        <v>20.3906830120054</v>
      </c>
      <c r="AX1554" s="2">
        <v>19.949969258629899</v>
      </c>
      <c r="AY1554" s="2">
        <v>19.751937479018199</v>
      </c>
      <c r="AZ1554" s="2">
        <v>20.478980689490498</v>
      </c>
      <c r="BA1554" s="2">
        <v>19.921209561759699</v>
      </c>
      <c r="BB1554" s="2">
        <v>20.443360108455799</v>
      </c>
      <c r="BC1554" s="2">
        <v>20.1423173892804</v>
      </c>
      <c r="BD1554" s="2">
        <v>19.408954178808099</v>
      </c>
      <c r="BE1554" s="2">
        <v>19.911099340859899</v>
      </c>
      <c r="BF1554" s="2">
        <v>20.305073798528301</v>
      </c>
      <c r="BG1554" s="2">
        <v>20.6318640373843</v>
      </c>
      <c r="BH1554" s="2">
        <v>20.309681110132299</v>
      </c>
      <c r="BI1554" s="2">
        <v>20.312764524597899</v>
      </c>
      <c r="BJ1554" s="2">
        <v>19.734460778982701</v>
      </c>
      <c r="BK1554" s="2">
        <v>20.2541478651776</v>
      </c>
      <c r="BL1554" s="2">
        <v>19.799176655213099</v>
      </c>
      <c r="BM1554" s="2">
        <v>21.5506163968662</v>
      </c>
      <c r="BN1554" s="2">
        <v>20.537379616539301</v>
      </c>
      <c r="BO1554" s="2">
        <v>20.556268349420801</v>
      </c>
      <c r="BP1554" s="2">
        <v>19.516891506417601</v>
      </c>
      <c r="BQ1554" s="2">
        <v>21.5731376304843</v>
      </c>
      <c r="BR1554" s="2">
        <v>20.843448270198898</v>
      </c>
      <c r="BS1554" s="2">
        <v>20.809860248591502</v>
      </c>
      <c r="BT1554" s="2">
        <v>20.008995059191701</v>
      </c>
      <c r="BU1554" s="2">
        <v>20.3134154187922</v>
      </c>
      <c r="BV1554" s="2">
        <v>20.801677718370101</v>
      </c>
      <c r="BW1554" s="2">
        <v>18.8750996348674</v>
      </c>
      <c r="BX1554" s="2">
        <v>20.7228175433664</v>
      </c>
      <c r="BY1554" s="2">
        <v>21.571540823577202</v>
      </c>
      <c r="BZ1554" s="2">
        <v>20.826651899858799</v>
      </c>
      <c r="CA1554" s="2">
        <v>20.308354874418001</v>
      </c>
      <c r="CB1554" s="2">
        <v>19.897619012900801</v>
      </c>
      <c r="CC1554" s="2">
        <v>20.710820833476301</v>
      </c>
      <c r="CD1554" s="2">
        <v>21.1520551812342</v>
      </c>
      <c r="CE1554" s="2">
        <v>21.1722806124125</v>
      </c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</row>
    <row r="1555" spans="1:97">
      <c r="A1555" s="2" t="s">
        <v>13824</v>
      </c>
      <c r="B1555" s="2">
        <v>331.20434</v>
      </c>
      <c r="C1555" s="2">
        <v>5.5949999999999998</v>
      </c>
      <c r="D1555" s="2" t="s">
        <v>84</v>
      </c>
      <c r="E1555" s="2" t="s">
        <v>13825</v>
      </c>
      <c r="F1555" s="2" t="s">
        <v>13826</v>
      </c>
      <c r="G1555" s="2">
        <v>8815</v>
      </c>
      <c r="H1555" s="3" t="str">
        <f>HYPERLINK("https://cloud.oebiotech.com/#/lm/network/8815", "https://cloud.oebiotech.com/#/lm/network/8815")</f>
        <v>https://cloud.oebiotech.com/#/lm/network/8815</v>
      </c>
      <c r="I1555" s="2"/>
      <c r="J1555" s="2"/>
      <c r="K1555" s="2" t="s">
        <v>13827</v>
      </c>
      <c r="L1555" s="2">
        <v>10935915</v>
      </c>
      <c r="M1555" s="2"/>
      <c r="N1555" s="2"/>
      <c r="O1555" s="2"/>
      <c r="P1555" s="2"/>
      <c r="Q1555" s="2"/>
      <c r="R1555" s="2"/>
      <c r="S1555" s="2"/>
      <c r="T1555" s="2" t="s">
        <v>13828</v>
      </c>
      <c r="U1555" s="2" t="s">
        <v>13829</v>
      </c>
      <c r="V1555" s="2" t="s">
        <v>115</v>
      </c>
      <c r="W1555" s="2" t="s">
        <v>116</v>
      </c>
      <c r="X1555" s="2" t="s">
        <v>117</v>
      </c>
      <c r="Y1555" s="2" t="s">
        <v>118</v>
      </c>
      <c r="Z1555" s="2" t="s">
        <v>119</v>
      </c>
      <c r="AA1555" s="2" t="s">
        <v>120</v>
      </c>
      <c r="AB1555" s="2" t="s">
        <v>8443</v>
      </c>
      <c r="AC1555" s="2">
        <v>43.55</v>
      </c>
      <c r="AD1555" s="2">
        <v>94.56</v>
      </c>
      <c r="AE1555" s="2">
        <v>35.950000000000003</v>
      </c>
      <c r="AF1555" s="2" t="s">
        <v>13830</v>
      </c>
      <c r="AG1555" s="2" t="s">
        <v>132</v>
      </c>
      <c r="AH1555" s="2" t="s">
        <v>13831</v>
      </c>
      <c r="AI1555" s="2">
        <v>2.11</v>
      </c>
      <c r="AJ1555" s="2">
        <v>21.061557618473699</v>
      </c>
      <c r="AK1555" s="2">
        <v>21.150853368257099</v>
      </c>
      <c r="AL1555" s="2">
        <v>21.083812142153</v>
      </c>
      <c r="AM1555" s="2">
        <v>21.226088684062098</v>
      </c>
      <c r="AN1555" s="2">
        <v>21.156366855962201</v>
      </c>
      <c r="AO1555" s="2">
        <v>21.035408662000801</v>
      </c>
      <c r="AP1555" s="2">
        <v>21.047570044539601</v>
      </c>
      <c r="AQ1555" s="2">
        <v>21.143704605059199</v>
      </c>
      <c r="AR1555" s="2">
        <v>21.0832686808677</v>
      </c>
      <c r="AS1555" s="2">
        <v>20.880633934680699</v>
      </c>
      <c r="AT1555" s="2">
        <v>19.7046498006322</v>
      </c>
      <c r="AU1555" s="2">
        <v>20.462703675726299</v>
      </c>
      <c r="AV1555" s="2">
        <v>19.7393872721379</v>
      </c>
      <c r="AW1555" s="2">
        <v>20.5294212028769</v>
      </c>
      <c r="AX1555" s="2">
        <v>19.9743923500276</v>
      </c>
      <c r="AY1555" s="2">
        <v>20.106275154808401</v>
      </c>
      <c r="AZ1555" s="2">
        <v>19.953297399523102</v>
      </c>
      <c r="BA1555" s="2">
        <v>18.9721897548181</v>
      </c>
      <c r="BB1555" s="2">
        <v>20.3506004707505</v>
      </c>
      <c r="BC1555" s="2">
        <v>21.331258786791501</v>
      </c>
      <c r="BD1555" s="2">
        <v>20.216776012688001</v>
      </c>
      <c r="BE1555" s="2">
        <v>19.711102016424899</v>
      </c>
      <c r="BF1555" s="2">
        <v>19.084646889247999</v>
      </c>
      <c r="BG1555" s="2">
        <v>18.803450153119101</v>
      </c>
      <c r="BH1555" s="2">
        <v>19.031548374537699</v>
      </c>
      <c r="BI1555" s="2">
        <v>18.217292684862102</v>
      </c>
      <c r="BJ1555" s="2">
        <v>20.957170627249901</v>
      </c>
      <c r="BK1555" s="2">
        <v>19.398229180904099</v>
      </c>
      <c r="BL1555" s="2">
        <v>19.196847792514099</v>
      </c>
      <c r="BM1555" s="2">
        <v>19.5014422747082</v>
      </c>
      <c r="BN1555" s="2">
        <v>19.930229790984701</v>
      </c>
      <c r="BO1555" s="2">
        <v>19.951356679996799</v>
      </c>
      <c r="BP1555" s="2">
        <v>18.9422087856723</v>
      </c>
      <c r="BQ1555" s="2">
        <v>20.356116260491302</v>
      </c>
      <c r="BR1555" s="2">
        <v>20.4546247959751</v>
      </c>
      <c r="BS1555" s="2">
        <v>19.625984993149</v>
      </c>
      <c r="BT1555" s="2">
        <v>19.881958892925599</v>
      </c>
      <c r="BU1555" s="2">
        <v>18.636451225615801</v>
      </c>
      <c r="BV1555" s="2">
        <v>19.995607763173901</v>
      </c>
      <c r="BW1555" s="2">
        <v>18.818903859713298</v>
      </c>
      <c r="BX1555" s="2">
        <v>19.772021296911401</v>
      </c>
      <c r="BY1555" s="2">
        <v>16.516656482883</v>
      </c>
      <c r="BZ1555" s="2">
        <v>21.8262595444757</v>
      </c>
      <c r="CA1555" s="2">
        <v>18.9015791490454</v>
      </c>
      <c r="CB1555" s="2">
        <v>20.050548992419401</v>
      </c>
      <c r="CC1555" s="2">
        <v>19.6686685125384</v>
      </c>
      <c r="CD1555" s="2">
        <v>19.202349346902199</v>
      </c>
      <c r="CE1555" s="2">
        <v>19.330203466241699</v>
      </c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</row>
    <row r="1556" spans="1:97">
      <c r="A1556" s="2" t="s">
        <v>13832</v>
      </c>
      <c r="B1556" s="2">
        <v>649.44892000000004</v>
      </c>
      <c r="C1556" s="2">
        <v>11.956</v>
      </c>
      <c r="D1556" s="2" t="s">
        <v>84</v>
      </c>
      <c r="E1556" s="2" t="s">
        <v>13833</v>
      </c>
      <c r="F1556" s="2" t="s">
        <v>13834</v>
      </c>
      <c r="G1556" s="2">
        <v>20927</v>
      </c>
      <c r="H1556" s="3" t="str">
        <f>HYPERLINK("https://cloud.oebiotech.com/#/lm/network/20927", "https://cloud.oebiotech.com/#/lm/network/20927")</f>
        <v>https://cloud.oebiotech.com/#/lm/network/20927</v>
      </c>
      <c r="I1556" s="2" t="s">
        <v>13835</v>
      </c>
      <c r="J1556" s="2">
        <v>60299</v>
      </c>
      <c r="K1556" s="2" t="s">
        <v>13836</v>
      </c>
      <c r="L1556" s="2">
        <v>52924935</v>
      </c>
      <c r="M1556" s="2" t="s">
        <v>13837</v>
      </c>
      <c r="N1556" s="2" t="s">
        <v>13838</v>
      </c>
      <c r="O1556" s="2" t="s">
        <v>13839</v>
      </c>
      <c r="P1556" s="2"/>
      <c r="Q1556" s="2"/>
      <c r="R1556" s="2"/>
      <c r="S1556" s="2"/>
      <c r="T1556" s="2" t="s">
        <v>13840</v>
      </c>
      <c r="U1556" s="2" t="s">
        <v>13841</v>
      </c>
      <c r="V1556" s="2" t="s">
        <v>95</v>
      </c>
      <c r="W1556" s="2" t="s">
        <v>202</v>
      </c>
      <c r="X1556" s="2" t="s">
        <v>327</v>
      </c>
      <c r="Y1556" s="2" t="s">
        <v>98</v>
      </c>
      <c r="Z1556" s="2" t="s">
        <v>204</v>
      </c>
      <c r="AA1556" s="2" t="s">
        <v>328</v>
      </c>
      <c r="AB1556" s="2" t="s">
        <v>3086</v>
      </c>
      <c r="AC1556" s="2">
        <v>43.54</v>
      </c>
      <c r="AD1556" s="2">
        <v>76.13</v>
      </c>
      <c r="AE1556" s="2">
        <v>0</v>
      </c>
      <c r="AF1556" s="2" t="s">
        <v>5614</v>
      </c>
      <c r="AG1556" s="2" t="s">
        <v>132</v>
      </c>
      <c r="AH1556" s="2" t="s">
        <v>13842</v>
      </c>
      <c r="AI1556" s="2">
        <v>9.5500000000000007</v>
      </c>
      <c r="AJ1556" s="2">
        <v>18.1132848427402</v>
      </c>
      <c r="AK1556" s="2">
        <v>18.445461010390702</v>
      </c>
      <c r="AL1556" s="2">
        <v>17.676902224221301</v>
      </c>
      <c r="AM1556" s="2">
        <v>18.341323271304301</v>
      </c>
      <c r="AN1556" s="2">
        <v>18.384701596347401</v>
      </c>
      <c r="AO1556" s="2">
        <v>18.3848322224027</v>
      </c>
      <c r="AP1556" s="2">
        <v>18.388005803963601</v>
      </c>
      <c r="AQ1556" s="2">
        <v>18.236305751919598</v>
      </c>
      <c r="AR1556" s="2">
        <v>18.134310697025299</v>
      </c>
      <c r="AS1556" s="2">
        <v>16.4689568068965</v>
      </c>
      <c r="AT1556" s="2">
        <v>15.700292861825201</v>
      </c>
      <c r="AU1556" s="2">
        <v>18.102828644788001</v>
      </c>
      <c r="AV1556" s="2">
        <v>16.079129733158901</v>
      </c>
      <c r="AW1556" s="2">
        <v>18.3172913299952</v>
      </c>
      <c r="AX1556" s="2">
        <v>16.072801278715801</v>
      </c>
      <c r="AY1556" s="2">
        <v>17.000679625400899</v>
      </c>
      <c r="AZ1556" s="2">
        <v>9.6233145402724691</v>
      </c>
      <c r="BA1556" s="2">
        <v>18.820459464721502</v>
      </c>
      <c r="BB1556" s="2">
        <v>18.276566998973099</v>
      </c>
      <c r="BC1556" s="2">
        <v>19.506727482054401</v>
      </c>
      <c r="BD1556" s="2">
        <v>14.9686011001215</v>
      </c>
      <c r="BE1556" s="2">
        <v>9.6233145402724691</v>
      </c>
      <c r="BF1556" s="2">
        <v>17.572230584433399</v>
      </c>
      <c r="BG1556" s="2">
        <v>17.567079369475</v>
      </c>
      <c r="BH1556" s="2">
        <v>16.422846627476201</v>
      </c>
      <c r="BI1556" s="2">
        <v>18.418460924680801</v>
      </c>
      <c r="BJ1556" s="2">
        <v>16.891609525243901</v>
      </c>
      <c r="BK1556" s="2">
        <v>16.641778283986</v>
      </c>
      <c r="BL1556" s="2">
        <v>19.1092054852944</v>
      </c>
      <c r="BM1556" s="2">
        <v>9.6233145402724691</v>
      </c>
      <c r="BN1556" s="2">
        <v>15.252139846881001</v>
      </c>
      <c r="BO1556" s="2">
        <v>18.632442717405802</v>
      </c>
      <c r="BP1556" s="2">
        <v>16.662672825526201</v>
      </c>
      <c r="BQ1556" s="2">
        <v>15.340506983609201</v>
      </c>
      <c r="BR1556" s="2">
        <v>17.3473667742334</v>
      </c>
      <c r="BS1556" s="2">
        <v>16.398296788012502</v>
      </c>
      <c r="BT1556" s="2">
        <v>17.095616142659701</v>
      </c>
      <c r="BU1556" s="2">
        <v>9.6233145402724691</v>
      </c>
      <c r="BV1556" s="2">
        <v>19.142987850736699</v>
      </c>
      <c r="BW1556" s="2">
        <v>15.429572814506001</v>
      </c>
      <c r="BX1556" s="2">
        <v>16.6998168308108</v>
      </c>
      <c r="BY1556" s="2">
        <v>15.4362401300992</v>
      </c>
      <c r="BZ1556" s="2">
        <v>16.897068087280498</v>
      </c>
      <c r="CA1556" s="2">
        <v>15.093564467501899</v>
      </c>
      <c r="CB1556" s="2">
        <v>17.663097112522699</v>
      </c>
      <c r="CC1556" s="2">
        <v>9.6233145402724691</v>
      </c>
      <c r="CD1556" s="2">
        <v>15.1532784922041</v>
      </c>
      <c r="CE1556" s="2">
        <v>18.997133905232602</v>
      </c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</row>
    <row r="1557" spans="1:97">
      <c r="A1557" s="2" t="s">
        <v>13843</v>
      </c>
      <c r="B1557" s="2">
        <v>400.22185999999999</v>
      </c>
      <c r="C1557" s="2">
        <v>9.125</v>
      </c>
      <c r="D1557" s="2" t="s">
        <v>84</v>
      </c>
      <c r="E1557" s="2" t="s">
        <v>13844</v>
      </c>
      <c r="F1557" s="2" t="s">
        <v>13845</v>
      </c>
      <c r="G1557" s="2">
        <v>53717</v>
      </c>
      <c r="H1557" s="3" t="str">
        <f>HYPERLINK("https://cloud.oebiotech.com/#/lm/network/53717", "https://cloud.oebiotech.com/#/lm/network/53717")</f>
        <v>https://cloud.oebiotech.com/#/lm/network/53717</v>
      </c>
      <c r="I1557" s="2" t="s">
        <v>13846</v>
      </c>
      <c r="J1557" s="2">
        <v>85594</v>
      </c>
      <c r="K1557" s="2"/>
      <c r="L1557" s="2">
        <v>5502</v>
      </c>
      <c r="M1557" s="2"/>
      <c r="N1557" s="2"/>
      <c r="O1557" s="2"/>
      <c r="P1557" s="2"/>
      <c r="Q1557" s="2"/>
      <c r="R1557" s="2"/>
      <c r="S1557" s="2" t="s">
        <v>13847</v>
      </c>
      <c r="T1557" s="2" t="s">
        <v>13848</v>
      </c>
      <c r="U1557" s="2" t="s">
        <v>13849</v>
      </c>
      <c r="V1557" s="2" t="s">
        <v>553</v>
      </c>
      <c r="W1557" s="2" t="s">
        <v>12477</v>
      </c>
      <c r="X1557" s="2" t="s">
        <v>375</v>
      </c>
      <c r="Y1557" s="2" t="s">
        <v>556</v>
      </c>
      <c r="Z1557" s="2" t="s">
        <v>12478</v>
      </c>
      <c r="AA1557" s="2"/>
      <c r="AB1557" s="2" t="s">
        <v>8443</v>
      </c>
      <c r="AC1557" s="2">
        <v>43.52</v>
      </c>
      <c r="AD1557" s="2">
        <v>85.7</v>
      </c>
      <c r="AE1557" s="2">
        <v>0</v>
      </c>
      <c r="AF1557" s="2" t="s">
        <v>13850</v>
      </c>
      <c r="AG1557" s="2" t="s">
        <v>132</v>
      </c>
      <c r="AH1557" s="2" t="s">
        <v>13851</v>
      </c>
      <c r="AI1557" s="2">
        <v>3</v>
      </c>
      <c r="AJ1557" s="2">
        <v>19.617166214719699</v>
      </c>
      <c r="AK1557" s="2">
        <v>19.308918710778698</v>
      </c>
      <c r="AL1557" s="2">
        <v>20.0506941490763</v>
      </c>
      <c r="AM1557" s="2">
        <v>19.5801209487901</v>
      </c>
      <c r="AN1557" s="2">
        <v>19.4220909103474</v>
      </c>
      <c r="AO1557" s="2">
        <v>19.729537801338299</v>
      </c>
      <c r="AP1557" s="2">
        <v>19.847914535979299</v>
      </c>
      <c r="AQ1557" s="2">
        <v>19.745759051358299</v>
      </c>
      <c r="AR1557" s="2">
        <v>19.416050864074901</v>
      </c>
      <c r="AS1557" s="2">
        <v>19.502460572736201</v>
      </c>
      <c r="AT1557" s="2">
        <v>19.431252268601199</v>
      </c>
      <c r="AU1557" s="2">
        <v>19.380197253469301</v>
      </c>
      <c r="AV1557" s="2">
        <v>19.130508424875</v>
      </c>
      <c r="AW1557" s="2">
        <v>19.338736839508499</v>
      </c>
      <c r="AX1557" s="2">
        <v>19.6670470578607</v>
      </c>
      <c r="AY1557" s="2">
        <v>19.2060968965007</v>
      </c>
      <c r="AZ1557" s="2">
        <v>19.9976016288092</v>
      </c>
      <c r="BA1557" s="2">
        <v>19.080416194133601</v>
      </c>
      <c r="BB1557" s="2">
        <v>20.0215105924593</v>
      </c>
      <c r="BC1557" s="2">
        <v>20.853186459569901</v>
      </c>
      <c r="BD1557" s="2">
        <v>19.097472612396398</v>
      </c>
      <c r="BE1557" s="2">
        <v>19.600151315676602</v>
      </c>
      <c r="BF1557" s="2">
        <v>19.9695557739905</v>
      </c>
      <c r="BG1557" s="2">
        <v>20.0701296467535</v>
      </c>
      <c r="BH1557" s="2">
        <v>19.477517511323001</v>
      </c>
      <c r="BI1557" s="2">
        <v>20.287433596883101</v>
      </c>
      <c r="BJ1557" s="2">
        <v>20.3452564671848</v>
      </c>
      <c r="BK1557" s="2">
        <v>19.7268585178509</v>
      </c>
      <c r="BL1557" s="2">
        <v>19.056940467272799</v>
      </c>
      <c r="BM1557" s="2">
        <v>19.265535066472701</v>
      </c>
      <c r="BN1557" s="2">
        <v>18.970465946334301</v>
      </c>
      <c r="BO1557" s="2">
        <v>18.4841423018133</v>
      </c>
      <c r="BP1557" s="2">
        <v>18.9917234211226</v>
      </c>
      <c r="BQ1557" s="2">
        <v>19.4660995690652</v>
      </c>
      <c r="BR1557" s="2">
        <v>20.0379717276208</v>
      </c>
      <c r="BS1557" s="2">
        <v>19.445503970392298</v>
      </c>
      <c r="BT1557" s="2">
        <v>19.553885625777401</v>
      </c>
      <c r="BU1557" s="2">
        <v>20.491826483871002</v>
      </c>
      <c r="BV1557" s="2">
        <v>19.8819511433652</v>
      </c>
      <c r="BW1557" s="2">
        <v>18.998010674754099</v>
      </c>
      <c r="BX1557" s="2">
        <v>19.352141817801801</v>
      </c>
      <c r="BY1557" s="2">
        <v>20.6682449780273</v>
      </c>
      <c r="BZ1557" s="2">
        <v>19.358613172384299</v>
      </c>
      <c r="CA1557" s="2">
        <v>18.922706399031799</v>
      </c>
      <c r="CB1557" s="2">
        <v>19.273599844671999</v>
      </c>
      <c r="CC1557" s="2">
        <v>19.757996132602798</v>
      </c>
      <c r="CD1557" s="2">
        <v>20.555903374538001</v>
      </c>
      <c r="CE1557" s="2">
        <v>19.493837530340599</v>
      </c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</row>
    <row r="1558" spans="1:97">
      <c r="A1558" s="2" t="s">
        <v>13852</v>
      </c>
      <c r="B1558" s="2">
        <v>719.30094999999994</v>
      </c>
      <c r="C1558" s="2">
        <v>10.045999999999999</v>
      </c>
      <c r="D1558" s="2" t="s">
        <v>146</v>
      </c>
      <c r="E1558" s="2" t="s">
        <v>13853</v>
      </c>
      <c r="F1558" s="2" t="s">
        <v>13854</v>
      </c>
      <c r="G1558" s="2">
        <v>52850</v>
      </c>
      <c r="H1558" s="3" t="str">
        <f>HYPERLINK("https://cloud.oebiotech.com/#/lm/network/52850", "https://cloud.oebiotech.com/#/lm/network/52850")</f>
        <v>https://cloud.oebiotech.com/#/lm/network/52850</v>
      </c>
      <c r="I1558" s="2" t="s">
        <v>13855</v>
      </c>
      <c r="J1558" s="2">
        <v>43377</v>
      </c>
      <c r="K1558" s="2"/>
      <c r="L1558" s="2">
        <v>392622</v>
      </c>
      <c r="M1558" s="2" t="s">
        <v>13856</v>
      </c>
      <c r="N1558" s="2"/>
      <c r="O1558" s="2"/>
      <c r="P1558" s="2">
        <v>45409</v>
      </c>
      <c r="Q1558" s="2"/>
      <c r="R1558" s="2"/>
      <c r="S1558" s="2" t="s">
        <v>13857</v>
      </c>
      <c r="T1558" s="2" t="s">
        <v>13858</v>
      </c>
      <c r="U1558" s="2" t="s">
        <v>13859</v>
      </c>
      <c r="V1558" s="2" t="s">
        <v>115</v>
      </c>
      <c r="W1558" s="2" t="s">
        <v>116</v>
      </c>
      <c r="X1558" s="2" t="s">
        <v>117</v>
      </c>
      <c r="Y1558" s="2" t="s">
        <v>118</v>
      </c>
      <c r="Z1558" s="2" t="s">
        <v>119</v>
      </c>
      <c r="AA1558" s="2" t="s">
        <v>120</v>
      </c>
      <c r="AB1558" s="2" t="s">
        <v>8443</v>
      </c>
      <c r="AC1558" s="2">
        <v>43.52</v>
      </c>
      <c r="AD1558" s="2">
        <v>77.58</v>
      </c>
      <c r="AE1558" s="2">
        <v>35.47</v>
      </c>
      <c r="AF1558" s="2" t="s">
        <v>13860</v>
      </c>
      <c r="AG1558" s="2" t="s">
        <v>194</v>
      </c>
      <c r="AH1558" s="2" t="s">
        <v>13861</v>
      </c>
      <c r="AI1558" s="2">
        <v>6.4</v>
      </c>
      <c r="AJ1558" s="2">
        <v>20.163741465373501</v>
      </c>
      <c r="AK1558" s="2">
        <v>19.996883654343598</v>
      </c>
      <c r="AL1558" s="2">
        <v>20.061022048341901</v>
      </c>
      <c r="AM1558" s="2">
        <v>19.939631766660099</v>
      </c>
      <c r="AN1558" s="2">
        <v>19.964799577005898</v>
      </c>
      <c r="AO1558" s="2">
        <v>19.915843922998</v>
      </c>
      <c r="AP1558" s="2">
        <v>19.284736323366499</v>
      </c>
      <c r="AQ1558" s="2">
        <v>19.9057004949195</v>
      </c>
      <c r="AR1558" s="2">
        <v>20.212961104803298</v>
      </c>
      <c r="AS1558" s="2">
        <v>20.036445501134001</v>
      </c>
      <c r="AT1558" s="2">
        <v>19.929464495272601</v>
      </c>
      <c r="AU1558" s="2">
        <v>20.084348819336999</v>
      </c>
      <c r="AV1558" s="2">
        <v>20.004846521523099</v>
      </c>
      <c r="AW1558" s="2">
        <v>20.0547603397141</v>
      </c>
      <c r="AX1558" s="2">
        <v>20.073281278716799</v>
      </c>
      <c r="AY1558" s="2">
        <v>19.454429410997601</v>
      </c>
      <c r="AZ1558" s="2">
        <v>19.4307650445731</v>
      </c>
      <c r="BA1558" s="2">
        <v>20.001403149899598</v>
      </c>
      <c r="BB1558" s="2">
        <v>19.8756429502969</v>
      </c>
      <c r="BC1558" s="2">
        <v>19.8558235506007</v>
      </c>
      <c r="BD1558" s="2">
        <v>19.949244150847001</v>
      </c>
      <c r="BE1558" s="2">
        <v>19.8357191835665</v>
      </c>
      <c r="BF1558" s="2">
        <v>19.053698030242501</v>
      </c>
      <c r="BG1558" s="2">
        <v>19.986790175181099</v>
      </c>
      <c r="BH1558" s="2">
        <v>19.980073707420399</v>
      </c>
      <c r="BI1558" s="2">
        <v>19.762616557519902</v>
      </c>
      <c r="BJ1558" s="2">
        <v>18.976973598943601</v>
      </c>
      <c r="BK1558" s="2">
        <v>19.8893880397858</v>
      </c>
      <c r="BL1558" s="2">
        <v>19.8451679629732</v>
      </c>
      <c r="BM1558" s="2">
        <v>20.047483158893399</v>
      </c>
      <c r="BN1558" s="2">
        <v>19.866331687464399</v>
      </c>
      <c r="BO1558" s="2">
        <v>20.113780324881301</v>
      </c>
      <c r="BP1558" s="2">
        <v>19.999112764552098</v>
      </c>
      <c r="BQ1558" s="2">
        <v>19.868770010811701</v>
      </c>
      <c r="BR1558" s="2">
        <v>19.845466972662098</v>
      </c>
      <c r="BS1558" s="2">
        <v>19.921061556816401</v>
      </c>
      <c r="BT1558" s="2">
        <v>19.7159017639048</v>
      </c>
      <c r="BU1558" s="2">
        <v>19.877382954101801</v>
      </c>
      <c r="BV1558" s="2">
        <v>19.727720223269198</v>
      </c>
      <c r="BW1558" s="2">
        <v>19.9354633160475</v>
      </c>
      <c r="BX1558" s="2">
        <v>19.993018152162701</v>
      </c>
      <c r="BY1558" s="2">
        <v>19.882126371806802</v>
      </c>
      <c r="BZ1558" s="2">
        <v>19.861676682754499</v>
      </c>
      <c r="CA1558" s="2">
        <v>19.242714117170902</v>
      </c>
      <c r="CB1558" s="2">
        <v>19.847410349424301</v>
      </c>
      <c r="CC1558" s="2">
        <v>19.805927471621601</v>
      </c>
      <c r="CD1558" s="2">
        <v>19.736825227481098</v>
      </c>
      <c r="CE1558" s="2">
        <v>19.8346970860614</v>
      </c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</row>
    <row r="1559" spans="1:97">
      <c r="A1559" s="2" t="s">
        <v>13862</v>
      </c>
      <c r="B1559" s="2">
        <v>433.14478000000003</v>
      </c>
      <c r="C1559" s="2">
        <v>4.3280000000000003</v>
      </c>
      <c r="D1559" s="2" t="s">
        <v>146</v>
      </c>
      <c r="E1559" s="2" t="s">
        <v>13863</v>
      </c>
      <c r="F1559" s="2" t="s">
        <v>13864</v>
      </c>
      <c r="G1559" s="2">
        <v>199934</v>
      </c>
      <c r="H1559" s="3" t="str">
        <f>HYPERLINK("https://cloud.oebiotech.com/#/lm/network/199934", "https://cloud.oebiotech.com/#/lm/network/199934")</f>
        <v>https://cloud.oebiotech.com/#/lm/network/199934</v>
      </c>
      <c r="I1559" s="2" t="s">
        <v>13865</v>
      </c>
      <c r="J1559" s="2"/>
      <c r="K1559" s="2"/>
      <c r="L1559" s="2">
        <v>104929</v>
      </c>
      <c r="M1559" s="2"/>
      <c r="N1559" s="2"/>
      <c r="O1559" s="2"/>
      <c r="P1559" s="2"/>
      <c r="Q1559" s="2"/>
      <c r="R1559" s="2"/>
      <c r="S1559" s="2"/>
      <c r="T1559" s="2" t="s">
        <v>13866</v>
      </c>
      <c r="U1559" s="2" t="s">
        <v>13867</v>
      </c>
      <c r="V1559" s="2" t="s">
        <v>553</v>
      </c>
      <c r="W1559" s="2" t="s">
        <v>12477</v>
      </c>
      <c r="X1559" s="2" t="s">
        <v>13868</v>
      </c>
      <c r="Y1559" s="2" t="s">
        <v>556</v>
      </c>
      <c r="Z1559" s="2" t="s">
        <v>12478</v>
      </c>
      <c r="AA1559" s="2" t="s">
        <v>13869</v>
      </c>
      <c r="AB1559" s="2" t="s">
        <v>5118</v>
      </c>
      <c r="AC1559" s="2">
        <v>43.51</v>
      </c>
      <c r="AD1559" s="2">
        <v>63.21</v>
      </c>
      <c r="AE1559" s="2">
        <v>77.58</v>
      </c>
      <c r="AF1559" s="2" t="s">
        <v>13870</v>
      </c>
      <c r="AG1559" s="2" t="s">
        <v>4062</v>
      </c>
      <c r="AH1559" s="2" t="s">
        <v>13871</v>
      </c>
      <c r="AI1559" s="2">
        <v>-2.54</v>
      </c>
      <c r="AJ1559" s="2">
        <v>17.218668990094201</v>
      </c>
      <c r="AK1559" s="2">
        <v>17.283392530891</v>
      </c>
      <c r="AL1559" s="2">
        <v>17.153235536644299</v>
      </c>
      <c r="AM1559" s="2">
        <v>17.304622265039001</v>
      </c>
      <c r="AN1559" s="2">
        <v>17.1379565362218</v>
      </c>
      <c r="AO1559" s="2">
        <v>17.395713356696699</v>
      </c>
      <c r="AP1559" s="2">
        <v>17.254964557660699</v>
      </c>
      <c r="AQ1559" s="2">
        <v>17.315631465339099</v>
      </c>
      <c r="AR1559" s="2">
        <v>12.3143056672901</v>
      </c>
      <c r="AS1559" s="2">
        <v>13.575586516539801</v>
      </c>
      <c r="AT1559" s="2">
        <v>16.127691108815501</v>
      </c>
      <c r="AU1559" s="2">
        <v>12.900942260769201</v>
      </c>
      <c r="AV1559" s="2">
        <v>16.819970607404599</v>
      </c>
      <c r="AW1559" s="2">
        <v>15.6955227500462</v>
      </c>
      <c r="AX1559" s="2">
        <v>16.692754970002301</v>
      </c>
      <c r="AY1559" s="2">
        <v>16.596874594127002</v>
      </c>
      <c r="AZ1559" s="2">
        <v>13.1213133406143</v>
      </c>
      <c r="BA1559" s="2">
        <v>15.2490756659375</v>
      </c>
      <c r="BB1559" s="2">
        <v>18.351228048923801</v>
      </c>
      <c r="BC1559" s="2">
        <v>19.242319473765601</v>
      </c>
      <c r="BD1559" s="2">
        <v>16.490623401241798</v>
      </c>
      <c r="BE1559" s="2">
        <v>18.303179306693</v>
      </c>
      <c r="BF1559" s="2">
        <v>17.575137613436901</v>
      </c>
      <c r="BG1559" s="2">
        <v>18.075484006792699</v>
      </c>
      <c r="BH1559" s="2">
        <v>16.484715606818501</v>
      </c>
      <c r="BI1559" s="2">
        <v>17.911933786248099</v>
      </c>
      <c r="BJ1559" s="2">
        <v>17.332615024852899</v>
      </c>
      <c r="BK1559" s="2">
        <v>15.822546682932799</v>
      </c>
      <c r="BL1559" s="2">
        <v>16.391422001797601</v>
      </c>
      <c r="BM1559" s="2">
        <v>17.6975395207166</v>
      </c>
      <c r="BN1559" s="2">
        <v>16.977611978868499</v>
      </c>
      <c r="BO1559" s="2">
        <v>16.302537900185101</v>
      </c>
      <c r="BP1559" s="2">
        <v>16.229513008233202</v>
      </c>
      <c r="BQ1559" s="2">
        <v>17.1499716301816</v>
      </c>
      <c r="BR1559" s="2">
        <v>16.310243185714501</v>
      </c>
      <c r="BS1559" s="2">
        <v>15.696251976310601</v>
      </c>
      <c r="BT1559" s="2">
        <v>12.690984465421</v>
      </c>
      <c r="BU1559" s="2">
        <v>15.0857392467853</v>
      </c>
      <c r="BV1559" s="2">
        <v>18.069240013004102</v>
      </c>
      <c r="BW1559" s="2">
        <v>16.462431017959801</v>
      </c>
      <c r="BX1559" s="2">
        <v>15.9147413235985</v>
      </c>
      <c r="BY1559" s="2">
        <v>17.8350043821548</v>
      </c>
      <c r="BZ1559" s="2">
        <v>16.844944771880701</v>
      </c>
      <c r="CA1559" s="2">
        <v>18.689198849300698</v>
      </c>
      <c r="CB1559" s="2">
        <v>16.013464658829399</v>
      </c>
      <c r="CC1559" s="2">
        <v>17.586354494026899</v>
      </c>
      <c r="CD1559" s="2">
        <v>18.002692522821</v>
      </c>
      <c r="CE1559" s="2">
        <v>17.879972479241001</v>
      </c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</row>
    <row r="1560" spans="1:97">
      <c r="A1560" s="2" t="s">
        <v>13872</v>
      </c>
      <c r="B1560" s="2">
        <v>481.18709999999999</v>
      </c>
      <c r="C1560" s="2">
        <v>6.5549999999999997</v>
      </c>
      <c r="D1560" s="2" t="s">
        <v>146</v>
      </c>
      <c r="E1560" s="2" t="s">
        <v>13873</v>
      </c>
      <c r="F1560" s="2" t="s">
        <v>13874</v>
      </c>
      <c r="G1560" s="2">
        <v>30987</v>
      </c>
      <c r="H1560" s="3" t="str">
        <f>HYPERLINK("https://cloud.oebiotech.com/#/lm/network/30987", "https://cloud.oebiotech.com/#/lm/network/30987")</f>
        <v>https://cloud.oebiotech.com/#/lm/network/30987</v>
      </c>
      <c r="I1560" s="2"/>
      <c r="J1560" s="2"/>
      <c r="K1560" s="2" t="s">
        <v>13875</v>
      </c>
      <c r="L1560" s="2">
        <v>44258292</v>
      </c>
      <c r="M1560" s="2"/>
      <c r="N1560" s="2"/>
      <c r="O1560" s="2"/>
      <c r="P1560" s="2"/>
      <c r="Q1560" s="2"/>
      <c r="R1560" s="2"/>
      <c r="S1560" s="2"/>
      <c r="T1560" s="2" t="s">
        <v>13876</v>
      </c>
      <c r="U1560" s="2" t="s">
        <v>13877</v>
      </c>
      <c r="V1560" s="2" t="s">
        <v>845</v>
      </c>
      <c r="W1560" s="2" t="s">
        <v>1853</v>
      </c>
      <c r="X1560" s="2" t="s">
        <v>11996</v>
      </c>
      <c r="Y1560" s="2" t="s">
        <v>847</v>
      </c>
      <c r="Z1560" s="2" t="s">
        <v>1855</v>
      </c>
      <c r="AA1560" s="2" t="s">
        <v>11997</v>
      </c>
      <c r="AB1560" s="2" t="s">
        <v>8443</v>
      </c>
      <c r="AC1560" s="2">
        <v>43.5</v>
      </c>
      <c r="AD1560" s="2">
        <v>81.96</v>
      </c>
      <c r="AE1560" s="2">
        <v>44.43</v>
      </c>
      <c r="AF1560" s="2" t="s">
        <v>13878</v>
      </c>
      <c r="AG1560" s="2" t="s">
        <v>157</v>
      </c>
      <c r="AH1560" s="2" t="s">
        <v>13879</v>
      </c>
      <c r="AI1560" s="2">
        <v>-0.62</v>
      </c>
      <c r="AJ1560" s="2">
        <v>18.7503183343307</v>
      </c>
      <c r="AK1560" s="2">
        <v>18.777973176624101</v>
      </c>
      <c r="AL1560" s="2">
        <v>18.671704214818799</v>
      </c>
      <c r="AM1560" s="2">
        <v>18.910423586952</v>
      </c>
      <c r="AN1560" s="2">
        <v>18.854164379169099</v>
      </c>
      <c r="AO1560" s="2">
        <v>18.8018380175799</v>
      </c>
      <c r="AP1560" s="2">
        <v>18.850474263654501</v>
      </c>
      <c r="AQ1560" s="2">
        <v>18.554374093618801</v>
      </c>
      <c r="AR1560" s="2">
        <v>17.213074973474001</v>
      </c>
      <c r="AS1560" s="2">
        <v>16.269510428537799</v>
      </c>
      <c r="AT1560" s="2">
        <v>18.889329450545301</v>
      </c>
      <c r="AU1560" s="2">
        <v>17.248812612913401</v>
      </c>
      <c r="AV1560" s="2">
        <v>18.668407096857202</v>
      </c>
      <c r="AW1560" s="2">
        <v>19.0569933709507</v>
      </c>
      <c r="AX1560" s="2">
        <v>17.998860226742401</v>
      </c>
      <c r="AY1560" s="2">
        <v>19.349741048273099</v>
      </c>
      <c r="AZ1560" s="2">
        <v>18.623920131072399</v>
      </c>
      <c r="BA1560" s="2">
        <v>19.106437240981499</v>
      </c>
      <c r="BB1560" s="2">
        <v>18.6326314326381</v>
      </c>
      <c r="BC1560" s="2">
        <v>20.436069443157301</v>
      </c>
      <c r="BD1560" s="2">
        <v>17.602040499704401</v>
      </c>
      <c r="BE1560" s="2">
        <v>19.754604181465599</v>
      </c>
      <c r="BF1560" s="2">
        <v>17.390626528776501</v>
      </c>
      <c r="BG1560" s="2">
        <v>18.649137321241302</v>
      </c>
      <c r="BH1560" s="2">
        <v>17.900986764274599</v>
      </c>
      <c r="BI1560" s="2">
        <v>14.7366260136722</v>
      </c>
      <c r="BJ1560" s="2">
        <v>18.844770422903299</v>
      </c>
      <c r="BK1560" s="2">
        <v>19.274825172200298</v>
      </c>
      <c r="BL1560" s="2">
        <v>19.096329674085499</v>
      </c>
      <c r="BM1560" s="2">
        <v>17.7506766986263</v>
      </c>
      <c r="BN1560" s="2">
        <v>18.082436403840301</v>
      </c>
      <c r="BO1560" s="2">
        <v>18.214318077184199</v>
      </c>
      <c r="BP1560" s="2">
        <v>18.853920804474999</v>
      </c>
      <c r="BQ1560" s="2">
        <v>18.170261675139901</v>
      </c>
      <c r="BR1560" s="2">
        <v>18.787286121581001</v>
      </c>
      <c r="BS1560" s="2">
        <v>18.129256851758601</v>
      </c>
      <c r="BT1560" s="2">
        <v>17.3776805330853</v>
      </c>
      <c r="BU1560" s="2">
        <v>19.132331407061699</v>
      </c>
      <c r="BV1560" s="2">
        <v>17.108232645789801</v>
      </c>
      <c r="BW1560" s="2">
        <v>18.747458274741</v>
      </c>
      <c r="BX1560" s="2">
        <v>18.105729817531699</v>
      </c>
      <c r="BY1560" s="2">
        <v>19.885677190972402</v>
      </c>
      <c r="BZ1560" s="2">
        <v>18.547283469789701</v>
      </c>
      <c r="CA1560" s="2">
        <v>15.6088147280658</v>
      </c>
      <c r="CB1560" s="2">
        <v>19.1726186106924</v>
      </c>
      <c r="CC1560" s="2">
        <v>17.8941625436664</v>
      </c>
      <c r="CD1560" s="2">
        <v>18.215835836090001</v>
      </c>
      <c r="CE1560" s="2">
        <v>19.8227000595395</v>
      </c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</row>
    <row r="1561" spans="1:97">
      <c r="A1561" s="2" t="s">
        <v>13880</v>
      </c>
      <c r="B1561" s="2">
        <v>849.70483999999999</v>
      </c>
      <c r="C1561" s="2">
        <v>10.022</v>
      </c>
      <c r="D1561" s="2" t="s">
        <v>146</v>
      </c>
      <c r="E1561" s="2" t="s">
        <v>13881</v>
      </c>
      <c r="F1561" s="2" t="s">
        <v>13882</v>
      </c>
      <c r="G1561" s="2">
        <v>65864</v>
      </c>
      <c r="H1561" s="3" t="str">
        <f>HYPERLINK("https://cloud.oebiotech.com/#/lm/network/65864", "https://cloud.oebiotech.com/#/lm/network/65864")</f>
        <v>https://cloud.oebiotech.com/#/lm/network/65864</v>
      </c>
      <c r="I1561" s="2" t="s">
        <v>13883</v>
      </c>
      <c r="J1561" s="2"/>
      <c r="K1561" s="2"/>
      <c r="L1561" s="2">
        <v>131754039</v>
      </c>
      <c r="M1561" s="2"/>
      <c r="N1561" s="2"/>
      <c r="O1561" s="2"/>
      <c r="P1561" s="2"/>
      <c r="Q1561" s="2"/>
      <c r="R1561" s="2"/>
      <c r="S1561" s="2"/>
      <c r="T1561" s="2" t="s">
        <v>13884</v>
      </c>
      <c r="U1561" s="2" t="s">
        <v>13885</v>
      </c>
      <c r="V1561" s="2" t="s">
        <v>95</v>
      </c>
      <c r="W1561" s="2" t="s">
        <v>7709</v>
      </c>
      <c r="X1561" s="2" t="s">
        <v>10776</v>
      </c>
      <c r="Y1561" s="2" t="s">
        <v>98</v>
      </c>
      <c r="Z1561" s="2" t="s">
        <v>7711</v>
      </c>
      <c r="AA1561" s="2" t="s">
        <v>10777</v>
      </c>
      <c r="AB1561" s="2" t="s">
        <v>5118</v>
      </c>
      <c r="AC1561" s="2">
        <v>43.5</v>
      </c>
      <c r="AD1561" s="2">
        <v>88.82</v>
      </c>
      <c r="AE1561" s="2">
        <v>85.12</v>
      </c>
      <c r="AF1561" s="2" t="s">
        <v>13886</v>
      </c>
      <c r="AG1561" s="2" t="s">
        <v>194</v>
      </c>
      <c r="AH1561" s="2" t="s">
        <v>13887</v>
      </c>
      <c r="AI1561" s="2">
        <v>-8.24</v>
      </c>
      <c r="AJ1561" s="2">
        <v>21.752941595084899</v>
      </c>
      <c r="AK1561" s="2">
        <v>21.9091716752718</v>
      </c>
      <c r="AL1561" s="2">
        <v>21.7276772191804</v>
      </c>
      <c r="AM1561" s="2">
        <v>21.66917335218</v>
      </c>
      <c r="AN1561" s="2">
        <v>21.850635209875499</v>
      </c>
      <c r="AO1561" s="2">
        <v>21.7512678378639</v>
      </c>
      <c r="AP1561" s="2">
        <v>21.717556207136099</v>
      </c>
      <c r="AQ1561" s="2">
        <v>21.781078506118401</v>
      </c>
      <c r="AR1561" s="2">
        <v>21.757399996033801</v>
      </c>
      <c r="AS1561" s="2">
        <v>22.014138738648001</v>
      </c>
      <c r="AT1561" s="2">
        <v>21.677469504719198</v>
      </c>
      <c r="AU1561" s="2">
        <v>21.753387478254901</v>
      </c>
      <c r="AV1561" s="2">
        <v>21.694161493406501</v>
      </c>
      <c r="AW1561" s="2">
        <v>21.634184790323399</v>
      </c>
      <c r="AX1561" s="2">
        <v>21.721294011062</v>
      </c>
      <c r="AY1561" s="2">
        <v>21.785155762249399</v>
      </c>
      <c r="AZ1561" s="2">
        <v>21.709659651723499</v>
      </c>
      <c r="BA1561" s="2">
        <v>21.718467886270801</v>
      </c>
      <c r="BB1561" s="2">
        <v>21.7660244860059</v>
      </c>
      <c r="BC1561" s="2">
        <v>21.815032205392999</v>
      </c>
      <c r="BD1561" s="2">
        <v>21.707149667878301</v>
      </c>
      <c r="BE1561" s="2">
        <v>21.754705856666298</v>
      </c>
      <c r="BF1561" s="2">
        <v>21.538783633327199</v>
      </c>
      <c r="BG1561" s="2">
        <v>21.7089411120179</v>
      </c>
      <c r="BH1561" s="2">
        <v>21.789657438189099</v>
      </c>
      <c r="BI1561" s="2">
        <v>21.577694665453102</v>
      </c>
      <c r="BJ1561" s="2">
        <v>21.561456763346001</v>
      </c>
      <c r="BK1561" s="2">
        <v>21.6812176044502</v>
      </c>
      <c r="BL1561" s="2">
        <v>21.785961052710899</v>
      </c>
      <c r="BM1561" s="2">
        <v>21.698775439732199</v>
      </c>
      <c r="BN1561" s="2">
        <v>21.6217386981345</v>
      </c>
      <c r="BO1561" s="2">
        <v>21.753253431882602</v>
      </c>
      <c r="BP1561" s="2">
        <v>21.491149971231899</v>
      </c>
      <c r="BQ1561" s="2">
        <v>21.6883949257439</v>
      </c>
      <c r="BR1561" s="2">
        <v>21.627599696101001</v>
      </c>
      <c r="BS1561" s="2">
        <v>21.7311301456139</v>
      </c>
      <c r="BT1561" s="2">
        <v>21.5432369717307</v>
      </c>
      <c r="BU1561" s="2">
        <v>21.665002787473099</v>
      </c>
      <c r="BV1561" s="2">
        <v>21.6592586054566</v>
      </c>
      <c r="BW1561" s="2">
        <v>21.7211584056015</v>
      </c>
      <c r="BX1561" s="2">
        <v>21.6992319135447</v>
      </c>
      <c r="BY1561" s="2">
        <v>21.512642589927498</v>
      </c>
      <c r="BZ1561" s="2">
        <v>21.6858108266632</v>
      </c>
      <c r="CA1561" s="2">
        <v>21.5157554851579</v>
      </c>
      <c r="CB1561" s="2">
        <v>21.532948442481899</v>
      </c>
      <c r="CC1561" s="2">
        <v>21.661523324213501</v>
      </c>
      <c r="CD1561" s="2">
        <v>21.504056171719899</v>
      </c>
      <c r="CE1561" s="2">
        <v>21.734026254046501</v>
      </c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</row>
    <row r="1562" spans="1:97">
      <c r="A1562" s="2" t="s">
        <v>13888</v>
      </c>
      <c r="B1562" s="2">
        <v>349.16352000000001</v>
      </c>
      <c r="C1562" s="2">
        <v>3.964</v>
      </c>
      <c r="D1562" s="2" t="s">
        <v>84</v>
      </c>
      <c r="E1562" s="2" t="s">
        <v>13889</v>
      </c>
      <c r="F1562" s="2" t="s">
        <v>13890</v>
      </c>
      <c r="G1562" s="2">
        <v>256998</v>
      </c>
      <c r="H1562" s="3" t="str">
        <f>HYPERLINK("https://cloud.oebiotech.com/#/lm/network/256998", "https://cloud.oebiotech.com/#/lm/network/256998")</f>
        <v>https://cloud.oebiotech.com/#/lm/network/256998</v>
      </c>
      <c r="I1562" s="2" t="s">
        <v>13891</v>
      </c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 t="s">
        <v>13892</v>
      </c>
      <c r="U1562" s="2" t="s">
        <v>13893</v>
      </c>
      <c r="V1562" s="2" t="s">
        <v>115</v>
      </c>
      <c r="W1562" s="2" t="s">
        <v>116</v>
      </c>
      <c r="X1562" s="2" t="s">
        <v>117</v>
      </c>
      <c r="Y1562" s="2" t="s">
        <v>118</v>
      </c>
      <c r="Z1562" s="2" t="s">
        <v>119</v>
      </c>
      <c r="AA1562" s="2" t="s">
        <v>120</v>
      </c>
      <c r="AB1562" s="2" t="s">
        <v>3086</v>
      </c>
      <c r="AC1562" s="2">
        <v>43.48</v>
      </c>
      <c r="AD1562" s="2">
        <v>87.68</v>
      </c>
      <c r="AE1562" s="2">
        <v>0</v>
      </c>
      <c r="AF1562" s="2" t="s">
        <v>5614</v>
      </c>
      <c r="AG1562" s="2" t="s">
        <v>132</v>
      </c>
      <c r="AH1562" s="2" t="s">
        <v>13894</v>
      </c>
      <c r="AI1562" s="2">
        <v>8.8800000000000008</v>
      </c>
      <c r="AJ1562" s="2">
        <v>17.6311108918147</v>
      </c>
      <c r="AK1562" s="2">
        <v>17.2524344497185</v>
      </c>
      <c r="AL1562" s="2">
        <v>17.592018319211501</v>
      </c>
      <c r="AM1562" s="2">
        <v>17.993734722187799</v>
      </c>
      <c r="AN1562" s="2">
        <v>17.7899369904659</v>
      </c>
      <c r="AO1562" s="2">
        <v>17.778989501179201</v>
      </c>
      <c r="AP1562" s="2">
        <v>17.040437746376199</v>
      </c>
      <c r="AQ1562" s="2">
        <v>17.304434659995</v>
      </c>
      <c r="AR1562" s="2">
        <v>15.168899283979099</v>
      </c>
      <c r="AS1562" s="2">
        <v>16.221640926805499</v>
      </c>
      <c r="AT1562" s="2">
        <v>17.4056548863533</v>
      </c>
      <c r="AU1562" s="2">
        <v>17.8100872620602</v>
      </c>
      <c r="AV1562" s="2">
        <v>17.732877042657101</v>
      </c>
      <c r="AW1562" s="2">
        <v>18.156318850258501</v>
      </c>
      <c r="AX1562" s="2">
        <v>17.887757170242601</v>
      </c>
      <c r="AY1562" s="2">
        <v>18.042877974452701</v>
      </c>
      <c r="AZ1562" s="2">
        <v>16.696991426104798</v>
      </c>
      <c r="BA1562" s="2">
        <v>17.7153418819696</v>
      </c>
      <c r="BB1562" s="2">
        <v>15.7562951752572</v>
      </c>
      <c r="BC1562" s="2">
        <v>15.175417001228601</v>
      </c>
      <c r="BD1562" s="2">
        <v>17.499403461478199</v>
      </c>
      <c r="BE1562" s="2">
        <v>18.307788394478798</v>
      </c>
      <c r="BF1562" s="2">
        <v>18.125831760725401</v>
      </c>
      <c r="BG1562" s="2">
        <v>16.289412495212002</v>
      </c>
      <c r="BH1562" s="2">
        <v>16.9709382252077</v>
      </c>
      <c r="BI1562" s="2">
        <v>17.9250304869663</v>
      </c>
      <c r="BJ1562" s="2">
        <v>15.8152121557714</v>
      </c>
      <c r="BK1562" s="2">
        <v>18.0820165171898</v>
      </c>
      <c r="BL1562" s="2">
        <v>18.025608986995898</v>
      </c>
      <c r="BM1562" s="2">
        <v>18.8449143772309</v>
      </c>
      <c r="BN1562" s="2">
        <v>17.919310575237098</v>
      </c>
      <c r="BO1562" s="2">
        <v>17.5219063359276</v>
      </c>
      <c r="BP1562" s="2">
        <v>18.051019944493799</v>
      </c>
      <c r="BQ1562" s="2">
        <v>18.292995671360998</v>
      </c>
      <c r="BR1562" s="2">
        <v>9.6233145402724691</v>
      </c>
      <c r="BS1562" s="2">
        <v>18.852822868368801</v>
      </c>
      <c r="BT1562" s="2">
        <v>14.6645789477961</v>
      </c>
      <c r="BU1562" s="2">
        <v>18.411008461363799</v>
      </c>
      <c r="BV1562" s="2">
        <v>15.5276862232115</v>
      </c>
      <c r="BW1562" s="2">
        <v>9.6233145402724691</v>
      </c>
      <c r="BX1562" s="2">
        <v>17.8741567285816</v>
      </c>
      <c r="BY1562" s="2">
        <v>19.248170432425201</v>
      </c>
      <c r="BZ1562" s="2">
        <v>14.035226962793899</v>
      </c>
      <c r="CA1562" s="2">
        <v>16.677025458413102</v>
      </c>
      <c r="CB1562" s="2">
        <v>15.175009140494</v>
      </c>
      <c r="CC1562" s="2">
        <v>17.357312388894101</v>
      </c>
      <c r="CD1562" s="2">
        <v>18.571334065261599</v>
      </c>
      <c r="CE1562" s="2">
        <v>18.361906131688901</v>
      </c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</row>
    <row r="1563" spans="1:97">
      <c r="A1563" s="2" t="s">
        <v>13895</v>
      </c>
      <c r="B1563" s="2">
        <v>189.02959000000001</v>
      </c>
      <c r="C1563" s="2">
        <v>4.5940000000000003</v>
      </c>
      <c r="D1563" s="2" t="s">
        <v>146</v>
      </c>
      <c r="E1563" s="2" t="s">
        <v>13896</v>
      </c>
      <c r="F1563" s="2" t="s">
        <v>13897</v>
      </c>
      <c r="G1563" s="2">
        <v>201883</v>
      </c>
      <c r="H1563" s="3" t="str">
        <f>HYPERLINK("https://cloud.oebiotech.com/#/lm/network/201883", "https://cloud.oebiotech.com/#/lm/network/201883")</f>
        <v>https://cloud.oebiotech.com/#/lm/network/201883</v>
      </c>
      <c r="I1563" s="2" t="s">
        <v>13898</v>
      </c>
      <c r="J1563" s="2">
        <v>24073</v>
      </c>
      <c r="K1563" s="2"/>
      <c r="L1563" s="2">
        <v>5955</v>
      </c>
      <c r="M1563" s="2" t="s">
        <v>13899</v>
      </c>
      <c r="N1563" s="2"/>
      <c r="O1563" s="2"/>
      <c r="P1563" s="2">
        <v>16907</v>
      </c>
      <c r="Q1563" s="2"/>
      <c r="R1563" s="2"/>
      <c r="S1563" s="2" t="s">
        <v>13900</v>
      </c>
      <c r="T1563" s="2" t="s">
        <v>13901</v>
      </c>
      <c r="U1563" s="2" t="s">
        <v>13902</v>
      </c>
      <c r="V1563" s="2" t="s">
        <v>553</v>
      </c>
      <c r="W1563" s="2" t="s">
        <v>1599</v>
      </c>
      <c r="X1563" s="2" t="s">
        <v>10812</v>
      </c>
      <c r="Y1563" s="2" t="s">
        <v>556</v>
      </c>
      <c r="Z1563" s="2" t="s">
        <v>1601</v>
      </c>
      <c r="AA1563" s="2" t="s">
        <v>10813</v>
      </c>
      <c r="AB1563" s="2" t="s">
        <v>8443</v>
      </c>
      <c r="AC1563" s="2">
        <v>43.47</v>
      </c>
      <c r="AD1563" s="2">
        <v>94.25</v>
      </c>
      <c r="AE1563" s="2">
        <v>0</v>
      </c>
      <c r="AF1563" s="2" t="s">
        <v>5614</v>
      </c>
      <c r="AG1563" s="2" t="s">
        <v>194</v>
      </c>
      <c r="AH1563" s="2" t="s">
        <v>10815</v>
      </c>
      <c r="AI1563" s="2">
        <v>5.29</v>
      </c>
      <c r="AJ1563" s="2">
        <v>18.310699708161799</v>
      </c>
      <c r="AK1563" s="2">
        <v>18.049688459688301</v>
      </c>
      <c r="AL1563" s="2">
        <v>18.1862661731024</v>
      </c>
      <c r="AM1563" s="2">
        <v>16.548743505531899</v>
      </c>
      <c r="AN1563" s="2">
        <v>18.293815038361402</v>
      </c>
      <c r="AO1563" s="2">
        <v>18.1163327916803</v>
      </c>
      <c r="AP1563" s="2">
        <v>18.106355548349999</v>
      </c>
      <c r="AQ1563" s="2">
        <v>18.141461470427402</v>
      </c>
      <c r="AR1563" s="2">
        <v>17.603799456845699</v>
      </c>
      <c r="AS1563" s="2">
        <v>15.4519326009452</v>
      </c>
      <c r="AT1563" s="2">
        <v>17.179470326634799</v>
      </c>
      <c r="AU1563" s="2">
        <v>16.004174591187699</v>
      </c>
      <c r="AV1563" s="2">
        <v>17.496011205282901</v>
      </c>
      <c r="AW1563" s="2">
        <v>17.545936780493999</v>
      </c>
      <c r="AX1563" s="2">
        <v>17.876945362895899</v>
      </c>
      <c r="AY1563" s="2">
        <v>16.883296240591601</v>
      </c>
      <c r="AZ1563" s="2">
        <v>17.4347699232483</v>
      </c>
      <c r="BA1563" s="2">
        <v>17.121755784847998</v>
      </c>
      <c r="BB1563" s="2">
        <v>17.941113534199701</v>
      </c>
      <c r="BC1563" s="2">
        <v>17.996231220705202</v>
      </c>
      <c r="BD1563" s="2">
        <v>17.7935627329108</v>
      </c>
      <c r="BE1563" s="2">
        <v>17.918042184445699</v>
      </c>
      <c r="BF1563" s="2">
        <v>17.468687038547301</v>
      </c>
      <c r="BG1563" s="2">
        <v>18.224685926931102</v>
      </c>
      <c r="BH1563" s="2">
        <v>17.271934493136801</v>
      </c>
      <c r="BI1563" s="2">
        <v>17.163859064640601</v>
      </c>
      <c r="BJ1563" s="2">
        <v>18.5142017580709</v>
      </c>
      <c r="BK1563" s="2">
        <v>17.733838827226698</v>
      </c>
      <c r="BL1563" s="2">
        <v>17.806870789276399</v>
      </c>
      <c r="BM1563" s="2">
        <v>18.613741452000301</v>
      </c>
      <c r="BN1563" s="2">
        <v>17.909261965842799</v>
      </c>
      <c r="BO1563" s="2">
        <v>17.121760539400199</v>
      </c>
      <c r="BP1563" s="2">
        <v>17.662346965157099</v>
      </c>
      <c r="BQ1563" s="2">
        <v>18.488328193548899</v>
      </c>
      <c r="BR1563" s="2">
        <v>18.167509683496199</v>
      </c>
      <c r="BS1563" s="2">
        <v>17.9887988904323</v>
      </c>
      <c r="BT1563" s="2">
        <v>16.800011715099501</v>
      </c>
      <c r="BU1563" s="2">
        <v>18.350851668556999</v>
      </c>
      <c r="BV1563" s="2">
        <v>18.140192301213801</v>
      </c>
      <c r="BW1563" s="2">
        <v>16.239677396510601</v>
      </c>
      <c r="BX1563" s="2">
        <v>17.6450458521001</v>
      </c>
      <c r="BY1563" s="2">
        <v>18.926532748595701</v>
      </c>
      <c r="BZ1563" s="2">
        <v>17.426740747185899</v>
      </c>
      <c r="CA1563" s="2">
        <v>18.862503333526</v>
      </c>
      <c r="CB1563" s="2">
        <v>17.216665064253</v>
      </c>
      <c r="CC1563" s="2">
        <v>17.868468527885899</v>
      </c>
      <c r="CD1563" s="2">
        <v>18.174715309886601</v>
      </c>
      <c r="CE1563" s="2">
        <v>18.150367539018401</v>
      </c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</row>
    <row r="1564" spans="1:97">
      <c r="A1564" s="2" t="s">
        <v>13903</v>
      </c>
      <c r="B1564" s="2">
        <v>349.09867000000003</v>
      </c>
      <c r="C1564" s="2">
        <v>3.8130000000000002</v>
      </c>
      <c r="D1564" s="2" t="s">
        <v>146</v>
      </c>
      <c r="E1564" s="2" t="s">
        <v>13904</v>
      </c>
      <c r="F1564" s="2" t="s">
        <v>13905</v>
      </c>
      <c r="G1564" s="2">
        <v>204163</v>
      </c>
      <c r="H1564" s="3" t="str">
        <f>HYPERLINK("https://cloud.oebiotech.com/#/lm/network/204163", "https://cloud.oebiotech.com/#/lm/network/204163")</f>
        <v>https://cloud.oebiotech.com/#/lm/network/204163</v>
      </c>
      <c r="I1564" s="2" t="s">
        <v>13906</v>
      </c>
      <c r="J1564" s="2"/>
      <c r="K1564" s="2"/>
      <c r="L1564" s="2">
        <v>4488114</v>
      </c>
      <c r="M1564" s="2"/>
      <c r="N1564" s="2"/>
      <c r="O1564" s="2"/>
      <c r="P1564" s="2"/>
      <c r="Q1564" s="2"/>
      <c r="R1564" s="2"/>
      <c r="S1564" s="2"/>
      <c r="T1564" s="2" t="s">
        <v>13907</v>
      </c>
      <c r="U1564" s="2" t="s">
        <v>13908</v>
      </c>
      <c r="V1564" s="2" t="s">
        <v>553</v>
      </c>
      <c r="W1564" s="2" t="s">
        <v>6375</v>
      </c>
      <c r="X1564" s="2" t="s">
        <v>6376</v>
      </c>
      <c r="Y1564" s="2" t="s">
        <v>556</v>
      </c>
      <c r="Z1564" s="2" t="s">
        <v>6377</v>
      </c>
      <c r="AA1564" s="2" t="s">
        <v>6378</v>
      </c>
      <c r="AB1564" s="2" t="s">
        <v>8443</v>
      </c>
      <c r="AC1564" s="2">
        <v>43.47</v>
      </c>
      <c r="AD1564" s="2">
        <v>86.26</v>
      </c>
      <c r="AE1564" s="2">
        <v>0</v>
      </c>
      <c r="AF1564" s="2" t="s">
        <v>5614</v>
      </c>
      <c r="AG1564" s="2" t="s">
        <v>194</v>
      </c>
      <c r="AH1564" s="2" t="s">
        <v>13909</v>
      </c>
      <c r="AI1564" s="2">
        <v>-3.15</v>
      </c>
      <c r="AJ1564" s="2">
        <v>17.527153805193802</v>
      </c>
      <c r="AK1564" s="2">
        <v>16.761485136840601</v>
      </c>
      <c r="AL1564" s="2">
        <v>17.050033765653499</v>
      </c>
      <c r="AM1564" s="2">
        <v>17.028522749856901</v>
      </c>
      <c r="AN1564" s="2">
        <v>17.175619426561301</v>
      </c>
      <c r="AO1564" s="2">
        <v>16.962059920650098</v>
      </c>
      <c r="AP1564" s="2">
        <v>17.145865890789601</v>
      </c>
      <c r="AQ1564" s="2">
        <v>16.821560999354499</v>
      </c>
      <c r="AR1564" s="2">
        <v>16.070057825188002</v>
      </c>
      <c r="AS1564" s="2">
        <v>15.2936577215073</v>
      </c>
      <c r="AT1564" s="2">
        <v>16.119465405834902</v>
      </c>
      <c r="AU1564" s="2">
        <v>16.8414679109578</v>
      </c>
      <c r="AV1564" s="2">
        <v>16.901188044441099</v>
      </c>
      <c r="AW1564" s="2">
        <v>16.995388234708798</v>
      </c>
      <c r="AX1564" s="2">
        <v>16.539677883114098</v>
      </c>
      <c r="AY1564" s="2">
        <v>16.5572295857074</v>
      </c>
      <c r="AZ1564" s="2">
        <v>16.9529215045645</v>
      </c>
      <c r="BA1564" s="2">
        <v>16.411676651423299</v>
      </c>
      <c r="BB1564" s="2">
        <v>17.470681670165099</v>
      </c>
      <c r="BC1564" s="2">
        <v>16.8660815080435</v>
      </c>
      <c r="BD1564" s="2">
        <v>16.159449398706201</v>
      </c>
      <c r="BE1564" s="2">
        <v>17.000714500386501</v>
      </c>
      <c r="BF1564" s="2">
        <v>16.790945847175198</v>
      </c>
      <c r="BG1564" s="2">
        <v>17.062763658714299</v>
      </c>
      <c r="BH1564" s="2">
        <v>16.720708521648302</v>
      </c>
      <c r="BI1564" s="2">
        <v>16.994732845816699</v>
      </c>
      <c r="BJ1564" s="2">
        <v>17.406264308056102</v>
      </c>
      <c r="BK1564" s="2">
        <v>16.548581419178099</v>
      </c>
      <c r="BL1564" s="2">
        <v>15.613251921310299</v>
      </c>
      <c r="BM1564" s="2">
        <v>17.840529557979501</v>
      </c>
      <c r="BN1564" s="2">
        <v>16.875490795804101</v>
      </c>
      <c r="BO1564" s="2">
        <v>16.708522170392701</v>
      </c>
      <c r="BP1564" s="2">
        <v>16.372186937456899</v>
      </c>
      <c r="BQ1564" s="2">
        <v>17.5209621421421</v>
      </c>
      <c r="BR1564" s="2">
        <v>16.4787735686837</v>
      </c>
      <c r="BS1564" s="2">
        <v>16.933147513755799</v>
      </c>
      <c r="BT1564" s="2">
        <v>16.649574342701701</v>
      </c>
      <c r="BU1564" s="2">
        <v>16.774790790881699</v>
      </c>
      <c r="BV1564" s="2">
        <v>17.006285311469</v>
      </c>
      <c r="BW1564" s="2">
        <v>15.5462132139274</v>
      </c>
      <c r="BX1564" s="2">
        <v>16.623695627058499</v>
      </c>
      <c r="BY1564" s="2">
        <v>17.3129563216071</v>
      </c>
      <c r="BZ1564" s="2">
        <v>17.4532969221804</v>
      </c>
      <c r="CA1564" s="2">
        <v>16.627289918888199</v>
      </c>
      <c r="CB1564" s="2">
        <v>16.237708527735499</v>
      </c>
      <c r="CC1564" s="2">
        <v>16.829511666045502</v>
      </c>
      <c r="CD1564" s="2">
        <v>17.328219631078099</v>
      </c>
      <c r="CE1564" s="2">
        <v>16.845233489120002</v>
      </c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</row>
    <row r="1565" spans="1:97">
      <c r="A1565" s="2" t="s">
        <v>13910</v>
      </c>
      <c r="B1565" s="2">
        <v>131.06206</v>
      </c>
      <c r="C1565" s="2">
        <v>4.3310000000000004</v>
      </c>
      <c r="D1565" s="2" t="s">
        <v>146</v>
      </c>
      <c r="E1565" s="2" t="s">
        <v>13911</v>
      </c>
      <c r="F1565" s="2" t="s">
        <v>13912</v>
      </c>
      <c r="G1565" s="2">
        <v>200664</v>
      </c>
      <c r="H1565" s="3" t="str">
        <f>HYPERLINK("https://cloud.oebiotech.com/#/lm/network/200664", "https://cloud.oebiotech.com/#/lm/network/200664")</f>
        <v>https://cloud.oebiotech.com/#/lm/network/200664</v>
      </c>
      <c r="I1565" s="2" t="s">
        <v>13913</v>
      </c>
      <c r="J1565" s="2">
        <v>339584</v>
      </c>
      <c r="K1565" s="2"/>
      <c r="L1565" s="2">
        <v>11984</v>
      </c>
      <c r="M1565" s="2"/>
      <c r="N1565" s="2"/>
      <c r="O1565" s="2"/>
      <c r="P1565" s="2"/>
      <c r="Q1565" s="2"/>
      <c r="R1565" s="2"/>
      <c r="S1565" s="2"/>
      <c r="T1565" s="2" t="s">
        <v>13914</v>
      </c>
      <c r="U1565" s="2" t="s">
        <v>13915</v>
      </c>
      <c r="V1565" s="2" t="s">
        <v>553</v>
      </c>
      <c r="W1565" s="2" t="s">
        <v>9812</v>
      </c>
      <c r="X1565" s="2" t="s">
        <v>375</v>
      </c>
      <c r="Y1565" s="2" t="s">
        <v>556</v>
      </c>
      <c r="Z1565" s="2" t="s">
        <v>9814</v>
      </c>
      <c r="AA1565" s="2"/>
      <c r="AB1565" s="2" t="s">
        <v>8443</v>
      </c>
      <c r="AC1565" s="2">
        <v>43.46</v>
      </c>
      <c r="AD1565" s="2">
        <v>94.83</v>
      </c>
      <c r="AE1565" s="2">
        <v>0</v>
      </c>
      <c r="AF1565" s="2" t="s">
        <v>5614</v>
      </c>
      <c r="AG1565" s="2" t="s">
        <v>194</v>
      </c>
      <c r="AH1565" s="2" t="s">
        <v>13916</v>
      </c>
      <c r="AI1565" s="2">
        <v>-4.58</v>
      </c>
      <c r="AJ1565" s="2">
        <v>19.1667163029642</v>
      </c>
      <c r="AK1565" s="2">
        <v>18.912458773807298</v>
      </c>
      <c r="AL1565" s="2">
        <v>18.884245746966599</v>
      </c>
      <c r="AM1565" s="2">
        <v>19.2432992894718</v>
      </c>
      <c r="AN1565" s="2">
        <v>19.0599260652242</v>
      </c>
      <c r="AO1565" s="2">
        <v>18.919507365826199</v>
      </c>
      <c r="AP1565" s="2">
        <v>19.0269844230939</v>
      </c>
      <c r="AQ1565" s="2">
        <v>19.198784476102901</v>
      </c>
      <c r="AR1565" s="2">
        <v>16.885337585107202</v>
      </c>
      <c r="AS1565" s="2">
        <v>17.3660219630844</v>
      </c>
      <c r="AT1565" s="2">
        <v>18.5079403205185</v>
      </c>
      <c r="AU1565" s="2">
        <v>17.938435127471699</v>
      </c>
      <c r="AV1565" s="2">
        <v>18.920673940065299</v>
      </c>
      <c r="AW1565" s="2">
        <v>18.7510222861887</v>
      </c>
      <c r="AX1565" s="2">
        <v>19.0341014982132</v>
      </c>
      <c r="AY1565" s="2">
        <v>18.9337136175273</v>
      </c>
      <c r="AZ1565" s="2">
        <v>18.0319888322792</v>
      </c>
      <c r="BA1565" s="2">
        <v>18.1960183339331</v>
      </c>
      <c r="BB1565" s="2">
        <v>19.404526328061799</v>
      </c>
      <c r="BC1565" s="2">
        <v>20.0043945288663</v>
      </c>
      <c r="BD1565" s="2">
        <v>18.672342015252301</v>
      </c>
      <c r="BE1565" s="2">
        <v>19.6617978567701</v>
      </c>
      <c r="BF1565" s="2">
        <v>18.988771907236</v>
      </c>
      <c r="BG1565" s="2">
        <v>19.335090489042798</v>
      </c>
      <c r="BH1565" s="2">
        <v>19.102663410560801</v>
      </c>
      <c r="BI1565" s="2">
        <v>19.372905009754401</v>
      </c>
      <c r="BJ1565" s="2">
        <v>18.7418683960517</v>
      </c>
      <c r="BK1565" s="2">
        <v>18.5587440098267</v>
      </c>
      <c r="BL1565" s="2">
        <v>18.915066753138898</v>
      </c>
      <c r="BM1565" s="2">
        <v>19.4717150792453</v>
      </c>
      <c r="BN1565" s="2">
        <v>19.201274130313099</v>
      </c>
      <c r="BO1565" s="2">
        <v>18.6514953506518</v>
      </c>
      <c r="BP1565" s="2">
        <v>18.7223165231512</v>
      </c>
      <c r="BQ1565" s="2">
        <v>18.908745018109101</v>
      </c>
      <c r="BR1565" s="2">
        <v>18.557766200854299</v>
      </c>
      <c r="BS1565" s="2">
        <v>18.645226064270801</v>
      </c>
      <c r="BT1565" s="2">
        <v>17.900228425587201</v>
      </c>
      <c r="BU1565" s="2">
        <v>17.9968869773355</v>
      </c>
      <c r="BV1565" s="2">
        <v>19.321853158036401</v>
      </c>
      <c r="BW1565" s="2">
        <v>18.674529015414901</v>
      </c>
      <c r="BX1565" s="2">
        <v>18.6305780233109</v>
      </c>
      <c r="BY1565" s="2">
        <v>19.4477039291802</v>
      </c>
      <c r="BZ1565" s="2">
        <v>18.913326900146501</v>
      </c>
      <c r="CA1565" s="2">
        <v>19.777508297689099</v>
      </c>
      <c r="CB1565" s="2">
        <v>18.8476346732648</v>
      </c>
      <c r="CC1565" s="2">
        <v>19.055954278621801</v>
      </c>
      <c r="CD1565" s="2">
        <v>19.200020210459201</v>
      </c>
      <c r="CE1565" s="2">
        <v>19.124889276250901</v>
      </c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</row>
    <row r="1566" spans="1:97">
      <c r="A1566" s="2" t="s">
        <v>13917</v>
      </c>
      <c r="B1566" s="2">
        <v>475.05121000000003</v>
      </c>
      <c r="C1566" s="2">
        <v>1.075</v>
      </c>
      <c r="D1566" s="2" t="s">
        <v>84</v>
      </c>
      <c r="E1566" s="2" t="s">
        <v>13918</v>
      </c>
      <c r="F1566" s="2" t="s">
        <v>13919</v>
      </c>
      <c r="G1566" s="2">
        <v>55353</v>
      </c>
      <c r="H1566" s="3" t="str">
        <f>HYPERLINK("https://cloud.oebiotech.com/#/lm/network/55353", "https://cloud.oebiotech.com/#/lm/network/55353")</f>
        <v>https://cloud.oebiotech.com/#/lm/network/55353</v>
      </c>
      <c r="I1566" s="2" t="s">
        <v>13920</v>
      </c>
      <c r="J1566" s="2">
        <v>87061</v>
      </c>
      <c r="K1566" s="2"/>
      <c r="L1566" s="2">
        <v>90470472</v>
      </c>
      <c r="M1566" s="2"/>
      <c r="N1566" s="2"/>
      <c r="O1566" s="2"/>
      <c r="P1566" s="2"/>
      <c r="Q1566" s="2"/>
      <c r="R1566" s="2"/>
      <c r="S1566" s="2" t="s">
        <v>13921</v>
      </c>
      <c r="T1566" s="2" t="s">
        <v>13922</v>
      </c>
      <c r="U1566" s="2" t="s">
        <v>13923</v>
      </c>
      <c r="V1566" s="2" t="s">
        <v>845</v>
      </c>
      <c r="W1566" s="2" t="s">
        <v>9127</v>
      </c>
      <c r="X1566" s="2" t="s">
        <v>375</v>
      </c>
      <c r="Y1566" s="2" t="s">
        <v>847</v>
      </c>
      <c r="Z1566" s="2" t="s">
        <v>9128</v>
      </c>
      <c r="AA1566" s="2"/>
      <c r="AB1566" s="2" t="s">
        <v>8443</v>
      </c>
      <c r="AC1566" s="2">
        <v>43.39</v>
      </c>
      <c r="AD1566" s="2">
        <v>85.48</v>
      </c>
      <c r="AE1566" s="2">
        <v>39.619999999999997</v>
      </c>
      <c r="AF1566" s="2" t="s">
        <v>13924</v>
      </c>
      <c r="AG1566" s="2" t="s">
        <v>103</v>
      </c>
      <c r="AH1566" s="2" t="s">
        <v>13925</v>
      </c>
      <c r="AI1566" s="2">
        <v>-1.05</v>
      </c>
      <c r="AJ1566" s="2">
        <v>19.299704418477599</v>
      </c>
      <c r="AK1566" s="2">
        <v>19.400836585629001</v>
      </c>
      <c r="AL1566" s="2">
        <v>19.0911454968656</v>
      </c>
      <c r="AM1566" s="2">
        <v>19.0694715593682</v>
      </c>
      <c r="AN1566" s="2">
        <v>18.899181237196299</v>
      </c>
      <c r="AO1566" s="2">
        <v>19.189461750305998</v>
      </c>
      <c r="AP1566" s="2">
        <v>19.070180732253</v>
      </c>
      <c r="AQ1566" s="2">
        <v>19.2648979751899</v>
      </c>
      <c r="AR1566" s="2">
        <v>18.510618888369301</v>
      </c>
      <c r="AS1566" s="2">
        <v>18.899152052526901</v>
      </c>
      <c r="AT1566" s="2">
        <v>19.298440935489399</v>
      </c>
      <c r="AU1566" s="2">
        <v>18.827233091076199</v>
      </c>
      <c r="AV1566" s="2">
        <v>19.432385161411499</v>
      </c>
      <c r="AW1566" s="2">
        <v>18.977853844830801</v>
      </c>
      <c r="AX1566" s="2">
        <v>19.0609524625748</v>
      </c>
      <c r="AY1566" s="2">
        <v>18.5237572337765</v>
      </c>
      <c r="AZ1566" s="2">
        <v>19.088486947172399</v>
      </c>
      <c r="BA1566" s="2">
        <v>18.677663491702901</v>
      </c>
      <c r="BB1566" s="2">
        <v>18.961687926968398</v>
      </c>
      <c r="BC1566" s="2">
        <v>19.5663892499159</v>
      </c>
      <c r="BD1566" s="2">
        <v>17.672845735267401</v>
      </c>
      <c r="BE1566" s="2">
        <v>19.000589408593001</v>
      </c>
      <c r="BF1566" s="2">
        <v>19.426849649747901</v>
      </c>
      <c r="BG1566" s="2">
        <v>19.095854617893899</v>
      </c>
      <c r="BH1566" s="2">
        <v>18.996226778836899</v>
      </c>
      <c r="BI1566" s="2">
        <v>19.070915885250901</v>
      </c>
      <c r="BJ1566" s="2">
        <v>19.364948135074801</v>
      </c>
      <c r="BK1566" s="2">
        <v>18.6484108815282</v>
      </c>
      <c r="BL1566" s="2">
        <v>18.139580578907601</v>
      </c>
      <c r="BM1566" s="2">
        <v>18.227966300014401</v>
      </c>
      <c r="BN1566" s="2">
        <v>18.743480019067501</v>
      </c>
      <c r="BO1566" s="2">
        <v>19.165812940983901</v>
      </c>
      <c r="BP1566" s="2">
        <v>18.973328193425001</v>
      </c>
      <c r="BQ1566" s="2">
        <v>18.916155294945298</v>
      </c>
      <c r="BR1566" s="2">
        <v>19.5061235671646</v>
      </c>
      <c r="BS1566" s="2">
        <v>19.0559268550141</v>
      </c>
      <c r="BT1566" s="2">
        <v>18.8956387065559</v>
      </c>
      <c r="BU1566" s="2">
        <v>20.456337919564302</v>
      </c>
      <c r="BV1566" s="2">
        <v>18.5790052871209</v>
      </c>
      <c r="BW1566" s="2">
        <v>19.0715970642303</v>
      </c>
      <c r="BX1566" s="2">
        <v>18.402543416214399</v>
      </c>
      <c r="BY1566" s="2">
        <v>18.9187850771443</v>
      </c>
      <c r="BZ1566" s="2">
        <v>18.580706285037099</v>
      </c>
      <c r="CA1566" s="2">
        <v>19.329842533918701</v>
      </c>
      <c r="CB1566" s="2">
        <v>19.0263232674478</v>
      </c>
      <c r="CC1566" s="2">
        <v>18.497304939038901</v>
      </c>
      <c r="CD1566" s="2">
        <v>19.427891791706799</v>
      </c>
      <c r="CE1566" s="2">
        <v>18.4406841969301</v>
      </c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</row>
    <row r="1567" spans="1:97">
      <c r="A1567" s="2" t="s">
        <v>13926</v>
      </c>
      <c r="B1567" s="2">
        <v>387.18412000000001</v>
      </c>
      <c r="C1567" s="2">
        <v>5.5869999999999997</v>
      </c>
      <c r="D1567" s="2" t="s">
        <v>146</v>
      </c>
      <c r="E1567" s="2" t="s">
        <v>13927</v>
      </c>
      <c r="F1567" s="2" t="s">
        <v>13928</v>
      </c>
      <c r="G1567" s="2">
        <v>53175</v>
      </c>
      <c r="H1567" s="3" t="str">
        <f>HYPERLINK("https://cloud.oebiotech.com/#/lm/network/53175", "https://cloud.oebiotech.com/#/lm/network/53175")</f>
        <v>https://cloud.oebiotech.com/#/lm/network/53175</v>
      </c>
      <c r="I1567" s="2" t="s">
        <v>13929</v>
      </c>
      <c r="J1567" s="2">
        <v>3930</v>
      </c>
      <c r="K1567" s="2"/>
      <c r="L1567" s="2">
        <v>8944</v>
      </c>
      <c r="M1567" s="2"/>
      <c r="N1567" s="2"/>
      <c r="O1567" s="2"/>
      <c r="P1567" s="2">
        <v>61203</v>
      </c>
      <c r="Q1567" s="2"/>
      <c r="R1567" s="2"/>
      <c r="S1567" s="2" t="s">
        <v>13930</v>
      </c>
      <c r="T1567" s="2" t="s">
        <v>13931</v>
      </c>
      <c r="U1567" s="2" t="s">
        <v>13932</v>
      </c>
      <c r="V1567" s="2" t="s">
        <v>553</v>
      </c>
      <c r="W1567" s="2" t="s">
        <v>3192</v>
      </c>
      <c r="X1567" s="2" t="s">
        <v>3193</v>
      </c>
      <c r="Y1567" s="2" t="s">
        <v>556</v>
      </c>
      <c r="Z1567" s="2" t="s">
        <v>3194</v>
      </c>
      <c r="AA1567" s="2" t="s">
        <v>3195</v>
      </c>
      <c r="AB1567" s="2" t="s">
        <v>8443</v>
      </c>
      <c r="AC1567" s="2">
        <v>43.38</v>
      </c>
      <c r="AD1567" s="2">
        <v>75.22</v>
      </c>
      <c r="AE1567" s="2">
        <v>0</v>
      </c>
      <c r="AF1567" s="2" t="s">
        <v>13933</v>
      </c>
      <c r="AG1567" s="2" t="s">
        <v>4062</v>
      </c>
      <c r="AH1567" s="2" t="s">
        <v>13934</v>
      </c>
      <c r="AI1567" s="2">
        <v>1.03</v>
      </c>
      <c r="AJ1567" s="2">
        <v>20.0238993485146</v>
      </c>
      <c r="AK1567" s="2">
        <v>19.796804322799499</v>
      </c>
      <c r="AL1567" s="2">
        <v>20.194241582879801</v>
      </c>
      <c r="AM1567" s="2">
        <v>20.234423545177499</v>
      </c>
      <c r="AN1567" s="2">
        <v>19.770217046070101</v>
      </c>
      <c r="AO1567" s="2">
        <v>20.063626145745602</v>
      </c>
      <c r="AP1567" s="2">
        <v>19.804474281046499</v>
      </c>
      <c r="AQ1567" s="2">
        <v>19.845044591739502</v>
      </c>
      <c r="AR1567" s="2">
        <v>20.196819883487301</v>
      </c>
      <c r="AS1567" s="2">
        <v>17.005819038531101</v>
      </c>
      <c r="AT1567" s="2">
        <v>20.170208193146799</v>
      </c>
      <c r="AU1567" s="2">
        <v>19.624736065671598</v>
      </c>
      <c r="AV1567" s="2">
        <v>20.395275649946399</v>
      </c>
      <c r="AW1567" s="2">
        <v>21.772628529504399</v>
      </c>
      <c r="AX1567" s="2">
        <v>20.019895926667299</v>
      </c>
      <c r="AY1567" s="2">
        <v>19.792992336368702</v>
      </c>
      <c r="AZ1567" s="2">
        <v>19.513442013736999</v>
      </c>
      <c r="BA1567" s="2">
        <v>19.414577785210099</v>
      </c>
      <c r="BB1567" s="2">
        <v>20.382772283986601</v>
      </c>
      <c r="BC1567" s="2">
        <v>19.685568654441902</v>
      </c>
      <c r="BD1567" s="2">
        <v>20.592991966451301</v>
      </c>
      <c r="BE1567" s="2">
        <v>19.702063150366801</v>
      </c>
      <c r="BF1567" s="2">
        <v>19.890601211338499</v>
      </c>
      <c r="BG1567" s="2">
        <v>20.387741938318701</v>
      </c>
      <c r="BH1567" s="2">
        <v>18.178248666354399</v>
      </c>
      <c r="BI1567" s="2">
        <v>19.8045744356391</v>
      </c>
      <c r="BJ1567" s="2">
        <v>19.678567284872202</v>
      </c>
      <c r="BK1567" s="2">
        <v>19.768198284272898</v>
      </c>
      <c r="BL1567" s="2">
        <v>19.425114931606</v>
      </c>
      <c r="BM1567" s="2">
        <v>17.3690812390067</v>
      </c>
      <c r="BN1567" s="2">
        <v>19.815321528859702</v>
      </c>
      <c r="BO1567" s="2">
        <v>19.811421702514401</v>
      </c>
      <c r="BP1567" s="2">
        <v>20.668222934831402</v>
      </c>
      <c r="BQ1567" s="2">
        <v>20.761526219704901</v>
      </c>
      <c r="BR1567" s="2">
        <v>20.434628899502201</v>
      </c>
      <c r="BS1567" s="2">
        <v>19.366954023440801</v>
      </c>
      <c r="BT1567" s="2">
        <v>19.729834565773501</v>
      </c>
      <c r="BU1567" s="2">
        <v>19.901309904018401</v>
      </c>
      <c r="BV1567" s="2">
        <v>19.3972893060877</v>
      </c>
      <c r="BW1567" s="2">
        <v>18.569048130160802</v>
      </c>
      <c r="BX1567" s="2">
        <v>20.205346978782899</v>
      </c>
      <c r="BY1567" s="2">
        <v>19.4226590029802</v>
      </c>
      <c r="BZ1567" s="2">
        <v>20.621958442251898</v>
      </c>
      <c r="CA1567" s="2">
        <v>18.888879672148501</v>
      </c>
      <c r="CB1567" s="2">
        <v>18.3716319422544</v>
      </c>
      <c r="CC1567" s="2">
        <v>19.727528954916401</v>
      </c>
      <c r="CD1567" s="2">
        <v>19.900866793243502</v>
      </c>
      <c r="CE1567" s="2">
        <v>19.5640073664465</v>
      </c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</row>
    <row r="1568" spans="1:97">
      <c r="A1568" s="2" t="s">
        <v>13935</v>
      </c>
      <c r="B1568" s="2">
        <v>358.24146999999999</v>
      </c>
      <c r="C1568" s="2">
        <v>12.698</v>
      </c>
      <c r="D1568" s="2" t="s">
        <v>146</v>
      </c>
      <c r="E1568" s="2" t="s">
        <v>13936</v>
      </c>
      <c r="F1568" s="2" t="s">
        <v>13937</v>
      </c>
      <c r="G1568" s="2">
        <v>8821</v>
      </c>
      <c r="H1568" s="3" t="str">
        <f>HYPERLINK("https://cloud.oebiotech.com/#/lm/network/8821", "https://cloud.oebiotech.com/#/lm/network/8821")</f>
        <v>https://cloud.oebiotech.com/#/lm/network/8821</v>
      </c>
      <c r="I1568" s="2"/>
      <c r="J1568" s="2"/>
      <c r="K1568" s="2" t="s">
        <v>13938</v>
      </c>
      <c r="L1568" s="2">
        <v>20455404</v>
      </c>
      <c r="M1568" s="2"/>
      <c r="N1568" s="2"/>
      <c r="O1568" s="2"/>
      <c r="P1568" s="2"/>
      <c r="Q1568" s="2"/>
      <c r="R1568" s="2"/>
      <c r="S1568" s="2"/>
      <c r="T1568" s="2" t="s">
        <v>13939</v>
      </c>
      <c r="U1568" s="2" t="s">
        <v>13940</v>
      </c>
      <c r="V1568" s="2" t="s">
        <v>95</v>
      </c>
      <c r="W1568" s="2" t="s">
        <v>96</v>
      </c>
      <c r="X1568" s="2" t="s">
        <v>315</v>
      </c>
      <c r="Y1568" s="2" t="s">
        <v>98</v>
      </c>
      <c r="Z1568" s="2" t="s">
        <v>99</v>
      </c>
      <c r="AA1568" s="2" t="s">
        <v>316</v>
      </c>
      <c r="AB1568" s="2" t="s">
        <v>8443</v>
      </c>
      <c r="AC1568" s="2">
        <v>43.35</v>
      </c>
      <c r="AD1568" s="2">
        <v>84.11</v>
      </c>
      <c r="AE1568" s="2">
        <v>0</v>
      </c>
      <c r="AF1568" s="2" t="s">
        <v>13941</v>
      </c>
      <c r="AG1568" s="2" t="s">
        <v>993</v>
      </c>
      <c r="AH1568" s="2" t="s">
        <v>13942</v>
      </c>
      <c r="AI1568" s="2">
        <v>0.28000000000000003</v>
      </c>
      <c r="AJ1568" s="2">
        <v>17.0203818740999</v>
      </c>
      <c r="AK1568" s="2">
        <v>16.294313274771699</v>
      </c>
      <c r="AL1568" s="2">
        <v>16.9884380558963</v>
      </c>
      <c r="AM1568" s="2">
        <v>16.9441499427782</v>
      </c>
      <c r="AN1568" s="2">
        <v>16.870291744881701</v>
      </c>
      <c r="AO1568" s="2">
        <v>17.148865902389399</v>
      </c>
      <c r="AP1568" s="2">
        <v>16.954753960753202</v>
      </c>
      <c r="AQ1568" s="2">
        <v>16.629465911018698</v>
      </c>
      <c r="AR1568" s="2">
        <v>15.8361487576309</v>
      </c>
      <c r="AS1568" s="2">
        <v>15.8752499554595</v>
      </c>
      <c r="AT1568" s="2">
        <v>16.667731663394701</v>
      </c>
      <c r="AU1568" s="2">
        <v>15.835333466123</v>
      </c>
      <c r="AV1568" s="2">
        <v>16.305869908494898</v>
      </c>
      <c r="AW1568" s="2">
        <v>16.365462625658498</v>
      </c>
      <c r="AX1568" s="2">
        <v>16.059357348008799</v>
      </c>
      <c r="AY1568" s="2">
        <v>16.615909913480198</v>
      </c>
      <c r="AZ1568" s="2">
        <v>16.423734905500201</v>
      </c>
      <c r="BA1568" s="2">
        <v>17.147810592148499</v>
      </c>
      <c r="BB1568" s="2">
        <v>17.159804240913498</v>
      </c>
      <c r="BC1568" s="2">
        <v>17.277393385932601</v>
      </c>
      <c r="BD1568" s="2">
        <v>16.482754239028399</v>
      </c>
      <c r="BE1568" s="2">
        <v>17.391541910038001</v>
      </c>
      <c r="BF1568" s="2">
        <v>17.4502753913895</v>
      </c>
      <c r="BG1568" s="2">
        <v>17.421769322557601</v>
      </c>
      <c r="BH1568" s="2">
        <v>17.293408421773599</v>
      </c>
      <c r="BI1568" s="2">
        <v>17.0930305309918</v>
      </c>
      <c r="BJ1568" s="2">
        <v>15.8374517736884</v>
      </c>
      <c r="BK1568" s="2">
        <v>16.926159646799299</v>
      </c>
      <c r="BL1568" s="2">
        <v>16.925372468949401</v>
      </c>
      <c r="BM1568" s="2">
        <v>17.075172845117802</v>
      </c>
      <c r="BN1568" s="2">
        <v>17.0027585493727</v>
      </c>
      <c r="BO1568" s="2">
        <v>16.626572603543298</v>
      </c>
      <c r="BP1568" s="2">
        <v>16.6090869504464</v>
      </c>
      <c r="BQ1568" s="2">
        <v>16.167670595375199</v>
      </c>
      <c r="BR1568" s="2">
        <v>16.713680244037398</v>
      </c>
      <c r="BS1568" s="2">
        <v>16.411932804743</v>
      </c>
      <c r="BT1568" s="2">
        <v>16.3900837908715</v>
      </c>
      <c r="BU1568" s="2">
        <v>16.976561102881298</v>
      </c>
      <c r="BV1568" s="2">
        <v>16.738756491826599</v>
      </c>
      <c r="BW1568" s="2">
        <v>16.1629331424753</v>
      </c>
      <c r="BX1568" s="2">
        <v>17.020611819858399</v>
      </c>
      <c r="BY1568" s="2">
        <v>17.602818383988001</v>
      </c>
      <c r="BZ1568" s="2">
        <v>16.544597586491001</v>
      </c>
      <c r="CA1568" s="2">
        <v>17.666759573275499</v>
      </c>
      <c r="CB1568" s="2">
        <v>16.591044982616999</v>
      </c>
      <c r="CC1568" s="2">
        <v>16.8710219276592</v>
      </c>
      <c r="CD1568" s="2">
        <v>16.3397449416947</v>
      </c>
      <c r="CE1568" s="2">
        <v>16.856560847891</v>
      </c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</row>
    <row r="1569" spans="1:97">
      <c r="A1569" s="2" t="s">
        <v>13943</v>
      </c>
      <c r="B1569" s="2">
        <v>245.14905999999999</v>
      </c>
      <c r="C1569" s="2">
        <v>4.5819999999999999</v>
      </c>
      <c r="D1569" s="2" t="s">
        <v>84</v>
      </c>
      <c r="E1569" s="2" t="s">
        <v>13944</v>
      </c>
      <c r="F1569" s="2" t="s">
        <v>13945</v>
      </c>
      <c r="G1569" s="2">
        <v>8995</v>
      </c>
      <c r="H1569" s="3" t="str">
        <f>HYPERLINK("https://cloud.oebiotech.com/#/lm/network/8995", "https://cloud.oebiotech.com/#/lm/network/8995")</f>
        <v>https://cloud.oebiotech.com/#/lm/network/8995</v>
      </c>
      <c r="I1569" s="2"/>
      <c r="J1569" s="2"/>
      <c r="K1569" s="2" t="s">
        <v>13946</v>
      </c>
      <c r="L1569" s="2">
        <v>10376441</v>
      </c>
      <c r="M1569" s="2"/>
      <c r="N1569" s="2"/>
      <c r="O1569" s="2"/>
      <c r="P1569" s="2"/>
      <c r="Q1569" s="2"/>
      <c r="R1569" s="2"/>
      <c r="S1569" s="2"/>
      <c r="T1569" s="2" t="s">
        <v>13947</v>
      </c>
      <c r="U1569" s="2" t="s">
        <v>13948</v>
      </c>
      <c r="V1569" s="2" t="s">
        <v>115</v>
      </c>
      <c r="W1569" s="2" t="s">
        <v>116</v>
      </c>
      <c r="X1569" s="2" t="s">
        <v>117</v>
      </c>
      <c r="Y1569" s="2" t="s">
        <v>118</v>
      </c>
      <c r="Z1569" s="2" t="s">
        <v>119</v>
      </c>
      <c r="AA1569" s="2" t="s">
        <v>120</v>
      </c>
      <c r="AB1569" s="2" t="s">
        <v>8443</v>
      </c>
      <c r="AC1569" s="2">
        <v>43.34</v>
      </c>
      <c r="AD1569" s="2">
        <v>93.06</v>
      </c>
      <c r="AE1569" s="2">
        <v>36.03</v>
      </c>
      <c r="AF1569" s="2" t="s">
        <v>13949</v>
      </c>
      <c r="AG1569" s="2" t="s">
        <v>132</v>
      </c>
      <c r="AH1569" s="2" t="s">
        <v>13950</v>
      </c>
      <c r="AI1569" s="2">
        <v>2.04</v>
      </c>
      <c r="AJ1569" s="2">
        <v>17.4088423624287</v>
      </c>
      <c r="AK1569" s="2">
        <v>17.747106422049299</v>
      </c>
      <c r="AL1569" s="2">
        <v>17.802567670859101</v>
      </c>
      <c r="AM1569" s="2">
        <v>17.549725717396399</v>
      </c>
      <c r="AN1569" s="2">
        <v>17.4858051786962</v>
      </c>
      <c r="AO1569" s="2">
        <v>18.1062742089754</v>
      </c>
      <c r="AP1569" s="2">
        <v>17.8231036026528</v>
      </c>
      <c r="AQ1569" s="2">
        <v>17.828654686055199</v>
      </c>
      <c r="AR1569" s="2">
        <v>15.620882760651</v>
      </c>
      <c r="AS1569" s="2">
        <v>17.103287398555398</v>
      </c>
      <c r="AT1569" s="2">
        <v>17.2293978125476</v>
      </c>
      <c r="AU1569" s="2">
        <v>9.6233145402724691</v>
      </c>
      <c r="AV1569" s="2">
        <v>14.971691282526301</v>
      </c>
      <c r="AW1569" s="2">
        <v>16.097242687507599</v>
      </c>
      <c r="AX1569" s="2">
        <v>18.565365640738801</v>
      </c>
      <c r="AY1569" s="2">
        <v>16.699137404950601</v>
      </c>
      <c r="AZ1569" s="2">
        <v>17.090868002879301</v>
      </c>
      <c r="BA1569" s="2">
        <v>15.2863931533038</v>
      </c>
      <c r="BB1569" s="2">
        <v>18.018857489144899</v>
      </c>
      <c r="BC1569" s="2">
        <v>18.922231681842501</v>
      </c>
      <c r="BD1569" s="2">
        <v>13.9575827388673</v>
      </c>
      <c r="BE1569" s="2">
        <v>16.9868561976504</v>
      </c>
      <c r="BF1569" s="2">
        <v>17.009280921619901</v>
      </c>
      <c r="BG1569" s="2">
        <v>17.063707898151499</v>
      </c>
      <c r="BH1569" s="2">
        <v>16.036424559551801</v>
      </c>
      <c r="BI1569" s="2">
        <v>17.689116690603001</v>
      </c>
      <c r="BJ1569" s="2">
        <v>18.555844158713199</v>
      </c>
      <c r="BK1569" s="2">
        <v>9.6233145402724691</v>
      </c>
      <c r="BL1569" s="2">
        <v>15.8344295699303</v>
      </c>
      <c r="BM1569" s="2">
        <v>17.427917278228101</v>
      </c>
      <c r="BN1569" s="2">
        <v>16.361028609599401</v>
      </c>
      <c r="BO1569" s="2">
        <v>14.4984677940912</v>
      </c>
      <c r="BP1569" s="2">
        <v>17.574270141157399</v>
      </c>
      <c r="BQ1569" s="2">
        <v>17.6267297249669</v>
      </c>
      <c r="BR1569" s="2">
        <v>17.8062990694098</v>
      </c>
      <c r="BS1569" s="2">
        <v>15.511745551441299</v>
      </c>
      <c r="BT1569" s="2">
        <v>16.553687335307501</v>
      </c>
      <c r="BU1569" s="2">
        <v>17.349364517306501</v>
      </c>
      <c r="BV1569" s="2">
        <v>16.681128442726099</v>
      </c>
      <c r="BW1569" s="2">
        <v>18.289830323519801</v>
      </c>
      <c r="BX1569" s="2">
        <v>15.8720464497296</v>
      </c>
      <c r="BY1569" s="2">
        <v>16.706194750631202</v>
      </c>
      <c r="BZ1569" s="2">
        <v>18.175434204100402</v>
      </c>
      <c r="CA1569" s="2">
        <v>16.841545797973101</v>
      </c>
      <c r="CB1569" s="2">
        <v>17.0738947958525</v>
      </c>
      <c r="CC1569" s="2">
        <v>17.732070216993499</v>
      </c>
      <c r="CD1569" s="2">
        <v>17.799518661049699</v>
      </c>
      <c r="CE1569" s="2">
        <v>18.3750201227462</v>
      </c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</row>
    <row r="1570" spans="1:97">
      <c r="A1570" s="2" t="s">
        <v>13951</v>
      </c>
      <c r="B1570" s="2">
        <v>399.22041000000002</v>
      </c>
      <c r="C1570" s="2">
        <v>8.2379999999999995</v>
      </c>
      <c r="D1570" s="2" t="s">
        <v>146</v>
      </c>
      <c r="E1570" s="2" t="s">
        <v>13952</v>
      </c>
      <c r="F1570" s="2" t="s">
        <v>13953</v>
      </c>
      <c r="G1570" s="2">
        <v>197228</v>
      </c>
      <c r="H1570" s="3" t="str">
        <f>HYPERLINK("https://cloud.oebiotech.com/#/lm/network/197228", "https://cloud.oebiotech.com/#/lm/network/197228")</f>
        <v>https://cloud.oebiotech.com/#/lm/network/197228</v>
      </c>
      <c r="I1570" s="2" t="s">
        <v>13954</v>
      </c>
      <c r="J1570" s="2"/>
      <c r="K1570" s="2"/>
      <c r="L1570" s="2"/>
      <c r="M1570" s="2"/>
      <c r="N1570" s="2"/>
      <c r="O1570" s="2"/>
      <c r="P1570" s="2"/>
      <c r="Q1570" s="2"/>
      <c r="R1570" s="2"/>
      <c r="S1570" s="2" t="s">
        <v>13955</v>
      </c>
      <c r="T1570" s="2" t="s">
        <v>13956</v>
      </c>
      <c r="U1570" s="2" t="s">
        <v>13957</v>
      </c>
      <c r="V1570" s="2" t="s">
        <v>95</v>
      </c>
      <c r="W1570" s="2" t="s">
        <v>152</v>
      </c>
      <c r="X1570" s="2" t="s">
        <v>1131</v>
      </c>
      <c r="Y1570" s="2" t="s">
        <v>98</v>
      </c>
      <c r="Z1570" s="2" t="s">
        <v>154</v>
      </c>
      <c r="AA1570" s="2" t="s">
        <v>1132</v>
      </c>
      <c r="AB1570" s="2" t="s">
        <v>8443</v>
      </c>
      <c r="AC1570" s="2">
        <v>43.34</v>
      </c>
      <c r="AD1570" s="2">
        <v>83.41</v>
      </c>
      <c r="AE1570" s="2">
        <v>0</v>
      </c>
      <c r="AF1570" s="2" t="s">
        <v>13958</v>
      </c>
      <c r="AG1570" s="2" t="s">
        <v>194</v>
      </c>
      <c r="AH1570" s="2" t="s">
        <v>13959</v>
      </c>
      <c r="AI1570" s="2">
        <v>1.75</v>
      </c>
      <c r="AJ1570" s="2">
        <v>20.602612689611401</v>
      </c>
      <c r="AK1570" s="2">
        <v>20.591579285093101</v>
      </c>
      <c r="AL1570" s="2">
        <v>20.929221235351601</v>
      </c>
      <c r="AM1570" s="2">
        <v>20.873683144519301</v>
      </c>
      <c r="AN1570" s="2">
        <v>20.448947790143201</v>
      </c>
      <c r="AO1570" s="2">
        <v>20.932798375340301</v>
      </c>
      <c r="AP1570" s="2">
        <v>19.901563240575801</v>
      </c>
      <c r="AQ1570" s="2">
        <v>20.792645245241399</v>
      </c>
      <c r="AR1570" s="2">
        <v>18.145790678688702</v>
      </c>
      <c r="AS1570" s="2">
        <v>16.964817242241001</v>
      </c>
      <c r="AT1570" s="2">
        <v>19.0403813957826</v>
      </c>
      <c r="AU1570" s="2">
        <v>18.7882614290051</v>
      </c>
      <c r="AV1570" s="2">
        <v>24.1689860666384</v>
      </c>
      <c r="AW1570" s="2">
        <v>20.2012822439122</v>
      </c>
      <c r="AX1570" s="2">
        <v>20.147527589896001</v>
      </c>
      <c r="AY1570" s="2">
        <v>20.151138339457098</v>
      </c>
      <c r="AZ1570" s="2">
        <v>19.334944503369201</v>
      </c>
      <c r="BA1570" s="2">
        <v>18.9418557313139</v>
      </c>
      <c r="BB1570" s="2">
        <v>17.701168427240301</v>
      </c>
      <c r="BC1570" s="2">
        <v>23.599592173587101</v>
      </c>
      <c r="BD1570" s="2">
        <v>18.238355800843099</v>
      </c>
      <c r="BE1570" s="2">
        <v>24.849582004524802</v>
      </c>
      <c r="BF1570" s="2">
        <v>17.911846211243098</v>
      </c>
      <c r="BG1570" s="2">
        <v>20.2389613968448</v>
      </c>
      <c r="BH1570" s="2">
        <v>23.3984326699177</v>
      </c>
      <c r="BI1570" s="2">
        <v>19.069287091075999</v>
      </c>
      <c r="BJ1570" s="2">
        <v>23.603425428379801</v>
      </c>
      <c r="BK1570" s="2">
        <v>18.080718082878601</v>
      </c>
      <c r="BL1570" s="2">
        <v>18.7362123722253</v>
      </c>
      <c r="BM1570" s="2">
        <v>17.0073428000196</v>
      </c>
      <c r="BN1570" s="2">
        <v>19.740189259461101</v>
      </c>
      <c r="BO1570" s="2">
        <v>18.987524499835999</v>
      </c>
      <c r="BP1570" s="2">
        <v>18.320384014902402</v>
      </c>
      <c r="BQ1570" s="2">
        <v>19.5700858123849</v>
      </c>
      <c r="BR1570" s="2">
        <v>20.4775637960228</v>
      </c>
      <c r="BS1570" s="2">
        <v>19.269865798836399</v>
      </c>
      <c r="BT1570" s="2">
        <v>17.984751211396699</v>
      </c>
      <c r="BU1570" s="2">
        <v>18.313125856197502</v>
      </c>
      <c r="BV1570" s="2">
        <v>17.553724678534</v>
      </c>
      <c r="BW1570" s="2">
        <v>17.663437953381202</v>
      </c>
      <c r="BX1570" s="2">
        <v>17.649065202607101</v>
      </c>
      <c r="BY1570" s="2">
        <v>20.320374571865901</v>
      </c>
      <c r="BZ1570" s="2">
        <v>18.399021809720001</v>
      </c>
      <c r="CA1570" s="2">
        <v>18.6866625395017</v>
      </c>
      <c r="CB1570" s="2">
        <v>18.605947935926601</v>
      </c>
      <c r="CC1570" s="2">
        <v>18.955451146432299</v>
      </c>
      <c r="CD1570" s="2">
        <v>19.379313040859099</v>
      </c>
      <c r="CE1570" s="2">
        <v>17.339176365314401</v>
      </c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</row>
    <row r="1571" spans="1:97">
      <c r="A1571" s="2" t="s">
        <v>13960</v>
      </c>
      <c r="B1571" s="2">
        <v>605.12186999999994</v>
      </c>
      <c r="C1571" s="2">
        <v>4.2130000000000001</v>
      </c>
      <c r="D1571" s="2" t="s">
        <v>84</v>
      </c>
      <c r="E1571" s="2" t="s">
        <v>13961</v>
      </c>
      <c r="F1571" s="2" t="s">
        <v>13962</v>
      </c>
      <c r="G1571" s="2">
        <v>33594</v>
      </c>
      <c r="H1571" s="3" t="str">
        <f>HYPERLINK("https://cloud.oebiotech.com/#/lm/network/33594", "https://cloud.oebiotech.com/#/lm/network/33594")</f>
        <v>https://cloud.oebiotech.com/#/lm/network/33594</v>
      </c>
      <c r="I1571" s="2"/>
      <c r="J1571" s="2"/>
      <c r="K1571" s="2" t="s">
        <v>13963</v>
      </c>
      <c r="L1571" s="2">
        <v>42607544</v>
      </c>
      <c r="M1571" s="2"/>
      <c r="N1571" s="2"/>
      <c r="O1571" s="2"/>
      <c r="P1571" s="2"/>
      <c r="Q1571" s="2"/>
      <c r="R1571" s="2"/>
      <c r="S1571" s="2"/>
      <c r="T1571" s="2" t="s">
        <v>13964</v>
      </c>
      <c r="U1571" s="2" t="s">
        <v>13965</v>
      </c>
      <c r="V1571" s="2" t="s">
        <v>845</v>
      </c>
      <c r="W1571" s="2" t="s">
        <v>1853</v>
      </c>
      <c r="X1571" s="2" t="s">
        <v>6175</v>
      </c>
      <c r="Y1571" s="2" t="s">
        <v>847</v>
      </c>
      <c r="Z1571" s="2" t="s">
        <v>1855</v>
      </c>
      <c r="AA1571" s="2" t="s">
        <v>6176</v>
      </c>
      <c r="AB1571" s="2" t="s">
        <v>3086</v>
      </c>
      <c r="AC1571" s="2">
        <v>43.34</v>
      </c>
      <c r="AD1571" s="2">
        <v>75.22</v>
      </c>
      <c r="AE1571" s="2">
        <v>0</v>
      </c>
      <c r="AF1571" s="2" t="s">
        <v>5614</v>
      </c>
      <c r="AG1571" s="2" t="s">
        <v>3544</v>
      </c>
      <c r="AH1571" s="2" t="s">
        <v>13966</v>
      </c>
      <c r="AI1571" s="2">
        <v>7.93</v>
      </c>
      <c r="AJ1571" s="2">
        <v>18.272189399472101</v>
      </c>
      <c r="AK1571" s="2">
        <v>17.667796723258899</v>
      </c>
      <c r="AL1571" s="2">
        <v>18.199296354406599</v>
      </c>
      <c r="AM1571" s="2">
        <v>18.202919323732601</v>
      </c>
      <c r="AN1571" s="2">
        <v>17.6921333877503</v>
      </c>
      <c r="AO1571" s="2">
        <v>18.2080441288815</v>
      </c>
      <c r="AP1571" s="2">
        <v>18.028550969132102</v>
      </c>
      <c r="AQ1571" s="2">
        <v>17.224701704491199</v>
      </c>
      <c r="AR1571" s="2">
        <v>14.8922999438059</v>
      </c>
      <c r="AS1571" s="2">
        <v>9.6233145402724691</v>
      </c>
      <c r="AT1571" s="2">
        <v>13.758275274087699</v>
      </c>
      <c r="AU1571" s="2">
        <v>16.491886596020901</v>
      </c>
      <c r="AV1571" s="2">
        <v>18.019729872485701</v>
      </c>
      <c r="AW1571" s="2">
        <v>16.5171557179304</v>
      </c>
      <c r="AX1571" s="2">
        <v>15.0352978541861</v>
      </c>
      <c r="AY1571" s="2">
        <v>16.841609799770499</v>
      </c>
      <c r="AZ1571" s="2">
        <v>16.365480396584601</v>
      </c>
      <c r="BA1571" s="2">
        <v>15.5839280693658</v>
      </c>
      <c r="BB1571" s="2">
        <v>17.513398832240199</v>
      </c>
      <c r="BC1571" s="2">
        <v>17.339122070904899</v>
      </c>
      <c r="BD1571" s="2">
        <v>18.2242023905625</v>
      </c>
      <c r="BE1571" s="2">
        <v>18.905330560492001</v>
      </c>
      <c r="BF1571" s="2">
        <v>16.547709121082502</v>
      </c>
      <c r="BG1571" s="2">
        <v>18.130446686481299</v>
      </c>
      <c r="BH1571" s="2">
        <v>18.048275965323601</v>
      </c>
      <c r="BI1571" s="2">
        <v>17.623713057192401</v>
      </c>
      <c r="BJ1571" s="2">
        <v>17.937006156479399</v>
      </c>
      <c r="BK1571" s="2">
        <v>17.184704330340502</v>
      </c>
      <c r="BL1571" s="2">
        <v>17.5215491440105</v>
      </c>
      <c r="BM1571" s="2">
        <v>18.0916753540901</v>
      </c>
      <c r="BN1571" s="2">
        <v>18.716664886234501</v>
      </c>
      <c r="BO1571" s="2">
        <v>17.689540779925899</v>
      </c>
      <c r="BP1571" s="2">
        <v>17.8070656949042</v>
      </c>
      <c r="BQ1571" s="2">
        <v>17.3752707749656</v>
      </c>
      <c r="BR1571" s="2">
        <v>15.336647767973799</v>
      </c>
      <c r="BS1571" s="2">
        <v>18.063803414900999</v>
      </c>
      <c r="BT1571" s="2">
        <v>16.698606058623199</v>
      </c>
      <c r="BU1571" s="2">
        <v>13.854162248068899</v>
      </c>
      <c r="BV1571" s="2">
        <v>18.375330514319401</v>
      </c>
      <c r="BW1571" s="2">
        <v>15.845646122111701</v>
      </c>
      <c r="BX1571" s="2">
        <v>17.668858606433201</v>
      </c>
      <c r="BY1571" s="2">
        <v>19.142420393513198</v>
      </c>
      <c r="BZ1571" s="2">
        <v>17.2322227566141</v>
      </c>
      <c r="CA1571" s="2">
        <v>17.922322723270199</v>
      </c>
      <c r="CB1571" s="2">
        <v>17.234643631269702</v>
      </c>
      <c r="CC1571" s="2">
        <v>17.205877899121901</v>
      </c>
      <c r="CD1571" s="2">
        <v>18.924945355629401</v>
      </c>
      <c r="CE1571" s="2">
        <v>13.990590631750001</v>
      </c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</row>
    <row r="1572" spans="1:97">
      <c r="A1572" s="2" t="s">
        <v>13967</v>
      </c>
      <c r="B1572" s="2">
        <v>337.27307000000002</v>
      </c>
      <c r="C1572" s="2">
        <v>10.206</v>
      </c>
      <c r="D1572" s="2" t="s">
        <v>84</v>
      </c>
      <c r="E1572" s="2" t="s">
        <v>13968</v>
      </c>
      <c r="F1572" s="2" t="s">
        <v>13969</v>
      </c>
      <c r="G1572" s="2">
        <v>2251</v>
      </c>
      <c r="H1572" s="3" t="str">
        <f>HYPERLINK("https://cloud.oebiotech.com/#/lm/network/2251", "https://cloud.oebiotech.com/#/lm/network/2251")</f>
        <v>https://cloud.oebiotech.com/#/lm/network/2251</v>
      </c>
      <c r="I1572" s="2"/>
      <c r="J1572" s="2"/>
      <c r="K1572" s="2" t="s">
        <v>13970</v>
      </c>
      <c r="L1572" s="2">
        <v>15003230</v>
      </c>
      <c r="M1572" s="2"/>
      <c r="N1572" s="2"/>
      <c r="O1572" s="2"/>
      <c r="P1572" s="2"/>
      <c r="Q1572" s="2"/>
      <c r="R1572" s="2"/>
      <c r="S1572" s="2"/>
      <c r="T1572" s="2" t="s">
        <v>13971</v>
      </c>
      <c r="U1572" s="2" t="s">
        <v>13972</v>
      </c>
      <c r="V1572" s="2" t="s">
        <v>95</v>
      </c>
      <c r="W1572" s="2" t="s">
        <v>96</v>
      </c>
      <c r="X1572" s="2" t="s">
        <v>97</v>
      </c>
      <c r="Y1572" s="2" t="s">
        <v>98</v>
      </c>
      <c r="Z1572" s="2" t="s">
        <v>99</v>
      </c>
      <c r="AA1572" s="2" t="s">
        <v>100</v>
      </c>
      <c r="AB1572" s="2" t="s">
        <v>8443</v>
      </c>
      <c r="AC1572" s="2">
        <v>43.31</v>
      </c>
      <c r="AD1572" s="2">
        <v>86.61</v>
      </c>
      <c r="AE1572" s="2">
        <v>42.28</v>
      </c>
      <c r="AF1572" s="2" t="s">
        <v>13973</v>
      </c>
      <c r="AG1572" s="2" t="s">
        <v>103</v>
      </c>
      <c r="AH1572" s="2" t="s">
        <v>10156</v>
      </c>
      <c r="AI1572" s="2">
        <v>1.78</v>
      </c>
      <c r="AJ1572" s="2">
        <v>20.153561716965399</v>
      </c>
      <c r="AK1572" s="2">
        <v>19.9794506512787</v>
      </c>
      <c r="AL1572" s="2">
        <v>20.074597382251099</v>
      </c>
      <c r="AM1572" s="2">
        <v>20.031450644301401</v>
      </c>
      <c r="AN1572" s="2">
        <v>20.062441690667299</v>
      </c>
      <c r="AO1572" s="2">
        <v>19.8592012871859</v>
      </c>
      <c r="AP1572" s="2">
        <v>19.982113785528501</v>
      </c>
      <c r="AQ1572" s="2">
        <v>20.0038652389409</v>
      </c>
      <c r="AR1572" s="2">
        <v>20.107342515549501</v>
      </c>
      <c r="AS1572" s="2">
        <v>18.843516849469999</v>
      </c>
      <c r="AT1572" s="2">
        <v>19.0963196869779</v>
      </c>
      <c r="AU1572" s="2">
        <v>20.662532634966301</v>
      </c>
      <c r="AV1572" s="2">
        <v>19.7762766814595</v>
      </c>
      <c r="AW1572" s="2">
        <v>20.142826953447099</v>
      </c>
      <c r="AX1572" s="2">
        <v>19.413763687617202</v>
      </c>
      <c r="AY1572" s="2">
        <v>19.964472526661499</v>
      </c>
      <c r="AZ1572" s="2">
        <v>20.0601229517749</v>
      </c>
      <c r="BA1572" s="2">
        <v>19.097213748173498</v>
      </c>
      <c r="BB1572" s="2">
        <v>19.436364098088202</v>
      </c>
      <c r="BC1572" s="2">
        <v>19.577017409064101</v>
      </c>
      <c r="BD1572" s="2">
        <v>19.776225026644902</v>
      </c>
      <c r="BE1572" s="2">
        <v>19.9284250925514</v>
      </c>
      <c r="BF1572" s="2">
        <v>19.808062161475601</v>
      </c>
      <c r="BG1572" s="2">
        <v>19.945805370748602</v>
      </c>
      <c r="BH1572" s="2">
        <v>19.973920962561301</v>
      </c>
      <c r="BI1572" s="2">
        <v>20.631590946432599</v>
      </c>
      <c r="BJ1572" s="2">
        <v>19.692326579621898</v>
      </c>
      <c r="BK1572" s="2">
        <v>19.655669298768199</v>
      </c>
      <c r="BL1572" s="2">
        <v>20.376210396732301</v>
      </c>
      <c r="BM1572" s="2">
        <v>20.559188116187201</v>
      </c>
      <c r="BN1572" s="2">
        <v>20.573562448710302</v>
      </c>
      <c r="BO1572" s="2">
        <v>19.866591331233899</v>
      </c>
      <c r="BP1572" s="2">
        <v>19.7020367632995</v>
      </c>
      <c r="BQ1572" s="2">
        <v>19.769065382393801</v>
      </c>
      <c r="BR1572" s="2">
        <v>20.596324785874199</v>
      </c>
      <c r="BS1572" s="2">
        <v>20.495504354161401</v>
      </c>
      <c r="BT1572" s="2">
        <v>19.552904367231001</v>
      </c>
      <c r="BU1572" s="2">
        <v>19.330980363910399</v>
      </c>
      <c r="BV1572" s="2">
        <v>19.892617283138499</v>
      </c>
      <c r="BW1572" s="2">
        <v>19.163776015374602</v>
      </c>
      <c r="BX1572" s="2">
        <v>20.334786011910602</v>
      </c>
      <c r="BY1572" s="2">
        <v>20.829661292593901</v>
      </c>
      <c r="BZ1572" s="2">
        <v>19.758988200675599</v>
      </c>
      <c r="CA1572" s="2">
        <v>19.760972793213099</v>
      </c>
      <c r="CB1572" s="2">
        <v>19.572543770136001</v>
      </c>
      <c r="CC1572" s="2">
        <v>19.6297209799394</v>
      </c>
      <c r="CD1572" s="2">
        <v>19.803064446997901</v>
      </c>
      <c r="CE1572" s="2">
        <v>18.998976161157</v>
      </c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</row>
    <row r="1573" spans="1:97">
      <c r="A1573" s="2" t="s">
        <v>13974</v>
      </c>
      <c r="B1573" s="2">
        <v>233.18969999999999</v>
      </c>
      <c r="C1573" s="2">
        <v>10.301</v>
      </c>
      <c r="D1573" s="2" t="s">
        <v>84</v>
      </c>
      <c r="E1573" s="2" t="s">
        <v>13975</v>
      </c>
      <c r="F1573" s="2" t="s">
        <v>13976</v>
      </c>
      <c r="G1573" s="2">
        <v>595699</v>
      </c>
      <c r="H1573" s="3" t="str">
        <f>HYPERLINK("https://cloud.oebiotech.com/#/lm/network/595699", "https://cloud.oebiotech.com/#/lm/network/595699")</f>
        <v>https://cloud.oebiotech.com/#/lm/network/595699</v>
      </c>
      <c r="I1573" s="2"/>
      <c r="J1573" s="2"/>
      <c r="K1573" s="2"/>
      <c r="L1573" s="2">
        <v>14923766</v>
      </c>
      <c r="M1573" s="2"/>
      <c r="N1573" s="2"/>
      <c r="O1573" s="2"/>
      <c r="P1573" s="2"/>
      <c r="Q1573" s="2"/>
      <c r="R1573" s="2"/>
      <c r="S1573" s="2"/>
      <c r="T1573" s="2" t="s">
        <v>13977</v>
      </c>
      <c r="U1573" s="2" t="s">
        <v>13978</v>
      </c>
      <c r="V1573" s="2" t="s">
        <v>385</v>
      </c>
      <c r="W1573" s="2" t="s">
        <v>386</v>
      </c>
      <c r="X1573" s="2" t="s">
        <v>4857</v>
      </c>
      <c r="Y1573" s="2" t="s">
        <v>388</v>
      </c>
      <c r="Z1573" s="2" t="s">
        <v>389</v>
      </c>
      <c r="AA1573" s="2" t="s">
        <v>4858</v>
      </c>
      <c r="AB1573" s="2" t="s">
        <v>8443</v>
      </c>
      <c r="AC1573" s="2">
        <v>43.28</v>
      </c>
      <c r="AD1573" s="2">
        <v>89.9</v>
      </c>
      <c r="AE1573" s="2">
        <v>0</v>
      </c>
      <c r="AF1573" s="2" t="s">
        <v>5614</v>
      </c>
      <c r="AG1573" s="2" t="s">
        <v>1088</v>
      </c>
      <c r="AH1573" s="2" t="s">
        <v>13979</v>
      </c>
      <c r="AI1573" s="2">
        <v>3.86</v>
      </c>
      <c r="AJ1573" s="2">
        <v>19.721075951984901</v>
      </c>
      <c r="AK1573" s="2">
        <v>19.292906234025299</v>
      </c>
      <c r="AL1573" s="2">
        <v>19.275977510498599</v>
      </c>
      <c r="AM1573" s="2">
        <v>19.079734584820901</v>
      </c>
      <c r="AN1573" s="2">
        <v>19.011291636612</v>
      </c>
      <c r="AO1573" s="2">
        <v>19.048138190136399</v>
      </c>
      <c r="AP1573" s="2">
        <v>19.163364923575401</v>
      </c>
      <c r="AQ1573" s="2">
        <v>19.130792849895901</v>
      </c>
      <c r="AR1573" s="2">
        <v>19.413211339773898</v>
      </c>
      <c r="AS1573" s="2">
        <v>19.721634214206599</v>
      </c>
      <c r="AT1573" s="2">
        <v>19.463013114006099</v>
      </c>
      <c r="AU1573" s="2">
        <v>19.449402342739599</v>
      </c>
      <c r="AV1573" s="2">
        <v>19.3273129936542</v>
      </c>
      <c r="AW1573" s="2">
        <v>19.3626416865972</v>
      </c>
      <c r="AX1573" s="2">
        <v>19.827530785845699</v>
      </c>
      <c r="AY1573" s="2">
        <v>19.664319446509001</v>
      </c>
      <c r="AZ1573" s="2">
        <v>19.746774998138498</v>
      </c>
      <c r="BA1573" s="2">
        <v>19.840456748818401</v>
      </c>
      <c r="BB1573" s="2">
        <v>19.473219791783599</v>
      </c>
      <c r="BC1573" s="2">
        <v>19.586546732754599</v>
      </c>
      <c r="BD1573" s="2">
        <v>19.623914613535401</v>
      </c>
      <c r="BE1573" s="2">
        <v>19.403788010949601</v>
      </c>
      <c r="BF1573" s="2">
        <v>19.434081653037499</v>
      </c>
      <c r="BG1573" s="2">
        <v>19.3783638058535</v>
      </c>
      <c r="BH1573" s="2">
        <v>19.3385537929842</v>
      </c>
      <c r="BI1573" s="2">
        <v>19.469327993917801</v>
      </c>
      <c r="BJ1573" s="2">
        <v>19.121916849220199</v>
      </c>
      <c r="BK1573" s="2">
        <v>19.348224153240299</v>
      </c>
      <c r="BL1573" s="2">
        <v>19.3236786907866</v>
      </c>
      <c r="BM1573" s="2">
        <v>18.992711901816101</v>
      </c>
      <c r="BN1573" s="2">
        <v>18.803103495366798</v>
      </c>
      <c r="BO1573" s="2">
        <v>19.441388657542699</v>
      </c>
      <c r="BP1573" s="2">
        <v>18.9984039164347</v>
      </c>
      <c r="BQ1573" s="2">
        <v>19.2267106849256</v>
      </c>
      <c r="BR1573" s="2">
        <v>19.374418116466199</v>
      </c>
      <c r="BS1573" s="2">
        <v>19.551584394842799</v>
      </c>
      <c r="BT1573" s="2">
        <v>19.3212759654194</v>
      </c>
      <c r="BU1573" s="2">
        <v>19.359352788648302</v>
      </c>
      <c r="BV1573" s="2">
        <v>19.26157128422</v>
      </c>
      <c r="BW1573" s="2">
        <v>19.4110519422367</v>
      </c>
      <c r="BX1573" s="2">
        <v>19.546861704895701</v>
      </c>
      <c r="BY1573" s="2">
        <v>18.619423506958999</v>
      </c>
      <c r="BZ1573" s="2">
        <v>19.673422368337899</v>
      </c>
      <c r="CA1573" s="2">
        <v>19.024640769737601</v>
      </c>
      <c r="CB1573" s="2">
        <v>18.7194186695423</v>
      </c>
      <c r="CC1573" s="2">
        <v>19.2055924846733</v>
      </c>
      <c r="CD1573" s="2">
        <v>19.218999373804898</v>
      </c>
      <c r="CE1573" s="2">
        <v>19.109461110150502</v>
      </c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</row>
    <row r="1574" spans="1:97">
      <c r="A1574" s="2" t="s">
        <v>13980</v>
      </c>
      <c r="B1574" s="2">
        <v>373.05108000000001</v>
      </c>
      <c r="C1574" s="2">
        <v>7.4059999999999997</v>
      </c>
      <c r="D1574" s="2" t="s">
        <v>146</v>
      </c>
      <c r="E1574" s="2" t="s">
        <v>13981</v>
      </c>
      <c r="F1574" s="2" t="s">
        <v>13982</v>
      </c>
      <c r="G1574" s="2">
        <v>57152</v>
      </c>
      <c r="H1574" s="3" t="str">
        <f>HYPERLINK("https://cloud.oebiotech.com/#/lm/network/57152", "https://cloud.oebiotech.com/#/lm/network/57152")</f>
        <v>https://cloud.oebiotech.com/#/lm/network/57152</v>
      </c>
      <c r="I1574" s="2" t="s">
        <v>13983</v>
      </c>
      <c r="J1574" s="2"/>
      <c r="K1574" s="2"/>
      <c r="L1574" s="2"/>
      <c r="M1574" s="2"/>
      <c r="N1574" s="2"/>
      <c r="O1574" s="2"/>
      <c r="P1574" s="2"/>
      <c r="Q1574" s="2"/>
      <c r="R1574" s="2"/>
      <c r="S1574" s="2" t="s">
        <v>13984</v>
      </c>
      <c r="T1574" s="2" t="s">
        <v>13985</v>
      </c>
      <c r="U1574" s="2" t="s">
        <v>13986</v>
      </c>
      <c r="V1574" s="2" t="s">
        <v>385</v>
      </c>
      <c r="W1574" s="2" t="s">
        <v>4381</v>
      </c>
      <c r="X1574" s="2" t="s">
        <v>13987</v>
      </c>
      <c r="Y1574" s="2" t="s">
        <v>388</v>
      </c>
      <c r="Z1574" s="2" t="s">
        <v>4382</v>
      </c>
      <c r="AA1574" s="2" t="s">
        <v>13988</v>
      </c>
      <c r="AB1574" s="2" t="s">
        <v>5118</v>
      </c>
      <c r="AC1574" s="2">
        <v>43.27</v>
      </c>
      <c r="AD1574" s="2">
        <v>84.69</v>
      </c>
      <c r="AE1574" s="2">
        <v>51.78</v>
      </c>
      <c r="AF1574" s="2" t="s">
        <v>13989</v>
      </c>
      <c r="AG1574" s="2" t="s">
        <v>157</v>
      </c>
      <c r="AH1574" s="2" t="s">
        <v>13990</v>
      </c>
      <c r="AI1574" s="2">
        <v>-2.95</v>
      </c>
      <c r="AJ1574" s="2">
        <v>17.792598533846</v>
      </c>
      <c r="AK1574" s="2">
        <v>17.901259531926399</v>
      </c>
      <c r="AL1574" s="2">
        <v>17.699726363092399</v>
      </c>
      <c r="AM1574" s="2">
        <v>17.734707635883801</v>
      </c>
      <c r="AN1574" s="2">
        <v>17.639097883547102</v>
      </c>
      <c r="AO1574" s="2">
        <v>17.751909995076801</v>
      </c>
      <c r="AP1574" s="2">
        <v>17.846805591660299</v>
      </c>
      <c r="AQ1574" s="2">
        <v>17.676384732255102</v>
      </c>
      <c r="AR1574" s="2">
        <v>17.919514668937801</v>
      </c>
      <c r="AS1574" s="2">
        <v>16.199269559251402</v>
      </c>
      <c r="AT1574" s="2">
        <v>18.121890524807899</v>
      </c>
      <c r="AU1574" s="2">
        <v>17.794388005759298</v>
      </c>
      <c r="AV1574" s="2">
        <v>16.563263315929898</v>
      </c>
      <c r="AW1574" s="2">
        <v>18.5243533161945</v>
      </c>
      <c r="AX1574" s="2">
        <v>16.234511723976699</v>
      </c>
      <c r="AY1574" s="2">
        <v>16.6027140862981</v>
      </c>
      <c r="AZ1574" s="2">
        <v>15.9024952398516</v>
      </c>
      <c r="BA1574" s="2">
        <v>18.410196964305701</v>
      </c>
      <c r="BB1574" s="2">
        <v>17.7870761186932</v>
      </c>
      <c r="BC1574" s="2">
        <v>18.093116025708301</v>
      </c>
      <c r="BD1574" s="2">
        <v>18.1722001650792</v>
      </c>
      <c r="BE1574" s="2">
        <v>16.2789483112591</v>
      </c>
      <c r="BF1574" s="2">
        <v>17.075935769086701</v>
      </c>
      <c r="BG1574" s="2">
        <v>16.675918038422498</v>
      </c>
      <c r="BH1574" s="2">
        <v>16.963642547777901</v>
      </c>
      <c r="BI1574" s="2">
        <v>16.818956332978001</v>
      </c>
      <c r="BJ1574" s="2">
        <v>19.433589047394602</v>
      </c>
      <c r="BK1574" s="2">
        <v>18.330838906209401</v>
      </c>
      <c r="BL1574" s="2">
        <v>17.001325171062199</v>
      </c>
      <c r="BM1574" s="2">
        <v>17.2453879017635</v>
      </c>
      <c r="BN1574" s="2">
        <v>18.4624536648545</v>
      </c>
      <c r="BO1574" s="2">
        <v>18.031054890319002</v>
      </c>
      <c r="BP1574" s="2">
        <v>13.413552566336101</v>
      </c>
      <c r="BQ1574" s="2">
        <v>17.847835157359398</v>
      </c>
      <c r="BR1574" s="2">
        <v>16.587463738220901</v>
      </c>
      <c r="BS1574" s="2">
        <v>16.873370692580998</v>
      </c>
      <c r="BT1574" s="2">
        <v>19.794363333773301</v>
      </c>
      <c r="BU1574" s="2">
        <v>18.265640911996201</v>
      </c>
      <c r="BV1574" s="2">
        <v>17.542772079132799</v>
      </c>
      <c r="BW1574" s="2">
        <v>16.073075023454201</v>
      </c>
      <c r="BX1574" s="2">
        <v>17.793747571570499</v>
      </c>
      <c r="BY1574" s="2">
        <v>16.835007837494601</v>
      </c>
      <c r="BZ1574" s="2">
        <v>15.0777140794892</v>
      </c>
      <c r="CA1574" s="2">
        <v>17.442009769027301</v>
      </c>
      <c r="CB1574" s="2">
        <v>14.852472939668599</v>
      </c>
      <c r="CC1574" s="2">
        <v>17.9038757278228</v>
      </c>
      <c r="CD1574" s="2">
        <v>18.197517591217501</v>
      </c>
      <c r="CE1574" s="2">
        <v>18.398115465199801</v>
      </c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</row>
    <row r="1575" spans="1:97">
      <c r="A1575" s="2" t="s">
        <v>13991</v>
      </c>
      <c r="B1575" s="2">
        <v>301.11549000000002</v>
      </c>
      <c r="C1575" s="2">
        <v>4.8339999999999996</v>
      </c>
      <c r="D1575" s="2" t="s">
        <v>84</v>
      </c>
      <c r="E1575" s="2" t="s">
        <v>13992</v>
      </c>
      <c r="F1575" s="2"/>
      <c r="G1575" s="2">
        <v>596624</v>
      </c>
      <c r="H1575" s="3" t="str">
        <f>HYPERLINK("https://cloud.oebiotech.com/#/lm/network/596624", "https://cloud.oebiotech.com/#/lm/network/596624")</f>
        <v>https://cloud.oebiotech.com/#/lm/network/596624</v>
      </c>
      <c r="I1575" s="2"/>
      <c r="J1575" s="2"/>
      <c r="K1575" s="2"/>
      <c r="L1575" s="2">
        <v>14522746</v>
      </c>
      <c r="M1575" s="2"/>
      <c r="N1575" s="2"/>
      <c r="O1575" s="2"/>
      <c r="P1575" s="2"/>
      <c r="Q1575" s="2"/>
      <c r="R1575" s="2"/>
      <c r="S1575" s="2"/>
      <c r="T1575" s="2" t="s">
        <v>13993</v>
      </c>
      <c r="U1575" s="2" t="s">
        <v>13994</v>
      </c>
      <c r="V1575" s="2" t="s">
        <v>115</v>
      </c>
      <c r="W1575" s="2" t="s">
        <v>116</v>
      </c>
      <c r="X1575" s="2" t="s">
        <v>117</v>
      </c>
      <c r="Y1575" s="2" t="s">
        <v>118</v>
      </c>
      <c r="Z1575" s="2" t="s">
        <v>119</v>
      </c>
      <c r="AA1575" s="2" t="s">
        <v>120</v>
      </c>
      <c r="AB1575" s="2" t="s">
        <v>8443</v>
      </c>
      <c r="AC1575" s="2">
        <v>43.27</v>
      </c>
      <c r="AD1575" s="2">
        <v>74.44</v>
      </c>
      <c r="AE1575" s="2">
        <v>0</v>
      </c>
      <c r="AF1575" s="2" t="s">
        <v>5614</v>
      </c>
      <c r="AG1575" s="2" t="s">
        <v>1578</v>
      </c>
      <c r="AH1575" s="2" t="s">
        <v>13995</v>
      </c>
      <c r="AI1575" s="2">
        <v>1.33</v>
      </c>
      <c r="AJ1575" s="2">
        <v>18.840551624361499</v>
      </c>
      <c r="AK1575" s="2">
        <v>19.069770686692799</v>
      </c>
      <c r="AL1575" s="2">
        <v>19.252683516836999</v>
      </c>
      <c r="AM1575" s="2">
        <v>19.063750260136398</v>
      </c>
      <c r="AN1575" s="2">
        <v>19.182433563921499</v>
      </c>
      <c r="AO1575" s="2">
        <v>18.988085260520201</v>
      </c>
      <c r="AP1575" s="2">
        <v>19.0237808524865</v>
      </c>
      <c r="AQ1575" s="2">
        <v>18.926020765971099</v>
      </c>
      <c r="AR1575" s="2">
        <v>17.377032809650501</v>
      </c>
      <c r="AS1575" s="2">
        <v>15.8071148889996</v>
      </c>
      <c r="AT1575" s="2">
        <v>14.84648548066</v>
      </c>
      <c r="AU1575" s="2">
        <v>17.7129007507186</v>
      </c>
      <c r="AV1575" s="2">
        <v>19.350971005096898</v>
      </c>
      <c r="AW1575" s="2">
        <v>19.068840797403801</v>
      </c>
      <c r="AX1575" s="2">
        <v>18.840905531613998</v>
      </c>
      <c r="AY1575" s="2">
        <v>18.078676312276698</v>
      </c>
      <c r="AZ1575" s="2">
        <v>18.127497865959601</v>
      </c>
      <c r="BA1575" s="2">
        <v>18.648668046855299</v>
      </c>
      <c r="BB1575" s="2">
        <v>18.946123340380598</v>
      </c>
      <c r="BC1575" s="2">
        <v>9.6233145402724691</v>
      </c>
      <c r="BD1575" s="2">
        <v>19.0243479375115</v>
      </c>
      <c r="BE1575" s="2">
        <v>20.723082228645101</v>
      </c>
      <c r="BF1575" s="2">
        <v>16.685174063977801</v>
      </c>
      <c r="BG1575" s="2">
        <v>19.379026018961401</v>
      </c>
      <c r="BH1575" s="2">
        <v>19.5050279873435</v>
      </c>
      <c r="BI1575" s="2">
        <v>20.1024328120922</v>
      </c>
      <c r="BJ1575" s="2">
        <v>19.255217615083701</v>
      </c>
      <c r="BK1575" s="2">
        <v>18.6517344167586</v>
      </c>
      <c r="BL1575" s="2">
        <v>18.171313891351598</v>
      </c>
      <c r="BM1575" s="2">
        <v>17.217933281770101</v>
      </c>
      <c r="BN1575" s="2">
        <v>18.304322441802601</v>
      </c>
      <c r="BO1575" s="2">
        <v>17.212830535887001</v>
      </c>
      <c r="BP1575" s="2">
        <v>19.106170086860999</v>
      </c>
      <c r="BQ1575" s="2">
        <v>18.311095669980599</v>
      </c>
      <c r="BR1575" s="2">
        <v>17.371121838859299</v>
      </c>
      <c r="BS1575" s="2">
        <v>19.287204844847</v>
      </c>
      <c r="BT1575" s="2">
        <v>19.299812078601501</v>
      </c>
      <c r="BU1575" s="2">
        <v>18.1737735469551</v>
      </c>
      <c r="BV1575" s="2">
        <v>17.145238406274299</v>
      </c>
      <c r="BW1575" s="2">
        <v>9.6233145402724691</v>
      </c>
      <c r="BX1575" s="2">
        <v>18.892344062419799</v>
      </c>
      <c r="BY1575" s="2">
        <v>20.5131865108401</v>
      </c>
      <c r="BZ1575" s="2">
        <v>17.5290678215563</v>
      </c>
      <c r="CA1575" s="2">
        <v>9.6233145402724691</v>
      </c>
      <c r="CB1575" s="2">
        <v>17.6199285675151</v>
      </c>
      <c r="CC1575" s="2">
        <v>18.217253960690702</v>
      </c>
      <c r="CD1575" s="2">
        <v>19.2463939603157</v>
      </c>
      <c r="CE1575" s="2">
        <v>17.3327577505639</v>
      </c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</row>
    <row r="1576" spans="1:97">
      <c r="A1576" s="2" t="s">
        <v>13996</v>
      </c>
      <c r="B1576" s="2">
        <v>513.41539999999998</v>
      </c>
      <c r="C1576" s="2">
        <v>13.443</v>
      </c>
      <c r="D1576" s="2" t="s">
        <v>146</v>
      </c>
      <c r="E1576" s="2" t="s">
        <v>13997</v>
      </c>
      <c r="F1576" s="2" t="s">
        <v>13998</v>
      </c>
      <c r="G1576" s="2">
        <v>2954</v>
      </c>
      <c r="H1576" s="3" t="str">
        <f>HYPERLINK("https://cloud.oebiotech.com/#/lm/network/2954", "https://cloud.oebiotech.com/#/lm/network/2954")</f>
        <v>https://cloud.oebiotech.com/#/lm/network/2954</v>
      </c>
      <c r="I1576" s="2"/>
      <c r="J1576" s="2"/>
      <c r="K1576" s="2" t="s">
        <v>13999</v>
      </c>
      <c r="L1576" s="2">
        <v>13828363</v>
      </c>
      <c r="M1576" s="2"/>
      <c r="N1576" s="2"/>
      <c r="O1576" s="2"/>
      <c r="P1576" s="2"/>
      <c r="Q1576" s="2"/>
      <c r="R1576" s="2"/>
      <c r="S1576" s="2"/>
      <c r="T1576" s="2" t="s">
        <v>14000</v>
      </c>
      <c r="U1576" s="2" t="s">
        <v>14001</v>
      </c>
      <c r="V1576" s="2" t="s">
        <v>95</v>
      </c>
      <c r="W1576" s="2" t="s">
        <v>96</v>
      </c>
      <c r="X1576" s="2" t="s">
        <v>141</v>
      </c>
      <c r="Y1576" s="2" t="s">
        <v>98</v>
      </c>
      <c r="Z1576" s="2" t="s">
        <v>99</v>
      </c>
      <c r="AA1576" s="2" t="s">
        <v>142</v>
      </c>
      <c r="AB1576" s="2" t="s">
        <v>8443</v>
      </c>
      <c r="AC1576" s="2">
        <v>43.27</v>
      </c>
      <c r="AD1576" s="2">
        <v>79.91</v>
      </c>
      <c r="AE1576" s="2">
        <v>0</v>
      </c>
      <c r="AF1576" s="2" t="s">
        <v>14002</v>
      </c>
      <c r="AG1576" s="2" t="s">
        <v>157</v>
      </c>
      <c r="AH1576" s="2" t="s">
        <v>14003</v>
      </c>
      <c r="AI1576" s="2">
        <v>1.36</v>
      </c>
      <c r="AJ1576" s="2">
        <v>18.4663231365688</v>
      </c>
      <c r="AK1576" s="2">
        <v>17.424928155310301</v>
      </c>
      <c r="AL1576" s="2">
        <v>17.960872799506099</v>
      </c>
      <c r="AM1576" s="2">
        <v>17.823591835033501</v>
      </c>
      <c r="AN1576" s="2">
        <v>18.495537310507299</v>
      </c>
      <c r="AO1576" s="2">
        <v>18.359601716649099</v>
      </c>
      <c r="AP1576" s="2">
        <v>18.262698289652199</v>
      </c>
      <c r="AQ1576" s="2">
        <v>18.450406013141901</v>
      </c>
      <c r="AR1576" s="2">
        <v>17.508163998644498</v>
      </c>
      <c r="AS1576" s="2">
        <v>17.662266844805501</v>
      </c>
      <c r="AT1576" s="2">
        <v>17.918971519173301</v>
      </c>
      <c r="AU1576" s="2">
        <v>17.5710822969369</v>
      </c>
      <c r="AV1576" s="2">
        <v>16.0683678860537</v>
      </c>
      <c r="AW1576" s="2">
        <v>15.620219252645599</v>
      </c>
      <c r="AX1576" s="2">
        <v>17.346467159237299</v>
      </c>
      <c r="AY1576" s="2">
        <v>18.3983355385277</v>
      </c>
      <c r="AZ1576" s="2">
        <v>18.091612292815999</v>
      </c>
      <c r="BA1576" s="2">
        <v>18.867674560094699</v>
      </c>
      <c r="BB1576" s="2">
        <v>17.788525966474001</v>
      </c>
      <c r="BC1576" s="2">
        <v>19.130017586961401</v>
      </c>
      <c r="BD1576" s="2">
        <v>16.962707389181801</v>
      </c>
      <c r="BE1576" s="2">
        <v>17.670073909008099</v>
      </c>
      <c r="BF1576" s="2">
        <v>17.221994577493799</v>
      </c>
      <c r="BG1576" s="2">
        <v>18.709842120215399</v>
      </c>
      <c r="BH1576" s="2">
        <v>17.077656923794901</v>
      </c>
      <c r="BI1576" s="2">
        <v>17.7176154483152</v>
      </c>
      <c r="BJ1576" s="2">
        <v>18.490103927060801</v>
      </c>
      <c r="BK1576" s="2">
        <v>16.594853940189999</v>
      </c>
      <c r="BL1576" s="2">
        <v>17.774884391398999</v>
      </c>
      <c r="BM1576" s="2">
        <v>18.1302874012909</v>
      </c>
      <c r="BN1576" s="2">
        <v>17.495194379334301</v>
      </c>
      <c r="BO1576" s="2">
        <v>17.3781916259524</v>
      </c>
      <c r="BP1576" s="2">
        <v>16.2978589760781</v>
      </c>
      <c r="BQ1576" s="2">
        <v>16.213942800645601</v>
      </c>
      <c r="BR1576" s="2">
        <v>17.082691800667199</v>
      </c>
      <c r="BS1576" s="2">
        <v>17.839549937760101</v>
      </c>
      <c r="BT1576" s="2">
        <v>17.853982798135998</v>
      </c>
      <c r="BU1576" s="2">
        <v>18.993380400174399</v>
      </c>
      <c r="BV1576" s="2">
        <v>18.003263481155699</v>
      </c>
      <c r="BW1576" s="2">
        <v>17.196889853098501</v>
      </c>
      <c r="BX1576" s="2">
        <v>17.685954858433298</v>
      </c>
      <c r="BY1576" s="2">
        <v>18.635562010252901</v>
      </c>
      <c r="BZ1576" s="2">
        <v>17.628359171223899</v>
      </c>
      <c r="CA1576" s="2">
        <v>17.480608385708301</v>
      </c>
      <c r="CB1576" s="2">
        <v>18.057518387687601</v>
      </c>
      <c r="CC1576" s="2">
        <v>17.689369329884101</v>
      </c>
      <c r="CD1576" s="2">
        <v>17.6393249502886</v>
      </c>
      <c r="CE1576" s="2">
        <v>17.879611426975099</v>
      </c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</row>
    <row r="1577" spans="1:97">
      <c r="A1577" s="2" t="s">
        <v>14004</v>
      </c>
      <c r="B1577" s="2">
        <v>819.59213999999997</v>
      </c>
      <c r="C1577" s="2">
        <v>8.798</v>
      </c>
      <c r="D1577" s="2" t="s">
        <v>146</v>
      </c>
      <c r="E1577" s="2" t="s">
        <v>14005</v>
      </c>
      <c r="F1577" s="2" t="s">
        <v>14006</v>
      </c>
      <c r="G1577" s="2">
        <v>136096</v>
      </c>
      <c r="H1577" s="3" t="str">
        <f>HYPERLINK("https://cloud.oebiotech.com/#/lm/network/136096", "https://cloud.oebiotech.com/#/lm/network/136096")</f>
        <v>https://cloud.oebiotech.com/#/lm/network/136096</v>
      </c>
      <c r="I1577" s="2" t="s">
        <v>14007</v>
      </c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 t="s">
        <v>14008</v>
      </c>
      <c r="U1577" s="2" t="s">
        <v>14009</v>
      </c>
      <c r="V1577" s="2" t="s">
        <v>95</v>
      </c>
      <c r="W1577" s="2" t="s">
        <v>96</v>
      </c>
      <c r="X1577" s="2" t="s">
        <v>141</v>
      </c>
      <c r="Y1577" s="2" t="s">
        <v>98</v>
      </c>
      <c r="Z1577" s="2" t="s">
        <v>99</v>
      </c>
      <c r="AA1577" s="2" t="s">
        <v>142</v>
      </c>
      <c r="AB1577" s="2" t="s">
        <v>5118</v>
      </c>
      <c r="AC1577" s="2">
        <v>43.26</v>
      </c>
      <c r="AD1577" s="2">
        <v>62.54</v>
      </c>
      <c r="AE1577" s="2">
        <v>68.56</v>
      </c>
      <c r="AF1577" s="2" t="s">
        <v>14010</v>
      </c>
      <c r="AG1577" s="2" t="s">
        <v>4062</v>
      </c>
      <c r="AH1577" s="2" t="s">
        <v>14011</v>
      </c>
      <c r="AI1577" s="2">
        <v>-1.22</v>
      </c>
      <c r="AJ1577" s="2">
        <v>18.3490172485693</v>
      </c>
      <c r="AK1577" s="2">
        <v>18.503164265763299</v>
      </c>
      <c r="AL1577" s="2">
        <v>18.281405397499501</v>
      </c>
      <c r="AM1577" s="2">
        <v>18.417919126271901</v>
      </c>
      <c r="AN1577" s="2">
        <v>18.498172901576201</v>
      </c>
      <c r="AO1577" s="2">
        <v>18.627603204782901</v>
      </c>
      <c r="AP1577" s="2">
        <v>18.768615908016699</v>
      </c>
      <c r="AQ1577" s="2">
        <v>18.5073398944877</v>
      </c>
      <c r="AR1577" s="2">
        <v>17.753824513676602</v>
      </c>
      <c r="AS1577" s="2">
        <v>17.3990856235724</v>
      </c>
      <c r="AT1577" s="2">
        <v>17.0874651203222</v>
      </c>
      <c r="AU1577" s="2">
        <v>17.283383034782101</v>
      </c>
      <c r="AV1577" s="2">
        <v>17.8454610766914</v>
      </c>
      <c r="AW1577" s="2">
        <v>18.120363899043099</v>
      </c>
      <c r="AX1577" s="2">
        <v>17.016869102232501</v>
      </c>
      <c r="AY1577" s="2">
        <v>17.036714092566999</v>
      </c>
      <c r="AZ1577" s="2">
        <v>17.582253511531899</v>
      </c>
      <c r="BA1577" s="2">
        <v>18.171507315490999</v>
      </c>
      <c r="BB1577" s="2">
        <v>17.665174476662902</v>
      </c>
      <c r="BC1577" s="2">
        <v>17.936794805158101</v>
      </c>
      <c r="BD1577" s="2">
        <v>16.981746314457101</v>
      </c>
      <c r="BE1577" s="2">
        <v>17.610529405607</v>
      </c>
      <c r="BF1577" s="2">
        <v>17.152252256902599</v>
      </c>
      <c r="BG1577" s="2">
        <v>16.506374686680498</v>
      </c>
      <c r="BH1577" s="2">
        <v>16.5465776903864</v>
      </c>
      <c r="BI1577" s="2">
        <v>17.212496195205699</v>
      </c>
      <c r="BJ1577" s="2">
        <v>17.549345037344398</v>
      </c>
      <c r="BK1577" s="2">
        <v>17.399449504746801</v>
      </c>
      <c r="BL1577" s="2">
        <v>18.557246191984099</v>
      </c>
      <c r="BM1577" s="2">
        <v>18.014199389943201</v>
      </c>
      <c r="BN1577" s="2">
        <v>17.3878113636151</v>
      </c>
      <c r="BO1577" s="2">
        <v>17.293165726258799</v>
      </c>
      <c r="BP1577" s="2">
        <v>17.9584133214289</v>
      </c>
      <c r="BQ1577" s="2">
        <v>18.331795586485899</v>
      </c>
      <c r="BR1577" s="2">
        <v>17.140579270044999</v>
      </c>
      <c r="BS1577" s="2">
        <v>16.869539505009499</v>
      </c>
      <c r="BT1577" s="2">
        <v>16.077905555424799</v>
      </c>
      <c r="BU1577" s="2">
        <v>17.133496760437101</v>
      </c>
      <c r="BV1577" s="2">
        <v>18.063267986644998</v>
      </c>
      <c r="BW1577" s="2">
        <v>18.5929202149491</v>
      </c>
      <c r="BX1577" s="2">
        <v>16.7933988283263</v>
      </c>
      <c r="BY1577" s="2">
        <v>17.814422872458199</v>
      </c>
      <c r="BZ1577" s="2">
        <v>18.179817606956799</v>
      </c>
      <c r="CA1577" s="2">
        <v>17.734721923085502</v>
      </c>
      <c r="CB1577" s="2">
        <v>20.0864823381362</v>
      </c>
      <c r="CC1577" s="2">
        <v>19.2311518367387</v>
      </c>
      <c r="CD1577" s="2">
        <v>17.0804288684337</v>
      </c>
      <c r="CE1577" s="2">
        <v>17.515261786596199</v>
      </c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</row>
    <row r="1578" spans="1:97">
      <c r="A1578" s="2" t="s">
        <v>14012</v>
      </c>
      <c r="B1578" s="2">
        <v>231.03125</v>
      </c>
      <c r="C1578" s="2">
        <v>0.871</v>
      </c>
      <c r="D1578" s="2" t="s">
        <v>146</v>
      </c>
      <c r="E1578" s="2" t="s">
        <v>14013</v>
      </c>
      <c r="F1578" s="2" t="s">
        <v>14014</v>
      </c>
      <c r="G1578" s="2">
        <v>203245</v>
      </c>
      <c r="H1578" s="3" t="str">
        <f>HYPERLINK("https://cloud.oebiotech.com/#/lm/network/203245", "https://cloud.oebiotech.com/#/lm/network/203245")</f>
        <v>https://cloud.oebiotech.com/#/lm/network/203245</v>
      </c>
      <c r="I1578" s="2" t="s">
        <v>14015</v>
      </c>
      <c r="J1578" s="2"/>
      <c r="K1578" s="2"/>
      <c r="L1578" s="2">
        <v>171375</v>
      </c>
      <c r="M1578" s="2"/>
      <c r="N1578" s="2"/>
      <c r="O1578" s="2"/>
      <c r="P1578" s="2"/>
      <c r="Q1578" s="2"/>
      <c r="R1578" s="2"/>
      <c r="S1578" s="2"/>
      <c r="T1578" s="2" t="s">
        <v>14016</v>
      </c>
      <c r="U1578" s="2" t="s">
        <v>14017</v>
      </c>
      <c r="V1578" s="2" t="s">
        <v>115</v>
      </c>
      <c r="W1578" s="2" t="s">
        <v>116</v>
      </c>
      <c r="X1578" s="2" t="s">
        <v>117</v>
      </c>
      <c r="Y1578" s="2" t="s">
        <v>118</v>
      </c>
      <c r="Z1578" s="2" t="s">
        <v>119</v>
      </c>
      <c r="AA1578" s="2" t="s">
        <v>120</v>
      </c>
      <c r="AB1578" s="2" t="s">
        <v>8443</v>
      </c>
      <c r="AC1578" s="2">
        <v>43.24</v>
      </c>
      <c r="AD1578" s="2">
        <v>78.98</v>
      </c>
      <c r="AE1578" s="2">
        <v>0</v>
      </c>
      <c r="AF1578" s="2" t="s">
        <v>14018</v>
      </c>
      <c r="AG1578" s="2" t="s">
        <v>4062</v>
      </c>
      <c r="AH1578" s="2" t="s">
        <v>14019</v>
      </c>
      <c r="AI1578" s="2">
        <v>-2.16</v>
      </c>
      <c r="AJ1578" s="2">
        <v>20.406869643126999</v>
      </c>
      <c r="AK1578" s="2">
        <v>20.2837565012867</v>
      </c>
      <c r="AL1578" s="2">
        <v>19.8336326065508</v>
      </c>
      <c r="AM1578" s="2">
        <v>20.291074233226801</v>
      </c>
      <c r="AN1578" s="2">
        <v>20.454262861061199</v>
      </c>
      <c r="AO1578" s="2">
        <v>20.375248138704901</v>
      </c>
      <c r="AP1578" s="2">
        <v>20.381969228108598</v>
      </c>
      <c r="AQ1578" s="2">
        <v>20.358700484091099</v>
      </c>
      <c r="AR1578" s="2">
        <v>20.0194142544314</v>
      </c>
      <c r="AS1578" s="2">
        <v>19.4696191835435</v>
      </c>
      <c r="AT1578" s="2">
        <v>20.2766694827672</v>
      </c>
      <c r="AU1578" s="2">
        <v>18.998522146249201</v>
      </c>
      <c r="AV1578" s="2">
        <v>19.349263278827099</v>
      </c>
      <c r="AW1578" s="2">
        <v>20.693193410579699</v>
      </c>
      <c r="AX1578" s="2">
        <v>20.0461657807287</v>
      </c>
      <c r="AY1578" s="2">
        <v>18.935875331117298</v>
      </c>
      <c r="AZ1578" s="2">
        <v>19.7161635920233</v>
      </c>
      <c r="BA1578" s="2">
        <v>19.326779207337999</v>
      </c>
      <c r="BB1578" s="2">
        <v>20.149783134838302</v>
      </c>
      <c r="BC1578" s="2">
        <v>20.524649247069899</v>
      </c>
      <c r="BD1578" s="2">
        <v>20.269430789755301</v>
      </c>
      <c r="BE1578" s="2">
        <v>20.1514893723654</v>
      </c>
      <c r="BF1578" s="2">
        <v>20.766467683213602</v>
      </c>
      <c r="BG1578" s="2">
        <v>20.186842586661001</v>
      </c>
      <c r="BH1578" s="2">
        <v>19.910068114276601</v>
      </c>
      <c r="BI1578" s="2">
        <v>19.995777403527299</v>
      </c>
      <c r="BJ1578" s="2">
        <v>19.8586207255156</v>
      </c>
      <c r="BK1578" s="2">
        <v>19.039673427699</v>
      </c>
      <c r="BL1578" s="2">
        <v>20.306874249632099</v>
      </c>
      <c r="BM1578" s="2">
        <v>20.0380612985246</v>
      </c>
      <c r="BN1578" s="2">
        <v>20.259948709086899</v>
      </c>
      <c r="BO1578" s="2">
        <v>18.7139434150548</v>
      </c>
      <c r="BP1578" s="2">
        <v>19.907346531656501</v>
      </c>
      <c r="BQ1578" s="2">
        <v>20.348963733755099</v>
      </c>
      <c r="BR1578" s="2">
        <v>19.849871598323901</v>
      </c>
      <c r="BS1578" s="2">
        <v>19.153372119015501</v>
      </c>
      <c r="BT1578" s="2">
        <v>19.147685007901199</v>
      </c>
      <c r="BU1578" s="2">
        <v>20.800382390506101</v>
      </c>
      <c r="BV1578" s="2">
        <v>20.043583170685199</v>
      </c>
      <c r="BW1578" s="2">
        <v>19.724860486344301</v>
      </c>
      <c r="BX1578" s="2">
        <v>19.672664573068701</v>
      </c>
      <c r="BY1578" s="2">
        <v>19.386036362845999</v>
      </c>
      <c r="BZ1578" s="2">
        <v>20.376629901265499</v>
      </c>
      <c r="CA1578" s="2">
        <v>20.757980886216</v>
      </c>
      <c r="CB1578" s="2">
        <v>19.149323028381399</v>
      </c>
      <c r="CC1578" s="2">
        <v>20.1240345796658</v>
      </c>
      <c r="CD1578" s="2">
        <v>19.455901596602899</v>
      </c>
      <c r="CE1578" s="2">
        <v>20.001625984218599</v>
      </c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</row>
    <row r="1579" spans="1:97">
      <c r="A1579" s="2" t="s">
        <v>14020</v>
      </c>
      <c r="B1579" s="2">
        <v>527.25948000000005</v>
      </c>
      <c r="C1579" s="2">
        <v>8.7430000000000003</v>
      </c>
      <c r="D1579" s="2" t="s">
        <v>146</v>
      </c>
      <c r="E1579" s="2" t="s">
        <v>14021</v>
      </c>
      <c r="F1579" s="2" t="s">
        <v>14022</v>
      </c>
      <c r="G1579" s="2">
        <v>28377</v>
      </c>
      <c r="H1579" s="3" t="str">
        <f>HYPERLINK("https://cloud.oebiotech.com/#/lm/network/28377", "https://cloud.oebiotech.com/#/lm/network/28377")</f>
        <v>https://cloud.oebiotech.com/#/lm/network/28377</v>
      </c>
      <c r="I1579" s="2"/>
      <c r="J1579" s="2"/>
      <c r="K1579" s="2" t="s">
        <v>14023</v>
      </c>
      <c r="L1579" s="2"/>
      <c r="M1579" s="2"/>
      <c r="N1579" s="2"/>
      <c r="O1579" s="2"/>
      <c r="P1579" s="2"/>
      <c r="Q1579" s="2"/>
      <c r="R1579" s="2"/>
      <c r="S1579" s="2"/>
      <c r="T1579" s="2" t="s">
        <v>14024</v>
      </c>
      <c r="U1579" s="2" t="s">
        <v>14025</v>
      </c>
      <c r="V1579" s="2" t="s">
        <v>553</v>
      </c>
      <c r="W1579" s="2" t="s">
        <v>933</v>
      </c>
      <c r="X1579" s="2" t="s">
        <v>3434</v>
      </c>
      <c r="Y1579" s="2" t="s">
        <v>556</v>
      </c>
      <c r="Z1579" s="2" t="s">
        <v>935</v>
      </c>
      <c r="AA1579" s="2" t="s">
        <v>3435</v>
      </c>
      <c r="AB1579" s="2" t="s">
        <v>8443</v>
      </c>
      <c r="AC1579" s="2">
        <v>43.24</v>
      </c>
      <c r="AD1579" s="2">
        <v>77.98</v>
      </c>
      <c r="AE1579" s="2">
        <v>42.07</v>
      </c>
      <c r="AF1579" s="2" t="s">
        <v>14026</v>
      </c>
      <c r="AG1579" s="2" t="s">
        <v>194</v>
      </c>
      <c r="AH1579" s="2" t="s">
        <v>14027</v>
      </c>
      <c r="AI1579" s="2">
        <v>-8.35</v>
      </c>
      <c r="AJ1579" s="2">
        <v>16.459521271970999</v>
      </c>
      <c r="AK1579" s="2">
        <v>16.514143840256899</v>
      </c>
      <c r="AL1579" s="2">
        <v>16.2772354488045</v>
      </c>
      <c r="AM1579" s="2">
        <v>16.247177645136802</v>
      </c>
      <c r="AN1579" s="2">
        <v>16.536188620192</v>
      </c>
      <c r="AO1579" s="2">
        <v>16.438823846428601</v>
      </c>
      <c r="AP1579" s="2">
        <v>17.061581092218699</v>
      </c>
      <c r="AQ1579" s="2">
        <v>16.608993857903702</v>
      </c>
      <c r="AR1579" s="2">
        <v>12.409268938384299</v>
      </c>
      <c r="AS1579" s="2">
        <v>9.6233145402724691</v>
      </c>
      <c r="AT1579" s="2">
        <v>9.6233145402724691</v>
      </c>
      <c r="AU1579" s="2">
        <v>15.3347484945898</v>
      </c>
      <c r="AV1579" s="2">
        <v>9.6233145402724691</v>
      </c>
      <c r="AW1579" s="2">
        <v>17.2685280199209</v>
      </c>
      <c r="AX1579" s="2">
        <v>9.6233145402724691</v>
      </c>
      <c r="AY1579" s="2">
        <v>11.888743248898299</v>
      </c>
      <c r="AZ1579" s="2">
        <v>12.1795017198978</v>
      </c>
      <c r="BA1579" s="2">
        <v>15.6382693133702</v>
      </c>
      <c r="BB1579" s="2">
        <v>17.531489673816999</v>
      </c>
      <c r="BC1579" s="2">
        <v>18.761905844032199</v>
      </c>
      <c r="BD1579" s="2">
        <v>9.6233145402724691</v>
      </c>
      <c r="BE1579" s="2">
        <v>9.6233145402724691</v>
      </c>
      <c r="BF1579" s="2">
        <v>14.254358422842801</v>
      </c>
      <c r="BG1579" s="2">
        <v>19.762177237475601</v>
      </c>
      <c r="BH1579" s="2">
        <v>9.6233145402724691</v>
      </c>
      <c r="BI1579" s="2">
        <v>16.941901454216701</v>
      </c>
      <c r="BJ1579" s="2">
        <v>18.3383333534297</v>
      </c>
      <c r="BK1579" s="2">
        <v>17.510435346279898</v>
      </c>
      <c r="BL1579" s="2">
        <v>15.1777060551836</v>
      </c>
      <c r="BM1579" s="2">
        <v>13.0061822928071</v>
      </c>
      <c r="BN1579" s="2">
        <v>12.104759262475801</v>
      </c>
      <c r="BO1579" s="2">
        <v>16.951153782629198</v>
      </c>
      <c r="BP1579" s="2">
        <v>13.920955713434999</v>
      </c>
      <c r="BQ1579" s="2">
        <v>15.903714064326399</v>
      </c>
      <c r="BR1579" s="2">
        <v>12.1359561261379</v>
      </c>
      <c r="BS1579" s="2">
        <v>14.745360774738399</v>
      </c>
      <c r="BT1579" s="2">
        <v>9.6233145402724691</v>
      </c>
      <c r="BU1579" s="2">
        <v>9.6233145402724691</v>
      </c>
      <c r="BV1579" s="2">
        <v>18.003659767804201</v>
      </c>
      <c r="BW1579" s="2">
        <v>16.4259839339386</v>
      </c>
      <c r="BX1579" s="2">
        <v>9.6233145402724691</v>
      </c>
      <c r="BY1579" s="2">
        <v>12.2774007419846</v>
      </c>
      <c r="BZ1579" s="2">
        <v>12.8614746751258</v>
      </c>
      <c r="CA1579" s="2">
        <v>17.992573114395601</v>
      </c>
      <c r="CB1579" s="2">
        <v>15.468090696971499</v>
      </c>
      <c r="CC1579" s="2">
        <v>16.403026840690899</v>
      </c>
      <c r="CD1579" s="2">
        <v>14.0496588429961</v>
      </c>
      <c r="CE1579" s="2">
        <v>17.340106970488499</v>
      </c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</row>
    <row r="1580" spans="1:97">
      <c r="A1580" s="2" t="s">
        <v>14028</v>
      </c>
      <c r="B1580" s="2">
        <v>276.01711999999998</v>
      </c>
      <c r="C1580" s="2">
        <v>1.391</v>
      </c>
      <c r="D1580" s="2" t="s">
        <v>146</v>
      </c>
      <c r="E1580" s="2" t="s">
        <v>14029</v>
      </c>
      <c r="F1580" s="2" t="s">
        <v>14030</v>
      </c>
      <c r="G1580" s="2">
        <v>202621</v>
      </c>
      <c r="H1580" s="3" t="str">
        <f>HYPERLINK("https://cloud.oebiotech.com/#/lm/network/202621", "https://cloud.oebiotech.com/#/lm/network/202621")</f>
        <v>https://cloud.oebiotech.com/#/lm/network/202621</v>
      </c>
      <c r="I1580" s="2" t="s">
        <v>14031</v>
      </c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 t="s">
        <v>14032</v>
      </c>
      <c r="U1580" s="2" t="s">
        <v>14033</v>
      </c>
      <c r="V1580" s="2" t="s">
        <v>553</v>
      </c>
      <c r="W1580" s="2" t="s">
        <v>2238</v>
      </c>
      <c r="X1580" s="2" t="s">
        <v>14034</v>
      </c>
      <c r="Y1580" s="2" t="s">
        <v>556</v>
      </c>
      <c r="Z1580" s="2" t="s">
        <v>2240</v>
      </c>
      <c r="AA1580" s="2" t="s">
        <v>14035</v>
      </c>
      <c r="AB1580" s="2" t="s">
        <v>5118</v>
      </c>
      <c r="AC1580" s="2">
        <v>43.2</v>
      </c>
      <c r="AD1580" s="2">
        <v>90.46</v>
      </c>
      <c r="AE1580" s="2">
        <v>52.85</v>
      </c>
      <c r="AF1580" s="2" t="s">
        <v>14036</v>
      </c>
      <c r="AG1580" s="2" t="s">
        <v>157</v>
      </c>
      <c r="AH1580" s="2" t="s">
        <v>13551</v>
      </c>
      <c r="AI1580" s="2">
        <v>4.3499999999999996</v>
      </c>
      <c r="AJ1580" s="2">
        <v>19.062187335304799</v>
      </c>
      <c r="AK1580" s="2">
        <v>19.3929250218814</v>
      </c>
      <c r="AL1580" s="2">
        <v>19.610213994007001</v>
      </c>
      <c r="AM1580" s="2">
        <v>18.823604149117301</v>
      </c>
      <c r="AN1580" s="2">
        <v>19.525424917828399</v>
      </c>
      <c r="AO1580" s="2">
        <v>18.554421649677099</v>
      </c>
      <c r="AP1580" s="2">
        <v>19.231997708664299</v>
      </c>
      <c r="AQ1580" s="2">
        <v>19.7898486429348</v>
      </c>
      <c r="AR1580" s="2">
        <v>18.5984735398753</v>
      </c>
      <c r="AS1580" s="2">
        <v>18.989496534489</v>
      </c>
      <c r="AT1580" s="2">
        <v>19.1538262613849</v>
      </c>
      <c r="AU1580" s="2">
        <v>18.874387394448998</v>
      </c>
      <c r="AV1580" s="2">
        <v>19.928871961998201</v>
      </c>
      <c r="AW1580" s="2">
        <v>20.078097840102298</v>
      </c>
      <c r="AX1580" s="2">
        <v>19.656523376896001</v>
      </c>
      <c r="AY1580" s="2">
        <v>18.943863651873599</v>
      </c>
      <c r="AZ1580" s="2">
        <v>18.799699639932399</v>
      </c>
      <c r="BA1580" s="2">
        <v>19.430538878830099</v>
      </c>
      <c r="BB1580" s="2">
        <v>19.280578904808898</v>
      </c>
      <c r="BC1580" s="2">
        <v>19.354273232643699</v>
      </c>
      <c r="BD1580" s="2">
        <v>19.131821549774099</v>
      </c>
      <c r="BE1580" s="2">
        <v>20.151121079839701</v>
      </c>
      <c r="BF1580" s="2">
        <v>19.325602816016499</v>
      </c>
      <c r="BG1580" s="2">
        <v>18.647230914498</v>
      </c>
      <c r="BH1580" s="2">
        <v>19.7299491133926</v>
      </c>
      <c r="BI1580" s="2">
        <v>18.8961042741496</v>
      </c>
      <c r="BJ1580" s="2">
        <v>20.088202728853702</v>
      </c>
      <c r="BK1580" s="2">
        <v>18.748372847593402</v>
      </c>
      <c r="BL1580" s="2">
        <v>19.3360967163763</v>
      </c>
      <c r="BM1580" s="2">
        <v>19.428492262113199</v>
      </c>
      <c r="BN1580" s="2">
        <v>19.187426091973801</v>
      </c>
      <c r="BO1580" s="2">
        <v>18.786209984281399</v>
      </c>
      <c r="BP1580" s="2">
        <v>18.5604883439971</v>
      </c>
      <c r="BQ1580" s="2">
        <v>18.502992976587699</v>
      </c>
      <c r="BR1580" s="2">
        <v>18.800417450960399</v>
      </c>
      <c r="BS1580" s="2">
        <v>17.8892952822934</v>
      </c>
      <c r="BT1580" s="2">
        <v>18.480900738383799</v>
      </c>
      <c r="BU1580" s="2">
        <v>18.949389364010202</v>
      </c>
      <c r="BV1580" s="2">
        <v>18.880584075982199</v>
      </c>
      <c r="BW1580" s="2">
        <v>19.329999128517901</v>
      </c>
      <c r="BX1580" s="2">
        <v>18.399453259922598</v>
      </c>
      <c r="BY1580" s="2">
        <v>18.530424855346499</v>
      </c>
      <c r="BZ1580" s="2">
        <v>20.117419653934999</v>
      </c>
      <c r="CA1580" s="2">
        <v>19.874831674323399</v>
      </c>
      <c r="CB1580" s="2">
        <v>19.6654516247769</v>
      </c>
      <c r="CC1580" s="2">
        <v>19.580735116008</v>
      </c>
      <c r="CD1580" s="2">
        <v>19.356171950612101</v>
      </c>
      <c r="CE1580" s="2">
        <v>18.027385426070101</v>
      </c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</row>
    <row r="1581" spans="1:97">
      <c r="A1581" s="2" t="s">
        <v>14037</v>
      </c>
      <c r="B1581" s="2">
        <v>526.48252000000002</v>
      </c>
      <c r="C1581" s="2">
        <v>12.318</v>
      </c>
      <c r="D1581" s="2" t="s">
        <v>84</v>
      </c>
      <c r="E1581" s="2" t="s">
        <v>14038</v>
      </c>
      <c r="F1581" s="2" t="s">
        <v>14039</v>
      </c>
      <c r="G1581" s="2">
        <v>197560</v>
      </c>
      <c r="H1581" s="3" t="str">
        <f>HYPERLINK("https://cloud.oebiotech.com/#/lm/network/197560", "https://cloud.oebiotech.com/#/lm/network/197560")</f>
        <v>https://cloud.oebiotech.com/#/lm/network/197560</v>
      </c>
      <c r="I1581" s="2" t="s">
        <v>14040</v>
      </c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 t="s">
        <v>14041</v>
      </c>
      <c r="U1581" s="2" t="s">
        <v>14042</v>
      </c>
      <c r="V1581" s="2" t="s">
        <v>95</v>
      </c>
      <c r="W1581" s="2" t="s">
        <v>96</v>
      </c>
      <c r="X1581" s="2" t="s">
        <v>97</v>
      </c>
      <c r="Y1581" s="2" t="s">
        <v>98</v>
      </c>
      <c r="Z1581" s="2" t="s">
        <v>99</v>
      </c>
      <c r="AA1581" s="2" t="s">
        <v>100</v>
      </c>
      <c r="AB1581" s="2" t="s">
        <v>8443</v>
      </c>
      <c r="AC1581" s="2">
        <v>43.2</v>
      </c>
      <c r="AD1581" s="2">
        <v>77.52</v>
      </c>
      <c r="AE1581" s="2">
        <v>0</v>
      </c>
      <c r="AF1581" s="2" t="s">
        <v>5614</v>
      </c>
      <c r="AG1581" s="2" t="s">
        <v>103</v>
      </c>
      <c r="AH1581" s="2" t="s">
        <v>14043</v>
      </c>
      <c r="AI1581" s="2">
        <v>0.95</v>
      </c>
      <c r="AJ1581" s="2">
        <v>18.066512318667002</v>
      </c>
      <c r="AK1581" s="2">
        <v>18.671723907433901</v>
      </c>
      <c r="AL1581" s="2">
        <v>18.0043835965621</v>
      </c>
      <c r="AM1581" s="2">
        <v>17.996900765601801</v>
      </c>
      <c r="AN1581" s="2">
        <v>17.943718825623701</v>
      </c>
      <c r="AO1581" s="2">
        <v>17.743791742504101</v>
      </c>
      <c r="AP1581" s="2">
        <v>17.777961782749799</v>
      </c>
      <c r="AQ1581" s="2">
        <v>17.8110632476075</v>
      </c>
      <c r="AR1581" s="2">
        <v>18.7659356328023</v>
      </c>
      <c r="AS1581" s="2">
        <v>16.323016573748301</v>
      </c>
      <c r="AT1581" s="2">
        <v>16.2594518048525</v>
      </c>
      <c r="AU1581" s="2">
        <v>14.9951872539273</v>
      </c>
      <c r="AV1581" s="2">
        <v>18.353638730072799</v>
      </c>
      <c r="AW1581" s="2">
        <v>15.4589903149619</v>
      </c>
      <c r="AX1581" s="2">
        <v>17.3217626298337</v>
      </c>
      <c r="AY1581" s="2">
        <v>18.390212082878602</v>
      </c>
      <c r="AZ1581" s="2">
        <v>17.461306933875001</v>
      </c>
      <c r="BA1581" s="2">
        <v>17.693773469757499</v>
      </c>
      <c r="BB1581" s="2">
        <v>17.107517367370999</v>
      </c>
      <c r="BC1581" s="2">
        <v>19.0907651659317</v>
      </c>
      <c r="BD1581" s="2">
        <v>18.227038926749302</v>
      </c>
      <c r="BE1581" s="2">
        <v>18.718531538257899</v>
      </c>
      <c r="BF1581" s="2">
        <v>17.630379617858701</v>
      </c>
      <c r="BG1581" s="2">
        <v>16.3142699041267</v>
      </c>
      <c r="BH1581" s="2">
        <v>16.661308254832601</v>
      </c>
      <c r="BI1581" s="2">
        <v>16.6706443556862</v>
      </c>
      <c r="BJ1581" s="2">
        <v>17.790674181385601</v>
      </c>
      <c r="BK1581" s="2">
        <v>17.586390121516999</v>
      </c>
      <c r="BL1581" s="2">
        <v>18.770942094052302</v>
      </c>
      <c r="BM1581" s="2">
        <v>18.700171633137199</v>
      </c>
      <c r="BN1581" s="2">
        <v>14.9956311411391</v>
      </c>
      <c r="BO1581" s="2">
        <v>16.106435145045602</v>
      </c>
      <c r="BP1581" s="2">
        <v>18.773231465405701</v>
      </c>
      <c r="BQ1581" s="2">
        <v>17.653371746136301</v>
      </c>
      <c r="BR1581" s="2">
        <v>17.1703734258084</v>
      </c>
      <c r="BS1581" s="2">
        <v>19.042824523900201</v>
      </c>
      <c r="BT1581" s="2">
        <v>16.170339974874899</v>
      </c>
      <c r="BU1581" s="2">
        <v>17.199774604950999</v>
      </c>
      <c r="BV1581" s="2">
        <v>9.6233145402724691</v>
      </c>
      <c r="BW1581" s="2">
        <v>16.009788167816101</v>
      </c>
      <c r="BX1581" s="2">
        <v>18.415507788288998</v>
      </c>
      <c r="BY1581" s="2">
        <v>18.349936606912902</v>
      </c>
      <c r="BZ1581" s="2">
        <v>16.562272390603699</v>
      </c>
      <c r="CA1581" s="2">
        <v>15.040421585272499</v>
      </c>
      <c r="CB1581" s="2">
        <v>9.6233145402724691</v>
      </c>
      <c r="CC1581" s="2">
        <v>17.007609432493599</v>
      </c>
      <c r="CD1581" s="2">
        <v>18.200846510181801</v>
      </c>
      <c r="CE1581" s="2">
        <v>15.771775473186301</v>
      </c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</row>
    <row r="1582" spans="1:97">
      <c r="A1582" s="2" t="s">
        <v>14044</v>
      </c>
      <c r="B1582" s="2">
        <v>126.02978</v>
      </c>
      <c r="C1582" s="2">
        <v>0.79400000000000004</v>
      </c>
      <c r="D1582" s="2" t="s">
        <v>84</v>
      </c>
      <c r="E1582" s="2" t="s">
        <v>14045</v>
      </c>
      <c r="F1582" s="2"/>
      <c r="G1582" s="2">
        <v>594796</v>
      </c>
      <c r="H1582" s="3" t="str">
        <f>HYPERLINK("https://cloud.oebiotech.com/#/lm/network/594796", "https://cloud.oebiotech.com/#/lm/network/594796")</f>
        <v>https://cloud.oebiotech.com/#/lm/network/594796</v>
      </c>
      <c r="I1582" s="2"/>
      <c r="J1582" s="2"/>
      <c r="K1582" s="2"/>
      <c r="L1582" s="2">
        <v>185804</v>
      </c>
      <c r="M1582" s="2"/>
      <c r="N1582" s="2"/>
      <c r="O1582" s="2"/>
      <c r="P1582" s="2"/>
      <c r="Q1582" s="2"/>
      <c r="R1582" s="2"/>
      <c r="S1582" s="2"/>
      <c r="T1582" s="2" t="s">
        <v>14046</v>
      </c>
      <c r="U1582" s="2" t="s">
        <v>14047</v>
      </c>
      <c r="V1582" s="2" t="s">
        <v>115</v>
      </c>
      <c r="W1582" s="2" t="s">
        <v>116</v>
      </c>
      <c r="X1582" s="2" t="s">
        <v>117</v>
      </c>
      <c r="Y1582" s="2" t="s">
        <v>118</v>
      </c>
      <c r="Z1582" s="2" t="s">
        <v>119</v>
      </c>
      <c r="AA1582" s="2" t="s">
        <v>120</v>
      </c>
      <c r="AB1582" s="2" t="s">
        <v>8443</v>
      </c>
      <c r="AC1582" s="2">
        <v>43.18</v>
      </c>
      <c r="AD1582" s="2">
        <v>96.92</v>
      </c>
      <c r="AE1582" s="2">
        <v>0</v>
      </c>
      <c r="AF1582" s="2" t="s">
        <v>5614</v>
      </c>
      <c r="AG1582" s="2" t="s">
        <v>1088</v>
      </c>
      <c r="AH1582" s="2" t="s">
        <v>14048</v>
      </c>
      <c r="AI1582" s="2">
        <v>4.76</v>
      </c>
      <c r="AJ1582" s="2">
        <v>18.912495584784502</v>
      </c>
      <c r="AK1582" s="2">
        <v>18.810112310067101</v>
      </c>
      <c r="AL1582" s="2">
        <v>18.793712142291401</v>
      </c>
      <c r="AM1582" s="2">
        <v>18.892559595659701</v>
      </c>
      <c r="AN1582" s="2">
        <v>19.2984544052355</v>
      </c>
      <c r="AO1582" s="2">
        <v>19.053688114779501</v>
      </c>
      <c r="AP1582" s="2">
        <v>18.729447385905001</v>
      </c>
      <c r="AQ1582" s="2">
        <v>17.9494928141293</v>
      </c>
      <c r="AR1582" s="2">
        <v>18.551792810828299</v>
      </c>
      <c r="AS1582" s="2">
        <v>16.395521082065599</v>
      </c>
      <c r="AT1582" s="2">
        <v>18.303807677186899</v>
      </c>
      <c r="AU1582" s="2">
        <v>18.059529729438601</v>
      </c>
      <c r="AV1582" s="2">
        <v>18.1808090847539</v>
      </c>
      <c r="AW1582" s="2">
        <v>19.7236526127367</v>
      </c>
      <c r="AX1582" s="2">
        <v>19.245051479681401</v>
      </c>
      <c r="AY1582" s="2">
        <v>18.9219165499285</v>
      </c>
      <c r="AZ1582" s="2">
        <v>18.443682443250601</v>
      </c>
      <c r="BA1582" s="2">
        <v>19.427945014251801</v>
      </c>
      <c r="BB1582" s="2">
        <v>18.248099025347699</v>
      </c>
      <c r="BC1582" s="2">
        <v>17.9087678242221</v>
      </c>
      <c r="BD1582" s="2">
        <v>18.285544319276099</v>
      </c>
      <c r="BE1582" s="2">
        <v>17.8477788313599</v>
      </c>
      <c r="BF1582" s="2">
        <v>18.3067644456866</v>
      </c>
      <c r="BG1582" s="2">
        <v>19.062295102172001</v>
      </c>
      <c r="BH1582" s="2">
        <v>17.777899708626101</v>
      </c>
      <c r="BI1582" s="2">
        <v>19.977792327252999</v>
      </c>
      <c r="BJ1582" s="2">
        <v>18.921175704334502</v>
      </c>
      <c r="BK1582" s="2">
        <v>18.9692209594388</v>
      </c>
      <c r="BL1582" s="2">
        <v>18.574346503791801</v>
      </c>
      <c r="BM1582" s="2">
        <v>9.6233145402724691</v>
      </c>
      <c r="BN1582" s="2">
        <v>17.616447903283898</v>
      </c>
      <c r="BO1582" s="2">
        <v>19.848289644830601</v>
      </c>
      <c r="BP1582" s="2">
        <v>19.239682756717599</v>
      </c>
      <c r="BQ1582" s="2">
        <v>19.991854832444101</v>
      </c>
      <c r="BR1582" s="2">
        <v>19.9964849914528</v>
      </c>
      <c r="BS1582" s="2">
        <v>19.2257470895929</v>
      </c>
      <c r="BT1582" s="2">
        <v>17.169061313621</v>
      </c>
      <c r="BU1582" s="2">
        <v>18.449846628870599</v>
      </c>
      <c r="BV1582" s="2">
        <v>18.2973785775355</v>
      </c>
      <c r="BW1582" s="2">
        <v>18.1123921105549</v>
      </c>
      <c r="BX1582" s="2">
        <v>9.6233145402724691</v>
      </c>
      <c r="BY1582" s="2">
        <v>18.753712401071901</v>
      </c>
      <c r="BZ1582" s="2">
        <v>17.053628328926099</v>
      </c>
      <c r="CA1582" s="2">
        <v>17.0228898718583</v>
      </c>
      <c r="CB1582" s="2">
        <v>18.055075060727699</v>
      </c>
      <c r="CC1582" s="2">
        <v>19.911795123368499</v>
      </c>
      <c r="CD1582" s="2">
        <v>17.9645836432639</v>
      </c>
      <c r="CE1582" s="2">
        <v>18.472515298340401</v>
      </c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</row>
    <row r="1583" spans="1:97">
      <c r="A1583" s="2" t="s">
        <v>14049</v>
      </c>
      <c r="B1583" s="2">
        <v>455.24664999999999</v>
      </c>
      <c r="C1583" s="2">
        <v>10.491</v>
      </c>
      <c r="D1583" s="2" t="s">
        <v>146</v>
      </c>
      <c r="E1583" s="2" t="s">
        <v>14050</v>
      </c>
      <c r="F1583" s="2" t="s">
        <v>14051</v>
      </c>
      <c r="G1583" s="2">
        <v>46679</v>
      </c>
      <c r="H1583" s="3" t="str">
        <f>HYPERLINK("https://cloud.oebiotech.com/#/lm/network/46679", "https://cloud.oebiotech.com/#/lm/network/46679")</f>
        <v>https://cloud.oebiotech.com/#/lm/network/46679</v>
      </c>
      <c r="I1583" s="2" t="s">
        <v>14052</v>
      </c>
      <c r="J1583" s="2">
        <v>210</v>
      </c>
      <c r="K1583" s="2" t="s">
        <v>14053</v>
      </c>
      <c r="L1583" s="2">
        <v>451489</v>
      </c>
      <c r="M1583" s="2"/>
      <c r="N1583" s="2"/>
      <c r="O1583" s="2"/>
      <c r="P1583" s="2">
        <v>35421</v>
      </c>
      <c r="Q1583" s="2"/>
      <c r="R1583" s="2"/>
      <c r="S1583" s="2" t="s">
        <v>14054</v>
      </c>
      <c r="T1583" s="2" t="s">
        <v>14055</v>
      </c>
      <c r="U1583" s="2" t="s">
        <v>14056</v>
      </c>
      <c r="V1583" s="2" t="s">
        <v>95</v>
      </c>
      <c r="W1583" s="2" t="s">
        <v>152</v>
      </c>
      <c r="X1583" s="2" t="s">
        <v>278</v>
      </c>
      <c r="Y1583" s="2" t="s">
        <v>98</v>
      </c>
      <c r="Z1583" s="2" t="s">
        <v>154</v>
      </c>
      <c r="AA1583" s="2" t="s">
        <v>279</v>
      </c>
      <c r="AB1583" s="2" t="s">
        <v>8443</v>
      </c>
      <c r="AC1583" s="2">
        <v>43.17</v>
      </c>
      <c r="AD1583" s="2">
        <v>80.48</v>
      </c>
      <c r="AE1583" s="2">
        <v>0</v>
      </c>
      <c r="AF1583" s="2" t="s">
        <v>14057</v>
      </c>
      <c r="AG1583" s="2" t="s">
        <v>194</v>
      </c>
      <c r="AH1583" s="2" t="s">
        <v>14058</v>
      </c>
      <c r="AI1583" s="2">
        <v>1.54</v>
      </c>
      <c r="AJ1583" s="2">
        <v>19.779225649117201</v>
      </c>
      <c r="AK1583" s="2">
        <v>19.736863683279001</v>
      </c>
      <c r="AL1583" s="2">
        <v>19.734747719063598</v>
      </c>
      <c r="AM1583" s="2">
        <v>19.3850972739077</v>
      </c>
      <c r="AN1583" s="2">
        <v>19.603665641027799</v>
      </c>
      <c r="AO1583" s="2">
        <v>18.925409792245599</v>
      </c>
      <c r="AP1583" s="2">
        <v>19.615872655357201</v>
      </c>
      <c r="AQ1583" s="2">
        <v>19.507745463964302</v>
      </c>
      <c r="AR1583" s="2">
        <v>17.9941484437954</v>
      </c>
      <c r="AS1583" s="2">
        <v>13.415430171658199</v>
      </c>
      <c r="AT1583" s="2">
        <v>18.991930530005099</v>
      </c>
      <c r="AU1583" s="2">
        <v>18.478187150903601</v>
      </c>
      <c r="AV1583" s="2">
        <v>20.823073996424501</v>
      </c>
      <c r="AW1583" s="2">
        <v>18.055583512859801</v>
      </c>
      <c r="AX1583" s="2">
        <v>9.6233145402724691</v>
      </c>
      <c r="AY1583" s="2">
        <v>22.1715634613006</v>
      </c>
      <c r="AZ1583" s="2">
        <v>18.873815450790399</v>
      </c>
      <c r="BA1583" s="2">
        <v>16.938798752413199</v>
      </c>
      <c r="BB1583" s="2">
        <v>14.4581547348398</v>
      </c>
      <c r="BC1583" s="2">
        <v>9.6233145402724691</v>
      </c>
      <c r="BD1583" s="2">
        <v>17.4208395457057</v>
      </c>
      <c r="BE1583" s="2">
        <v>21.782958600565301</v>
      </c>
      <c r="BF1583" s="2">
        <v>15.086526874389399</v>
      </c>
      <c r="BG1583" s="2">
        <v>9.6233145402724691</v>
      </c>
      <c r="BH1583" s="2">
        <v>16.184120449543201</v>
      </c>
      <c r="BI1583" s="2">
        <v>18.1717759062584</v>
      </c>
      <c r="BJ1583" s="2">
        <v>21.048172428911499</v>
      </c>
      <c r="BK1583" s="2">
        <v>9.6233145402724691</v>
      </c>
      <c r="BL1583" s="2">
        <v>20.350824136252601</v>
      </c>
      <c r="BM1583" s="2">
        <v>18.432876119406998</v>
      </c>
      <c r="BN1583" s="2">
        <v>19.158952044097202</v>
      </c>
      <c r="BO1583" s="2">
        <v>20.399279562378901</v>
      </c>
      <c r="BP1583" s="2">
        <v>21.008022088698301</v>
      </c>
      <c r="BQ1583" s="2">
        <v>20.877902650611802</v>
      </c>
      <c r="BR1583" s="2">
        <v>16.193762504797402</v>
      </c>
      <c r="BS1583" s="2">
        <v>22.1761810063119</v>
      </c>
      <c r="BT1583" s="2">
        <v>19.975140583479501</v>
      </c>
      <c r="BU1583" s="2">
        <v>18.951739071857801</v>
      </c>
      <c r="BV1583" s="2">
        <v>14.6429807267809</v>
      </c>
      <c r="BW1583" s="2">
        <v>9.6233145402724691</v>
      </c>
      <c r="BX1583" s="2">
        <v>19.6598270605379</v>
      </c>
      <c r="BY1583" s="2">
        <v>22.366900529715998</v>
      </c>
      <c r="BZ1583" s="2">
        <v>9.6233145402724691</v>
      </c>
      <c r="CA1583" s="2">
        <v>9.6233145402724691</v>
      </c>
      <c r="CB1583" s="2">
        <v>17.253459638410899</v>
      </c>
      <c r="CC1583" s="2">
        <v>16.978556967992301</v>
      </c>
      <c r="CD1583" s="2">
        <v>19.310516686059099</v>
      </c>
      <c r="CE1583" s="2">
        <v>9.6233145402724691</v>
      </c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</row>
    <row r="1584" spans="1:97">
      <c r="A1584" s="2" t="s">
        <v>14059</v>
      </c>
      <c r="B1584" s="2">
        <v>143.99665999999999</v>
      </c>
      <c r="C1584" s="2">
        <v>0.58299999999999996</v>
      </c>
      <c r="D1584" s="2" t="s">
        <v>84</v>
      </c>
      <c r="E1584" s="2" t="s">
        <v>14060</v>
      </c>
      <c r="F1584" s="2" t="s">
        <v>14061</v>
      </c>
      <c r="G1584" s="2">
        <v>202234</v>
      </c>
      <c r="H1584" s="3" t="str">
        <f>HYPERLINK("https://cloud.oebiotech.com/#/lm/network/202234", "https://cloud.oebiotech.com/#/lm/network/202234")</f>
        <v>https://cloud.oebiotech.com/#/lm/network/202234</v>
      </c>
      <c r="I1584" s="2" t="s">
        <v>14062</v>
      </c>
      <c r="J1584" s="2"/>
      <c r="K1584" s="2"/>
      <c r="L1584" s="2">
        <v>595027</v>
      </c>
      <c r="M1584" s="2"/>
      <c r="N1584" s="2"/>
      <c r="O1584" s="2"/>
      <c r="P1584" s="2"/>
      <c r="Q1584" s="2"/>
      <c r="R1584" s="2"/>
      <c r="S1584" s="2"/>
      <c r="T1584" s="2" t="s">
        <v>14063</v>
      </c>
      <c r="U1584" s="2" t="s">
        <v>14064</v>
      </c>
      <c r="V1584" s="2" t="s">
        <v>553</v>
      </c>
      <c r="W1584" s="2" t="s">
        <v>6104</v>
      </c>
      <c r="X1584" s="2" t="s">
        <v>6105</v>
      </c>
      <c r="Y1584" s="2" t="s">
        <v>556</v>
      </c>
      <c r="Z1584" s="2" t="s">
        <v>6106</v>
      </c>
      <c r="AA1584" s="2" t="s">
        <v>6107</v>
      </c>
      <c r="AB1584" s="2" t="s">
        <v>8443</v>
      </c>
      <c r="AC1584" s="2">
        <v>43.17</v>
      </c>
      <c r="AD1584" s="2">
        <v>81.92</v>
      </c>
      <c r="AE1584" s="2">
        <v>0</v>
      </c>
      <c r="AF1584" s="2" t="s">
        <v>14065</v>
      </c>
      <c r="AG1584" s="2" t="s">
        <v>1088</v>
      </c>
      <c r="AH1584" s="2" t="s">
        <v>14066</v>
      </c>
      <c r="AI1584" s="2">
        <v>-1.39</v>
      </c>
      <c r="AJ1584" s="2">
        <v>28.468871840436002</v>
      </c>
      <c r="AK1584" s="2">
        <v>28.353248002068099</v>
      </c>
      <c r="AL1584" s="2">
        <v>28.753624449191001</v>
      </c>
      <c r="AM1584" s="2">
        <v>28.460620236997698</v>
      </c>
      <c r="AN1584" s="2">
        <v>28.757173579783</v>
      </c>
      <c r="AO1584" s="2">
        <v>28.6257153234607</v>
      </c>
      <c r="AP1584" s="2">
        <v>28.2945657102387</v>
      </c>
      <c r="AQ1584" s="2">
        <v>28.4603953163668</v>
      </c>
      <c r="AR1584" s="2">
        <v>28.371894745008198</v>
      </c>
      <c r="AS1584" s="2">
        <v>28.010838278810699</v>
      </c>
      <c r="AT1584" s="2">
        <v>28.2541792344756</v>
      </c>
      <c r="AU1584" s="2">
        <v>28.050600576090499</v>
      </c>
      <c r="AV1584" s="2">
        <v>28.437751661727699</v>
      </c>
      <c r="AW1584" s="2">
        <v>28.5023664087289</v>
      </c>
      <c r="AX1584" s="2">
        <v>28.423333817879399</v>
      </c>
      <c r="AY1584" s="2">
        <v>28.226680716564999</v>
      </c>
      <c r="AZ1584" s="2">
        <v>28.053812050424899</v>
      </c>
      <c r="BA1584" s="2">
        <v>28.313611532255798</v>
      </c>
      <c r="BB1584" s="2">
        <v>28.627264593597701</v>
      </c>
      <c r="BC1584" s="2">
        <v>28.208453785210999</v>
      </c>
      <c r="BD1584" s="2">
        <v>28.303496529040299</v>
      </c>
      <c r="BE1584" s="2">
        <v>28.279882388517901</v>
      </c>
      <c r="BF1584" s="2">
        <v>28.4263779369243</v>
      </c>
      <c r="BG1584" s="2">
        <v>28.184418826178799</v>
      </c>
      <c r="BH1584" s="2">
        <v>28.5169095876218</v>
      </c>
      <c r="BI1584" s="2">
        <v>28.160895108916101</v>
      </c>
      <c r="BJ1584" s="2">
        <v>28.319781991058299</v>
      </c>
      <c r="BK1584" s="2">
        <v>28.268871273110399</v>
      </c>
      <c r="BL1584" s="2">
        <v>28.195877533815601</v>
      </c>
      <c r="BM1584" s="2">
        <v>28.3436413781555</v>
      </c>
      <c r="BN1584" s="2">
        <v>28.381369961767</v>
      </c>
      <c r="BO1584" s="2">
        <v>28.181211221635198</v>
      </c>
      <c r="BP1584" s="2">
        <v>28.2103558240556</v>
      </c>
      <c r="BQ1584" s="2">
        <v>28.2557922371156</v>
      </c>
      <c r="BR1584" s="2">
        <v>27.9230857780774</v>
      </c>
      <c r="BS1584" s="2">
        <v>28.202363897194601</v>
      </c>
      <c r="BT1584" s="2">
        <v>28.453871256447702</v>
      </c>
      <c r="BU1584" s="2">
        <v>28.3509073334845</v>
      </c>
      <c r="BV1584" s="2">
        <v>28.489482718661598</v>
      </c>
      <c r="BW1584" s="2">
        <v>28.4921675253843</v>
      </c>
      <c r="BX1584" s="2">
        <v>28.1721239487098</v>
      </c>
      <c r="BY1584" s="2">
        <v>28.6278331474252</v>
      </c>
      <c r="BZ1584" s="2">
        <v>28.373325368217699</v>
      </c>
      <c r="CA1584" s="2">
        <v>28.118620322981801</v>
      </c>
      <c r="CB1584" s="2">
        <v>28.4733852284159</v>
      </c>
      <c r="CC1584" s="2">
        <v>28.1538589324621</v>
      </c>
      <c r="CD1584" s="2">
        <v>28.486413262468101</v>
      </c>
      <c r="CE1584" s="2">
        <v>28.574370284533799</v>
      </c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</row>
    <row r="1585" spans="1:97">
      <c r="A1585" s="2" t="s">
        <v>14067</v>
      </c>
      <c r="B1585" s="2">
        <v>547.27941999999996</v>
      </c>
      <c r="C1585" s="2">
        <v>8.8179999999999996</v>
      </c>
      <c r="D1585" s="2" t="s">
        <v>146</v>
      </c>
      <c r="E1585" s="2" t="s">
        <v>14068</v>
      </c>
      <c r="F1585" s="2" t="s">
        <v>14068</v>
      </c>
      <c r="G1585" s="2">
        <v>28376</v>
      </c>
      <c r="H1585" s="3" t="str">
        <f>HYPERLINK("https://cloud.oebiotech.com/#/lm/network/28376", "https://cloud.oebiotech.com/#/lm/network/28376")</f>
        <v>https://cloud.oebiotech.com/#/lm/network/28376</v>
      </c>
      <c r="I1585" s="2"/>
      <c r="J1585" s="2"/>
      <c r="K1585" s="2" t="s">
        <v>14069</v>
      </c>
      <c r="L1585" s="2">
        <v>139590412</v>
      </c>
      <c r="M1585" s="2"/>
      <c r="N1585" s="2"/>
      <c r="O1585" s="2"/>
      <c r="P1585" s="2"/>
      <c r="Q1585" s="2"/>
      <c r="R1585" s="2"/>
      <c r="S1585" s="2"/>
      <c r="T1585" s="2" t="s">
        <v>14070</v>
      </c>
      <c r="U1585" s="2" t="s">
        <v>14071</v>
      </c>
      <c r="V1585" s="2" t="s">
        <v>553</v>
      </c>
      <c r="W1585" s="2" t="s">
        <v>933</v>
      </c>
      <c r="X1585" s="2" t="s">
        <v>3434</v>
      </c>
      <c r="Y1585" s="2" t="s">
        <v>556</v>
      </c>
      <c r="Z1585" s="2" t="s">
        <v>935</v>
      </c>
      <c r="AA1585" s="2" t="s">
        <v>3435</v>
      </c>
      <c r="AB1585" s="2" t="s">
        <v>8443</v>
      </c>
      <c r="AC1585" s="2">
        <v>43.16</v>
      </c>
      <c r="AD1585" s="2">
        <v>98.48</v>
      </c>
      <c r="AE1585" s="2">
        <v>38.24</v>
      </c>
      <c r="AF1585" s="2" t="s">
        <v>14072</v>
      </c>
      <c r="AG1585" s="2" t="s">
        <v>194</v>
      </c>
      <c r="AH1585" s="2" t="s">
        <v>14073</v>
      </c>
      <c r="AI1585" s="2">
        <v>3.65</v>
      </c>
      <c r="AJ1585" s="2">
        <v>24.120166804114699</v>
      </c>
      <c r="AK1585" s="2">
        <v>24.132964400676201</v>
      </c>
      <c r="AL1585" s="2">
        <v>24.0907706325589</v>
      </c>
      <c r="AM1585" s="2">
        <v>24.207595866598702</v>
      </c>
      <c r="AN1585" s="2">
        <v>23.996663019340801</v>
      </c>
      <c r="AO1585" s="2">
        <v>24.0875345396428</v>
      </c>
      <c r="AP1585" s="2">
        <v>23.629968301124201</v>
      </c>
      <c r="AQ1585" s="2">
        <v>24.001462673279999</v>
      </c>
      <c r="AR1585" s="2">
        <v>24.2465021871398</v>
      </c>
      <c r="AS1585" s="2">
        <v>23.657268264379599</v>
      </c>
      <c r="AT1585" s="2">
        <v>24.052236057253001</v>
      </c>
      <c r="AU1585" s="2">
        <v>24.063079393021901</v>
      </c>
      <c r="AV1585" s="2">
        <v>24.079051798560702</v>
      </c>
      <c r="AW1585" s="2">
        <v>24.287739822194101</v>
      </c>
      <c r="AX1585" s="2">
        <v>23.9127004766992</v>
      </c>
      <c r="AY1585" s="2">
        <v>24.190895989225599</v>
      </c>
      <c r="AZ1585" s="2">
        <v>24.0998745768063</v>
      </c>
      <c r="BA1585" s="2">
        <v>24.007244901505299</v>
      </c>
      <c r="BB1585" s="2">
        <v>24.1393369308418</v>
      </c>
      <c r="BC1585" s="2">
        <v>23.9959207225575</v>
      </c>
      <c r="BD1585" s="2">
        <v>24.1252567057265</v>
      </c>
      <c r="BE1585" s="2">
        <v>24.1637502280776</v>
      </c>
      <c r="BF1585" s="2">
        <v>24.118567888526702</v>
      </c>
      <c r="BG1585" s="2">
        <v>24.101312317610599</v>
      </c>
      <c r="BH1585" s="2">
        <v>24.256112388438801</v>
      </c>
      <c r="BI1585" s="2">
        <v>24.0747530327316</v>
      </c>
      <c r="BJ1585" s="2">
        <v>23.557064915153301</v>
      </c>
      <c r="BK1585" s="2">
        <v>24.219345072726998</v>
      </c>
      <c r="BL1585" s="2">
        <v>24.019974770605199</v>
      </c>
      <c r="BM1585" s="2">
        <v>24.196453690300299</v>
      </c>
      <c r="BN1585" s="2">
        <v>24.008402913166901</v>
      </c>
      <c r="BO1585" s="2">
        <v>23.971417551574</v>
      </c>
      <c r="BP1585" s="2">
        <v>24.031087375747902</v>
      </c>
      <c r="BQ1585" s="2">
        <v>24.087413469649501</v>
      </c>
      <c r="BR1585" s="2">
        <v>23.976602652149399</v>
      </c>
      <c r="BS1585" s="2">
        <v>23.881807236059899</v>
      </c>
      <c r="BT1585" s="2">
        <v>23.921850044849801</v>
      </c>
      <c r="BU1585" s="2">
        <v>23.927130661501799</v>
      </c>
      <c r="BV1585" s="2">
        <v>24.0070351995343</v>
      </c>
      <c r="BW1585" s="2">
        <v>23.531005818463701</v>
      </c>
      <c r="BX1585" s="2">
        <v>23.945422705674201</v>
      </c>
      <c r="BY1585" s="2">
        <v>23.983372716134699</v>
      </c>
      <c r="BZ1585" s="2">
        <v>24.207322456340201</v>
      </c>
      <c r="CA1585" s="2">
        <v>23.980941906272701</v>
      </c>
      <c r="CB1585" s="2">
        <v>23.844167877699402</v>
      </c>
      <c r="CC1585" s="2">
        <v>24.0635138767406</v>
      </c>
      <c r="CD1585" s="2">
        <v>23.738833339704499</v>
      </c>
      <c r="CE1585" s="2">
        <v>23.932197991656501</v>
      </c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</row>
    <row r="1586" spans="1:97">
      <c r="A1586" s="2" t="s">
        <v>14074</v>
      </c>
      <c r="B1586" s="2">
        <v>223.10499999999999</v>
      </c>
      <c r="C1586" s="2">
        <v>1.7290000000000001</v>
      </c>
      <c r="D1586" s="2" t="s">
        <v>84</v>
      </c>
      <c r="E1586" s="2" t="s">
        <v>14075</v>
      </c>
      <c r="F1586" s="2" t="s">
        <v>14076</v>
      </c>
      <c r="G1586" s="2">
        <v>595678</v>
      </c>
      <c r="H1586" s="3" t="str">
        <f>HYPERLINK("https://cloud.oebiotech.com/#/lm/network/595678", "https://cloud.oebiotech.com/#/lm/network/595678")</f>
        <v>https://cloud.oebiotech.com/#/lm/network/595678</v>
      </c>
      <c r="I1586" s="2"/>
      <c r="J1586" s="2"/>
      <c r="K1586" s="2"/>
      <c r="L1586" s="2">
        <v>53215591</v>
      </c>
      <c r="M1586" s="2"/>
      <c r="N1586" s="2"/>
      <c r="O1586" s="2"/>
      <c r="P1586" s="2"/>
      <c r="Q1586" s="2"/>
      <c r="R1586" s="2"/>
      <c r="S1586" s="2"/>
      <c r="T1586" s="2" t="s">
        <v>14077</v>
      </c>
      <c r="U1586" s="2" t="s">
        <v>14078</v>
      </c>
      <c r="V1586" s="2" t="s">
        <v>115</v>
      </c>
      <c r="W1586" s="2" t="s">
        <v>116</v>
      </c>
      <c r="X1586" s="2" t="s">
        <v>117</v>
      </c>
      <c r="Y1586" s="2" t="s">
        <v>118</v>
      </c>
      <c r="Z1586" s="2" t="s">
        <v>119</v>
      </c>
      <c r="AA1586" s="2" t="s">
        <v>120</v>
      </c>
      <c r="AB1586" s="2" t="s">
        <v>8443</v>
      </c>
      <c r="AC1586" s="2">
        <v>43.13</v>
      </c>
      <c r="AD1586" s="2">
        <v>74.25</v>
      </c>
      <c r="AE1586" s="2">
        <v>0</v>
      </c>
      <c r="AF1586" s="2" t="s">
        <v>5614</v>
      </c>
      <c r="AG1586" s="2" t="s">
        <v>1578</v>
      </c>
      <c r="AH1586" s="2" t="s">
        <v>14079</v>
      </c>
      <c r="AI1586" s="2">
        <v>1.34</v>
      </c>
      <c r="AJ1586" s="2">
        <v>19.723394573659998</v>
      </c>
      <c r="AK1586" s="2">
        <v>19.672217672340299</v>
      </c>
      <c r="AL1586" s="2">
        <v>19.060459040676498</v>
      </c>
      <c r="AM1586" s="2">
        <v>19.546601390226499</v>
      </c>
      <c r="AN1586" s="2">
        <v>19.6981252473655</v>
      </c>
      <c r="AO1586" s="2">
        <v>19.766087979279</v>
      </c>
      <c r="AP1586" s="2">
        <v>19.911093165677698</v>
      </c>
      <c r="AQ1586" s="2">
        <v>19.283314819228899</v>
      </c>
      <c r="AR1586" s="2">
        <v>19.619258708860102</v>
      </c>
      <c r="AS1586" s="2">
        <v>17.661022043269099</v>
      </c>
      <c r="AT1586" s="2">
        <v>16.970339608413902</v>
      </c>
      <c r="AU1586" s="2">
        <v>16.981166105893301</v>
      </c>
      <c r="AV1586" s="2">
        <v>15.8193708109253</v>
      </c>
      <c r="AW1586" s="2">
        <v>20.781210524432499</v>
      </c>
      <c r="AX1586" s="2">
        <v>18.473895490346202</v>
      </c>
      <c r="AY1586" s="2">
        <v>20.219122955651802</v>
      </c>
      <c r="AZ1586" s="2">
        <v>16.8290789027328</v>
      </c>
      <c r="BA1586" s="2">
        <v>14.8469334937865</v>
      </c>
      <c r="BB1586" s="2">
        <v>17.538561427573899</v>
      </c>
      <c r="BC1586" s="2">
        <v>18.947149974735002</v>
      </c>
      <c r="BD1586" s="2">
        <v>19.695480712492699</v>
      </c>
      <c r="BE1586" s="2">
        <v>17.263793864737099</v>
      </c>
      <c r="BF1586" s="2">
        <v>19.846062938631</v>
      </c>
      <c r="BG1586" s="2">
        <v>19.423564548224601</v>
      </c>
      <c r="BH1586" s="2">
        <v>18.699009637963101</v>
      </c>
      <c r="BI1586" s="2">
        <v>18.654450694469698</v>
      </c>
      <c r="BJ1586" s="2">
        <v>19.5825275759255</v>
      </c>
      <c r="BK1586" s="2">
        <v>18.5398971867873</v>
      </c>
      <c r="BL1586" s="2">
        <v>18.668770988410799</v>
      </c>
      <c r="BM1586" s="2">
        <v>17.3867641401248</v>
      </c>
      <c r="BN1586" s="2">
        <v>17.624978108197102</v>
      </c>
      <c r="BO1586" s="2">
        <v>18.929690314388001</v>
      </c>
      <c r="BP1586" s="2">
        <v>18.2868331046215</v>
      </c>
      <c r="BQ1586" s="2">
        <v>20.168929206986199</v>
      </c>
      <c r="BR1586" s="2">
        <v>18.478066567199701</v>
      </c>
      <c r="BS1586" s="2">
        <v>20.1011664458625</v>
      </c>
      <c r="BT1586" s="2">
        <v>18.716559024886699</v>
      </c>
      <c r="BU1586" s="2">
        <v>18.131025656639</v>
      </c>
      <c r="BV1586" s="2">
        <v>19.0480352426985</v>
      </c>
      <c r="BW1586" s="2">
        <v>19.02197476273</v>
      </c>
      <c r="BX1586" s="2">
        <v>19.798784901206901</v>
      </c>
      <c r="BY1586" s="2">
        <v>17.029705327912001</v>
      </c>
      <c r="BZ1586" s="2">
        <v>19.807095906694101</v>
      </c>
      <c r="CA1586" s="2">
        <v>18.249847227548301</v>
      </c>
      <c r="CB1586" s="2">
        <v>19.7126115308759</v>
      </c>
      <c r="CC1586" s="2">
        <v>16.663395213684399</v>
      </c>
      <c r="CD1586" s="2">
        <v>17.4990225070928</v>
      </c>
      <c r="CE1586" s="2">
        <v>19.053955304728401</v>
      </c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</row>
    <row r="1587" spans="1:97">
      <c r="A1587" s="2" t="s">
        <v>14080</v>
      </c>
      <c r="B1587" s="2">
        <v>231.08366000000001</v>
      </c>
      <c r="C1587" s="2">
        <v>1.1100000000000001</v>
      </c>
      <c r="D1587" s="2" t="s">
        <v>84</v>
      </c>
      <c r="E1587" s="2" t="s">
        <v>14081</v>
      </c>
      <c r="F1587" s="2" t="s">
        <v>14082</v>
      </c>
      <c r="G1587" s="2">
        <v>58089</v>
      </c>
      <c r="H1587" s="3" t="str">
        <f>HYPERLINK("https://cloud.oebiotech.com/#/lm/network/58089", "https://cloud.oebiotech.com/#/lm/network/58089")</f>
        <v>https://cloud.oebiotech.com/#/lm/network/58089</v>
      </c>
      <c r="I1587" s="2" t="s">
        <v>14083</v>
      </c>
      <c r="J1587" s="2"/>
      <c r="K1587" s="2"/>
      <c r="L1587" s="2"/>
      <c r="M1587" s="2"/>
      <c r="N1587" s="2"/>
      <c r="O1587" s="2"/>
      <c r="P1587" s="2"/>
      <c r="Q1587" s="2"/>
      <c r="R1587" s="2"/>
      <c r="S1587" s="2" t="s">
        <v>14084</v>
      </c>
      <c r="T1587" s="2" t="s">
        <v>14085</v>
      </c>
      <c r="U1587" s="2" t="s">
        <v>14086</v>
      </c>
      <c r="V1587" s="2" t="s">
        <v>338</v>
      </c>
      <c r="W1587" s="2" t="s">
        <v>339</v>
      </c>
      <c r="X1587" s="2" t="s">
        <v>3877</v>
      </c>
      <c r="Y1587" s="2" t="s">
        <v>341</v>
      </c>
      <c r="Z1587" s="2" t="s">
        <v>341</v>
      </c>
      <c r="AA1587" s="2" t="s">
        <v>3878</v>
      </c>
      <c r="AB1587" s="2" t="s">
        <v>8443</v>
      </c>
      <c r="AC1587" s="2">
        <v>43.12</v>
      </c>
      <c r="AD1587" s="2">
        <v>73.63</v>
      </c>
      <c r="AE1587" s="2">
        <v>0</v>
      </c>
      <c r="AF1587" s="2" t="s">
        <v>14087</v>
      </c>
      <c r="AG1587" s="2" t="s">
        <v>1578</v>
      </c>
      <c r="AH1587" s="2" t="s">
        <v>14088</v>
      </c>
      <c r="AI1587" s="2">
        <v>0.87</v>
      </c>
      <c r="AJ1587" s="2">
        <v>21.327043805468101</v>
      </c>
      <c r="AK1587" s="2">
        <v>21.197947254572199</v>
      </c>
      <c r="AL1587" s="2">
        <v>21.447391840261499</v>
      </c>
      <c r="AM1587" s="2">
        <v>20.647547040997999</v>
      </c>
      <c r="AN1587" s="2">
        <v>21.3484782775482</v>
      </c>
      <c r="AO1587" s="2">
        <v>21.297902299902798</v>
      </c>
      <c r="AP1587" s="2">
        <v>21.274670741003298</v>
      </c>
      <c r="AQ1587" s="2">
        <v>21.210708212029299</v>
      </c>
      <c r="AR1587" s="2">
        <v>20.298585583246901</v>
      </c>
      <c r="AS1587" s="2">
        <v>17.104571317856301</v>
      </c>
      <c r="AT1587" s="2">
        <v>16.964174895063401</v>
      </c>
      <c r="AU1587" s="2">
        <v>22.728918288927201</v>
      </c>
      <c r="AV1587" s="2">
        <v>22.2382241100612</v>
      </c>
      <c r="AW1587" s="2">
        <v>21.362403439210301</v>
      </c>
      <c r="AX1587" s="2">
        <v>18.170909806328599</v>
      </c>
      <c r="AY1587" s="2">
        <v>18.9566991074478</v>
      </c>
      <c r="AZ1587" s="2">
        <v>21.826135713524199</v>
      </c>
      <c r="BA1587" s="2">
        <v>18.105785360391302</v>
      </c>
      <c r="BB1587" s="2">
        <v>19.020060632013902</v>
      </c>
      <c r="BC1587" s="2">
        <v>20.541678007088802</v>
      </c>
      <c r="BD1587" s="2">
        <v>20.122676813229599</v>
      </c>
      <c r="BE1587" s="2">
        <v>20.729716590801601</v>
      </c>
      <c r="BF1587" s="2">
        <v>23.143113151464501</v>
      </c>
      <c r="BG1587" s="2">
        <v>22.4830916373764</v>
      </c>
      <c r="BH1587" s="2">
        <v>19.553991208363001</v>
      </c>
      <c r="BI1587" s="2">
        <v>19.2696515462927</v>
      </c>
      <c r="BJ1587" s="2">
        <v>21.873976047587501</v>
      </c>
      <c r="BK1587" s="2">
        <v>21.786568976010901</v>
      </c>
      <c r="BL1587" s="2">
        <v>18.907175484485901</v>
      </c>
      <c r="BM1587" s="2">
        <v>20.114929220023601</v>
      </c>
      <c r="BN1587" s="2">
        <v>18.380471422923002</v>
      </c>
      <c r="BO1587" s="2">
        <v>22.0202985348085</v>
      </c>
      <c r="BP1587" s="2">
        <v>22.859117993255499</v>
      </c>
      <c r="BQ1587" s="2">
        <v>22.324656831064399</v>
      </c>
      <c r="BR1587" s="2">
        <v>17.5976164262261</v>
      </c>
      <c r="BS1587" s="2">
        <v>23.225993390968998</v>
      </c>
      <c r="BT1587" s="2">
        <v>19.6893565488052</v>
      </c>
      <c r="BU1587" s="2">
        <v>16.436960036926401</v>
      </c>
      <c r="BV1587" s="2">
        <v>22.431506737476798</v>
      </c>
      <c r="BW1587" s="2">
        <v>19.200118972716599</v>
      </c>
      <c r="BX1587" s="2">
        <v>19.6792624623851</v>
      </c>
      <c r="BY1587" s="2">
        <v>22.291599149984801</v>
      </c>
      <c r="BZ1587" s="2">
        <v>18.671269077635198</v>
      </c>
      <c r="CA1587" s="2">
        <v>22.5916724125344</v>
      </c>
      <c r="CB1587" s="2">
        <v>21.624149491950099</v>
      </c>
      <c r="CC1587" s="2">
        <v>18.536791728777999</v>
      </c>
      <c r="CD1587" s="2">
        <v>18.972236602246799</v>
      </c>
      <c r="CE1587" s="2">
        <v>20.089796485320999</v>
      </c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</row>
    <row r="1588" spans="1:97">
      <c r="A1588" s="2" t="s">
        <v>14089</v>
      </c>
      <c r="B1588" s="2">
        <v>826.48806000000002</v>
      </c>
      <c r="C1588" s="2">
        <v>10.381</v>
      </c>
      <c r="D1588" s="2" t="s">
        <v>84</v>
      </c>
      <c r="E1588" s="2" t="s">
        <v>14090</v>
      </c>
      <c r="F1588" s="2" t="s">
        <v>14091</v>
      </c>
      <c r="G1588" s="2">
        <v>214854</v>
      </c>
      <c r="H1588" s="3" t="str">
        <f>HYPERLINK("https://cloud.oebiotech.com/#/lm/network/214854", "https://cloud.oebiotech.com/#/lm/network/214854")</f>
        <v>https://cloud.oebiotech.com/#/lm/network/214854</v>
      </c>
      <c r="I1588" s="2" t="s">
        <v>14092</v>
      </c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 t="s">
        <v>14093</v>
      </c>
      <c r="U1588" s="2" t="s">
        <v>14094</v>
      </c>
      <c r="V1588" s="2" t="s">
        <v>95</v>
      </c>
      <c r="W1588" s="2" t="s">
        <v>96</v>
      </c>
      <c r="X1588" s="2" t="s">
        <v>3216</v>
      </c>
      <c r="Y1588" s="2" t="s">
        <v>98</v>
      </c>
      <c r="Z1588" s="2" t="s">
        <v>99</v>
      </c>
      <c r="AA1588" s="2" t="s">
        <v>3217</v>
      </c>
      <c r="AB1588" s="2" t="s">
        <v>5118</v>
      </c>
      <c r="AC1588" s="2">
        <v>43.12</v>
      </c>
      <c r="AD1588" s="2">
        <v>67.569999999999993</v>
      </c>
      <c r="AE1588" s="2">
        <v>65.91</v>
      </c>
      <c r="AF1588" s="2" t="s">
        <v>14095</v>
      </c>
      <c r="AG1588" s="2" t="s">
        <v>103</v>
      </c>
      <c r="AH1588" s="2" t="s">
        <v>14096</v>
      </c>
      <c r="AI1588" s="2">
        <v>-1.94</v>
      </c>
      <c r="AJ1588" s="2">
        <v>19.624583849305001</v>
      </c>
      <c r="AK1588" s="2">
        <v>19.678028616430002</v>
      </c>
      <c r="AL1588" s="2">
        <v>19.038931792382598</v>
      </c>
      <c r="AM1588" s="2">
        <v>19.574079309304899</v>
      </c>
      <c r="AN1588" s="2">
        <v>19.393303240305901</v>
      </c>
      <c r="AO1588" s="2">
        <v>19.5744730328801</v>
      </c>
      <c r="AP1588" s="2">
        <v>20.201587140952199</v>
      </c>
      <c r="AQ1588" s="2">
        <v>19.357277439818901</v>
      </c>
      <c r="AR1588" s="2">
        <v>20.333826127925001</v>
      </c>
      <c r="AS1588" s="2">
        <v>17.3140617697096</v>
      </c>
      <c r="AT1588" s="2">
        <v>19.010157173295301</v>
      </c>
      <c r="AU1588" s="2">
        <v>17.8041063103813</v>
      </c>
      <c r="AV1588" s="2">
        <v>18.0181351269472</v>
      </c>
      <c r="AW1588" s="2">
        <v>20.166047633093399</v>
      </c>
      <c r="AX1588" s="2">
        <v>20.439346204011599</v>
      </c>
      <c r="AY1588" s="2">
        <v>19.4873847047573</v>
      </c>
      <c r="AZ1588" s="2">
        <v>18.948455754564002</v>
      </c>
      <c r="BA1588" s="2">
        <v>16.836017922664301</v>
      </c>
      <c r="BB1588" s="2">
        <v>18.910645804390398</v>
      </c>
      <c r="BC1588" s="2">
        <v>20.120655810407499</v>
      </c>
      <c r="BD1588" s="2">
        <v>19.2269029129634</v>
      </c>
      <c r="BE1588" s="2">
        <v>19.277695929379899</v>
      </c>
      <c r="BF1588" s="2">
        <v>19.313361120543998</v>
      </c>
      <c r="BG1588" s="2">
        <v>19.471623739676801</v>
      </c>
      <c r="BH1588" s="2">
        <v>20.106329513602901</v>
      </c>
      <c r="BI1588" s="2">
        <v>19.0598817165098</v>
      </c>
      <c r="BJ1588" s="2">
        <v>19.164890481445099</v>
      </c>
      <c r="BK1588" s="2">
        <v>18.882598722630298</v>
      </c>
      <c r="BL1588" s="2">
        <v>19.1693042016169</v>
      </c>
      <c r="BM1588" s="2">
        <v>9.6233145402724691</v>
      </c>
      <c r="BN1588" s="2">
        <v>19.800401161148301</v>
      </c>
      <c r="BO1588" s="2">
        <v>19.4059282275424</v>
      </c>
      <c r="BP1588" s="2">
        <v>19.2010125320413</v>
      </c>
      <c r="BQ1588" s="2">
        <v>19.508402111949199</v>
      </c>
      <c r="BR1588" s="2">
        <v>19.696926158832401</v>
      </c>
      <c r="BS1588" s="2">
        <v>19.9817254414756</v>
      </c>
      <c r="BT1588" s="2">
        <v>19.750812807934299</v>
      </c>
      <c r="BU1588" s="2">
        <v>17.660873764466199</v>
      </c>
      <c r="BV1588" s="2">
        <v>18.283886061628198</v>
      </c>
      <c r="BW1588" s="2">
        <v>19.361969210466398</v>
      </c>
      <c r="BX1588" s="2">
        <v>19.387606611431501</v>
      </c>
      <c r="BY1588" s="2">
        <v>20.249184497045601</v>
      </c>
      <c r="BZ1588" s="2">
        <v>18.618280387954599</v>
      </c>
      <c r="CA1588" s="2">
        <v>19.833305620793901</v>
      </c>
      <c r="CB1588" s="2">
        <v>19.4616076198669</v>
      </c>
      <c r="CC1588" s="2">
        <v>18.829799091366599</v>
      </c>
      <c r="CD1588" s="2">
        <v>19.668731903033098</v>
      </c>
      <c r="CE1588" s="2">
        <v>19.1851255308883</v>
      </c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</row>
    <row r="1589" spans="1:97">
      <c r="A1589" s="2" t="s">
        <v>14097</v>
      </c>
      <c r="B1589" s="2">
        <v>347.15890000000002</v>
      </c>
      <c r="C1589" s="2">
        <v>8.4429999999999996</v>
      </c>
      <c r="D1589" s="2" t="s">
        <v>84</v>
      </c>
      <c r="E1589" s="2" t="s">
        <v>14098</v>
      </c>
      <c r="F1589" s="2" t="s">
        <v>14098</v>
      </c>
      <c r="G1589" s="2">
        <v>3457</v>
      </c>
      <c r="H1589" s="3" t="str">
        <f>HYPERLINK("https://cloud.oebiotech.com/#/lm/network/3457", "https://cloud.oebiotech.com/#/lm/network/3457")</f>
        <v>https://cloud.oebiotech.com/#/lm/network/3457</v>
      </c>
      <c r="I1589" s="2"/>
      <c r="J1589" s="2"/>
      <c r="K1589" s="2" t="s">
        <v>14099</v>
      </c>
      <c r="L1589" s="2">
        <v>131839865</v>
      </c>
      <c r="M1589" s="2"/>
      <c r="N1589" s="2"/>
      <c r="O1589" s="2"/>
      <c r="P1589" s="2"/>
      <c r="Q1589" s="2"/>
      <c r="R1589" s="2"/>
      <c r="S1589" s="2"/>
      <c r="T1589" s="2" t="s">
        <v>14100</v>
      </c>
      <c r="U1589" s="2" t="s">
        <v>14101</v>
      </c>
      <c r="V1589" s="2" t="s">
        <v>95</v>
      </c>
      <c r="W1589" s="2" t="s">
        <v>96</v>
      </c>
      <c r="X1589" s="2" t="s">
        <v>3216</v>
      </c>
      <c r="Y1589" s="2" t="s">
        <v>98</v>
      </c>
      <c r="Z1589" s="2" t="s">
        <v>99</v>
      </c>
      <c r="AA1589" s="2" t="s">
        <v>3217</v>
      </c>
      <c r="AB1589" s="2" t="s">
        <v>3086</v>
      </c>
      <c r="AC1589" s="2">
        <v>43.12</v>
      </c>
      <c r="AD1589" s="2">
        <v>75.11</v>
      </c>
      <c r="AE1589" s="2">
        <v>0</v>
      </c>
      <c r="AF1589" s="2" t="s">
        <v>5614</v>
      </c>
      <c r="AG1589" s="2" t="s">
        <v>3544</v>
      </c>
      <c r="AH1589" s="2" t="s">
        <v>13611</v>
      </c>
      <c r="AI1589" s="2">
        <v>8.64</v>
      </c>
      <c r="AJ1589" s="2">
        <v>17.987160570061398</v>
      </c>
      <c r="AK1589" s="2">
        <v>18.253702550956</v>
      </c>
      <c r="AL1589" s="2">
        <v>17.950884480077899</v>
      </c>
      <c r="AM1589" s="2">
        <v>18.3109802422507</v>
      </c>
      <c r="AN1589" s="2">
        <v>18.0558090811043</v>
      </c>
      <c r="AO1589" s="2">
        <v>18.020008771804999</v>
      </c>
      <c r="AP1589" s="2">
        <v>17.9227540102173</v>
      </c>
      <c r="AQ1589" s="2">
        <v>18.154916134239699</v>
      </c>
      <c r="AR1589" s="2">
        <v>17.943832639336499</v>
      </c>
      <c r="AS1589" s="2">
        <v>17.674160399816898</v>
      </c>
      <c r="AT1589" s="2">
        <v>17.734070123949699</v>
      </c>
      <c r="AU1589" s="2">
        <v>18.256399721643799</v>
      </c>
      <c r="AV1589" s="2">
        <v>18.231901784366499</v>
      </c>
      <c r="AW1589" s="2">
        <v>15.699064861538499</v>
      </c>
      <c r="AX1589" s="2">
        <v>17.878114393363301</v>
      </c>
      <c r="AY1589" s="2">
        <v>13.9095331149469</v>
      </c>
      <c r="AZ1589" s="2">
        <v>17.557643488777401</v>
      </c>
      <c r="BA1589" s="2">
        <v>17.103054991109399</v>
      </c>
      <c r="BB1589" s="2">
        <v>17.447517936005401</v>
      </c>
      <c r="BC1589" s="2">
        <v>18.088652234452699</v>
      </c>
      <c r="BD1589" s="2">
        <v>16.743121802357699</v>
      </c>
      <c r="BE1589" s="2">
        <v>18.460108363588699</v>
      </c>
      <c r="BF1589" s="2">
        <v>17.2645179218962</v>
      </c>
      <c r="BG1589" s="2">
        <v>15.7477545224513</v>
      </c>
      <c r="BH1589" s="2">
        <v>17.679201870052299</v>
      </c>
      <c r="BI1589" s="2">
        <v>18.918706243196599</v>
      </c>
      <c r="BJ1589" s="2">
        <v>17.257247500181901</v>
      </c>
      <c r="BK1589" s="2">
        <v>16.936791125209101</v>
      </c>
      <c r="BL1589" s="2">
        <v>18.823161397983601</v>
      </c>
      <c r="BM1589" s="2">
        <v>18.240640329382298</v>
      </c>
      <c r="BN1589" s="2">
        <v>17.514027612266101</v>
      </c>
      <c r="BO1589" s="2">
        <v>17.988606086772101</v>
      </c>
      <c r="BP1589" s="2">
        <v>18.091460490288199</v>
      </c>
      <c r="BQ1589" s="2">
        <v>16.470643146921301</v>
      </c>
      <c r="BR1589" s="2">
        <v>18.9935005626517</v>
      </c>
      <c r="BS1589" s="2">
        <v>13.8209876583379</v>
      </c>
      <c r="BT1589" s="2">
        <v>15.7729240745449</v>
      </c>
      <c r="BU1589" s="2">
        <v>17.892586572106001</v>
      </c>
      <c r="BV1589" s="2">
        <v>19.0295597019105</v>
      </c>
      <c r="BW1589" s="2">
        <v>16.5333393149524</v>
      </c>
      <c r="BX1589" s="2">
        <v>18.058842669016499</v>
      </c>
      <c r="BY1589" s="2">
        <v>19.4710732184429</v>
      </c>
      <c r="BZ1589" s="2">
        <v>16.685214178187898</v>
      </c>
      <c r="CA1589" s="2">
        <v>14.140380855380601</v>
      </c>
      <c r="CB1589" s="2">
        <v>19.920581122746</v>
      </c>
      <c r="CC1589" s="2">
        <v>18.249402748076498</v>
      </c>
      <c r="CD1589" s="2">
        <v>17.531747266489099</v>
      </c>
      <c r="CE1589" s="2">
        <v>18.072331731591301</v>
      </c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</row>
    <row r="1590" spans="1:97">
      <c r="A1590" s="2" t="s">
        <v>14102</v>
      </c>
      <c r="B1590" s="2">
        <v>301.14064000000002</v>
      </c>
      <c r="C1590" s="2">
        <v>6.9109999999999996</v>
      </c>
      <c r="D1590" s="2" t="s">
        <v>84</v>
      </c>
      <c r="E1590" s="2" t="s">
        <v>14103</v>
      </c>
      <c r="F1590" s="2" t="s">
        <v>14104</v>
      </c>
      <c r="G1590" s="2">
        <v>201175</v>
      </c>
      <c r="H1590" s="3" t="str">
        <f>HYPERLINK("https://cloud.oebiotech.com/#/lm/network/201175", "https://cloud.oebiotech.com/#/lm/network/201175")</f>
        <v>https://cloud.oebiotech.com/#/lm/network/201175</v>
      </c>
      <c r="I1590" s="2" t="s">
        <v>14105</v>
      </c>
      <c r="J1590" s="2"/>
      <c r="K1590" s="2"/>
      <c r="L1590" s="2">
        <v>91106693</v>
      </c>
      <c r="M1590" s="2"/>
      <c r="N1590" s="2"/>
      <c r="O1590" s="2"/>
      <c r="P1590" s="2"/>
      <c r="Q1590" s="2"/>
      <c r="R1590" s="2"/>
      <c r="S1590" s="2"/>
      <c r="T1590" s="2" t="s">
        <v>14106</v>
      </c>
      <c r="U1590" s="2" t="s">
        <v>14107</v>
      </c>
      <c r="V1590" s="2" t="s">
        <v>95</v>
      </c>
      <c r="W1590" s="2" t="s">
        <v>180</v>
      </c>
      <c r="X1590" s="2" t="s">
        <v>5048</v>
      </c>
      <c r="Y1590" s="2" t="s">
        <v>98</v>
      </c>
      <c r="Z1590" s="2" t="s">
        <v>182</v>
      </c>
      <c r="AA1590" s="2" t="s">
        <v>5049</v>
      </c>
      <c r="AB1590" s="2" t="s">
        <v>3086</v>
      </c>
      <c r="AC1590" s="2">
        <v>43.1</v>
      </c>
      <c r="AD1590" s="2">
        <v>88.48</v>
      </c>
      <c r="AE1590" s="2">
        <v>0</v>
      </c>
      <c r="AF1590" s="2" t="s">
        <v>14108</v>
      </c>
      <c r="AG1590" s="2" t="s">
        <v>103</v>
      </c>
      <c r="AH1590" s="2" t="s">
        <v>14109</v>
      </c>
      <c r="AI1590" s="2">
        <v>9.3000000000000007</v>
      </c>
      <c r="AJ1590" s="2">
        <v>24.585664088682901</v>
      </c>
      <c r="AK1590" s="2">
        <v>24.8653142101486</v>
      </c>
      <c r="AL1590" s="2">
        <v>24.911803882972301</v>
      </c>
      <c r="AM1590" s="2">
        <v>24.862672994850001</v>
      </c>
      <c r="AN1590" s="2">
        <v>24.700120797954199</v>
      </c>
      <c r="AO1590" s="2">
        <v>24.741924276930799</v>
      </c>
      <c r="AP1590" s="2">
        <v>24.363932979327799</v>
      </c>
      <c r="AQ1590" s="2">
        <v>24.180911903258298</v>
      </c>
      <c r="AR1590" s="2">
        <v>24.038364687182298</v>
      </c>
      <c r="AS1590" s="2">
        <v>24.8585709979446</v>
      </c>
      <c r="AT1590" s="2">
        <v>24.924059343390098</v>
      </c>
      <c r="AU1590" s="2">
        <v>25.002194755415601</v>
      </c>
      <c r="AV1590" s="2">
        <v>24.7871691458109</v>
      </c>
      <c r="AW1590" s="2">
        <v>24.8746028382361</v>
      </c>
      <c r="AX1590" s="2">
        <v>24.081404045708101</v>
      </c>
      <c r="AY1590" s="2">
        <v>24.912099467512199</v>
      </c>
      <c r="AZ1590" s="2">
        <v>23.802333164333898</v>
      </c>
      <c r="BA1590" s="2">
        <v>24.789691432106501</v>
      </c>
      <c r="BB1590" s="2">
        <v>24.9022298935236</v>
      </c>
      <c r="BC1590" s="2">
        <v>24.892400215895801</v>
      </c>
      <c r="BD1590" s="2">
        <v>24.906916355169301</v>
      </c>
      <c r="BE1590" s="2">
        <v>24.8230543140123</v>
      </c>
      <c r="BF1590" s="2">
        <v>24.818714739685898</v>
      </c>
      <c r="BG1590" s="2">
        <v>24.833811460434099</v>
      </c>
      <c r="BH1590" s="2">
        <v>24.699738001705398</v>
      </c>
      <c r="BI1590" s="2">
        <v>24.533745086488</v>
      </c>
      <c r="BJ1590" s="2">
        <v>24.814847650247199</v>
      </c>
      <c r="BK1590" s="2">
        <v>24.739278520190901</v>
      </c>
      <c r="BL1590" s="2">
        <v>24.577168372296899</v>
      </c>
      <c r="BM1590" s="2">
        <v>24.854568714173698</v>
      </c>
      <c r="BN1590" s="2">
        <v>24.6724623322003</v>
      </c>
      <c r="BO1590" s="2">
        <v>24.8119170110892</v>
      </c>
      <c r="BP1590" s="2">
        <v>24.5289280091162</v>
      </c>
      <c r="BQ1590" s="2">
        <v>23.946649253737501</v>
      </c>
      <c r="BR1590" s="2">
        <v>24.604583374492901</v>
      </c>
      <c r="BS1590" s="2">
        <v>24.9211100983166</v>
      </c>
      <c r="BT1590" s="2">
        <v>24.677888398702802</v>
      </c>
      <c r="BU1590" s="2">
        <v>24.031752852966399</v>
      </c>
      <c r="BV1590" s="2">
        <v>24.6049394220795</v>
      </c>
      <c r="BW1590" s="2">
        <v>24.691860522321999</v>
      </c>
      <c r="BX1590" s="2">
        <v>24.714453250414099</v>
      </c>
      <c r="BY1590" s="2">
        <v>23.542648694216801</v>
      </c>
      <c r="BZ1590" s="2">
        <v>24.792615573732199</v>
      </c>
      <c r="CA1590" s="2">
        <v>24.038455550758201</v>
      </c>
      <c r="CB1590" s="2">
        <v>24.547122319824599</v>
      </c>
      <c r="CC1590" s="2">
        <v>24.626716865704299</v>
      </c>
      <c r="CD1590" s="2">
        <v>24.684382173119801</v>
      </c>
      <c r="CE1590" s="2">
        <v>24.809376085952</v>
      </c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2"/>
    </row>
    <row r="1591" spans="1:97">
      <c r="A1591" s="2" t="s">
        <v>14110</v>
      </c>
      <c r="B1591" s="2">
        <v>217.0163</v>
      </c>
      <c r="C1591" s="2">
        <v>0.86399999999999999</v>
      </c>
      <c r="D1591" s="2" t="s">
        <v>146</v>
      </c>
      <c r="E1591" s="2" t="s">
        <v>14111</v>
      </c>
      <c r="F1591" s="2" t="s">
        <v>14112</v>
      </c>
      <c r="G1591" s="2">
        <v>595607</v>
      </c>
      <c r="H1591" s="3" t="str">
        <f>HYPERLINK("https://cloud.oebiotech.com/#/lm/network/595607", "https://cloud.oebiotech.com/#/lm/network/595607")</f>
        <v>https://cloud.oebiotech.com/#/lm/network/595607</v>
      </c>
      <c r="I1591" s="2"/>
      <c r="J1591" s="2"/>
      <c r="K1591" s="2"/>
      <c r="L1591" s="2">
        <v>20726221</v>
      </c>
      <c r="M1591" s="2"/>
      <c r="N1591" s="2"/>
      <c r="O1591" s="2"/>
      <c r="P1591" s="2"/>
      <c r="Q1591" s="2"/>
      <c r="R1591" s="2"/>
      <c r="S1591" s="2"/>
      <c r="T1591" s="2" t="s">
        <v>14113</v>
      </c>
      <c r="U1591" s="2" t="s">
        <v>14114</v>
      </c>
      <c r="V1591" s="2" t="s">
        <v>385</v>
      </c>
      <c r="W1591" s="2" t="s">
        <v>3055</v>
      </c>
      <c r="X1591" s="2" t="s">
        <v>375</v>
      </c>
      <c r="Y1591" s="2" t="s">
        <v>388</v>
      </c>
      <c r="Z1591" s="2" t="s">
        <v>3056</v>
      </c>
      <c r="AA1591" s="2"/>
      <c r="AB1591" s="2" t="s">
        <v>5118</v>
      </c>
      <c r="AC1591" s="2">
        <v>43.08</v>
      </c>
      <c r="AD1591" s="2">
        <v>98.34</v>
      </c>
      <c r="AE1591" s="2">
        <v>53.74</v>
      </c>
      <c r="AF1591" s="2" t="s">
        <v>14115</v>
      </c>
      <c r="AG1591" s="2" t="s">
        <v>194</v>
      </c>
      <c r="AH1591" s="2" t="s">
        <v>1405</v>
      </c>
      <c r="AI1591" s="2">
        <v>5.99</v>
      </c>
      <c r="AJ1591" s="2">
        <v>22.887206005869601</v>
      </c>
      <c r="AK1591" s="2">
        <v>23.082319658362199</v>
      </c>
      <c r="AL1591" s="2">
        <v>22.888435976269601</v>
      </c>
      <c r="AM1591" s="2">
        <v>22.5924081110991</v>
      </c>
      <c r="AN1591" s="2">
        <v>22.935518906825699</v>
      </c>
      <c r="AO1591" s="2">
        <v>22.549775630962099</v>
      </c>
      <c r="AP1591" s="2">
        <v>23.1278329971856</v>
      </c>
      <c r="AQ1591" s="2">
        <v>22.1663331040698</v>
      </c>
      <c r="AR1591" s="2">
        <v>22.8268742234164</v>
      </c>
      <c r="AS1591" s="2">
        <v>24.023900119870699</v>
      </c>
      <c r="AT1591" s="2">
        <v>23.739636593848001</v>
      </c>
      <c r="AU1591" s="2">
        <v>23.1874588409881</v>
      </c>
      <c r="AV1591" s="2">
        <v>22.938189779963398</v>
      </c>
      <c r="AW1591" s="2">
        <v>23.129374015893799</v>
      </c>
      <c r="AX1591" s="2">
        <v>23.165384459204802</v>
      </c>
      <c r="AY1591" s="2">
        <v>23.8379631465206</v>
      </c>
      <c r="AZ1591" s="2">
        <v>22.541893002370799</v>
      </c>
      <c r="BA1591" s="2">
        <v>23.489241958864501</v>
      </c>
      <c r="BB1591" s="2">
        <v>22.240738597098801</v>
      </c>
      <c r="BC1591" s="2">
        <v>23.534881769961</v>
      </c>
      <c r="BD1591" s="2">
        <v>22.900441479601501</v>
      </c>
      <c r="BE1591" s="2">
        <v>23.115447137076099</v>
      </c>
      <c r="BF1591" s="2">
        <v>22.947527724072</v>
      </c>
      <c r="BG1591" s="2">
        <v>22.845782955698599</v>
      </c>
      <c r="BH1591" s="2">
        <v>22.8174828659998</v>
      </c>
      <c r="BI1591" s="2">
        <v>22.997614199208499</v>
      </c>
      <c r="BJ1591" s="2">
        <v>22.8368838670965</v>
      </c>
      <c r="BK1591" s="2">
        <v>22.705262331248001</v>
      </c>
      <c r="BL1591" s="2">
        <v>23.304947016703199</v>
      </c>
      <c r="BM1591" s="2">
        <v>24.437684865721501</v>
      </c>
      <c r="BN1591" s="2">
        <v>23.519852542705099</v>
      </c>
      <c r="BO1591" s="2">
        <v>22.925697378164799</v>
      </c>
      <c r="BP1591" s="2">
        <v>22.8112760252836</v>
      </c>
      <c r="BQ1591" s="2">
        <v>23.146696173295101</v>
      </c>
      <c r="BR1591" s="2">
        <v>22.8822609794837</v>
      </c>
      <c r="BS1591" s="2">
        <v>23.500861466674099</v>
      </c>
      <c r="BT1591" s="2">
        <v>22.8711560239603</v>
      </c>
      <c r="BU1591" s="2">
        <v>23.281575174241102</v>
      </c>
      <c r="BV1591" s="2">
        <v>23.3866718936066</v>
      </c>
      <c r="BW1591" s="2">
        <v>23.063681541405401</v>
      </c>
      <c r="BX1591" s="2">
        <v>23.2423121082102</v>
      </c>
      <c r="BY1591" s="2">
        <v>22.472006323164301</v>
      </c>
      <c r="BZ1591" s="2">
        <v>22.743006801802899</v>
      </c>
      <c r="CA1591" s="2">
        <v>23.286381702671701</v>
      </c>
      <c r="CB1591" s="2">
        <v>23.0436670228287</v>
      </c>
      <c r="CC1591" s="2">
        <v>23.1130624429661</v>
      </c>
      <c r="CD1591" s="2">
        <v>22.306163454184599</v>
      </c>
      <c r="CE1591" s="2">
        <v>22.806402193175899</v>
      </c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</row>
    <row r="1592" spans="1:97">
      <c r="A1592" s="2" t="s">
        <v>14116</v>
      </c>
      <c r="B1592" s="2">
        <v>399.10309999999998</v>
      </c>
      <c r="C1592" s="2">
        <v>7.1559999999999997</v>
      </c>
      <c r="D1592" s="2" t="s">
        <v>146</v>
      </c>
      <c r="E1592" s="2" t="s">
        <v>14117</v>
      </c>
      <c r="F1592" s="2" t="s">
        <v>14118</v>
      </c>
      <c r="G1592" s="2">
        <v>203336</v>
      </c>
      <c r="H1592" s="3" t="str">
        <f>HYPERLINK("https://cloud.oebiotech.com/#/lm/network/203336", "https://cloud.oebiotech.com/#/lm/network/203336")</f>
        <v>https://cloud.oebiotech.com/#/lm/network/203336</v>
      </c>
      <c r="I1592" s="2" t="s">
        <v>14119</v>
      </c>
      <c r="J1592" s="2"/>
      <c r="K1592" s="2"/>
      <c r="L1592" s="2">
        <v>5276</v>
      </c>
      <c r="M1592" s="2"/>
      <c r="N1592" s="2"/>
      <c r="O1592" s="2"/>
      <c r="P1592" s="2">
        <v>92896</v>
      </c>
      <c r="Q1592" s="2"/>
      <c r="R1592" s="2"/>
      <c r="S1592" s="2"/>
      <c r="T1592" s="2" t="s">
        <v>14120</v>
      </c>
      <c r="U1592" s="2" t="s">
        <v>14121</v>
      </c>
      <c r="V1592" s="2" t="s">
        <v>385</v>
      </c>
      <c r="W1592" s="2" t="s">
        <v>3055</v>
      </c>
      <c r="X1592" s="2" t="s">
        <v>375</v>
      </c>
      <c r="Y1592" s="2" t="s">
        <v>388</v>
      </c>
      <c r="Z1592" s="2" t="s">
        <v>3056</v>
      </c>
      <c r="AA1592" s="2"/>
      <c r="AB1592" s="2" t="s">
        <v>8443</v>
      </c>
      <c r="AC1592" s="2">
        <v>43.05</v>
      </c>
      <c r="AD1592" s="2">
        <v>83.36</v>
      </c>
      <c r="AE1592" s="2">
        <v>0</v>
      </c>
      <c r="AF1592" s="2" t="s">
        <v>14122</v>
      </c>
      <c r="AG1592" s="2" t="s">
        <v>157</v>
      </c>
      <c r="AH1592" s="2" t="s">
        <v>14123</v>
      </c>
      <c r="AI1592" s="2">
        <v>-2.76</v>
      </c>
      <c r="AJ1592" s="2">
        <v>16.254200250800402</v>
      </c>
      <c r="AK1592" s="2">
        <v>15.9309918377085</v>
      </c>
      <c r="AL1592" s="2">
        <v>15.839535975270699</v>
      </c>
      <c r="AM1592" s="2">
        <v>16.5508661033514</v>
      </c>
      <c r="AN1592" s="2">
        <v>16.633845527879799</v>
      </c>
      <c r="AO1592" s="2">
        <v>16.576263485120599</v>
      </c>
      <c r="AP1592" s="2">
        <v>16.3798792159015</v>
      </c>
      <c r="AQ1592" s="2">
        <v>16.050269770216602</v>
      </c>
      <c r="AR1592" s="2">
        <v>16.7023692727265</v>
      </c>
      <c r="AS1592" s="2">
        <v>14.1923159343983</v>
      </c>
      <c r="AT1592" s="2">
        <v>14.2296953121916</v>
      </c>
      <c r="AU1592" s="2">
        <v>16.822300325166299</v>
      </c>
      <c r="AV1592" s="2">
        <v>15.935686486301901</v>
      </c>
      <c r="AW1592" s="2">
        <v>16.457641709070401</v>
      </c>
      <c r="AX1592" s="2">
        <v>15.575440270872599</v>
      </c>
      <c r="AY1592" s="2">
        <v>17.0168153592771</v>
      </c>
      <c r="AZ1592" s="2">
        <v>17.3577041386575</v>
      </c>
      <c r="BA1592" s="2">
        <v>14.6403228993083</v>
      </c>
      <c r="BB1592" s="2">
        <v>16.404408492157199</v>
      </c>
      <c r="BC1592" s="2">
        <v>15.0439906103976</v>
      </c>
      <c r="BD1592" s="2">
        <v>15.182712856494</v>
      </c>
      <c r="BE1592" s="2">
        <v>16.523282449698002</v>
      </c>
      <c r="BF1592" s="2">
        <v>16.1204839359951</v>
      </c>
      <c r="BG1592" s="2">
        <v>15.3046554164581</v>
      </c>
      <c r="BH1592" s="2">
        <v>14.789694614673801</v>
      </c>
      <c r="BI1592" s="2">
        <v>15.845170260574299</v>
      </c>
      <c r="BJ1592" s="2">
        <v>16.5546390609559</v>
      </c>
      <c r="BK1592" s="2">
        <v>14.4282227541685</v>
      </c>
      <c r="BL1592" s="2">
        <v>16.627471044479002</v>
      </c>
      <c r="BM1592" s="2">
        <v>17.431208657621902</v>
      </c>
      <c r="BN1592" s="2">
        <v>16.456905107598502</v>
      </c>
      <c r="BO1592" s="2">
        <v>15.416504631838301</v>
      </c>
      <c r="BP1592" s="2">
        <v>14.3845301501431</v>
      </c>
      <c r="BQ1592" s="2">
        <v>17.113706256916199</v>
      </c>
      <c r="BR1592" s="2">
        <v>16.185589580545599</v>
      </c>
      <c r="BS1592" s="2">
        <v>16.8319238651282</v>
      </c>
      <c r="BT1592" s="2">
        <v>18.0692599459686</v>
      </c>
      <c r="BU1592" s="2">
        <v>15.839007884845101</v>
      </c>
      <c r="BV1592" s="2">
        <v>16.5484464085648</v>
      </c>
      <c r="BW1592" s="2">
        <v>12.107766320000399</v>
      </c>
      <c r="BX1592" s="2">
        <v>15.7085127404806</v>
      </c>
      <c r="BY1592" s="2">
        <v>17.101077912130599</v>
      </c>
      <c r="BZ1592" s="2">
        <v>15.8365472317561</v>
      </c>
      <c r="CA1592" s="2">
        <v>17.405977323770902</v>
      </c>
      <c r="CB1592" s="2">
        <v>16.9752160013545</v>
      </c>
      <c r="CC1592" s="2">
        <v>16.5688283902888</v>
      </c>
      <c r="CD1592" s="2">
        <v>16.485455444799499</v>
      </c>
      <c r="CE1592" s="2">
        <v>13.945190501176199</v>
      </c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</row>
    <row r="1593" spans="1:97">
      <c r="A1593" s="2" t="s">
        <v>14124</v>
      </c>
      <c r="B1593" s="2">
        <v>291.13970999999998</v>
      </c>
      <c r="C1593" s="2">
        <v>10.896000000000001</v>
      </c>
      <c r="D1593" s="2" t="s">
        <v>84</v>
      </c>
      <c r="E1593" s="2" t="s">
        <v>14125</v>
      </c>
      <c r="F1593" s="2" t="s">
        <v>14126</v>
      </c>
      <c r="G1593" s="2">
        <v>33532</v>
      </c>
      <c r="H1593" s="3" t="str">
        <f>HYPERLINK("https://cloud.oebiotech.com/#/lm/network/33532", "https://cloud.oebiotech.com/#/lm/network/33532")</f>
        <v>https://cloud.oebiotech.com/#/lm/network/33532</v>
      </c>
      <c r="I1593" s="2"/>
      <c r="J1593" s="2">
        <v>51846</v>
      </c>
      <c r="K1593" s="2" t="s">
        <v>14127</v>
      </c>
      <c r="L1593" s="2">
        <v>5961410</v>
      </c>
      <c r="M1593" s="2"/>
      <c r="N1593" s="2"/>
      <c r="O1593" s="2"/>
      <c r="P1593" s="2"/>
      <c r="Q1593" s="2"/>
      <c r="R1593" s="2"/>
      <c r="S1593" s="2"/>
      <c r="T1593" s="2" t="s">
        <v>14128</v>
      </c>
      <c r="U1593" s="2" t="s">
        <v>14129</v>
      </c>
      <c r="V1593" s="2" t="s">
        <v>845</v>
      </c>
      <c r="W1593" s="2" t="s">
        <v>3064</v>
      </c>
      <c r="X1593" s="2" t="s">
        <v>3065</v>
      </c>
      <c r="Y1593" s="2" t="s">
        <v>847</v>
      </c>
      <c r="Z1593" s="2" t="s">
        <v>3066</v>
      </c>
      <c r="AA1593" s="2" t="s">
        <v>3067</v>
      </c>
      <c r="AB1593" s="2" t="s">
        <v>8443</v>
      </c>
      <c r="AC1593" s="2">
        <v>42.98</v>
      </c>
      <c r="AD1593" s="2">
        <v>87.48</v>
      </c>
      <c r="AE1593" s="2">
        <v>0</v>
      </c>
      <c r="AF1593" s="2" t="s">
        <v>5614</v>
      </c>
      <c r="AG1593" s="2" t="s">
        <v>1088</v>
      </c>
      <c r="AH1593" s="2" t="s">
        <v>14130</v>
      </c>
      <c r="AI1593" s="2">
        <v>-3.78</v>
      </c>
      <c r="AJ1593" s="2">
        <v>21.1693637243505</v>
      </c>
      <c r="AK1593" s="2">
        <v>20.745090648224</v>
      </c>
      <c r="AL1593" s="2">
        <v>20.5707186703014</v>
      </c>
      <c r="AM1593" s="2">
        <v>20.999586762823299</v>
      </c>
      <c r="AN1593" s="2">
        <v>20.9339034481285</v>
      </c>
      <c r="AO1593" s="2">
        <v>21.0650699999766</v>
      </c>
      <c r="AP1593" s="2">
        <v>20.9730833526901</v>
      </c>
      <c r="AQ1593" s="2">
        <v>20.870550142712698</v>
      </c>
      <c r="AR1593" s="2">
        <v>21.215728452572801</v>
      </c>
      <c r="AS1593" s="2">
        <v>19.883737442841301</v>
      </c>
      <c r="AT1593" s="2">
        <v>20.542572113473899</v>
      </c>
      <c r="AU1593" s="2">
        <v>20.6141573721893</v>
      </c>
      <c r="AV1593" s="2">
        <v>20.388263545289501</v>
      </c>
      <c r="AW1593" s="2">
        <v>20.652174268106201</v>
      </c>
      <c r="AX1593" s="2">
        <v>20.6333429751528</v>
      </c>
      <c r="AY1593" s="2">
        <v>20.392764600084501</v>
      </c>
      <c r="AZ1593" s="2">
        <v>20.824510702449</v>
      </c>
      <c r="BA1593" s="2">
        <v>19.854925711137501</v>
      </c>
      <c r="BB1593" s="2">
        <v>20.632400815796402</v>
      </c>
      <c r="BC1593" s="2">
        <v>20.614195061138101</v>
      </c>
      <c r="BD1593" s="2">
        <v>20.818659936927499</v>
      </c>
      <c r="BE1593" s="2">
        <v>21.1904974385617</v>
      </c>
      <c r="BF1593" s="2">
        <v>20.8001766084382</v>
      </c>
      <c r="BG1593" s="2">
        <v>20.868212915056201</v>
      </c>
      <c r="BH1593" s="2">
        <v>20.343332344508699</v>
      </c>
      <c r="BI1593" s="2">
        <v>21.066395188964101</v>
      </c>
      <c r="BJ1593" s="2">
        <v>20.591686947176999</v>
      </c>
      <c r="BK1593" s="2">
        <v>20.141869210956202</v>
      </c>
      <c r="BL1593" s="2">
        <v>20.864380820249501</v>
      </c>
      <c r="BM1593" s="2">
        <v>20.351023981660799</v>
      </c>
      <c r="BN1593" s="2">
        <v>20.8510382348604</v>
      </c>
      <c r="BO1593" s="2">
        <v>20.7498661792741</v>
      </c>
      <c r="BP1593" s="2">
        <v>20.643500323964801</v>
      </c>
      <c r="BQ1593" s="2">
        <v>20.7779141040266</v>
      </c>
      <c r="BR1593" s="2">
        <v>21.047442886057599</v>
      </c>
      <c r="BS1593" s="2">
        <v>21.0024733144236</v>
      </c>
      <c r="BT1593" s="2">
        <v>20.8998583977056</v>
      </c>
      <c r="BU1593" s="2">
        <v>20.329703592059701</v>
      </c>
      <c r="BV1593" s="2">
        <v>20.722783338214001</v>
      </c>
      <c r="BW1593" s="2">
        <v>19.8928394888101</v>
      </c>
      <c r="BX1593" s="2">
        <v>20.711892763450201</v>
      </c>
      <c r="BY1593" s="2">
        <v>21.3044663841176</v>
      </c>
      <c r="BZ1593" s="2">
        <v>20.779955287501298</v>
      </c>
      <c r="CA1593" s="2">
        <v>21.140131550164099</v>
      </c>
      <c r="CB1593" s="2">
        <v>20.942340990529502</v>
      </c>
      <c r="CC1593" s="2">
        <v>20.0336360926268</v>
      </c>
      <c r="CD1593" s="2">
        <v>20.5801149022478</v>
      </c>
      <c r="CE1593" s="2">
        <v>20.089702131117999</v>
      </c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</row>
    <row r="1594" spans="1:97">
      <c r="A1594" s="2" t="s">
        <v>14131</v>
      </c>
      <c r="B1594" s="2">
        <v>202.03763000000001</v>
      </c>
      <c r="C1594" s="2">
        <v>1.1639999999999999</v>
      </c>
      <c r="D1594" s="2" t="s">
        <v>146</v>
      </c>
      <c r="E1594" s="2" t="s">
        <v>14132</v>
      </c>
      <c r="F1594" s="2" t="s">
        <v>14133</v>
      </c>
      <c r="G1594" s="2">
        <v>2894</v>
      </c>
      <c r="H1594" s="3" t="str">
        <f>HYPERLINK("https://cloud.oebiotech.com/#/lm/network/2894", "https://cloud.oebiotech.com/#/lm/network/2894")</f>
        <v>https://cloud.oebiotech.com/#/lm/network/2894</v>
      </c>
      <c r="I1594" s="2" t="s">
        <v>14134</v>
      </c>
      <c r="J1594" s="2">
        <v>45922</v>
      </c>
      <c r="K1594" s="2" t="s">
        <v>14135</v>
      </c>
      <c r="L1594" s="2">
        <v>5280499</v>
      </c>
      <c r="M1594" s="2" t="s">
        <v>14136</v>
      </c>
      <c r="N1594" s="2" t="s">
        <v>2281</v>
      </c>
      <c r="O1594" s="2" t="s">
        <v>2282</v>
      </c>
      <c r="P1594" s="2">
        <v>15745</v>
      </c>
      <c r="Q1594" s="2"/>
      <c r="R1594" s="2"/>
      <c r="S1594" s="2" t="s">
        <v>14137</v>
      </c>
      <c r="T1594" s="2" t="s">
        <v>14138</v>
      </c>
      <c r="U1594" s="2" t="s">
        <v>14139</v>
      </c>
      <c r="V1594" s="2" t="s">
        <v>115</v>
      </c>
      <c r="W1594" s="2" t="s">
        <v>116</v>
      </c>
      <c r="X1594" s="2" t="s">
        <v>117</v>
      </c>
      <c r="Y1594" s="2" t="s">
        <v>118</v>
      </c>
      <c r="Z1594" s="2" t="s">
        <v>119</v>
      </c>
      <c r="AA1594" s="2" t="s">
        <v>120</v>
      </c>
      <c r="AB1594" s="2" t="s">
        <v>3086</v>
      </c>
      <c r="AC1594" s="2">
        <v>42.97</v>
      </c>
      <c r="AD1594" s="2">
        <v>95.13</v>
      </c>
      <c r="AE1594" s="2">
        <v>0</v>
      </c>
      <c r="AF1594" s="2" t="s">
        <v>5614</v>
      </c>
      <c r="AG1594" s="2" t="s">
        <v>157</v>
      </c>
      <c r="AH1594" s="2" t="s">
        <v>14140</v>
      </c>
      <c r="AI1594" s="2">
        <v>-9.4</v>
      </c>
      <c r="AJ1594" s="2">
        <v>18.407333828709898</v>
      </c>
      <c r="AK1594" s="2">
        <v>18.650453984175702</v>
      </c>
      <c r="AL1594" s="2">
        <v>18.472382537793301</v>
      </c>
      <c r="AM1594" s="2">
        <v>18.535245907523699</v>
      </c>
      <c r="AN1594" s="2">
        <v>17.3404431767364</v>
      </c>
      <c r="AO1594" s="2">
        <v>18.510436543957098</v>
      </c>
      <c r="AP1594" s="2">
        <v>18.604555581737898</v>
      </c>
      <c r="AQ1594" s="2">
        <v>18.7062770556375</v>
      </c>
      <c r="AR1594" s="2">
        <v>19.236739735464099</v>
      </c>
      <c r="AS1594" s="2">
        <v>19.300634666647401</v>
      </c>
      <c r="AT1594" s="2">
        <v>19.0944693867282</v>
      </c>
      <c r="AU1594" s="2">
        <v>18.848377664112899</v>
      </c>
      <c r="AV1594" s="2">
        <v>18.8379396088432</v>
      </c>
      <c r="AW1594" s="2">
        <v>18.9968803864977</v>
      </c>
      <c r="AX1594" s="2">
        <v>19.5358146383379</v>
      </c>
      <c r="AY1594" s="2">
        <v>18.379500761136601</v>
      </c>
      <c r="AZ1594" s="2">
        <v>19.005391681149401</v>
      </c>
      <c r="BA1594" s="2">
        <v>19.0695457963477</v>
      </c>
      <c r="BB1594" s="2">
        <v>18.5764567778429</v>
      </c>
      <c r="BC1594" s="2">
        <v>18.859069006738</v>
      </c>
      <c r="BD1594" s="2">
        <v>19.1359003303604</v>
      </c>
      <c r="BE1594" s="2">
        <v>18.458408535803301</v>
      </c>
      <c r="BF1594" s="2">
        <v>19.291797015424802</v>
      </c>
      <c r="BG1594" s="2">
        <v>18.991287022546398</v>
      </c>
      <c r="BH1594" s="2">
        <v>18.527645603860702</v>
      </c>
      <c r="BI1594" s="2">
        <v>18.7027851906115</v>
      </c>
      <c r="BJ1594" s="2">
        <v>19.1154936853262</v>
      </c>
      <c r="BK1594" s="2">
        <v>18.897748898584599</v>
      </c>
      <c r="BL1594" s="2">
        <v>19.171955736888801</v>
      </c>
      <c r="BM1594" s="2">
        <v>18.268116771696999</v>
      </c>
      <c r="BN1594" s="2">
        <v>18.986390407430399</v>
      </c>
      <c r="BO1594" s="2">
        <v>18.578474119918798</v>
      </c>
      <c r="BP1594" s="2">
        <v>18.871725966225501</v>
      </c>
      <c r="BQ1594" s="2">
        <v>19.0984860160114</v>
      </c>
      <c r="BR1594" s="2">
        <v>19.407291459824801</v>
      </c>
      <c r="BS1594" s="2">
        <v>18.907119696831899</v>
      </c>
      <c r="BT1594" s="2">
        <v>18.872968258542699</v>
      </c>
      <c r="BU1594" s="2">
        <v>19.444976742892699</v>
      </c>
      <c r="BV1594" s="2">
        <v>19.279069210423099</v>
      </c>
      <c r="BW1594" s="2">
        <v>19.106325129698899</v>
      </c>
      <c r="BX1594" s="2">
        <v>18.863950062041098</v>
      </c>
      <c r="BY1594" s="2">
        <v>18.9360144747105</v>
      </c>
      <c r="BZ1594" s="2">
        <v>18.714737334869501</v>
      </c>
      <c r="CA1594" s="2">
        <v>18.3469089450589</v>
      </c>
      <c r="CB1594" s="2">
        <v>18.5027225848855</v>
      </c>
      <c r="CC1594" s="2">
        <v>18.865857482678202</v>
      </c>
      <c r="CD1594" s="2">
        <v>18.389661081432301</v>
      </c>
      <c r="CE1594" s="2">
        <v>18.922447529262499</v>
      </c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</row>
    <row r="1595" spans="1:97">
      <c r="A1595" s="2" t="s">
        <v>14141</v>
      </c>
      <c r="B1595" s="2">
        <v>335.03332999999998</v>
      </c>
      <c r="C1595" s="2">
        <v>4.5970000000000004</v>
      </c>
      <c r="D1595" s="2" t="s">
        <v>146</v>
      </c>
      <c r="E1595" s="2" t="s">
        <v>14142</v>
      </c>
      <c r="F1595" s="2" t="s">
        <v>14143</v>
      </c>
      <c r="G1595" s="2">
        <v>200968</v>
      </c>
      <c r="H1595" s="3" t="str">
        <f>HYPERLINK("https://cloud.oebiotech.com/#/lm/network/200968", "https://cloud.oebiotech.com/#/lm/network/200968")</f>
        <v>https://cloud.oebiotech.com/#/lm/network/200968</v>
      </c>
      <c r="I1595" s="2" t="s">
        <v>14144</v>
      </c>
      <c r="J1595" s="2"/>
      <c r="K1595" s="2"/>
      <c r="L1595" s="2">
        <v>9798663</v>
      </c>
      <c r="M1595" s="2"/>
      <c r="N1595" s="2"/>
      <c r="O1595" s="2"/>
      <c r="P1595" s="2"/>
      <c r="Q1595" s="2"/>
      <c r="R1595" s="2"/>
      <c r="S1595" s="2"/>
      <c r="T1595" s="2" t="s">
        <v>14145</v>
      </c>
      <c r="U1595" s="2" t="s">
        <v>14146</v>
      </c>
      <c r="V1595" s="2" t="s">
        <v>845</v>
      </c>
      <c r="W1595" s="2" t="s">
        <v>3064</v>
      </c>
      <c r="X1595" s="2" t="s">
        <v>3065</v>
      </c>
      <c r="Y1595" s="2" t="s">
        <v>847</v>
      </c>
      <c r="Z1595" s="2" t="s">
        <v>3066</v>
      </c>
      <c r="AA1595" s="2" t="s">
        <v>3067</v>
      </c>
      <c r="AB1595" s="2" t="s">
        <v>8443</v>
      </c>
      <c r="AC1595" s="2">
        <v>42.97</v>
      </c>
      <c r="AD1595" s="2">
        <v>89.86</v>
      </c>
      <c r="AE1595" s="2">
        <v>0</v>
      </c>
      <c r="AF1595" s="2" t="s">
        <v>5614</v>
      </c>
      <c r="AG1595" s="2" t="s">
        <v>993</v>
      </c>
      <c r="AH1595" s="2" t="s">
        <v>14147</v>
      </c>
      <c r="AI1595" s="2">
        <v>-3.58</v>
      </c>
      <c r="AJ1595" s="2">
        <v>17.612912832305099</v>
      </c>
      <c r="AK1595" s="2">
        <v>17.562178240396801</v>
      </c>
      <c r="AL1595" s="2">
        <v>17.457464086879899</v>
      </c>
      <c r="AM1595" s="2">
        <v>17.923075867064998</v>
      </c>
      <c r="AN1595" s="2">
        <v>17.812014749940602</v>
      </c>
      <c r="AO1595" s="2">
        <v>17.612071170144699</v>
      </c>
      <c r="AP1595" s="2">
        <v>17.703309220470501</v>
      </c>
      <c r="AQ1595" s="2">
        <v>17.500534206844499</v>
      </c>
      <c r="AR1595" s="2">
        <v>17.391825236519399</v>
      </c>
      <c r="AS1595" s="2">
        <v>16.9335147788955</v>
      </c>
      <c r="AT1595" s="2">
        <v>16.907783198311499</v>
      </c>
      <c r="AU1595" s="2">
        <v>16.585315998705202</v>
      </c>
      <c r="AV1595" s="2">
        <v>17.483403915688701</v>
      </c>
      <c r="AW1595" s="2">
        <v>17.2895890964658</v>
      </c>
      <c r="AX1595" s="2">
        <v>17.660050783792101</v>
      </c>
      <c r="AY1595" s="2">
        <v>17.148715588189301</v>
      </c>
      <c r="AZ1595" s="2">
        <v>17.213600934121899</v>
      </c>
      <c r="BA1595" s="2">
        <v>16.3950458914967</v>
      </c>
      <c r="BB1595" s="2">
        <v>17.3327088076365</v>
      </c>
      <c r="BC1595" s="2">
        <v>17.449885912896701</v>
      </c>
      <c r="BD1595" s="2">
        <v>16.9249104842444</v>
      </c>
      <c r="BE1595" s="2">
        <v>17.7361235635809</v>
      </c>
      <c r="BF1595" s="2">
        <v>17.2224073906287</v>
      </c>
      <c r="BG1595" s="2">
        <v>18.260965737818399</v>
      </c>
      <c r="BH1595" s="2">
        <v>17.302151053605101</v>
      </c>
      <c r="BI1595" s="2">
        <v>17.654052640485801</v>
      </c>
      <c r="BJ1595" s="2">
        <v>17.892799875779001</v>
      </c>
      <c r="BK1595" s="2">
        <v>17.160266557749701</v>
      </c>
      <c r="BL1595" s="2">
        <v>16.396376164668499</v>
      </c>
      <c r="BM1595" s="2">
        <v>17.086026309908402</v>
      </c>
      <c r="BN1595" s="2">
        <v>17.719451391990201</v>
      </c>
      <c r="BO1595" s="2">
        <v>17.0400231728809</v>
      </c>
      <c r="BP1595" s="2">
        <v>17.5202732185743</v>
      </c>
      <c r="BQ1595" s="2">
        <v>17.920698971372399</v>
      </c>
      <c r="BR1595" s="2">
        <v>17.3164420579986</v>
      </c>
      <c r="BS1595" s="2">
        <v>17.5570928384684</v>
      </c>
      <c r="BT1595" s="2">
        <v>16.547480646599599</v>
      </c>
      <c r="BU1595" s="2">
        <v>18.0662470501894</v>
      </c>
      <c r="BV1595" s="2">
        <v>17.871546070919202</v>
      </c>
      <c r="BW1595" s="2">
        <v>16.758669302526702</v>
      </c>
      <c r="BX1595" s="2">
        <v>17.481226306862801</v>
      </c>
      <c r="BY1595" s="2">
        <v>18.511241158283699</v>
      </c>
      <c r="BZ1595" s="2">
        <v>17.337483054030798</v>
      </c>
      <c r="CA1595" s="2">
        <v>18.483563651958399</v>
      </c>
      <c r="CB1595" s="2">
        <v>17.3272650061534</v>
      </c>
      <c r="CC1595" s="2">
        <v>18.07078730309</v>
      </c>
      <c r="CD1595" s="2">
        <v>18.752889616411998</v>
      </c>
      <c r="CE1595" s="2">
        <v>17.648301892793899</v>
      </c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</row>
    <row r="1596" spans="1:97">
      <c r="A1596" s="2" t="s">
        <v>14148</v>
      </c>
      <c r="B1596" s="2">
        <v>272.94396</v>
      </c>
      <c r="C1596" s="2">
        <v>0.64200000000000002</v>
      </c>
      <c r="D1596" s="2" t="s">
        <v>84</v>
      </c>
      <c r="E1596" s="2" t="s">
        <v>14149</v>
      </c>
      <c r="F1596" s="2" t="s">
        <v>14150</v>
      </c>
      <c r="G1596" s="2">
        <v>200928</v>
      </c>
      <c r="H1596" s="3" t="str">
        <f>HYPERLINK("https://cloud.oebiotech.com/#/lm/network/200928", "https://cloud.oebiotech.com/#/lm/network/200928")</f>
        <v>https://cloud.oebiotech.com/#/lm/network/200928</v>
      </c>
      <c r="I1596" s="2" t="s">
        <v>14151</v>
      </c>
      <c r="J1596" s="2"/>
      <c r="K1596" s="2"/>
      <c r="L1596" s="2">
        <v>126213</v>
      </c>
      <c r="M1596" s="2"/>
      <c r="N1596" s="2"/>
      <c r="O1596" s="2"/>
      <c r="P1596" s="2"/>
      <c r="Q1596" s="2"/>
      <c r="R1596" s="2"/>
      <c r="S1596" s="2"/>
      <c r="T1596" s="2" t="s">
        <v>14152</v>
      </c>
      <c r="U1596" s="2" t="s">
        <v>14153</v>
      </c>
      <c r="V1596" s="2" t="s">
        <v>385</v>
      </c>
      <c r="W1596" s="2" t="s">
        <v>386</v>
      </c>
      <c r="X1596" s="2" t="s">
        <v>1447</v>
      </c>
      <c r="Y1596" s="2" t="s">
        <v>388</v>
      </c>
      <c r="Z1596" s="2" t="s">
        <v>389</v>
      </c>
      <c r="AA1596" s="2" t="s">
        <v>1448</v>
      </c>
      <c r="AB1596" s="2" t="s">
        <v>5118</v>
      </c>
      <c r="AC1596" s="2">
        <v>42.94</v>
      </c>
      <c r="AD1596" s="2">
        <v>85.04</v>
      </c>
      <c r="AE1596" s="2">
        <v>71.33</v>
      </c>
      <c r="AF1596" s="2" t="s">
        <v>14154</v>
      </c>
      <c r="AG1596" s="2" t="s">
        <v>103</v>
      </c>
      <c r="AH1596" s="2" t="s">
        <v>14155</v>
      </c>
      <c r="AI1596" s="2">
        <v>6.23</v>
      </c>
      <c r="AJ1596" s="2">
        <v>23.365352967580499</v>
      </c>
      <c r="AK1596" s="2">
        <v>23.458159763674999</v>
      </c>
      <c r="AL1596" s="2">
        <v>22.878072506189501</v>
      </c>
      <c r="AM1596" s="2">
        <v>23.133901602763402</v>
      </c>
      <c r="AN1596" s="2">
        <v>23.424735064011699</v>
      </c>
      <c r="AO1596" s="2">
        <v>23.391733765304799</v>
      </c>
      <c r="AP1596" s="2">
        <v>23.389927050744301</v>
      </c>
      <c r="AQ1596" s="2">
        <v>23.414534234989699</v>
      </c>
      <c r="AR1596" s="2">
        <v>22.9942740814767</v>
      </c>
      <c r="AS1596" s="2">
        <v>22.9544832847156</v>
      </c>
      <c r="AT1596" s="2">
        <v>23.106241195498999</v>
      </c>
      <c r="AU1596" s="2">
        <v>23.2702031544184</v>
      </c>
      <c r="AV1596" s="2">
        <v>23.311505215290399</v>
      </c>
      <c r="AW1596" s="2">
        <v>23.5927769635204</v>
      </c>
      <c r="AX1596" s="2">
        <v>23.394433153320701</v>
      </c>
      <c r="AY1596" s="2">
        <v>23.811774869827499</v>
      </c>
      <c r="AZ1596" s="2">
        <v>23.490266913368</v>
      </c>
      <c r="BA1596" s="2">
        <v>23.2363812372048</v>
      </c>
      <c r="BB1596" s="2">
        <v>23.425050377080399</v>
      </c>
      <c r="BC1596" s="2">
        <v>23.220676126968801</v>
      </c>
      <c r="BD1596" s="2">
        <v>23.203521993581699</v>
      </c>
      <c r="BE1596" s="2">
        <v>23.3672735695224</v>
      </c>
      <c r="BF1596" s="2">
        <v>22.929215070418302</v>
      </c>
      <c r="BG1596" s="2">
        <v>22.919562198270999</v>
      </c>
      <c r="BH1596" s="2">
        <v>23.687112161508601</v>
      </c>
      <c r="BI1596" s="2">
        <v>23.617345232214799</v>
      </c>
      <c r="BJ1596" s="2">
        <v>23.301101492193101</v>
      </c>
      <c r="BK1596" s="2">
        <v>23.1055899935557</v>
      </c>
      <c r="BL1596" s="2">
        <v>23.171879747625301</v>
      </c>
      <c r="BM1596" s="2">
        <v>22.977481945182099</v>
      </c>
      <c r="BN1596" s="2">
        <v>23.562058716272499</v>
      </c>
      <c r="BO1596" s="2">
        <v>23.284752541932399</v>
      </c>
      <c r="BP1596" s="2">
        <v>23.5388589037386</v>
      </c>
      <c r="BQ1596" s="2">
        <v>23.571444108658898</v>
      </c>
      <c r="BR1596" s="2">
        <v>23.220155827069199</v>
      </c>
      <c r="BS1596" s="2">
        <v>23.472690984245599</v>
      </c>
      <c r="BT1596" s="2">
        <v>23.453242639497301</v>
      </c>
      <c r="BU1596" s="2">
        <v>23.375636519060102</v>
      </c>
      <c r="BV1596" s="2">
        <v>22.8195367691245</v>
      </c>
      <c r="BW1596" s="2">
        <v>23.019687158213198</v>
      </c>
      <c r="BX1596" s="2">
        <v>23.520057872070101</v>
      </c>
      <c r="BY1596" s="2">
        <v>23.266628280101401</v>
      </c>
      <c r="BZ1596" s="2">
        <v>22.268985729845099</v>
      </c>
      <c r="CA1596" s="2">
        <v>23.618819680841799</v>
      </c>
      <c r="CB1596" s="2">
        <v>22.9903802850021</v>
      </c>
      <c r="CC1596" s="2">
        <v>23.1016765986849</v>
      </c>
      <c r="CD1596" s="2">
        <v>23.422595944945499</v>
      </c>
      <c r="CE1596" s="2">
        <v>23.225768433895801</v>
      </c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</row>
    <row r="1597" spans="1:97">
      <c r="A1597" s="2" t="s">
        <v>14156</v>
      </c>
      <c r="B1597" s="2">
        <v>419.05410999999998</v>
      </c>
      <c r="C1597" s="2">
        <v>3.73</v>
      </c>
      <c r="D1597" s="2" t="s">
        <v>146</v>
      </c>
      <c r="E1597" s="2" t="s">
        <v>14157</v>
      </c>
      <c r="F1597" s="2" t="s">
        <v>14158</v>
      </c>
      <c r="G1597" s="2">
        <v>207728</v>
      </c>
      <c r="H1597" s="3" t="str">
        <f>HYPERLINK("https://cloud.oebiotech.com/#/lm/network/207728", "https://cloud.oebiotech.com/#/lm/network/207728")</f>
        <v>https://cloud.oebiotech.com/#/lm/network/207728</v>
      </c>
      <c r="I1597" s="2" t="s">
        <v>14159</v>
      </c>
      <c r="J1597" s="2">
        <v>322835</v>
      </c>
      <c r="K1597" s="2"/>
      <c r="L1597" s="2">
        <v>124246</v>
      </c>
      <c r="M1597" s="2"/>
      <c r="N1597" s="2"/>
      <c r="O1597" s="2"/>
      <c r="P1597" s="2"/>
      <c r="Q1597" s="2"/>
      <c r="R1597" s="2"/>
      <c r="S1597" s="2"/>
      <c r="T1597" s="2" t="s">
        <v>14160</v>
      </c>
      <c r="U1597" s="2" t="s">
        <v>14161</v>
      </c>
      <c r="V1597" s="2" t="s">
        <v>553</v>
      </c>
      <c r="W1597" s="2" t="s">
        <v>2193</v>
      </c>
      <c r="X1597" s="2" t="s">
        <v>4866</v>
      </c>
      <c r="Y1597" s="2" t="s">
        <v>556</v>
      </c>
      <c r="Z1597" s="2" t="s">
        <v>2194</v>
      </c>
      <c r="AA1597" s="2" t="s">
        <v>4867</v>
      </c>
      <c r="AB1597" s="2" t="s">
        <v>5118</v>
      </c>
      <c r="AC1597" s="2">
        <v>42.91</v>
      </c>
      <c r="AD1597" s="2">
        <v>84.33</v>
      </c>
      <c r="AE1597" s="2">
        <v>52.39</v>
      </c>
      <c r="AF1597" s="2" t="s">
        <v>14162</v>
      </c>
      <c r="AG1597" s="2" t="s">
        <v>157</v>
      </c>
      <c r="AH1597" s="2" t="s">
        <v>14163</v>
      </c>
      <c r="AI1597" s="2">
        <v>3.34</v>
      </c>
      <c r="AJ1597" s="2">
        <v>18.912002257189801</v>
      </c>
      <c r="AK1597" s="2">
        <v>19.314658980058699</v>
      </c>
      <c r="AL1597" s="2">
        <v>19.2639932458418</v>
      </c>
      <c r="AM1597" s="2">
        <v>19.118695333674498</v>
      </c>
      <c r="AN1597" s="2">
        <v>19.310715526535699</v>
      </c>
      <c r="AO1597" s="2">
        <v>19.056839415856398</v>
      </c>
      <c r="AP1597" s="2">
        <v>18.999307610587699</v>
      </c>
      <c r="AQ1597" s="2">
        <v>19.032613527795601</v>
      </c>
      <c r="AR1597" s="2">
        <v>18.880382232276801</v>
      </c>
      <c r="AS1597" s="2">
        <v>18.930388914804301</v>
      </c>
      <c r="AT1597" s="2">
        <v>19.003992503018999</v>
      </c>
      <c r="AU1597" s="2">
        <v>18.9592225929559</v>
      </c>
      <c r="AV1597" s="2">
        <v>19.0746479178522</v>
      </c>
      <c r="AW1597" s="2">
        <v>18.858131075750201</v>
      </c>
      <c r="AX1597" s="2">
        <v>18.746932660673298</v>
      </c>
      <c r="AY1597" s="2">
        <v>19.062644913447301</v>
      </c>
      <c r="AZ1597" s="2">
        <v>18.958279465589001</v>
      </c>
      <c r="BA1597" s="2">
        <v>18.756375844054499</v>
      </c>
      <c r="BB1597" s="2">
        <v>19.085933290289301</v>
      </c>
      <c r="BC1597" s="2">
        <v>18.7182649880552</v>
      </c>
      <c r="BD1597" s="2">
        <v>18.778569031068599</v>
      </c>
      <c r="BE1597" s="2">
        <v>18.9252077480865</v>
      </c>
      <c r="BF1597" s="2">
        <v>18.910299874007901</v>
      </c>
      <c r="BG1597" s="2">
        <v>18.6695256236364</v>
      </c>
      <c r="BH1597" s="2">
        <v>18.988453395280899</v>
      </c>
      <c r="BI1597" s="2">
        <v>18.719895261008698</v>
      </c>
      <c r="BJ1597" s="2">
        <v>18.925912316671099</v>
      </c>
      <c r="BK1597" s="2">
        <v>19.157427098761101</v>
      </c>
      <c r="BL1597" s="2">
        <v>18.910027228863701</v>
      </c>
      <c r="BM1597" s="2">
        <v>18.8151809718191</v>
      </c>
      <c r="BN1597" s="2">
        <v>18.8697256139884</v>
      </c>
      <c r="BO1597" s="2">
        <v>18.883382463132801</v>
      </c>
      <c r="BP1597" s="2">
        <v>19.058356717085498</v>
      </c>
      <c r="BQ1597" s="2">
        <v>18.9066394699108</v>
      </c>
      <c r="BR1597" s="2">
        <v>18.7707039249294</v>
      </c>
      <c r="BS1597" s="2">
        <v>18.965637443520301</v>
      </c>
      <c r="BT1597" s="2">
        <v>18.565897937510002</v>
      </c>
      <c r="BU1597" s="2">
        <v>18.838785215637099</v>
      </c>
      <c r="BV1597" s="2">
        <v>18.941471555858701</v>
      </c>
      <c r="BW1597" s="2">
        <v>18.8678595829019</v>
      </c>
      <c r="BX1597" s="2">
        <v>18.863341475313899</v>
      </c>
      <c r="BY1597" s="2">
        <v>18.586057124113701</v>
      </c>
      <c r="BZ1597" s="2">
        <v>18.8747270063025</v>
      </c>
      <c r="CA1597" s="2">
        <v>18.990274903605702</v>
      </c>
      <c r="CB1597" s="2">
        <v>18.871375027761101</v>
      </c>
      <c r="CC1597" s="2">
        <v>18.769025337183301</v>
      </c>
      <c r="CD1597" s="2">
        <v>18.694964301683299</v>
      </c>
      <c r="CE1597" s="2">
        <v>18.877034063406199</v>
      </c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</row>
    <row r="1598" spans="1:97">
      <c r="A1598" s="2" t="s">
        <v>14164</v>
      </c>
      <c r="B1598" s="2">
        <v>189.00438</v>
      </c>
      <c r="C1598" s="2">
        <v>1.25</v>
      </c>
      <c r="D1598" s="2" t="s">
        <v>84</v>
      </c>
      <c r="E1598" s="2" t="s">
        <v>14165</v>
      </c>
      <c r="F1598" s="2" t="s">
        <v>14166</v>
      </c>
      <c r="G1598" s="2">
        <v>201340</v>
      </c>
      <c r="H1598" s="3" t="str">
        <f>HYPERLINK("https://cloud.oebiotech.com/#/lm/network/201340", "https://cloud.oebiotech.com/#/lm/network/201340")</f>
        <v>https://cloud.oebiotech.com/#/lm/network/201340</v>
      </c>
      <c r="I1598" s="2" t="s">
        <v>14167</v>
      </c>
      <c r="J1598" s="2"/>
      <c r="K1598" s="2"/>
      <c r="L1598" s="2">
        <v>439620</v>
      </c>
      <c r="M1598" s="2" t="s">
        <v>14168</v>
      </c>
      <c r="N1598" s="2" t="s">
        <v>14169</v>
      </c>
      <c r="O1598" s="2" t="s">
        <v>14170</v>
      </c>
      <c r="P1598" s="2">
        <v>30926</v>
      </c>
      <c r="Q1598" s="2"/>
      <c r="R1598" s="2"/>
      <c r="S1598" s="2"/>
      <c r="T1598" s="2" t="s">
        <v>14171</v>
      </c>
      <c r="U1598" s="2" t="s">
        <v>14172</v>
      </c>
      <c r="V1598" s="2" t="s">
        <v>115</v>
      </c>
      <c r="W1598" s="2" t="s">
        <v>116</v>
      </c>
      <c r="X1598" s="2" t="s">
        <v>1642</v>
      </c>
      <c r="Y1598" s="2" t="s">
        <v>118</v>
      </c>
      <c r="Z1598" s="2" t="s">
        <v>119</v>
      </c>
      <c r="AA1598" s="2" t="s">
        <v>1643</v>
      </c>
      <c r="AB1598" s="2" t="s">
        <v>8443</v>
      </c>
      <c r="AC1598" s="2">
        <v>42.89</v>
      </c>
      <c r="AD1598" s="2">
        <v>95.98</v>
      </c>
      <c r="AE1598" s="2">
        <v>0</v>
      </c>
      <c r="AF1598" s="2" t="s">
        <v>5614</v>
      </c>
      <c r="AG1598" s="2" t="s">
        <v>1088</v>
      </c>
      <c r="AH1598" s="2" t="s">
        <v>14173</v>
      </c>
      <c r="AI1598" s="2">
        <v>-4.2300000000000004</v>
      </c>
      <c r="AJ1598" s="2">
        <v>21.488070121401101</v>
      </c>
      <c r="AK1598" s="2">
        <v>20.259245472486299</v>
      </c>
      <c r="AL1598" s="2">
        <v>21.061698896832102</v>
      </c>
      <c r="AM1598" s="2">
        <v>21.431504255879101</v>
      </c>
      <c r="AN1598" s="2">
        <v>21.388983297113999</v>
      </c>
      <c r="AO1598" s="2">
        <v>21.557450369979801</v>
      </c>
      <c r="AP1598" s="2">
        <v>21.131225908483799</v>
      </c>
      <c r="AQ1598" s="2">
        <v>20.976881433042401</v>
      </c>
      <c r="AR1598" s="2">
        <v>20.616062293676698</v>
      </c>
      <c r="AS1598" s="2">
        <v>21.681074592073202</v>
      </c>
      <c r="AT1598" s="2">
        <v>21.227643080879499</v>
      </c>
      <c r="AU1598" s="2">
        <v>20.4820265688932</v>
      </c>
      <c r="AV1598" s="2">
        <v>20.922997383342601</v>
      </c>
      <c r="AW1598" s="2">
        <v>21.352113458567999</v>
      </c>
      <c r="AX1598" s="2">
        <v>20.3421965343904</v>
      </c>
      <c r="AY1598" s="2">
        <v>21.539472868578599</v>
      </c>
      <c r="AZ1598" s="2">
        <v>20.2029774875862</v>
      </c>
      <c r="BA1598" s="2">
        <v>20.582142983407401</v>
      </c>
      <c r="BB1598" s="2">
        <v>20.390056199250299</v>
      </c>
      <c r="BC1598" s="2">
        <v>20.3668221099209</v>
      </c>
      <c r="BD1598" s="2">
        <v>21.165648945349002</v>
      </c>
      <c r="BE1598" s="2">
        <v>21.577280883243098</v>
      </c>
      <c r="BF1598" s="2">
        <v>20.975284067220901</v>
      </c>
      <c r="BG1598" s="2">
        <v>21.3255304303825</v>
      </c>
      <c r="BH1598" s="2">
        <v>21.546904969957499</v>
      </c>
      <c r="BI1598" s="2">
        <v>20.852985544730799</v>
      </c>
      <c r="BJ1598" s="2">
        <v>21.492416671070899</v>
      </c>
      <c r="BK1598" s="2">
        <v>21.5077267781041</v>
      </c>
      <c r="BL1598" s="2">
        <v>21.388614685266599</v>
      </c>
      <c r="BM1598" s="2">
        <v>21.010218139065401</v>
      </c>
      <c r="BN1598" s="2">
        <v>21.564044471421301</v>
      </c>
      <c r="BO1598" s="2">
        <v>21.045658490253199</v>
      </c>
      <c r="BP1598" s="2">
        <v>21.692861520015999</v>
      </c>
      <c r="BQ1598" s="2">
        <v>21.342571734225</v>
      </c>
      <c r="BR1598" s="2">
        <v>21.602134286718499</v>
      </c>
      <c r="BS1598" s="2">
        <v>21.464594018437701</v>
      </c>
      <c r="BT1598" s="2">
        <v>21.589441385234199</v>
      </c>
      <c r="BU1598" s="2">
        <v>21.2864107013622</v>
      </c>
      <c r="BV1598" s="2">
        <v>21.436393070206101</v>
      </c>
      <c r="BW1598" s="2">
        <v>20.304747336368202</v>
      </c>
      <c r="BX1598" s="2">
        <v>20.131902943168601</v>
      </c>
      <c r="BY1598" s="2">
        <v>21.194658812386699</v>
      </c>
      <c r="BZ1598" s="2">
        <v>21.509352316502099</v>
      </c>
      <c r="CA1598" s="2">
        <v>20.958347053577501</v>
      </c>
      <c r="CB1598" s="2">
        <v>21.828668622557</v>
      </c>
      <c r="CC1598" s="2">
        <v>20.858833625255599</v>
      </c>
      <c r="CD1598" s="2">
        <v>21.775536334667699</v>
      </c>
      <c r="CE1598" s="2">
        <v>21.598598997361201</v>
      </c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</row>
    <row r="1599" spans="1:97">
      <c r="A1599" s="2" t="s">
        <v>14174</v>
      </c>
      <c r="B1599" s="2">
        <v>1041.6862000000001</v>
      </c>
      <c r="C1599" s="2">
        <v>10.67</v>
      </c>
      <c r="D1599" s="2" t="s">
        <v>84</v>
      </c>
      <c r="E1599" s="2" t="s">
        <v>14175</v>
      </c>
      <c r="F1599" s="2" t="s">
        <v>14176</v>
      </c>
      <c r="G1599" s="2">
        <v>42035</v>
      </c>
      <c r="H1599" s="3" t="str">
        <f>HYPERLINK("https://cloud.oebiotech.com/#/lm/network/42035", "https://cloud.oebiotech.com/#/lm/network/42035")</f>
        <v>https://cloud.oebiotech.com/#/lm/network/42035</v>
      </c>
      <c r="I1599" s="2"/>
      <c r="J1599" s="2"/>
      <c r="K1599" s="2" t="s">
        <v>14177</v>
      </c>
      <c r="L1599" s="2">
        <v>44261965</v>
      </c>
      <c r="M1599" s="2"/>
      <c r="N1599" s="2"/>
      <c r="O1599" s="2"/>
      <c r="P1599" s="2"/>
      <c r="Q1599" s="2"/>
      <c r="R1599" s="2"/>
      <c r="S1599" s="2"/>
      <c r="T1599" s="2" t="s">
        <v>14178</v>
      </c>
      <c r="U1599" s="2" t="s">
        <v>14179</v>
      </c>
      <c r="V1599" s="2" t="s">
        <v>95</v>
      </c>
      <c r="W1599" s="2" t="s">
        <v>2361</v>
      </c>
      <c r="X1599" s="2" t="s">
        <v>12383</v>
      </c>
      <c r="Y1599" s="2" t="s">
        <v>98</v>
      </c>
      <c r="Z1599" s="2" t="s">
        <v>2363</v>
      </c>
      <c r="AA1599" s="2" t="s">
        <v>12384</v>
      </c>
      <c r="AB1599" s="2" t="s">
        <v>5118</v>
      </c>
      <c r="AC1599" s="2">
        <v>42.89</v>
      </c>
      <c r="AD1599" s="2">
        <v>90.19</v>
      </c>
      <c r="AE1599" s="2">
        <v>54.09</v>
      </c>
      <c r="AF1599" s="2" t="s">
        <v>14180</v>
      </c>
      <c r="AG1599" s="2" t="s">
        <v>1578</v>
      </c>
      <c r="AH1599" s="2" t="s">
        <v>14181</v>
      </c>
      <c r="AI1599" s="2">
        <v>-4.8</v>
      </c>
      <c r="AJ1599" s="2">
        <v>22.875426074661998</v>
      </c>
      <c r="AK1599" s="2">
        <v>22.8909943466215</v>
      </c>
      <c r="AL1599" s="2">
        <v>22.924037163858699</v>
      </c>
      <c r="AM1599" s="2">
        <v>23.171618288702302</v>
      </c>
      <c r="AN1599" s="2">
        <v>23.142476320995399</v>
      </c>
      <c r="AO1599" s="2">
        <v>23.484473612976998</v>
      </c>
      <c r="AP1599" s="2">
        <v>23.222955728970099</v>
      </c>
      <c r="AQ1599" s="2">
        <v>23.252239828167301</v>
      </c>
      <c r="AR1599" s="2">
        <v>23.9550510111007</v>
      </c>
      <c r="AS1599" s="2">
        <v>20.364618104821801</v>
      </c>
      <c r="AT1599" s="2">
        <v>22.9547402624064</v>
      </c>
      <c r="AU1599" s="2">
        <v>22.6299761460219</v>
      </c>
      <c r="AV1599" s="2">
        <v>22.419291421009302</v>
      </c>
      <c r="AW1599" s="2">
        <v>23.1180840450936</v>
      </c>
      <c r="AX1599" s="2">
        <v>22.911325157673598</v>
      </c>
      <c r="AY1599" s="2">
        <v>22.2736555264541</v>
      </c>
      <c r="AZ1599" s="2">
        <v>22.963368697403801</v>
      </c>
      <c r="BA1599" s="2">
        <v>20.9897279844567</v>
      </c>
      <c r="BB1599" s="2">
        <v>22.1853706299473</v>
      </c>
      <c r="BC1599" s="2">
        <v>22.813897996493399</v>
      </c>
      <c r="BD1599" s="2">
        <v>22.523477241197099</v>
      </c>
      <c r="BE1599" s="2">
        <v>22.412841979284099</v>
      </c>
      <c r="BF1599" s="2">
        <v>22.228187740361601</v>
      </c>
      <c r="BG1599" s="2">
        <v>23.687080480095801</v>
      </c>
      <c r="BH1599" s="2">
        <v>22.174387696454598</v>
      </c>
      <c r="BI1599" s="2">
        <v>24.3019797744515</v>
      </c>
      <c r="BJ1599" s="2">
        <v>22.8659718436849</v>
      </c>
      <c r="BK1599" s="2">
        <v>22.600782868463199</v>
      </c>
      <c r="BL1599" s="2">
        <v>23.4142628190537</v>
      </c>
      <c r="BM1599" s="2">
        <v>21.3805722493817</v>
      </c>
      <c r="BN1599" s="2">
        <v>23.067401337658001</v>
      </c>
      <c r="BO1599" s="2">
        <v>23.042807900334601</v>
      </c>
      <c r="BP1599" s="2">
        <v>22.794013896259202</v>
      </c>
      <c r="BQ1599" s="2">
        <v>22.715665053758901</v>
      </c>
      <c r="BR1599" s="2">
        <v>23.287263835959202</v>
      </c>
      <c r="BS1599" s="2">
        <v>23.666609348805</v>
      </c>
      <c r="BT1599" s="2">
        <v>21.943055463228099</v>
      </c>
      <c r="BU1599" s="2">
        <v>21.702302481014801</v>
      </c>
      <c r="BV1599" s="2">
        <v>22.715568802516799</v>
      </c>
      <c r="BW1599" s="2">
        <v>21.259583359377402</v>
      </c>
      <c r="BX1599" s="2">
        <v>23.1219630517013</v>
      </c>
      <c r="BY1599" s="2">
        <v>23.770053068373699</v>
      </c>
      <c r="BZ1599" s="2">
        <v>22.531779576541599</v>
      </c>
      <c r="CA1599" s="2">
        <v>23.433858882722099</v>
      </c>
      <c r="CB1599" s="2">
        <v>23.0058775107378</v>
      </c>
      <c r="CC1599" s="2">
        <v>23.106815366990201</v>
      </c>
      <c r="CD1599" s="2">
        <v>23.7522105773402</v>
      </c>
      <c r="CE1599" s="2">
        <v>22.260086370663402</v>
      </c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2"/>
    </row>
    <row r="1600" spans="1:97">
      <c r="A1600" s="2" t="s">
        <v>14182</v>
      </c>
      <c r="B1600" s="2">
        <v>383.12173999999999</v>
      </c>
      <c r="C1600" s="2">
        <v>1.1339999999999999</v>
      </c>
      <c r="D1600" s="2" t="s">
        <v>146</v>
      </c>
      <c r="E1600" s="2" t="s">
        <v>14183</v>
      </c>
      <c r="F1600" s="2" t="s">
        <v>14184</v>
      </c>
      <c r="G1600" s="2">
        <v>203837</v>
      </c>
      <c r="H1600" s="3" t="str">
        <f>HYPERLINK("https://cloud.oebiotech.com/#/lm/network/203837", "https://cloud.oebiotech.com/#/lm/network/203837")</f>
        <v>https://cloud.oebiotech.com/#/lm/network/203837</v>
      </c>
      <c r="I1600" s="2" t="s">
        <v>14185</v>
      </c>
      <c r="J1600" s="2"/>
      <c r="K1600" s="2"/>
      <c r="L1600" s="2">
        <v>13469008</v>
      </c>
      <c r="M1600" s="2"/>
      <c r="N1600" s="2"/>
      <c r="O1600" s="2"/>
      <c r="P1600" s="2"/>
      <c r="Q1600" s="2"/>
      <c r="R1600" s="2"/>
      <c r="S1600" s="2"/>
      <c r="T1600" s="2" t="s">
        <v>14186</v>
      </c>
      <c r="U1600" s="2" t="s">
        <v>14187</v>
      </c>
      <c r="V1600" s="2" t="s">
        <v>115</v>
      </c>
      <c r="W1600" s="2" t="s">
        <v>116</v>
      </c>
      <c r="X1600" s="2" t="s">
        <v>117</v>
      </c>
      <c r="Y1600" s="2" t="s">
        <v>118</v>
      </c>
      <c r="Z1600" s="2" t="s">
        <v>119</v>
      </c>
      <c r="AA1600" s="2" t="s">
        <v>120</v>
      </c>
      <c r="AB1600" s="2" t="s">
        <v>5118</v>
      </c>
      <c r="AC1600" s="2">
        <v>42.87</v>
      </c>
      <c r="AD1600" s="2">
        <v>69.5</v>
      </c>
      <c r="AE1600" s="2">
        <v>46.08</v>
      </c>
      <c r="AF1600" s="2" t="s">
        <v>14188</v>
      </c>
      <c r="AG1600" s="2" t="s">
        <v>4062</v>
      </c>
      <c r="AH1600" s="2" t="s">
        <v>14189</v>
      </c>
      <c r="AI1600" s="2">
        <v>6</v>
      </c>
      <c r="AJ1600" s="2">
        <v>17.724541764032299</v>
      </c>
      <c r="AK1600" s="2">
        <v>17.463533153811401</v>
      </c>
      <c r="AL1600" s="2">
        <v>17.9429788461801</v>
      </c>
      <c r="AM1600" s="2">
        <v>17.2896647375089</v>
      </c>
      <c r="AN1600" s="2">
        <v>17.7954186162974</v>
      </c>
      <c r="AO1600" s="2">
        <v>17.93795248803</v>
      </c>
      <c r="AP1600" s="2">
        <v>17.8464861540082</v>
      </c>
      <c r="AQ1600" s="2">
        <v>17.604129543147302</v>
      </c>
      <c r="AR1600" s="2">
        <v>15.732137740274799</v>
      </c>
      <c r="AS1600" s="2">
        <v>15.8586738528642</v>
      </c>
      <c r="AT1600" s="2">
        <v>14.746510647216001</v>
      </c>
      <c r="AU1600" s="2">
        <v>17.865813120382199</v>
      </c>
      <c r="AV1600" s="2">
        <v>17.195686609141401</v>
      </c>
      <c r="AW1600" s="2">
        <v>17.2357395856708</v>
      </c>
      <c r="AX1600" s="2">
        <v>16.642878517222101</v>
      </c>
      <c r="AY1600" s="2">
        <v>17.672720900637099</v>
      </c>
      <c r="AZ1600" s="2">
        <v>15.8628995582757</v>
      </c>
      <c r="BA1600" s="2">
        <v>16.0961635393415</v>
      </c>
      <c r="BB1600" s="2">
        <v>18.395194959842499</v>
      </c>
      <c r="BC1600" s="2">
        <v>17.287326497192399</v>
      </c>
      <c r="BD1600" s="2">
        <v>14.571036805785401</v>
      </c>
      <c r="BE1600" s="2">
        <v>18.0350602468828</v>
      </c>
      <c r="BF1600" s="2">
        <v>17.134981844175599</v>
      </c>
      <c r="BG1600" s="2">
        <v>17.610397330096902</v>
      </c>
      <c r="BH1600" s="2">
        <v>18.309375541434498</v>
      </c>
      <c r="BI1600" s="2">
        <v>16.1663996671167</v>
      </c>
      <c r="BJ1600" s="2">
        <v>17.749868314690598</v>
      </c>
      <c r="BK1600" s="2">
        <v>15.212366047343</v>
      </c>
      <c r="BL1600" s="2">
        <v>17.247227166265102</v>
      </c>
      <c r="BM1600" s="2">
        <v>19.249632827969499</v>
      </c>
      <c r="BN1600" s="2">
        <v>18.221730315083299</v>
      </c>
      <c r="BO1600" s="2">
        <v>17.451846659325899</v>
      </c>
      <c r="BP1600" s="2">
        <v>16.429281520298201</v>
      </c>
      <c r="BQ1600" s="2">
        <v>17.974056246758</v>
      </c>
      <c r="BR1600" s="2">
        <v>17.584410216058998</v>
      </c>
      <c r="BS1600" s="2">
        <v>17.9370608865949</v>
      </c>
      <c r="BT1600" s="2">
        <v>15.073785931128</v>
      </c>
      <c r="BU1600" s="2">
        <v>15.6811423094479</v>
      </c>
      <c r="BV1600" s="2">
        <v>17.5925459473846</v>
      </c>
      <c r="BW1600" s="2">
        <v>16.388491432855201</v>
      </c>
      <c r="BX1600" s="2">
        <v>16.935706626323199</v>
      </c>
      <c r="BY1600" s="2">
        <v>17.553317150164599</v>
      </c>
      <c r="BZ1600" s="2">
        <v>18.5530726078828</v>
      </c>
      <c r="CA1600" s="2">
        <v>18.399375901326898</v>
      </c>
      <c r="CB1600" s="2">
        <v>17.333844380177698</v>
      </c>
      <c r="CC1600" s="2">
        <v>16.583141987085</v>
      </c>
      <c r="CD1600" s="2">
        <v>18.279979223488802</v>
      </c>
      <c r="CE1600" s="2">
        <v>17.0502128987739</v>
      </c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</row>
    <row r="1601" spans="1:97">
      <c r="A1601" s="2" t="s">
        <v>14190</v>
      </c>
      <c r="B1601" s="2">
        <v>539.43105000000003</v>
      </c>
      <c r="C1601" s="2">
        <v>13.962999999999999</v>
      </c>
      <c r="D1601" s="2" t="s">
        <v>146</v>
      </c>
      <c r="E1601" s="2" t="s">
        <v>14191</v>
      </c>
      <c r="F1601" s="2" t="s">
        <v>14192</v>
      </c>
      <c r="G1601" s="2">
        <v>117309</v>
      </c>
      <c r="H1601" s="3" t="str">
        <f>HYPERLINK("https://cloud.oebiotech.com/#/lm/network/117309", "https://cloud.oebiotech.com/#/lm/network/117309")</f>
        <v>https://cloud.oebiotech.com/#/lm/network/117309</v>
      </c>
      <c r="I1601" s="2" t="s">
        <v>14193</v>
      </c>
      <c r="J1601" s="2"/>
      <c r="K1601" s="2"/>
      <c r="L1601" s="2">
        <v>131804733</v>
      </c>
      <c r="M1601" s="2"/>
      <c r="N1601" s="2"/>
      <c r="O1601" s="2"/>
      <c r="P1601" s="2"/>
      <c r="Q1601" s="2"/>
      <c r="R1601" s="2"/>
      <c r="S1601" s="2"/>
      <c r="T1601" s="2" t="s">
        <v>14194</v>
      </c>
      <c r="U1601" s="2" t="s">
        <v>14195</v>
      </c>
      <c r="V1601" s="2" t="s">
        <v>95</v>
      </c>
      <c r="W1601" s="2" t="s">
        <v>7709</v>
      </c>
      <c r="X1601" s="2" t="s">
        <v>10776</v>
      </c>
      <c r="Y1601" s="2" t="s">
        <v>98</v>
      </c>
      <c r="Z1601" s="2" t="s">
        <v>7711</v>
      </c>
      <c r="AA1601" s="2" t="s">
        <v>10777</v>
      </c>
      <c r="AB1601" s="2" t="s">
        <v>8443</v>
      </c>
      <c r="AC1601" s="2">
        <v>42.84</v>
      </c>
      <c r="AD1601" s="2">
        <v>78.25</v>
      </c>
      <c r="AE1601" s="2">
        <v>0</v>
      </c>
      <c r="AF1601" s="2" t="s">
        <v>14196</v>
      </c>
      <c r="AG1601" s="2" t="s">
        <v>194</v>
      </c>
      <c r="AH1601" s="2" t="s">
        <v>10779</v>
      </c>
      <c r="AI1601" s="2">
        <v>1.1100000000000001</v>
      </c>
      <c r="AJ1601" s="2">
        <v>20.216531881712299</v>
      </c>
      <c r="AK1601" s="2">
        <v>19.601819636072001</v>
      </c>
      <c r="AL1601" s="2">
        <v>20.013685460898898</v>
      </c>
      <c r="AM1601" s="2">
        <v>19.448577340520298</v>
      </c>
      <c r="AN1601" s="2">
        <v>19.225208449172399</v>
      </c>
      <c r="AO1601" s="2">
        <v>19.786122716709698</v>
      </c>
      <c r="AP1601" s="2">
        <v>19.450697704442799</v>
      </c>
      <c r="AQ1601" s="2">
        <v>19.0484795568347</v>
      </c>
      <c r="AR1601" s="2">
        <v>18.919789425290801</v>
      </c>
      <c r="AS1601" s="2">
        <v>19.828414204031802</v>
      </c>
      <c r="AT1601" s="2">
        <v>19.804986891512598</v>
      </c>
      <c r="AU1601" s="2">
        <v>18.109250766922798</v>
      </c>
      <c r="AV1601" s="2">
        <v>18.9002037442872</v>
      </c>
      <c r="AW1601" s="2">
        <v>19.188648893973099</v>
      </c>
      <c r="AX1601" s="2">
        <v>19.003017462945699</v>
      </c>
      <c r="AY1601" s="2">
        <v>19.882675450296201</v>
      </c>
      <c r="AZ1601" s="2">
        <v>20.178360237795399</v>
      </c>
      <c r="BA1601" s="2">
        <v>19.783676263861299</v>
      </c>
      <c r="BB1601" s="2">
        <v>19.281942293794501</v>
      </c>
      <c r="BC1601" s="2">
        <v>20.533866813693699</v>
      </c>
      <c r="BD1601" s="2">
        <v>19.9253163952568</v>
      </c>
      <c r="BE1601" s="2">
        <v>20.713561460774301</v>
      </c>
      <c r="BF1601" s="2">
        <v>18.999245748377099</v>
      </c>
      <c r="BG1601" s="2">
        <v>20.392255845779101</v>
      </c>
      <c r="BH1601" s="2">
        <v>20.1414866044353</v>
      </c>
      <c r="BI1601" s="2">
        <v>18.997650951967898</v>
      </c>
      <c r="BJ1601" s="2">
        <v>20.7399584392533</v>
      </c>
      <c r="BK1601" s="2">
        <v>18.431289837882499</v>
      </c>
      <c r="BL1601" s="2">
        <v>19.607009143248298</v>
      </c>
      <c r="BM1601" s="2">
        <v>19.920040715785198</v>
      </c>
      <c r="BN1601" s="2">
        <v>19.339386127882101</v>
      </c>
      <c r="BO1601" s="2">
        <v>18.797854482276101</v>
      </c>
      <c r="BP1601" s="2">
        <v>19.057647787709399</v>
      </c>
      <c r="BQ1601" s="2">
        <v>18.791996972616001</v>
      </c>
      <c r="BR1601" s="2">
        <v>18.6889992982879</v>
      </c>
      <c r="BS1601" s="2">
        <v>20.528819143361901</v>
      </c>
      <c r="BT1601" s="2">
        <v>19.5499337441968</v>
      </c>
      <c r="BU1601" s="2">
        <v>19.8156463465108</v>
      </c>
      <c r="BV1601" s="2">
        <v>19.525587619517601</v>
      </c>
      <c r="BW1601" s="2">
        <v>18.426674951316301</v>
      </c>
      <c r="BX1601" s="2">
        <v>19.522060409452099</v>
      </c>
      <c r="BY1601" s="2">
        <v>21.4979594769671</v>
      </c>
      <c r="BZ1601" s="2">
        <v>18.63489083144</v>
      </c>
      <c r="CA1601" s="2">
        <v>20.0767524699346</v>
      </c>
      <c r="CB1601" s="2">
        <v>19.4616615712428</v>
      </c>
      <c r="CC1601" s="2">
        <v>18.5030357716631</v>
      </c>
      <c r="CD1601" s="2">
        <v>19.8289597554311</v>
      </c>
      <c r="CE1601" s="2">
        <v>18.709021530884101</v>
      </c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</row>
    <row r="1602" spans="1:97">
      <c r="A1602" s="2" t="s">
        <v>14197</v>
      </c>
      <c r="B1602" s="2">
        <v>479.22788000000003</v>
      </c>
      <c r="C1602" s="2">
        <v>5.9710000000000001</v>
      </c>
      <c r="D1602" s="2" t="s">
        <v>146</v>
      </c>
      <c r="E1602" s="2" t="s">
        <v>14198</v>
      </c>
      <c r="F1602" s="2" t="s">
        <v>14199</v>
      </c>
      <c r="G1602" s="2">
        <v>44740</v>
      </c>
      <c r="H1602" s="3" t="str">
        <f>HYPERLINK("https://cloud.oebiotech.com/#/lm/network/44740", "https://cloud.oebiotech.com/#/lm/network/44740")</f>
        <v>https://cloud.oebiotech.com/#/lm/network/44740</v>
      </c>
      <c r="I1602" s="2"/>
      <c r="J1602" s="2"/>
      <c r="K1602" s="2" t="s">
        <v>14200</v>
      </c>
      <c r="L1602" s="2"/>
      <c r="M1602" s="2"/>
      <c r="N1602" s="2"/>
      <c r="O1602" s="2"/>
      <c r="P1602" s="2"/>
      <c r="Q1602" s="2"/>
      <c r="R1602" s="2"/>
      <c r="S1602" s="2"/>
      <c r="T1602" s="2" t="s">
        <v>14201</v>
      </c>
      <c r="U1602" s="2" t="s">
        <v>14202</v>
      </c>
      <c r="V1602" s="2" t="s">
        <v>95</v>
      </c>
      <c r="W1602" s="2" t="s">
        <v>152</v>
      </c>
      <c r="X1602" s="2" t="s">
        <v>9622</v>
      </c>
      <c r="Y1602" s="2" t="s">
        <v>98</v>
      </c>
      <c r="Z1602" s="2" t="s">
        <v>154</v>
      </c>
      <c r="AA1602" s="2" t="s">
        <v>9623</v>
      </c>
      <c r="AB1602" s="2" t="s">
        <v>8443</v>
      </c>
      <c r="AC1602" s="2">
        <v>42.84</v>
      </c>
      <c r="AD1602" s="2">
        <v>82.59</v>
      </c>
      <c r="AE1602" s="2">
        <v>0</v>
      </c>
      <c r="AF1602" s="2" t="s">
        <v>14203</v>
      </c>
      <c r="AG1602" s="2" t="s">
        <v>157</v>
      </c>
      <c r="AH1602" s="2" t="s">
        <v>14204</v>
      </c>
      <c r="AI1602" s="2">
        <v>1.46</v>
      </c>
      <c r="AJ1602" s="2">
        <v>16.459598593496601</v>
      </c>
      <c r="AK1602" s="2">
        <v>16.715247220292699</v>
      </c>
      <c r="AL1602" s="2">
        <v>16.5107621593666</v>
      </c>
      <c r="AM1602" s="2">
        <v>16.376468653407201</v>
      </c>
      <c r="AN1602" s="2">
        <v>16.373732993220699</v>
      </c>
      <c r="AO1602" s="2">
        <v>16.0932489787591</v>
      </c>
      <c r="AP1602" s="2">
        <v>15.3884051593616</v>
      </c>
      <c r="AQ1602" s="2">
        <v>16.501953155510499</v>
      </c>
      <c r="AR1602" s="2">
        <v>16.411938761255801</v>
      </c>
      <c r="AS1602" s="2">
        <v>14.893028913869101</v>
      </c>
      <c r="AT1602" s="2">
        <v>16.335053230505</v>
      </c>
      <c r="AU1602" s="2">
        <v>14.6698699652386</v>
      </c>
      <c r="AV1602" s="2">
        <v>13.862658664659</v>
      </c>
      <c r="AW1602" s="2">
        <v>17.544198114418599</v>
      </c>
      <c r="AX1602" s="2">
        <v>9.6233145402724691</v>
      </c>
      <c r="AY1602" s="2">
        <v>16.752757475278798</v>
      </c>
      <c r="AZ1602" s="2">
        <v>16.909637646398</v>
      </c>
      <c r="BA1602" s="2">
        <v>16.198730866276598</v>
      </c>
      <c r="BB1602" s="2">
        <v>16.6334949265113</v>
      </c>
      <c r="BC1602" s="2">
        <v>17.363370877373502</v>
      </c>
      <c r="BD1602" s="2">
        <v>15.3511493981598</v>
      </c>
      <c r="BE1602" s="2">
        <v>15.913100711485701</v>
      </c>
      <c r="BF1602" s="2">
        <v>9.6233145402724691</v>
      </c>
      <c r="BG1602" s="2">
        <v>16.037951411244201</v>
      </c>
      <c r="BH1602" s="2">
        <v>16.641142810132799</v>
      </c>
      <c r="BI1602" s="2">
        <v>11.334144766856699</v>
      </c>
      <c r="BJ1602" s="2">
        <v>16.292928021129701</v>
      </c>
      <c r="BK1602" s="2">
        <v>15.714790182497399</v>
      </c>
      <c r="BL1602" s="2">
        <v>17.167312292040599</v>
      </c>
      <c r="BM1602" s="2">
        <v>14.8012885220713</v>
      </c>
      <c r="BN1602" s="2">
        <v>15.4079116808102</v>
      </c>
      <c r="BO1602" s="2">
        <v>16.108152995028501</v>
      </c>
      <c r="BP1602" s="2">
        <v>14.9417720741314</v>
      </c>
      <c r="BQ1602" s="2">
        <v>16.823528086202298</v>
      </c>
      <c r="BR1602" s="2">
        <v>9.6233145402724691</v>
      </c>
      <c r="BS1602" s="2">
        <v>15.4124219841559</v>
      </c>
      <c r="BT1602" s="2">
        <v>16.699419272670099</v>
      </c>
      <c r="BU1602" s="2">
        <v>16.085198981803899</v>
      </c>
      <c r="BV1602" s="2">
        <v>15.602281594438301</v>
      </c>
      <c r="BW1602" s="2">
        <v>16.688233778157802</v>
      </c>
      <c r="BX1602" s="2">
        <v>15.5379621287746</v>
      </c>
      <c r="BY1602" s="2">
        <v>17.2782018730638</v>
      </c>
      <c r="BZ1602" s="2">
        <v>16.000566303381099</v>
      </c>
      <c r="CA1602" s="2">
        <v>9.6233145402724691</v>
      </c>
      <c r="CB1602" s="2">
        <v>16.954191651979599</v>
      </c>
      <c r="CC1602" s="2">
        <v>14.4874682608801</v>
      </c>
      <c r="CD1602" s="2">
        <v>14.760983932346999</v>
      </c>
      <c r="CE1602" s="2">
        <v>17.8326250829722</v>
      </c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</row>
    <row r="1603" spans="1:97">
      <c r="A1603" s="2" t="s">
        <v>14205</v>
      </c>
      <c r="B1603" s="2">
        <v>537.25053000000003</v>
      </c>
      <c r="C1603" s="2">
        <v>8.8209999999999997</v>
      </c>
      <c r="D1603" s="2" t="s">
        <v>146</v>
      </c>
      <c r="E1603" s="2" t="s">
        <v>14206</v>
      </c>
      <c r="F1603" s="2" t="s">
        <v>14207</v>
      </c>
      <c r="G1603" s="2">
        <v>44070</v>
      </c>
      <c r="H1603" s="3" t="str">
        <f>HYPERLINK("https://cloud.oebiotech.com/#/lm/network/44070", "https://cloud.oebiotech.com/#/lm/network/44070")</f>
        <v>https://cloud.oebiotech.com/#/lm/network/44070</v>
      </c>
      <c r="I1603" s="2"/>
      <c r="J1603" s="2">
        <v>84041</v>
      </c>
      <c r="K1603" s="2" t="s">
        <v>14208</v>
      </c>
      <c r="L1603" s="2">
        <v>44254701</v>
      </c>
      <c r="M1603" s="2"/>
      <c r="N1603" s="2"/>
      <c r="O1603" s="2"/>
      <c r="P1603" s="2"/>
      <c r="Q1603" s="2"/>
      <c r="R1603" s="2"/>
      <c r="S1603" s="2"/>
      <c r="T1603" s="2" t="s">
        <v>14209</v>
      </c>
      <c r="U1603" s="2" t="s">
        <v>14210</v>
      </c>
      <c r="V1603" s="2" t="s">
        <v>95</v>
      </c>
      <c r="W1603" s="2" t="s">
        <v>152</v>
      </c>
      <c r="X1603" s="2" t="s">
        <v>1420</v>
      </c>
      <c r="Y1603" s="2" t="s">
        <v>98</v>
      </c>
      <c r="Z1603" s="2" t="s">
        <v>154</v>
      </c>
      <c r="AA1603" s="2" t="s">
        <v>1421</v>
      </c>
      <c r="AB1603" s="2" t="s">
        <v>8443</v>
      </c>
      <c r="AC1603" s="2">
        <v>42.82</v>
      </c>
      <c r="AD1603" s="2">
        <v>86.94</v>
      </c>
      <c r="AE1603" s="2">
        <v>0</v>
      </c>
      <c r="AF1603" s="2" t="s">
        <v>14211</v>
      </c>
      <c r="AG1603" s="2" t="s">
        <v>157</v>
      </c>
      <c r="AH1603" s="2" t="s">
        <v>14212</v>
      </c>
      <c r="AI1603" s="2">
        <v>4.09</v>
      </c>
      <c r="AJ1603" s="2">
        <v>20.914379029420999</v>
      </c>
      <c r="AK1603" s="2">
        <v>20.9797730962636</v>
      </c>
      <c r="AL1603" s="2">
        <v>21.0442872351652</v>
      </c>
      <c r="AM1603" s="2">
        <v>20.614860356602801</v>
      </c>
      <c r="AN1603" s="2">
        <v>20.919323088228101</v>
      </c>
      <c r="AO1603" s="2">
        <v>20.535325047396299</v>
      </c>
      <c r="AP1603" s="2">
        <v>20.804196050490201</v>
      </c>
      <c r="AQ1603" s="2">
        <v>20.671982555345199</v>
      </c>
      <c r="AR1603" s="2">
        <v>21.131979014592499</v>
      </c>
      <c r="AS1603" s="2">
        <v>20.4943846696696</v>
      </c>
      <c r="AT1603" s="2">
        <v>20.940561503205998</v>
      </c>
      <c r="AU1603" s="2">
        <v>20.8677938625626</v>
      </c>
      <c r="AV1603" s="2">
        <v>20.761855578881399</v>
      </c>
      <c r="AW1603" s="2">
        <v>20.843928432952701</v>
      </c>
      <c r="AX1603" s="2">
        <v>20.343394559748099</v>
      </c>
      <c r="AY1603" s="2">
        <v>20.4820315336727</v>
      </c>
      <c r="AZ1603" s="2">
        <v>21.001884592705199</v>
      </c>
      <c r="BA1603" s="2">
        <v>20.5680233344995</v>
      </c>
      <c r="BB1603" s="2">
        <v>20.957948730919899</v>
      </c>
      <c r="BC1603" s="2">
        <v>20.8823518560305</v>
      </c>
      <c r="BD1603" s="2">
        <v>20.917964962865099</v>
      </c>
      <c r="BE1603" s="2">
        <v>21.004225672449699</v>
      </c>
      <c r="BF1603" s="2">
        <v>21.008825960948201</v>
      </c>
      <c r="BG1603" s="2">
        <v>20.851979041344801</v>
      </c>
      <c r="BH1603" s="2">
        <v>20.741504981272399</v>
      </c>
      <c r="BI1603" s="2">
        <v>20.952690911835301</v>
      </c>
      <c r="BJ1603" s="2">
        <v>20.4461770084032</v>
      </c>
      <c r="BK1603" s="2">
        <v>21.0635301103719</v>
      </c>
      <c r="BL1603" s="2">
        <v>20.876142202766399</v>
      </c>
      <c r="BM1603" s="2">
        <v>21.0229754550117</v>
      </c>
      <c r="BN1603" s="2">
        <v>20.480827586756099</v>
      </c>
      <c r="BO1603" s="2">
        <v>20.4351372694547</v>
      </c>
      <c r="BP1603" s="2">
        <v>20.3166727500573</v>
      </c>
      <c r="BQ1603" s="2">
        <v>20.302147851021498</v>
      </c>
      <c r="BR1603" s="2">
        <v>20.670650466640701</v>
      </c>
      <c r="BS1603" s="2">
        <v>20.6696405459289</v>
      </c>
      <c r="BT1603" s="2">
        <v>20.8774758665344</v>
      </c>
      <c r="BU1603" s="2">
        <v>20.7961095995595</v>
      </c>
      <c r="BV1603" s="2">
        <v>20.747644559306401</v>
      </c>
      <c r="BW1603" s="2">
        <v>20.8744998693372</v>
      </c>
      <c r="BX1603" s="2">
        <v>20.4103704705146</v>
      </c>
      <c r="BY1603" s="2">
        <v>20.784672527064799</v>
      </c>
      <c r="BZ1603" s="2">
        <v>21.114632087430099</v>
      </c>
      <c r="CA1603" s="2">
        <v>20.867933487377201</v>
      </c>
      <c r="CB1603" s="2">
        <v>20.808788069643501</v>
      </c>
      <c r="CC1603" s="2">
        <v>20.897964689152399</v>
      </c>
      <c r="CD1603" s="2">
        <v>20.546848679918</v>
      </c>
      <c r="CE1603" s="2">
        <v>20.809584491444198</v>
      </c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</row>
    <row r="1604" spans="1:97">
      <c r="A1604" s="2" t="s">
        <v>14213</v>
      </c>
      <c r="B1604" s="2">
        <v>295.19</v>
      </c>
      <c r="C1604" s="2">
        <v>9.8130000000000006</v>
      </c>
      <c r="D1604" s="2" t="s">
        <v>84</v>
      </c>
      <c r="E1604" s="2" t="s">
        <v>14214</v>
      </c>
      <c r="F1604" s="2" t="s">
        <v>14215</v>
      </c>
      <c r="G1604" s="2">
        <v>48610</v>
      </c>
      <c r="H1604" s="3" t="str">
        <f>HYPERLINK("https://cloud.oebiotech.com/#/lm/network/48610", "https://cloud.oebiotech.com/#/lm/network/48610")</f>
        <v>https://cloud.oebiotech.com/#/lm/network/48610</v>
      </c>
      <c r="I1604" s="2" t="s">
        <v>14216</v>
      </c>
      <c r="J1604" s="2"/>
      <c r="K1604" s="2"/>
      <c r="L1604" s="2">
        <v>3473</v>
      </c>
      <c r="M1604" s="2" t="s">
        <v>14217</v>
      </c>
      <c r="N1604" s="2"/>
      <c r="O1604" s="2"/>
      <c r="P1604" s="2"/>
      <c r="Q1604" s="2"/>
      <c r="R1604" s="2"/>
      <c r="S1604" s="2" t="s">
        <v>14218</v>
      </c>
      <c r="T1604" s="2" t="s">
        <v>14219</v>
      </c>
      <c r="U1604" s="2" t="s">
        <v>14220</v>
      </c>
      <c r="V1604" s="2" t="s">
        <v>385</v>
      </c>
      <c r="W1604" s="2" t="s">
        <v>3319</v>
      </c>
      <c r="X1604" s="2" t="s">
        <v>3320</v>
      </c>
      <c r="Y1604" s="2" t="s">
        <v>388</v>
      </c>
      <c r="Z1604" s="2" t="s">
        <v>3321</v>
      </c>
      <c r="AA1604" s="2" t="s">
        <v>3322</v>
      </c>
      <c r="AB1604" s="2" t="s">
        <v>8443</v>
      </c>
      <c r="AC1604" s="2">
        <v>42.81</v>
      </c>
      <c r="AD1604" s="2">
        <v>89.67</v>
      </c>
      <c r="AE1604" s="2">
        <v>32.74</v>
      </c>
      <c r="AF1604" s="2" t="s">
        <v>14221</v>
      </c>
      <c r="AG1604" s="2" t="s">
        <v>103</v>
      </c>
      <c r="AH1604" s="2" t="s">
        <v>5417</v>
      </c>
      <c r="AI1604" s="2">
        <v>1.36</v>
      </c>
      <c r="AJ1604" s="2">
        <v>19.501524301468699</v>
      </c>
      <c r="AK1604" s="2">
        <v>19.835436867759</v>
      </c>
      <c r="AL1604" s="2">
        <v>19.9813729518138</v>
      </c>
      <c r="AM1604" s="2">
        <v>19.7605980720055</v>
      </c>
      <c r="AN1604" s="2">
        <v>20.3175925331023</v>
      </c>
      <c r="AO1604" s="2">
        <v>20.2571243093699</v>
      </c>
      <c r="AP1604" s="2">
        <v>19.9905774477844</v>
      </c>
      <c r="AQ1604" s="2">
        <v>20.175038218035699</v>
      </c>
      <c r="AR1604" s="2">
        <v>20.186308676324298</v>
      </c>
      <c r="AS1604" s="2">
        <v>19.406641370948801</v>
      </c>
      <c r="AT1604" s="2">
        <v>19.957882781713099</v>
      </c>
      <c r="AU1604" s="2">
        <v>20.338366152720099</v>
      </c>
      <c r="AV1604" s="2">
        <v>19.5623905914773</v>
      </c>
      <c r="AW1604" s="2">
        <v>20.365958794359099</v>
      </c>
      <c r="AX1604" s="2">
        <v>20.237769331315398</v>
      </c>
      <c r="AY1604" s="2">
        <v>20.438908699778199</v>
      </c>
      <c r="AZ1604" s="2">
        <v>20.3877012301121</v>
      </c>
      <c r="BA1604" s="2">
        <v>19.101749821942601</v>
      </c>
      <c r="BB1604" s="2">
        <v>20.226389636390099</v>
      </c>
      <c r="BC1604" s="2">
        <v>20.071155374341298</v>
      </c>
      <c r="BD1604" s="2">
        <v>20.2659332630389</v>
      </c>
      <c r="BE1604" s="2">
        <v>19.850646963392599</v>
      </c>
      <c r="BF1604" s="2">
        <v>20.081388460595299</v>
      </c>
      <c r="BG1604" s="2">
        <v>20.214578400549598</v>
      </c>
      <c r="BH1604" s="2">
        <v>20.038846668447999</v>
      </c>
      <c r="BI1604" s="2">
        <v>20.151941259541498</v>
      </c>
      <c r="BJ1604" s="2">
        <v>19.493679435743299</v>
      </c>
      <c r="BK1604" s="2">
        <v>19.724516567629799</v>
      </c>
      <c r="BL1604" s="2">
        <v>20.314570388930399</v>
      </c>
      <c r="BM1604" s="2">
        <v>20.0518893726233</v>
      </c>
      <c r="BN1604" s="2">
        <v>19.6028562887855</v>
      </c>
      <c r="BO1604" s="2">
        <v>19.821482321726599</v>
      </c>
      <c r="BP1604" s="2">
        <v>19.970678544316101</v>
      </c>
      <c r="BQ1604" s="2">
        <v>20.239907308193899</v>
      </c>
      <c r="BR1604" s="2">
        <v>20.234877620101599</v>
      </c>
      <c r="BS1604" s="2">
        <v>19.950314508834602</v>
      </c>
      <c r="BT1604" s="2">
        <v>19.889586473849199</v>
      </c>
      <c r="BU1604" s="2">
        <v>20.247221648545601</v>
      </c>
      <c r="BV1604" s="2">
        <v>20.16931800279</v>
      </c>
      <c r="BW1604" s="2">
        <v>19.584545315979899</v>
      </c>
      <c r="BX1604" s="2">
        <v>19.9156842515441</v>
      </c>
      <c r="BY1604" s="2">
        <v>20.055395088687401</v>
      </c>
      <c r="BZ1604" s="2">
        <v>20.052333390537001</v>
      </c>
      <c r="CA1604" s="2">
        <v>19.394926671770001</v>
      </c>
      <c r="CB1604" s="2">
        <v>20.462053377535</v>
      </c>
      <c r="CC1604" s="2">
        <v>20.1668972800713</v>
      </c>
      <c r="CD1604" s="2">
        <v>20.234545906430299</v>
      </c>
      <c r="CE1604" s="2">
        <v>20.4759954057815</v>
      </c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</row>
    <row r="1605" spans="1:97">
      <c r="A1605" s="2" t="s">
        <v>14222</v>
      </c>
      <c r="B1605" s="2">
        <v>352.96595000000002</v>
      </c>
      <c r="C1605" s="2">
        <v>0.73099999999999998</v>
      </c>
      <c r="D1605" s="2" t="s">
        <v>146</v>
      </c>
      <c r="E1605" s="2" t="s">
        <v>14223</v>
      </c>
      <c r="F1605" s="2" t="s">
        <v>14224</v>
      </c>
      <c r="G1605" s="2">
        <v>213294</v>
      </c>
      <c r="H1605" s="3" t="str">
        <f>HYPERLINK("https://cloud.oebiotech.com/#/lm/network/213294", "https://cloud.oebiotech.com/#/lm/network/213294")</f>
        <v>https://cloud.oebiotech.com/#/lm/network/213294</v>
      </c>
      <c r="I1605" s="2" t="s">
        <v>14225</v>
      </c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 t="s">
        <v>14226</v>
      </c>
      <c r="U1605" s="2" t="s">
        <v>14227</v>
      </c>
      <c r="V1605" s="2" t="s">
        <v>338</v>
      </c>
      <c r="W1605" s="2" t="s">
        <v>11029</v>
      </c>
      <c r="X1605" s="2" t="s">
        <v>14228</v>
      </c>
      <c r="Y1605" s="2" t="s">
        <v>341</v>
      </c>
      <c r="Z1605" s="2" t="s">
        <v>11031</v>
      </c>
      <c r="AA1605" s="2" t="s">
        <v>14229</v>
      </c>
      <c r="AB1605" s="2" t="s">
        <v>8443</v>
      </c>
      <c r="AC1605" s="2">
        <v>42.81</v>
      </c>
      <c r="AD1605" s="2">
        <v>95.08</v>
      </c>
      <c r="AE1605" s="2">
        <v>0</v>
      </c>
      <c r="AF1605" s="2" t="s">
        <v>5614</v>
      </c>
      <c r="AG1605" s="2" t="s">
        <v>194</v>
      </c>
      <c r="AH1605" s="2" t="s">
        <v>14230</v>
      </c>
      <c r="AI1605" s="2">
        <v>5.67</v>
      </c>
      <c r="AJ1605" s="2">
        <v>19.190002974052099</v>
      </c>
      <c r="AK1605" s="2">
        <v>18.917810383498601</v>
      </c>
      <c r="AL1605" s="2">
        <v>19.105791088446701</v>
      </c>
      <c r="AM1605" s="2">
        <v>18.4037951243516</v>
      </c>
      <c r="AN1605" s="2">
        <v>19.242682371988899</v>
      </c>
      <c r="AO1605" s="2">
        <v>18.999411314003801</v>
      </c>
      <c r="AP1605" s="2">
        <v>18.864670434531199</v>
      </c>
      <c r="AQ1605" s="2">
        <v>19.011259965139399</v>
      </c>
      <c r="AR1605" s="2">
        <v>17.122083003086299</v>
      </c>
      <c r="AS1605" s="2">
        <v>9.6233145402724691</v>
      </c>
      <c r="AT1605" s="2">
        <v>18.098308074001899</v>
      </c>
      <c r="AU1605" s="2">
        <v>17.022476726323799</v>
      </c>
      <c r="AV1605" s="2">
        <v>18.094133008682601</v>
      </c>
      <c r="AW1605" s="2">
        <v>17.969193185903801</v>
      </c>
      <c r="AX1605" s="2">
        <v>18.028626613491099</v>
      </c>
      <c r="AY1605" s="2">
        <v>18.951222011245299</v>
      </c>
      <c r="AZ1605" s="2">
        <v>17.806532189818999</v>
      </c>
      <c r="BA1605" s="2">
        <v>17.312397828483501</v>
      </c>
      <c r="BB1605" s="2">
        <v>19.1331750817547</v>
      </c>
      <c r="BC1605" s="2">
        <v>19.674479654871501</v>
      </c>
      <c r="BD1605" s="2">
        <v>18.0002790526976</v>
      </c>
      <c r="BE1605" s="2">
        <v>18.4890845324888</v>
      </c>
      <c r="BF1605" s="2">
        <v>17.5806950615933</v>
      </c>
      <c r="BG1605" s="2">
        <v>20.183881472643101</v>
      </c>
      <c r="BH1605" s="2">
        <v>17.025202298072799</v>
      </c>
      <c r="BI1605" s="2">
        <v>18.381620427046101</v>
      </c>
      <c r="BJ1605" s="2">
        <v>18.6626122277444</v>
      </c>
      <c r="BK1605" s="2">
        <v>18.162013462890801</v>
      </c>
      <c r="BL1605" s="2">
        <v>17.460910426585802</v>
      </c>
      <c r="BM1605" s="2">
        <v>17.891906018640601</v>
      </c>
      <c r="BN1605" s="2">
        <v>19.131429059160499</v>
      </c>
      <c r="BO1605" s="2">
        <v>18.198981300107199</v>
      </c>
      <c r="BP1605" s="2">
        <v>17.926717931567602</v>
      </c>
      <c r="BQ1605" s="2">
        <v>17.998667165630401</v>
      </c>
      <c r="BR1605" s="2">
        <v>19.099938315423898</v>
      </c>
      <c r="BS1605" s="2">
        <v>18.4367199181494</v>
      </c>
      <c r="BT1605" s="2">
        <v>19.5577900727863</v>
      </c>
      <c r="BU1605" s="2">
        <v>18.0526267928187</v>
      </c>
      <c r="BV1605" s="2">
        <v>20.211009447703699</v>
      </c>
      <c r="BW1605" s="2">
        <v>19.402550202678601</v>
      </c>
      <c r="BX1605" s="2">
        <v>18.862080598036901</v>
      </c>
      <c r="BY1605" s="2">
        <v>19.002956089142099</v>
      </c>
      <c r="BZ1605" s="2">
        <v>19.9013104933275</v>
      </c>
      <c r="CA1605" s="2">
        <v>20.6185655536549</v>
      </c>
      <c r="CB1605" s="2">
        <v>19.896665293306601</v>
      </c>
      <c r="CC1605" s="2">
        <v>18.3305528418691</v>
      </c>
      <c r="CD1605" s="2">
        <v>18.981066129026701</v>
      </c>
      <c r="CE1605" s="2">
        <v>18.7501579166141</v>
      </c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</row>
    <row r="1606" spans="1:97">
      <c r="A1606" s="2" t="s">
        <v>14231</v>
      </c>
      <c r="B1606" s="2">
        <v>204.12361999999999</v>
      </c>
      <c r="C1606" s="2">
        <v>13.483000000000001</v>
      </c>
      <c r="D1606" s="2" t="s">
        <v>146</v>
      </c>
      <c r="E1606" s="2" t="s">
        <v>14232</v>
      </c>
      <c r="F1606" s="2" t="s">
        <v>14233</v>
      </c>
      <c r="G1606" s="2">
        <v>257567</v>
      </c>
      <c r="H1606" s="3" t="str">
        <f>HYPERLINK("https://cloud.oebiotech.com/#/lm/network/257567", "https://cloud.oebiotech.com/#/lm/network/257567")</f>
        <v>https://cloud.oebiotech.com/#/lm/network/257567</v>
      </c>
      <c r="I1606" s="2" t="s">
        <v>14234</v>
      </c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 t="s">
        <v>14235</v>
      </c>
      <c r="U1606" s="2" t="s">
        <v>14236</v>
      </c>
      <c r="V1606" s="2" t="s">
        <v>95</v>
      </c>
      <c r="W1606" s="2" t="s">
        <v>96</v>
      </c>
      <c r="X1606" s="2" t="s">
        <v>315</v>
      </c>
      <c r="Y1606" s="2" t="s">
        <v>98</v>
      </c>
      <c r="Z1606" s="2" t="s">
        <v>99</v>
      </c>
      <c r="AA1606" s="2" t="s">
        <v>316</v>
      </c>
      <c r="AB1606" s="2" t="s">
        <v>8443</v>
      </c>
      <c r="AC1606" s="2">
        <v>42.79</v>
      </c>
      <c r="AD1606" s="2">
        <v>94.18</v>
      </c>
      <c r="AE1606" s="2">
        <v>33.770000000000003</v>
      </c>
      <c r="AF1606" s="2" t="s">
        <v>14237</v>
      </c>
      <c r="AG1606" s="2" t="s">
        <v>194</v>
      </c>
      <c r="AH1606" s="2" t="s">
        <v>14238</v>
      </c>
      <c r="AI1606" s="2">
        <v>2.4500000000000002</v>
      </c>
      <c r="AJ1606" s="2">
        <v>19.4054102685473</v>
      </c>
      <c r="AK1606" s="2">
        <v>19.296927630200599</v>
      </c>
      <c r="AL1606" s="2">
        <v>19.675613073198001</v>
      </c>
      <c r="AM1606" s="2">
        <v>19.5678122286442</v>
      </c>
      <c r="AN1606" s="2">
        <v>19.598865586688898</v>
      </c>
      <c r="AO1606" s="2">
        <v>18.9563110650132</v>
      </c>
      <c r="AP1606" s="2">
        <v>19.265207935492501</v>
      </c>
      <c r="AQ1606" s="2">
        <v>19.094365723633199</v>
      </c>
      <c r="AR1606" s="2">
        <v>18.544835571867502</v>
      </c>
      <c r="AS1606" s="2">
        <v>18.699494475540799</v>
      </c>
      <c r="AT1606" s="2">
        <v>19.951312636173999</v>
      </c>
      <c r="AU1606" s="2">
        <v>19.142109775319899</v>
      </c>
      <c r="AV1606" s="2">
        <v>19.146346742685399</v>
      </c>
      <c r="AW1606" s="2">
        <v>18.760884164211699</v>
      </c>
      <c r="AX1606" s="2">
        <v>19.562070888246101</v>
      </c>
      <c r="AY1606" s="2">
        <v>18.463467617763101</v>
      </c>
      <c r="AZ1606" s="2">
        <v>19.061238697618599</v>
      </c>
      <c r="BA1606" s="2">
        <v>19.5902642318364</v>
      </c>
      <c r="BB1606" s="2">
        <v>19.290088389106302</v>
      </c>
      <c r="BC1606" s="2">
        <v>19.799942553533</v>
      </c>
      <c r="BD1606" s="2">
        <v>18.976986320660899</v>
      </c>
      <c r="BE1606" s="2">
        <v>18.410427666359301</v>
      </c>
      <c r="BF1606" s="2">
        <v>19.3899250793426</v>
      </c>
      <c r="BG1606" s="2">
        <v>19.4371693865852</v>
      </c>
      <c r="BH1606" s="2">
        <v>18.9620493831852</v>
      </c>
      <c r="BI1606" s="2">
        <v>19.4102702869166</v>
      </c>
      <c r="BJ1606" s="2">
        <v>19.278958675737499</v>
      </c>
      <c r="BK1606" s="2">
        <v>19.143806638569099</v>
      </c>
      <c r="BL1606" s="2">
        <v>19.7988140215047</v>
      </c>
      <c r="BM1606" s="2">
        <v>19.375925333261701</v>
      </c>
      <c r="BN1606" s="2">
        <v>19.443240281913798</v>
      </c>
      <c r="BO1606" s="2">
        <v>19.568421135654901</v>
      </c>
      <c r="BP1606" s="2">
        <v>19.202491067088399</v>
      </c>
      <c r="BQ1606" s="2">
        <v>19.706414315775401</v>
      </c>
      <c r="BR1606" s="2">
        <v>19.064000720686</v>
      </c>
      <c r="BS1606" s="2">
        <v>18.7563633009391</v>
      </c>
      <c r="BT1606" s="2">
        <v>18.682458526241401</v>
      </c>
      <c r="BU1606" s="2">
        <v>19.235365049000499</v>
      </c>
      <c r="BV1606" s="2">
        <v>19.5325530981988</v>
      </c>
      <c r="BW1606" s="2">
        <v>17.959561773233801</v>
      </c>
      <c r="BX1606" s="2">
        <v>18.549503916923999</v>
      </c>
      <c r="BY1606" s="2">
        <v>18.370105859811499</v>
      </c>
      <c r="BZ1606" s="2">
        <v>18.951896210863001</v>
      </c>
      <c r="CA1606" s="2">
        <v>18.195739419220899</v>
      </c>
      <c r="CB1606" s="2">
        <v>18.885925142128301</v>
      </c>
      <c r="CC1606" s="2">
        <v>18.876273609146899</v>
      </c>
      <c r="CD1606" s="2">
        <v>18.256894004938399</v>
      </c>
      <c r="CE1606" s="2">
        <v>19.571554164493701</v>
      </c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</row>
    <row r="1607" spans="1:97">
      <c r="A1607" s="2" t="s">
        <v>14239</v>
      </c>
      <c r="B1607" s="2">
        <v>269.13069999999999</v>
      </c>
      <c r="C1607" s="2">
        <v>9.3729999999999993</v>
      </c>
      <c r="D1607" s="2" t="s">
        <v>146</v>
      </c>
      <c r="E1607" s="2" t="s">
        <v>14240</v>
      </c>
      <c r="F1607" s="2" t="s">
        <v>14241</v>
      </c>
      <c r="G1607" s="2">
        <v>35823</v>
      </c>
      <c r="H1607" s="3" t="str">
        <f>HYPERLINK("https://cloud.oebiotech.com/#/lm/network/35823", "https://cloud.oebiotech.com/#/lm/network/35823")</f>
        <v>https://cloud.oebiotech.com/#/lm/network/35823</v>
      </c>
      <c r="I1607" s="2"/>
      <c r="J1607" s="2"/>
      <c r="K1607" s="2" t="s">
        <v>14242</v>
      </c>
      <c r="L1607" s="2">
        <v>10988200</v>
      </c>
      <c r="M1607" s="2"/>
      <c r="N1607" s="2"/>
      <c r="O1607" s="2"/>
      <c r="P1607" s="2">
        <v>68832</v>
      </c>
      <c r="Q1607" s="2"/>
      <c r="R1607" s="2"/>
      <c r="S1607" s="2"/>
      <c r="T1607" s="2" t="s">
        <v>14243</v>
      </c>
      <c r="U1607" s="2" t="s">
        <v>14244</v>
      </c>
      <c r="V1607" s="2" t="s">
        <v>95</v>
      </c>
      <c r="W1607" s="2" t="s">
        <v>180</v>
      </c>
      <c r="X1607" s="2" t="s">
        <v>181</v>
      </c>
      <c r="Y1607" s="2" t="s">
        <v>98</v>
      </c>
      <c r="Z1607" s="2" t="s">
        <v>182</v>
      </c>
      <c r="AA1607" s="2" t="s">
        <v>183</v>
      </c>
      <c r="AB1607" s="2" t="s">
        <v>8443</v>
      </c>
      <c r="AC1607" s="2">
        <v>42.79</v>
      </c>
      <c r="AD1607" s="2">
        <v>77.38</v>
      </c>
      <c r="AE1607" s="2">
        <v>0</v>
      </c>
      <c r="AF1607" s="2" t="s">
        <v>14245</v>
      </c>
      <c r="AG1607" s="2" t="s">
        <v>4062</v>
      </c>
      <c r="AH1607" s="2" t="s">
        <v>9380</v>
      </c>
      <c r="AI1607" s="2">
        <v>2.6</v>
      </c>
      <c r="AJ1607" s="2">
        <v>25.073064507435099</v>
      </c>
      <c r="AK1607" s="2">
        <v>24.983020631376601</v>
      </c>
      <c r="AL1607" s="2">
        <v>25.8481320831239</v>
      </c>
      <c r="AM1607" s="2">
        <v>25.862908059557299</v>
      </c>
      <c r="AN1607" s="2">
        <v>25.738812026002801</v>
      </c>
      <c r="AO1607" s="2">
        <v>25.861497691144201</v>
      </c>
      <c r="AP1607" s="2">
        <v>25.269837894969498</v>
      </c>
      <c r="AQ1607" s="2">
        <v>25.810342117687998</v>
      </c>
      <c r="AR1607" s="2">
        <v>24.637315049136799</v>
      </c>
      <c r="AS1607" s="2">
        <v>25.040807816462902</v>
      </c>
      <c r="AT1607" s="2">
        <v>24.2487532449551</v>
      </c>
      <c r="AU1607" s="2">
        <v>24.880513859316199</v>
      </c>
      <c r="AV1607" s="2">
        <v>25.5882181468711</v>
      </c>
      <c r="AW1607" s="2">
        <v>25.557118828478</v>
      </c>
      <c r="AX1607" s="2">
        <v>26.214655334317499</v>
      </c>
      <c r="AY1607" s="2">
        <v>25.7534425428879</v>
      </c>
      <c r="AZ1607" s="2">
        <v>25.043575834037298</v>
      </c>
      <c r="BA1607" s="2">
        <v>25.731396483263101</v>
      </c>
      <c r="BB1607" s="2">
        <v>24.602727944998101</v>
      </c>
      <c r="BC1607" s="2">
        <v>25.495244466889499</v>
      </c>
      <c r="BD1607" s="2">
        <v>25.217182526986701</v>
      </c>
      <c r="BE1607" s="2">
        <v>25.465957071894898</v>
      </c>
      <c r="BF1607" s="2">
        <v>25.7832098862382</v>
      </c>
      <c r="BG1607" s="2">
        <v>25.2693217422981</v>
      </c>
      <c r="BH1607" s="2">
        <v>25.458616916021999</v>
      </c>
      <c r="BI1607" s="2">
        <v>25.141900924639199</v>
      </c>
      <c r="BJ1607" s="2">
        <v>25.7211443287683</v>
      </c>
      <c r="BK1607" s="2">
        <v>24.5879649917431</v>
      </c>
      <c r="BL1607" s="2">
        <v>24.321579133597101</v>
      </c>
      <c r="BM1607" s="2">
        <v>25.2034540509773</v>
      </c>
      <c r="BN1607" s="2">
        <v>21.883325676919998</v>
      </c>
      <c r="BO1607" s="2">
        <v>25.4067415039328</v>
      </c>
      <c r="BP1607" s="2">
        <v>25.1188613513409</v>
      </c>
      <c r="BQ1607" s="2">
        <v>24.8918739656953</v>
      </c>
      <c r="BR1607" s="2">
        <v>25.6099830600232</v>
      </c>
      <c r="BS1607" s="2">
        <v>25.119617479528198</v>
      </c>
      <c r="BT1607" s="2">
        <v>26.388942135658699</v>
      </c>
      <c r="BU1607" s="2">
        <v>24.4551518940455</v>
      </c>
      <c r="BV1607" s="2">
        <v>26.473591757240399</v>
      </c>
      <c r="BW1607" s="2">
        <v>25.705986222719499</v>
      </c>
      <c r="BX1607" s="2">
        <v>26.3459423761641</v>
      </c>
      <c r="BY1607" s="2">
        <v>25.984059058105998</v>
      </c>
      <c r="BZ1607" s="2">
        <v>25.0761342368999</v>
      </c>
      <c r="CA1607" s="2">
        <v>25.7854644827678</v>
      </c>
      <c r="CB1607" s="2">
        <v>25.582054425908101</v>
      </c>
      <c r="CC1607" s="2">
        <v>24.7259411307781</v>
      </c>
      <c r="CD1607" s="2">
        <v>25.4592331482642</v>
      </c>
      <c r="CE1607" s="2">
        <v>25.670946715328299</v>
      </c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</row>
    <row r="1608" spans="1:97">
      <c r="A1608" s="2" t="s">
        <v>14246</v>
      </c>
      <c r="B1608" s="2">
        <v>383.15282000000002</v>
      </c>
      <c r="C1608" s="2">
        <v>5.8230000000000004</v>
      </c>
      <c r="D1608" s="2" t="s">
        <v>146</v>
      </c>
      <c r="E1608" s="2" t="s">
        <v>14247</v>
      </c>
      <c r="F1608" s="2" t="s">
        <v>14248</v>
      </c>
      <c r="G1608" s="2">
        <v>201629</v>
      </c>
      <c r="H1608" s="3" t="str">
        <f>HYPERLINK("https://cloud.oebiotech.com/#/lm/network/201629", "https://cloud.oebiotech.com/#/lm/network/201629")</f>
        <v>https://cloud.oebiotech.com/#/lm/network/201629</v>
      </c>
      <c r="I1608" s="2" t="s">
        <v>14249</v>
      </c>
      <c r="J1608" s="2"/>
      <c r="K1608" s="2"/>
      <c r="L1608" s="2">
        <v>114892</v>
      </c>
      <c r="M1608" s="2"/>
      <c r="N1608" s="2"/>
      <c r="O1608" s="2"/>
      <c r="P1608" s="2"/>
      <c r="Q1608" s="2"/>
      <c r="R1608" s="2"/>
      <c r="S1608" s="2"/>
      <c r="T1608" s="2" t="s">
        <v>14250</v>
      </c>
      <c r="U1608" s="2" t="s">
        <v>14251</v>
      </c>
      <c r="V1608" s="2" t="s">
        <v>385</v>
      </c>
      <c r="W1608" s="2" t="s">
        <v>386</v>
      </c>
      <c r="X1608" s="2" t="s">
        <v>14252</v>
      </c>
      <c r="Y1608" s="2" t="s">
        <v>388</v>
      </c>
      <c r="Z1608" s="2" t="s">
        <v>389</v>
      </c>
      <c r="AA1608" s="2" t="s">
        <v>14253</v>
      </c>
      <c r="AB1608" s="2" t="s">
        <v>8443</v>
      </c>
      <c r="AC1608" s="2">
        <v>42.79</v>
      </c>
      <c r="AD1608" s="2">
        <v>76.680000000000007</v>
      </c>
      <c r="AE1608" s="2">
        <v>0</v>
      </c>
      <c r="AF1608" s="2" t="s">
        <v>14254</v>
      </c>
      <c r="AG1608" s="2" t="s">
        <v>194</v>
      </c>
      <c r="AH1608" s="2" t="s">
        <v>14255</v>
      </c>
      <c r="AI1608" s="2">
        <v>1.04</v>
      </c>
      <c r="AJ1608" s="2">
        <v>22.994686901030999</v>
      </c>
      <c r="AK1608" s="2">
        <v>23.044889105986002</v>
      </c>
      <c r="AL1608" s="2">
        <v>22.9619169149654</v>
      </c>
      <c r="AM1608" s="2">
        <v>23.091052157654001</v>
      </c>
      <c r="AN1608" s="2">
        <v>22.8668033598614</v>
      </c>
      <c r="AO1608" s="2">
        <v>22.890151177898701</v>
      </c>
      <c r="AP1608" s="2">
        <v>23.0020437590603</v>
      </c>
      <c r="AQ1608" s="2">
        <v>23.070294488626701</v>
      </c>
      <c r="AR1608" s="2">
        <v>21.274904519455401</v>
      </c>
      <c r="AS1608" s="2">
        <v>21.718173160825799</v>
      </c>
      <c r="AT1608" s="2">
        <v>22.059641374901599</v>
      </c>
      <c r="AU1608" s="2">
        <v>22.026534299514498</v>
      </c>
      <c r="AV1608" s="2">
        <v>22.106833803705602</v>
      </c>
      <c r="AW1608" s="2">
        <v>21.397463311300498</v>
      </c>
      <c r="AX1608" s="2">
        <v>21.762755761714601</v>
      </c>
      <c r="AY1608" s="2">
        <v>22.594424224655199</v>
      </c>
      <c r="AZ1608" s="2">
        <v>22.035441093174299</v>
      </c>
      <c r="BA1608" s="2">
        <v>24.495961213547901</v>
      </c>
      <c r="BB1608" s="2">
        <v>23.504132576234301</v>
      </c>
      <c r="BC1608" s="2">
        <v>24.8705886265586</v>
      </c>
      <c r="BD1608" s="2">
        <v>21.9662518696082</v>
      </c>
      <c r="BE1608" s="2">
        <v>23.020953720445501</v>
      </c>
      <c r="BF1608" s="2">
        <v>22.4375252417788</v>
      </c>
      <c r="BG1608" s="2">
        <v>20.9649573862932</v>
      </c>
      <c r="BH1608" s="2">
        <v>22.159921946031201</v>
      </c>
      <c r="BI1608" s="2">
        <v>20.3698241019991</v>
      </c>
      <c r="BJ1608" s="2">
        <v>22.0710717999808</v>
      </c>
      <c r="BK1608" s="2">
        <v>22.383426180227399</v>
      </c>
      <c r="BL1608" s="2">
        <v>20.9200112301784</v>
      </c>
      <c r="BM1608" s="2">
        <v>22.669059604087298</v>
      </c>
      <c r="BN1608" s="2">
        <v>22.335684436988799</v>
      </c>
      <c r="BO1608" s="2">
        <v>23.242763178382699</v>
      </c>
      <c r="BP1608" s="2">
        <v>22.645931916013399</v>
      </c>
      <c r="BQ1608" s="2">
        <v>21.4549805525732</v>
      </c>
      <c r="BR1608" s="2">
        <v>22.066798828856498</v>
      </c>
      <c r="BS1608" s="2">
        <v>22.041968477654901</v>
      </c>
      <c r="BT1608" s="2">
        <v>23.220383668564001</v>
      </c>
      <c r="BU1608" s="2">
        <v>24.922137700407902</v>
      </c>
      <c r="BV1608" s="2">
        <v>23.674720074408</v>
      </c>
      <c r="BW1608" s="2">
        <v>23.533699922707701</v>
      </c>
      <c r="BX1608" s="2">
        <v>22.116673804969501</v>
      </c>
      <c r="BY1608" s="2">
        <v>22.360310787105401</v>
      </c>
      <c r="BZ1608" s="2">
        <v>23.103455287528501</v>
      </c>
      <c r="CA1608" s="2">
        <v>21.6700376908592</v>
      </c>
      <c r="CB1608" s="2">
        <v>23.151440778263002</v>
      </c>
      <c r="CC1608" s="2">
        <v>20.781993803147</v>
      </c>
      <c r="CD1608" s="2">
        <v>22.411095688239399</v>
      </c>
      <c r="CE1608" s="2">
        <v>22.562103239172998</v>
      </c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</row>
    <row r="1609" spans="1:97">
      <c r="A1609" s="2" t="s">
        <v>14256</v>
      </c>
      <c r="B1609" s="2">
        <v>507.25860999999998</v>
      </c>
      <c r="C1609" s="2">
        <v>5.4569999999999999</v>
      </c>
      <c r="D1609" s="2" t="s">
        <v>84</v>
      </c>
      <c r="E1609" s="2" t="s">
        <v>14257</v>
      </c>
      <c r="F1609" s="2" t="s">
        <v>14258</v>
      </c>
      <c r="G1609" s="2">
        <v>46646</v>
      </c>
      <c r="H1609" s="3" t="str">
        <f>HYPERLINK("https://cloud.oebiotech.com/#/lm/network/46646", "https://cloud.oebiotech.com/#/lm/network/46646")</f>
        <v>https://cloud.oebiotech.com/#/lm/network/46646</v>
      </c>
      <c r="I1609" s="2" t="s">
        <v>14259</v>
      </c>
      <c r="J1609" s="2">
        <v>57949</v>
      </c>
      <c r="K1609" s="2" t="s">
        <v>14260</v>
      </c>
      <c r="L1609" s="2">
        <v>42621273</v>
      </c>
      <c r="M1609" s="2"/>
      <c r="N1609" s="2"/>
      <c r="O1609" s="2"/>
      <c r="P1609" s="2"/>
      <c r="Q1609" s="2"/>
      <c r="R1609" s="2"/>
      <c r="S1609" s="2" t="s">
        <v>14261</v>
      </c>
      <c r="T1609" s="2" t="s">
        <v>14262</v>
      </c>
      <c r="U1609" s="2" t="s">
        <v>14263</v>
      </c>
      <c r="V1609" s="2" t="s">
        <v>95</v>
      </c>
      <c r="W1609" s="2" t="s">
        <v>152</v>
      </c>
      <c r="X1609" s="2" t="s">
        <v>2791</v>
      </c>
      <c r="Y1609" s="2" t="s">
        <v>98</v>
      </c>
      <c r="Z1609" s="2" t="s">
        <v>154</v>
      </c>
      <c r="AA1609" s="2" t="s">
        <v>2792</v>
      </c>
      <c r="AB1609" s="2" t="s">
        <v>8443</v>
      </c>
      <c r="AC1609" s="2">
        <v>42.77</v>
      </c>
      <c r="AD1609" s="2">
        <v>81.36</v>
      </c>
      <c r="AE1609" s="2">
        <v>40.61</v>
      </c>
      <c r="AF1609" s="2" t="s">
        <v>14264</v>
      </c>
      <c r="AG1609" s="2" t="s">
        <v>103</v>
      </c>
      <c r="AH1609" s="2" t="s">
        <v>14265</v>
      </c>
      <c r="AI1609" s="2">
        <v>0.39</v>
      </c>
      <c r="AJ1609" s="2">
        <v>17.615112325646901</v>
      </c>
      <c r="AK1609" s="2">
        <v>17.851755567390899</v>
      </c>
      <c r="AL1609" s="2">
        <v>17.867130482723098</v>
      </c>
      <c r="AM1609" s="2">
        <v>17.995989243113002</v>
      </c>
      <c r="AN1609" s="2">
        <v>17.9867578362594</v>
      </c>
      <c r="AO1609" s="2">
        <v>17.9151640262372</v>
      </c>
      <c r="AP1609" s="2">
        <v>17.6830209785508</v>
      </c>
      <c r="AQ1609" s="2">
        <v>17.549541782208699</v>
      </c>
      <c r="AR1609" s="2">
        <v>16.490945021049399</v>
      </c>
      <c r="AS1609" s="2">
        <v>9.6233145402724691</v>
      </c>
      <c r="AT1609" s="2">
        <v>18.447398837741702</v>
      </c>
      <c r="AU1609" s="2">
        <v>17.071976277210901</v>
      </c>
      <c r="AV1609" s="2">
        <v>17.726582925462001</v>
      </c>
      <c r="AW1609" s="2">
        <v>18.6645824892049</v>
      </c>
      <c r="AX1609" s="2">
        <v>15.8062923345401</v>
      </c>
      <c r="AY1609" s="2">
        <v>14.709403191084901</v>
      </c>
      <c r="AZ1609" s="2">
        <v>18.2520776935228</v>
      </c>
      <c r="BA1609" s="2">
        <v>14.6781599575428</v>
      </c>
      <c r="BB1609" s="2">
        <v>18.036373633077599</v>
      </c>
      <c r="BC1609" s="2">
        <v>18.512859455858798</v>
      </c>
      <c r="BD1609" s="2">
        <v>16.449326326888599</v>
      </c>
      <c r="BE1609" s="2">
        <v>18.200886730641098</v>
      </c>
      <c r="BF1609" s="2">
        <v>9.6233145402724691</v>
      </c>
      <c r="BG1609" s="2">
        <v>18.827546182982299</v>
      </c>
      <c r="BH1609" s="2">
        <v>9.6233145402724691</v>
      </c>
      <c r="BI1609" s="2">
        <v>14.665842192981399</v>
      </c>
      <c r="BJ1609" s="2">
        <v>17.7970006880768</v>
      </c>
      <c r="BK1609" s="2">
        <v>16.723102149138398</v>
      </c>
      <c r="BL1609" s="2">
        <v>17.095983122215699</v>
      </c>
      <c r="BM1609" s="2">
        <v>16.2480474487968</v>
      </c>
      <c r="BN1609" s="2">
        <v>17.6039529947526</v>
      </c>
      <c r="BO1609" s="2">
        <v>17.3600497474498</v>
      </c>
      <c r="BP1609" s="2">
        <v>17.170845079643399</v>
      </c>
      <c r="BQ1609" s="2">
        <v>17.718798005783199</v>
      </c>
      <c r="BR1609" s="2">
        <v>17.693741418599899</v>
      </c>
      <c r="BS1609" s="2">
        <v>17.007728552555601</v>
      </c>
      <c r="BT1609" s="2">
        <v>16.748076857907201</v>
      </c>
      <c r="BU1609" s="2">
        <v>16.5831364032083</v>
      </c>
      <c r="BV1609" s="2">
        <v>18.208641459421798</v>
      </c>
      <c r="BW1609" s="2">
        <v>15.8721130816308</v>
      </c>
      <c r="BX1609" s="2">
        <v>17.2931667143692</v>
      </c>
      <c r="BY1609" s="2">
        <v>18.586731983401499</v>
      </c>
      <c r="BZ1609" s="2">
        <v>17.3170616314071</v>
      </c>
      <c r="CA1609" s="2">
        <v>9.6233145402724691</v>
      </c>
      <c r="CB1609" s="2">
        <v>16.0651556619604</v>
      </c>
      <c r="CC1609" s="2">
        <v>18.470342868652299</v>
      </c>
      <c r="CD1609" s="2">
        <v>17.564161103443499</v>
      </c>
      <c r="CE1609" s="2">
        <v>16.761777285088201</v>
      </c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</row>
    <row r="1610" spans="1:97">
      <c r="A1610" s="2" t="s">
        <v>14266</v>
      </c>
      <c r="B1610" s="2">
        <v>283.00975</v>
      </c>
      <c r="C1610" s="2">
        <v>3.7250000000000001</v>
      </c>
      <c r="D1610" s="2" t="s">
        <v>146</v>
      </c>
      <c r="E1610" s="2" t="s">
        <v>14267</v>
      </c>
      <c r="F1610" s="2" t="s">
        <v>14268</v>
      </c>
      <c r="G1610" s="2">
        <v>204011</v>
      </c>
      <c r="H1610" s="3" t="str">
        <f>HYPERLINK("https://cloud.oebiotech.com/#/lm/network/204011", "https://cloud.oebiotech.com/#/lm/network/204011")</f>
        <v>https://cloud.oebiotech.com/#/lm/network/204011</v>
      </c>
      <c r="I1610" s="2" t="s">
        <v>14269</v>
      </c>
      <c r="J1610" s="2">
        <v>330574</v>
      </c>
      <c r="K1610" s="2"/>
      <c r="L1610" s="2">
        <v>12057</v>
      </c>
      <c r="M1610" s="2"/>
      <c r="N1610" s="2"/>
      <c r="O1610" s="2"/>
      <c r="P1610" s="2">
        <v>32404</v>
      </c>
      <c r="Q1610" s="2"/>
      <c r="R1610" s="2"/>
      <c r="S1610" s="2"/>
      <c r="T1610" s="2" t="s">
        <v>14270</v>
      </c>
      <c r="U1610" s="2" t="s">
        <v>14271</v>
      </c>
      <c r="V1610" s="2" t="s">
        <v>385</v>
      </c>
      <c r="W1610" s="2" t="s">
        <v>386</v>
      </c>
      <c r="X1610" s="2" t="s">
        <v>375</v>
      </c>
      <c r="Y1610" s="2" t="s">
        <v>388</v>
      </c>
      <c r="Z1610" s="2" t="s">
        <v>389</v>
      </c>
      <c r="AA1610" s="2"/>
      <c r="AB1610" s="2" t="s">
        <v>8443</v>
      </c>
      <c r="AC1610" s="2">
        <v>42.75</v>
      </c>
      <c r="AD1610" s="2">
        <v>85.47</v>
      </c>
      <c r="AE1610" s="2">
        <v>0</v>
      </c>
      <c r="AF1610" s="2" t="s">
        <v>14272</v>
      </c>
      <c r="AG1610" s="2" t="s">
        <v>3880</v>
      </c>
      <c r="AH1610" s="2" t="s">
        <v>14273</v>
      </c>
      <c r="AI1610" s="2">
        <v>2.4700000000000002</v>
      </c>
      <c r="AJ1610" s="2">
        <v>21.6137071859423</v>
      </c>
      <c r="AK1610" s="2">
        <v>21.831372544231101</v>
      </c>
      <c r="AL1610" s="2">
        <v>21.742549185157198</v>
      </c>
      <c r="AM1610" s="2">
        <v>21.6855909560187</v>
      </c>
      <c r="AN1610" s="2">
        <v>21.764711353912599</v>
      </c>
      <c r="AO1610" s="2">
        <v>21.671573463720801</v>
      </c>
      <c r="AP1610" s="2">
        <v>21.619849906314599</v>
      </c>
      <c r="AQ1610" s="2">
        <v>21.566249563041801</v>
      </c>
      <c r="AR1610" s="2">
        <v>21.423549684090499</v>
      </c>
      <c r="AS1610" s="2">
        <v>21.450584591962201</v>
      </c>
      <c r="AT1610" s="2">
        <v>21.656846357663401</v>
      </c>
      <c r="AU1610" s="2">
        <v>21.425361430895499</v>
      </c>
      <c r="AV1610" s="2">
        <v>21.728166040979598</v>
      </c>
      <c r="AW1610" s="2">
        <v>21.571147160096299</v>
      </c>
      <c r="AX1610" s="2">
        <v>21.640603415043099</v>
      </c>
      <c r="AY1610" s="2">
        <v>21.849503627680001</v>
      </c>
      <c r="AZ1610" s="2">
        <v>21.7094855446426</v>
      </c>
      <c r="BA1610" s="2">
        <v>21.430792583006198</v>
      </c>
      <c r="BB1610" s="2">
        <v>21.817016892477</v>
      </c>
      <c r="BC1610" s="2">
        <v>21.699976867693699</v>
      </c>
      <c r="BD1610" s="2">
        <v>21.472335789051499</v>
      </c>
      <c r="BE1610" s="2">
        <v>21.5825745758723</v>
      </c>
      <c r="BF1610" s="2">
        <v>21.7497705445546</v>
      </c>
      <c r="BG1610" s="2">
        <v>21.7971846830151</v>
      </c>
      <c r="BH1610" s="2">
        <v>21.4585106584653</v>
      </c>
      <c r="BI1610" s="2">
        <v>21.424406470879202</v>
      </c>
      <c r="BJ1610" s="2">
        <v>21.7480350707655</v>
      </c>
      <c r="BK1610" s="2">
        <v>21.732158646008301</v>
      </c>
      <c r="BL1610" s="2">
        <v>21.638847378744899</v>
      </c>
      <c r="BM1610" s="2">
        <v>21.891611779725299</v>
      </c>
      <c r="BN1610" s="2">
        <v>21.628597790136698</v>
      </c>
      <c r="BO1610" s="2">
        <v>21.6841934518195</v>
      </c>
      <c r="BP1610" s="2">
        <v>21.651614836107399</v>
      </c>
      <c r="BQ1610" s="2">
        <v>21.778046841466399</v>
      </c>
      <c r="BR1610" s="2">
        <v>21.493239332463201</v>
      </c>
      <c r="BS1610" s="2">
        <v>21.478427162287201</v>
      </c>
      <c r="BT1610" s="2">
        <v>21.036866153270399</v>
      </c>
      <c r="BU1610" s="2">
        <v>21.340539565100499</v>
      </c>
      <c r="BV1610" s="2">
        <v>21.702875923165699</v>
      </c>
      <c r="BW1610" s="2">
        <v>21.5142722736278</v>
      </c>
      <c r="BX1610" s="2">
        <v>21.7848023002988</v>
      </c>
      <c r="BY1610" s="2">
        <v>21.391028181219799</v>
      </c>
      <c r="BZ1610" s="2">
        <v>21.825478605038601</v>
      </c>
      <c r="CA1610" s="2">
        <v>21.743599302158501</v>
      </c>
      <c r="CB1610" s="2">
        <v>21.599716361501699</v>
      </c>
      <c r="CC1610" s="2">
        <v>21.306078092904499</v>
      </c>
      <c r="CD1610" s="2">
        <v>21.75794875763</v>
      </c>
      <c r="CE1610" s="2">
        <v>21.707268529368001</v>
      </c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</row>
    <row r="1611" spans="1:97">
      <c r="A1611" s="2" t="s">
        <v>14274</v>
      </c>
      <c r="B1611" s="2">
        <v>370.25927000000001</v>
      </c>
      <c r="C1611" s="2">
        <v>13.682</v>
      </c>
      <c r="D1611" s="2" t="s">
        <v>146</v>
      </c>
      <c r="E1611" s="2" t="s">
        <v>14275</v>
      </c>
      <c r="F1611" s="2"/>
      <c r="G1611" s="2">
        <v>594951</v>
      </c>
      <c r="H1611" s="3" t="str">
        <f>HYPERLINK("https://cloud.oebiotech.com/#/lm/network/594951", "https://cloud.oebiotech.com/#/lm/network/594951")</f>
        <v>https://cloud.oebiotech.com/#/lm/network/594951</v>
      </c>
      <c r="I1611" s="2"/>
      <c r="J1611" s="2"/>
      <c r="K1611" s="2"/>
      <c r="L1611" s="2">
        <v>88056804</v>
      </c>
      <c r="M1611" s="2"/>
      <c r="N1611" s="2"/>
      <c r="O1611" s="2"/>
      <c r="P1611" s="2"/>
      <c r="Q1611" s="2"/>
      <c r="R1611" s="2"/>
      <c r="S1611" s="2"/>
      <c r="T1611" s="2" t="s">
        <v>14276</v>
      </c>
      <c r="U1611" s="2" t="s">
        <v>14277</v>
      </c>
      <c r="V1611" s="2" t="s">
        <v>95</v>
      </c>
      <c r="W1611" s="2" t="s">
        <v>96</v>
      </c>
      <c r="X1611" s="2" t="s">
        <v>141</v>
      </c>
      <c r="Y1611" s="2" t="s">
        <v>98</v>
      </c>
      <c r="Z1611" s="2" t="s">
        <v>99</v>
      </c>
      <c r="AA1611" s="2" t="s">
        <v>142</v>
      </c>
      <c r="AB1611" s="2" t="s">
        <v>8443</v>
      </c>
      <c r="AC1611" s="2">
        <v>42.72</v>
      </c>
      <c r="AD1611" s="2">
        <v>86.56</v>
      </c>
      <c r="AE1611" s="2">
        <v>37.68</v>
      </c>
      <c r="AF1611" s="2" t="s">
        <v>14278</v>
      </c>
      <c r="AG1611" s="2" t="s">
        <v>194</v>
      </c>
      <c r="AH1611" s="2" t="s">
        <v>14279</v>
      </c>
      <c r="AI1611" s="2">
        <v>1.62</v>
      </c>
      <c r="AJ1611" s="2">
        <v>17.833648015904501</v>
      </c>
      <c r="AK1611" s="2">
        <v>17.293990293559201</v>
      </c>
      <c r="AL1611" s="2">
        <v>17.598216248390202</v>
      </c>
      <c r="AM1611" s="2">
        <v>17.0140458681167</v>
      </c>
      <c r="AN1611" s="2">
        <v>17.571537648032098</v>
      </c>
      <c r="AO1611" s="2">
        <v>16.371120136794701</v>
      </c>
      <c r="AP1611" s="2">
        <v>17.218490206608301</v>
      </c>
      <c r="AQ1611" s="2">
        <v>17.475957014275298</v>
      </c>
      <c r="AR1611" s="2">
        <v>14.5576090886378</v>
      </c>
      <c r="AS1611" s="2">
        <v>16.187530311121499</v>
      </c>
      <c r="AT1611" s="2">
        <v>18.635614403060998</v>
      </c>
      <c r="AU1611" s="2">
        <v>16.841131621742601</v>
      </c>
      <c r="AV1611" s="2">
        <v>15.3121707181975</v>
      </c>
      <c r="AW1611" s="2">
        <v>15.1127477733441</v>
      </c>
      <c r="AX1611" s="2">
        <v>18.101647552611499</v>
      </c>
      <c r="AY1611" s="2">
        <v>14.7878592085286</v>
      </c>
      <c r="AZ1611" s="2">
        <v>12.586340198798901</v>
      </c>
      <c r="BA1611" s="2">
        <v>17.774197074236099</v>
      </c>
      <c r="BB1611" s="2">
        <v>16.226508529808701</v>
      </c>
      <c r="BC1611" s="2">
        <v>18.153234299426</v>
      </c>
      <c r="BD1611" s="2">
        <v>10.9296504724726</v>
      </c>
      <c r="BE1611" s="2">
        <v>13.963646611380099</v>
      </c>
      <c r="BF1611" s="2">
        <v>15.6159430948442</v>
      </c>
      <c r="BG1611" s="2">
        <v>17.2204032692946</v>
      </c>
      <c r="BH1611" s="2">
        <v>13.27127479995</v>
      </c>
      <c r="BI1611" s="2">
        <v>18.155478006908599</v>
      </c>
      <c r="BJ1611" s="2">
        <v>16.2451530576548</v>
      </c>
      <c r="BK1611" s="2">
        <v>12.9920319427385</v>
      </c>
      <c r="BL1611" s="2">
        <v>18.301243824527401</v>
      </c>
      <c r="BM1611" s="2">
        <v>16.126411879653901</v>
      </c>
      <c r="BN1611" s="2">
        <v>15.034760711397301</v>
      </c>
      <c r="BO1611" s="2">
        <v>17.6855799464226</v>
      </c>
      <c r="BP1611" s="2">
        <v>17.676246634161899</v>
      </c>
      <c r="BQ1611" s="2">
        <v>17.647686991527401</v>
      </c>
      <c r="BR1611" s="2">
        <v>17.713049082253999</v>
      </c>
      <c r="BS1611" s="2">
        <v>13.650054334783301</v>
      </c>
      <c r="BT1611" s="2">
        <v>16.600047188069301</v>
      </c>
      <c r="BU1611" s="2">
        <v>17.674226825862501</v>
      </c>
      <c r="BV1611" s="2">
        <v>17.904029844274099</v>
      </c>
      <c r="BW1611" s="2">
        <v>16.344845657242999</v>
      </c>
      <c r="BX1611" s="2">
        <v>16.975831626563401</v>
      </c>
      <c r="BY1611" s="2">
        <v>14.897856797903099</v>
      </c>
      <c r="BZ1611" s="2">
        <v>18.3960504029925</v>
      </c>
      <c r="CA1611" s="2">
        <v>15.447314764833401</v>
      </c>
      <c r="CB1611" s="2">
        <v>16.962756183270301</v>
      </c>
      <c r="CC1611" s="2">
        <v>18.281545356583099</v>
      </c>
      <c r="CD1611" s="2">
        <v>16.378136832316802</v>
      </c>
      <c r="CE1611" s="2">
        <v>18.350101635448102</v>
      </c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</row>
    <row r="1612" spans="1:97">
      <c r="A1612" s="2" t="s">
        <v>14280</v>
      </c>
      <c r="B1612" s="2">
        <v>301.14060999999998</v>
      </c>
      <c r="C1612" s="2">
        <v>9.6460000000000008</v>
      </c>
      <c r="D1612" s="2" t="s">
        <v>84</v>
      </c>
      <c r="E1612" s="2" t="s">
        <v>14281</v>
      </c>
      <c r="F1612" s="2" t="s">
        <v>4801</v>
      </c>
      <c r="G1612" s="2">
        <v>205828</v>
      </c>
      <c r="H1612" s="3" t="str">
        <f>HYPERLINK("https://cloud.oebiotech.com/#/lm/network/205828", "https://cloud.oebiotech.com/#/lm/network/205828")</f>
        <v>https://cloud.oebiotech.com/#/lm/network/205828</v>
      </c>
      <c r="I1612" s="2" t="s">
        <v>14282</v>
      </c>
      <c r="J1612" s="2"/>
      <c r="K1612" s="2"/>
      <c r="L1612" s="2">
        <v>19710891</v>
      </c>
      <c r="M1612" s="2"/>
      <c r="N1612" s="2"/>
      <c r="O1612" s="2"/>
      <c r="P1612" s="2"/>
      <c r="Q1612" s="2"/>
      <c r="R1612" s="2"/>
      <c r="S1612" s="2"/>
      <c r="T1612" s="2" t="s">
        <v>14283</v>
      </c>
      <c r="U1612" s="2" t="s">
        <v>14284</v>
      </c>
      <c r="V1612" s="2" t="s">
        <v>385</v>
      </c>
      <c r="W1612" s="2" t="s">
        <v>386</v>
      </c>
      <c r="X1612" s="2" t="s">
        <v>1059</v>
      </c>
      <c r="Y1612" s="2" t="s">
        <v>388</v>
      </c>
      <c r="Z1612" s="2" t="s">
        <v>389</v>
      </c>
      <c r="AA1612" s="2" t="s">
        <v>1060</v>
      </c>
      <c r="AB1612" s="2" t="s">
        <v>8443</v>
      </c>
      <c r="AC1612" s="2">
        <v>42.71</v>
      </c>
      <c r="AD1612" s="2">
        <v>71.86</v>
      </c>
      <c r="AE1612" s="2">
        <v>0</v>
      </c>
      <c r="AF1612" s="2" t="s">
        <v>14285</v>
      </c>
      <c r="AG1612" s="2" t="s">
        <v>1578</v>
      </c>
      <c r="AH1612" s="2" t="s">
        <v>4808</v>
      </c>
      <c r="AI1612" s="2">
        <v>1.33</v>
      </c>
      <c r="AJ1612" s="2">
        <v>23.3622080058874</v>
      </c>
      <c r="AK1612" s="2">
        <v>24.114679264786499</v>
      </c>
      <c r="AL1612" s="2">
        <v>24.0000787057132</v>
      </c>
      <c r="AM1612" s="2">
        <v>24.0065155725068</v>
      </c>
      <c r="AN1612" s="2">
        <v>24.024770269996299</v>
      </c>
      <c r="AO1612" s="2">
        <v>23.9640397724914</v>
      </c>
      <c r="AP1612" s="2">
        <v>23.850618785881998</v>
      </c>
      <c r="AQ1612" s="2">
        <v>23.417695674275201</v>
      </c>
      <c r="AR1612" s="2">
        <v>23.974178821784299</v>
      </c>
      <c r="AS1612" s="2">
        <v>24.0851817548063</v>
      </c>
      <c r="AT1612" s="2">
        <v>24.085170847186301</v>
      </c>
      <c r="AU1612" s="2">
        <v>24.1598744302499</v>
      </c>
      <c r="AV1612" s="2">
        <v>23.841420879376699</v>
      </c>
      <c r="AW1612" s="2">
        <v>23.989950124145</v>
      </c>
      <c r="AX1612" s="2">
        <v>24.116735072054301</v>
      </c>
      <c r="AY1612" s="2">
        <v>24.192546644506301</v>
      </c>
      <c r="AZ1612" s="2">
        <v>24.065726336390998</v>
      </c>
      <c r="BA1612" s="2">
        <v>23.993354947809699</v>
      </c>
      <c r="BB1612" s="2">
        <v>24.0420286751453</v>
      </c>
      <c r="BC1612" s="2">
        <v>24.141413529055701</v>
      </c>
      <c r="BD1612" s="2">
        <v>24.1036285054617</v>
      </c>
      <c r="BE1612" s="2">
        <v>24.085737533004899</v>
      </c>
      <c r="BF1612" s="2">
        <v>23.877669923450402</v>
      </c>
      <c r="BG1612" s="2">
        <v>24.036983834235102</v>
      </c>
      <c r="BH1612" s="2">
        <v>23.855114923178299</v>
      </c>
      <c r="BI1612" s="2">
        <v>23.942673867350798</v>
      </c>
      <c r="BJ1612" s="2">
        <v>23.991060469887501</v>
      </c>
      <c r="BK1612" s="2">
        <v>22.608242486311401</v>
      </c>
      <c r="BL1612" s="2">
        <v>24.033683233871098</v>
      </c>
      <c r="BM1612" s="2">
        <v>24.0377503946942</v>
      </c>
      <c r="BN1612" s="2">
        <v>24.0660871780027</v>
      </c>
      <c r="BO1612" s="2">
        <v>24.0623457122982</v>
      </c>
      <c r="BP1612" s="2">
        <v>23.806964127499</v>
      </c>
      <c r="BQ1612" s="2">
        <v>23.1396431968953</v>
      </c>
      <c r="BR1612" s="2">
        <v>24.058486259938</v>
      </c>
      <c r="BS1612" s="2">
        <v>23.979563973813899</v>
      </c>
      <c r="BT1612" s="2">
        <v>23.949219277707702</v>
      </c>
      <c r="BU1612" s="2">
        <v>23.935424209681901</v>
      </c>
      <c r="BV1612" s="2">
        <v>23.882322089138398</v>
      </c>
      <c r="BW1612" s="2">
        <v>23.954047620061601</v>
      </c>
      <c r="BX1612" s="2">
        <v>23.983579521660499</v>
      </c>
      <c r="BY1612" s="2">
        <v>23.913321315262401</v>
      </c>
      <c r="BZ1612" s="2">
        <v>23.8904662978731</v>
      </c>
      <c r="CA1612" s="2">
        <v>23.927539535411899</v>
      </c>
      <c r="CB1612" s="2">
        <v>23.889565178290201</v>
      </c>
      <c r="CC1612" s="2">
        <v>23.873447775528501</v>
      </c>
      <c r="CD1612" s="2">
        <v>23.854522081593299</v>
      </c>
      <c r="CE1612" s="2">
        <v>23.929444277854799</v>
      </c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</row>
    <row r="1613" spans="1:97">
      <c r="A1613" s="2" t="s">
        <v>14286</v>
      </c>
      <c r="B1613" s="2">
        <v>338.23199</v>
      </c>
      <c r="C1613" s="2">
        <v>6.6829999999999998</v>
      </c>
      <c r="D1613" s="2" t="s">
        <v>84</v>
      </c>
      <c r="E1613" s="2" t="s">
        <v>14287</v>
      </c>
      <c r="F1613" s="2" t="s">
        <v>14288</v>
      </c>
      <c r="G1613" s="2">
        <v>197796</v>
      </c>
      <c r="H1613" s="3" t="str">
        <f>HYPERLINK("https://cloud.oebiotech.com/#/lm/network/197796", "https://cloud.oebiotech.com/#/lm/network/197796")</f>
        <v>https://cloud.oebiotech.com/#/lm/network/197796</v>
      </c>
      <c r="I1613" s="2" t="s">
        <v>14289</v>
      </c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 t="s">
        <v>14290</v>
      </c>
      <c r="U1613" s="2" t="s">
        <v>14291</v>
      </c>
      <c r="V1613" s="2" t="s">
        <v>95</v>
      </c>
      <c r="W1613" s="2" t="s">
        <v>96</v>
      </c>
      <c r="X1613" s="2" t="s">
        <v>97</v>
      </c>
      <c r="Y1613" s="2" t="s">
        <v>98</v>
      </c>
      <c r="Z1613" s="2" t="s">
        <v>99</v>
      </c>
      <c r="AA1613" s="2" t="s">
        <v>100</v>
      </c>
      <c r="AB1613" s="2" t="s">
        <v>8443</v>
      </c>
      <c r="AC1613" s="2">
        <v>42.71</v>
      </c>
      <c r="AD1613" s="2">
        <v>87.26</v>
      </c>
      <c r="AE1613" s="2">
        <v>0</v>
      </c>
      <c r="AF1613" s="2" t="s">
        <v>14292</v>
      </c>
      <c r="AG1613" s="2" t="s">
        <v>1088</v>
      </c>
      <c r="AH1613" s="2" t="s">
        <v>14293</v>
      </c>
      <c r="AI1613" s="2">
        <v>3.55</v>
      </c>
      <c r="AJ1613" s="2">
        <v>17.781182567773602</v>
      </c>
      <c r="AK1613" s="2">
        <v>17.7142332402147</v>
      </c>
      <c r="AL1613" s="2">
        <v>17.001592917906901</v>
      </c>
      <c r="AM1613" s="2">
        <v>17.584948852113399</v>
      </c>
      <c r="AN1613" s="2">
        <v>17.7022586702636</v>
      </c>
      <c r="AO1613" s="2">
        <v>17.6784934761797</v>
      </c>
      <c r="AP1613" s="2">
        <v>17.828340315937599</v>
      </c>
      <c r="AQ1613" s="2">
        <v>17.7573130437838</v>
      </c>
      <c r="AR1613" s="2">
        <v>13.915182878890199</v>
      </c>
      <c r="AS1613" s="2">
        <v>15.8756639312099</v>
      </c>
      <c r="AT1613" s="2">
        <v>14.9974013558781</v>
      </c>
      <c r="AU1613" s="2">
        <v>15.360515857136299</v>
      </c>
      <c r="AV1613" s="2">
        <v>17.177189815988999</v>
      </c>
      <c r="AW1613" s="2">
        <v>18.0777746745682</v>
      </c>
      <c r="AX1613" s="2">
        <v>16.109276072994099</v>
      </c>
      <c r="AY1613" s="2">
        <v>18.965803727101001</v>
      </c>
      <c r="AZ1613" s="2">
        <v>17.304229113115099</v>
      </c>
      <c r="BA1613" s="2">
        <v>16.666728164362201</v>
      </c>
      <c r="BB1613" s="2">
        <v>18.623185773915999</v>
      </c>
      <c r="BC1613" s="2">
        <v>17.124356106368101</v>
      </c>
      <c r="BD1613" s="2">
        <v>15.454072408643199</v>
      </c>
      <c r="BE1613" s="2">
        <v>17.144650775240802</v>
      </c>
      <c r="BF1613" s="2">
        <v>17.043180476341199</v>
      </c>
      <c r="BG1613" s="2">
        <v>17.199347498697001</v>
      </c>
      <c r="BH1613" s="2">
        <v>14.6371342767171</v>
      </c>
      <c r="BI1613" s="2">
        <v>16.080674316699199</v>
      </c>
      <c r="BJ1613" s="2">
        <v>17.5506392555113</v>
      </c>
      <c r="BK1613" s="2">
        <v>9.6233145402724691</v>
      </c>
      <c r="BL1613" s="2">
        <v>9.6233145402724691</v>
      </c>
      <c r="BM1613" s="2">
        <v>17.463513277784799</v>
      </c>
      <c r="BN1613" s="2">
        <v>15.9037839560085</v>
      </c>
      <c r="BO1613" s="2">
        <v>17.896118261626601</v>
      </c>
      <c r="BP1613" s="2">
        <v>16.510397792800301</v>
      </c>
      <c r="BQ1613" s="2">
        <v>17.969913887831499</v>
      </c>
      <c r="BR1613" s="2">
        <v>17.181422698004098</v>
      </c>
      <c r="BS1613" s="2">
        <v>18.663919747180799</v>
      </c>
      <c r="BT1613" s="2">
        <v>18.454533291628898</v>
      </c>
      <c r="BU1613" s="2">
        <v>16.917479074769702</v>
      </c>
      <c r="BV1613" s="2">
        <v>17.9717362940779</v>
      </c>
      <c r="BW1613" s="2">
        <v>16.033768620161801</v>
      </c>
      <c r="BX1613" s="2">
        <v>14.9200564508907</v>
      </c>
      <c r="BY1613" s="2">
        <v>17.434944254902899</v>
      </c>
      <c r="BZ1613" s="2">
        <v>17.503092778013301</v>
      </c>
      <c r="CA1613" s="2">
        <v>16.380521097216199</v>
      </c>
      <c r="CB1613" s="2">
        <v>16.7919691924149</v>
      </c>
      <c r="CC1613" s="2">
        <v>14.6359300657712</v>
      </c>
      <c r="CD1613" s="2">
        <v>13.812088037000001</v>
      </c>
      <c r="CE1613" s="2">
        <v>9.6233145402724691</v>
      </c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</row>
    <row r="1614" spans="1:97">
      <c r="A1614" s="2" t="s">
        <v>14294</v>
      </c>
      <c r="B1614" s="2">
        <v>255.03961000000001</v>
      </c>
      <c r="C1614" s="2">
        <v>1.0640000000000001</v>
      </c>
      <c r="D1614" s="2" t="s">
        <v>146</v>
      </c>
      <c r="E1614" s="2" t="s">
        <v>14295</v>
      </c>
      <c r="F1614" s="2" t="s">
        <v>14296</v>
      </c>
      <c r="G1614" s="2">
        <v>53799</v>
      </c>
      <c r="H1614" s="3" t="str">
        <f>HYPERLINK("https://cloud.oebiotech.com/#/lm/network/53799", "https://cloud.oebiotech.com/#/lm/network/53799")</f>
        <v>https://cloud.oebiotech.com/#/lm/network/53799</v>
      </c>
      <c r="I1614" s="2" t="s">
        <v>14297</v>
      </c>
      <c r="J1614" s="2"/>
      <c r="K1614" s="2"/>
      <c r="L1614" s="2">
        <v>13932398</v>
      </c>
      <c r="M1614" s="2"/>
      <c r="N1614" s="2"/>
      <c r="O1614" s="2"/>
      <c r="P1614" s="2"/>
      <c r="Q1614" s="2"/>
      <c r="R1614" s="2"/>
      <c r="S1614" s="2"/>
      <c r="T1614" s="2" t="s">
        <v>14298</v>
      </c>
      <c r="U1614" s="2" t="s">
        <v>14299</v>
      </c>
      <c r="V1614" s="2" t="s">
        <v>115</v>
      </c>
      <c r="W1614" s="2" t="s">
        <v>116</v>
      </c>
      <c r="X1614" s="2" t="s">
        <v>117</v>
      </c>
      <c r="Y1614" s="2" t="s">
        <v>118</v>
      </c>
      <c r="Z1614" s="2" t="s">
        <v>119</v>
      </c>
      <c r="AA1614" s="2" t="s">
        <v>120</v>
      </c>
      <c r="AB1614" s="2" t="s">
        <v>5118</v>
      </c>
      <c r="AC1614" s="2">
        <v>42.69</v>
      </c>
      <c r="AD1614" s="2">
        <v>77.87</v>
      </c>
      <c r="AE1614" s="2">
        <v>55.32</v>
      </c>
      <c r="AF1614" s="2" t="s">
        <v>14300</v>
      </c>
      <c r="AG1614" s="2" t="s">
        <v>4062</v>
      </c>
      <c r="AH1614" s="2" t="s">
        <v>14301</v>
      </c>
      <c r="AI1614" s="2">
        <v>-2.74</v>
      </c>
      <c r="AJ1614" s="2">
        <v>20.8903121173432</v>
      </c>
      <c r="AK1614" s="2">
        <v>20.8389277761942</v>
      </c>
      <c r="AL1614" s="2">
        <v>20.959301748757898</v>
      </c>
      <c r="AM1614" s="2">
        <v>20.8448476109285</v>
      </c>
      <c r="AN1614" s="2">
        <v>20.7627231635445</v>
      </c>
      <c r="AO1614" s="2">
        <v>20.908593163588801</v>
      </c>
      <c r="AP1614" s="2">
        <v>20.835569759977599</v>
      </c>
      <c r="AQ1614" s="2">
        <v>20.926106123508699</v>
      </c>
      <c r="AR1614" s="2">
        <v>20.966491855885099</v>
      </c>
      <c r="AS1614" s="2">
        <v>21.018420569796</v>
      </c>
      <c r="AT1614" s="2">
        <v>20.9590898666833</v>
      </c>
      <c r="AU1614" s="2">
        <v>20.357758511303</v>
      </c>
      <c r="AV1614" s="2">
        <v>20.587943871976002</v>
      </c>
      <c r="AW1614" s="2">
        <v>21.0924974097783</v>
      </c>
      <c r="AX1614" s="2">
        <v>20.937686930146299</v>
      </c>
      <c r="AY1614" s="2">
        <v>20.9389147921876</v>
      </c>
      <c r="AZ1614" s="2">
        <v>20.505613172813401</v>
      </c>
      <c r="BA1614" s="2">
        <v>20.445391435106298</v>
      </c>
      <c r="BB1614" s="2">
        <v>20.874986554055599</v>
      </c>
      <c r="BC1614" s="2">
        <v>19.9353115284658</v>
      </c>
      <c r="BD1614" s="2">
        <v>21.035890480023099</v>
      </c>
      <c r="BE1614" s="2">
        <v>20.535457959575599</v>
      </c>
      <c r="BF1614" s="2">
        <v>21.099276176549498</v>
      </c>
      <c r="BG1614" s="2">
        <v>20.9670702388999</v>
      </c>
      <c r="BH1614" s="2">
        <v>20.680466349035701</v>
      </c>
      <c r="BI1614" s="2">
        <v>20.872897654257201</v>
      </c>
      <c r="BJ1614" s="2">
        <v>20.9571654398537</v>
      </c>
      <c r="BK1614" s="2">
        <v>20.952629570138299</v>
      </c>
      <c r="BL1614" s="2">
        <v>20.883220217273699</v>
      </c>
      <c r="BM1614" s="2">
        <v>20.206966391174799</v>
      </c>
      <c r="BN1614" s="2">
        <v>20.578673408844001</v>
      </c>
      <c r="BO1614" s="2">
        <v>20.236164651703799</v>
      </c>
      <c r="BP1614" s="2">
        <v>20.985920986449401</v>
      </c>
      <c r="BQ1614" s="2">
        <v>20.727096314063299</v>
      </c>
      <c r="BR1614" s="2">
        <v>20.752823686161999</v>
      </c>
      <c r="BS1614" s="2">
        <v>20.915454296226201</v>
      </c>
      <c r="BT1614" s="2">
        <v>20.376907864459501</v>
      </c>
      <c r="BU1614" s="2">
        <v>21.241187767322501</v>
      </c>
      <c r="BV1614" s="2">
        <v>20.7847456509799</v>
      </c>
      <c r="BW1614" s="2">
        <v>20.1485701984105</v>
      </c>
      <c r="BX1614" s="2">
        <v>20.106924552863099</v>
      </c>
      <c r="BY1614" s="2">
        <v>20.788823481302899</v>
      </c>
      <c r="BZ1614" s="2">
        <v>20.515323134546499</v>
      </c>
      <c r="CA1614" s="2">
        <v>21.080556340457299</v>
      </c>
      <c r="CB1614" s="2">
        <v>20.573922189075699</v>
      </c>
      <c r="CC1614" s="2">
        <v>20.954092337691101</v>
      </c>
      <c r="CD1614" s="2">
        <v>20.731675044694899</v>
      </c>
      <c r="CE1614" s="2">
        <v>20.9961900087463</v>
      </c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</row>
    <row r="1615" spans="1:97">
      <c r="A1615" s="2" t="s">
        <v>14302</v>
      </c>
      <c r="B1615" s="2">
        <v>214.06270000000001</v>
      </c>
      <c r="C1615" s="2">
        <v>4.42</v>
      </c>
      <c r="D1615" s="2" t="s">
        <v>84</v>
      </c>
      <c r="E1615" s="2" t="s">
        <v>14303</v>
      </c>
      <c r="F1615" s="2" t="s">
        <v>14304</v>
      </c>
      <c r="G1615" s="2">
        <v>208663</v>
      </c>
      <c r="H1615" s="3" t="str">
        <f>HYPERLINK("https://cloud.oebiotech.com/#/lm/network/208663", "https://cloud.oebiotech.com/#/lm/network/208663")</f>
        <v>https://cloud.oebiotech.com/#/lm/network/208663</v>
      </c>
      <c r="I1615" s="2" t="s">
        <v>14305</v>
      </c>
      <c r="J1615" s="2"/>
      <c r="K1615" s="2"/>
      <c r="L1615" s="2">
        <v>26532</v>
      </c>
      <c r="M1615" s="2"/>
      <c r="N1615" s="2"/>
      <c r="O1615" s="2"/>
      <c r="P1615" s="2"/>
      <c r="Q1615" s="2"/>
      <c r="R1615" s="2"/>
      <c r="S1615" s="2"/>
      <c r="T1615" s="2" t="s">
        <v>14306</v>
      </c>
      <c r="U1615" s="2" t="s">
        <v>14307</v>
      </c>
      <c r="V1615" s="2" t="s">
        <v>115</v>
      </c>
      <c r="W1615" s="2" t="s">
        <v>116</v>
      </c>
      <c r="X1615" s="2" t="s">
        <v>117</v>
      </c>
      <c r="Y1615" s="2" t="s">
        <v>118</v>
      </c>
      <c r="Z1615" s="2" t="s">
        <v>119</v>
      </c>
      <c r="AA1615" s="2" t="s">
        <v>120</v>
      </c>
      <c r="AB1615" s="2" t="s">
        <v>5118</v>
      </c>
      <c r="AC1615" s="2">
        <v>42.69</v>
      </c>
      <c r="AD1615" s="2">
        <v>76.16</v>
      </c>
      <c r="AE1615" s="2">
        <v>46.59</v>
      </c>
      <c r="AF1615" s="2" t="s">
        <v>14308</v>
      </c>
      <c r="AG1615" s="2" t="s">
        <v>103</v>
      </c>
      <c r="AH1615" s="2" t="s">
        <v>14309</v>
      </c>
      <c r="AI1615" s="2">
        <v>0.93</v>
      </c>
      <c r="AJ1615" s="2">
        <v>20.228623664581502</v>
      </c>
      <c r="AK1615" s="2">
        <v>20.373948811994801</v>
      </c>
      <c r="AL1615" s="2">
        <v>20.0975931289173</v>
      </c>
      <c r="AM1615" s="2">
        <v>20.3659975051483</v>
      </c>
      <c r="AN1615" s="2">
        <v>20.204293125965201</v>
      </c>
      <c r="AO1615" s="2">
        <v>20.1366818881794</v>
      </c>
      <c r="AP1615" s="2">
        <v>20.194158905400101</v>
      </c>
      <c r="AQ1615" s="2">
        <v>19.992460882639701</v>
      </c>
      <c r="AR1615" s="2">
        <v>20.253179478810299</v>
      </c>
      <c r="AS1615" s="2">
        <v>19.9188367477234</v>
      </c>
      <c r="AT1615" s="2">
        <v>19.927443335529599</v>
      </c>
      <c r="AU1615" s="2">
        <v>20.2369654342451</v>
      </c>
      <c r="AV1615" s="2">
        <v>20.085848250384199</v>
      </c>
      <c r="AW1615" s="2">
        <v>20.054908940772201</v>
      </c>
      <c r="AX1615" s="2">
        <v>19.892276801748899</v>
      </c>
      <c r="AY1615" s="2">
        <v>19.931552021517199</v>
      </c>
      <c r="AZ1615" s="2">
        <v>20.0179364071235</v>
      </c>
      <c r="BA1615" s="2">
        <v>20.044963630151901</v>
      </c>
      <c r="BB1615" s="2">
        <v>19.903003556790601</v>
      </c>
      <c r="BC1615" s="2">
        <v>19.9434580044332</v>
      </c>
      <c r="BD1615" s="2">
        <v>19.970221223281101</v>
      </c>
      <c r="BE1615" s="2">
        <v>19.955714930288998</v>
      </c>
      <c r="BF1615" s="2">
        <v>19.896603850542601</v>
      </c>
      <c r="BG1615" s="2">
        <v>19.817029762617999</v>
      </c>
      <c r="BH1615" s="2">
        <v>19.803395756825701</v>
      </c>
      <c r="BI1615" s="2">
        <v>20.0617535377161</v>
      </c>
      <c r="BJ1615" s="2">
        <v>19.712124044255901</v>
      </c>
      <c r="BK1615" s="2">
        <v>20.156366442392802</v>
      </c>
      <c r="BL1615" s="2">
        <v>19.887854398693499</v>
      </c>
      <c r="BM1615" s="2">
        <v>20.056080259048301</v>
      </c>
      <c r="BN1615" s="2">
        <v>19.998498222848099</v>
      </c>
      <c r="BO1615" s="2">
        <v>20.084537626156099</v>
      </c>
      <c r="BP1615" s="2">
        <v>20.036184467612099</v>
      </c>
      <c r="BQ1615" s="2">
        <v>20.081798831918601</v>
      </c>
      <c r="BR1615" s="2">
        <v>20.0596144734488</v>
      </c>
      <c r="BS1615" s="2">
        <v>20.080631030589799</v>
      </c>
      <c r="BT1615" s="2">
        <v>20.0691083042652</v>
      </c>
      <c r="BU1615" s="2">
        <v>20.1184680948768</v>
      </c>
      <c r="BV1615" s="2">
        <v>20.167811231574699</v>
      </c>
      <c r="BW1615" s="2">
        <v>19.836870633660201</v>
      </c>
      <c r="BX1615" s="2">
        <v>19.9751556589713</v>
      </c>
      <c r="BY1615" s="2">
        <v>19.901296541368101</v>
      </c>
      <c r="BZ1615" s="2">
        <v>19.927524210846101</v>
      </c>
      <c r="CA1615" s="2">
        <v>19.858391622714901</v>
      </c>
      <c r="CB1615" s="2">
        <v>20.040851558798501</v>
      </c>
      <c r="CC1615" s="2">
        <v>20.202808822685999</v>
      </c>
      <c r="CD1615" s="2">
        <v>20.000729214737198</v>
      </c>
      <c r="CE1615" s="2">
        <v>20.124496232727601</v>
      </c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</row>
    <row r="1616" spans="1:97">
      <c r="A1616" s="2" t="s">
        <v>14310</v>
      </c>
      <c r="B1616" s="2">
        <v>369.17345</v>
      </c>
      <c r="C1616" s="2">
        <v>6.5039999999999996</v>
      </c>
      <c r="D1616" s="2" t="s">
        <v>146</v>
      </c>
      <c r="E1616" s="2" t="s">
        <v>14311</v>
      </c>
      <c r="F1616" s="2" t="s">
        <v>14312</v>
      </c>
      <c r="G1616" s="2">
        <v>212935</v>
      </c>
      <c r="H1616" s="3" t="str">
        <f>HYPERLINK("https://cloud.oebiotech.com/#/lm/network/212935", "https://cloud.oebiotech.com/#/lm/network/212935")</f>
        <v>https://cloud.oebiotech.com/#/lm/network/212935</v>
      </c>
      <c r="I1616" s="2" t="s">
        <v>14313</v>
      </c>
      <c r="J1616" s="2"/>
      <c r="K1616" s="2"/>
      <c r="L1616" s="2">
        <v>10314851</v>
      </c>
      <c r="M1616" s="2"/>
      <c r="N1616" s="2"/>
      <c r="O1616" s="2"/>
      <c r="P1616" s="2"/>
      <c r="Q1616" s="2"/>
      <c r="R1616" s="2"/>
      <c r="S1616" s="2"/>
      <c r="T1616" s="2" t="s">
        <v>14314</v>
      </c>
      <c r="U1616" s="2" t="s">
        <v>14315</v>
      </c>
      <c r="V1616" s="2" t="s">
        <v>385</v>
      </c>
      <c r="W1616" s="2" t="s">
        <v>386</v>
      </c>
      <c r="X1616" s="2" t="s">
        <v>8386</v>
      </c>
      <c r="Y1616" s="2" t="s">
        <v>388</v>
      </c>
      <c r="Z1616" s="2" t="s">
        <v>389</v>
      </c>
      <c r="AA1616" s="2" t="s">
        <v>8387</v>
      </c>
      <c r="AB1616" s="2" t="s">
        <v>8443</v>
      </c>
      <c r="AC1616" s="2">
        <v>42.66</v>
      </c>
      <c r="AD1616" s="2">
        <v>77.63</v>
      </c>
      <c r="AE1616" s="2">
        <v>0</v>
      </c>
      <c r="AF1616" s="2" t="s">
        <v>14316</v>
      </c>
      <c r="AG1616" s="2" t="s">
        <v>4062</v>
      </c>
      <c r="AH1616" s="2" t="s">
        <v>14317</v>
      </c>
      <c r="AI1616" s="2">
        <v>1.08</v>
      </c>
      <c r="AJ1616" s="2">
        <v>21.9196845395041</v>
      </c>
      <c r="AK1616" s="2">
        <v>21.963051517468301</v>
      </c>
      <c r="AL1616" s="2">
        <v>21.941351469298901</v>
      </c>
      <c r="AM1616" s="2">
        <v>22.179999070429499</v>
      </c>
      <c r="AN1616" s="2">
        <v>22.051304578382901</v>
      </c>
      <c r="AO1616" s="2">
        <v>21.991664401824099</v>
      </c>
      <c r="AP1616" s="2">
        <v>22.028852420278099</v>
      </c>
      <c r="AQ1616" s="2">
        <v>21.916072882930301</v>
      </c>
      <c r="AR1616" s="2">
        <v>21.249356120021101</v>
      </c>
      <c r="AS1616" s="2">
        <v>19.344925085720899</v>
      </c>
      <c r="AT1616" s="2">
        <v>20.974318765850001</v>
      </c>
      <c r="AU1616" s="2">
        <v>21.204100303874199</v>
      </c>
      <c r="AV1616" s="2">
        <v>22.9006798629607</v>
      </c>
      <c r="AW1616" s="2">
        <v>22.7490145076953</v>
      </c>
      <c r="AX1616" s="2">
        <v>22.590497121252099</v>
      </c>
      <c r="AY1616" s="2">
        <v>22.681422586443901</v>
      </c>
      <c r="AZ1616" s="2">
        <v>21.394988605732902</v>
      </c>
      <c r="BA1616" s="2">
        <v>21.527942468109099</v>
      </c>
      <c r="BB1616" s="2">
        <v>20.766620458752801</v>
      </c>
      <c r="BC1616" s="2">
        <v>23.458859246912098</v>
      </c>
      <c r="BD1616" s="2">
        <v>21.869817277916599</v>
      </c>
      <c r="BE1616" s="2">
        <v>22.5717816863576</v>
      </c>
      <c r="BF1616" s="2">
        <v>21.641097913825998</v>
      </c>
      <c r="BG1616" s="2">
        <v>23.191220906001</v>
      </c>
      <c r="BH1616" s="2">
        <v>21.381284122493199</v>
      </c>
      <c r="BI1616" s="2">
        <v>20.741031162960802</v>
      </c>
      <c r="BJ1616" s="2">
        <v>21.7242566634573</v>
      </c>
      <c r="BK1616" s="2">
        <v>22.065938407904099</v>
      </c>
      <c r="BL1616" s="2">
        <v>21.1622772552202</v>
      </c>
      <c r="BM1616" s="2">
        <v>20.0238798885511</v>
      </c>
      <c r="BN1616" s="2">
        <v>20.4954468812554</v>
      </c>
      <c r="BO1616" s="2">
        <v>21.6178290075941</v>
      </c>
      <c r="BP1616" s="2">
        <v>23.199607547993299</v>
      </c>
      <c r="BQ1616" s="2">
        <v>20.796286561991199</v>
      </c>
      <c r="BR1616" s="2">
        <v>22.718791710854902</v>
      </c>
      <c r="BS1616" s="2">
        <v>22.623794715726302</v>
      </c>
      <c r="BT1616" s="2">
        <v>20.965946240631698</v>
      </c>
      <c r="BU1616" s="2">
        <v>20.6459402516127</v>
      </c>
      <c r="BV1616" s="2">
        <v>19.593655001838801</v>
      </c>
      <c r="BW1616" s="2">
        <v>22.251542714473999</v>
      </c>
      <c r="BX1616" s="2">
        <v>21.799297113605</v>
      </c>
      <c r="BY1616" s="2">
        <v>23.369251097036301</v>
      </c>
      <c r="BZ1616" s="2">
        <v>20.870128516856301</v>
      </c>
      <c r="CA1616" s="2">
        <v>20.046518018961599</v>
      </c>
      <c r="CB1616" s="2">
        <v>22.446377038067901</v>
      </c>
      <c r="CC1616" s="2">
        <v>20.7859497935641</v>
      </c>
      <c r="CD1616" s="2">
        <v>21.823211850357001</v>
      </c>
      <c r="CE1616" s="2">
        <v>22.562796347620399</v>
      </c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</row>
    <row r="1617" spans="1:97">
      <c r="A1617" s="2" t="s">
        <v>14318</v>
      </c>
      <c r="B1617" s="2">
        <v>223.14147</v>
      </c>
      <c r="C1617" s="2">
        <v>4.4059999999999997</v>
      </c>
      <c r="D1617" s="2" t="s">
        <v>84</v>
      </c>
      <c r="E1617" s="2" t="s">
        <v>14319</v>
      </c>
      <c r="F1617" s="2" t="s">
        <v>14320</v>
      </c>
      <c r="G1617" s="2">
        <v>64919</v>
      </c>
      <c r="H1617" s="3" t="str">
        <f>HYPERLINK("https://cloud.oebiotech.com/#/lm/network/64919", "https://cloud.oebiotech.com/#/lm/network/64919")</f>
        <v>https://cloud.oebiotech.com/#/lm/network/64919</v>
      </c>
      <c r="I1617" s="2" t="s">
        <v>14321</v>
      </c>
      <c r="J1617" s="2">
        <v>96170</v>
      </c>
      <c r="K1617" s="2"/>
      <c r="L1617" s="2">
        <v>3616</v>
      </c>
      <c r="M1617" s="2"/>
      <c r="N1617" s="2"/>
      <c r="O1617" s="2"/>
      <c r="P1617" s="2"/>
      <c r="Q1617" s="2"/>
      <c r="R1617" s="2"/>
      <c r="S1617" s="2" t="s">
        <v>14322</v>
      </c>
      <c r="T1617" s="2" t="s">
        <v>14323</v>
      </c>
      <c r="U1617" s="2" t="s">
        <v>14324</v>
      </c>
      <c r="V1617" s="2" t="s">
        <v>115</v>
      </c>
      <c r="W1617" s="2" t="s">
        <v>4313</v>
      </c>
      <c r="X1617" s="2" t="s">
        <v>4314</v>
      </c>
      <c r="Y1617" s="2" t="s">
        <v>118</v>
      </c>
      <c r="Z1617" s="2" t="s">
        <v>4315</v>
      </c>
      <c r="AA1617" s="2" t="s">
        <v>4316</v>
      </c>
      <c r="AB1617" s="2" t="s">
        <v>8443</v>
      </c>
      <c r="AC1617" s="2">
        <v>42.63</v>
      </c>
      <c r="AD1617" s="2">
        <v>75.41</v>
      </c>
      <c r="AE1617" s="2">
        <v>0</v>
      </c>
      <c r="AF1617" s="2" t="s">
        <v>5614</v>
      </c>
      <c r="AG1617" s="2" t="s">
        <v>1578</v>
      </c>
      <c r="AH1617" s="2" t="s">
        <v>14325</v>
      </c>
      <c r="AI1617" s="2">
        <v>0.9</v>
      </c>
      <c r="AJ1617" s="2">
        <v>18.035863249457599</v>
      </c>
      <c r="AK1617" s="2">
        <v>18.186052078092299</v>
      </c>
      <c r="AL1617" s="2">
        <v>17.659498779739302</v>
      </c>
      <c r="AM1617" s="2">
        <v>18.115088012108199</v>
      </c>
      <c r="AN1617" s="2">
        <v>18.424049718103198</v>
      </c>
      <c r="AO1617" s="2">
        <v>18.162964455251402</v>
      </c>
      <c r="AP1617" s="2">
        <v>18.169728282683099</v>
      </c>
      <c r="AQ1617" s="2">
        <v>18.1360984106282</v>
      </c>
      <c r="AR1617" s="2">
        <v>17.941570933244801</v>
      </c>
      <c r="AS1617" s="2">
        <v>18.2733571632156</v>
      </c>
      <c r="AT1617" s="2">
        <v>17.550273398556399</v>
      </c>
      <c r="AU1617" s="2">
        <v>17.315105415140899</v>
      </c>
      <c r="AV1617" s="2">
        <v>16.306509435160098</v>
      </c>
      <c r="AW1617" s="2">
        <v>18.268364174399601</v>
      </c>
      <c r="AX1617" s="2">
        <v>16.8928512109763</v>
      </c>
      <c r="AY1617" s="2">
        <v>17.251277316469299</v>
      </c>
      <c r="AZ1617" s="2">
        <v>17.759793474651001</v>
      </c>
      <c r="BA1617" s="2">
        <v>17.502673954054799</v>
      </c>
      <c r="BB1617" s="2">
        <v>18.190114074353801</v>
      </c>
      <c r="BC1617" s="2">
        <v>17.616235589307799</v>
      </c>
      <c r="BD1617" s="2">
        <v>17.334910382651</v>
      </c>
      <c r="BE1617" s="2">
        <v>18.6151516693789</v>
      </c>
      <c r="BF1617" s="2">
        <v>17.237980239550598</v>
      </c>
      <c r="BG1617" s="2">
        <v>17.635094429118102</v>
      </c>
      <c r="BH1617" s="2">
        <v>15.5220082869173</v>
      </c>
      <c r="BI1617" s="2">
        <v>18.269254363409001</v>
      </c>
      <c r="BJ1617" s="2">
        <v>15.468156898594099</v>
      </c>
      <c r="BK1617" s="2">
        <v>16.5534688055643</v>
      </c>
      <c r="BL1617" s="2">
        <v>17.168905648024399</v>
      </c>
      <c r="BM1617" s="2">
        <v>16.234022345465998</v>
      </c>
      <c r="BN1617" s="2">
        <v>17.182727499738199</v>
      </c>
      <c r="BO1617" s="2">
        <v>17.986719900627801</v>
      </c>
      <c r="BP1617" s="2">
        <v>15.9750156622012</v>
      </c>
      <c r="BQ1617" s="2">
        <v>16.713603864115399</v>
      </c>
      <c r="BR1617" s="2">
        <v>18.051959104915401</v>
      </c>
      <c r="BS1617" s="2">
        <v>17.236288932750799</v>
      </c>
      <c r="BT1617" s="2">
        <v>17.3458324612693</v>
      </c>
      <c r="BU1617" s="2">
        <v>18.2690165218456</v>
      </c>
      <c r="BV1617" s="2">
        <v>17.237385319122101</v>
      </c>
      <c r="BW1617" s="2">
        <v>16.171858960408201</v>
      </c>
      <c r="BX1617" s="2">
        <v>16.495600078699301</v>
      </c>
      <c r="BY1617" s="2">
        <v>17.671732544461001</v>
      </c>
      <c r="BZ1617" s="2">
        <v>17.7657946150455</v>
      </c>
      <c r="CA1617" s="2">
        <v>15.696659508382499</v>
      </c>
      <c r="CB1617" s="2">
        <v>17.891108824446501</v>
      </c>
      <c r="CC1617" s="2">
        <v>17.30902686272</v>
      </c>
      <c r="CD1617" s="2">
        <v>16.943185000189899</v>
      </c>
      <c r="CE1617" s="2">
        <v>16.826014502935301</v>
      </c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</row>
    <row r="1618" spans="1:97">
      <c r="A1618" s="2" t="s">
        <v>14326</v>
      </c>
      <c r="B1618" s="2">
        <v>160.04247000000001</v>
      </c>
      <c r="C1618" s="2">
        <v>0.78600000000000003</v>
      </c>
      <c r="D1618" s="2" t="s">
        <v>84</v>
      </c>
      <c r="E1618" s="2" t="s">
        <v>14327</v>
      </c>
      <c r="F1618" s="2" t="s">
        <v>14328</v>
      </c>
      <c r="G1618" s="2">
        <v>54375</v>
      </c>
      <c r="H1618" s="3" t="str">
        <f>HYPERLINK("https://cloud.oebiotech.com/#/lm/network/54375", "https://cloud.oebiotech.com/#/lm/network/54375")</f>
        <v>https://cloud.oebiotech.com/#/lm/network/54375</v>
      </c>
      <c r="I1618" s="2" t="s">
        <v>14329</v>
      </c>
      <c r="J1618" s="2">
        <v>86254</v>
      </c>
      <c r="K1618" s="2"/>
      <c r="L1618" s="2">
        <v>3549960</v>
      </c>
      <c r="M1618" s="2"/>
      <c r="N1618" s="2"/>
      <c r="O1618" s="2"/>
      <c r="P1618" s="2"/>
      <c r="Q1618" s="2"/>
      <c r="R1618" s="2"/>
      <c r="S1618" s="2" t="s">
        <v>14330</v>
      </c>
      <c r="T1618" s="2" t="s">
        <v>14331</v>
      </c>
      <c r="U1618" s="2" t="s">
        <v>14332</v>
      </c>
      <c r="V1618" s="2" t="s">
        <v>115</v>
      </c>
      <c r="W1618" s="2" t="s">
        <v>116</v>
      </c>
      <c r="X1618" s="2" t="s">
        <v>117</v>
      </c>
      <c r="Y1618" s="2" t="s">
        <v>118</v>
      </c>
      <c r="Z1618" s="2" t="s">
        <v>119</v>
      </c>
      <c r="AA1618" s="2" t="s">
        <v>120</v>
      </c>
      <c r="AB1618" s="2" t="s">
        <v>8443</v>
      </c>
      <c r="AC1618" s="2">
        <v>42.6</v>
      </c>
      <c r="AD1618" s="2">
        <v>92.91</v>
      </c>
      <c r="AE1618" s="2">
        <v>0</v>
      </c>
      <c r="AF1618" s="2" t="s">
        <v>5614</v>
      </c>
      <c r="AG1618" s="2" t="s">
        <v>1088</v>
      </c>
      <c r="AH1618" s="2" t="s">
        <v>7002</v>
      </c>
      <c r="AI1618" s="2">
        <v>5</v>
      </c>
      <c r="AJ1618" s="2">
        <v>19.474275372337399</v>
      </c>
      <c r="AK1618" s="2">
        <v>19.9781033113298</v>
      </c>
      <c r="AL1618" s="2">
        <v>19.748078217750699</v>
      </c>
      <c r="AM1618" s="2">
        <v>19.521221832114701</v>
      </c>
      <c r="AN1618" s="2">
        <v>19.9616454973206</v>
      </c>
      <c r="AO1618" s="2">
        <v>19.7695282760045</v>
      </c>
      <c r="AP1618" s="2">
        <v>19.936811695428801</v>
      </c>
      <c r="AQ1618" s="2">
        <v>19.7264020175129</v>
      </c>
      <c r="AR1618" s="2">
        <v>19.546254764823999</v>
      </c>
      <c r="AS1618" s="2">
        <v>20.6093909928607</v>
      </c>
      <c r="AT1618" s="2">
        <v>20.561465382505499</v>
      </c>
      <c r="AU1618" s="2">
        <v>20.292499911630699</v>
      </c>
      <c r="AV1618" s="2">
        <v>20.596047841631101</v>
      </c>
      <c r="AW1618" s="2">
        <v>20.5546242325393</v>
      </c>
      <c r="AX1618" s="2">
        <v>20.623205613044401</v>
      </c>
      <c r="AY1618" s="2">
        <v>19.7118884123011</v>
      </c>
      <c r="AZ1618" s="2">
        <v>20.026324078038598</v>
      </c>
      <c r="BA1618" s="2">
        <v>20.512380695015501</v>
      </c>
      <c r="BB1618" s="2">
        <v>19.928413728189</v>
      </c>
      <c r="BC1618" s="2">
        <v>20.227639549924099</v>
      </c>
      <c r="BD1618" s="2">
        <v>20.0094297161023</v>
      </c>
      <c r="BE1618" s="2">
        <v>19.8959804509708</v>
      </c>
      <c r="BF1618" s="2">
        <v>19.612197025934201</v>
      </c>
      <c r="BG1618" s="2">
        <v>19.575864951680298</v>
      </c>
      <c r="BH1618" s="2">
        <v>19.912273505893999</v>
      </c>
      <c r="BI1618" s="2">
        <v>19.976106328491099</v>
      </c>
      <c r="BJ1618" s="2">
        <v>20.407627897142302</v>
      </c>
      <c r="BK1618" s="2">
        <v>20.9577276039666</v>
      </c>
      <c r="BL1618" s="2">
        <v>17.600191323658201</v>
      </c>
      <c r="BM1618" s="2">
        <v>19.508436525628301</v>
      </c>
      <c r="BN1618" s="2">
        <v>20.139288824344</v>
      </c>
      <c r="BO1618" s="2">
        <v>19.157387449400598</v>
      </c>
      <c r="BP1618" s="2">
        <v>19.90920845666</v>
      </c>
      <c r="BQ1618" s="2">
        <v>19.958359763589399</v>
      </c>
      <c r="BR1618" s="2">
        <v>20.944684083280301</v>
      </c>
      <c r="BS1618" s="2">
        <v>18.217660749295099</v>
      </c>
      <c r="BT1618" s="2">
        <v>19.951380088848101</v>
      </c>
      <c r="BU1618" s="2">
        <v>20.923446691343798</v>
      </c>
      <c r="BV1618" s="2">
        <v>18.0032241100789</v>
      </c>
      <c r="BW1618" s="2">
        <v>20.188641457491901</v>
      </c>
      <c r="BX1618" s="2">
        <v>19.730610836077499</v>
      </c>
      <c r="BY1618" s="2">
        <v>19.232750987044799</v>
      </c>
      <c r="BZ1618" s="2">
        <v>20.625645789764199</v>
      </c>
      <c r="CA1618" s="2">
        <v>19.384974131530701</v>
      </c>
      <c r="CB1618" s="2">
        <v>19.064149781198498</v>
      </c>
      <c r="CC1618" s="2">
        <v>20.666689604305901</v>
      </c>
      <c r="CD1618" s="2">
        <v>19.875611635828999</v>
      </c>
      <c r="CE1618" s="2">
        <v>21.1914996428332</v>
      </c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</row>
    <row r="1619" spans="1:97">
      <c r="A1619" s="2" t="s">
        <v>14333</v>
      </c>
      <c r="B1619" s="2">
        <v>248.05355</v>
      </c>
      <c r="C1619" s="2">
        <v>1.1459999999999999</v>
      </c>
      <c r="D1619" s="2" t="s">
        <v>146</v>
      </c>
      <c r="E1619" s="2" t="s">
        <v>14334</v>
      </c>
      <c r="F1619" s="2" t="s">
        <v>14335</v>
      </c>
      <c r="G1619" s="2">
        <v>212971</v>
      </c>
      <c r="H1619" s="3" t="str">
        <f>HYPERLINK("https://cloud.oebiotech.com/#/lm/network/212971", "https://cloud.oebiotech.com/#/lm/network/212971")</f>
        <v>https://cloud.oebiotech.com/#/lm/network/212971</v>
      </c>
      <c r="I1619" s="2" t="s">
        <v>14336</v>
      </c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 t="s">
        <v>14337</v>
      </c>
      <c r="U1619" s="2" t="s">
        <v>14338</v>
      </c>
      <c r="V1619" s="2" t="s">
        <v>115</v>
      </c>
      <c r="W1619" s="2" t="s">
        <v>116</v>
      </c>
      <c r="X1619" s="2" t="s">
        <v>117</v>
      </c>
      <c r="Y1619" s="2" t="s">
        <v>118</v>
      </c>
      <c r="Z1619" s="2" t="s">
        <v>119</v>
      </c>
      <c r="AA1619" s="2" t="s">
        <v>120</v>
      </c>
      <c r="AB1619" s="2" t="s">
        <v>8443</v>
      </c>
      <c r="AC1619" s="2">
        <v>42.6</v>
      </c>
      <c r="AD1619" s="2">
        <v>98.47</v>
      </c>
      <c r="AE1619" s="2">
        <v>0</v>
      </c>
      <c r="AF1619" s="2" t="s">
        <v>14339</v>
      </c>
      <c r="AG1619" s="2" t="s">
        <v>157</v>
      </c>
      <c r="AH1619" s="2" t="s">
        <v>14340</v>
      </c>
      <c r="AI1619" s="2">
        <v>-4.84</v>
      </c>
      <c r="AJ1619" s="2">
        <v>22.212071188131699</v>
      </c>
      <c r="AK1619" s="2">
        <v>22.285781251991299</v>
      </c>
      <c r="AL1619" s="2">
        <v>22.261547821878001</v>
      </c>
      <c r="AM1619" s="2">
        <v>22.395072446208001</v>
      </c>
      <c r="AN1619" s="2">
        <v>22.247073398302099</v>
      </c>
      <c r="AO1619" s="2">
        <v>22.233604938422602</v>
      </c>
      <c r="AP1619" s="2">
        <v>22.345896926050202</v>
      </c>
      <c r="AQ1619" s="2">
        <v>22.284993238013602</v>
      </c>
      <c r="AR1619" s="2">
        <v>21.7442758460455</v>
      </c>
      <c r="AS1619" s="2">
        <v>21.509590108138202</v>
      </c>
      <c r="AT1619" s="2">
        <v>21.740687504535</v>
      </c>
      <c r="AU1619" s="2">
        <v>22.4826957119298</v>
      </c>
      <c r="AV1619" s="2">
        <v>22.123661038385801</v>
      </c>
      <c r="AW1619" s="2">
        <v>22.113908663263899</v>
      </c>
      <c r="AX1619" s="2">
        <v>21.7717627489683</v>
      </c>
      <c r="AY1619" s="2">
        <v>22.221521767253002</v>
      </c>
      <c r="AZ1619" s="2">
        <v>21.940176330388802</v>
      </c>
      <c r="BA1619" s="2">
        <v>22.187106615673301</v>
      </c>
      <c r="BB1619" s="2">
        <v>22.449303576270601</v>
      </c>
      <c r="BC1619" s="2">
        <v>21.9461674322263</v>
      </c>
      <c r="BD1619" s="2">
        <v>21.555842871792599</v>
      </c>
      <c r="BE1619" s="2">
        <v>22.3647678795096</v>
      </c>
      <c r="BF1619" s="2">
        <v>22.145753870213401</v>
      </c>
      <c r="BG1619" s="2">
        <v>22.2723121821221</v>
      </c>
      <c r="BH1619" s="2">
        <v>22.563450267627299</v>
      </c>
      <c r="BI1619" s="2">
        <v>21.8422971103316</v>
      </c>
      <c r="BJ1619" s="2">
        <v>22.1485678369779</v>
      </c>
      <c r="BK1619" s="2">
        <v>22.039749257409799</v>
      </c>
      <c r="BL1619" s="2">
        <v>22.007119940002902</v>
      </c>
      <c r="BM1619" s="2">
        <v>23.271050312390699</v>
      </c>
      <c r="BN1619" s="2">
        <v>22.676378322695399</v>
      </c>
      <c r="BO1619" s="2">
        <v>22.2159287210056</v>
      </c>
      <c r="BP1619" s="2">
        <v>21.8614202725553</v>
      </c>
      <c r="BQ1619" s="2">
        <v>22.541471499418002</v>
      </c>
      <c r="BR1619" s="2">
        <v>22.026438809192001</v>
      </c>
      <c r="BS1619" s="2">
        <v>22.462222798152901</v>
      </c>
      <c r="BT1619" s="2">
        <v>21.591998954755301</v>
      </c>
      <c r="BU1619" s="2">
        <v>21.4551797216978</v>
      </c>
      <c r="BV1619" s="2">
        <v>22.224910346496198</v>
      </c>
      <c r="BW1619" s="2">
        <v>21.7677315050062</v>
      </c>
      <c r="BX1619" s="2">
        <v>22.242210449235799</v>
      </c>
      <c r="BY1619" s="2">
        <v>22.208735850384901</v>
      </c>
      <c r="BZ1619" s="2">
        <v>22.709713211464202</v>
      </c>
      <c r="CA1619" s="2">
        <v>22.615905871244799</v>
      </c>
      <c r="CB1619" s="2">
        <v>21.985687903533801</v>
      </c>
      <c r="CC1619" s="2">
        <v>21.716057358857</v>
      </c>
      <c r="CD1619" s="2">
        <v>22.406083656859899</v>
      </c>
      <c r="CE1619" s="2">
        <v>21.9447587013562</v>
      </c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</row>
    <row r="1620" spans="1:97">
      <c r="A1620" s="2" t="s">
        <v>14341</v>
      </c>
      <c r="B1620" s="2">
        <v>223.02027000000001</v>
      </c>
      <c r="C1620" s="2">
        <v>1.1299999999999999</v>
      </c>
      <c r="D1620" s="2" t="s">
        <v>84</v>
      </c>
      <c r="E1620" s="2" t="s">
        <v>14342</v>
      </c>
      <c r="F1620" s="2" t="s">
        <v>14343</v>
      </c>
      <c r="G1620" s="2">
        <v>205454</v>
      </c>
      <c r="H1620" s="3" t="str">
        <f>HYPERLINK("https://cloud.oebiotech.com/#/lm/network/205454", "https://cloud.oebiotech.com/#/lm/network/205454")</f>
        <v>https://cloud.oebiotech.com/#/lm/network/205454</v>
      </c>
      <c r="I1620" s="2" t="s">
        <v>14344</v>
      </c>
      <c r="J1620" s="2"/>
      <c r="K1620" s="2"/>
      <c r="L1620" s="2">
        <v>595</v>
      </c>
      <c r="M1620" s="2" t="s">
        <v>14345</v>
      </c>
      <c r="N1620" s="2"/>
      <c r="O1620" s="2"/>
      <c r="P1620" s="2">
        <v>17376</v>
      </c>
      <c r="Q1620" s="2"/>
      <c r="R1620" s="2"/>
      <c r="S1620" s="2"/>
      <c r="T1620" s="2" t="s">
        <v>14346</v>
      </c>
      <c r="U1620" s="2" t="s">
        <v>14347</v>
      </c>
      <c r="V1620" s="2" t="s">
        <v>115</v>
      </c>
      <c r="W1620" s="2" t="s">
        <v>116</v>
      </c>
      <c r="X1620" s="2" t="s">
        <v>117</v>
      </c>
      <c r="Y1620" s="2" t="s">
        <v>118</v>
      </c>
      <c r="Z1620" s="2" t="s">
        <v>119</v>
      </c>
      <c r="AA1620" s="2" t="s">
        <v>120</v>
      </c>
      <c r="AB1620" s="2" t="s">
        <v>8443</v>
      </c>
      <c r="AC1620" s="2">
        <v>42.58</v>
      </c>
      <c r="AD1620" s="2">
        <v>89.94</v>
      </c>
      <c r="AE1620" s="2">
        <v>0</v>
      </c>
      <c r="AF1620" s="2" t="s">
        <v>5614</v>
      </c>
      <c r="AG1620" s="2" t="s">
        <v>1088</v>
      </c>
      <c r="AH1620" s="2" t="s">
        <v>6980</v>
      </c>
      <c r="AI1620" s="2">
        <v>3.59</v>
      </c>
      <c r="AJ1620" s="2">
        <v>18.845715791289201</v>
      </c>
      <c r="AK1620" s="2">
        <v>18.588073982721301</v>
      </c>
      <c r="AL1620" s="2">
        <v>18.514278592886502</v>
      </c>
      <c r="AM1620" s="2">
        <v>18.717801711064102</v>
      </c>
      <c r="AN1620" s="2">
        <v>18.4126350487571</v>
      </c>
      <c r="AO1620" s="2">
        <v>18.616395025163001</v>
      </c>
      <c r="AP1620" s="2">
        <v>18.683278251811501</v>
      </c>
      <c r="AQ1620" s="2">
        <v>18.991848426125699</v>
      </c>
      <c r="AR1620" s="2">
        <v>18.199935120502499</v>
      </c>
      <c r="AS1620" s="2">
        <v>16.070413647671199</v>
      </c>
      <c r="AT1620" s="2">
        <v>17.727673413888201</v>
      </c>
      <c r="AU1620" s="2">
        <v>16.934356162103199</v>
      </c>
      <c r="AV1620" s="2">
        <v>17.947271309961799</v>
      </c>
      <c r="AW1620" s="2">
        <v>18.968099641927498</v>
      </c>
      <c r="AX1620" s="2">
        <v>18.674386360038799</v>
      </c>
      <c r="AY1620" s="2">
        <v>18.0306686986772</v>
      </c>
      <c r="AZ1620" s="2">
        <v>18.743153794306</v>
      </c>
      <c r="BA1620" s="2">
        <v>18.574463109793399</v>
      </c>
      <c r="BB1620" s="2">
        <v>18.418301351077599</v>
      </c>
      <c r="BC1620" s="2">
        <v>18.344554122017101</v>
      </c>
      <c r="BD1620" s="2">
        <v>18.123588868329701</v>
      </c>
      <c r="BE1620" s="2">
        <v>19.0468239941756</v>
      </c>
      <c r="BF1620" s="2">
        <v>18.845522638626701</v>
      </c>
      <c r="BG1620" s="2">
        <v>18.182442851104899</v>
      </c>
      <c r="BH1620" s="2">
        <v>18.027178862699099</v>
      </c>
      <c r="BI1620" s="2">
        <v>19.023159847786701</v>
      </c>
      <c r="BJ1620" s="2">
        <v>18.8916704543314</v>
      </c>
      <c r="BK1620" s="2">
        <v>18.127935647848201</v>
      </c>
      <c r="BL1620" s="2">
        <v>18.0871195926517</v>
      </c>
      <c r="BM1620" s="2">
        <v>16.092802141866201</v>
      </c>
      <c r="BN1620" s="2">
        <v>17.935354192908001</v>
      </c>
      <c r="BO1620" s="2">
        <v>18.316273973489501</v>
      </c>
      <c r="BP1620" s="2">
        <v>18.739876773055201</v>
      </c>
      <c r="BQ1620" s="2">
        <v>19.2278685564957</v>
      </c>
      <c r="BR1620" s="2">
        <v>18.595758544729598</v>
      </c>
      <c r="BS1620" s="2">
        <v>18.140653606106799</v>
      </c>
      <c r="BT1620" s="2">
        <v>18.912604433354499</v>
      </c>
      <c r="BU1620" s="2">
        <v>17.591130034223799</v>
      </c>
      <c r="BV1620" s="2">
        <v>19.1037894112301</v>
      </c>
      <c r="BW1620" s="2">
        <v>17.105719895285599</v>
      </c>
      <c r="BX1620" s="2">
        <v>17.689436560931501</v>
      </c>
      <c r="BY1620" s="2">
        <v>19.4365374645846</v>
      </c>
      <c r="BZ1620" s="2">
        <v>18.605797611774499</v>
      </c>
      <c r="CA1620" s="2">
        <v>18.2535457380914</v>
      </c>
      <c r="CB1620" s="2">
        <v>17.977315815996501</v>
      </c>
      <c r="CC1620" s="2">
        <v>18.361175150287199</v>
      </c>
      <c r="CD1620" s="2">
        <v>19.066159895670001</v>
      </c>
      <c r="CE1620" s="2">
        <v>18.345530253848899</v>
      </c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</row>
    <row r="1621" spans="1:97">
      <c r="A1621" s="2" t="s">
        <v>14348</v>
      </c>
      <c r="B1621" s="2">
        <v>522.41404</v>
      </c>
      <c r="C1621" s="2">
        <v>10.891999999999999</v>
      </c>
      <c r="D1621" s="2" t="s">
        <v>84</v>
      </c>
      <c r="E1621" s="2" t="s">
        <v>14349</v>
      </c>
      <c r="F1621" s="2" t="s">
        <v>14350</v>
      </c>
      <c r="G1621" s="2">
        <v>198362</v>
      </c>
      <c r="H1621" s="3" t="str">
        <f>HYPERLINK("https://cloud.oebiotech.com/#/lm/network/198362", "https://cloud.oebiotech.com/#/lm/network/198362")</f>
        <v>https://cloud.oebiotech.com/#/lm/network/198362</v>
      </c>
      <c r="I1621" s="2" t="s">
        <v>14351</v>
      </c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 t="s">
        <v>14352</v>
      </c>
      <c r="U1621" s="2" t="s">
        <v>14353</v>
      </c>
      <c r="V1621" s="2" t="s">
        <v>95</v>
      </c>
      <c r="W1621" s="2" t="s">
        <v>96</v>
      </c>
      <c r="X1621" s="2" t="s">
        <v>97</v>
      </c>
      <c r="Y1621" s="2" t="s">
        <v>98</v>
      </c>
      <c r="Z1621" s="2" t="s">
        <v>99</v>
      </c>
      <c r="AA1621" s="2" t="s">
        <v>100</v>
      </c>
      <c r="AB1621" s="2" t="s">
        <v>8443</v>
      </c>
      <c r="AC1621" s="2">
        <v>42.58</v>
      </c>
      <c r="AD1621" s="2">
        <v>78.75</v>
      </c>
      <c r="AE1621" s="2">
        <v>0</v>
      </c>
      <c r="AF1621" s="2" t="s">
        <v>5614</v>
      </c>
      <c r="AG1621" s="2" t="s">
        <v>103</v>
      </c>
      <c r="AH1621" s="2" t="s">
        <v>14354</v>
      </c>
      <c r="AI1621" s="2">
        <v>2.4900000000000002</v>
      </c>
      <c r="AJ1621" s="2">
        <v>21.134180402997899</v>
      </c>
      <c r="AK1621" s="2">
        <v>21.5404888810518</v>
      </c>
      <c r="AL1621" s="2">
        <v>21.477397553521399</v>
      </c>
      <c r="AM1621" s="2">
        <v>21.3087779334072</v>
      </c>
      <c r="AN1621" s="2">
        <v>21.0700125613483</v>
      </c>
      <c r="AO1621" s="2">
        <v>21.1685592624024</v>
      </c>
      <c r="AP1621" s="2">
        <v>21.059234413313799</v>
      </c>
      <c r="AQ1621" s="2">
        <v>20.9572022331132</v>
      </c>
      <c r="AR1621" s="2">
        <v>21.643708143915799</v>
      </c>
      <c r="AS1621" s="2">
        <v>20.1141281455029</v>
      </c>
      <c r="AT1621" s="2">
        <v>20.835539298239599</v>
      </c>
      <c r="AU1621" s="2">
        <v>20.635043080559399</v>
      </c>
      <c r="AV1621" s="2">
        <v>21.242019680107902</v>
      </c>
      <c r="AW1621" s="2">
        <v>21.365960054130898</v>
      </c>
      <c r="AX1621" s="2">
        <v>21.4238816030186</v>
      </c>
      <c r="AY1621" s="2">
        <v>20.8109657854157</v>
      </c>
      <c r="AZ1621" s="2">
        <v>21.332608245467299</v>
      </c>
      <c r="BA1621" s="2">
        <v>20.0060326149543</v>
      </c>
      <c r="BB1621" s="2">
        <v>21.020638946483299</v>
      </c>
      <c r="BC1621" s="2">
        <v>22.005604453985299</v>
      </c>
      <c r="BD1621" s="2">
        <v>20.991845624217198</v>
      </c>
      <c r="BE1621" s="2">
        <v>21.8178944308568</v>
      </c>
      <c r="BF1621" s="2">
        <v>21.551045512551699</v>
      </c>
      <c r="BG1621" s="2">
        <v>21.371536715729199</v>
      </c>
      <c r="BH1621" s="2">
        <v>21.291842426652899</v>
      </c>
      <c r="BI1621" s="2">
        <v>22.0616489371704</v>
      </c>
      <c r="BJ1621" s="2">
        <v>21.1028517127789</v>
      </c>
      <c r="BK1621" s="2">
        <v>20.3331665121068</v>
      </c>
      <c r="BL1621" s="2">
        <v>21.390510942210899</v>
      </c>
      <c r="BM1621" s="2">
        <v>21.149440723374902</v>
      </c>
      <c r="BN1621" s="2">
        <v>21.232712283335999</v>
      </c>
      <c r="BO1621" s="2">
        <v>20.7714971103272</v>
      </c>
      <c r="BP1621" s="2">
        <v>20.956375356023202</v>
      </c>
      <c r="BQ1621" s="2">
        <v>21.101002297559099</v>
      </c>
      <c r="BR1621" s="2">
        <v>21.669726649475301</v>
      </c>
      <c r="BS1621" s="2">
        <v>21.242442981520298</v>
      </c>
      <c r="BT1621" s="2">
        <v>20.995795652511202</v>
      </c>
      <c r="BU1621" s="2">
        <v>20.133017038542398</v>
      </c>
      <c r="BV1621" s="2">
        <v>20.8208344344885</v>
      </c>
      <c r="BW1621" s="2">
        <v>20.591715614321799</v>
      </c>
      <c r="BX1621" s="2">
        <v>20.861270018719502</v>
      </c>
      <c r="BY1621" s="2">
        <v>21.3504106677454</v>
      </c>
      <c r="BZ1621" s="2">
        <v>21.2333234769178</v>
      </c>
      <c r="CA1621" s="2">
        <v>21.568155755288199</v>
      </c>
      <c r="CB1621" s="2">
        <v>21.073196869460801</v>
      </c>
      <c r="CC1621" s="2">
        <v>20.370791888002199</v>
      </c>
      <c r="CD1621" s="2">
        <v>20.932296045190501</v>
      </c>
      <c r="CE1621" s="2">
        <v>19.2985817127378</v>
      </c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</row>
    <row r="1622" spans="1:97">
      <c r="A1622" s="2" t="s">
        <v>14355</v>
      </c>
      <c r="B1622" s="2">
        <v>811.60243000000003</v>
      </c>
      <c r="C1622" s="2">
        <v>12.047000000000001</v>
      </c>
      <c r="D1622" s="2" t="s">
        <v>84</v>
      </c>
      <c r="E1622" s="2" t="s">
        <v>14356</v>
      </c>
      <c r="F1622" s="2" t="s">
        <v>14357</v>
      </c>
      <c r="G1622" s="2">
        <v>20775</v>
      </c>
      <c r="H1622" s="3" t="str">
        <f>HYPERLINK("https://cloud.oebiotech.com/#/lm/network/20775", "https://cloud.oebiotech.com/#/lm/network/20775")</f>
        <v>https://cloud.oebiotech.com/#/lm/network/20775</v>
      </c>
      <c r="I1622" s="2" t="s">
        <v>14358</v>
      </c>
      <c r="J1622" s="2">
        <v>60946</v>
      </c>
      <c r="K1622" s="2" t="s">
        <v>14359</v>
      </c>
      <c r="L1622" s="2">
        <v>52924787</v>
      </c>
      <c r="M1622" s="2" t="s">
        <v>13837</v>
      </c>
      <c r="N1622" s="2" t="s">
        <v>13838</v>
      </c>
      <c r="O1622" s="2" t="s">
        <v>13839</v>
      </c>
      <c r="P1622" s="2"/>
      <c r="Q1622" s="2"/>
      <c r="R1622" s="2"/>
      <c r="S1622" s="2"/>
      <c r="T1622" s="2" t="s">
        <v>14360</v>
      </c>
      <c r="U1622" s="2" t="s">
        <v>14361</v>
      </c>
      <c r="V1622" s="2" t="s">
        <v>95</v>
      </c>
      <c r="W1622" s="2" t="s">
        <v>202</v>
      </c>
      <c r="X1622" s="2" t="s">
        <v>327</v>
      </c>
      <c r="Y1622" s="2" t="s">
        <v>98</v>
      </c>
      <c r="Z1622" s="2" t="s">
        <v>204</v>
      </c>
      <c r="AA1622" s="2" t="s">
        <v>328</v>
      </c>
      <c r="AB1622" s="2" t="s">
        <v>3086</v>
      </c>
      <c r="AC1622" s="2">
        <v>42.54</v>
      </c>
      <c r="AD1622" s="2">
        <v>65.959999999999994</v>
      </c>
      <c r="AE1622" s="2">
        <v>0</v>
      </c>
      <c r="AF1622" s="2" t="s">
        <v>5614</v>
      </c>
      <c r="AG1622" s="2" t="s">
        <v>132</v>
      </c>
      <c r="AH1622" s="2" t="s">
        <v>14362</v>
      </c>
      <c r="AI1622" s="2">
        <v>-7.89</v>
      </c>
      <c r="AJ1622" s="2">
        <v>25.882778146776801</v>
      </c>
      <c r="AK1622" s="2">
        <v>25.354571214070699</v>
      </c>
      <c r="AL1622" s="2">
        <v>25.6958661002536</v>
      </c>
      <c r="AM1622" s="2">
        <v>25.378549442404399</v>
      </c>
      <c r="AN1622" s="2">
        <v>25.714889749883501</v>
      </c>
      <c r="AO1622" s="2">
        <v>25.384490689101401</v>
      </c>
      <c r="AP1622" s="2">
        <v>25.530195134033701</v>
      </c>
      <c r="AQ1622" s="2">
        <v>25.337108384632</v>
      </c>
      <c r="AR1622" s="2">
        <v>25.556923364749998</v>
      </c>
      <c r="AS1622" s="2">
        <v>23.8024028888705</v>
      </c>
      <c r="AT1622" s="2">
        <v>24.338121973143799</v>
      </c>
      <c r="AU1622" s="2">
        <v>25.7375330394073</v>
      </c>
      <c r="AV1622" s="2">
        <v>25.786663638439698</v>
      </c>
      <c r="AW1622" s="2">
        <v>25.199341358152601</v>
      </c>
      <c r="AX1622" s="2">
        <v>26.0523387905851</v>
      </c>
      <c r="AY1622" s="2">
        <v>25.9490025301203</v>
      </c>
      <c r="AZ1622" s="2">
        <v>25.081990857179299</v>
      </c>
      <c r="BA1622" s="2">
        <v>25.700689672476202</v>
      </c>
      <c r="BB1622" s="2">
        <v>25.527240814670101</v>
      </c>
      <c r="BC1622" s="2">
        <v>25.632624323760101</v>
      </c>
      <c r="BD1622" s="2">
        <v>25.7537921213011</v>
      </c>
      <c r="BE1622" s="2">
        <v>26.124755994759202</v>
      </c>
      <c r="BF1622" s="2">
        <v>25.808091713939302</v>
      </c>
      <c r="BG1622" s="2">
        <v>25.302874901962198</v>
      </c>
      <c r="BH1622" s="2">
        <v>25.602588489510701</v>
      </c>
      <c r="BI1622" s="2">
        <v>26.449499052106798</v>
      </c>
      <c r="BJ1622" s="2">
        <v>26.103142571596699</v>
      </c>
      <c r="BK1622" s="2">
        <v>25.880915523506001</v>
      </c>
      <c r="BL1622" s="2">
        <v>26.525363444554898</v>
      </c>
      <c r="BM1622" s="2">
        <v>26.227242844235501</v>
      </c>
      <c r="BN1622" s="2">
        <v>25.597788704101401</v>
      </c>
      <c r="BO1622" s="2">
        <v>25.202871220014799</v>
      </c>
      <c r="BP1622" s="2">
        <v>25.343898697228401</v>
      </c>
      <c r="BQ1622" s="2">
        <v>26.024298755587001</v>
      </c>
      <c r="BR1622" s="2">
        <v>25.920681347658501</v>
      </c>
      <c r="BS1622" s="2">
        <v>25.7905922948542</v>
      </c>
      <c r="BT1622" s="2">
        <v>24.995052659400301</v>
      </c>
      <c r="BU1622" s="2">
        <v>25.230233491727802</v>
      </c>
      <c r="BV1622" s="2">
        <v>25.1844745891886</v>
      </c>
      <c r="BW1622" s="2">
        <v>25.960649042201901</v>
      </c>
      <c r="BX1622" s="2">
        <v>25.641771282591101</v>
      </c>
      <c r="BY1622" s="2">
        <v>24.718062963571398</v>
      </c>
      <c r="BZ1622" s="2">
        <v>26.047188973849</v>
      </c>
      <c r="CA1622" s="2">
        <v>25.355369608046001</v>
      </c>
      <c r="CB1622" s="2">
        <v>25.414221731146998</v>
      </c>
      <c r="CC1622" s="2">
        <v>25.113118878159302</v>
      </c>
      <c r="CD1622" s="2">
        <v>25.673438747475199</v>
      </c>
      <c r="CE1622" s="2">
        <v>24.9604771644359</v>
      </c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</row>
    <row r="1623" spans="1:97">
      <c r="A1623" s="2" t="s">
        <v>14363</v>
      </c>
      <c r="B1623" s="2">
        <v>540.39215000000002</v>
      </c>
      <c r="C1623" s="2">
        <v>10.672000000000001</v>
      </c>
      <c r="D1623" s="2" t="s">
        <v>146</v>
      </c>
      <c r="E1623" s="2" t="s">
        <v>14364</v>
      </c>
      <c r="F1623" s="2" t="s">
        <v>14365</v>
      </c>
      <c r="G1623" s="2">
        <v>198141</v>
      </c>
      <c r="H1623" s="3" t="str">
        <f>HYPERLINK("https://cloud.oebiotech.com/#/lm/network/198141", "https://cloud.oebiotech.com/#/lm/network/198141")</f>
        <v>https://cloud.oebiotech.com/#/lm/network/198141</v>
      </c>
      <c r="I1623" s="2" t="s">
        <v>14366</v>
      </c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 t="s">
        <v>14367</v>
      </c>
      <c r="U1623" s="2" t="s">
        <v>14368</v>
      </c>
      <c r="V1623" s="2" t="s">
        <v>95</v>
      </c>
      <c r="W1623" s="2" t="s">
        <v>96</v>
      </c>
      <c r="X1623" s="2" t="s">
        <v>97</v>
      </c>
      <c r="Y1623" s="2" t="s">
        <v>98</v>
      </c>
      <c r="Z1623" s="2" t="s">
        <v>99</v>
      </c>
      <c r="AA1623" s="2" t="s">
        <v>100</v>
      </c>
      <c r="AB1623" s="2" t="s">
        <v>8443</v>
      </c>
      <c r="AC1623" s="2">
        <v>42.53</v>
      </c>
      <c r="AD1623" s="2">
        <v>79.09</v>
      </c>
      <c r="AE1623" s="2">
        <v>0</v>
      </c>
      <c r="AF1623" s="2" t="s">
        <v>5614</v>
      </c>
      <c r="AG1623" s="2" t="s">
        <v>157</v>
      </c>
      <c r="AH1623" s="2" t="s">
        <v>14369</v>
      </c>
      <c r="AI1623" s="2">
        <v>-2.96</v>
      </c>
      <c r="AJ1623" s="2">
        <v>20.2650322285097</v>
      </c>
      <c r="AK1623" s="2">
        <v>20.851532089315398</v>
      </c>
      <c r="AL1623" s="2">
        <v>20.871034121824501</v>
      </c>
      <c r="AM1623" s="2">
        <v>20.456344006391799</v>
      </c>
      <c r="AN1623" s="2">
        <v>20.653366296355902</v>
      </c>
      <c r="AO1623" s="2">
        <v>20.8736159017636</v>
      </c>
      <c r="AP1623" s="2">
        <v>20.670582579137999</v>
      </c>
      <c r="AQ1623" s="2">
        <v>20.449522917992901</v>
      </c>
      <c r="AR1623" s="2">
        <v>20.833802625298699</v>
      </c>
      <c r="AS1623" s="2">
        <v>20.2539864971993</v>
      </c>
      <c r="AT1623" s="2">
        <v>19.966837574650199</v>
      </c>
      <c r="AU1623" s="2">
        <v>20.8288842377133</v>
      </c>
      <c r="AV1623" s="2">
        <v>20.608727987888798</v>
      </c>
      <c r="AW1623" s="2">
        <v>20.640251141998199</v>
      </c>
      <c r="AX1623" s="2">
        <v>20.033746712291599</v>
      </c>
      <c r="AY1623" s="2">
        <v>20.585699773908299</v>
      </c>
      <c r="AZ1623" s="2">
        <v>20.630920333875601</v>
      </c>
      <c r="BA1623" s="2">
        <v>19.737059446861501</v>
      </c>
      <c r="BB1623" s="2">
        <v>20.038537295203401</v>
      </c>
      <c r="BC1623" s="2">
        <v>21.1157410115127</v>
      </c>
      <c r="BD1623" s="2">
        <v>20.6318274909118</v>
      </c>
      <c r="BE1623" s="2">
        <v>21.197414283062098</v>
      </c>
      <c r="BF1623" s="2">
        <v>19.705362042314199</v>
      </c>
      <c r="BG1623" s="2">
        <v>20.253266576401199</v>
      </c>
      <c r="BH1623" s="2">
        <v>20.563922431828299</v>
      </c>
      <c r="BI1623" s="2">
        <v>20.787488569228501</v>
      </c>
      <c r="BJ1623" s="2">
        <v>20.929988299335101</v>
      </c>
      <c r="BK1623" s="2">
        <v>19.802228927741801</v>
      </c>
      <c r="BL1623" s="2">
        <v>19.4640999842354</v>
      </c>
      <c r="BM1623" s="2">
        <v>19.8935675938896</v>
      </c>
      <c r="BN1623" s="2">
        <v>20.2936821574779</v>
      </c>
      <c r="BO1623" s="2">
        <v>20.316427164106301</v>
      </c>
      <c r="BP1623" s="2">
        <v>20.0651556093562</v>
      </c>
      <c r="BQ1623" s="2">
        <v>20.054509753518499</v>
      </c>
      <c r="BR1623" s="2">
        <v>20.122839379539201</v>
      </c>
      <c r="BS1623" s="2">
        <v>20.890854684060699</v>
      </c>
      <c r="BT1623" s="2">
        <v>19.9482276628205</v>
      </c>
      <c r="BU1623" s="2">
        <v>20.741288116442298</v>
      </c>
      <c r="BV1623" s="2">
        <v>20.834631064166501</v>
      </c>
      <c r="BW1623" s="2">
        <v>20.505785488400502</v>
      </c>
      <c r="BX1623" s="2">
        <v>20.5018810441859</v>
      </c>
      <c r="BY1623" s="2">
        <v>21.3063417470707</v>
      </c>
      <c r="BZ1623" s="2">
        <v>20.5136101201022</v>
      </c>
      <c r="CA1623" s="2">
        <v>20.8327384046387</v>
      </c>
      <c r="CB1623" s="2">
        <v>20.709213324557702</v>
      </c>
      <c r="CC1623" s="2">
        <v>19.5771480939183</v>
      </c>
      <c r="CD1623" s="2">
        <v>20.635913800840999</v>
      </c>
      <c r="CE1623" s="2">
        <v>20.168365938428298</v>
      </c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</row>
    <row r="1624" spans="1:97">
      <c r="A1624" s="2" t="s">
        <v>14370</v>
      </c>
      <c r="B1624" s="2">
        <v>115.01147</v>
      </c>
      <c r="C1624" s="2">
        <v>0.58199999999999996</v>
      </c>
      <c r="D1624" s="2" t="s">
        <v>84</v>
      </c>
      <c r="E1624" s="2" t="s">
        <v>14371</v>
      </c>
      <c r="F1624" s="2" t="s">
        <v>14372</v>
      </c>
      <c r="G1624" s="2">
        <v>213464</v>
      </c>
      <c r="H1624" s="3" t="str">
        <f>HYPERLINK("https://cloud.oebiotech.com/#/lm/network/213464", "https://cloud.oebiotech.com/#/lm/network/213464")</f>
        <v>https://cloud.oebiotech.com/#/lm/network/213464</v>
      </c>
      <c r="I1624" s="2" t="s">
        <v>14373</v>
      </c>
      <c r="J1624" s="2"/>
      <c r="K1624" s="2"/>
      <c r="L1624" s="2">
        <v>13828328</v>
      </c>
      <c r="M1624" s="2"/>
      <c r="N1624" s="2"/>
      <c r="O1624" s="2"/>
      <c r="P1624" s="2"/>
      <c r="Q1624" s="2"/>
      <c r="R1624" s="2"/>
      <c r="S1624" s="2"/>
      <c r="T1624" s="2" t="s">
        <v>14374</v>
      </c>
      <c r="U1624" s="2" t="s">
        <v>14375</v>
      </c>
      <c r="V1624" s="2" t="s">
        <v>166</v>
      </c>
      <c r="W1624" s="2" t="s">
        <v>167</v>
      </c>
      <c r="X1624" s="2" t="s">
        <v>375</v>
      </c>
      <c r="Y1624" s="2" t="s">
        <v>169</v>
      </c>
      <c r="Z1624" s="2" t="s">
        <v>169</v>
      </c>
      <c r="AA1624" s="2"/>
      <c r="AB1624" s="2" t="s">
        <v>8443</v>
      </c>
      <c r="AC1624" s="2">
        <v>42.5</v>
      </c>
      <c r="AD1624" s="2">
        <v>73.25</v>
      </c>
      <c r="AE1624" s="2">
        <v>0</v>
      </c>
      <c r="AF1624" s="2" t="s">
        <v>5614</v>
      </c>
      <c r="AG1624" s="2" t="s">
        <v>1578</v>
      </c>
      <c r="AH1624" s="2" t="s">
        <v>14376</v>
      </c>
      <c r="AI1624" s="2">
        <v>-0.87</v>
      </c>
      <c r="AJ1624" s="2">
        <v>21.019657567260399</v>
      </c>
      <c r="AK1624" s="2">
        <v>20.9006555118074</v>
      </c>
      <c r="AL1624" s="2">
        <v>21.110469622377799</v>
      </c>
      <c r="AM1624" s="2">
        <v>21.128033923989001</v>
      </c>
      <c r="AN1624" s="2">
        <v>21.121232625184302</v>
      </c>
      <c r="AO1624" s="2">
        <v>20.777348145880499</v>
      </c>
      <c r="AP1624" s="2">
        <v>20.489756860319101</v>
      </c>
      <c r="AQ1624" s="2">
        <v>21.085030457717998</v>
      </c>
      <c r="AR1624" s="2">
        <v>20.0490352890994</v>
      </c>
      <c r="AS1624" s="2">
        <v>20.481902670441599</v>
      </c>
      <c r="AT1624" s="2">
        <v>20.762731305047101</v>
      </c>
      <c r="AU1624" s="2">
        <v>20.471486540866099</v>
      </c>
      <c r="AV1624" s="2">
        <v>21.062987079879299</v>
      </c>
      <c r="AW1624" s="2">
        <v>20.996886736039698</v>
      </c>
      <c r="AX1624" s="2">
        <v>20.860351198778901</v>
      </c>
      <c r="AY1624" s="2">
        <v>20.885551151413999</v>
      </c>
      <c r="AZ1624" s="2">
        <v>20.567388187978001</v>
      </c>
      <c r="BA1624" s="2">
        <v>20.579030587761501</v>
      </c>
      <c r="BB1624" s="2">
        <v>20.9102203187845</v>
      </c>
      <c r="BC1624" s="2">
        <v>20.894754103233399</v>
      </c>
      <c r="BD1624" s="2">
        <v>20.786875750313399</v>
      </c>
      <c r="BE1624" s="2">
        <v>21.374005771468699</v>
      </c>
      <c r="BF1624" s="2">
        <v>20.821114217548001</v>
      </c>
      <c r="BG1624" s="2">
        <v>20.838060133402401</v>
      </c>
      <c r="BH1624" s="2">
        <v>20.9352466660239</v>
      </c>
      <c r="BI1624" s="2">
        <v>20.397662611971299</v>
      </c>
      <c r="BJ1624" s="2">
        <v>20.839103801699501</v>
      </c>
      <c r="BK1624" s="2">
        <v>20.871479623391899</v>
      </c>
      <c r="BL1624" s="2">
        <v>21.049989045348099</v>
      </c>
      <c r="BM1624" s="2">
        <v>21.081478418902599</v>
      </c>
      <c r="BN1624" s="2">
        <v>21.004601390305101</v>
      </c>
      <c r="BO1624" s="2">
        <v>20.450337491565101</v>
      </c>
      <c r="BP1624" s="2">
        <v>20.151659896331999</v>
      </c>
      <c r="BQ1624" s="2">
        <v>20.758075193192202</v>
      </c>
      <c r="BR1624" s="2">
        <v>20.257602750234199</v>
      </c>
      <c r="BS1624" s="2">
        <v>20.912124530135699</v>
      </c>
      <c r="BT1624" s="2">
        <v>21.026299942502899</v>
      </c>
      <c r="BU1624" s="2">
        <v>20.874758212423099</v>
      </c>
      <c r="BV1624" s="2">
        <v>20.892226498739198</v>
      </c>
      <c r="BW1624" s="2">
        <v>21.037421194714501</v>
      </c>
      <c r="BX1624" s="2">
        <v>20.877985632559</v>
      </c>
      <c r="BY1624" s="2">
        <v>21.563936909038901</v>
      </c>
      <c r="BZ1624" s="2">
        <v>20.254961006470801</v>
      </c>
      <c r="CA1624" s="2">
        <v>20.8455218576335</v>
      </c>
      <c r="CB1624" s="2">
        <v>20.967122679076599</v>
      </c>
      <c r="CC1624" s="2">
        <v>21.052291561092499</v>
      </c>
      <c r="CD1624" s="2">
        <v>20.404269438399801</v>
      </c>
      <c r="CE1624" s="2">
        <v>21.135130056774301</v>
      </c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</row>
    <row r="1625" spans="1:97">
      <c r="A1625" s="2" t="s">
        <v>14377</v>
      </c>
      <c r="B1625" s="2">
        <v>529.24021000000005</v>
      </c>
      <c r="C1625" s="2">
        <v>8.7959999999999994</v>
      </c>
      <c r="D1625" s="2" t="s">
        <v>146</v>
      </c>
      <c r="E1625" s="2" t="s">
        <v>14378</v>
      </c>
      <c r="F1625" s="2"/>
      <c r="G1625" s="2">
        <v>596134</v>
      </c>
      <c r="H1625" s="3" t="str">
        <f>HYPERLINK("https://cloud.oebiotech.com/#/lm/network/596134", "https://cloud.oebiotech.com/#/lm/network/596134")</f>
        <v>https://cloud.oebiotech.com/#/lm/network/596134</v>
      </c>
      <c r="I1625" s="2"/>
      <c r="J1625" s="2"/>
      <c r="K1625" s="2"/>
      <c r="L1625" s="2">
        <v>15484461</v>
      </c>
      <c r="M1625" s="2"/>
      <c r="N1625" s="2"/>
      <c r="O1625" s="2"/>
      <c r="P1625" s="2"/>
      <c r="Q1625" s="2"/>
      <c r="R1625" s="2"/>
      <c r="S1625" s="2"/>
      <c r="T1625" s="2" t="s">
        <v>14379</v>
      </c>
      <c r="U1625" s="2" t="s">
        <v>14380</v>
      </c>
      <c r="V1625" s="2" t="s">
        <v>95</v>
      </c>
      <c r="W1625" s="2" t="s">
        <v>152</v>
      </c>
      <c r="X1625" s="2" t="s">
        <v>1420</v>
      </c>
      <c r="Y1625" s="2" t="s">
        <v>98</v>
      </c>
      <c r="Z1625" s="2" t="s">
        <v>154</v>
      </c>
      <c r="AA1625" s="2" t="s">
        <v>1421</v>
      </c>
      <c r="AB1625" s="2" t="s">
        <v>8443</v>
      </c>
      <c r="AC1625" s="2">
        <v>42.5</v>
      </c>
      <c r="AD1625" s="2">
        <v>68.28</v>
      </c>
      <c r="AE1625" s="2">
        <v>0</v>
      </c>
      <c r="AF1625" s="2" t="s">
        <v>14381</v>
      </c>
      <c r="AG1625" s="2" t="s">
        <v>4062</v>
      </c>
      <c r="AH1625" s="2" t="s">
        <v>14382</v>
      </c>
      <c r="AI1625" s="2">
        <v>-1.1299999999999999</v>
      </c>
      <c r="AJ1625" s="2">
        <v>19.0002447449477</v>
      </c>
      <c r="AK1625" s="2">
        <v>19.490700914569899</v>
      </c>
      <c r="AL1625" s="2">
        <v>19.408975566978</v>
      </c>
      <c r="AM1625" s="2">
        <v>19.386316751407801</v>
      </c>
      <c r="AN1625" s="2">
        <v>19.140781401262899</v>
      </c>
      <c r="AO1625" s="2">
        <v>19.481786229495501</v>
      </c>
      <c r="AP1625" s="2">
        <v>19.017179118657499</v>
      </c>
      <c r="AQ1625" s="2">
        <v>19.114032941153202</v>
      </c>
      <c r="AR1625" s="2">
        <v>18.963863997412201</v>
      </c>
      <c r="AS1625" s="2">
        <v>19.012266204659099</v>
      </c>
      <c r="AT1625" s="2">
        <v>19.181971820966801</v>
      </c>
      <c r="AU1625" s="2">
        <v>19.365398930468899</v>
      </c>
      <c r="AV1625" s="2">
        <v>19.1049776815046</v>
      </c>
      <c r="AW1625" s="2">
        <v>19.520478380173699</v>
      </c>
      <c r="AX1625" s="2">
        <v>19.2141859349945</v>
      </c>
      <c r="AY1625" s="2">
        <v>19.327095479940098</v>
      </c>
      <c r="AZ1625" s="2">
        <v>19.1384926789395</v>
      </c>
      <c r="BA1625" s="2">
        <v>19.325958729663999</v>
      </c>
      <c r="BB1625" s="2">
        <v>19.248971724043798</v>
      </c>
      <c r="BC1625" s="2">
        <v>19.233186579510001</v>
      </c>
      <c r="BD1625" s="2">
        <v>19.1623353658015</v>
      </c>
      <c r="BE1625" s="2">
        <v>19.479770536002398</v>
      </c>
      <c r="BF1625" s="2">
        <v>19.447640515021501</v>
      </c>
      <c r="BG1625" s="2">
        <v>19.437125019189502</v>
      </c>
      <c r="BH1625" s="2">
        <v>19.323094023728501</v>
      </c>
      <c r="BI1625" s="2">
        <v>18.8139876246047</v>
      </c>
      <c r="BJ1625" s="2">
        <v>19.301205860189501</v>
      </c>
      <c r="BK1625" s="2">
        <v>19.115067889332501</v>
      </c>
      <c r="BL1625" s="2">
        <v>19.366156234144</v>
      </c>
      <c r="BM1625" s="2">
        <v>19.126042852376099</v>
      </c>
      <c r="BN1625" s="2">
        <v>19.228880961730901</v>
      </c>
      <c r="BO1625" s="2">
        <v>19.335400561418201</v>
      </c>
      <c r="BP1625" s="2">
        <v>19.128673345461799</v>
      </c>
      <c r="BQ1625" s="2">
        <v>19.413815884759401</v>
      </c>
      <c r="BR1625" s="2">
        <v>18.833105346924501</v>
      </c>
      <c r="BS1625" s="2">
        <v>19.150352786754699</v>
      </c>
      <c r="BT1625" s="2">
        <v>19.215170555202999</v>
      </c>
      <c r="BU1625" s="2">
        <v>18.857345522340001</v>
      </c>
      <c r="BV1625" s="2">
        <v>19.030679258506598</v>
      </c>
      <c r="BW1625" s="2">
        <v>19.088782779127602</v>
      </c>
      <c r="BX1625" s="2">
        <v>19.247402586286199</v>
      </c>
      <c r="BY1625" s="2">
        <v>19.149520217111</v>
      </c>
      <c r="BZ1625" s="2">
        <v>19.072845676818599</v>
      </c>
      <c r="CA1625" s="2">
        <v>18.955706829205901</v>
      </c>
      <c r="CB1625" s="2">
        <v>19.016982184362401</v>
      </c>
      <c r="CC1625" s="2">
        <v>19.312879499532201</v>
      </c>
      <c r="CD1625" s="2">
        <v>19.345205303753499</v>
      </c>
      <c r="CE1625" s="2">
        <v>18.910369183844601</v>
      </c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</row>
    <row r="1626" spans="1:97">
      <c r="A1626" s="2" t="s">
        <v>14383</v>
      </c>
      <c r="B1626" s="2">
        <v>384.31020999999998</v>
      </c>
      <c r="C1626" s="2">
        <v>9.5050000000000008</v>
      </c>
      <c r="D1626" s="2" t="s">
        <v>84</v>
      </c>
      <c r="E1626" s="2" t="s">
        <v>14384</v>
      </c>
      <c r="F1626" s="2" t="s">
        <v>14385</v>
      </c>
      <c r="G1626" s="2">
        <v>197979</v>
      </c>
      <c r="H1626" s="3" t="str">
        <f>HYPERLINK("https://cloud.oebiotech.com/#/lm/network/197979", "https://cloud.oebiotech.com/#/lm/network/197979")</f>
        <v>https://cloud.oebiotech.com/#/lm/network/197979</v>
      </c>
      <c r="I1626" s="2" t="s">
        <v>14386</v>
      </c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 t="s">
        <v>14387</v>
      </c>
      <c r="U1626" s="2" t="s">
        <v>14388</v>
      </c>
      <c r="V1626" s="2" t="s">
        <v>95</v>
      </c>
      <c r="W1626" s="2" t="s">
        <v>96</v>
      </c>
      <c r="X1626" s="2" t="s">
        <v>97</v>
      </c>
      <c r="Y1626" s="2" t="s">
        <v>98</v>
      </c>
      <c r="Z1626" s="2" t="s">
        <v>99</v>
      </c>
      <c r="AA1626" s="2" t="s">
        <v>100</v>
      </c>
      <c r="AB1626" s="2" t="s">
        <v>8443</v>
      </c>
      <c r="AC1626" s="2">
        <v>42.49</v>
      </c>
      <c r="AD1626" s="2">
        <v>85.85</v>
      </c>
      <c r="AE1626" s="2">
        <v>0</v>
      </c>
      <c r="AF1626" s="2" t="s">
        <v>14389</v>
      </c>
      <c r="AG1626" s="2" t="s">
        <v>1088</v>
      </c>
      <c r="AH1626" s="2" t="s">
        <v>14390</v>
      </c>
      <c r="AI1626" s="2">
        <v>3.12</v>
      </c>
      <c r="AJ1626" s="2">
        <v>17.715055397382802</v>
      </c>
      <c r="AK1626" s="2">
        <v>17.3906385350585</v>
      </c>
      <c r="AL1626" s="2">
        <v>18.144736998672599</v>
      </c>
      <c r="AM1626" s="2">
        <v>18.0085609141166</v>
      </c>
      <c r="AN1626" s="2">
        <v>17.9274562845658</v>
      </c>
      <c r="AO1626" s="2">
        <v>17.761434361933102</v>
      </c>
      <c r="AP1626" s="2">
        <v>18.006303229389498</v>
      </c>
      <c r="AQ1626" s="2">
        <v>18.022945609817601</v>
      </c>
      <c r="AR1626" s="2">
        <v>16.464995565201399</v>
      </c>
      <c r="AS1626" s="2">
        <v>16.1510783945435</v>
      </c>
      <c r="AT1626" s="2">
        <v>17.808324460423702</v>
      </c>
      <c r="AU1626" s="2">
        <v>16.523242472033399</v>
      </c>
      <c r="AV1626" s="2">
        <v>16.610305980408299</v>
      </c>
      <c r="AW1626" s="2">
        <v>16.690196497529801</v>
      </c>
      <c r="AX1626" s="2">
        <v>16.089161201360199</v>
      </c>
      <c r="AY1626" s="2">
        <v>17.161187006741699</v>
      </c>
      <c r="AZ1626" s="2">
        <v>17.831650159844699</v>
      </c>
      <c r="BA1626" s="2">
        <v>18.1531267563611</v>
      </c>
      <c r="BB1626" s="2">
        <v>18.475980201640599</v>
      </c>
      <c r="BC1626" s="2">
        <v>18.8073864328661</v>
      </c>
      <c r="BD1626" s="2">
        <v>17.538866476375901</v>
      </c>
      <c r="BE1626" s="2">
        <v>18.0763142610909</v>
      </c>
      <c r="BF1626" s="2">
        <v>15.2059253275182</v>
      </c>
      <c r="BG1626" s="2">
        <v>17.303410646292299</v>
      </c>
      <c r="BH1626" s="2">
        <v>18.280559784835699</v>
      </c>
      <c r="BI1626" s="2">
        <v>16.98496388365</v>
      </c>
      <c r="BJ1626" s="2">
        <v>18.0795647311007</v>
      </c>
      <c r="BK1626" s="2">
        <v>15.752014960652501</v>
      </c>
      <c r="BL1626" s="2">
        <v>17.628361877006199</v>
      </c>
      <c r="BM1626" s="2">
        <v>15.8272365030431</v>
      </c>
      <c r="BN1626" s="2">
        <v>17.844720412418901</v>
      </c>
      <c r="BO1626" s="2">
        <v>18.200777079369601</v>
      </c>
      <c r="BP1626" s="2">
        <v>18.182070201411999</v>
      </c>
      <c r="BQ1626" s="2">
        <v>17.9185261141673</v>
      </c>
      <c r="BR1626" s="2">
        <v>17.3809509726246</v>
      </c>
      <c r="BS1626" s="2">
        <v>17.694735965587402</v>
      </c>
      <c r="BT1626" s="2">
        <v>20.279669213376302</v>
      </c>
      <c r="BU1626" s="2">
        <v>18.1050481949264</v>
      </c>
      <c r="BV1626" s="2">
        <v>18.004292403926399</v>
      </c>
      <c r="BW1626" s="2">
        <v>17.6773606159339</v>
      </c>
      <c r="BX1626" s="2">
        <v>17.627982733211901</v>
      </c>
      <c r="BY1626" s="2">
        <v>17.214771410083799</v>
      </c>
      <c r="BZ1626" s="2">
        <v>17.3596805942278</v>
      </c>
      <c r="CA1626" s="2">
        <v>17.976853617845599</v>
      </c>
      <c r="CB1626" s="2">
        <v>16.893104659149198</v>
      </c>
      <c r="CC1626" s="2">
        <v>17.897559398044098</v>
      </c>
      <c r="CD1626" s="2">
        <v>17.2522987070139</v>
      </c>
      <c r="CE1626" s="2">
        <v>17.955614436753098</v>
      </c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</row>
    <row r="1627" spans="1:97">
      <c r="A1627" s="2" t="s">
        <v>14391</v>
      </c>
      <c r="B1627" s="2">
        <v>95.049400000000006</v>
      </c>
      <c r="C1627" s="2">
        <v>1.131</v>
      </c>
      <c r="D1627" s="2" t="s">
        <v>84</v>
      </c>
      <c r="E1627" s="2" t="s">
        <v>14392</v>
      </c>
      <c r="F1627" s="2" t="s">
        <v>14393</v>
      </c>
      <c r="G1627" s="2">
        <v>204005</v>
      </c>
      <c r="H1627" s="3" t="str">
        <f>HYPERLINK("https://cloud.oebiotech.com/#/lm/network/204005", "https://cloud.oebiotech.com/#/lm/network/204005")</f>
        <v>https://cloud.oebiotech.com/#/lm/network/204005</v>
      </c>
      <c r="I1627" s="2" t="s">
        <v>14394</v>
      </c>
      <c r="J1627" s="2">
        <v>65651</v>
      </c>
      <c r="K1627" s="2"/>
      <c r="L1627" s="2">
        <v>104944</v>
      </c>
      <c r="M1627" s="2" t="s">
        <v>14395</v>
      </c>
      <c r="N1627" s="2" t="s">
        <v>14396</v>
      </c>
      <c r="O1627" s="2" t="s">
        <v>14397</v>
      </c>
      <c r="P1627" s="2"/>
      <c r="Q1627" s="2"/>
      <c r="R1627" s="2"/>
      <c r="S1627" s="2"/>
      <c r="T1627" s="2" t="s">
        <v>14398</v>
      </c>
      <c r="U1627" s="2" t="s">
        <v>14399</v>
      </c>
      <c r="V1627" s="2" t="s">
        <v>553</v>
      </c>
      <c r="W1627" s="2" t="s">
        <v>2001</v>
      </c>
      <c r="X1627" s="2" t="s">
        <v>375</v>
      </c>
      <c r="Y1627" s="2" t="s">
        <v>556</v>
      </c>
      <c r="Z1627" s="2" t="s">
        <v>2002</v>
      </c>
      <c r="AA1627" s="2"/>
      <c r="AB1627" s="2" t="s">
        <v>8443</v>
      </c>
      <c r="AC1627" s="2">
        <v>42.46</v>
      </c>
      <c r="AD1627" s="2">
        <v>96.38</v>
      </c>
      <c r="AE1627" s="2">
        <v>30.75</v>
      </c>
      <c r="AF1627" s="2" t="s">
        <v>14400</v>
      </c>
      <c r="AG1627" s="2" t="s">
        <v>103</v>
      </c>
      <c r="AH1627" s="2" t="s">
        <v>10540</v>
      </c>
      <c r="AI1627" s="2">
        <v>-2.74</v>
      </c>
      <c r="AJ1627" s="2">
        <v>23.223440704117799</v>
      </c>
      <c r="AK1627" s="2">
        <v>23.015078916632699</v>
      </c>
      <c r="AL1627" s="2">
        <v>23.247250894536599</v>
      </c>
      <c r="AM1627" s="2">
        <v>23.378660449363199</v>
      </c>
      <c r="AN1627" s="2">
        <v>23.4232348123635</v>
      </c>
      <c r="AO1627" s="2">
        <v>23.326202005813499</v>
      </c>
      <c r="AP1627" s="2">
        <v>23.549185475023901</v>
      </c>
      <c r="AQ1627" s="2">
        <v>23.094352924706399</v>
      </c>
      <c r="AR1627" s="2">
        <v>23.0910230163704</v>
      </c>
      <c r="AS1627" s="2">
        <v>22.7930422131843</v>
      </c>
      <c r="AT1627" s="2">
        <v>23.1181642856053</v>
      </c>
      <c r="AU1627" s="2">
        <v>23.319766583494399</v>
      </c>
      <c r="AV1627" s="2">
        <v>23.394007619942201</v>
      </c>
      <c r="AW1627" s="2">
        <v>23.108840830283899</v>
      </c>
      <c r="AX1627" s="2">
        <v>23.232650291425099</v>
      </c>
      <c r="AY1627" s="2">
        <v>23.300374281358</v>
      </c>
      <c r="AZ1627" s="2">
        <v>23.261983319397</v>
      </c>
      <c r="BA1627" s="2">
        <v>23.093566798204499</v>
      </c>
      <c r="BB1627" s="2">
        <v>23.643644704407102</v>
      </c>
      <c r="BC1627" s="2">
        <v>23.352706100220701</v>
      </c>
      <c r="BD1627" s="2">
        <v>23.101676847117499</v>
      </c>
      <c r="BE1627" s="2">
        <v>23.468936468662001</v>
      </c>
      <c r="BF1627" s="2">
        <v>22.713256156007201</v>
      </c>
      <c r="BG1627" s="2">
        <v>23.819804774128901</v>
      </c>
      <c r="BH1627" s="2">
        <v>23.282659715346099</v>
      </c>
      <c r="BI1627" s="2">
        <v>23.1860248302157</v>
      </c>
      <c r="BJ1627" s="2">
        <v>22.961477859395998</v>
      </c>
      <c r="BK1627" s="2">
        <v>23.398737462840501</v>
      </c>
      <c r="BL1627" s="2">
        <v>23.1610067608501</v>
      </c>
      <c r="BM1627" s="2">
        <v>23.862190999455901</v>
      </c>
      <c r="BN1627" s="2">
        <v>23.3474435160038</v>
      </c>
      <c r="BO1627" s="2">
        <v>23.218960416141801</v>
      </c>
      <c r="BP1627" s="2">
        <v>23.318719981992501</v>
      </c>
      <c r="BQ1627" s="2">
        <v>23.362552898215601</v>
      </c>
      <c r="BR1627" s="2">
        <v>23.0552555800957</v>
      </c>
      <c r="BS1627" s="2">
        <v>23.117163619860701</v>
      </c>
      <c r="BT1627" s="2">
        <v>23.1307656706397</v>
      </c>
      <c r="BU1627" s="2">
        <v>23.188053475398299</v>
      </c>
      <c r="BV1627" s="2">
        <v>23.3992126885692</v>
      </c>
      <c r="BW1627" s="2">
        <v>22.666961604471201</v>
      </c>
      <c r="BX1627" s="2">
        <v>23.184743462995399</v>
      </c>
      <c r="BY1627" s="2">
        <v>23.58259595182</v>
      </c>
      <c r="BZ1627" s="2">
        <v>23.486997087874499</v>
      </c>
      <c r="CA1627" s="2">
        <v>23.5171329738954</v>
      </c>
      <c r="CB1627" s="2">
        <v>22.971543799522799</v>
      </c>
      <c r="CC1627" s="2">
        <v>22.992057346687702</v>
      </c>
      <c r="CD1627" s="2">
        <v>23.440755584708398</v>
      </c>
      <c r="CE1627" s="2">
        <v>23.124276638690699</v>
      </c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</row>
    <row r="1628" spans="1:97">
      <c r="A1628" s="2" t="s">
        <v>14401</v>
      </c>
      <c r="B1628" s="2">
        <v>128.95927</v>
      </c>
      <c r="C1628" s="2">
        <v>0.65400000000000003</v>
      </c>
      <c r="D1628" s="2" t="s">
        <v>146</v>
      </c>
      <c r="E1628" s="2" t="s">
        <v>14402</v>
      </c>
      <c r="F1628" s="2" t="s">
        <v>14403</v>
      </c>
      <c r="G1628" s="2">
        <v>207622</v>
      </c>
      <c r="H1628" s="3" t="str">
        <f>HYPERLINK("https://cloud.oebiotech.com/#/lm/network/207622", "https://cloud.oebiotech.com/#/lm/network/207622")</f>
        <v>https://cloud.oebiotech.com/#/lm/network/207622</v>
      </c>
      <c r="I1628" s="2" t="s">
        <v>14404</v>
      </c>
      <c r="J1628" s="2"/>
      <c r="K1628" s="2"/>
      <c r="L1628" s="2">
        <v>17887040</v>
      </c>
      <c r="M1628" s="2"/>
      <c r="N1628" s="2"/>
      <c r="O1628" s="2"/>
      <c r="P1628" s="2"/>
      <c r="Q1628" s="2"/>
      <c r="R1628" s="2"/>
      <c r="S1628" s="2"/>
      <c r="T1628" s="2" t="s">
        <v>14405</v>
      </c>
      <c r="U1628" s="2" t="s">
        <v>14406</v>
      </c>
      <c r="V1628" s="2" t="s">
        <v>115</v>
      </c>
      <c r="W1628" s="2" t="s">
        <v>5480</v>
      </c>
      <c r="X1628" s="2" t="s">
        <v>375</v>
      </c>
      <c r="Y1628" s="2" t="s">
        <v>118</v>
      </c>
      <c r="Z1628" s="2" t="s">
        <v>5482</v>
      </c>
      <c r="AA1628" s="2"/>
      <c r="AB1628" s="2" t="s">
        <v>8443</v>
      </c>
      <c r="AC1628" s="2">
        <v>42.46</v>
      </c>
      <c r="AD1628" s="2">
        <v>82.96</v>
      </c>
      <c r="AE1628" s="2">
        <v>0</v>
      </c>
      <c r="AF1628" s="2" t="s">
        <v>14407</v>
      </c>
      <c r="AG1628" s="2" t="s">
        <v>4062</v>
      </c>
      <c r="AH1628" s="2" t="s">
        <v>14408</v>
      </c>
      <c r="AI1628" s="2">
        <v>2.71</v>
      </c>
      <c r="AJ1628" s="2">
        <v>22.707437121948999</v>
      </c>
      <c r="AK1628" s="2">
        <v>22.387698164593601</v>
      </c>
      <c r="AL1628" s="2">
        <v>22.614961859658798</v>
      </c>
      <c r="AM1628" s="2">
        <v>22.473348823406099</v>
      </c>
      <c r="AN1628" s="2">
        <v>22.407901668489298</v>
      </c>
      <c r="AO1628" s="2">
        <v>22.6238579169414</v>
      </c>
      <c r="AP1628" s="2">
        <v>22.384836511069899</v>
      </c>
      <c r="AQ1628" s="2">
        <v>22.380441141903098</v>
      </c>
      <c r="AR1628" s="2">
        <v>22.6561264990716</v>
      </c>
      <c r="AS1628" s="2">
        <v>22.6672441666976</v>
      </c>
      <c r="AT1628" s="2">
        <v>22.5215574274524</v>
      </c>
      <c r="AU1628" s="2">
        <v>23.141703033468399</v>
      </c>
      <c r="AV1628" s="2">
        <v>22.4409105795282</v>
      </c>
      <c r="AW1628" s="2">
        <v>22.544031864688801</v>
      </c>
      <c r="AX1628" s="2">
        <v>22.304949590788699</v>
      </c>
      <c r="AY1628" s="2">
        <v>22.623939292743199</v>
      </c>
      <c r="AZ1628" s="2">
        <v>22.688359273492502</v>
      </c>
      <c r="BA1628" s="2">
        <v>22.7854837865044</v>
      </c>
      <c r="BB1628" s="2">
        <v>22.6759348532158</v>
      </c>
      <c r="BC1628" s="2">
        <v>22.919300339238799</v>
      </c>
      <c r="BD1628" s="2">
        <v>22.549893880355899</v>
      </c>
      <c r="BE1628" s="2">
        <v>22.4452311470918</v>
      </c>
      <c r="BF1628" s="2">
        <v>22.676228568076599</v>
      </c>
      <c r="BG1628" s="2">
        <v>22.456880539050399</v>
      </c>
      <c r="BH1628" s="2">
        <v>22.3653241512481</v>
      </c>
      <c r="BI1628" s="2">
        <v>22.373642540624999</v>
      </c>
      <c r="BJ1628" s="2">
        <v>22.621204263530299</v>
      </c>
      <c r="BK1628" s="2">
        <v>23.044572801810901</v>
      </c>
      <c r="BL1628" s="2">
        <v>22.573092211032701</v>
      </c>
      <c r="BM1628" s="2">
        <v>23.0984474344285</v>
      </c>
      <c r="BN1628" s="2">
        <v>22.571083035508</v>
      </c>
      <c r="BO1628" s="2">
        <v>22.453390436753399</v>
      </c>
      <c r="BP1628" s="2">
        <v>22.0680104757717</v>
      </c>
      <c r="BQ1628" s="2">
        <v>22.504730651040699</v>
      </c>
      <c r="BR1628" s="2">
        <v>22.859099208934602</v>
      </c>
      <c r="BS1628" s="2">
        <v>22.242169817374599</v>
      </c>
      <c r="BT1628" s="2">
        <v>22.608061157669699</v>
      </c>
      <c r="BU1628" s="2">
        <v>22.6026764178668</v>
      </c>
      <c r="BV1628" s="2">
        <v>22.621482484436601</v>
      </c>
      <c r="BW1628" s="2">
        <v>23.097791712638401</v>
      </c>
      <c r="BX1628" s="2">
        <v>22.814012755633598</v>
      </c>
      <c r="BY1628" s="2">
        <v>22.3124464183058</v>
      </c>
      <c r="BZ1628" s="2">
        <v>22.7771849416321</v>
      </c>
      <c r="CA1628" s="2">
        <v>22.441640235658699</v>
      </c>
      <c r="CB1628" s="2">
        <v>22.4599660217146</v>
      </c>
      <c r="CC1628" s="2">
        <v>22.783911152516499</v>
      </c>
      <c r="CD1628" s="2">
        <v>22.005566027329799</v>
      </c>
      <c r="CE1628" s="2">
        <v>22.566456693573901</v>
      </c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</row>
    <row r="1629" spans="1:97">
      <c r="A1629" s="2" t="s">
        <v>14409</v>
      </c>
      <c r="B1629" s="2">
        <v>381.03921000000003</v>
      </c>
      <c r="C1629" s="2">
        <v>1.03</v>
      </c>
      <c r="D1629" s="2" t="s">
        <v>146</v>
      </c>
      <c r="E1629" s="2" t="s">
        <v>14410</v>
      </c>
      <c r="F1629" s="2" t="s">
        <v>14411</v>
      </c>
      <c r="G1629" s="2">
        <v>32874</v>
      </c>
      <c r="H1629" s="3" t="str">
        <f>HYPERLINK("https://cloud.oebiotech.com/#/lm/network/32874", "https://cloud.oebiotech.com/#/lm/network/32874")</f>
        <v>https://cloud.oebiotech.com/#/lm/network/32874</v>
      </c>
      <c r="I1629" s="2"/>
      <c r="J1629" s="2">
        <v>51201</v>
      </c>
      <c r="K1629" s="2" t="s">
        <v>14412</v>
      </c>
      <c r="L1629" s="2">
        <v>44259718</v>
      </c>
      <c r="M1629" s="2"/>
      <c r="N1629" s="2"/>
      <c r="O1629" s="2"/>
      <c r="P1629" s="2">
        <v>70004</v>
      </c>
      <c r="Q1629" s="2"/>
      <c r="R1629" s="2"/>
      <c r="S1629" s="2"/>
      <c r="T1629" s="2" t="s">
        <v>14413</v>
      </c>
      <c r="U1629" s="2" t="s">
        <v>14414</v>
      </c>
      <c r="V1629" s="2" t="s">
        <v>845</v>
      </c>
      <c r="W1629" s="2" t="s">
        <v>1853</v>
      </c>
      <c r="X1629" s="2" t="s">
        <v>1854</v>
      </c>
      <c r="Y1629" s="2" t="s">
        <v>847</v>
      </c>
      <c r="Z1629" s="2" t="s">
        <v>1855</v>
      </c>
      <c r="AA1629" s="2" t="s">
        <v>1856</v>
      </c>
      <c r="AB1629" s="2" t="s">
        <v>5118</v>
      </c>
      <c r="AC1629" s="2">
        <v>42.43</v>
      </c>
      <c r="AD1629" s="2">
        <v>68.78</v>
      </c>
      <c r="AE1629" s="2">
        <v>62.73</v>
      </c>
      <c r="AF1629" s="2" t="s">
        <v>14415</v>
      </c>
      <c r="AG1629" s="2" t="s">
        <v>4062</v>
      </c>
      <c r="AH1629" s="2" t="s">
        <v>14416</v>
      </c>
      <c r="AI1629" s="2">
        <v>-2.36</v>
      </c>
      <c r="AJ1629" s="2">
        <v>19.939617836099298</v>
      </c>
      <c r="AK1629" s="2">
        <v>19.667530419997199</v>
      </c>
      <c r="AL1629" s="2">
        <v>19.943340469260001</v>
      </c>
      <c r="AM1629" s="2">
        <v>20.184370175163998</v>
      </c>
      <c r="AN1629" s="2">
        <v>19.932247788932798</v>
      </c>
      <c r="AO1629" s="2">
        <v>19.118949662822999</v>
      </c>
      <c r="AP1629" s="2">
        <v>19.935105742948501</v>
      </c>
      <c r="AQ1629" s="2">
        <v>19.326593232916</v>
      </c>
      <c r="AR1629" s="2">
        <v>20.208039888570202</v>
      </c>
      <c r="AS1629" s="2">
        <v>19.930227913738701</v>
      </c>
      <c r="AT1629" s="2">
        <v>20.3156935601294</v>
      </c>
      <c r="AU1629" s="2">
        <v>18.905671133380299</v>
      </c>
      <c r="AV1629" s="2">
        <v>19.880728506039301</v>
      </c>
      <c r="AW1629" s="2">
        <v>19.308238804934799</v>
      </c>
      <c r="AX1629" s="2">
        <v>19.775153161602201</v>
      </c>
      <c r="AY1629" s="2">
        <v>18.281219866262401</v>
      </c>
      <c r="AZ1629" s="2">
        <v>19.604109213664799</v>
      </c>
      <c r="BA1629" s="2">
        <v>18.684296372073799</v>
      </c>
      <c r="BB1629" s="2">
        <v>20.180747313357902</v>
      </c>
      <c r="BC1629" s="2">
        <v>19.379283909661201</v>
      </c>
      <c r="BD1629" s="2">
        <v>20.276305469318501</v>
      </c>
      <c r="BE1629" s="2">
        <v>18.651100685791299</v>
      </c>
      <c r="BF1629" s="2">
        <v>20.673775596264399</v>
      </c>
      <c r="BG1629" s="2">
        <v>20.702285628281398</v>
      </c>
      <c r="BH1629" s="2">
        <v>19.542516239790402</v>
      </c>
      <c r="BI1629" s="2">
        <v>20.3909947529256</v>
      </c>
      <c r="BJ1629" s="2">
        <v>20.837837263972901</v>
      </c>
      <c r="BK1629" s="2">
        <v>19.948692350055001</v>
      </c>
      <c r="BL1629" s="2">
        <v>19.977649288395</v>
      </c>
      <c r="BM1629" s="2">
        <v>18.268366367658299</v>
      </c>
      <c r="BN1629" s="2">
        <v>18.916387886814501</v>
      </c>
      <c r="BO1629" s="2">
        <v>18.694829466720201</v>
      </c>
      <c r="BP1629" s="2">
        <v>20.2283849244895</v>
      </c>
      <c r="BQ1629" s="2">
        <v>19.564164937352899</v>
      </c>
      <c r="BR1629" s="2">
        <v>20.021223184430099</v>
      </c>
      <c r="BS1629" s="2">
        <v>20.560091764647002</v>
      </c>
      <c r="BT1629" s="2">
        <v>18.6996044090514</v>
      </c>
      <c r="BU1629" s="2">
        <v>20.222346207383801</v>
      </c>
      <c r="BV1629" s="2">
        <v>19.4127231514695</v>
      </c>
      <c r="BW1629" s="2">
        <v>19.358366434866198</v>
      </c>
      <c r="BX1629" s="2">
        <v>18.619269528790898</v>
      </c>
      <c r="BY1629" s="2">
        <v>19.092920469078599</v>
      </c>
      <c r="BZ1629" s="2">
        <v>19.2221263131005</v>
      </c>
      <c r="CA1629" s="2">
        <v>20.890743514172399</v>
      </c>
      <c r="CB1629" s="2">
        <v>18.976589210384201</v>
      </c>
      <c r="CC1629" s="2">
        <v>19.410203859812999</v>
      </c>
      <c r="CD1629" s="2">
        <v>19.569071074223</v>
      </c>
      <c r="CE1629" s="2">
        <v>20.393033405739502</v>
      </c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</row>
    <row r="1630" spans="1:97">
      <c r="A1630" s="2" t="s">
        <v>14417</v>
      </c>
      <c r="B1630" s="2">
        <v>838.63175999999999</v>
      </c>
      <c r="C1630" s="2">
        <v>8.8059999999999992</v>
      </c>
      <c r="D1630" s="2" t="s">
        <v>84</v>
      </c>
      <c r="E1630" s="2" t="s">
        <v>14418</v>
      </c>
      <c r="F1630" s="2" t="s">
        <v>14419</v>
      </c>
      <c r="G1630" s="2">
        <v>18341</v>
      </c>
      <c r="H1630" s="3" t="str">
        <f>HYPERLINK("https://cloud.oebiotech.com/#/lm/network/18341", "https://cloud.oebiotech.com/#/lm/network/18341")</f>
        <v>https://cloud.oebiotech.com/#/lm/network/18341</v>
      </c>
      <c r="I1630" s="2" t="s">
        <v>14420</v>
      </c>
      <c r="J1630" s="2">
        <v>59492</v>
      </c>
      <c r="K1630" s="2" t="s">
        <v>14421</v>
      </c>
      <c r="L1630" s="2">
        <v>24778842</v>
      </c>
      <c r="M1630" s="2" t="s">
        <v>4595</v>
      </c>
      <c r="N1630" s="2" t="s">
        <v>4596</v>
      </c>
      <c r="O1630" s="2" t="s">
        <v>4597</v>
      </c>
      <c r="P1630" s="2">
        <v>86173</v>
      </c>
      <c r="Q1630" s="2"/>
      <c r="R1630" s="2"/>
      <c r="S1630" s="2"/>
      <c r="T1630" s="2" t="s">
        <v>14422</v>
      </c>
      <c r="U1630" s="2" t="s">
        <v>14423</v>
      </c>
      <c r="V1630" s="2" t="s">
        <v>95</v>
      </c>
      <c r="W1630" s="2" t="s">
        <v>202</v>
      </c>
      <c r="X1630" s="2" t="s">
        <v>203</v>
      </c>
      <c r="Y1630" s="2" t="s">
        <v>98</v>
      </c>
      <c r="Z1630" s="2" t="s">
        <v>204</v>
      </c>
      <c r="AA1630" s="2" t="s">
        <v>205</v>
      </c>
      <c r="AB1630" s="2" t="s">
        <v>5118</v>
      </c>
      <c r="AC1630" s="2">
        <v>42.39</v>
      </c>
      <c r="AD1630" s="2">
        <v>74.69</v>
      </c>
      <c r="AE1630" s="2">
        <v>56.72</v>
      </c>
      <c r="AF1630" s="2" t="s">
        <v>14424</v>
      </c>
      <c r="AG1630" s="2" t="s">
        <v>1578</v>
      </c>
      <c r="AH1630" s="2" t="s">
        <v>14425</v>
      </c>
      <c r="AI1630" s="2">
        <v>-2.62</v>
      </c>
      <c r="AJ1630" s="2">
        <v>18.956632186579899</v>
      </c>
      <c r="AK1630" s="2">
        <v>19.257718477666302</v>
      </c>
      <c r="AL1630" s="2">
        <v>18.9608690390953</v>
      </c>
      <c r="AM1630" s="2">
        <v>19.2572754270352</v>
      </c>
      <c r="AN1630" s="2">
        <v>19.240156776615201</v>
      </c>
      <c r="AO1630" s="2">
        <v>18.6891868688265</v>
      </c>
      <c r="AP1630" s="2">
        <v>19.1225920162256</v>
      </c>
      <c r="AQ1630" s="2">
        <v>18.846661917735801</v>
      </c>
      <c r="AR1630" s="2">
        <v>18.410797474638599</v>
      </c>
      <c r="AS1630" s="2">
        <v>17.613909290878698</v>
      </c>
      <c r="AT1630" s="2">
        <v>17.643855978442399</v>
      </c>
      <c r="AU1630" s="2">
        <v>18.602516160882701</v>
      </c>
      <c r="AV1630" s="2">
        <v>18.541011890837598</v>
      </c>
      <c r="AW1630" s="2">
        <v>18.233773334995099</v>
      </c>
      <c r="AX1630" s="2">
        <v>18.341052747393501</v>
      </c>
      <c r="AY1630" s="2">
        <v>17.842232901116201</v>
      </c>
      <c r="AZ1630" s="2">
        <v>18.025448563773502</v>
      </c>
      <c r="BA1630" s="2">
        <v>18.9420957603893</v>
      </c>
      <c r="BB1630" s="2">
        <v>18.520100840325199</v>
      </c>
      <c r="BC1630" s="2">
        <v>18.2303251255573</v>
      </c>
      <c r="BD1630" s="2">
        <v>17.6541472769926</v>
      </c>
      <c r="BE1630" s="2">
        <v>16.9370286926608</v>
      </c>
      <c r="BF1630" s="2">
        <v>17.4928459380729</v>
      </c>
      <c r="BG1630" s="2">
        <v>18.373690220617402</v>
      </c>
      <c r="BH1630" s="2">
        <v>18.4212469310934</v>
      </c>
      <c r="BI1630" s="2">
        <v>17.477074015977799</v>
      </c>
      <c r="BJ1630" s="2">
        <v>18.007298666770801</v>
      </c>
      <c r="BK1630" s="2">
        <v>18.033633780679398</v>
      </c>
      <c r="BL1630" s="2">
        <v>19.1223027843035</v>
      </c>
      <c r="BM1630" s="2">
        <v>18.538502054517501</v>
      </c>
      <c r="BN1630" s="2">
        <v>17.669281078392999</v>
      </c>
      <c r="BO1630" s="2">
        <v>17.679088652146699</v>
      </c>
      <c r="BP1630" s="2">
        <v>18.6853152117679</v>
      </c>
      <c r="BQ1630" s="2">
        <v>19.3012776566101</v>
      </c>
      <c r="BR1630" s="2">
        <v>18.066925550452499</v>
      </c>
      <c r="BS1630" s="2">
        <v>17.365934762400698</v>
      </c>
      <c r="BT1630" s="2">
        <v>17.773060951272601</v>
      </c>
      <c r="BU1630" s="2">
        <v>18.003125979720298</v>
      </c>
      <c r="BV1630" s="2">
        <v>18.675558047189</v>
      </c>
      <c r="BW1630" s="2">
        <v>19.1420922702011</v>
      </c>
      <c r="BX1630" s="2">
        <v>17.685677532828102</v>
      </c>
      <c r="BY1630" s="2">
        <v>16.666210130668802</v>
      </c>
      <c r="BZ1630" s="2">
        <v>18.767993046688499</v>
      </c>
      <c r="CA1630" s="2">
        <v>18.430763656409798</v>
      </c>
      <c r="CB1630" s="2">
        <v>20.731848847351799</v>
      </c>
      <c r="CC1630" s="2">
        <v>19.757608316635299</v>
      </c>
      <c r="CD1630" s="2">
        <v>18.004164933079601</v>
      </c>
      <c r="CE1630" s="2">
        <v>18.409935366244</v>
      </c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</row>
    <row r="1631" spans="1:97">
      <c r="A1631" s="2" t="s">
        <v>14426</v>
      </c>
      <c r="B1631" s="2">
        <v>219.04489000000001</v>
      </c>
      <c r="C1631" s="2">
        <v>0.71</v>
      </c>
      <c r="D1631" s="2" t="s">
        <v>146</v>
      </c>
      <c r="E1631" s="2" t="s">
        <v>14427</v>
      </c>
      <c r="F1631" s="2" t="s">
        <v>14428</v>
      </c>
      <c r="G1631" s="2">
        <v>47937</v>
      </c>
      <c r="H1631" s="3" t="str">
        <f>HYPERLINK("https://cloud.oebiotech.com/#/lm/network/47937", "https://cloud.oebiotech.com/#/lm/network/47937")</f>
        <v>https://cloud.oebiotech.com/#/lm/network/47937</v>
      </c>
      <c r="I1631" s="2" t="s">
        <v>14429</v>
      </c>
      <c r="J1631" s="2">
        <v>6666</v>
      </c>
      <c r="K1631" s="2"/>
      <c r="L1631" s="2">
        <v>171386</v>
      </c>
      <c r="M1631" s="2"/>
      <c r="N1631" s="2"/>
      <c r="O1631" s="2"/>
      <c r="P1631" s="2">
        <v>174226</v>
      </c>
      <c r="Q1631" s="2"/>
      <c r="R1631" s="2"/>
      <c r="S1631" s="2" t="s">
        <v>14430</v>
      </c>
      <c r="T1631" s="2" t="s">
        <v>14431</v>
      </c>
      <c r="U1631" s="2" t="s">
        <v>14432</v>
      </c>
      <c r="V1631" s="2" t="s">
        <v>115</v>
      </c>
      <c r="W1631" s="2" t="s">
        <v>116</v>
      </c>
      <c r="X1631" s="2" t="s">
        <v>117</v>
      </c>
      <c r="Y1631" s="2" t="s">
        <v>118</v>
      </c>
      <c r="Z1631" s="2" t="s">
        <v>119</v>
      </c>
      <c r="AA1631" s="2" t="s">
        <v>120</v>
      </c>
      <c r="AB1631" s="2" t="s">
        <v>8443</v>
      </c>
      <c r="AC1631" s="2">
        <v>42.39</v>
      </c>
      <c r="AD1631" s="2">
        <v>92.02</v>
      </c>
      <c r="AE1631" s="2">
        <v>0</v>
      </c>
      <c r="AF1631" s="2" t="s">
        <v>5614</v>
      </c>
      <c r="AG1631" s="2" t="s">
        <v>993</v>
      </c>
      <c r="AH1631" s="2" t="s">
        <v>14433</v>
      </c>
      <c r="AI1631" s="2">
        <v>-4.57</v>
      </c>
      <c r="AJ1631" s="2">
        <v>19.809308956378398</v>
      </c>
      <c r="AK1631" s="2">
        <v>19.862440751419101</v>
      </c>
      <c r="AL1631" s="2">
        <v>19.731563592188898</v>
      </c>
      <c r="AM1631" s="2">
        <v>19.6903169984237</v>
      </c>
      <c r="AN1631" s="2">
        <v>19.991203068634999</v>
      </c>
      <c r="AO1631" s="2">
        <v>19.6927074889586</v>
      </c>
      <c r="AP1631" s="2">
        <v>19.5836744867402</v>
      </c>
      <c r="AQ1631" s="2">
        <v>19.621802955125698</v>
      </c>
      <c r="AR1631" s="2">
        <v>19.521391181629198</v>
      </c>
      <c r="AS1631" s="2">
        <v>19.6065696783078</v>
      </c>
      <c r="AT1631" s="2">
        <v>16.107524621009699</v>
      </c>
      <c r="AU1631" s="2">
        <v>18.568452718235399</v>
      </c>
      <c r="AV1631" s="2">
        <v>19.0638226596548</v>
      </c>
      <c r="AW1631" s="2">
        <v>19.710662814749298</v>
      </c>
      <c r="AX1631" s="2">
        <v>20.544210172652601</v>
      </c>
      <c r="AY1631" s="2">
        <v>22.189820882875701</v>
      </c>
      <c r="AZ1631" s="2">
        <v>18.926580349490401</v>
      </c>
      <c r="BA1631" s="2">
        <v>17.702781978435802</v>
      </c>
      <c r="BB1631" s="2">
        <v>18.436147635231698</v>
      </c>
      <c r="BC1631" s="2">
        <v>16.020838691242901</v>
      </c>
      <c r="BD1631" s="2">
        <v>19.880337492211599</v>
      </c>
      <c r="BE1631" s="2">
        <v>18.473027107391999</v>
      </c>
      <c r="BF1631" s="2">
        <v>20.3507131494136</v>
      </c>
      <c r="BG1631" s="2">
        <v>17.868057306394601</v>
      </c>
      <c r="BH1631" s="2">
        <v>19.559189227379001</v>
      </c>
      <c r="BI1631" s="2">
        <v>18.644230445919099</v>
      </c>
      <c r="BJ1631" s="2">
        <v>20.698704895650099</v>
      </c>
      <c r="BK1631" s="2">
        <v>18.506629171338101</v>
      </c>
      <c r="BL1631" s="2">
        <v>17.520293555700299</v>
      </c>
      <c r="BM1631" s="2">
        <v>19.8732942195238</v>
      </c>
      <c r="BN1631" s="2">
        <v>17.921939294010901</v>
      </c>
      <c r="BO1631" s="2">
        <v>18.261477099703701</v>
      </c>
      <c r="BP1631" s="2">
        <v>17.2334060351319</v>
      </c>
      <c r="BQ1631" s="2">
        <v>20.518292486773799</v>
      </c>
      <c r="BR1631" s="2">
        <v>18.860422063567999</v>
      </c>
      <c r="BS1631" s="2">
        <v>20.139004432711399</v>
      </c>
      <c r="BT1631" s="2">
        <v>17.6912473438917</v>
      </c>
      <c r="BU1631" s="2">
        <v>18.4276373108958</v>
      </c>
      <c r="BV1631" s="2">
        <v>16.093088009591099</v>
      </c>
      <c r="BW1631" s="2">
        <v>9.6233145402724691</v>
      </c>
      <c r="BX1631" s="2">
        <v>17.762481443784701</v>
      </c>
      <c r="BY1631" s="2">
        <v>18.516705414015199</v>
      </c>
      <c r="BZ1631" s="2">
        <v>20.4570880805021</v>
      </c>
      <c r="CA1631" s="2">
        <v>21.2372691162394</v>
      </c>
      <c r="CB1631" s="2">
        <v>17.798311301463901</v>
      </c>
      <c r="CC1631" s="2">
        <v>19.262433969727599</v>
      </c>
      <c r="CD1631" s="2">
        <v>22.668736003325801</v>
      </c>
      <c r="CE1631" s="2">
        <v>19.002361905172801</v>
      </c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</row>
    <row r="1632" spans="1:97">
      <c r="A1632" s="2" t="s">
        <v>14434</v>
      </c>
      <c r="B1632" s="2">
        <v>232.97486000000001</v>
      </c>
      <c r="C1632" s="2">
        <v>1.0389999999999999</v>
      </c>
      <c r="D1632" s="2" t="s">
        <v>146</v>
      </c>
      <c r="E1632" s="2" t="s">
        <v>14435</v>
      </c>
      <c r="F1632" s="2" t="s">
        <v>14436</v>
      </c>
      <c r="G1632" s="2">
        <v>197084</v>
      </c>
      <c r="H1632" s="3" t="str">
        <f>HYPERLINK("https://cloud.oebiotech.com/#/lm/network/197084", "https://cloud.oebiotech.com/#/lm/network/197084")</f>
        <v>https://cloud.oebiotech.com/#/lm/network/197084</v>
      </c>
      <c r="I1632" s="2" t="s">
        <v>14437</v>
      </c>
      <c r="J1632" s="2"/>
      <c r="K1632" s="2"/>
      <c r="L1632" s="2"/>
      <c r="M1632" s="2"/>
      <c r="N1632" s="2"/>
      <c r="O1632" s="2"/>
      <c r="P1632" s="2"/>
      <c r="Q1632" s="2"/>
      <c r="R1632" s="2"/>
      <c r="S1632" s="2" t="s">
        <v>14438</v>
      </c>
      <c r="T1632" s="2" t="s">
        <v>14439</v>
      </c>
      <c r="U1632" s="2" t="s">
        <v>14440</v>
      </c>
      <c r="V1632" s="2" t="s">
        <v>115</v>
      </c>
      <c r="W1632" s="2" t="s">
        <v>613</v>
      </c>
      <c r="X1632" s="2" t="s">
        <v>614</v>
      </c>
      <c r="Y1632" s="2" t="s">
        <v>118</v>
      </c>
      <c r="Z1632" s="2" t="s">
        <v>615</v>
      </c>
      <c r="AA1632" s="2" t="s">
        <v>616</v>
      </c>
      <c r="AB1632" s="2" t="s">
        <v>8443</v>
      </c>
      <c r="AC1632" s="2">
        <v>42.34</v>
      </c>
      <c r="AD1632" s="2">
        <v>91.64</v>
      </c>
      <c r="AE1632" s="2">
        <v>0</v>
      </c>
      <c r="AF1632" s="2" t="s">
        <v>5614</v>
      </c>
      <c r="AG1632" s="2" t="s">
        <v>194</v>
      </c>
      <c r="AH1632" s="2" t="s">
        <v>14441</v>
      </c>
      <c r="AI1632" s="2">
        <v>5.58</v>
      </c>
      <c r="AJ1632" s="2">
        <v>17.5671520276744</v>
      </c>
      <c r="AK1632" s="2">
        <v>17.676446854866999</v>
      </c>
      <c r="AL1632" s="2">
        <v>17.841234470426301</v>
      </c>
      <c r="AM1632" s="2">
        <v>17.314822452252599</v>
      </c>
      <c r="AN1632" s="2">
        <v>17.288289342180999</v>
      </c>
      <c r="AO1632" s="2">
        <v>17.532866495156298</v>
      </c>
      <c r="AP1632" s="2">
        <v>17.308934015581698</v>
      </c>
      <c r="AQ1632" s="2">
        <v>17.2989849058091</v>
      </c>
      <c r="AR1632" s="2">
        <v>17.478752874713798</v>
      </c>
      <c r="AS1632" s="2">
        <v>17.3798150966519</v>
      </c>
      <c r="AT1632" s="2">
        <v>18.126520777229199</v>
      </c>
      <c r="AU1632" s="2">
        <v>14.6566058592012</v>
      </c>
      <c r="AV1632" s="2">
        <v>17.963239065398501</v>
      </c>
      <c r="AW1632" s="2">
        <v>18.335536033575899</v>
      </c>
      <c r="AX1632" s="2">
        <v>18.118944721621599</v>
      </c>
      <c r="AY1632" s="2">
        <v>17.321182603797499</v>
      </c>
      <c r="AZ1632" s="2">
        <v>17.720800621754901</v>
      </c>
      <c r="BA1632" s="2">
        <v>17.285398696653299</v>
      </c>
      <c r="BB1632" s="2">
        <v>18.411503995306798</v>
      </c>
      <c r="BC1632" s="2">
        <v>15.667644080839899</v>
      </c>
      <c r="BD1632" s="2">
        <v>17.898204572807298</v>
      </c>
      <c r="BE1632" s="2">
        <v>15.8221801809298</v>
      </c>
      <c r="BF1632" s="2">
        <v>18.452263042235401</v>
      </c>
      <c r="BG1632" s="2">
        <v>17.542119044477701</v>
      </c>
      <c r="BH1632" s="2">
        <v>16.966222098710801</v>
      </c>
      <c r="BI1632" s="2">
        <v>18.062669495863499</v>
      </c>
      <c r="BJ1632" s="2">
        <v>18.010839760873299</v>
      </c>
      <c r="BK1632" s="2">
        <v>17.377608521692999</v>
      </c>
      <c r="BL1632" s="2">
        <v>17.006910279772399</v>
      </c>
      <c r="BM1632" s="2">
        <v>16.2844816363469</v>
      </c>
      <c r="BN1632" s="2">
        <v>15.1358267006727</v>
      </c>
      <c r="BO1632" s="2">
        <v>16.236895046540901</v>
      </c>
      <c r="BP1632" s="2">
        <v>18.1433735473585</v>
      </c>
      <c r="BQ1632" s="2">
        <v>17.153865192529398</v>
      </c>
      <c r="BR1632" s="2">
        <v>17.5592006567305</v>
      </c>
      <c r="BS1632" s="2">
        <v>17.505032989934602</v>
      </c>
      <c r="BT1632" s="2">
        <v>15.347077695076299</v>
      </c>
      <c r="BU1632" s="2">
        <v>18.4769504526354</v>
      </c>
      <c r="BV1632" s="2">
        <v>16.873656420498399</v>
      </c>
      <c r="BW1632" s="2">
        <v>16.7232293670898</v>
      </c>
      <c r="BX1632" s="2">
        <v>14.459985459053501</v>
      </c>
      <c r="BY1632" s="2">
        <v>17.649996255956101</v>
      </c>
      <c r="BZ1632" s="2">
        <v>15.910999144533299</v>
      </c>
      <c r="CA1632" s="2">
        <v>18.345065082391098</v>
      </c>
      <c r="CB1632" s="2">
        <v>16.606948636903699</v>
      </c>
      <c r="CC1632" s="2">
        <v>18.227362580940898</v>
      </c>
      <c r="CD1632" s="2">
        <v>17.699972408466099</v>
      </c>
      <c r="CE1632" s="2">
        <v>17.9855471254447</v>
      </c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</row>
    <row r="1633" spans="1:97">
      <c r="A1633" s="2" t="s">
        <v>14442</v>
      </c>
      <c r="B1633" s="2">
        <v>322.18657999999999</v>
      </c>
      <c r="C1633" s="2">
        <v>3.6589999999999998</v>
      </c>
      <c r="D1633" s="2" t="s">
        <v>146</v>
      </c>
      <c r="E1633" s="2" t="s">
        <v>14443</v>
      </c>
      <c r="F1633" s="2" t="s">
        <v>14444</v>
      </c>
      <c r="G1633" s="2">
        <v>198971</v>
      </c>
      <c r="H1633" s="3" t="str">
        <f>HYPERLINK("https://cloud.oebiotech.com/#/lm/network/198971", "https://cloud.oebiotech.com/#/lm/network/198971")</f>
        <v>https://cloud.oebiotech.com/#/lm/network/198971</v>
      </c>
      <c r="I1633" s="2" t="s">
        <v>14445</v>
      </c>
      <c r="J1633" s="2"/>
      <c r="K1633" s="2"/>
      <c r="L1633" s="2">
        <v>3206</v>
      </c>
      <c r="M1633" s="2"/>
      <c r="N1633" s="2"/>
      <c r="O1633" s="2"/>
      <c r="P1633" s="2"/>
      <c r="Q1633" s="2"/>
      <c r="R1633" s="2"/>
      <c r="S1633" s="2"/>
      <c r="T1633" s="2" t="s">
        <v>14446</v>
      </c>
      <c r="U1633" s="2" t="s">
        <v>14447</v>
      </c>
      <c r="V1633" s="2" t="s">
        <v>553</v>
      </c>
      <c r="W1633" s="2" t="s">
        <v>949</v>
      </c>
      <c r="X1633" s="2" t="s">
        <v>950</v>
      </c>
      <c r="Y1633" s="2" t="s">
        <v>556</v>
      </c>
      <c r="Z1633" s="2" t="s">
        <v>951</v>
      </c>
      <c r="AA1633" s="2" t="s">
        <v>952</v>
      </c>
      <c r="AB1633" s="2" t="s">
        <v>5118</v>
      </c>
      <c r="AC1633" s="2">
        <v>42.33</v>
      </c>
      <c r="AD1633" s="2">
        <v>89.56</v>
      </c>
      <c r="AE1633" s="2">
        <v>57.01</v>
      </c>
      <c r="AF1633" s="2" t="s">
        <v>14448</v>
      </c>
      <c r="AG1633" s="2" t="s">
        <v>157</v>
      </c>
      <c r="AH1633" s="2" t="s">
        <v>14449</v>
      </c>
      <c r="AI1633" s="2">
        <v>5.59</v>
      </c>
      <c r="AJ1633" s="2">
        <v>18.2593105594528</v>
      </c>
      <c r="AK1633" s="2">
        <v>18.0754518856034</v>
      </c>
      <c r="AL1633" s="2">
        <v>18.245537062243599</v>
      </c>
      <c r="AM1633" s="2">
        <v>18.195425125116898</v>
      </c>
      <c r="AN1633" s="2">
        <v>18.499006813539701</v>
      </c>
      <c r="AO1633" s="2">
        <v>18.468077527897002</v>
      </c>
      <c r="AP1633" s="2">
        <v>18.270369613132502</v>
      </c>
      <c r="AQ1633" s="2">
        <v>18.2309665749322</v>
      </c>
      <c r="AR1633" s="2">
        <v>18.018480623660199</v>
      </c>
      <c r="AS1633" s="2">
        <v>16.343360627453201</v>
      </c>
      <c r="AT1633" s="2">
        <v>17.6649244372414</v>
      </c>
      <c r="AU1633" s="2">
        <v>16.803741146337099</v>
      </c>
      <c r="AV1633" s="2">
        <v>18.005477952246601</v>
      </c>
      <c r="AW1633" s="2">
        <v>18.042759691412002</v>
      </c>
      <c r="AX1633" s="2">
        <v>18.1271497015411</v>
      </c>
      <c r="AY1633" s="2">
        <v>17.397797197331901</v>
      </c>
      <c r="AZ1633" s="2">
        <v>17.4780563732266</v>
      </c>
      <c r="BA1633" s="2">
        <v>16.441154240375202</v>
      </c>
      <c r="BB1633" s="2">
        <v>17.978927597679998</v>
      </c>
      <c r="BC1633" s="2">
        <v>17.8727420241398</v>
      </c>
      <c r="BD1633" s="2">
        <v>17.894227451281299</v>
      </c>
      <c r="BE1633" s="2">
        <v>18.300462808664001</v>
      </c>
      <c r="BF1633" s="2">
        <v>17.864332830219698</v>
      </c>
      <c r="BG1633" s="2">
        <v>20.349372595342999</v>
      </c>
      <c r="BH1633" s="2">
        <v>17.223127148514099</v>
      </c>
      <c r="BI1633" s="2">
        <v>18.771868141433998</v>
      </c>
      <c r="BJ1633" s="2">
        <v>18.284074504593001</v>
      </c>
      <c r="BK1633" s="2">
        <v>18.0251056513642</v>
      </c>
      <c r="BL1633" s="2">
        <v>17.826316592765501</v>
      </c>
      <c r="BM1633" s="2">
        <v>17.901862467182902</v>
      </c>
      <c r="BN1633" s="2">
        <v>18.0248537553971</v>
      </c>
      <c r="BO1633" s="2">
        <v>17.645742505556601</v>
      </c>
      <c r="BP1633" s="2">
        <v>17.963645651919499</v>
      </c>
      <c r="BQ1633" s="2">
        <v>18.384719848456101</v>
      </c>
      <c r="BR1633" s="2">
        <v>18.487575343822702</v>
      </c>
      <c r="BS1633" s="2">
        <v>17.522923989694501</v>
      </c>
      <c r="BT1633" s="2">
        <v>16.255999287910502</v>
      </c>
      <c r="BU1633" s="2">
        <v>16.4607272080471</v>
      </c>
      <c r="BV1633" s="2">
        <v>18.261964781812502</v>
      </c>
      <c r="BW1633" s="2">
        <v>16.644235692633298</v>
      </c>
      <c r="BX1633" s="2">
        <v>18.480047374354001</v>
      </c>
      <c r="BY1633" s="2">
        <v>18.5831990736365</v>
      </c>
      <c r="BZ1633" s="2">
        <v>17.653506103391901</v>
      </c>
      <c r="CA1633" s="2">
        <v>19.516921814358</v>
      </c>
      <c r="CB1633" s="2">
        <v>17.634340211862501</v>
      </c>
      <c r="CC1633" s="2">
        <v>18.226604437082301</v>
      </c>
      <c r="CD1633" s="2">
        <v>19.016695844739601</v>
      </c>
      <c r="CE1633" s="2">
        <v>18.548787071599801</v>
      </c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</row>
    <row r="1634" spans="1:97">
      <c r="A1634" s="2" t="s">
        <v>14450</v>
      </c>
      <c r="B1634" s="2">
        <v>527.08280999999999</v>
      </c>
      <c r="C1634" s="2">
        <v>1.129</v>
      </c>
      <c r="D1634" s="2" t="s">
        <v>84</v>
      </c>
      <c r="E1634" s="2" t="s">
        <v>14451</v>
      </c>
      <c r="F1634" s="2" t="s">
        <v>14452</v>
      </c>
      <c r="G1634" s="2">
        <v>32935</v>
      </c>
      <c r="H1634" s="3" t="str">
        <f>HYPERLINK("https://cloud.oebiotech.com/#/lm/network/32935", "https://cloud.oebiotech.com/#/lm/network/32935")</f>
        <v>https://cloud.oebiotech.com/#/lm/network/32935</v>
      </c>
      <c r="I1634" s="2" t="s">
        <v>14453</v>
      </c>
      <c r="J1634" s="2"/>
      <c r="K1634" s="2" t="s">
        <v>14454</v>
      </c>
      <c r="L1634" s="2">
        <v>44259763</v>
      </c>
      <c r="M1634" s="2"/>
      <c r="N1634" s="2"/>
      <c r="O1634" s="2"/>
      <c r="P1634" s="2"/>
      <c r="Q1634" s="2"/>
      <c r="R1634" s="2"/>
      <c r="S1634" s="2"/>
      <c r="T1634" s="2" t="s">
        <v>14455</v>
      </c>
      <c r="U1634" s="2" t="s">
        <v>14456</v>
      </c>
      <c r="V1634" s="2" t="s">
        <v>845</v>
      </c>
      <c r="W1634" s="2" t="s">
        <v>1853</v>
      </c>
      <c r="X1634" s="2" t="s">
        <v>6175</v>
      </c>
      <c r="Y1634" s="2" t="s">
        <v>847</v>
      </c>
      <c r="Z1634" s="2" t="s">
        <v>1855</v>
      </c>
      <c r="AA1634" s="2" t="s">
        <v>6176</v>
      </c>
      <c r="AB1634" s="2" t="s">
        <v>5118</v>
      </c>
      <c r="AC1634" s="2">
        <v>42.31</v>
      </c>
      <c r="AD1634" s="2">
        <v>89.28</v>
      </c>
      <c r="AE1634" s="2">
        <v>60.87</v>
      </c>
      <c r="AF1634" s="2" t="s">
        <v>14457</v>
      </c>
      <c r="AG1634" s="2" t="s">
        <v>1578</v>
      </c>
      <c r="AH1634" s="2" t="s">
        <v>14458</v>
      </c>
      <c r="AI1634" s="2">
        <v>-6.07</v>
      </c>
      <c r="AJ1634" s="2">
        <v>20.9517647791833</v>
      </c>
      <c r="AK1634" s="2">
        <v>21.057296802197602</v>
      </c>
      <c r="AL1634" s="2">
        <v>21.164800550945198</v>
      </c>
      <c r="AM1634" s="2">
        <v>21.085283787641799</v>
      </c>
      <c r="AN1634" s="2">
        <v>21.1603300433238</v>
      </c>
      <c r="AO1634" s="2">
        <v>20.984803457763299</v>
      </c>
      <c r="AP1634" s="2">
        <v>20.870679591392399</v>
      </c>
      <c r="AQ1634" s="2">
        <v>21.0827231049769</v>
      </c>
      <c r="AR1634" s="2">
        <v>20.356999847076001</v>
      </c>
      <c r="AS1634" s="2">
        <v>20.1458274520262</v>
      </c>
      <c r="AT1634" s="2">
        <v>20.433989752945401</v>
      </c>
      <c r="AU1634" s="2">
        <v>21.326228422157101</v>
      </c>
      <c r="AV1634" s="2">
        <v>20.969581685712001</v>
      </c>
      <c r="AW1634" s="2">
        <v>20.988928232215301</v>
      </c>
      <c r="AX1634" s="2">
        <v>20.532616777921799</v>
      </c>
      <c r="AY1634" s="2">
        <v>21.1355202393413</v>
      </c>
      <c r="AZ1634" s="2">
        <v>20.657393079133598</v>
      </c>
      <c r="BA1634" s="2">
        <v>20.7143756237178</v>
      </c>
      <c r="BB1634" s="2">
        <v>21.136021435509701</v>
      </c>
      <c r="BC1634" s="2">
        <v>21.045896904208199</v>
      </c>
      <c r="BD1634" s="2">
        <v>19.981968262797199</v>
      </c>
      <c r="BE1634" s="2">
        <v>21.131783224728299</v>
      </c>
      <c r="BF1634" s="2">
        <v>20.770594277794999</v>
      </c>
      <c r="BG1634" s="2">
        <v>20.8308992289762</v>
      </c>
      <c r="BH1634" s="2">
        <v>21.2413423908108</v>
      </c>
      <c r="BI1634" s="2">
        <v>20.661393012881199</v>
      </c>
      <c r="BJ1634" s="2">
        <v>20.927467699876701</v>
      </c>
      <c r="BK1634" s="2">
        <v>20.881637370663899</v>
      </c>
      <c r="BL1634" s="2">
        <v>20.5976552589524</v>
      </c>
      <c r="BM1634" s="2">
        <v>22.032086001282298</v>
      </c>
      <c r="BN1634" s="2">
        <v>21.2432857481143</v>
      </c>
      <c r="BO1634" s="2">
        <v>20.719294065092601</v>
      </c>
      <c r="BP1634" s="2">
        <v>20.8409485618239</v>
      </c>
      <c r="BQ1634" s="2">
        <v>21.055383874078299</v>
      </c>
      <c r="BR1634" s="2">
        <v>20.517749325069602</v>
      </c>
      <c r="BS1634" s="2">
        <v>21.221823302039901</v>
      </c>
      <c r="BT1634" s="2">
        <v>19.940377465043898</v>
      </c>
      <c r="BU1634" s="2">
        <v>20.7816066869878</v>
      </c>
      <c r="BV1634" s="2">
        <v>20.880941455710001</v>
      </c>
      <c r="BW1634" s="2">
        <v>20.2447681380158</v>
      </c>
      <c r="BX1634" s="2">
        <v>21.095066193822898</v>
      </c>
      <c r="BY1634" s="2">
        <v>21.082574112732001</v>
      </c>
      <c r="BZ1634" s="2">
        <v>21.526676059691301</v>
      </c>
      <c r="CA1634" s="2">
        <v>21.720071152525101</v>
      </c>
      <c r="CB1634" s="2">
        <v>20.571286767134701</v>
      </c>
      <c r="CC1634" s="2">
        <v>20.711903943659301</v>
      </c>
      <c r="CD1634" s="2">
        <v>21.123741646482099</v>
      </c>
      <c r="CE1634" s="2">
        <v>20.6713059344501</v>
      </c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</row>
    <row r="1635" spans="1:97">
      <c r="A1635" s="2" t="s">
        <v>14459</v>
      </c>
      <c r="B1635" s="2">
        <v>495.34564999999998</v>
      </c>
      <c r="C1635" s="2">
        <v>0.58599999999999997</v>
      </c>
      <c r="D1635" s="2" t="s">
        <v>84</v>
      </c>
      <c r="E1635" s="2" t="s">
        <v>14460</v>
      </c>
      <c r="F1635" s="2" t="s">
        <v>14461</v>
      </c>
      <c r="G1635" s="2">
        <v>53081</v>
      </c>
      <c r="H1635" s="3" t="str">
        <f>HYPERLINK("https://cloud.oebiotech.com/#/lm/network/53081", "https://cloud.oebiotech.com/#/lm/network/53081")</f>
        <v>https://cloud.oebiotech.com/#/lm/network/53081</v>
      </c>
      <c r="I1635" s="2" t="s">
        <v>14462</v>
      </c>
      <c r="J1635" s="2">
        <v>3041</v>
      </c>
      <c r="K1635" s="2"/>
      <c r="L1635" s="2">
        <v>3467</v>
      </c>
      <c r="M1635" s="2" t="s">
        <v>14463</v>
      </c>
      <c r="N1635" s="2"/>
      <c r="O1635" s="2"/>
      <c r="P1635" s="2"/>
      <c r="Q1635" s="2"/>
      <c r="R1635" s="2"/>
      <c r="S1635" s="2" t="s">
        <v>14464</v>
      </c>
      <c r="T1635" s="2" t="s">
        <v>14465</v>
      </c>
      <c r="U1635" s="2" t="s">
        <v>14466</v>
      </c>
      <c r="V1635" s="2" t="s">
        <v>338</v>
      </c>
      <c r="W1635" s="2" t="s">
        <v>339</v>
      </c>
      <c r="X1635" s="2" t="s">
        <v>663</v>
      </c>
      <c r="Y1635" s="2" t="s">
        <v>341</v>
      </c>
      <c r="Z1635" s="2" t="s">
        <v>341</v>
      </c>
      <c r="AA1635" s="2" t="s">
        <v>664</v>
      </c>
      <c r="AB1635" s="2" t="s">
        <v>3086</v>
      </c>
      <c r="AC1635" s="2">
        <v>42.31</v>
      </c>
      <c r="AD1635" s="2">
        <v>84.53</v>
      </c>
      <c r="AE1635" s="2">
        <v>0</v>
      </c>
      <c r="AF1635" s="2" t="s">
        <v>5614</v>
      </c>
      <c r="AG1635" s="2" t="s">
        <v>132</v>
      </c>
      <c r="AH1635" s="2" t="s">
        <v>14467</v>
      </c>
      <c r="AI1635" s="2">
        <v>9.08</v>
      </c>
      <c r="AJ1635" s="2">
        <v>20.157272714247298</v>
      </c>
      <c r="AK1635" s="2">
        <v>21.098643383741699</v>
      </c>
      <c r="AL1635" s="2">
        <v>20.5361609819502</v>
      </c>
      <c r="AM1635" s="2">
        <v>20.713853854048299</v>
      </c>
      <c r="AN1635" s="2">
        <v>20.742326502123699</v>
      </c>
      <c r="AO1635" s="2">
        <v>20.071806960616499</v>
      </c>
      <c r="AP1635" s="2">
        <v>21.069378829890901</v>
      </c>
      <c r="AQ1635" s="2">
        <v>20.009383172486402</v>
      </c>
      <c r="AR1635" s="2">
        <v>20.393263181087999</v>
      </c>
      <c r="AS1635" s="2">
        <v>18.830189974697099</v>
      </c>
      <c r="AT1635" s="2">
        <v>20.2586053325332</v>
      </c>
      <c r="AU1635" s="2">
        <v>20.506601822879301</v>
      </c>
      <c r="AV1635" s="2">
        <v>20.758028764536</v>
      </c>
      <c r="AW1635" s="2">
        <v>20.1397889067952</v>
      </c>
      <c r="AX1635" s="2">
        <v>20.181209569672902</v>
      </c>
      <c r="AY1635" s="2">
        <v>19.159159109145801</v>
      </c>
      <c r="AZ1635" s="2">
        <v>19.857683140721399</v>
      </c>
      <c r="BA1635" s="2">
        <v>19.584357930719101</v>
      </c>
      <c r="BB1635" s="2">
        <v>20.569645243223</v>
      </c>
      <c r="BC1635" s="2">
        <v>17.932540791244801</v>
      </c>
      <c r="BD1635" s="2">
        <v>20.374854790230099</v>
      </c>
      <c r="BE1635" s="2">
        <v>18.8735624357166</v>
      </c>
      <c r="BF1635" s="2">
        <v>20.7432114635081</v>
      </c>
      <c r="BG1635" s="2">
        <v>20.115297163103801</v>
      </c>
      <c r="BH1635" s="2">
        <v>19.9560485532479</v>
      </c>
      <c r="BI1635" s="2">
        <v>20.999673519352399</v>
      </c>
      <c r="BJ1635" s="2">
        <v>20.3122719116813</v>
      </c>
      <c r="BK1635" s="2">
        <v>19.184911097079201</v>
      </c>
      <c r="BL1635" s="2">
        <v>20.164171138287401</v>
      </c>
      <c r="BM1635" s="2">
        <v>19.221648383906299</v>
      </c>
      <c r="BN1635" s="2">
        <v>20.853540395557399</v>
      </c>
      <c r="BO1635" s="2">
        <v>20.215049692460401</v>
      </c>
      <c r="BP1635" s="2">
        <v>20.290498597213698</v>
      </c>
      <c r="BQ1635" s="2">
        <v>20.0948702185798</v>
      </c>
      <c r="BR1635" s="2">
        <v>18.2862435546323</v>
      </c>
      <c r="BS1635" s="2">
        <v>20.131418294682401</v>
      </c>
      <c r="BT1635" s="2">
        <v>17.4235765296926</v>
      </c>
      <c r="BU1635" s="2">
        <v>20.0317537345373</v>
      </c>
      <c r="BV1635" s="2">
        <v>20.889299456805801</v>
      </c>
      <c r="BW1635" s="2">
        <v>20.076214518506699</v>
      </c>
      <c r="BX1635" s="2">
        <v>19.624413713472901</v>
      </c>
      <c r="BY1635" s="2">
        <v>19.1371428028962</v>
      </c>
      <c r="BZ1635" s="2">
        <v>21.1902152535718</v>
      </c>
      <c r="CA1635" s="2">
        <v>19.929074519770701</v>
      </c>
      <c r="CB1635" s="2">
        <v>20.502701231413901</v>
      </c>
      <c r="CC1635" s="2">
        <v>19.876729402298199</v>
      </c>
      <c r="CD1635" s="2">
        <v>19.708859383945999</v>
      </c>
      <c r="CE1635" s="2">
        <v>20.395544427480299</v>
      </c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</row>
    <row r="1636" spans="1:97">
      <c r="A1636" s="2" t="s">
        <v>14468</v>
      </c>
      <c r="B1636" s="2">
        <v>417.07486999999998</v>
      </c>
      <c r="C1636" s="2">
        <v>4.3289999999999997</v>
      </c>
      <c r="D1636" s="2" t="s">
        <v>146</v>
      </c>
      <c r="E1636" s="2" t="s">
        <v>14469</v>
      </c>
      <c r="F1636" s="2" t="s">
        <v>14470</v>
      </c>
      <c r="G1636" s="2">
        <v>34895</v>
      </c>
      <c r="H1636" s="3" t="str">
        <f>HYPERLINK("https://cloud.oebiotech.com/#/lm/network/34895", "https://cloud.oebiotech.com/#/lm/network/34895")</f>
        <v>https://cloud.oebiotech.com/#/lm/network/34895</v>
      </c>
      <c r="I1636" s="2"/>
      <c r="J1636" s="2">
        <v>53182</v>
      </c>
      <c r="K1636" s="2" t="s">
        <v>14471</v>
      </c>
      <c r="L1636" s="2">
        <v>44260098</v>
      </c>
      <c r="M1636" s="2"/>
      <c r="N1636" s="2"/>
      <c r="O1636" s="2"/>
      <c r="P1636" s="2"/>
      <c r="Q1636" s="2"/>
      <c r="R1636" s="2"/>
      <c r="S1636" s="2"/>
      <c r="T1636" s="2" t="s">
        <v>14472</v>
      </c>
      <c r="U1636" s="2" t="s">
        <v>14473</v>
      </c>
      <c r="V1636" s="2" t="s">
        <v>845</v>
      </c>
      <c r="W1636" s="2" t="s">
        <v>3853</v>
      </c>
      <c r="X1636" s="2" t="s">
        <v>3854</v>
      </c>
      <c r="Y1636" s="2" t="s">
        <v>847</v>
      </c>
      <c r="Z1636" s="2" t="s">
        <v>3855</v>
      </c>
      <c r="AA1636" s="2" t="s">
        <v>3856</v>
      </c>
      <c r="AB1636" s="2" t="s">
        <v>5118</v>
      </c>
      <c r="AC1636" s="2">
        <v>42.3</v>
      </c>
      <c r="AD1636" s="2">
        <v>73.06</v>
      </c>
      <c r="AE1636" s="2">
        <v>48.07</v>
      </c>
      <c r="AF1636" s="2" t="s">
        <v>14474</v>
      </c>
      <c r="AG1636" s="2" t="s">
        <v>4062</v>
      </c>
      <c r="AH1636" s="2" t="s">
        <v>14475</v>
      </c>
      <c r="AI1636" s="2">
        <v>-0.72</v>
      </c>
      <c r="AJ1636" s="2">
        <v>19.9814271812381</v>
      </c>
      <c r="AK1636" s="2">
        <v>20.1224679078991</v>
      </c>
      <c r="AL1636" s="2">
        <v>20.054788937898198</v>
      </c>
      <c r="AM1636" s="2">
        <v>20.3951295926326</v>
      </c>
      <c r="AN1636" s="2">
        <v>20.157919257195001</v>
      </c>
      <c r="AO1636" s="2">
        <v>20.1895484615764</v>
      </c>
      <c r="AP1636" s="2">
        <v>19.932925579085499</v>
      </c>
      <c r="AQ1636" s="2">
        <v>20.267373200115699</v>
      </c>
      <c r="AR1636" s="2">
        <v>18.050262913871801</v>
      </c>
      <c r="AS1636" s="2">
        <v>17.9602070823681</v>
      </c>
      <c r="AT1636" s="2">
        <v>19.513306469619799</v>
      </c>
      <c r="AU1636" s="2">
        <v>18.394645188746502</v>
      </c>
      <c r="AV1636" s="2">
        <v>19.6601786871909</v>
      </c>
      <c r="AW1636" s="2">
        <v>19.618590098267202</v>
      </c>
      <c r="AX1636" s="2">
        <v>19.861802516225701</v>
      </c>
      <c r="AY1636" s="2">
        <v>19.840240420313702</v>
      </c>
      <c r="AZ1636" s="2">
        <v>18.443713883731501</v>
      </c>
      <c r="BA1636" s="2">
        <v>18.868086403264002</v>
      </c>
      <c r="BB1636" s="2">
        <v>20.789162058254501</v>
      </c>
      <c r="BC1636" s="2">
        <v>21.330781709912401</v>
      </c>
      <c r="BD1636" s="2">
        <v>19.7251887095466</v>
      </c>
      <c r="BE1636" s="2">
        <v>20.650479026517399</v>
      </c>
      <c r="BF1636" s="2">
        <v>20.164892935969</v>
      </c>
      <c r="BG1636" s="2">
        <v>20.6403329356902</v>
      </c>
      <c r="BH1636" s="2">
        <v>19.854060332135901</v>
      </c>
      <c r="BI1636" s="2">
        <v>20.519701157841801</v>
      </c>
      <c r="BJ1636" s="2">
        <v>20.093921862397799</v>
      </c>
      <c r="BK1636" s="2">
        <v>19.321991559217199</v>
      </c>
      <c r="BL1636" s="2">
        <v>19.688253587981801</v>
      </c>
      <c r="BM1636" s="2">
        <v>20.512562523839598</v>
      </c>
      <c r="BN1636" s="2">
        <v>19.969117747698</v>
      </c>
      <c r="BO1636" s="2">
        <v>19.836569975488999</v>
      </c>
      <c r="BP1636" s="2">
        <v>19.7324281570646</v>
      </c>
      <c r="BQ1636" s="2">
        <v>19.7803195838429</v>
      </c>
      <c r="BR1636" s="2">
        <v>19.691311266704801</v>
      </c>
      <c r="BS1636" s="2">
        <v>19.456700527341098</v>
      </c>
      <c r="BT1636" s="2">
        <v>18.313151902600001</v>
      </c>
      <c r="BU1636" s="2">
        <v>19.314114934928899</v>
      </c>
      <c r="BV1636" s="2">
        <v>20.719042216094898</v>
      </c>
      <c r="BW1636" s="2">
        <v>19.6340257436967</v>
      </c>
      <c r="BX1636" s="2">
        <v>19.4720767493735</v>
      </c>
      <c r="BY1636" s="2">
        <v>20.3161675901408</v>
      </c>
      <c r="BZ1636" s="2">
        <v>19.8605776947085</v>
      </c>
      <c r="CA1636" s="2">
        <v>21.008542477119001</v>
      </c>
      <c r="CB1636" s="2">
        <v>19.7453911905572</v>
      </c>
      <c r="CC1636" s="2">
        <v>20.314734335762701</v>
      </c>
      <c r="CD1636" s="2">
        <v>20.3506841686504</v>
      </c>
      <c r="CE1636" s="2">
        <v>20.3891327620405</v>
      </c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</row>
    <row r="1637" spans="1:97">
      <c r="A1637" s="2" t="s">
        <v>14476</v>
      </c>
      <c r="B1637" s="2">
        <v>949.62396999999999</v>
      </c>
      <c r="C1637" s="2">
        <v>10.646000000000001</v>
      </c>
      <c r="D1637" s="2" t="s">
        <v>84</v>
      </c>
      <c r="E1637" s="2" t="s">
        <v>14477</v>
      </c>
      <c r="F1637" s="2" t="s">
        <v>14478</v>
      </c>
      <c r="G1637" s="2">
        <v>36653</v>
      </c>
      <c r="H1637" s="3" t="str">
        <f>HYPERLINK("https://cloud.oebiotech.com/#/lm/network/36653", "https://cloud.oebiotech.com/#/lm/network/36653")</f>
        <v>https://cloud.oebiotech.com/#/lm/network/36653</v>
      </c>
      <c r="I1637" s="2"/>
      <c r="J1637" s="2"/>
      <c r="K1637" s="2" t="s">
        <v>14479</v>
      </c>
      <c r="L1637" s="2"/>
      <c r="M1637" s="2"/>
      <c r="N1637" s="2"/>
      <c r="O1637" s="2"/>
      <c r="P1637" s="2"/>
      <c r="Q1637" s="2"/>
      <c r="R1637" s="2"/>
      <c r="S1637" s="2"/>
      <c r="T1637" s="2" t="s">
        <v>14480</v>
      </c>
      <c r="U1637" s="2" t="s">
        <v>14481</v>
      </c>
      <c r="V1637" s="2" t="s">
        <v>95</v>
      </c>
      <c r="W1637" s="2" t="s">
        <v>180</v>
      </c>
      <c r="X1637" s="2" t="s">
        <v>9478</v>
      </c>
      <c r="Y1637" s="2" t="s">
        <v>98</v>
      </c>
      <c r="Z1637" s="2" t="s">
        <v>182</v>
      </c>
      <c r="AA1637" s="2" t="s">
        <v>9479</v>
      </c>
      <c r="AB1637" s="2" t="s">
        <v>5118</v>
      </c>
      <c r="AC1637" s="2">
        <v>42.26</v>
      </c>
      <c r="AD1637" s="2">
        <v>89.55</v>
      </c>
      <c r="AE1637" s="2">
        <v>75.510000000000005</v>
      </c>
      <c r="AF1637" s="2" t="s">
        <v>14482</v>
      </c>
      <c r="AG1637" s="2" t="s">
        <v>1578</v>
      </c>
      <c r="AH1637" s="2" t="s">
        <v>14483</v>
      </c>
      <c r="AI1637" s="2">
        <v>8.11</v>
      </c>
      <c r="AJ1637" s="2">
        <v>21.463842349407599</v>
      </c>
      <c r="AK1637" s="2">
        <v>21.436622925218298</v>
      </c>
      <c r="AL1637" s="2">
        <v>21.5575200090294</v>
      </c>
      <c r="AM1637" s="2">
        <v>21.655021536071001</v>
      </c>
      <c r="AN1637" s="2">
        <v>21.637150837522299</v>
      </c>
      <c r="AO1637" s="2">
        <v>22.0332591559417</v>
      </c>
      <c r="AP1637" s="2">
        <v>21.829668499855501</v>
      </c>
      <c r="AQ1637" s="2">
        <v>21.583141335021601</v>
      </c>
      <c r="AR1637" s="2">
        <v>22.176331980531799</v>
      </c>
      <c r="AS1637" s="2">
        <v>19.9176868508303</v>
      </c>
      <c r="AT1637" s="2">
        <v>20.398401668805299</v>
      </c>
      <c r="AU1637" s="2">
        <v>21.725549213697601</v>
      </c>
      <c r="AV1637" s="2">
        <v>20.3636548284973</v>
      </c>
      <c r="AW1637" s="2">
        <v>21.381573383345799</v>
      </c>
      <c r="AX1637" s="2">
        <v>21.366780097562899</v>
      </c>
      <c r="AY1637" s="2">
        <v>21.456810043739502</v>
      </c>
      <c r="AZ1637" s="2">
        <v>22.042477928752799</v>
      </c>
      <c r="BA1637" s="2">
        <v>20.3168986115687</v>
      </c>
      <c r="BB1637" s="2">
        <v>20.449405687989898</v>
      </c>
      <c r="BC1637" s="2">
        <v>21.5132938080963</v>
      </c>
      <c r="BD1637" s="2">
        <v>21.144142415228199</v>
      </c>
      <c r="BE1637" s="2">
        <v>21.933523880805801</v>
      </c>
      <c r="BF1637" s="2">
        <v>21.625936194608499</v>
      </c>
      <c r="BG1637" s="2">
        <v>22.205391107295601</v>
      </c>
      <c r="BH1637" s="2">
        <v>21.169308477792299</v>
      </c>
      <c r="BI1637" s="2">
        <v>21.786923018165702</v>
      </c>
      <c r="BJ1637" s="2">
        <v>21.396450219188001</v>
      </c>
      <c r="BK1637" s="2">
        <v>21.2407162344747</v>
      </c>
      <c r="BL1637" s="2">
        <v>21.4472636042929</v>
      </c>
      <c r="BM1637" s="2">
        <v>21.3640018152762</v>
      </c>
      <c r="BN1637" s="2">
        <v>21.106586581353</v>
      </c>
      <c r="BO1637" s="2">
        <v>21.935090563305302</v>
      </c>
      <c r="BP1637" s="2">
        <v>21.413293962644101</v>
      </c>
      <c r="BQ1637" s="2">
        <v>21.449508878098801</v>
      </c>
      <c r="BR1637" s="2">
        <v>22.192556097824301</v>
      </c>
      <c r="BS1637" s="2">
        <v>22.326588166883901</v>
      </c>
      <c r="BT1637" s="2">
        <v>21.877327912309099</v>
      </c>
      <c r="BU1637" s="2">
        <v>21.336346338271301</v>
      </c>
      <c r="BV1637" s="2">
        <v>21.258342579421299</v>
      </c>
      <c r="BW1637" s="2">
        <v>20.460576771110901</v>
      </c>
      <c r="BX1637" s="2">
        <v>21.642625649615901</v>
      </c>
      <c r="BY1637" s="2">
        <v>22.2814214101675</v>
      </c>
      <c r="BZ1637" s="2">
        <v>21.6965137270086</v>
      </c>
      <c r="CA1637" s="2">
        <v>22.536167784821</v>
      </c>
      <c r="CB1637" s="2">
        <v>20.472231863373199</v>
      </c>
      <c r="CC1637" s="2">
        <v>20.446517624885999</v>
      </c>
      <c r="CD1637" s="2">
        <v>21.889525980272101</v>
      </c>
      <c r="CE1637" s="2">
        <v>20.109841899789799</v>
      </c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</row>
    <row r="1638" spans="1:97">
      <c r="A1638" s="2" t="s">
        <v>14484</v>
      </c>
      <c r="B1638" s="2">
        <v>207.11245</v>
      </c>
      <c r="C1638" s="2">
        <v>3.7749999999999999</v>
      </c>
      <c r="D1638" s="2" t="s">
        <v>84</v>
      </c>
      <c r="E1638" s="2" t="s">
        <v>14485</v>
      </c>
      <c r="F1638" s="2" t="s">
        <v>14486</v>
      </c>
      <c r="G1638" s="2">
        <v>199428</v>
      </c>
      <c r="H1638" s="3" t="str">
        <f>HYPERLINK("https://cloud.oebiotech.com/#/lm/network/199428", "https://cloud.oebiotech.com/#/lm/network/199428")</f>
        <v>https://cloud.oebiotech.com/#/lm/network/199428</v>
      </c>
      <c r="I1638" s="2" t="s">
        <v>14487</v>
      </c>
      <c r="J1638" s="2"/>
      <c r="K1638" s="2"/>
      <c r="L1638" s="2">
        <v>76703</v>
      </c>
      <c r="M1638" s="2"/>
      <c r="N1638" s="2"/>
      <c r="O1638" s="2"/>
      <c r="P1638" s="2"/>
      <c r="Q1638" s="2"/>
      <c r="R1638" s="2"/>
      <c r="S1638" s="2"/>
      <c r="T1638" s="2" t="s">
        <v>14488</v>
      </c>
      <c r="U1638" s="2" t="s">
        <v>14489</v>
      </c>
      <c r="V1638" s="2" t="s">
        <v>553</v>
      </c>
      <c r="W1638" s="2" t="s">
        <v>5641</v>
      </c>
      <c r="X1638" s="2" t="s">
        <v>14490</v>
      </c>
      <c r="Y1638" s="2" t="s">
        <v>556</v>
      </c>
      <c r="Z1638" s="2" t="s">
        <v>5642</v>
      </c>
      <c r="AA1638" s="2" t="s">
        <v>14491</v>
      </c>
      <c r="AB1638" s="2" t="s">
        <v>3086</v>
      </c>
      <c r="AC1638" s="2">
        <v>42.26</v>
      </c>
      <c r="AD1638" s="2">
        <v>71.94</v>
      </c>
      <c r="AE1638" s="2">
        <v>0</v>
      </c>
      <c r="AF1638" s="2" t="s">
        <v>14492</v>
      </c>
      <c r="AG1638" s="2" t="s">
        <v>1578</v>
      </c>
      <c r="AH1638" s="2" t="s">
        <v>14493</v>
      </c>
      <c r="AI1638" s="2">
        <v>-9.66</v>
      </c>
      <c r="AJ1638" s="2">
        <v>23.455157075743699</v>
      </c>
      <c r="AK1638" s="2">
        <v>23.6363720860131</v>
      </c>
      <c r="AL1638" s="2">
        <v>23.7363363850273</v>
      </c>
      <c r="AM1638" s="2">
        <v>23.732894734941599</v>
      </c>
      <c r="AN1638" s="2">
        <v>23.681913815519199</v>
      </c>
      <c r="AO1638" s="2">
        <v>23.971326624736399</v>
      </c>
      <c r="AP1638" s="2">
        <v>24.059097952283299</v>
      </c>
      <c r="AQ1638" s="2">
        <v>23.924976883723101</v>
      </c>
      <c r="AR1638" s="2">
        <v>23.212391870040101</v>
      </c>
      <c r="AS1638" s="2">
        <v>22.8223188225214</v>
      </c>
      <c r="AT1638" s="2">
        <v>22.7745981207539</v>
      </c>
      <c r="AU1638" s="2">
        <v>22.6945972157386</v>
      </c>
      <c r="AV1638" s="2">
        <v>23.607300721282201</v>
      </c>
      <c r="AW1638" s="2">
        <v>23.7705683224791</v>
      </c>
      <c r="AX1638" s="2">
        <v>23.782174192531901</v>
      </c>
      <c r="AY1638" s="2">
        <v>23.823269978627302</v>
      </c>
      <c r="AZ1638" s="2">
        <v>23.327386874397298</v>
      </c>
      <c r="BA1638" s="2">
        <v>22.348223858720001</v>
      </c>
      <c r="BB1638" s="2">
        <v>23.802647773263899</v>
      </c>
      <c r="BC1638" s="2">
        <v>22.518262003478199</v>
      </c>
      <c r="BD1638" s="2">
        <v>23.248456210708699</v>
      </c>
      <c r="BE1638" s="2">
        <v>24.294907866934899</v>
      </c>
      <c r="BF1638" s="2">
        <v>23.879275320163799</v>
      </c>
      <c r="BG1638" s="2">
        <v>24.161106954326801</v>
      </c>
      <c r="BH1638" s="2">
        <v>23.959086935846098</v>
      </c>
      <c r="BI1638" s="2">
        <v>24.005388009304699</v>
      </c>
      <c r="BJ1638" s="2">
        <v>23.938437409565701</v>
      </c>
      <c r="BK1638" s="2">
        <v>24.0514438438796</v>
      </c>
      <c r="BL1638" s="2">
        <v>23.509085164933001</v>
      </c>
      <c r="BM1638" s="2">
        <v>23.697818623839002</v>
      </c>
      <c r="BN1638" s="2">
        <v>23.9446389211721</v>
      </c>
      <c r="BO1638" s="2">
        <v>23.7205027037873</v>
      </c>
      <c r="BP1638" s="2">
        <v>23.5986787485575</v>
      </c>
      <c r="BQ1638" s="2">
        <v>23.570984573006399</v>
      </c>
      <c r="BR1638" s="2">
        <v>23.678439446484902</v>
      </c>
      <c r="BS1638" s="2">
        <v>23.820547281899898</v>
      </c>
      <c r="BT1638" s="2">
        <v>23.450570836746898</v>
      </c>
      <c r="BU1638" s="2">
        <v>23.452331022430901</v>
      </c>
      <c r="BV1638" s="2">
        <v>22.896704427155001</v>
      </c>
      <c r="BW1638" s="2">
        <v>23.235652066150301</v>
      </c>
      <c r="BX1638" s="2">
        <v>23.527195038669699</v>
      </c>
      <c r="BY1638" s="2">
        <v>24.7862127811166</v>
      </c>
      <c r="BZ1638" s="2">
        <v>23.674179915587299</v>
      </c>
      <c r="CA1638" s="2">
        <v>24.4732857795283</v>
      </c>
      <c r="CB1638" s="2">
        <v>23.7283041556265</v>
      </c>
      <c r="CC1638" s="2">
        <v>23.816780481808699</v>
      </c>
      <c r="CD1638" s="2">
        <v>24.539049092508701</v>
      </c>
      <c r="CE1638" s="2">
        <v>24.353199271869101</v>
      </c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</row>
    <row r="1639" spans="1:97">
      <c r="A1639" s="2" t="s">
        <v>14494</v>
      </c>
      <c r="B1639" s="2">
        <v>186.04515000000001</v>
      </c>
      <c r="C1639" s="2">
        <v>1.024</v>
      </c>
      <c r="D1639" s="2" t="s">
        <v>146</v>
      </c>
      <c r="E1639" s="2" t="s">
        <v>14495</v>
      </c>
      <c r="F1639" s="2" t="s">
        <v>14496</v>
      </c>
      <c r="G1639" s="2">
        <v>83594</v>
      </c>
      <c r="H1639" s="3" t="str">
        <f>HYPERLINK("https://cloud.oebiotech.com/#/lm/network/83594", "https://cloud.oebiotech.com/#/lm/network/83594")</f>
        <v>https://cloud.oebiotech.com/#/lm/network/83594</v>
      </c>
      <c r="I1639" s="2" t="s">
        <v>14497</v>
      </c>
      <c r="J1639" s="2"/>
      <c r="K1639" s="2"/>
      <c r="L1639" s="2">
        <v>10837</v>
      </c>
      <c r="M1639" s="2"/>
      <c r="N1639" s="2"/>
      <c r="O1639" s="2"/>
      <c r="P1639" s="2"/>
      <c r="Q1639" s="2"/>
      <c r="R1639" s="2"/>
      <c r="S1639" s="2"/>
      <c r="T1639" s="2" t="s">
        <v>14498</v>
      </c>
      <c r="U1639" s="2" t="s">
        <v>14499</v>
      </c>
      <c r="V1639" s="2" t="s">
        <v>385</v>
      </c>
      <c r="W1639" s="2" t="s">
        <v>386</v>
      </c>
      <c r="X1639" s="2" t="s">
        <v>14500</v>
      </c>
      <c r="Y1639" s="2" t="s">
        <v>388</v>
      </c>
      <c r="Z1639" s="2" t="s">
        <v>389</v>
      </c>
      <c r="AA1639" s="2" t="s">
        <v>14501</v>
      </c>
      <c r="AB1639" s="2" t="s">
        <v>8443</v>
      </c>
      <c r="AC1639" s="2">
        <v>42.25</v>
      </c>
      <c r="AD1639" s="2">
        <v>96.72</v>
      </c>
      <c r="AE1639" s="2">
        <v>0</v>
      </c>
      <c r="AF1639" s="2" t="s">
        <v>5614</v>
      </c>
      <c r="AG1639" s="2" t="s">
        <v>4062</v>
      </c>
      <c r="AH1639" s="2" t="s">
        <v>14502</v>
      </c>
      <c r="AI1639" s="2">
        <v>-6.45</v>
      </c>
      <c r="AJ1639" s="2">
        <v>26.176173587290101</v>
      </c>
      <c r="AK1639" s="2">
        <v>25.157978079998301</v>
      </c>
      <c r="AL1639" s="2">
        <v>25.523860699965201</v>
      </c>
      <c r="AM1639" s="2">
        <v>25.420763732703101</v>
      </c>
      <c r="AN1639" s="2">
        <v>25.424452831381402</v>
      </c>
      <c r="AO1639" s="2">
        <v>25.370693029620899</v>
      </c>
      <c r="AP1639" s="2">
        <v>25.319084770920298</v>
      </c>
      <c r="AQ1639" s="2">
        <v>25.398328300940602</v>
      </c>
      <c r="AR1639" s="2">
        <v>25.367707871350799</v>
      </c>
      <c r="AS1639" s="2">
        <v>24.283952975344</v>
      </c>
      <c r="AT1639" s="2">
        <v>25.306922220888801</v>
      </c>
      <c r="AU1639" s="2">
        <v>24.736527717163298</v>
      </c>
      <c r="AV1639" s="2">
        <v>25.383780768557301</v>
      </c>
      <c r="AW1639" s="2">
        <v>25.603617614147801</v>
      </c>
      <c r="AX1639" s="2">
        <v>25.423657728956201</v>
      </c>
      <c r="AY1639" s="2">
        <v>25.386386148283101</v>
      </c>
      <c r="AZ1639" s="2">
        <v>25.372869124521198</v>
      </c>
      <c r="BA1639" s="2">
        <v>24.656175786553298</v>
      </c>
      <c r="BB1639" s="2">
        <v>25.4688652760594</v>
      </c>
      <c r="BC1639" s="2">
        <v>25.605826509572399</v>
      </c>
      <c r="BD1639" s="2">
        <v>24.571743525546701</v>
      </c>
      <c r="BE1639" s="2">
        <v>25.1077608156473</v>
      </c>
      <c r="BF1639" s="2">
        <v>25.885960427028401</v>
      </c>
      <c r="BG1639" s="2">
        <v>25.791587426170999</v>
      </c>
      <c r="BH1639" s="2">
        <v>24.386399513202001</v>
      </c>
      <c r="BI1639" s="2">
        <v>24.277831263945799</v>
      </c>
      <c r="BJ1639" s="2">
        <v>25.923862556120699</v>
      </c>
      <c r="BK1639" s="2">
        <v>25.305868410453801</v>
      </c>
      <c r="BL1639" s="2">
        <v>25.209348142248199</v>
      </c>
      <c r="BM1639" s="2">
        <v>24.8032444105203</v>
      </c>
      <c r="BN1639" s="2">
        <v>25.097892181823699</v>
      </c>
      <c r="BO1639" s="2">
        <v>24.677956398552901</v>
      </c>
      <c r="BP1639" s="2">
        <v>25.519658359426899</v>
      </c>
      <c r="BQ1639" s="2">
        <v>24.9886955614515</v>
      </c>
      <c r="BR1639" s="2">
        <v>25.562335153703899</v>
      </c>
      <c r="BS1639" s="2">
        <v>25.6041747898695</v>
      </c>
      <c r="BT1639" s="2">
        <v>24.724565002764699</v>
      </c>
      <c r="BU1639" s="2">
        <v>26.132811459894899</v>
      </c>
      <c r="BV1639" s="2">
        <v>26.272115878678999</v>
      </c>
      <c r="BW1639" s="2">
        <v>24.956494582311699</v>
      </c>
      <c r="BX1639" s="2">
        <v>24.7902492421441</v>
      </c>
      <c r="BY1639" s="2">
        <v>25.422026619896499</v>
      </c>
      <c r="BZ1639" s="2">
        <v>25.038207723718902</v>
      </c>
      <c r="CA1639" s="2">
        <v>26.098857272255401</v>
      </c>
      <c r="CB1639" s="2">
        <v>24.827464667289199</v>
      </c>
      <c r="CC1639" s="2">
        <v>25.593804557553799</v>
      </c>
      <c r="CD1639" s="2">
        <v>25.6253989521867</v>
      </c>
      <c r="CE1639" s="2">
        <v>25.469898489044599</v>
      </c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</row>
    <row r="1640" spans="1:97">
      <c r="A1640" s="2" t="s">
        <v>14503</v>
      </c>
      <c r="B1640" s="2">
        <v>270.03796999999997</v>
      </c>
      <c r="C1640" s="2">
        <v>4.9119999999999999</v>
      </c>
      <c r="D1640" s="2" t="s">
        <v>146</v>
      </c>
      <c r="E1640" s="2" t="s">
        <v>14504</v>
      </c>
      <c r="F1640" s="2" t="s">
        <v>14505</v>
      </c>
      <c r="G1640" s="2">
        <v>202449</v>
      </c>
      <c r="H1640" s="3" t="str">
        <f>HYPERLINK("https://cloud.oebiotech.com/#/lm/network/202449", "https://cloud.oebiotech.com/#/lm/network/202449")</f>
        <v>https://cloud.oebiotech.com/#/lm/network/202449</v>
      </c>
      <c r="I1640" s="2" t="s">
        <v>14506</v>
      </c>
      <c r="J1640" s="2"/>
      <c r="K1640" s="2"/>
      <c r="L1640" s="2">
        <v>3435</v>
      </c>
      <c r="M1640" s="2"/>
      <c r="N1640" s="2"/>
      <c r="O1640" s="2"/>
      <c r="P1640" s="2">
        <v>5195</v>
      </c>
      <c r="Q1640" s="2"/>
      <c r="R1640" s="2"/>
      <c r="S1640" s="2"/>
      <c r="T1640" s="2" t="s">
        <v>14507</v>
      </c>
      <c r="U1640" s="2" t="s">
        <v>14508</v>
      </c>
      <c r="V1640" s="2" t="s">
        <v>553</v>
      </c>
      <c r="W1640" s="2" t="s">
        <v>14509</v>
      </c>
      <c r="X1640" s="2" t="s">
        <v>14510</v>
      </c>
      <c r="Y1640" s="2" t="s">
        <v>556</v>
      </c>
      <c r="Z1640" s="2" t="s">
        <v>14511</v>
      </c>
      <c r="AA1640" s="2" t="s">
        <v>14512</v>
      </c>
      <c r="AB1640" s="2" t="s">
        <v>8443</v>
      </c>
      <c r="AC1640" s="2">
        <v>42.25</v>
      </c>
      <c r="AD1640" s="2">
        <v>93.28</v>
      </c>
      <c r="AE1640" s="2">
        <v>0</v>
      </c>
      <c r="AF1640" s="2" t="s">
        <v>14513</v>
      </c>
      <c r="AG1640" s="2" t="s">
        <v>157</v>
      </c>
      <c r="AH1640" s="2" t="s">
        <v>14514</v>
      </c>
      <c r="AI1640" s="2">
        <v>-4.4400000000000004</v>
      </c>
      <c r="AJ1640" s="2">
        <v>18.437912840455201</v>
      </c>
      <c r="AK1640" s="2">
        <v>18.970378258094101</v>
      </c>
      <c r="AL1640" s="2">
        <v>19.095960928939</v>
      </c>
      <c r="AM1640" s="2">
        <v>19.192541864022001</v>
      </c>
      <c r="AN1640" s="2">
        <v>19.089911594780801</v>
      </c>
      <c r="AO1640" s="2">
        <v>18.8225337685566</v>
      </c>
      <c r="AP1640" s="2">
        <v>18.8575864846309</v>
      </c>
      <c r="AQ1640" s="2">
        <v>18.807029773347899</v>
      </c>
      <c r="AR1640" s="2">
        <v>18.4682500690488</v>
      </c>
      <c r="AS1640" s="2">
        <v>17.562872779766099</v>
      </c>
      <c r="AT1640" s="2">
        <v>18.1262108008635</v>
      </c>
      <c r="AU1640" s="2">
        <v>18.0631463592809</v>
      </c>
      <c r="AV1640" s="2">
        <v>18.840005459048999</v>
      </c>
      <c r="AW1640" s="2">
        <v>18.133382718473001</v>
      </c>
      <c r="AX1640" s="2">
        <v>17.765969906094099</v>
      </c>
      <c r="AY1640" s="2">
        <v>18.999893339296499</v>
      </c>
      <c r="AZ1640" s="2">
        <v>19.138202567030799</v>
      </c>
      <c r="BA1640" s="2">
        <v>18.223095653061399</v>
      </c>
      <c r="BB1640" s="2">
        <v>18.535892418454502</v>
      </c>
      <c r="BC1640" s="2">
        <v>18.770437454039399</v>
      </c>
      <c r="BD1640" s="2">
        <v>18.127512778217302</v>
      </c>
      <c r="BE1640" s="2">
        <v>19.051114180205499</v>
      </c>
      <c r="BF1640" s="2">
        <v>19.133924701160701</v>
      </c>
      <c r="BG1640" s="2">
        <v>19.0412468811686</v>
      </c>
      <c r="BH1640" s="2">
        <v>17.9777652352142</v>
      </c>
      <c r="BI1640" s="2">
        <v>18.185292379443101</v>
      </c>
      <c r="BJ1640" s="2">
        <v>17.6882135581948</v>
      </c>
      <c r="BK1640" s="2">
        <v>18.967072075851501</v>
      </c>
      <c r="BL1640" s="2">
        <v>19.002506044664401</v>
      </c>
      <c r="BM1640" s="2">
        <v>19.2878228767411</v>
      </c>
      <c r="BN1640" s="2">
        <v>18.540205208046601</v>
      </c>
      <c r="BO1640" s="2">
        <v>18.794554399749799</v>
      </c>
      <c r="BP1640" s="2">
        <v>18.255223079251</v>
      </c>
      <c r="BQ1640" s="2">
        <v>18.907235026108999</v>
      </c>
      <c r="BR1640" s="2">
        <v>19.4307550824307</v>
      </c>
      <c r="BS1640" s="2">
        <v>18.9820602087919</v>
      </c>
      <c r="BT1640" s="2">
        <v>18.535010247021098</v>
      </c>
      <c r="BU1640" s="2">
        <v>17.9418138460296</v>
      </c>
      <c r="BV1640" s="2">
        <v>18.9359975319556</v>
      </c>
      <c r="BW1640" s="2">
        <v>17.541249938936801</v>
      </c>
      <c r="BX1640" s="2">
        <v>18.903675675408898</v>
      </c>
      <c r="BY1640" s="2">
        <v>19.1475345706071</v>
      </c>
      <c r="BZ1640" s="2">
        <v>18.8792715868348</v>
      </c>
      <c r="CA1640" s="2">
        <v>18.969256097254501</v>
      </c>
      <c r="CB1640" s="2">
        <v>18.5876063531176</v>
      </c>
      <c r="CC1640" s="2">
        <v>18.0958923902378</v>
      </c>
      <c r="CD1640" s="2">
        <v>18.080165522006101</v>
      </c>
      <c r="CE1640" s="2">
        <v>18.008240011069201</v>
      </c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</row>
    <row r="1641" spans="1:97">
      <c r="A1641" s="2" t="s">
        <v>14515</v>
      </c>
      <c r="B1641" s="2">
        <v>469.35266000000001</v>
      </c>
      <c r="C1641" s="2">
        <v>12.379</v>
      </c>
      <c r="D1641" s="2" t="s">
        <v>146</v>
      </c>
      <c r="E1641" s="2" t="s">
        <v>14516</v>
      </c>
      <c r="F1641" s="2" t="s">
        <v>14517</v>
      </c>
      <c r="G1641" s="2">
        <v>207284</v>
      </c>
      <c r="H1641" s="3" t="str">
        <f>HYPERLINK("https://cloud.oebiotech.com/#/lm/network/207284", "https://cloud.oebiotech.com/#/lm/network/207284")</f>
        <v>https://cloud.oebiotech.com/#/lm/network/207284</v>
      </c>
      <c r="I1641" s="2" t="s">
        <v>14518</v>
      </c>
      <c r="J1641" s="2"/>
      <c r="K1641" s="2"/>
      <c r="L1641" s="2">
        <v>110973</v>
      </c>
      <c r="M1641" s="2" t="s">
        <v>14519</v>
      </c>
      <c r="N1641" s="2"/>
      <c r="O1641" s="2"/>
      <c r="P1641" s="2"/>
      <c r="Q1641" s="2"/>
      <c r="R1641" s="2"/>
      <c r="S1641" s="2"/>
      <c r="T1641" s="2" t="s">
        <v>14520</v>
      </c>
      <c r="U1641" s="2" t="s">
        <v>14521</v>
      </c>
      <c r="V1641" s="2" t="s">
        <v>95</v>
      </c>
      <c r="W1641" s="2" t="s">
        <v>7709</v>
      </c>
      <c r="X1641" s="2" t="s">
        <v>10776</v>
      </c>
      <c r="Y1641" s="2" t="s">
        <v>98</v>
      </c>
      <c r="Z1641" s="2" t="s">
        <v>7711</v>
      </c>
      <c r="AA1641" s="2" t="s">
        <v>10777</v>
      </c>
      <c r="AB1641" s="2" t="s">
        <v>8443</v>
      </c>
      <c r="AC1641" s="2">
        <v>42.23</v>
      </c>
      <c r="AD1641" s="2">
        <v>81.47</v>
      </c>
      <c r="AE1641" s="2">
        <v>0</v>
      </c>
      <c r="AF1641" s="2" t="s">
        <v>14522</v>
      </c>
      <c r="AG1641" s="2" t="s">
        <v>194</v>
      </c>
      <c r="AH1641" s="2" t="s">
        <v>14523</v>
      </c>
      <c r="AI1641" s="2">
        <v>1.7</v>
      </c>
      <c r="AJ1641" s="2">
        <v>17.6895848676862</v>
      </c>
      <c r="AK1641" s="2">
        <v>17.5840600204506</v>
      </c>
      <c r="AL1641" s="2">
        <v>17.113363091423601</v>
      </c>
      <c r="AM1641" s="2">
        <v>16.707583187569501</v>
      </c>
      <c r="AN1641" s="2">
        <v>17.7981331867216</v>
      </c>
      <c r="AO1641" s="2">
        <v>16.786720399419298</v>
      </c>
      <c r="AP1641" s="2">
        <v>17.0487648452822</v>
      </c>
      <c r="AQ1641" s="2">
        <v>17.275537918533399</v>
      </c>
      <c r="AR1641" s="2">
        <v>16.081125341312401</v>
      </c>
      <c r="AS1641" s="2">
        <v>17.113326765839599</v>
      </c>
      <c r="AT1641" s="2">
        <v>16.636098636503</v>
      </c>
      <c r="AU1641" s="2">
        <v>15.176129895663699</v>
      </c>
      <c r="AV1641" s="2">
        <v>16.642250298098801</v>
      </c>
      <c r="AW1641" s="2">
        <v>17.453736675539801</v>
      </c>
      <c r="AX1641" s="2">
        <v>15.817543318736501</v>
      </c>
      <c r="AY1641" s="2">
        <v>16.978977968265401</v>
      </c>
      <c r="AZ1641" s="2">
        <v>17.896538355025299</v>
      </c>
      <c r="BA1641" s="2">
        <v>17.631065264679801</v>
      </c>
      <c r="BB1641" s="2">
        <v>17.178334655916998</v>
      </c>
      <c r="BC1641" s="2">
        <v>17.9363564802062</v>
      </c>
      <c r="BD1641" s="2">
        <v>15.9414857694223</v>
      </c>
      <c r="BE1641" s="2">
        <v>19.4185967027705</v>
      </c>
      <c r="BF1641" s="2">
        <v>17.207897235331</v>
      </c>
      <c r="BG1641" s="2">
        <v>17.637084239283201</v>
      </c>
      <c r="BH1641" s="2">
        <v>16.0538372372087</v>
      </c>
      <c r="BI1641" s="2">
        <v>14.4730797611555</v>
      </c>
      <c r="BJ1641" s="2">
        <v>18.6826253133931</v>
      </c>
      <c r="BK1641" s="2">
        <v>15.330331854766101</v>
      </c>
      <c r="BL1641" s="2">
        <v>17.200499801638799</v>
      </c>
      <c r="BM1641" s="2">
        <v>17.8279397542933</v>
      </c>
      <c r="BN1641" s="2">
        <v>16.379667053198599</v>
      </c>
      <c r="BO1641" s="2">
        <v>16.1813291268348</v>
      </c>
      <c r="BP1641" s="2">
        <v>15.8458269181478</v>
      </c>
      <c r="BQ1641" s="2">
        <v>16.858552814959101</v>
      </c>
      <c r="BR1641" s="2">
        <v>14.6531266518706</v>
      </c>
      <c r="BS1641" s="2">
        <v>16.6780553946837</v>
      </c>
      <c r="BT1641" s="2">
        <v>18.064855576128199</v>
      </c>
      <c r="BU1641" s="2">
        <v>17.438756691005601</v>
      </c>
      <c r="BV1641" s="2">
        <v>17.076577946068401</v>
      </c>
      <c r="BW1641" s="2">
        <v>16.002760526826801</v>
      </c>
      <c r="BX1641" s="2">
        <v>16.2283730392971</v>
      </c>
      <c r="BY1641" s="2">
        <v>19.5885281753994</v>
      </c>
      <c r="BZ1641" s="2">
        <v>17.208988074001901</v>
      </c>
      <c r="CA1641" s="2">
        <v>17.4238150714963</v>
      </c>
      <c r="CB1641" s="2">
        <v>15.5886765769725</v>
      </c>
      <c r="CC1641" s="2">
        <v>15.1924746812282</v>
      </c>
      <c r="CD1641" s="2">
        <v>18.709403729606201</v>
      </c>
      <c r="CE1641" s="2">
        <v>15.934445088212801</v>
      </c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</row>
    <row r="1642" spans="1:97">
      <c r="A1642" s="2" t="s">
        <v>14524</v>
      </c>
      <c r="B1642" s="2">
        <v>281.02785</v>
      </c>
      <c r="C1642" s="2">
        <v>5.4939999999999998</v>
      </c>
      <c r="D1642" s="2" t="s">
        <v>84</v>
      </c>
      <c r="E1642" s="2" t="s">
        <v>14525</v>
      </c>
      <c r="F1642" s="2" t="s">
        <v>14526</v>
      </c>
      <c r="G1642" s="2">
        <v>212084</v>
      </c>
      <c r="H1642" s="3" t="str">
        <f>HYPERLINK("https://cloud.oebiotech.com/#/lm/network/212084", "https://cloud.oebiotech.com/#/lm/network/212084")</f>
        <v>https://cloud.oebiotech.com/#/lm/network/212084</v>
      </c>
      <c r="I1642" s="2" t="s">
        <v>14527</v>
      </c>
      <c r="J1642" s="2">
        <v>314929</v>
      </c>
      <c r="K1642" s="2"/>
      <c r="L1642" s="2">
        <v>6433</v>
      </c>
      <c r="M1642" s="2"/>
      <c r="N1642" s="2"/>
      <c r="O1642" s="2"/>
      <c r="P1642" s="2"/>
      <c r="Q1642" s="2"/>
      <c r="R1642" s="2"/>
      <c r="S1642" s="2"/>
      <c r="T1642" s="2" t="s">
        <v>14528</v>
      </c>
      <c r="U1642" s="2" t="s">
        <v>14529</v>
      </c>
      <c r="V1642" s="2" t="s">
        <v>9746</v>
      </c>
      <c r="W1642" s="2" t="s">
        <v>14530</v>
      </c>
      <c r="X1642" s="2" t="s">
        <v>14531</v>
      </c>
      <c r="Y1642" s="2" t="s">
        <v>9748</v>
      </c>
      <c r="Z1642" s="2" t="s">
        <v>14532</v>
      </c>
      <c r="AA1642" s="2" t="s">
        <v>14533</v>
      </c>
      <c r="AB1642" s="2" t="s">
        <v>8443</v>
      </c>
      <c r="AC1642" s="2">
        <v>42.16</v>
      </c>
      <c r="AD1642" s="2">
        <v>73.239999999999995</v>
      </c>
      <c r="AE1642" s="2">
        <v>0</v>
      </c>
      <c r="AF1642" s="2" t="s">
        <v>5614</v>
      </c>
      <c r="AG1642" s="2" t="s">
        <v>3544</v>
      </c>
      <c r="AH1642" s="2" t="s">
        <v>14534</v>
      </c>
      <c r="AI1642" s="2">
        <v>-0.36</v>
      </c>
      <c r="AJ1642" s="2">
        <v>20.840317497594999</v>
      </c>
      <c r="AK1642" s="2">
        <v>20.733110976793</v>
      </c>
      <c r="AL1642" s="2">
        <v>20.799053423117101</v>
      </c>
      <c r="AM1642" s="2">
        <v>21.023218425269899</v>
      </c>
      <c r="AN1642" s="2">
        <v>21.100738491038399</v>
      </c>
      <c r="AO1642" s="2">
        <v>20.849203826796</v>
      </c>
      <c r="AP1642" s="2">
        <v>20.983009187861001</v>
      </c>
      <c r="AQ1642" s="2">
        <v>21.069970369740901</v>
      </c>
      <c r="AR1642" s="2">
        <v>21.107694145270901</v>
      </c>
      <c r="AS1642" s="2">
        <v>21.166286713170798</v>
      </c>
      <c r="AT1642" s="2">
        <v>20.721965841410501</v>
      </c>
      <c r="AU1642" s="2">
        <v>20.9784445832064</v>
      </c>
      <c r="AV1642" s="2">
        <v>20.9591451171143</v>
      </c>
      <c r="AW1642" s="2">
        <v>21.137644355032201</v>
      </c>
      <c r="AX1642" s="2">
        <v>20.8146808261329</v>
      </c>
      <c r="AY1642" s="2">
        <v>20.833342229896498</v>
      </c>
      <c r="AZ1642" s="2">
        <v>20.225159178695399</v>
      </c>
      <c r="BA1642" s="2">
        <v>20.6002922644557</v>
      </c>
      <c r="BB1642" s="2">
        <v>20.912181893874799</v>
      </c>
      <c r="BC1642" s="2">
        <v>20.7319951193085</v>
      </c>
      <c r="BD1642" s="2">
        <v>20.923749623909099</v>
      </c>
      <c r="BE1642" s="2">
        <v>20.585752313165202</v>
      </c>
      <c r="BF1642" s="2">
        <v>20.8992503971937</v>
      </c>
      <c r="BG1642" s="2">
        <v>20.6131227753608</v>
      </c>
      <c r="BH1642" s="2">
        <v>20.593313746200799</v>
      </c>
      <c r="BI1642" s="2">
        <v>20.6628705502409</v>
      </c>
      <c r="BJ1642" s="2">
        <v>20.966638757937901</v>
      </c>
      <c r="BK1642" s="2">
        <v>20.889721800059501</v>
      </c>
      <c r="BL1642" s="2">
        <v>20.822078641911499</v>
      </c>
      <c r="BM1642" s="2">
        <v>20.7183757165608</v>
      </c>
      <c r="BN1642" s="2">
        <v>20.987452630286398</v>
      </c>
      <c r="BO1642" s="2">
        <v>21.059195853764798</v>
      </c>
      <c r="BP1642" s="2">
        <v>20.5240259797494</v>
      </c>
      <c r="BQ1642" s="2">
        <v>20.5682916713947</v>
      </c>
      <c r="BR1642" s="2">
        <v>20.851179490667398</v>
      </c>
      <c r="BS1642" s="2">
        <v>21.101447903936698</v>
      </c>
      <c r="BT1642" s="2">
        <v>20.846879006725199</v>
      </c>
      <c r="BU1642" s="2">
        <v>20.844125271049201</v>
      </c>
      <c r="BV1642" s="2">
        <v>21.0181752820117</v>
      </c>
      <c r="BW1642" s="2">
        <v>21.008713742011299</v>
      </c>
      <c r="BX1642" s="2">
        <v>20.599096785307999</v>
      </c>
      <c r="BY1642" s="2">
        <v>21.036710450960999</v>
      </c>
      <c r="BZ1642" s="2">
        <v>21.211185232571101</v>
      </c>
      <c r="CA1642" s="2">
        <v>20.441758495926099</v>
      </c>
      <c r="CB1642" s="2">
        <v>20.744356323226398</v>
      </c>
      <c r="CC1642" s="2">
        <v>20.872702298729902</v>
      </c>
      <c r="CD1642" s="2">
        <v>20.892927669469302</v>
      </c>
      <c r="CE1642" s="2">
        <v>20.802945663121701</v>
      </c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</row>
    <row r="1643" spans="1:97">
      <c r="A1643" s="2" t="s">
        <v>14535</v>
      </c>
      <c r="B1643" s="2">
        <v>205.07392999999999</v>
      </c>
      <c r="C1643" s="2">
        <v>5.0350000000000001</v>
      </c>
      <c r="D1643" s="2" t="s">
        <v>84</v>
      </c>
      <c r="E1643" s="2" t="s">
        <v>14536</v>
      </c>
      <c r="F1643" s="2" t="s">
        <v>14537</v>
      </c>
      <c r="G1643" s="2">
        <v>202174</v>
      </c>
      <c r="H1643" s="3" t="str">
        <f>HYPERLINK("https://cloud.oebiotech.com/#/lm/network/202174", "https://cloud.oebiotech.com/#/lm/network/202174")</f>
        <v>https://cloud.oebiotech.com/#/lm/network/202174</v>
      </c>
      <c r="I1643" s="2" t="s">
        <v>14538</v>
      </c>
      <c r="J1643" s="2">
        <v>697602</v>
      </c>
      <c r="K1643" s="2"/>
      <c r="L1643" s="2">
        <v>13528147</v>
      </c>
      <c r="M1643" s="2"/>
      <c r="N1643" s="2"/>
      <c r="O1643" s="2"/>
      <c r="P1643" s="2"/>
      <c r="Q1643" s="2"/>
      <c r="R1643" s="2"/>
      <c r="S1643" s="2"/>
      <c r="T1643" s="2" t="s">
        <v>14539</v>
      </c>
      <c r="U1643" s="2" t="s">
        <v>14540</v>
      </c>
      <c r="V1643" s="2" t="s">
        <v>553</v>
      </c>
      <c r="W1643" s="2" t="s">
        <v>14541</v>
      </c>
      <c r="X1643" s="2" t="s">
        <v>375</v>
      </c>
      <c r="Y1643" s="2" t="s">
        <v>556</v>
      </c>
      <c r="Z1643" s="2" t="s">
        <v>14542</v>
      </c>
      <c r="AA1643" s="2"/>
      <c r="AB1643" s="2" t="s">
        <v>8443</v>
      </c>
      <c r="AC1643" s="2">
        <v>42.12</v>
      </c>
      <c r="AD1643" s="2">
        <v>75.8</v>
      </c>
      <c r="AE1643" s="2">
        <v>0</v>
      </c>
      <c r="AF1643" s="2" t="s">
        <v>5614</v>
      </c>
      <c r="AG1643" s="2" t="s">
        <v>1578</v>
      </c>
      <c r="AH1643" s="2" t="s">
        <v>14543</v>
      </c>
      <c r="AI1643" s="2">
        <v>-1.46</v>
      </c>
      <c r="AJ1643" s="2">
        <v>17.262782784739699</v>
      </c>
      <c r="AK1643" s="2">
        <v>17.213045536797299</v>
      </c>
      <c r="AL1643" s="2">
        <v>16.877834578493101</v>
      </c>
      <c r="AM1643" s="2">
        <v>17.110247470095398</v>
      </c>
      <c r="AN1643" s="2">
        <v>17.503776135186101</v>
      </c>
      <c r="AO1643" s="2">
        <v>16.963628776596501</v>
      </c>
      <c r="AP1643" s="2">
        <v>17.192570421781699</v>
      </c>
      <c r="AQ1643" s="2">
        <v>17.247574879123</v>
      </c>
      <c r="AR1643" s="2">
        <v>15.4327888311691</v>
      </c>
      <c r="AS1643" s="2">
        <v>15.5287828187786</v>
      </c>
      <c r="AT1643" s="2">
        <v>9.6233145402724691</v>
      </c>
      <c r="AU1643" s="2">
        <v>15.6245084758238</v>
      </c>
      <c r="AV1643" s="2">
        <v>16.614021196589601</v>
      </c>
      <c r="AW1643" s="2">
        <v>16.725154002924199</v>
      </c>
      <c r="AX1643" s="2">
        <v>14.85792803963</v>
      </c>
      <c r="AY1643" s="2">
        <v>16.4407814291047</v>
      </c>
      <c r="AZ1643" s="2">
        <v>16.748101760862401</v>
      </c>
      <c r="BA1643" s="2">
        <v>16.2149199288659</v>
      </c>
      <c r="BB1643" s="2">
        <v>16.771221724861</v>
      </c>
      <c r="BC1643" s="2">
        <v>16.715144238496801</v>
      </c>
      <c r="BD1643" s="2">
        <v>16.469089763774299</v>
      </c>
      <c r="BE1643" s="2">
        <v>17.011518504159501</v>
      </c>
      <c r="BF1643" s="2">
        <v>15.5069205590564</v>
      </c>
      <c r="BG1643" s="2">
        <v>17.870405239420499</v>
      </c>
      <c r="BH1643" s="2">
        <v>16.7008234519448</v>
      </c>
      <c r="BI1643" s="2">
        <v>17.5563016494139</v>
      </c>
      <c r="BJ1643" s="2">
        <v>16.298639165239202</v>
      </c>
      <c r="BK1643" s="2">
        <v>17.018895729758299</v>
      </c>
      <c r="BL1643" s="2">
        <v>16.2373485311143</v>
      </c>
      <c r="BM1643" s="2">
        <v>16.8824668089662</v>
      </c>
      <c r="BN1643" s="2">
        <v>16.3200661131042</v>
      </c>
      <c r="BO1643" s="2">
        <v>17.298672901856701</v>
      </c>
      <c r="BP1643" s="2">
        <v>16.933747585333801</v>
      </c>
      <c r="BQ1643" s="2">
        <v>17.1885398780821</v>
      </c>
      <c r="BR1643" s="2">
        <v>16.8580329770741</v>
      </c>
      <c r="BS1643" s="2">
        <v>16.067226151594799</v>
      </c>
      <c r="BT1643" s="2">
        <v>16.913963194287501</v>
      </c>
      <c r="BU1643" s="2">
        <v>16.956846889485998</v>
      </c>
      <c r="BV1643" s="2">
        <v>17.222038270507401</v>
      </c>
      <c r="BW1643" s="2">
        <v>9.6233145402724691</v>
      </c>
      <c r="BX1643" s="2">
        <v>17.048743350178899</v>
      </c>
      <c r="BY1643" s="2">
        <v>17.9605049679591</v>
      </c>
      <c r="BZ1643" s="2">
        <v>16.832825253579401</v>
      </c>
      <c r="CA1643" s="2">
        <v>17.6412598921399</v>
      </c>
      <c r="CB1643" s="2">
        <v>16.8274738320683</v>
      </c>
      <c r="CC1643" s="2">
        <v>17.1715280833428</v>
      </c>
      <c r="CD1643" s="2">
        <v>17.507552090859399</v>
      </c>
      <c r="CE1643" s="2">
        <v>17.923715826042798</v>
      </c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</row>
    <row r="1644" spans="1:97">
      <c r="A1644" s="2" t="s">
        <v>14544</v>
      </c>
      <c r="B1644" s="2">
        <v>312.97822000000002</v>
      </c>
      <c r="C1644" s="2">
        <v>3.9119999999999999</v>
      </c>
      <c r="D1644" s="2" t="s">
        <v>84</v>
      </c>
      <c r="E1644" s="2" t="s">
        <v>14545</v>
      </c>
      <c r="F1644" s="2" t="s">
        <v>14546</v>
      </c>
      <c r="G1644" s="2">
        <v>54190</v>
      </c>
      <c r="H1644" s="3" t="str">
        <f>HYPERLINK("https://cloud.oebiotech.com/#/lm/network/54190", "https://cloud.oebiotech.com/#/lm/network/54190")</f>
        <v>https://cloud.oebiotech.com/#/lm/network/54190</v>
      </c>
      <c r="I1644" s="2" t="s">
        <v>14547</v>
      </c>
      <c r="J1644" s="2">
        <v>86083</v>
      </c>
      <c r="K1644" s="2"/>
      <c r="L1644" s="2">
        <v>6305574</v>
      </c>
      <c r="M1644" s="2"/>
      <c r="N1644" s="2"/>
      <c r="O1644" s="2"/>
      <c r="P1644" s="2">
        <v>133508</v>
      </c>
      <c r="Q1644" s="2"/>
      <c r="R1644" s="2"/>
      <c r="S1644" s="2" t="s">
        <v>14548</v>
      </c>
      <c r="T1644" s="2" t="s">
        <v>14549</v>
      </c>
      <c r="U1644" s="2" t="s">
        <v>14550</v>
      </c>
      <c r="V1644" s="2" t="s">
        <v>845</v>
      </c>
      <c r="W1644" s="2" t="s">
        <v>970</v>
      </c>
      <c r="X1644" s="2" t="s">
        <v>971</v>
      </c>
      <c r="Y1644" s="2" t="s">
        <v>847</v>
      </c>
      <c r="Z1644" s="2" t="s">
        <v>972</v>
      </c>
      <c r="AA1644" s="2" t="s">
        <v>973</v>
      </c>
      <c r="AB1644" s="2" t="s">
        <v>8443</v>
      </c>
      <c r="AC1644" s="2">
        <v>42.11</v>
      </c>
      <c r="AD1644" s="2">
        <v>75.72</v>
      </c>
      <c r="AE1644" s="2">
        <v>0</v>
      </c>
      <c r="AF1644" s="2" t="s">
        <v>5614</v>
      </c>
      <c r="AG1644" s="2" t="s">
        <v>3544</v>
      </c>
      <c r="AH1644" s="2" t="s">
        <v>975</v>
      </c>
      <c r="AI1644" s="2">
        <v>-0.96</v>
      </c>
      <c r="AJ1644" s="2">
        <v>16.855834376261701</v>
      </c>
      <c r="AK1644" s="2">
        <v>16.610636167419401</v>
      </c>
      <c r="AL1644" s="2">
        <v>17.6785398971817</v>
      </c>
      <c r="AM1644" s="2">
        <v>17.316558905634199</v>
      </c>
      <c r="AN1644" s="2">
        <v>17.042860291380698</v>
      </c>
      <c r="AO1644" s="2">
        <v>17.263284332303702</v>
      </c>
      <c r="AP1644" s="2">
        <v>16.785447487173801</v>
      </c>
      <c r="AQ1644" s="2">
        <v>17.407171151966999</v>
      </c>
      <c r="AR1644" s="2">
        <v>14.7595875904421</v>
      </c>
      <c r="AS1644" s="2">
        <v>9.6233145402724691</v>
      </c>
      <c r="AT1644" s="2">
        <v>9.6233145402724691</v>
      </c>
      <c r="AU1644" s="2">
        <v>15.1782781407298</v>
      </c>
      <c r="AV1644" s="2">
        <v>9.6233145402724691</v>
      </c>
      <c r="AW1644" s="2">
        <v>18.266342445845101</v>
      </c>
      <c r="AX1644" s="2">
        <v>16.6189171227707</v>
      </c>
      <c r="AY1644" s="2">
        <v>9.6233145402724691</v>
      </c>
      <c r="AZ1644" s="2">
        <v>9.6233145402724691</v>
      </c>
      <c r="BA1644" s="2">
        <v>9.6233145402724691</v>
      </c>
      <c r="BB1644" s="2">
        <v>18.861956242273401</v>
      </c>
      <c r="BC1644" s="2">
        <v>14.1423017441602</v>
      </c>
      <c r="BD1644" s="2">
        <v>9.6233145402724691</v>
      </c>
      <c r="BE1644" s="2">
        <v>9.6233145402724691</v>
      </c>
      <c r="BF1644" s="2">
        <v>9.6233145402724691</v>
      </c>
      <c r="BG1644" s="2">
        <v>18.163762185647698</v>
      </c>
      <c r="BH1644" s="2">
        <v>19.243573483334799</v>
      </c>
      <c r="BI1644" s="2">
        <v>19.798797935025</v>
      </c>
      <c r="BJ1644" s="2">
        <v>15.0650268810162</v>
      </c>
      <c r="BK1644" s="2">
        <v>9.6233145402724691</v>
      </c>
      <c r="BL1644" s="2">
        <v>14.9530805900001</v>
      </c>
      <c r="BM1644" s="2">
        <v>16.025955779743001</v>
      </c>
      <c r="BN1644" s="2">
        <v>15.354524889449401</v>
      </c>
      <c r="BO1644" s="2">
        <v>16.956845415142901</v>
      </c>
      <c r="BP1644" s="2">
        <v>16.8413421034906</v>
      </c>
      <c r="BQ1644" s="2">
        <v>16.889158363475602</v>
      </c>
      <c r="BR1644" s="2">
        <v>17.901222639404399</v>
      </c>
      <c r="BS1644" s="2">
        <v>16.037179498660102</v>
      </c>
      <c r="BT1644" s="2">
        <v>9.6233145402724691</v>
      </c>
      <c r="BU1644" s="2">
        <v>13.855924505859299</v>
      </c>
      <c r="BV1644" s="2">
        <v>15.6179925391945</v>
      </c>
      <c r="BW1644" s="2">
        <v>9.6233145402724691</v>
      </c>
      <c r="BX1644" s="2">
        <v>9.6233145402724691</v>
      </c>
      <c r="BY1644" s="2">
        <v>17.0774193070548</v>
      </c>
      <c r="BZ1644" s="2">
        <v>14.1388653336319</v>
      </c>
      <c r="CA1644" s="2">
        <v>9.6233145402724691</v>
      </c>
      <c r="CB1644" s="2">
        <v>15.274572164336901</v>
      </c>
      <c r="CC1644" s="2">
        <v>18.3229962042188</v>
      </c>
      <c r="CD1644" s="2">
        <v>14.0187800270689</v>
      </c>
      <c r="CE1644" s="2">
        <v>9.6233145402724691</v>
      </c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</row>
    <row r="1645" spans="1:97">
      <c r="A1645" s="2" t="s">
        <v>14551</v>
      </c>
      <c r="B1645" s="2">
        <v>227.98256000000001</v>
      </c>
      <c r="C1645" s="2">
        <v>1.77</v>
      </c>
      <c r="D1645" s="2" t="s">
        <v>84</v>
      </c>
      <c r="E1645" s="2" t="s">
        <v>14552</v>
      </c>
      <c r="F1645" s="2" t="s">
        <v>14553</v>
      </c>
      <c r="G1645" s="2">
        <v>204818</v>
      </c>
      <c r="H1645" s="3" t="str">
        <f>HYPERLINK("https://cloud.oebiotech.com/#/lm/network/204818", "https://cloud.oebiotech.com/#/lm/network/204818")</f>
        <v>https://cloud.oebiotech.com/#/lm/network/204818</v>
      </c>
      <c r="I1645" s="2" t="s">
        <v>14554</v>
      </c>
      <c r="J1645" s="2"/>
      <c r="K1645" s="2"/>
      <c r="L1645" s="2">
        <v>122271</v>
      </c>
      <c r="M1645" s="2"/>
      <c r="N1645" s="2"/>
      <c r="O1645" s="2"/>
      <c r="P1645" s="2"/>
      <c r="Q1645" s="2"/>
      <c r="R1645" s="2"/>
      <c r="S1645" s="2"/>
      <c r="T1645" s="2" t="s">
        <v>14555</v>
      </c>
      <c r="U1645" s="2" t="s">
        <v>14556</v>
      </c>
      <c r="V1645" s="2" t="s">
        <v>115</v>
      </c>
      <c r="W1645" s="2" t="s">
        <v>4566</v>
      </c>
      <c r="X1645" s="2" t="s">
        <v>4567</v>
      </c>
      <c r="Y1645" s="2" t="s">
        <v>118</v>
      </c>
      <c r="Z1645" s="2" t="s">
        <v>4568</v>
      </c>
      <c r="AA1645" s="2" t="s">
        <v>4569</v>
      </c>
      <c r="AB1645" s="2" t="s">
        <v>8443</v>
      </c>
      <c r="AC1645" s="2">
        <v>42.06</v>
      </c>
      <c r="AD1645" s="2">
        <v>72.849999999999994</v>
      </c>
      <c r="AE1645" s="2">
        <v>0</v>
      </c>
      <c r="AF1645" s="2" t="s">
        <v>14557</v>
      </c>
      <c r="AG1645" s="2" t="s">
        <v>3544</v>
      </c>
      <c r="AH1645" s="2" t="s">
        <v>14558</v>
      </c>
      <c r="AI1645" s="2">
        <v>-1.32</v>
      </c>
      <c r="AJ1645" s="2">
        <v>21.530890714907802</v>
      </c>
      <c r="AK1645" s="2">
        <v>20.975842910293899</v>
      </c>
      <c r="AL1645" s="2">
        <v>21.676409298383199</v>
      </c>
      <c r="AM1645" s="2">
        <v>21.934007481728401</v>
      </c>
      <c r="AN1645" s="2">
        <v>21.6076735433743</v>
      </c>
      <c r="AO1645" s="2">
        <v>21.462928493751999</v>
      </c>
      <c r="AP1645" s="2">
        <v>21.555620643168499</v>
      </c>
      <c r="AQ1645" s="2">
        <v>21.442719292124099</v>
      </c>
      <c r="AR1645" s="2">
        <v>21.509894015149399</v>
      </c>
      <c r="AS1645" s="2">
        <v>21.819200919156501</v>
      </c>
      <c r="AT1645" s="2">
        <v>21.620230879906799</v>
      </c>
      <c r="AU1645" s="2">
        <v>21.591189728104499</v>
      </c>
      <c r="AV1645" s="2">
        <v>21.631472930530698</v>
      </c>
      <c r="AW1645" s="2">
        <v>21.779541699267401</v>
      </c>
      <c r="AX1645" s="2">
        <v>20.984188554910901</v>
      </c>
      <c r="AY1645" s="2">
        <v>21.695638754766001</v>
      </c>
      <c r="AZ1645" s="2">
        <v>21.6841235269324</v>
      </c>
      <c r="BA1645" s="2">
        <v>21.898497005333699</v>
      </c>
      <c r="BB1645" s="2">
        <v>21.619049092514199</v>
      </c>
      <c r="BC1645" s="2">
        <v>21.402421415749799</v>
      </c>
      <c r="BD1645" s="2">
        <v>21.812040230781299</v>
      </c>
      <c r="BE1645" s="2">
        <v>21.761379604030001</v>
      </c>
      <c r="BF1645" s="2">
        <v>21.808981770128799</v>
      </c>
      <c r="BG1645" s="2">
        <v>20.8527986957852</v>
      </c>
      <c r="BH1645" s="2">
        <v>21.586161450673099</v>
      </c>
      <c r="BI1645" s="2">
        <v>20.970300585511399</v>
      </c>
      <c r="BJ1645" s="2">
        <v>21.7881127208903</v>
      </c>
      <c r="BK1645" s="2">
        <v>21.6428520208555</v>
      </c>
      <c r="BL1645" s="2">
        <v>21.6651312244006</v>
      </c>
      <c r="BM1645" s="2">
        <v>21.498858597424199</v>
      </c>
      <c r="BN1645" s="2">
        <v>21.749784634270199</v>
      </c>
      <c r="BO1645" s="2">
        <v>21.765849796317099</v>
      </c>
      <c r="BP1645" s="2">
        <v>21.691977537276099</v>
      </c>
      <c r="BQ1645" s="2">
        <v>21.730800883836</v>
      </c>
      <c r="BR1645" s="2">
        <v>21.604414347541699</v>
      </c>
      <c r="BS1645" s="2">
        <v>21.639538490626801</v>
      </c>
      <c r="BT1645" s="2">
        <v>21.591752501890898</v>
      </c>
      <c r="BU1645" s="2">
        <v>21.747494866494399</v>
      </c>
      <c r="BV1645" s="2">
        <v>20.228965101115399</v>
      </c>
      <c r="BW1645" s="2">
        <v>21.791400208384999</v>
      </c>
      <c r="BX1645" s="2">
        <v>21.695620379832299</v>
      </c>
      <c r="BY1645" s="2">
        <v>21.465170897186901</v>
      </c>
      <c r="BZ1645" s="2">
        <v>21.668434855044701</v>
      </c>
      <c r="CA1645" s="2">
        <v>21.5503021207061</v>
      </c>
      <c r="CB1645" s="2">
        <v>21.819810482621602</v>
      </c>
      <c r="CC1645" s="2">
        <v>21.822617169272199</v>
      </c>
      <c r="CD1645" s="2">
        <v>21.692072843921</v>
      </c>
      <c r="CE1645" s="2">
        <v>21.671002019032802</v>
      </c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</row>
    <row r="1646" spans="1:97">
      <c r="A1646" s="2" t="s">
        <v>14559</v>
      </c>
      <c r="B1646" s="2">
        <v>267.04575999999997</v>
      </c>
      <c r="C1646" s="2">
        <v>4.2789999999999999</v>
      </c>
      <c r="D1646" s="2" t="s">
        <v>146</v>
      </c>
      <c r="E1646" s="2" t="s">
        <v>14560</v>
      </c>
      <c r="F1646" s="2" t="s">
        <v>14561</v>
      </c>
      <c r="G1646" s="2">
        <v>211978</v>
      </c>
      <c r="H1646" s="3" t="str">
        <f>HYPERLINK("https://cloud.oebiotech.com/#/lm/network/211978", "https://cloud.oebiotech.com/#/lm/network/211978")</f>
        <v>https://cloud.oebiotech.com/#/lm/network/211978</v>
      </c>
      <c r="I1646" s="2" t="s">
        <v>14562</v>
      </c>
      <c r="J1646" s="2"/>
      <c r="K1646" s="2"/>
      <c r="L1646" s="2">
        <v>171434</v>
      </c>
      <c r="M1646" s="2"/>
      <c r="N1646" s="2"/>
      <c r="O1646" s="2"/>
      <c r="P1646" s="2"/>
      <c r="Q1646" s="2"/>
      <c r="R1646" s="2"/>
      <c r="S1646" s="2"/>
      <c r="T1646" s="2" t="s">
        <v>14563</v>
      </c>
      <c r="U1646" s="2" t="s">
        <v>14564</v>
      </c>
      <c r="V1646" s="2" t="s">
        <v>115</v>
      </c>
      <c r="W1646" s="2" t="s">
        <v>116</v>
      </c>
      <c r="X1646" s="2" t="s">
        <v>117</v>
      </c>
      <c r="Y1646" s="2" t="s">
        <v>118</v>
      </c>
      <c r="Z1646" s="2" t="s">
        <v>119</v>
      </c>
      <c r="AA1646" s="2" t="s">
        <v>120</v>
      </c>
      <c r="AB1646" s="2" t="s">
        <v>8443</v>
      </c>
      <c r="AC1646" s="2">
        <v>42.04</v>
      </c>
      <c r="AD1646" s="2">
        <v>89.44</v>
      </c>
      <c r="AE1646" s="2">
        <v>0</v>
      </c>
      <c r="AF1646" s="2" t="s">
        <v>5614</v>
      </c>
      <c r="AG1646" s="2" t="s">
        <v>157</v>
      </c>
      <c r="AH1646" s="2" t="s">
        <v>11913</v>
      </c>
      <c r="AI1646" s="2">
        <v>-4.87</v>
      </c>
      <c r="AJ1646" s="2">
        <v>16.900054733395301</v>
      </c>
      <c r="AK1646" s="2">
        <v>16.8917644829754</v>
      </c>
      <c r="AL1646" s="2">
        <v>16.680585201698001</v>
      </c>
      <c r="AM1646" s="2">
        <v>16.585960260373099</v>
      </c>
      <c r="AN1646" s="2">
        <v>16.6600889557416</v>
      </c>
      <c r="AO1646" s="2">
        <v>16.611406261993899</v>
      </c>
      <c r="AP1646" s="2">
        <v>16.704991752257701</v>
      </c>
      <c r="AQ1646" s="2">
        <v>16.190958938187901</v>
      </c>
      <c r="AR1646" s="2">
        <v>14.911302565694999</v>
      </c>
      <c r="AS1646" s="2">
        <v>15.8001918736308</v>
      </c>
      <c r="AT1646" s="2">
        <v>16.469274229099899</v>
      </c>
      <c r="AU1646" s="2">
        <v>14.962420238684301</v>
      </c>
      <c r="AV1646" s="2">
        <v>15.544816558626</v>
      </c>
      <c r="AW1646" s="2">
        <v>16.4638156990307</v>
      </c>
      <c r="AX1646" s="2">
        <v>16.576374215454798</v>
      </c>
      <c r="AY1646" s="2">
        <v>16.095586578357601</v>
      </c>
      <c r="AZ1646" s="2">
        <v>14.067325112471</v>
      </c>
      <c r="BA1646" s="2">
        <v>15.989998231502501</v>
      </c>
      <c r="BB1646" s="2">
        <v>17.390938575698399</v>
      </c>
      <c r="BC1646" s="2">
        <v>17.1441337248202</v>
      </c>
      <c r="BD1646" s="2">
        <v>15.945786499766999</v>
      </c>
      <c r="BE1646" s="2">
        <v>15.947004935637199</v>
      </c>
      <c r="BF1646" s="2">
        <v>15.3306791862883</v>
      </c>
      <c r="BG1646" s="2">
        <v>16.210482243989301</v>
      </c>
      <c r="BH1646" s="2">
        <v>15.77816750054</v>
      </c>
      <c r="BI1646" s="2">
        <v>16.130435022253501</v>
      </c>
      <c r="BJ1646" s="2">
        <v>16.231741880739801</v>
      </c>
      <c r="BK1646" s="2">
        <v>15.4643539780966</v>
      </c>
      <c r="BL1646" s="2">
        <v>15.591575523348601</v>
      </c>
      <c r="BM1646" s="2">
        <v>16.903290523614999</v>
      </c>
      <c r="BN1646" s="2">
        <v>16.976155846496901</v>
      </c>
      <c r="BO1646" s="2">
        <v>15.9253870738325</v>
      </c>
      <c r="BP1646" s="2">
        <v>15.129637206621</v>
      </c>
      <c r="BQ1646" s="2">
        <v>16.858940173340901</v>
      </c>
      <c r="BR1646" s="2">
        <v>17.012256682422102</v>
      </c>
      <c r="BS1646" s="2">
        <v>15.3831618975516</v>
      </c>
      <c r="BT1646" s="2">
        <v>16.8522560278182</v>
      </c>
      <c r="BU1646" s="2">
        <v>16.547278950524799</v>
      </c>
      <c r="BV1646" s="2">
        <v>16.407550093974901</v>
      </c>
      <c r="BW1646" s="2">
        <v>16.295588693881399</v>
      </c>
      <c r="BX1646" s="2">
        <v>16.608312006466399</v>
      </c>
      <c r="BY1646" s="2">
        <v>17.031009321960401</v>
      </c>
      <c r="BZ1646" s="2">
        <v>16.7980898889843</v>
      </c>
      <c r="CA1646" s="2">
        <v>14.675717813213801</v>
      </c>
      <c r="CB1646" s="2">
        <v>14.8259371388924</v>
      </c>
      <c r="CC1646" s="2">
        <v>16.814691855452299</v>
      </c>
      <c r="CD1646" s="2">
        <v>15.245345838784599</v>
      </c>
      <c r="CE1646" s="2">
        <v>16.769719963977298</v>
      </c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</row>
    <row r="1647" spans="1:97">
      <c r="A1647" s="2" t="s">
        <v>14565</v>
      </c>
      <c r="B1647" s="2">
        <v>240.08614</v>
      </c>
      <c r="C1647" s="2">
        <v>4.7119999999999997</v>
      </c>
      <c r="D1647" s="2" t="s">
        <v>84</v>
      </c>
      <c r="E1647" s="2" t="s">
        <v>14566</v>
      </c>
      <c r="F1647" s="2" t="s">
        <v>14567</v>
      </c>
      <c r="G1647" s="2">
        <v>211435</v>
      </c>
      <c r="H1647" s="3" t="str">
        <f>HYPERLINK("https://cloud.oebiotech.com/#/lm/network/211435", "https://cloud.oebiotech.com/#/lm/network/211435")</f>
        <v>https://cloud.oebiotech.com/#/lm/network/211435</v>
      </c>
      <c r="I1647" s="2" t="s">
        <v>14568</v>
      </c>
      <c r="J1647" s="2"/>
      <c r="K1647" s="2"/>
      <c r="L1647" s="2">
        <v>54433909</v>
      </c>
      <c r="M1647" s="2"/>
      <c r="N1647" s="2"/>
      <c r="O1647" s="2"/>
      <c r="P1647" s="2"/>
      <c r="Q1647" s="2"/>
      <c r="R1647" s="2"/>
      <c r="S1647" s="2"/>
      <c r="T1647" s="2" t="s">
        <v>14569</v>
      </c>
      <c r="U1647" s="2" t="s">
        <v>14570</v>
      </c>
      <c r="V1647" s="2" t="s">
        <v>115</v>
      </c>
      <c r="W1647" s="2" t="s">
        <v>116</v>
      </c>
      <c r="X1647" s="2" t="s">
        <v>1238</v>
      </c>
      <c r="Y1647" s="2" t="s">
        <v>118</v>
      </c>
      <c r="Z1647" s="2" t="s">
        <v>119</v>
      </c>
      <c r="AA1647" s="2" t="s">
        <v>1239</v>
      </c>
      <c r="AB1647" s="2" t="s">
        <v>8443</v>
      </c>
      <c r="AC1647" s="2">
        <v>42.04</v>
      </c>
      <c r="AD1647" s="2">
        <v>92.6</v>
      </c>
      <c r="AE1647" s="2">
        <v>0</v>
      </c>
      <c r="AF1647" s="2" t="s">
        <v>14571</v>
      </c>
      <c r="AG1647" s="2" t="s">
        <v>1088</v>
      </c>
      <c r="AH1647" s="2" t="s">
        <v>14572</v>
      </c>
      <c r="AI1647" s="2">
        <v>4.58</v>
      </c>
      <c r="AJ1647" s="2">
        <v>16.869155946604899</v>
      </c>
      <c r="AK1647" s="2">
        <v>17.297410418011602</v>
      </c>
      <c r="AL1647" s="2">
        <v>17.488561405036702</v>
      </c>
      <c r="AM1647" s="2">
        <v>17.041960679661099</v>
      </c>
      <c r="AN1647" s="2">
        <v>16.8220620189635</v>
      </c>
      <c r="AO1647" s="2">
        <v>17.200512062367501</v>
      </c>
      <c r="AP1647" s="2">
        <v>17.684076309018899</v>
      </c>
      <c r="AQ1647" s="2">
        <v>17.512142301730702</v>
      </c>
      <c r="AR1647" s="2">
        <v>9.6233145402724691</v>
      </c>
      <c r="AS1647" s="2">
        <v>13.6910913678394</v>
      </c>
      <c r="AT1647" s="2">
        <v>16.010415336294901</v>
      </c>
      <c r="AU1647" s="2">
        <v>14.479149957570501</v>
      </c>
      <c r="AV1647" s="2">
        <v>16.776243198425099</v>
      </c>
      <c r="AW1647" s="2">
        <v>9.6233145402724691</v>
      </c>
      <c r="AX1647" s="2">
        <v>17.019978105288899</v>
      </c>
      <c r="AY1647" s="2">
        <v>17.215400755486801</v>
      </c>
      <c r="AZ1647" s="2">
        <v>15.3040706990293</v>
      </c>
      <c r="BA1647" s="2">
        <v>18.425588414803102</v>
      </c>
      <c r="BB1647" s="2">
        <v>15.073431985573899</v>
      </c>
      <c r="BC1647" s="2">
        <v>14.977945299002</v>
      </c>
      <c r="BD1647" s="2">
        <v>9.6233145402724691</v>
      </c>
      <c r="BE1647" s="2">
        <v>19.244865672160401</v>
      </c>
      <c r="BF1647" s="2">
        <v>19.718688873083298</v>
      </c>
      <c r="BG1647" s="2">
        <v>15.542922731657599</v>
      </c>
      <c r="BH1647" s="2">
        <v>9.6233145402724691</v>
      </c>
      <c r="BI1647" s="2">
        <v>21.068628133738201</v>
      </c>
      <c r="BJ1647" s="2">
        <v>9.6233145402724691</v>
      </c>
      <c r="BK1647" s="2">
        <v>9.6233145402724691</v>
      </c>
      <c r="BL1647" s="2">
        <v>9.6233145402724691</v>
      </c>
      <c r="BM1647" s="2">
        <v>16.926124775789901</v>
      </c>
      <c r="BN1647" s="2">
        <v>9.6233145402724691</v>
      </c>
      <c r="BO1647" s="2">
        <v>17.977138692951701</v>
      </c>
      <c r="BP1647" s="2">
        <v>13.810597741180199</v>
      </c>
      <c r="BQ1647" s="2">
        <v>17.369546399869702</v>
      </c>
      <c r="BR1647" s="2">
        <v>19.0699486443173</v>
      </c>
      <c r="BS1647" s="2">
        <v>17.051867101112499</v>
      </c>
      <c r="BT1647" s="2">
        <v>9.6233145402724691</v>
      </c>
      <c r="BU1647" s="2">
        <v>17.957063318051802</v>
      </c>
      <c r="BV1647" s="2">
        <v>19.666858683674199</v>
      </c>
      <c r="BW1647" s="2">
        <v>9.6233145402724691</v>
      </c>
      <c r="BX1647" s="2">
        <v>15.1715486065732</v>
      </c>
      <c r="BY1647" s="2">
        <v>20.365470742214399</v>
      </c>
      <c r="BZ1647" s="2">
        <v>16.663409529886501</v>
      </c>
      <c r="CA1647" s="2">
        <v>19.4056279856181</v>
      </c>
      <c r="CB1647" s="2">
        <v>9.6233145402724691</v>
      </c>
      <c r="CC1647" s="2">
        <v>18.7836740899901</v>
      </c>
      <c r="CD1647" s="2">
        <v>9.6233145402724691</v>
      </c>
      <c r="CE1647" s="2">
        <v>9.6233145402724691</v>
      </c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</row>
    <row r="1648" spans="1:97">
      <c r="A1648" s="2" t="s">
        <v>14573</v>
      </c>
      <c r="B1648" s="2">
        <v>283.13058000000001</v>
      </c>
      <c r="C1648" s="2">
        <v>9.8170000000000002</v>
      </c>
      <c r="D1648" s="2" t="s">
        <v>84</v>
      </c>
      <c r="E1648" s="2" t="s">
        <v>14574</v>
      </c>
      <c r="F1648" s="2" t="s">
        <v>14575</v>
      </c>
      <c r="G1648" s="2">
        <v>202578</v>
      </c>
      <c r="H1648" s="3" t="str">
        <f>HYPERLINK("https://cloud.oebiotech.com/#/lm/network/202578", "https://cloud.oebiotech.com/#/lm/network/202578")</f>
        <v>https://cloud.oebiotech.com/#/lm/network/202578</v>
      </c>
      <c r="I1648" s="2" t="s">
        <v>14576</v>
      </c>
      <c r="J1648" s="2"/>
      <c r="K1648" s="2"/>
      <c r="L1648" s="2">
        <v>42552953</v>
      </c>
      <c r="M1648" s="2"/>
      <c r="N1648" s="2"/>
      <c r="O1648" s="2"/>
      <c r="P1648" s="2"/>
      <c r="Q1648" s="2"/>
      <c r="R1648" s="2"/>
      <c r="S1648" s="2"/>
      <c r="T1648" s="2" t="s">
        <v>14577</v>
      </c>
      <c r="U1648" s="2" t="s">
        <v>14578</v>
      </c>
      <c r="V1648" s="2" t="s">
        <v>95</v>
      </c>
      <c r="W1648" s="2" t="s">
        <v>96</v>
      </c>
      <c r="X1648" s="2" t="s">
        <v>97</v>
      </c>
      <c r="Y1648" s="2" t="s">
        <v>98</v>
      </c>
      <c r="Z1648" s="2" t="s">
        <v>99</v>
      </c>
      <c r="AA1648" s="2" t="s">
        <v>100</v>
      </c>
      <c r="AB1648" s="2" t="s">
        <v>8443</v>
      </c>
      <c r="AC1648" s="2">
        <v>42.04</v>
      </c>
      <c r="AD1648" s="2">
        <v>73.95</v>
      </c>
      <c r="AE1648" s="2">
        <v>0</v>
      </c>
      <c r="AF1648" s="2" t="s">
        <v>14579</v>
      </c>
      <c r="AG1648" s="2" t="s">
        <v>3544</v>
      </c>
      <c r="AH1648" s="2" t="s">
        <v>6924</v>
      </c>
      <c r="AI1648" s="2">
        <v>0</v>
      </c>
      <c r="AJ1648" s="2">
        <v>19.777435223407601</v>
      </c>
      <c r="AK1648" s="2">
        <v>19.709027304675999</v>
      </c>
      <c r="AL1648" s="2">
        <v>19.766399531532201</v>
      </c>
      <c r="AM1648" s="2">
        <v>19.7124686960689</v>
      </c>
      <c r="AN1648" s="2">
        <v>19.867387207469001</v>
      </c>
      <c r="AO1648" s="2">
        <v>19.836842564200399</v>
      </c>
      <c r="AP1648" s="2">
        <v>19.713618714219201</v>
      </c>
      <c r="AQ1648" s="2">
        <v>19.519165889869399</v>
      </c>
      <c r="AR1648" s="2">
        <v>19.808885074321299</v>
      </c>
      <c r="AS1648" s="2">
        <v>18.524024094826501</v>
      </c>
      <c r="AT1648" s="2">
        <v>19.515140680991799</v>
      </c>
      <c r="AU1648" s="2">
        <v>19.857899860682998</v>
      </c>
      <c r="AV1648" s="2">
        <v>19.573759154127899</v>
      </c>
      <c r="AW1648" s="2">
        <v>19.7889781042526</v>
      </c>
      <c r="AX1648" s="2">
        <v>19.257202028674499</v>
      </c>
      <c r="AY1648" s="2">
        <v>18.629426173051201</v>
      </c>
      <c r="AZ1648" s="2">
        <v>19.756477080922199</v>
      </c>
      <c r="BA1648" s="2">
        <v>19.471218247589299</v>
      </c>
      <c r="BB1648" s="2">
        <v>19.520548743077299</v>
      </c>
      <c r="BC1648" s="2">
        <v>19.190258569132101</v>
      </c>
      <c r="BD1648" s="2">
        <v>18.901843616383399</v>
      </c>
      <c r="BE1648" s="2">
        <v>19.0565029059387</v>
      </c>
      <c r="BF1648" s="2">
        <v>18.9288792467664</v>
      </c>
      <c r="BG1648" s="2">
        <v>20.198627021541402</v>
      </c>
      <c r="BH1648" s="2">
        <v>18.354075914371698</v>
      </c>
      <c r="BI1648" s="2">
        <v>20.489979348857101</v>
      </c>
      <c r="BJ1648" s="2">
        <v>19.433460093097899</v>
      </c>
      <c r="BK1648" s="2">
        <v>19.540376184827998</v>
      </c>
      <c r="BL1648" s="2">
        <v>19.760108972403899</v>
      </c>
      <c r="BM1648" s="2">
        <v>19.2381432094178</v>
      </c>
      <c r="BN1648" s="2">
        <v>18.967369082268402</v>
      </c>
      <c r="BO1648" s="2">
        <v>19.885576881506399</v>
      </c>
      <c r="BP1648" s="2">
        <v>19.859870088599699</v>
      </c>
      <c r="BQ1648" s="2">
        <v>19.2208390399846</v>
      </c>
      <c r="BR1648" s="2">
        <v>20.506985322178899</v>
      </c>
      <c r="BS1648" s="2">
        <v>20.228690042104201</v>
      </c>
      <c r="BT1648" s="2">
        <v>19.120139366173198</v>
      </c>
      <c r="BU1648" s="2">
        <v>19.954288893111201</v>
      </c>
      <c r="BV1648" s="2">
        <v>20.023970785170199</v>
      </c>
      <c r="BW1648" s="2">
        <v>17.4313199987159</v>
      </c>
      <c r="BX1648" s="2">
        <v>19.12421846586</v>
      </c>
      <c r="BY1648" s="2">
        <v>20.051591598782199</v>
      </c>
      <c r="BZ1648" s="2">
        <v>19.4801504722613</v>
      </c>
      <c r="CA1648" s="2">
        <v>19.9178963738199</v>
      </c>
      <c r="CB1648" s="2">
        <v>20.291117491405</v>
      </c>
      <c r="CC1648" s="2">
        <v>19.865035456428998</v>
      </c>
      <c r="CD1648" s="2">
        <v>20.137791850429899</v>
      </c>
      <c r="CE1648" s="2">
        <v>19.566659228580999</v>
      </c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</row>
    <row r="1649" spans="1:97">
      <c r="A1649" s="2" t="s">
        <v>14580</v>
      </c>
      <c r="B1649" s="2">
        <v>356.27893999999998</v>
      </c>
      <c r="C1649" s="2">
        <v>8.5909999999999993</v>
      </c>
      <c r="D1649" s="2" t="s">
        <v>84</v>
      </c>
      <c r="E1649" s="2" t="s">
        <v>14581</v>
      </c>
      <c r="F1649" s="2" t="s">
        <v>14582</v>
      </c>
      <c r="G1649" s="2">
        <v>59258</v>
      </c>
      <c r="H1649" s="3" t="str">
        <f>HYPERLINK("https://cloud.oebiotech.com/#/lm/network/59258", "https://cloud.oebiotech.com/#/lm/network/59258")</f>
        <v>https://cloud.oebiotech.com/#/lm/network/59258</v>
      </c>
      <c r="I1649" s="2" t="s">
        <v>14583</v>
      </c>
      <c r="J1649" s="2"/>
      <c r="K1649" s="2"/>
      <c r="L1649" s="2">
        <v>131751729</v>
      </c>
      <c r="M1649" s="2"/>
      <c r="N1649" s="2"/>
      <c r="O1649" s="2"/>
      <c r="P1649" s="2">
        <v>171881</v>
      </c>
      <c r="Q1649" s="2"/>
      <c r="R1649" s="2"/>
      <c r="S1649" s="2" t="s">
        <v>14584</v>
      </c>
      <c r="T1649" s="2" t="s">
        <v>14585</v>
      </c>
      <c r="U1649" s="2" t="s">
        <v>14586</v>
      </c>
      <c r="V1649" s="2" t="s">
        <v>95</v>
      </c>
      <c r="W1649" s="2" t="s">
        <v>180</v>
      </c>
      <c r="X1649" s="2" t="s">
        <v>3643</v>
      </c>
      <c r="Y1649" s="2" t="s">
        <v>98</v>
      </c>
      <c r="Z1649" s="2" t="s">
        <v>182</v>
      </c>
      <c r="AA1649" s="2" t="s">
        <v>3644</v>
      </c>
      <c r="AB1649" s="2" t="s">
        <v>8443</v>
      </c>
      <c r="AC1649" s="2">
        <v>42.04</v>
      </c>
      <c r="AD1649" s="2">
        <v>87.06</v>
      </c>
      <c r="AE1649" s="2">
        <v>33.17</v>
      </c>
      <c r="AF1649" s="2" t="s">
        <v>14587</v>
      </c>
      <c r="AG1649" s="2" t="s">
        <v>132</v>
      </c>
      <c r="AH1649" s="2" t="s">
        <v>4877</v>
      </c>
      <c r="AI1649" s="2">
        <v>1.68</v>
      </c>
      <c r="AJ1649" s="2">
        <v>20.6118427978341</v>
      </c>
      <c r="AK1649" s="2">
        <v>20.717948167774001</v>
      </c>
      <c r="AL1649" s="2">
        <v>20.746425316093799</v>
      </c>
      <c r="AM1649" s="2">
        <v>20.5577590597611</v>
      </c>
      <c r="AN1649" s="2">
        <v>20.7127163222621</v>
      </c>
      <c r="AO1649" s="2">
        <v>20.557717670634599</v>
      </c>
      <c r="AP1649" s="2">
        <v>20.755648896443699</v>
      </c>
      <c r="AQ1649" s="2">
        <v>20.531287890590399</v>
      </c>
      <c r="AR1649" s="2">
        <v>18.607745982391599</v>
      </c>
      <c r="AS1649" s="2">
        <v>20.323037393925802</v>
      </c>
      <c r="AT1649" s="2">
        <v>19.858340412596402</v>
      </c>
      <c r="AU1649" s="2">
        <v>19.906298332744001</v>
      </c>
      <c r="AV1649" s="2">
        <v>20.417757741809499</v>
      </c>
      <c r="AW1649" s="2">
        <v>19.646466158675899</v>
      </c>
      <c r="AX1649" s="2">
        <v>19.158924316516099</v>
      </c>
      <c r="AY1649" s="2">
        <v>20.2861938316391</v>
      </c>
      <c r="AZ1649" s="2">
        <v>19.421961478700702</v>
      </c>
      <c r="BA1649" s="2">
        <v>21.600920925250101</v>
      </c>
      <c r="BB1649" s="2">
        <v>21.242130935113199</v>
      </c>
      <c r="BC1649" s="2">
        <v>21.815379507777099</v>
      </c>
      <c r="BD1649" s="2">
        <v>19.473326906831701</v>
      </c>
      <c r="BE1649" s="2">
        <v>21.3077689036732</v>
      </c>
      <c r="BF1649" s="2">
        <v>18.590302138924802</v>
      </c>
      <c r="BG1649" s="2">
        <v>20.9981979414734</v>
      </c>
      <c r="BH1649" s="2">
        <v>20.9986674617139</v>
      </c>
      <c r="BI1649" s="2">
        <v>19.793001404647999</v>
      </c>
      <c r="BJ1649" s="2">
        <v>21.008053927105099</v>
      </c>
      <c r="BK1649" s="2">
        <v>19.141600069987302</v>
      </c>
      <c r="BL1649" s="2">
        <v>20.910897807024199</v>
      </c>
      <c r="BM1649" s="2">
        <v>19.9827265167444</v>
      </c>
      <c r="BN1649" s="2">
        <v>20.364696772731701</v>
      </c>
      <c r="BO1649" s="2">
        <v>21.137707574551701</v>
      </c>
      <c r="BP1649" s="2">
        <v>20.950425090780701</v>
      </c>
      <c r="BQ1649" s="2">
        <v>19.882996032573399</v>
      </c>
      <c r="BR1649" s="2">
        <v>20.579303883762499</v>
      </c>
      <c r="BS1649" s="2">
        <v>20.235803077818399</v>
      </c>
      <c r="BT1649" s="2">
        <v>21.8567216445966</v>
      </c>
      <c r="BU1649" s="2">
        <v>20.890692749528899</v>
      </c>
      <c r="BV1649" s="2">
        <v>20.858699528105198</v>
      </c>
      <c r="BW1649" s="2">
        <v>20.014281144412699</v>
      </c>
      <c r="BX1649" s="2">
        <v>20.7820103661426</v>
      </c>
      <c r="BY1649" s="2">
        <v>21.2168070367056</v>
      </c>
      <c r="BZ1649" s="2">
        <v>20.6931953677569</v>
      </c>
      <c r="CA1649" s="2">
        <v>20.561830845285499</v>
      </c>
      <c r="CB1649" s="2">
        <v>20.147181940354599</v>
      </c>
      <c r="CC1649" s="2">
        <v>19.5880254545703</v>
      </c>
      <c r="CD1649" s="2">
        <v>20.293339263998799</v>
      </c>
      <c r="CE1649" s="2">
        <v>19.852955006698998</v>
      </c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</row>
    <row r="1650" spans="1:97">
      <c r="A1650" s="2" t="s">
        <v>14588</v>
      </c>
      <c r="B1650" s="2">
        <v>464.34102000000001</v>
      </c>
      <c r="C1650" s="2">
        <v>10.031000000000001</v>
      </c>
      <c r="D1650" s="2" t="s">
        <v>146</v>
      </c>
      <c r="E1650" s="2" t="s">
        <v>14589</v>
      </c>
      <c r="F1650" s="2" t="s">
        <v>14590</v>
      </c>
      <c r="G1650" s="2">
        <v>198122</v>
      </c>
      <c r="H1650" s="3" t="str">
        <f>HYPERLINK("https://cloud.oebiotech.com/#/lm/network/198122", "https://cloud.oebiotech.com/#/lm/network/198122")</f>
        <v>https://cloud.oebiotech.com/#/lm/network/198122</v>
      </c>
      <c r="I1650" s="2" t="s">
        <v>14591</v>
      </c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 t="s">
        <v>14592</v>
      </c>
      <c r="U1650" s="2" t="s">
        <v>14593</v>
      </c>
      <c r="V1650" s="2" t="s">
        <v>95</v>
      </c>
      <c r="W1650" s="2" t="s">
        <v>96</v>
      </c>
      <c r="X1650" s="2" t="s">
        <v>97</v>
      </c>
      <c r="Y1650" s="2" t="s">
        <v>98</v>
      </c>
      <c r="Z1650" s="2" t="s">
        <v>99</v>
      </c>
      <c r="AA1650" s="2" t="s">
        <v>100</v>
      </c>
      <c r="AB1650" s="2" t="s">
        <v>8443</v>
      </c>
      <c r="AC1650" s="2">
        <v>42.03</v>
      </c>
      <c r="AD1650" s="2">
        <v>92.99</v>
      </c>
      <c r="AE1650" s="2">
        <v>0</v>
      </c>
      <c r="AF1650" s="2" t="s">
        <v>14594</v>
      </c>
      <c r="AG1650" s="2" t="s">
        <v>194</v>
      </c>
      <c r="AH1650" s="2" t="s">
        <v>14595</v>
      </c>
      <c r="AI1650" s="2">
        <v>-6.25</v>
      </c>
      <c r="AJ1650" s="2">
        <v>21.412691178166</v>
      </c>
      <c r="AK1650" s="2">
        <v>21.546434347979901</v>
      </c>
      <c r="AL1650" s="2">
        <v>21.371700179899801</v>
      </c>
      <c r="AM1650" s="2">
        <v>21.239893024256101</v>
      </c>
      <c r="AN1650" s="2">
        <v>21.315714320440499</v>
      </c>
      <c r="AO1650" s="2">
        <v>21.3671295497955</v>
      </c>
      <c r="AP1650" s="2">
        <v>21.2268355067384</v>
      </c>
      <c r="AQ1650" s="2">
        <v>21.228346408829399</v>
      </c>
      <c r="AR1650" s="2">
        <v>21.405785799566502</v>
      </c>
      <c r="AS1650" s="2">
        <v>21.676482111875099</v>
      </c>
      <c r="AT1650" s="2">
        <v>21.421120372787101</v>
      </c>
      <c r="AU1650" s="2">
        <v>21.407700245862799</v>
      </c>
      <c r="AV1650" s="2">
        <v>21.4329020887788</v>
      </c>
      <c r="AW1650" s="2">
        <v>21.512413239159098</v>
      </c>
      <c r="AX1650" s="2">
        <v>21.466974594225199</v>
      </c>
      <c r="AY1650" s="2">
        <v>21.4634040495419</v>
      </c>
      <c r="AZ1650" s="2">
        <v>21.424355885814901</v>
      </c>
      <c r="BA1650" s="2">
        <v>21.522797085571199</v>
      </c>
      <c r="BB1650" s="2">
        <v>21.3348630562718</v>
      </c>
      <c r="BC1650" s="2">
        <v>21.5091255356194</v>
      </c>
      <c r="BD1650" s="2">
        <v>21.330787021053599</v>
      </c>
      <c r="BE1650" s="2">
        <v>21.3699032371591</v>
      </c>
      <c r="BF1650" s="2">
        <v>21.189663982040798</v>
      </c>
      <c r="BG1650" s="2">
        <v>21.3599854644159</v>
      </c>
      <c r="BH1650" s="2">
        <v>21.377448098099201</v>
      </c>
      <c r="BI1650" s="2">
        <v>21.182608070531899</v>
      </c>
      <c r="BJ1650" s="2">
        <v>21.1587628636304</v>
      </c>
      <c r="BK1650" s="2">
        <v>21.2688519724089</v>
      </c>
      <c r="BL1650" s="2">
        <v>21.354307490425501</v>
      </c>
      <c r="BM1650" s="2">
        <v>21.3247513715169</v>
      </c>
      <c r="BN1650" s="2">
        <v>21.137745429899301</v>
      </c>
      <c r="BO1650" s="2">
        <v>21.3450715489471</v>
      </c>
      <c r="BP1650" s="2">
        <v>21.164970232927399</v>
      </c>
      <c r="BQ1650" s="2">
        <v>21.378521619379899</v>
      </c>
      <c r="BR1650" s="2">
        <v>21.226854634978199</v>
      </c>
      <c r="BS1650" s="2">
        <v>21.309588366148901</v>
      </c>
      <c r="BT1650" s="2">
        <v>21.145663382476599</v>
      </c>
      <c r="BU1650" s="2">
        <v>21.209984472251602</v>
      </c>
      <c r="BV1650" s="2">
        <v>21.223654524463701</v>
      </c>
      <c r="BW1650" s="2">
        <v>21.2992961434934</v>
      </c>
      <c r="BX1650" s="2">
        <v>21.226308457485199</v>
      </c>
      <c r="BY1650" s="2">
        <v>21.2758749320801</v>
      </c>
      <c r="BZ1650" s="2">
        <v>21.252651707334898</v>
      </c>
      <c r="CA1650" s="2">
        <v>21.181526478221699</v>
      </c>
      <c r="CB1650" s="2">
        <v>21.217297134761399</v>
      </c>
      <c r="CC1650" s="2">
        <v>21.268552879545599</v>
      </c>
      <c r="CD1650" s="2">
        <v>21.121535559837898</v>
      </c>
      <c r="CE1650" s="2">
        <v>21.303174495086701</v>
      </c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</row>
    <row r="1651" spans="1:97">
      <c r="A1651" s="2" t="s">
        <v>14596</v>
      </c>
      <c r="B1651" s="2">
        <v>336.19128000000001</v>
      </c>
      <c r="C1651" s="2">
        <v>3.552</v>
      </c>
      <c r="D1651" s="2" t="s">
        <v>84</v>
      </c>
      <c r="E1651" s="2" t="s">
        <v>14597</v>
      </c>
      <c r="F1651" s="2" t="s">
        <v>14598</v>
      </c>
      <c r="G1651" s="2">
        <v>209661</v>
      </c>
      <c r="H1651" s="3" t="str">
        <f>HYPERLINK("https://cloud.oebiotech.com/#/lm/network/209661", "https://cloud.oebiotech.com/#/lm/network/209661")</f>
        <v>https://cloud.oebiotech.com/#/lm/network/209661</v>
      </c>
      <c r="I1651" s="2" t="s">
        <v>14599</v>
      </c>
      <c r="J1651" s="2"/>
      <c r="K1651" s="2"/>
      <c r="L1651" s="2">
        <v>45926902</v>
      </c>
      <c r="M1651" s="2"/>
      <c r="N1651" s="2"/>
      <c r="O1651" s="2"/>
      <c r="P1651" s="2"/>
      <c r="Q1651" s="2"/>
      <c r="R1651" s="2"/>
      <c r="S1651" s="2"/>
      <c r="T1651" s="2" t="s">
        <v>14600</v>
      </c>
      <c r="U1651" s="2" t="s">
        <v>14601</v>
      </c>
      <c r="V1651" s="2" t="s">
        <v>115</v>
      </c>
      <c r="W1651" s="2" t="s">
        <v>116</v>
      </c>
      <c r="X1651" s="2" t="s">
        <v>117</v>
      </c>
      <c r="Y1651" s="2" t="s">
        <v>118</v>
      </c>
      <c r="Z1651" s="2" t="s">
        <v>119</v>
      </c>
      <c r="AA1651" s="2" t="s">
        <v>120</v>
      </c>
      <c r="AB1651" s="2" t="s">
        <v>8443</v>
      </c>
      <c r="AC1651" s="2">
        <v>42.01</v>
      </c>
      <c r="AD1651" s="2">
        <v>88.11</v>
      </c>
      <c r="AE1651" s="2">
        <v>30.46</v>
      </c>
      <c r="AF1651" s="2" t="s">
        <v>14602</v>
      </c>
      <c r="AG1651" s="2" t="s">
        <v>132</v>
      </c>
      <c r="AH1651" s="2" t="s">
        <v>14603</v>
      </c>
      <c r="AI1651" s="2">
        <v>1.49</v>
      </c>
      <c r="AJ1651" s="2">
        <v>18.197768907509701</v>
      </c>
      <c r="AK1651" s="2">
        <v>17.683354197949299</v>
      </c>
      <c r="AL1651" s="2">
        <v>18.143294567558002</v>
      </c>
      <c r="AM1651" s="2">
        <v>18.005026390486002</v>
      </c>
      <c r="AN1651" s="2">
        <v>18.6613644881737</v>
      </c>
      <c r="AO1651" s="2">
        <v>18.7211191866786</v>
      </c>
      <c r="AP1651" s="2">
        <v>18.7758079446773</v>
      </c>
      <c r="AQ1651" s="2">
        <v>18.674604182261302</v>
      </c>
      <c r="AR1651" s="2">
        <v>17.236097741082599</v>
      </c>
      <c r="AS1651" s="2">
        <v>16.091084918289901</v>
      </c>
      <c r="AT1651" s="2">
        <v>17.023430152238301</v>
      </c>
      <c r="AU1651" s="2">
        <v>14.3046122838174</v>
      </c>
      <c r="AV1651" s="2">
        <v>18.3572082909979</v>
      </c>
      <c r="AW1651" s="2">
        <v>18.567040735813499</v>
      </c>
      <c r="AX1651" s="2">
        <v>19.004482738693898</v>
      </c>
      <c r="AY1651" s="2">
        <v>18.707576750841</v>
      </c>
      <c r="AZ1651" s="2">
        <v>18.9302234083383</v>
      </c>
      <c r="BA1651" s="2">
        <v>15.774342324779999</v>
      </c>
      <c r="BB1651" s="2">
        <v>18.690962545356001</v>
      </c>
      <c r="BC1651" s="2">
        <v>9.6233145402724691</v>
      </c>
      <c r="BD1651" s="2">
        <v>15.061123070983999</v>
      </c>
      <c r="BE1651" s="2">
        <v>19.131637374304201</v>
      </c>
      <c r="BF1651" s="2">
        <v>18.101976747801199</v>
      </c>
      <c r="BG1651" s="2">
        <v>19.472522279136498</v>
      </c>
      <c r="BH1651" s="2">
        <v>19.049069200725</v>
      </c>
      <c r="BI1651" s="2">
        <v>18.055991733769002</v>
      </c>
      <c r="BJ1651" s="2">
        <v>19.607059349482899</v>
      </c>
      <c r="BK1651" s="2">
        <v>18.2446949134067</v>
      </c>
      <c r="BL1651" s="2">
        <v>16.9832782187131</v>
      </c>
      <c r="BM1651" s="2">
        <v>18.2457912912331</v>
      </c>
      <c r="BN1651" s="2">
        <v>19.0224778099969</v>
      </c>
      <c r="BO1651" s="2">
        <v>17.998071845987099</v>
      </c>
      <c r="BP1651" s="2">
        <v>18.671003846682702</v>
      </c>
      <c r="BQ1651" s="2">
        <v>17.689807606297201</v>
      </c>
      <c r="BR1651" s="2">
        <v>18.173607605392501</v>
      </c>
      <c r="BS1651" s="2">
        <v>18.036402826134101</v>
      </c>
      <c r="BT1651" s="2">
        <v>17.048761120906001</v>
      </c>
      <c r="BU1651" s="2">
        <v>16.328562212374901</v>
      </c>
      <c r="BV1651" s="2">
        <v>17.069862158814601</v>
      </c>
      <c r="BW1651" s="2">
        <v>16.9002435821142</v>
      </c>
      <c r="BX1651" s="2">
        <v>17.956933419446901</v>
      </c>
      <c r="BY1651" s="2">
        <v>20.483157683289701</v>
      </c>
      <c r="BZ1651" s="2">
        <v>18.0051653012194</v>
      </c>
      <c r="CA1651" s="2">
        <v>19.305836851754002</v>
      </c>
      <c r="CB1651" s="2">
        <v>18.670006461325301</v>
      </c>
      <c r="CC1651" s="2">
        <v>18.128068049318198</v>
      </c>
      <c r="CD1651" s="2">
        <v>20.278925801714099</v>
      </c>
      <c r="CE1651" s="2">
        <v>18.242614041894001</v>
      </c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</row>
    <row r="1652" spans="1:97">
      <c r="A1652" s="2" t="s">
        <v>14604</v>
      </c>
      <c r="B1652" s="2">
        <v>359.12360000000001</v>
      </c>
      <c r="C1652" s="2">
        <v>6.5019999999999998</v>
      </c>
      <c r="D1652" s="2" t="s">
        <v>146</v>
      </c>
      <c r="E1652" s="2" t="s">
        <v>14605</v>
      </c>
      <c r="F1652" s="2" t="s">
        <v>14606</v>
      </c>
      <c r="G1652" s="2">
        <v>52908</v>
      </c>
      <c r="H1652" s="3" t="str">
        <f>HYPERLINK("https://cloud.oebiotech.com/#/lm/network/52908", "https://cloud.oebiotech.com/#/lm/network/52908")</f>
        <v>https://cloud.oebiotech.com/#/lm/network/52908</v>
      </c>
      <c r="I1652" s="2" t="s">
        <v>14607</v>
      </c>
      <c r="J1652" s="2"/>
      <c r="K1652" s="2"/>
      <c r="L1652" s="2">
        <v>60773</v>
      </c>
      <c r="M1652" s="2" t="s">
        <v>14608</v>
      </c>
      <c r="N1652" s="2"/>
      <c r="O1652" s="2"/>
      <c r="P1652" s="2">
        <v>35854</v>
      </c>
      <c r="Q1652" s="2" t="s">
        <v>6514</v>
      </c>
      <c r="R1652" s="2" t="s">
        <v>6515</v>
      </c>
      <c r="S1652" s="2" t="s">
        <v>14609</v>
      </c>
      <c r="T1652" s="2" t="s">
        <v>14610</v>
      </c>
      <c r="U1652" s="2" t="s">
        <v>14611</v>
      </c>
      <c r="V1652" s="2" t="s">
        <v>115</v>
      </c>
      <c r="W1652" s="2" t="s">
        <v>116</v>
      </c>
      <c r="X1652" s="2" t="s">
        <v>117</v>
      </c>
      <c r="Y1652" s="2" t="s">
        <v>118</v>
      </c>
      <c r="Z1652" s="2" t="s">
        <v>119</v>
      </c>
      <c r="AA1652" s="2" t="s">
        <v>120</v>
      </c>
      <c r="AB1652" s="2" t="s">
        <v>5118</v>
      </c>
      <c r="AC1652" s="2">
        <v>42</v>
      </c>
      <c r="AD1652" s="2">
        <v>71.67</v>
      </c>
      <c r="AE1652" s="2">
        <v>48.58</v>
      </c>
      <c r="AF1652" s="2" t="s">
        <v>14612</v>
      </c>
      <c r="AG1652" s="2" t="s">
        <v>4062</v>
      </c>
      <c r="AH1652" s="2" t="s">
        <v>14613</v>
      </c>
      <c r="AI1652" s="2">
        <v>1.1100000000000001</v>
      </c>
      <c r="AJ1652" s="2">
        <v>17.693465926210799</v>
      </c>
      <c r="AK1652" s="2">
        <v>17.8708361363141</v>
      </c>
      <c r="AL1652" s="2">
        <v>17.0474100279162</v>
      </c>
      <c r="AM1652" s="2">
        <v>17.6669968860739</v>
      </c>
      <c r="AN1652" s="2">
        <v>16.990893497412799</v>
      </c>
      <c r="AO1652" s="2">
        <v>17.224484194440102</v>
      </c>
      <c r="AP1652" s="2">
        <v>17.8370541655047</v>
      </c>
      <c r="AQ1652" s="2">
        <v>16.673198776514401</v>
      </c>
      <c r="AR1652" s="2">
        <v>17.7803182380305</v>
      </c>
      <c r="AS1652" s="2">
        <v>18.118768955879599</v>
      </c>
      <c r="AT1652" s="2">
        <v>16.739317301618101</v>
      </c>
      <c r="AU1652" s="2">
        <v>16.788393480752699</v>
      </c>
      <c r="AV1652" s="2">
        <v>16.4999315071979</v>
      </c>
      <c r="AW1652" s="2">
        <v>16.1504741971162</v>
      </c>
      <c r="AX1652" s="2">
        <v>17.017133544981</v>
      </c>
      <c r="AY1652" s="2">
        <v>17.614188175989899</v>
      </c>
      <c r="AZ1652" s="2">
        <v>17.2948928976624</v>
      </c>
      <c r="BA1652" s="2">
        <v>17.661255360085399</v>
      </c>
      <c r="BB1652" s="2">
        <v>17.508298885332401</v>
      </c>
      <c r="BC1652" s="2">
        <v>17.7522340827236</v>
      </c>
      <c r="BD1652" s="2">
        <v>17.286045464830799</v>
      </c>
      <c r="BE1652" s="2">
        <v>17.1990259353848</v>
      </c>
      <c r="BF1652" s="2">
        <v>15.341410756057799</v>
      </c>
      <c r="BG1652" s="2">
        <v>16.510237831845</v>
      </c>
      <c r="BH1652" s="2">
        <v>17.400888606490099</v>
      </c>
      <c r="BI1652" s="2">
        <v>17.128572866360798</v>
      </c>
      <c r="BJ1652" s="2">
        <v>17.725480295427602</v>
      </c>
      <c r="BK1652" s="2">
        <v>17.377640037709401</v>
      </c>
      <c r="BL1652" s="2">
        <v>17.734826757714501</v>
      </c>
      <c r="BM1652" s="2">
        <v>19.1101345582512</v>
      </c>
      <c r="BN1652" s="2">
        <v>17.263383557155102</v>
      </c>
      <c r="BO1652" s="2">
        <v>17.271830658194499</v>
      </c>
      <c r="BP1652" s="2">
        <v>16.719803771401299</v>
      </c>
      <c r="BQ1652" s="2">
        <v>16.404672258272601</v>
      </c>
      <c r="BR1652" s="2">
        <v>16.154319130284801</v>
      </c>
      <c r="BS1652" s="2">
        <v>17.6974070304272</v>
      </c>
      <c r="BT1652" s="2">
        <v>16.143045740461599</v>
      </c>
      <c r="BU1652" s="2">
        <v>18.0461677928492</v>
      </c>
      <c r="BV1652" s="2">
        <v>17.570413417703101</v>
      </c>
      <c r="BW1652" s="2">
        <v>16.7872126160748</v>
      </c>
      <c r="BX1652" s="2">
        <v>17.337901038288901</v>
      </c>
      <c r="BY1652" s="2">
        <v>17.601008158752201</v>
      </c>
      <c r="BZ1652" s="2">
        <v>16.168786684689699</v>
      </c>
      <c r="CA1652" s="2">
        <v>15.786716060838</v>
      </c>
      <c r="CB1652" s="2">
        <v>17.980819419152699</v>
      </c>
      <c r="CC1652" s="2">
        <v>17.132062075210001</v>
      </c>
      <c r="CD1652" s="2">
        <v>17.2732265627529</v>
      </c>
      <c r="CE1652" s="2">
        <v>16.999116536726</v>
      </c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</row>
    <row r="1653" spans="1:97">
      <c r="A1653" s="2" t="s">
        <v>14614</v>
      </c>
      <c r="B1653" s="2">
        <v>215.04799</v>
      </c>
      <c r="C1653" s="2">
        <v>0.71</v>
      </c>
      <c r="D1653" s="2" t="s">
        <v>146</v>
      </c>
      <c r="E1653" s="2" t="s">
        <v>14615</v>
      </c>
      <c r="F1653" s="2" t="s">
        <v>14616</v>
      </c>
      <c r="G1653" s="2">
        <v>53886</v>
      </c>
      <c r="H1653" s="3" t="str">
        <f>HYPERLINK("https://cloud.oebiotech.com/#/lm/network/53886", "https://cloud.oebiotech.com/#/lm/network/53886")</f>
        <v>https://cloud.oebiotech.com/#/lm/network/53886</v>
      </c>
      <c r="I1653" s="2" t="s">
        <v>14617</v>
      </c>
      <c r="J1653" s="2">
        <v>85768</v>
      </c>
      <c r="K1653" s="2"/>
      <c r="L1653" s="2">
        <v>131750765</v>
      </c>
      <c r="M1653" s="2"/>
      <c r="N1653" s="2"/>
      <c r="O1653" s="2"/>
      <c r="P1653" s="2">
        <v>173683</v>
      </c>
      <c r="Q1653" s="2"/>
      <c r="R1653" s="2"/>
      <c r="S1653" s="2"/>
      <c r="T1653" s="2" t="s">
        <v>14618</v>
      </c>
      <c r="U1653" s="2" t="s">
        <v>14619</v>
      </c>
      <c r="V1653" s="2" t="s">
        <v>115</v>
      </c>
      <c r="W1653" s="2" t="s">
        <v>116</v>
      </c>
      <c r="X1653" s="2" t="s">
        <v>117</v>
      </c>
      <c r="Y1653" s="2" t="s">
        <v>118</v>
      </c>
      <c r="Z1653" s="2" t="s">
        <v>119</v>
      </c>
      <c r="AA1653" s="2" t="s">
        <v>120</v>
      </c>
      <c r="AB1653" s="2" t="s">
        <v>8443</v>
      </c>
      <c r="AC1653" s="2">
        <v>42</v>
      </c>
      <c r="AD1653" s="2">
        <v>91.66</v>
      </c>
      <c r="AE1653" s="2">
        <v>0</v>
      </c>
      <c r="AF1653" s="2" t="s">
        <v>5614</v>
      </c>
      <c r="AG1653" s="2" t="s">
        <v>993</v>
      </c>
      <c r="AH1653" s="2" t="s">
        <v>14620</v>
      </c>
      <c r="AI1653" s="2">
        <v>4.6500000000000004</v>
      </c>
      <c r="AJ1653" s="2">
        <v>21.735837025096</v>
      </c>
      <c r="AK1653" s="2">
        <v>21.401305132988501</v>
      </c>
      <c r="AL1653" s="2">
        <v>22.043220217400101</v>
      </c>
      <c r="AM1653" s="2">
        <v>21.1027601689261</v>
      </c>
      <c r="AN1653" s="2">
        <v>21.451290630959299</v>
      </c>
      <c r="AO1653" s="2">
        <v>21.412050094916601</v>
      </c>
      <c r="AP1653" s="2">
        <v>21.464277230150799</v>
      </c>
      <c r="AQ1653" s="2">
        <v>21.528023679411199</v>
      </c>
      <c r="AR1653" s="2">
        <v>20.944355321789001</v>
      </c>
      <c r="AS1653" s="2">
        <v>20.956152945299099</v>
      </c>
      <c r="AT1653" s="2">
        <v>21.440708363670598</v>
      </c>
      <c r="AU1653" s="2">
        <v>21.332743674180001</v>
      </c>
      <c r="AV1653" s="2">
        <v>21.2402136506349</v>
      </c>
      <c r="AW1653" s="2">
        <v>20.5124089758602</v>
      </c>
      <c r="AX1653" s="2">
        <v>19.948301220821499</v>
      </c>
      <c r="AY1653" s="2">
        <v>21.468776232909601</v>
      </c>
      <c r="AZ1653" s="2">
        <v>21.670965936517099</v>
      </c>
      <c r="BA1653" s="2">
        <v>21.684595201633499</v>
      </c>
      <c r="BB1653" s="2">
        <v>21.508459288694301</v>
      </c>
      <c r="BC1653" s="2">
        <v>19.444541913644301</v>
      </c>
      <c r="BD1653" s="2">
        <v>21.8528169300108</v>
      </c>
      <c r="BE1653" s="2">
        <v>20.838618052691199</v>
      </c>
      <c r="BF1653" s="2">
        <v>21.585975420967699</v>
      </c>
      <c r="BG1653" s="2">
        <v>21.0814822743191</v>
      </c>
      <c r="BH1653" s="2">
        <v>21.710290069316699</v>
      </c>
      <c r="BI1653" s="2">
        <v>21.195900582526502</v>
      </c>
      <c r="BJ1653" s="2">
        <v>21.830059000642802</v>
      </c>
      <c r="BK1653" s="2">
        <v>22.3930175583567</v>
      </c>
      <c r="BL1653" s="2">
        <v>21.320312981256599</v>
      </c>
      <c r="BM1653" s="2">
        <v>21.0633249119978</v>
      </c>
      <c r="BN1653" s="2">
        <v>20.823026517871</v>
      </c>
      <c r="BO1653" s="2">
        <v>21.467060604894002</v>
      </c>
      <c r="BP1653" s="2">
        <v>21.327429018993602</v>
      </c>
      <c r="BQ1653" s="2">
        <v>20.479624134104899</v>
      </c>
      <c r="BR1653" s="2">
        <v>21.249682351686499</v>
      </c>
      <c r="BS1653" s="2">
        <v>21.751590790878701</v>
      </c>
      <c r="BT1653" s="2">
        <v>21.2676074153675</v>
      </c>
      <c r="BU1653" s="2">
        <v>21.349284944070401</v>
      </c>
      <c r="BV1653" s="2">
        <v>20.889140467689501</v>
      </c>
      <c r="BW1653" s="2">
        <v>21.657557220032999</v>
      </c>
      <c r="BX1653" s="2">
        <v>20.506470554682299</v>
      </c>
      <c r="BY1653" s="2">
        <v>20.701909616539901</v>
      </c>
      <c r="BZ1653" s="2">
        <v>20.962529593054999</v>
      </c>
      <c r="CA1653" s="2">
        <v>22.0934641244422</v>
      </c>
      <c r="CB1653" s="2">
        <v>21.0329207310767</v>
      </c>
      <c r="CC1653" s="2">
        <v>21.1138099065003</v>
      </c>
      <c r="CD1653" s="2">
        <v>20.715495886664101</v>
      </c>
      <c r="CE1653" s="2">
        <v>21.427216239896801</v>
      </c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</row>
    <row r="1654" spans="1:97">
      <c r="A1654" s="2" t="s">
        <v>14621</v>
      </c>
      <c r="B1654" s="2">
        <v>260.10572000000002</v>
      </c>
      <c r="C1654" s="2">
        <v>0.80400000000000005</v>
      </c>
      <c r="D1654" s="2" t="s">
        <v>84</v>
      </c>
      <c r="E1654" s="2" t="s">
        <v>14622</v>
      </c>
      <c r="F1654" s="2" t="s">
        <v>14623</v>
      </c>
      <c r="G1654" s="2">
        <v>54008</v>
      </c>
      <c r="H1654" s="3" t="str">
        <f>HYPERLINK("https://cloud.oebiotech.com/#/lm/network/54008", "https://cloud.oebiotech.com/#/lm/network/54008")</f>
        <v>https://cloud.oebiotech.com/#/lm/network/54008</v>
      </c>
      <c r="I1654" s="2" t="s">
        <v>14624</v>
      </c>
      <c r="J1654" s="2">
        <v>85889</v>
      </c>
      <c r="K1654" s="2"/>
      <c r="L1654" s="2">
        <v>131750778</v>
      </c>
      <c r="M1654" s="2"/>
      <c r="N1654" s="2"/>
      <c r="O1654" s="2"/>
      <c r="P1654" s="2"/>
      <c r="Q1654" s="2"/>
      <c r="R1654" s="2"/>
      <c r="S1654" s="2"/>
      <c r="T1654" s="2" t="s">
        <v>14625</v>
      </c>
      <c r="U1654" s="2" t="s">
        <v>14626</v>
      </c>
      <c r="V1654" s="2" t="s">
        <v>115</v>
      </c>
      <c r="W1654" s="2" t="s">
        <v>116</v>
      </c>
      <c r="X1654" s="2" t="s">
        <v>117</v>
      </c>
      <c r="Y1654" s="2" t="s">
        <v>118</v>
      </c>
      <c r="Z1654" s="2" t="s">
        <v>119</v>
      </c>
      <c r="AA1654" s="2" t="s">
        <v>120</v>
      </c>
      <c r="AB1654" s="2" t="s">
        <v>8443</v>
      </c>
      <c r="AC1654" s="2">
        <v>41.99</v>
      </c>
      <c r="AD1654" s="2">
        <v>90.1</v>
      </c>
      <c r="AE1654" s="2">
        <v>0</v>
      </c>
      <c r="AF1654" s="2" t="s">
        <v>14627</v>
      </c>
      <c r="AG1654" s="2" t="s">
        <v>1088</v>
      </c>
      <c r="AH1654" s="2" t="s">
        <v>14628</v>
      </c>
      <c r="AI1654" s="2">
        <v>4.6100000000000003</v>
      </c>
      <c r="AJ1654" s="2">
        <v>19.5161356981971</v>
      </c>
      <c r="AK1654" s="2">
        <v>19.2515262366984</v>
      </c>
      <c r="AL1654" s="2">
        <v>20.079354827501401</v>
      </c>
      <c r="AM1654" s="2">
        <v>19.190146563424399</v>
      </c>
      <c r="AN1654" s="2">
        <v>18.8420750173279</v>
      </c>
      <c r="AO1654" s="2">
        <v>19.128447257642701</v>
      </c>
      <c r="AP1654" s="2">
        <v>19.6771982267292</v>
      </c>
      <c r="AQ1654" s="2">
        <v>19.516429135230599</v>
      </c>
      <c r="AR1654" s="2">
        <v>19.9160106934848</v>
      </c>
      <c r="AS1654" s="2">
        <v>21.018480779870298</v>
      </c>
      <c r="AT1654" s="2">
        <v>20.4865890795331</v>
      </c>
      <c r="AU1654" s="2">
        <v>17.777300270266501</v>
      </c>
      <c r="AV1654" s="2">
        <v>18.292120690232501</v>
      </c>
      <c r="AW1654" s="2">
        <v>18.920982977967601</v>
      </c>
      <c r="AX1654" s="2">
        <v>19.433660049856499</v>
      </c>
      <c r="AY1654" s="2">
        <v>19.188589763230802</v>
      </c>
      <c r="AZ1654" s="2">
        <v>19.166267672087301</v>
      </c>
      <c r="BA1654" s="2">
        <v>18.1492742728602</v>
      </c>
      <c r="BB1654" s="2">
        <v>19.303331128882899</v>
      </c>
      <c r="BC1654" s="2">
        <v>19.8467834218254</v>
      </c>
      <c r="BD1654" s="2">
        <v>17.01500705874</v>
      </c>
      <c r="BE1654" s="2">
        <v>18.4581164765609</v>
      </c>
      <c r="BF1654" s="2">
        <v>19.886864125800901</v>
      </c>
      <c r="BG1654" s="2">
        <v>19.400685847926599</v>
      </c>
      <c r="BH1654" s="2">
        <v>19.039617555908599</v>
      </c>
      <c r="BI1654" s="2">
        <v>16.492740888322199</v>
      </c>
      <c r="BJ1654" s="2">
        <v>20.267377361022898</v>
      </c>
      <c r="BK1654" s="2">
        <v>18.160001972637598</v>
      </c>
      <c r="BL1654" s="2">
        <v>18.5252636317779</v>
      </c>
      <c r="BM1654" s="2">
        <v>19.6821048627218</v>
      </c>
      <c r="BN1654" s="2">
        <v>19.136908678874399</v>
      </c>
      <c r="BO1654" s="2">
        <v>18.2292539223759</v>
      </c>
      <c r="BP1654" s="2">
        <v>17.783694262109599</v>
      </c>
      <c r="BQ1654" s="2">
        <v>9.6233145402724691</v>
      </c>
      <c r="BR1654" s="2">
        <v>19.787748530417598</v>
      </c>
      <c r="BS1654" s="2">
        <v>18.3510054168921</v>
      </c>
      <c r="BT1654" s="2">
        <v>16.739035341253398</v>
      </c>
      <c r="BU1654" s="2">
        <v>18.426055414070898</v>
      </c>
      <c r="BV1654" s="2">
        <v>18.416100978131801</v>
      </c>
      <c r="BW1654" s="2">
        <v>18.768698927265799</v>
      </c>
      <c r="BX1654" s="2">
        <v>17.862357854325602</v>
      </c>
      <c r="BY1654" s="2">
        <v>15.809900235752201</v>
      </c>
      <c r="BZ1654" s="2">
        <v>18.628787476095098</v>
      </c>
      <c r="CA1654" s="2">
        <v>19.2681663790196</v>
      </c>
      <c r="CB1654" s="2">
        <v>21.487939976598501</v>
      </c>
      <c r="CC1654" s="2">
        <v>17.556587928405701</v>
      </c>
      <c r="CD1654" s="2">
        <v>19.010528761497898</v>
      </c>
      <c r="CE1654" s="2">
        <v>18.6373356474563</v>
      </c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</row>
    <row r="1655" spans="1:97">
      <c r="A1655" s="2" t="s">
        <v>14629</v>
      </c>
      <c r="B1655" s="2">
        <v>111.05302</v>
      </c>
      <c r="C1655" s="2">
        <v>0.66300000000000003</v>
      </c>
      <c r="D1655" s="2" t="s">
        <v>84</v>
      </c>
      <c r="E1655" s="2" t="s">
        <v>14630</v>
      </c>
      <c r="F1655" s="2" t="s">
        <v>14631</v>
      </c>
      <c r="G1655" s="2">
        <v>199554</v>
      </c>
      <c r="H1655" s="3" t="str">
        <f>HYPERLINK("https://cloud.oebiotech.com/#/lm/network/199554", "https://cloud.oebiotech.com/#/lm/network/199554")</f>
        <v>https://cloud.oebiotech.com/#/lm/network/199554</v>
      </c>
      <c r="I1655" s="2" t="s">
        <v>14632</v>
      </c>
      <c r="J1655" s="2">
        <v>339126</v>
      </c>
      <c r="K1655" s="2"/>
      <c r="L1655" s="2">
        <v>11737</v>
      </c>
      <c r="M1655" s="2"/>
      <c r="N1655" s="2"/>
      <c r="O1655" s="2"/>
      <c r="P1655" s="2"/>
      <c r="Q1655" s="2"/>
      <c r="R1655" s="2"/>
      <c r="S1655" s="2"/>
      <c r="T1655" s="2" t="s">
        <v>14633</v>
      </c>
      <c r="U1655" s="2" t="s">
        <v>14634</v>
      </c>
      <c r="V1655" s="2" t="s">
        <v>115</v>
      </c>
      <c r="W1655" s="2" t="s">
        <v>5480</v>
      </c>
      <c r="X1655" s="2" t="s">
        <v>5481</v>
      </c>
      <c r="Y1655" s="2" t="s">
        <v>118</v>
      </c>
      <c r="Z1655" s="2" t="s">
        <v>5482</v>
      </c>
      <c r="AA1655" s="2" t="s">
        <v>5483</v>
      </c>
      <c r="AB1655" s="2" t="s">
        <v>8443</v>
      </c>
      <c r="AC1655" s="2">
        <v>41.97</v>
      </c>
      <c r="AD1655" s="2">
        <v>73.739999999999995</v>
      </c>
      <c r="AE1655" s="2">
        <v>0</v>
      </c>
      <c r="AF1655" s="2" t="s">
        <v>5614</v>
      </c>
      <c r="AG1655" s="2" t="s">
        <v>1578</v>
      </c>
      <c r="AH1655" s="2" t="s">
        <v>14635</v>
      </c>
      <c r="AI1655" s="2">
        <v>-0.9</v>
      </c>
      <c r="AJ1655" s="2">
        <v>20.169426706883399</v>
      </c>
      <c r="AK1655" s="2">
        <v>20.0711975444042</v>
      </c>
      <c r="AL1655" s="2">
        <v>20.016846378671499</v>
      </c>
      <c r="AM1655" s="2">
        <v>20.158143584880001</v>
      </c>
      <c r="AN1655" s="2">
        <v>19.250911093574199</v>
      </c>
      <c r="AO1655" s="2">
        <v>19.6226715049789</v>
      </c>
      <c r="AP1655" s="2">
        <v>20.167457042698299</v>
      </c>
      <c r="AQ1655" s="2">
        <v>19.957180222466299</v>
      </c>
      <c r="AR1655" s="2">
        <v>19.809551874644502</v>
      </c>
      <c r="AS1655" s="2">
        <v>20.1317416587341</v>
      </c>
      <c r="AT1655" s="2">
        <v>19.763363720453601</v>
      </c>
      <c r="AU1655" s="2">
        <v>19.838964796712201</v>
      </c>
      <c r="AV1655" s="2">
        <v>19.871784267222701</v>
      </c>
      <c r="AW1655" s="2">
        <v>19.387942675760801</v>
      </c>
      <c r="AX1655" s="2">
        <v>19.845079012363801</v>
      </c>
      <c r="AY1655" s="2">
        <v>20.2703945950412</v>
      </c>
      <c r="AZ1655" s="2">
        <v>19.738831485724301</v>
      </c>
      <c r="BA1655" s="2">
        <v>19.747894135709199</v>
      </c>
      <c r="BB1655" s="2">
        <v>20.138100611493201</v>
      </c>
      <c r="BC1655" s="2">
        <v>19.157380269468401</v>
      </c>
      <c r="BD1655" s="2">
        <v>19.6424529480438</v>
      </c>
      <c r="BE1655" s="2">
        <v>20.0745767650989</v>
      </c>
      <c r="BF1655" s="2">
        <v>19.385572171267398</v>
      </c>
      <c r="BG1655" s="2">
        <v>20.071280715346699</v>
      </c>
      <c r="BH1655" s="2">
        <v>19.3603749940204</v>
      </c>
      <c r="BI1655" s="2">
        <v>20.448931895091</v>
      </c>
      <c r="BJ1655" s="2">
        <v>19.591428533719</v>
      </c>
      <c r="BK1655" s="2">
        <v>19.438255098672101</v>
      </c>
      <c r="BL1655" s="2">
        <v>20.0261355088426</v>
      </c>
      <c r="BM1655" s="2">
        <v>20.361807878751101</v>
      </c>
      <c r="BN1655" s="2">
        <v>20.125708813534001</v>
      </c>
      <c r="BO1655" s="2">
        <v>19.6694172322639</v>
      </c>
      <c r="BP1655" s="2">
        <v>20.203259822682199</v>
      </c>
      <c r="BQ1655" s="2">
        <v>19.259388517404599</v>
      </c>
      <c r="BR1655" s="2">
        <v>19.969805990946199</v>
      </c>
      <c r="BS1655" s="2">
        <v>19.778652265521998</v>
      </c>
      <c r="BT1655" s="2">
        <v>20.1463055693177</v>
      </c>
      <c r="BU1655" s="2">
        <v>20.249635292912501</v>
      </c>
      <c r="BV1655" s="2">
        <v>20.267242834187002</v>
      </c>
      <c r="BW1655" s="2">
        <v>19.623982554552299</v>
      </c>
      <c r="BX1655" s="2">
        <v>19.876552348034799</v>
      </c>
      <c r="BY1655" s="2">
        <v>20.321638991979501</v>
      </c>
      <c r="BZ1655" s="2">
        <v>19.569675668064001</v>
      </c>
      <c r="CA1655" s="2">
        <v>19.758113802603201</v>
      </c>
      <c r="CB1655" s="2">
        <v>19.5642966240958</v>
      </c>
      <c r="CC1655" s="2">
        <v>19.965879451493901</v>
      </c>
      <c r="CD1655" s="2">
        <v>19.461031673114501</v>
      </c>
      <c r="CE1655" s="2">
        <v>19.8786319258042</v>
      </c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</row>
    <row r="1656" spans="1:97">
      <c r="A1656" s="2" t="s">
        <v>14636</v>
      </c>
      <c r="B1656" s="2">
        <v>289.25214</v>
      </c>
      <c r="C1656" s="2">
        <v>7.8230000000000004</v>
      </c>
      <c r="D1656" s="2" t="s">
        <v>84</v>
      </c>
      <c r="E1656" s="2" t="s">
        <v>14637</v>
      </c>
      <c r="F1656" s="2" t="s">
        <v>14638</v>
      </c>
      <c r="G1656" s="2">
        <v>35916</v>
      </c>
      <c r="H1656" s="3" t="str">
        <f>HYPERLINK("https://cloud.oebiotech.com/#/lm/network/35916", "https://cloud.oebiotech.com/#/lm/network/35916")</f>
        <v>https://cloud.oebiotech.com/#/lm/network/35916</v>
      </c>
      <c r="I1656" s="2"/>
      <c r="J1656" s="2">
        <v>53601</v>
      </c>
      <c r="K1656" s="2" t="s">
        <v>14639</v>
      </c>
      <c r="L1656" s="2">
        <v>443475</v>
      </c>
      <c r="M1656" s="2" t="s">
        <v>14640</v>
      </c>
      <c r="N1656" s="2"/>
      <c r="O1656" s="2"/>
      <c r="P1656" s="2">
        <v>52482</v>
      </c>
      <c r="Q1656" s="2"/>
      <c r="R1656" s="2"/>
      <c r="S1656" s="2"/>
      <c r="T1656" s="2" t="s">
        <v>14641</v>
      </c>
      <c r="U1656" s="2" t="s">
        <v>14642</v>
      </c>
      <c r="V1656" s="2" t="s">
        <v>95</v>
      </c>
      <c r="W1656" s="2" t="s">
        <v>180</v>
      </c>
      <c r="X1656" s="2" t="s">
        <v>3643</v>
      </c>
      <c r="Y1656" s="2" t="s">
        <v>98</v>
      </c>
      <c r="Z1656" s="2" t="s">
        <v>182</v>
      </c>
      <c r="AA1656" s="2" t="s">
        <v>3644</v>
      </c>
      <c r="AB1656" s="2" t="s">
        <v>8443</v>
      </c>
      <c r="AC1656" s="2">
        <v>41.96</v>
      </c>
      <c r="AD1656" s="2">
        <v>87.83</v>
      </c>
      <c r="AE1656" s="2">
        <v>32.049999999999997</v>
      </c>
      <c r="AF1656" s="2" t="s">
        <v>14643</v>
      </c>
      <c r="AG1656" s="2" t="s">
        <v>103</v>
      </c>
      <c r="AH1656" s="2" t="s">
        <v>14644</v>
      </c>
      <c r="AI1656" s="2">
        <v>1.73</v>
      </c>
      <c r="AJ1656" s="2">
        <v>17.756520098331801</v>
      </c>
      <c r="AK1656" s="2">
        <v>17.5648044620538</v>
      </c>
      <c r="AL1656" s="2">
        <v>17.4618439119605</v>
      </c>
      <c r="AM1656" s="2">
        <v>17.2898093449407</v>
      </c>
      <c r="AN1656" s="2">
        <v>17.980182708308899</v>
      </c>
      <c r="AO1656" s="2">
        <v>17.8070081319084</v>
      </c>
      <c r="AP1656" s="2">
        <v>17.756060310846902</v>
      </c>
      <c r="AQ1656" s="2">
        <v>17.2514741815246</v>
      </c>
      <c r="AR1656" s="2">
        <v>16.192694470514201</v>
      </c>
      <c r="AS1656" s="2">
        <v>17.0903904466977</v>
      </c>
      <c r="AT1656" s="2">
        <v>17.732464312206499</v>
      </c>
      <c r="AU1656" s="2">
        <v>16.6152048805188</v>
      </c>
      <c r="AV1656" s="2">
        <v>16.102039255117699</v>
      </c>
      <c r="AW1656" s="2">
        <v>15.8967056132366</v>
      </c>
      <c r="AX1656" s="2">
        <v>15.5562210319806</v>
      </c>
      <c r="AY1656" s="2">
        <v>17.2186943396099</v>
      </c>
      <c r="AZ1656" s="2">
        <v>16.800785794929698</v>
      </c>
      <c r="BA1656" s="2">
        <v>17.998885892836199</v>
      </c>
      <c r="BB1656" s="2">
        <v>17.695731730211001</v>
      </c>
      <c r="BC1656" s="2">
        <v>18.071533852374898</v>
      </c>
      <c r="BD1656" s="2">
        <v>15.725847377814301</v>
      </c>
      <c r="BE1656" s="2">
        <v>17.726390807724702</v>
      </c>
      <c r="BF1656" s="2">
        <v>16.187724569241901</v>
      </c>
      <c r="BG1656" s="2">
        <v>15.8244916679644</v>
      </c>
      <c r="BH1656" s="2">
        <v>16.3647663115066</v>
      </c>
      <c r="BI1656" s="2">
        <v>18.2834231441119</v>
      </c>
      <c r="BJ1656" s="2">
        <v>17.565966008248498</v>
      </c>
      <c r="BK1656" s="2">
        <v>16.825583546068799</v>
      </c>
      <c r="BL1656" s="2">
        <v>15.5459864625091</v>
      </c>
      <c r="BM1656" s="2">
        <v>17.818053913897</v>
      </c>
      <c r="BN1656" s="2">
        <v>18.009017004342802</v>
      </c>
      <c r="BO1656" s="2">
        <v>17.665325576093998</v>
      </c>
      <c r="BP1656" s="2">
        <v>16.679536041340199</v>
      </c>
      <c r="BQ1656" s="2">
        <v>17.000092234786901</v>
      </c>
      <c r="BR1656" s="2">
        <v>17.165632392044401</v>
      </c>
      <c r="BS1656" s="2">
        <v>18.641858174696701</v>
      </c>
      <c r="BT1656" s="2">
        <v>16.512783355434799</v>
      </c>
      <c r="BU1656" s="2">
        <v>17.411254759780402</v>
      </c>
      <c r="BV1656" s="2">
        <v>20.271539591079499</v>
      </c>
      <c r="BW1656" s="2">
        <v>15.5799425605348</v>
      </c>
      <c r="BX1656" s="2">
        <v>16.912346025208901</v>
      </c>
      <c r="BY1656" s="2">
        <v>19.3275346190519</v>
      </c>
      <c r="BZ1656" s="2">
        <v>15.880675482279999</v>
      </c>
      <c r="CA1656" s="2">
        <v>16.871520382650001</v>
      </c>
      <c r="CB1656" s="2">
        <v>18.244094717067799</v>
      </c>
      <c r="CC1656" s="2">
        <v>18.192711179679701</v>
      </c>
      <c r="CD1656" s="2">
        <v>18.6157370276634</v>
      </c>
      <c r="CE1656" s="2">
        <v>18.7062315523435</v>
      </c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</row>
    <row r="1657" spans="1:97">
      <c r="A1657" s="2" t="s">
        <v>14645</v>
      </c>
      <c r="B1657" s="2">
        <v>548.29624999999999</v>
      </c>
      <c r="C1657" s="2">
        <v>11.504</v>
      </c>
      <c r="D1657" s="2" t="s">
        <v>146</v>
      </c>
      <c r="E1657" s="2" t="s">
        <v>14646</v>
      </c>
      <c r="F1657" s="2" t="s">
        <v>14647</v>
      </c>
      <c r="G1657" s="2">
        <v>21287</v>
      </c>
      <c r="H1657" s="3" t="str">
        <f>HYPERLINK("https://cloud.oebiotech.com/#/lm/network/21287", "https://cloud.oebiotech.com/#/lm/network/21287")</f>
        <v>https://cloud.oebiotech.com/#/lm/network/21287</v>
      </c>
      <c r="I1657" s="2"/>
      <c r="J1657" s="2">
        <v>40807</v>
      </c>
      <c r="K1657" s="2" t="s">
        <v>14648</v>
      </c>
      <c r="L1657" s="2">
        <v>9547085</v>
      </c>
      <c r="M1657" s="2"/>
      <c r="N1657" s="2"/>
      <c r="O1657" s="2"/>
      <c r="P1657" s="2"/>
      <c r="Q1657" s="2"/>
      <c r="R1657" s="2"/>
      <c r="S1657" s="2"/>
      <c r="T1657" s="2" t="s">
        <v>14649</v>
      </c>
      <c r="U1657" s="2" t="s">
        <v>14650</v>
      </c>
      <c r="V1657" s="2" t="s">
        <v>95</v>
      </c>
      <c r="W1657" s="2" t="s">
        <v>202</v>
      </c>
      <c r="X1657" s="2" t="s">
        <v>8933</v>
      </c>
      <c r="Y1657" s="2" t="s">
        <v>98</v>
      </c>
      <c r="Z1657" s="2" t="s">
        <v>204</v>
      </c>
      <c r="AA1657" s="2" t="s">
        <v>8934</v>
      </c>
      <c r="AB1657" s="2" t="s">
        <v>8443</v>
      </c>
      <c r="AC1657" s="2">
        <v>41.95</v>
      </c>
      <c r="AD1657" s="2">
        <v>94.73</v>
      </c>
      <c r="AE1657" s="2">
        <v>0</v>
      </c>
      <c r="AF1657" s="2" t="s">
        <v>14651</v>
      </c>
      <c r="AG1657" s="2" t="s">
        <v>993</v>
      </c>
      <c r="AH1657" s="2" t="s">
        <v>14652</v>
      </c>
      <c r="AI1657" s="2">
        <v>4.74</v>
      </c>
      <c r="AJ1657" s="2">
        <v>20.6697914205192</v>
      </c>
      <c r="AK1657" s="2">
        <v>19.978642624526898</v>
      </c>
      <c r="AL1657" s="2">
        <v>20.1916574856244</v>
      </c>
      <c r="AM1657" s="2">
        <v>20.010632849685699</v>
      </c>
      <c r="AN1657" s="2">
        <v>20.249912531624702</v>
      </c>
      <c r="AO1657" s="2">
        <v>20.245562628742199</v>
      </c>
      <c r="AP1657" s="2">
        <v>20.011431992933598</v>
      </c>
      <c r="AQ1657" s="2">
        <v>20.252773554308501</v>
      </c>
      <c r="AR1657" s="2">
        <v>20.808664257663899</v>
      </c>
      <c r="AS1657" s="2">
        <v>19.039346545686499</v>
      </c>
      <c r="AT1657" s="2">
        <v>19.186037613682199</v>
      </c>
      <c r="AU1657" s="2">
        <v>20.4131059595612</v>
      </c>
      <c r="AV1657" s="2">
        <v>19.435254372309501</v>
      </c>
      <c r="AW1657" s="2">
        <v>19.958989388560401</v>
      </c>
      <c r="AX1657" s="2">
        <v>19.70027866989</v>
      </c>
      <c r="AY1657" s="2">
        <v>19.979280643368899</v>
      </c>
      <c r="AZ1657" s="2">
        <v>20.048778651992698</v>
      </c>
      <c r="BA1657" s="2">
        <v>19.518138740455701</v>
      </c>
      <c r="BB1657" s="2">
        <v>19.4037990138285</v>
      </c>
      <c r="BC1657" s="2">
        <v>19.742062149131801</v>
      </c>
      <c r="BD1657" s="2">
        <v>19.618955395328701</v>
      </c>
      <c r="BE1657" s="2">
        <v>20.0885834770373</v>
      </c>
      <c r="BF1657" s="2">
        <v>19.957788431778798</v>
      </c>
      <c r="BG1657" s="2">
        <v>19.903300763492901</v>
      </c>
      <c r="BH1657" s="2">
        <v>19.7466516600823</v>
      </c>
      <c r="BI1657" s="2">
        <v>19.997340514592601</v>
      </c>
      <c r="BJ1657" s="2">
        <v>20.179252450231399</v>
      </c>
      <c r="BK1657" s="2">
        <v>19.690608011084802</v>
      </c>
      <c r="BL1657" s="2">
        <v>19.700944524309001</v>
      </c>
      <c r="BM1657" s="2">
        <v>20.1507500906371</v>
      </c>
      <c r="BN1657" s="2">
        <v>20.1105638132853</v>
      </c>
      <c r="BO1657" s="2">
        <v>19.780473735135399</v>
      </c>
      <c r="BP1657" s="2">
        <v>19.648539136396799</v>
      </c>
      <c r="BQ1657" s="2">
        <v>19.799249917378301</v>
      </c>
      <c r="BR1657" s="2">
        <v>20.3303372605784</v>
      </c>
      <c r="BS1657" s="2">
        <v>20.5089028090574</v>
      </c>
      <c r="BT1657" s="2">
        <v>20.311454836455699</v>
      </c>
      <c r="BU1657" s="2">
        <v>19.823541038327001</v>
      </c>
      <c r="BV1657" s="2">
        <v>19.4980421306301</v>
      </c>
      <c r="BW1657" s="2">
        <v>19.807271015670199</v>
      </c>
      <c r="BX1657" s="2">
        <v>20.002497144529698</v>
      </c>
      <c r="BY1657" s="2">
        <v>20.219179134315102</v>
      </c>
      <c r="BZ1657" s="2">
        <v>20.534531762476899</v>
      </c>
      <c r="CA1657" s="2">
        <v>20.352303555021699</v>
      </c>
      <c r="CB1657" s="2">
        <v>19.587472125568201</v>
      </c>
      <c r="CC1657" s="2">
        <v>19.6745792535073</v>
      </c>
      <c r="CD1657" s="2">
        <v>19.967465129689799</v>
      </c>
      <c r="CE1657" s="2">
        <v>19.481573697336898</v>
      </c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</row>
    <row r="1658" spans="1:97">
      <c r="A1658" s="2" t="s">
        <v>14653</v>
      </c>
      <c r="B1658" s="2">
        <v>246.03787</v>
      </c>
      <c r="C1658" s="2">
        <v>4.3040000000000003</v>
      </c>
      <c r="D1658" s="2" t="s">
        <v>146</v>
      </c>
      <c r="E1658" s="2" t="s">
        <v>14654</v>
      </c>
      <c r="F1658" s="2" t="s">
        <v>14655</v>
      </c>
      <c r="G1658" s="2">
        <v>82311</v>
      </c>
      <c r="H1658" s="3" t="str">
        <f>HYPERLINK("https://cloud.oebiotech.com/#/lm/network/82311", "https://cloud.oebiotech.com/#/lm/network/82311")</f>
        <v>https://cloud.oebiotech.com/#/lm/network/82311</v>
      </c>
      <c r="I1658" s="2" t="s">
        <v>14656</v>
      </c>
      <c r="J1658" s="2"/>
      <c r="K1658" s="2"/>
      <c r="L1658" s="2">
        <v>12463319</v>
      </c>
      <c r="M1658" s="2" t="s">
        <v>14657</v>
      </c>
      <c r="N1658" s="2" t="s">
        <v>10433</v>
      </c>
      <c r="O1658" s="2" t="s">
        <v>10434</v>
      </c>
      <c r="P1658" s="2">
        <v>61126</v>
      </c>
      <c r="Q1658" s="2"/>
      <c r="R1658" s="2"/>
      <c r="S1658" s="2"/>
      <c r="T1658" s="2" t="s">
        <v>14658</v>
      </c>
      <c r="U1658" s="2" t="s">
        <v>14659</v>
      </c>
      <c r="V1658" s="2" t="s">
        <v>553</v>
      </c>
      <c r="W1658" s="2" t="s">
        <v>3468</v>
      </c>
      <c r="X1658" s="2" t="s">
        <v>6622</v>
      </c>
      <c r="Y1658" s="2" t="s">
        <v>556</v>
      </c>
      <c r="Z1658" s="2" t="s">
        <v>3470</v>
      </c>
      <c r="AA1658" s="2" t="s">
        <v>6623</v>
      </c>
      <c r="AB1658" s="2" t="s">
        <v>5118</v>
      </c>
      <c r="AC1658" s="2">
        <v>41.94</v>
      </c>
      <c r="AD1658" s="2">
        <v>81.2</v>
      </c>
      <c r="AE1658" s="2">
        <v>84.08</v>
      </c>
      <c r="AF1658" s="2" t="s">
        <v>14660</v>
      </c>
      <c r="AG1658" s="2" t="s">
        <v>4062</v>
      </c>
      <c r="AH1658" s="2" t="s">
        <v>14661</v>
      </c>
      <c r="AI1658" s="2">
        <v>8.1300000000000008</v>
      </c>
      <c r="AJ1658" s="2">
        <v>21.543515721178402</v>
      </c>
      <c r="AK1658" s="2">
        <v>21.5950109379311</v>
      </c>
      <c r="AL1658" s="2">
        <v>21.507771769877898</v>
      </c>
      <c r="AM1658" s="2">
        <v>21.6292975329965</v>
      </c>
      <c r="AN1658" s="2">
        <v>21.545369575605498</v>
      </c>
      <c r="AO1658" s="2">
        <v>21.508651157347099</v>
      </c>
      <c r="AP1658" s="2">
        <v>21.421990058585099</v>
      </c>
      <c r="AQ1658" s="2">
        <v>21.634776775833199</v>
      </c>
      <c r="AR1658" s="2">
        <v>21.7305573293282</v>
      </c>
      <c r="AS1658" s="2">
        <v>19.359958475729702</v>
      </c>
      <c r="AT1658" s="2">
        <v>16.024373532942398</v>
      </c>
      <c r="AU1658" s="2">
        <v>19.7164213365804</v>
      </c>
      <c r="AV1658" s="2">
        <v>22.352150874638401</v>
      </c>
      <c r="AW1658" s="2">
        <v>18.859787725991598</v>
      </c>
      <c r="AX1658" s="2">
        <v>17.8461741152875</v>
      </c>
      <c r="AY1658" s="2">
        <v>22.2946759056749</v>
      </c>
      <c r="AZ1658" s="2">
        <v>19.561021566373999</v>
      </c>
      <c r="BA1658" s="2">
        <v>19.946024890269001</v>
      </c>
      <c r="BB1658" s="2">
        <v>20.2526657096073</v>
      </c>
      <c r="BC1658" s="2">
        <v>18.530258601745199</v>
      </c>
      <c r="BD1658" s="2">
        <v>20.7336329452604</v>
      </c>
      <c r="BE1658" s="2">
        <v>22.096608081926</v>
      </c>
      <c r="BF1658" s="2">
        <v>21.175154339557999</v>
      </c>
      <c r="BG1658" s="2">
        <v>21.2894515479246</v>
      </c>
      <c r="BH1658" s="2">
        <v>17.4508409712125</v>
      </c>
      <c r="BI1658" s="2">
        <v>20.643277128795301</v>
      </c>
      <c r="BJ1658" s="2">
        <v>20.032316578220399</v>
      </c>
      <c r="BK1658" s="2">
        <v>19.925440015294299</v>
      </c>
      <c r="BL1658" s="2">
        <v>21.7574193790865</v>
      </c>
      <c r="BM1658" s="2">
        <v>21.224788301385299</v>
      </c>
      <c r="BN1658" s="2">
        <v>19.941379407878099</v>
      </c>
      <c r="BO1658" s="2">
        <v>19.730750824823101</v>
      </c>
      <c r="BP1658" s="2">
        <v>20.645006048251801</v>
      </c>
      <c r="BQ1658" s="2">
        <v>21.4755226422884</v>
      </c>
      <c r="BR1658" s="2">
        <v>18.268043465815001</v>
      </c>
      <c r="BS1658" s="2">
        <v>22.087633030098999</v>
      </c>
      <c r="BT1658" s="2">
        <v>19.736657307781801</v>
      </c>
      <c r="BU1658" s="2">
        <v>22.147180859448799</v>
      </c>
      <c r="BV1658" s="2">
        <v>21.1917814382094</v>
      </c>
      <c r="BW1658" s="2">
        <v>17.556918818590098</v>
      </c>
      <c r="BX1658" s="2">
        <v>21.1838773847909</v>
      </c>
      <c r="BY1658" s="2">
        <v>22.8171869244864</v>
      </c>
      <c r="BZ1658" s="2">
        <v>21.419455787103399</v>
      </c>
      <c r="CA1658" s="2">
        <v>21.0431119408893</v>
      </c>
      <c r="CB1658" s="2">
        <v>21.571260242281301</v>
      </c>
      <c r="CC1658" s="2">
        <v>18.310857617897</v>
      </c>
      <c r="CD1658" s="2">
        <v>21.416334861955399</v>
      </c>
      <c r="CE1658" s="2">
        <v>19.701728201773399</v>
      </c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</row>
    <row r="1659" spans="1:97">
      <c r="A1659" s="2" t="s">
        <v>14662</v>
      </c>
      <c r="B1659" s="2">
        <v>151.04752999999999</v>
      </c>
      <c r="C1659" s="2">
        <v>0.71799999999999997</v>
      </c>
      <c r="D1659" s="2" t="s">
        <v>84</v>
      </c>
      <c r="E1659" s="2" t="s">
        <v>14663</v>
      </c>
      <c r="F1659" s="2" t="s">
        <v>14664</v>
      </c>
      <c r="G1659" s="2">
        <v>54754</v>
      </c>
      <c r="H1659" s="3" t="str">
        <f>HYPERLINK("https://cloud.oebiotech.com/#/lm/network/54754", "https://cloud.oebiotech.com/#/lm/network/54754")</f>
        <v>https://cloud.oebiotech.com/#/lm/network/54754</v>
      </c>
      <c r="I1659" s="2" t="s">
        <v>14665</v>
      </c>
      <c r="J1659" s="2">
        <v>86560</v>
      </c>
      <c r="K1659" s="2"/>
      <c r="L1659" s="2">
        <v>326996</v>
      </c>
      <c r="M1659" s="2"/>
      <c r="N1659" s="2"/>
      <c r="O1659" s="2"/>
      <c r="P1659" s="2">
        <v>565546</v>
      </c>
      <c r="Q1659" s="2"/>
      <c r="R1659" s="2"/>
      <c r="S1659" s="2" t="s">
        <v>14666</v>
      </c>
      <c r="T1659" s="2" t="s">
        <v>14667</v>
      </c>
      <c r="U1659" s="2" t="s">
        <v>14668</v>
      </c>
      <c r="V1659" s="2" t="s">
        <v>553</v>
      </c>
      <c r="W1659" s="2" t="s">
        <v>2238</v>
      </c>
      <c r="X1659" s="2" t="s">
        <v>14669</v>
      </c>
      <c r="Y1659" s="2" t="s">
        <v>556</v>
      </c>
      <c r="Z1659" s="2" t="s">
        <v>2240</v>
      </c>
      <c r="AA1659" s="2" t="s">
        <v>14670</v>
      </c>
      <c r="AB1659" s="2" t="s">
        <v>8443</v>
      </c>
      <c r="AC1659" s="2">
        <v>41.92</v>
      </c>
      <c r="AD1659" s="2">
        <v>72.94</v>
      </c>
      <c r="AE1659" s="2">
        <v>0</v>
      </c>
      <c r="AF1659" s="2" t="s">
        <v>5614</v>
      </c>
      <c r="AG1659" s="2" t="s">
        <v>1578</v>
      </c>
      <c r="AH1659" s="2" t="s">
        <v>14671</v>
      </c>
      <c r="AI1659" s="2">
        <v>1.99</v>
      </c>
      <c r="AJ1659" s="2">
        <v>21.684053470202599</v>
      </c>
      <c r="AK1659" s="2">
        <v>21.768360250597901</v>
      </c>
      <c r="AL1659" s="2">
        <v>21.575531985442801</v>
      </c>
      <c r="AM1659" s="2">
        <v>21.189925722219201</v>
      </c>
      <c r="AN1659" s="2">
        <v>21.597368562248001</v>
      </c>
      <c r="AO1659" s="2">
        <v>21.706072178305199</v>
      </c>
      <c r="AP1659" s="2">
        <v>21.5800067182359</v>
      </c>
      <c r="AQ1659" s="2">
        <v>21.6842998910974</v>
      </c>
      <c r="AR1659" s="2">
        <v>21.351708898837899</v>
      </c>
      <c r="AS1659" s="2">
        <v>21.088389071458401</v>
      </c>
      <c r="AT1659" s="2">
        <v>21.4318511178599</v>
      </c>
      <c r="AU1659" s="2">
        <v>21.139608605824101</v>
      </c>
      <c r="AV1659" s="2">
        <v>21.6674463682726</v>
      </c>
      <c r="AW1659" s="2">
        <v>21.6925885198646</v>
      </c>
      <c r="AX1659" s="2">
        <v>21.279739777556198</v>
      </c>
      <c r="AY1659" s="2">
        <v>21.399183472605198</v>
      </c>
      <c r="AZ1659" s="2">
        <v>21.478984277808699</v>
      </c>
      <c r="BA1659" s="2">
        <v>21.112518698532799</v>
      </c>
      <c r="BB1659" s="2">
        <v>21.018214960449001</v>
      </c>
      <c r="BC1659" s="2">
        <v>21.359792753592298</v>
      </c>
      <c r="BD1659" s="2">
        <v>21.285451444219699</v>
      </c>
      <c r="BE1659" s="2">
        <v>21.949138249313599</v>
      </c>
      <c r="BF1659" s="2">
        <v>21.6219740427894</v>
      </c>
      <c r="BG1659" s="2">
        <v>21.598927800129001</v>
      </c>
      <c r="BH1659" s="2">
        <v>21.461376250491998</v>
      </c>
      <c r="BI1659" s="2">
        <v>21.384725207071099</v>
      </c>
      <c r="BJ1659" s="2">
        <v>21.622779065261799</v>
      </c>
      <c r="BK1659" s="2">
        <v>21.068148374229299</v>
      </c>
      <c r="BL1659" s="2">
        <v>21.618824940150301</v>
      </c>
      <c r="BM1659" s="2">
        <v>21.347432324890601</v>
      </c>
      <c r="BN1659" s="2">
        <v>21.6667339019134</v>
      </c>
      <c r="BO1659" s="2">
        <v>21.7221859261413</v>
      </c>
      <c r="BP1659" s="2">
        <v>21.795168271649999</v>
      </c>
      <c r="BQ1659" s="2">
        <v>21.895588099081198</v>
      </c>
      <c r="BR1659" s="2">
        <v>21.272589607935</v>
      </c>
      <c r="BS1659" s="2">
        <v>21.783273846078501</v>
      </c>
      <c r="BT1659" s="2">
        <v>21.211233116700601</v>
      </c>
      <c r="BU1659" s="2">
        <v>21.169314063106899</v>
      </c>
      <c r="BV1659" s="2">
        <v>20.647463670226401</v>
      </c>
      <c r="BW1659" s="2">
        <v>21.311632163482098</v>
      </c>
      <c r="BX1659" s="2">
        <v>21.5735143683779</v>
      </c>
      <c r="BY1659" s="2">
        <v>21.900484277527099</v>
      </c>
      <c r="BZ1659" s="2">
        <v>21.450138987182001</v>
      </c>
      <c r="CA1659" s="2">
        <v>21.9827406812046</v>
      </c>
      <c r="CB1659" s="2">
        <v>21.179738234752602</v>
      </c>
      <c r="CC1659" s="2">
        <v>21.3459564030072</v>
      </c>
      <c r="CD1659" s="2">
        <v>22.250637099725498</v>
      </c>
      <c r="CE1659" s="2">
        <v>21.087056461452001</v>
      </c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</row>
    <row r="1660" spans="1:97">
      <c r="A1660" s="2" t="s">
        <v>14672</v>
      </c>
      <c r="B1660" s="2">
        <v>255.00133</v>
      </c>
      <c r="C1660" s="2">
        <v>4.0720000000000001</v>
      </c>
      <c r="D1660" s="2" t="s">
        <v>146</v>
      </c>
      <c r="E1660" s="2" t="s">
        <v>14673</v>
      </c>
      <c r="F1660" s="2" t="s">
        <v>14674</v>
      </c>
      <c r="G1660" s="2">
        <v>200828</v>
      </c>
      <c r="H1660" s="3" t="str">
        <f>HYPERLINK("https://cloud.oebiotech.com/#/lm/network/200828", "https://cloud.oebiotech.com/#/lm/network/200828")</f>
        <v>https://cloud.oebiotech.com/#/lm/network/200828</v>
      </c>
      <c r="I1660" s="2" t="s">
        <v>14675</v>
      </c>
      <c r="J1660" s="2"/>
      <c r="K1660" s="2"/>
      <c r="L1660" s="2">
        <v>3036650</v>
      </c>
      <c r="M1660" s="2"/>
      <c r="N1660" s="2"/>
      <c r="O1660" s="2"/>
      <c r="P1660" s="2"/>
      <c r="Q1660" s="2"/>
      <c r="R1660" s="2"/>
      <c r="S1660" s="2"/>
      <c r="T1660" s="2" t="s">
        <v>14676</v>
      </c>
      <c r="U1660" s="2" t="s">
        <v>14677</v>
      </c>
      <c r="V1660" s="2" t="s">
        <v>95</v>
      </c>
      <c r="W1660" s="2" t="s">
        <v>96</v>
      </c>
      <c r="X1660" s="2" t="s">
        <v>97</v>
      </c>
      <c r="Y1660" s="2" t="s">
        <v>98</v>
      </c>
      <c r="Z1660" s="2" t="s">
        <v>99</v>
      </c>
      <c r="AA1660" s="2" t="s">
        <v>100</v>
      </c>
      <c r="AB1660" s="2" t="s">
        <v>8443</v>
      </c>
      <c r="AC1660" s="2">
        <v>41.91</v>
      </c>
      <c r="AD1660" s="2">
        <v>89.34</v>
      </c>
      <c r="AE1660" s="2">
        <v>0</v>
      </c>
      <c r="AF1660" s="2" t="s">
        <v>14678</v>
      </c>
      <c r="AG1660" s="2" t="s">
        <v>157</v>
      </c>
      <c r="AH1660" s="2" t="s">
        <v>14679</v>
      </c>
      <c r="AI1660" s="2">
        <v>-4.3099999999999996</v>
      </c>
      <c r="AJ1660" s="2">
        <v>19.946851816646902</v>
      </c>
      <c r="AK1660" s="2">
        <v>19.9856056173134</v>
      </c>
      <c r="AL1660" s="2">
        <v>19.975487853712</v>
      </c>
      <c r="AM1660" s="2">
        <v>19.9265893251522</v>
      </c>
      <c r="AN1660" s="2">
        <v>19.960226628399301</v>
      </c>
      <c r="AO1660" s="2">
        <v>20.037242557789199</v>
      </c>
      <c r="AP1660" s="2">
        <v>19.769582188803501</v>
      </c>
      <c r="AQ1660" s="2">
        <v>20.033408106029999</v>
      </c>
      <c r="AR1660" s="2">
        <v>18.783113281674702</v>
      </c>
      <c r="AS1660" s="2">
        <v>17.720024566227099</v>
      </c>
      <c r="AT1660" s="2">
        <v>19.3595966767442</v>
      </c>
      <c r="AU1660" s="2">
        <v>18.563595881178301</v>
      </c>
      <c r="AV1660" s="2">
        <v>19.810081345268301</v>
      </c>
      <c r="AW1660" s="2">
        <v>19.820262978577102</v>
      </c>
      <c r="AX1660" s="2">
        <v>19.704529697376302</v>
      </c>
      <c r="AY1660" s="2">
        <v>19.654328016869201</v>
      </c>
      <c r="AZ1660" s="2">
        <v>19.3707374616816</v>
      </c>
      <c r="BA1660" s="2">
        <v>19.189494374721001</v>
      </c>
      <c r="BB1660" s="2">
        <v>20.203417967384901</v>
      </c>
      <c r="BC1660" s="2">
        <v>20.564316229057599</v>
      </c>
      <c r="BD1660" s="2">
        <v>19.452745594322</v>
      </c>
      <c r="BE1660" s="2">
        <v>20.156230106179098</v>
      </c>
      <c r="BF1660" s="2">
        <v>20.164460801776102</v>
      </c>
      <c r="BG1660" s="2">
        <v>20.073183117915001</v>
      </c>
      <c r="BH1660" s="2">
        <v>19.5087452834841</v>
      </c>
      <c r="BI1660" s="2">
        <v>19.767520317194499</v>
      </c>
      <c r="BJ1660" s="2">
        <v>20.118895004591401</v>
      </c>
      <c r="BK1660" s="2">
        <v>19.543943660291902</v>
      </c>
      <c r="BL1660" s="2">
        <v>19.619613538787299</v>
      </c>
      <c r="BM1660" s="2">
        <v>20.164419024970499</v>
      </c>
      <c r="BN1660" s="2">
        <v>19.858280776471499</v>
      </c>
      <c r="BO1660" s="2">
        <v>19.4077036010627</v>
      </c>
      <c r="BP1660" s="2">
        <v>19.6758474529063</v>
      </c>
      <c r="BQ1660" s="2">
        <v>19.934953457159001</v>
      </c>
      <c r="BR1660" s="2">
        <v>19.833785519342499</v>
      </c>
      <c r="BS1660" s="2">
        <v>19.6580033786801</v>
      </c>
      <c r="BT1660" s="2">
        <v>18.960954253818201</v>
      </c>
      <c r="BU1660" s="2">
        <v>19.4812044652795</v>
      </c>
      <c r="BV1660" s="2">
        <v>19.398192014436301</v>
      </c>
      <c r="BW1660" s="2">
        <v>19.626539416226201</v>
      </c>
      <c r="BX1660" s="2">
        <v>19.744848977153101</v>
      </c>
      <c r="BY1660" s="2">
        <v>20.186817650339801</v>
      </c>
      <c r="BZ1660" s="2">
        <v>19.970166894048099</v>
      </c>
      <c r="CA1660" s="2">
        <v>20.4415669832281</v>
      </c>
      <c r="CB1660" s="2">
        <v>19.425182888976899</v>
      </c>
      <c r="CC1660" s="2">
        <v>19.869818222797601</v>
      </c>
      <c r="CD1660" s="2">
        <v>20.374311721614401</v>
      </c>
      <c r="CE1660" s="2">
        <v>20.1753333231445</v>
      </c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</row>
    <row r="1661" spans="1:97">
      <c r="A1661" s="2" t="s">
        <v>14680</v>
      </c>
      <c r="B1661" s="2">
        <v>397.04856000000001</v>
      </c>
      <c r="C1661" s="2">
        <v>7.4089999999999998</v>
      </c>
      <c r="D1661" s="2" t="s">
        <v>146</v>
      </c>
      <c r="E1661" s="2" t="s">
        <v>14681</v>
      </c>
      <c r="F1661" s="2" t="s">
        <v>14682</v>
      </c>
      <c r="G1661" s="2">
        <v>29961</v>
      </c>
      <c r="H1661" s="3" t="str">
        <f>HYPERLINK("https://cloud.oebiotech.com/#/lm/network/29961", "https://cloud.oebiotech.com/#/lm/network/29961")</f>
        <v>https://cloud.oebiotech.com/#/lm/network/29961</v>
      </c>
      <c r="I1661" s="2"/>
      <c r="J1661" s="2">
        <v>48315</v>
      </c>
      <c r="K1661" s="2" t="s">
        <v>14683</v>
      </c>
      <c r="L1661" s="2">
        <v>11013898</v>
      </c>
      <c r="M1661" s="2"/>
      <c r="N1661" s="2"/>
      <c r="O1661" s="2"/>
      <c r="P1661" s="2"/>
      <c r="Q1661" s="2"/>
      <c r="R1661" s="2"/>
      <c r="S1661" s="2"/>
      <c r="T1661" s="2" t="s">
        <v>14684</v>
      </c>
      <c r="U1661" s="2" t="s">
        <v>14685</v>
      </c>
      <c r="V1661" s="2" t="s">
        <v>845</v>
      </c>
      <c r="W1661" s="2" t="s">
        <v>3853</v>
      </c>
      <c r="X1661" s="2" t="s">
        <v>14686</v>
      </c>
      <c r="Y1661" s="2" t="s">
        <v>847</v>
      </c>
      <c r="Z1661" s="2" t="s">
        <v>3855</v>
      </c>
      <c r="AA1661" s="2" t="s">
        <v>14687</v>
      </c>
      <c r="AB1661" s="2" t="s">
        <v>5118</v>
      </c>
      <c r="AC1661" s="2">
        <v>41.91</v>
      </c>
      <c r="AD1661" s="2">
        <v>71.72</v>
      </c>
      <c r="AE1661" s="2">
        <v>47.27</v>
      </c>
      <c r="AF1661" s="2" t="s">
        <v>14688</v>
      </c>
      <c r="AG1661" s="2" t="s">
        <v>4062</v>
      </c>
      <c r="AH1661" s="2" t="s">
        <v>14689</v>
      </c>
      <c r="AI1661" s="2">
        <v>-0.5</v>
      </c>
      <c r="AJ1661" s="2">
        <v>21.900089882686</v>
      </c>
      <c r="AK1661" s="2">
        <v>21.8250787312661</v>
      </c>
      <c r="AL1661" s="2">
        <v>21.708374063138201</v>
      </c>
      <c r="AM1661" s="2">
        <v>21.969052412522299</v>
      </c>
      <c r="AN1661" s="2">
        <v>21.805026592674899</v>
      </c>
      <c r="AO1661" s="2">
        <v>21.8700656511514</v>
      </c>
      <c r="AP1661" s="2">
        <v>21.865070812169201</v>
      </c>
      <c r="AQ1661" s="2">
        <v>21.801910430518301</v>
      </c>
      <c r="AR1661" s="2">
        <v>21.857431570818299</v>
      </c>
      <c r="AS1661" s="2">
        <v>20.769280582141398</v>
      </c>
      <c r="AT1661" s="2">
        <v>22.1117749361192</v>
      </c>
      <c r="AU1661" s="2">
        <v>21.881614202553699</v>
      </c>
      <c r="AV1661" s="2">
        <v>21.041189037837</v>
      </c>
      <c r="AW1661" s="2">
        <v>22.576582107154199</v>
      </c>
      <c r="AX1661" s="2">
        <v>20.305836495583002</v>
      </c>
      <c r="AY1661" s="2">
        <v>20.924565746992901</v>
      </c>
      <c r="AZ1661" s="2">
        <v>20.4419686798336</v>
      </c>
      <c r="BA1661" s="2">
        <v>22.3566708891262</v>
      </c>
      <c r="BB1661" s="2">
        <v>21.854443651645099</v>
      </c>
      <c r="BC1661" s="2">
        <v>22.014628419844001</v>
      </c>
      <c r="BD1661" s="2">
        <v>21.911186588090501</v>
      </c>
      <c r="BE1661" s="2">
        <v>21.0101850436813</v>
      </c>
      <c r="BF1661" s="2">
        <v>21.3207991774518</v>
      </c>
      <c r="BG1661" s="2">
        <v>21.270947930361501</v>
      </c>
      <c r="BH1661" s="2">
        <v>21.5565578951676</v>
      </c>
      <c r="BI1661" s="2">
        <v>21.201437632070999</v>
      </c>
      <c r="BJ1661" s="2">
        <v>23.4059023963157</v>
      </c>
      <c r="BK1661" s="2">
        <v>22.481800365172798</v>
      </c>
      <c r="BL1661" s="2">
        <v>21.7199465208882</v>
      </c>
      <c r="BM1661" s="2">
        <v>21.383006342233202</v>
      </c>
      <c r="BN1661" s="2">
        <v>22.445866482864702</v>
      </c>
      <c r="BO1661" s="2">
        <v>22.378048042307</v>
      </c>
      <c r="BP1661" s="2">
        <v>18.801700308140401</v>
      </c>
      <c r="BQ1661" s="2">
        <v>21.904109807754601</v>
      </c>
      <c r="BR1661" s="2">
        <v>20.8351947220239</v>
      </c>
      <c r="BS1661" s="2">
        <v>21.274259897878299</v>
      </c>
      <c r="BT1661" s="2">
        <v>23.145040587844498</v>
      </c>
      <c r="BU1661" s="2">
        <v>22.2143745262699</v>
      </c>
      <c r="BV1661" s="2">
        <v>21.755477562749999</v>
      </c>
      <c r="BW1661" s="2">
        <v>20.271973076078201</v>
      </c>
      <c r="BX1661" s="2">
        <v>22.0029668778024</v>
      </c>
      <c r="BY1661" s="2">
        <v>21.148361111308802</v>
      </c>
      <c r="BZ1661" s="2">
        <v>19.970691939467301</v>
      </c>
      <c r="CA1661" s="2">
        <v>21.348289735203299</v>
      </c>
      <c r="CB1661" s="2">
        <v>20.004286848231999</v>
      </c>
      <c r="CC1661" s="2">
        <v>21.9789159925113</v>
      </c>
      <c r="CD1661" s="2">
        <v>22.1958351896211</v>
      </c>
      <c r="CE1661" s="2">
        <v>22.221759533796401</v>
      </c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</row>
    <row r="1662" spans="1:97">
      <c r="A1662" s="2" t="s">
        <v>14690</v>
      </c>
      <c r="B1662" s="2">
        <v>328.15971000000002</v>
      </c>
      <c r="C1662" s="2">
        <v>5.15</v>
      </c>
      <c r="D1662" s="2" t="s">
        <v>84</v>
      </c>
      <c r="E1662" s="2" t="s">
        <v>14691</v>
      </c>
      <c r="F1662" s="2" t="s">
        <v>14692</v>
      </c>
      <c r="G1662" s="2">
        <v>53219</v>
      </c>
      <c r="H1662" s="3" t="str">
        <f>HYPERLINK("https://cloud.oebiotech.com/#/lm/network/53219", "https://cloud.oebiotech.com/#/lm/network/53219")</f>
        <v>https://cloud.oebiotech.com/#/lm/network/53219</v>
      </c>
      <c r="I1662" s="2" t="s">
        <v>14693</v>
      </c>
      <c r="J1662" s="2">
        <v>1022</v>
      </c>
      <c r="K1662" s="2"/>
      <c r="L1662" s="2">
        <v>124087</v>
      </c>
      <c r="M1662" s="2"/>
      <c r="N1662" s="2"/>
      <c r="O1662" s="2"/>
      <c r="P1662" s="2">
        <v>291342</v>
      </c>
      <c r="Q1662" s="2"/>
      <c r="R1662" s="2"/>
      <c r="S1662" s="2" t="s">
        <v>14694</v>
      </c>
      <c r="T1662" s="2" t="s">
        <v>14695</v>
      </c>
      <c r="U1662" s="2" t="s">
        <v>14696</v>
      </c>
      <c r="V1662" s="2" t="s">
        <v>553</v>
      </c>
      <c r="W1662" s="2" t="s">
        <v>14697</v>
      </c>
      <c r="X1662" s="2" t="s">
        <v>375</v>
      </c>
      <c r="Y1662" s="2" t="s">
        <v>556</v>
      </c>
      <c r="Z1662" s="2" t="s">
        <v>14698</v>
      </c>
      <c r="AA1662" s="2"/>
      <c r="AB1662" s="2" t="s">
        <v>3086</v>
      </c>
      <c r="AC1662" s="2">
        <v>41.88</v>
      </c>
      <c r="AD1662" s="2">
        <v>68</v>
      </c>
      <c r="AE1662" s="2">
        <v>0</v>
      </c>
      <c r="AF1662" s="2" t="s">
        <v>5614</v>
      </c>
      <c r="AG1662" s="2" t="s">
        <v>132</v>
      </c>
      <c r="AH1662" s="2" t="s">
        <v>14699</v>
      </c>
      <c r="AI1662" s="2">
        <v>-6.7</v>
      </c>
      <c r="AJ1662" s="2">
        <v>18.000936767355199</v>
      </c>
      <c r="AK1662" s="2">
        <v>18.1669044863289</v>
      </c>
      <c r="AL1662" s="2">
        <v>18.252340244344001</v>
      </c>
      <c r="AM1662" s="2">
        <v>18.1905203401199</v>
      </c>
      <c r="AN1662" s="2">
        <v>16.9114040430233</v>
      </c>
      <c r="AO1662" s="2">
        <v>17.691786517537199</v>
      </c>
      <c r="AP1662" s="2">
        <v>18.1137516263802</v>
      </c>
      <c r="AQ1662" s="2">
        <v>17.955601042761501</v>
      </c>
      <c r="AR1662" s="2">
        <v>9.6233145402724691</v>
      </c>
      <c r="AS1662" s="2">
        <v>9.6233145402724691</v>
      </c>
      <c r="AT1662" s="2">
        <v>18.443634775423199</v>
      </c>
      <c r="AU1662" s="2">
        <v>19.127662370868599</v>
      </c>
      <c r="AV1662" s="2">
        <v>18.306236041935399</v>
      </c>
      <c r="AW1662" s="2">
        <v>19.052490308146499</v>
      </c>
      <c r="AX1662" s="2">
        <v>18.063691469054401</v>
      </c>
      <c r="AY1662" s="2">
        <v>18.7467851159501</v>
      </c>
      <c r="AZ1662" s="2">
        <v>17.413253059903901</v>
      </c>
      <c r="BA1662" s="2">
        <v>17.602538886898301</v>
      </c>
      <c r="BB1662" s="2">
        <v>9.6233145402724691</v>
      </c>
      <c r="BC1662" s="2">
        <v>9.6233145402724691</v>
      </c>
      <c r="BD1662" s="2">
        <v>19.105181587887401</v>
      </c>
      <c r="BE1662" s="2">
        <v>18.026781205701599</v>
      </c>
      <c r="BF1662" s="2">
        <v>18.406060891511999</v>
      </c>
      <c r="BG1662" s="2">
        <v>9.6233145402724691</v>
      </c>
      <c r="BH1662" s="2">
        <v>19.082385360632799</v>
      </c>
      <c r="BI1662" s="2">
        <v>18.9766362787372</v>
      </c>
      <c r="BJ1662" s="2">
        <v>9.6233145402724691</v>
      </c>
      <c r="BK1662" s="2">
        <v>18.765925955870902</v>
      </c>
      <c r="BL1662" s="2">
        <v>17.630480939228601</v>
      </c>
      <c r="BM1662" s="2">
        <v>19.317684537671202</v>
      </c>
      <c r="BN1662" s="2">
        <v>18.812730440264598</v>
      </c>
      <c r="BO1662" s="2">
        <v>16.450128040046899</v>
      </c>
      <c r="BP1662" s="2">
        <v>18.523396479516599</v>
      </c>
      <c r="BQ1662" s="2">
        <v>18.0719920363222</v>
      </c>
      <c r="BR1662" s="2">
        <v>9.6233145402724691</v>
      </c>
      <c r="BS1662" s="2">
        <v>18.045301442095699</v>
      </c>
      <c r="BT1662" s="2">
        <v>9.6233145402724691</v>
      </c>
      <c r="BU1662" s="2">
        <v>19.301862904215898</v>
      </c>
      <c r="BV1662" s="2">
        <v>9.6233145402724691</v>
      </c>
      <c r="BW1662" s="2">
        <v>9.6233145402724691</v>
      </c>
      <c r="BX1662" s="2">
        <v>19.402295167898799</v>
      </c>
      <c r="BY1662" s="2">
        <v>19.7115775987901</v>
      </c>
      <c r="BZ1662" s="2">
        <v>9.6233145402724691</v>
      </c>
      <c r="CA1662" s="2">
        <v>9.6233145402724691</v>
      </c>
      <c r="CB1662" s="2">
        <v>9.6233145402724691</v>
      </c>
      <c r="CC1662" s="2">
        <v>17.116353201442202</v>
      </c>
      <c r="CD1662" s="2">
        <v>18.9052785508269</v>
      </c>
      <c r="CE1662" s="2">
        <v>18.349238805134998</v>
      </c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</row>
    <row r="1663" spans="1:97">
      <c r="A1663" s="2" t="s">
        <v>14700</v>
      </c>
      <c r="B1663" s="2">
        <v>407.04584999999997</v>
      </c>
      <c r="C1663" s="2">
        <v>4.3289999999999997</v>
      </c>
      <c r="D1663" s="2" t="s">
        <v>146</v>
      </c>
      <c r="E1663" s="2" t="s">
        <v>14701</v>
      </c>
      <c r="F1663" s="2" t="s">
        <v>14702</v>
      </c>
      <c r="G1663" s="2">
        <v>60589</v>
      </c>
      <c r="H1663" s="3" t="str">
        <f>HYPERLINK("https://cloud.oebiotech.com/#/lm/network/60589", "https://cloud.oebiotech.com/#/lm/network/60589")</f>
        <v>https://cloud.oebiotech.com/#/lm/network/60589</v>
      </c>
      <c r="I1663" s="2" t="s">
        <v>14703</v>
      </c>
      <c r="J1663" s="2">
        <v>91921</v>
      </c>
      <c r="K1663" s="2"/>
      <c r="L1663" s="2">
        <v>75060826</v>
      </c>
      <c r="M1663" s="2"/>
      <c r="N1663" s="2"/>
      <c r="O1663" s="2"/>
      <c r="P1663" s="2"/>
      <c r="Q1663" s="2"/>
      <c r="R1663" s="2"/>
      <c r="S1663" s="2"/>
      <c r="T1663" s="2" t="s">
        <v>14704</v>
      </c>
      <c r="U1663" s="2" t="s">
        <v>14705</v>
      </c>
      <c r="V1663" s="2" t="s">
        <v>338</v>
      </c>
      <c r="W1663" s="2" t="s">
        <v>339</v>
      </c>
      <c r="X1663" s="2" t="s">
        <v>663</v>
      </c>
      <c r="Y1663" s="2" t="s">
        <v>341</v>
      </c>
      <c r="Z1663" s="2" t="s">
        <v>341</v>
      </c>
      <c r="AA1663" s="2" t="s">
        <v>664</v>
      </c>
      <c r="AB1663" s="2" t="s">
        <v>8443</v>
      </c>
      <c r="AC1663" s="2">
        <v>41.86</v>
      </c>
      <c r="AD1663" s="2">
        <v>89.5</v>
      </c>
      <c r="AE1663" s="2">
        <v>32.31</v>
      </c>
      <c r="AF1663" s="2" t="s">
        <v>14706</v>
      </c>
      <c r="AG1663" s="2" t="s">
        <v>157</v>
      </c>
      <c r="AH1663" s="2" t="s">
        <v>14707</v>
      </c>
      <c r="AI1663" s="2">
        <v>2.21</v>
      </c>
      <c r="AJ1663" s="2">
        <v>17.901303613127901</v>
      </c>
      <c r="AK1663" s="2">
        <v>18.066508692380999</v>
      </c>
      <c r="AL1663" s="2">
        <v>17.984936689600101</v>
      </c>
      <c r="AM1663" s="2">
        <v>18.115244360578501</v>
      </c>
      <c r="AN1663" s="2">
        <v>18.226597475905798</v>
      </c>
      <c r="AO1663" s="2">
        <v>18.0810836165277</v>
      </c>
      <c r="AP1663" s="2">
        <v>17.969119026821001</v>
      </c>
      <c r="AQ1663" s="2">
        <v>17.682952762250999</v>
      </c>
      <c r="AR1663" s="2">
        <v>15.461724991502701</v>
      </c>
      <c r="AS1663" s="2">
        <v>15.7344196127628</v>
      </c>
      <c r="AT1663" s="2">
        <v>17.287221148434998</v>
      </c>
      <c r="AU1663" s="2">
        <v>15.8802622247216</v>
      </c>
      <c r="AV1663" s="2">
        <v>17.4672813116231</v>
      </c>
      <c r="AW1663" s="2">
        <v>17.427509849052399</v>
      </c>
      <c r="AX1663" s="2">
        <v>17.830485497135498</v>
      </c>
      <c r="AY1663" s="2">
        <v>17.810738494441399</v>
      </c>
      <c r="AZ1663" s="2">
        <v>16.435358218348899</v>
      </c>
      <c r="BA1663" s="2">
        <v>16.574969525076899</v>
      </c>
      <c r="BB1663" s="2">
        <v>18.7768144885876</v>
      </c>
      <c r="BC1663" s="2">
        <v>19.288147354151299</v>
      </c>
      <c r="BD1663" s="2">
        <v>17.352846405094599</v>
      </c>
      <c r="BE1663" s="2">
        <v>18.597287101602301</v>
      </c>
      <c r="BF1663" s="2">
        <v>18.136499145754399</v>
      </c>
      <c r="BG1663" s="2">
        <v>18.593026536521698</v>
      </c>
      <c r="BH1663" s="2">
        <v>17.655348683783501</v>
      </c>
      <c r="BI1663" s="2">
        <v>18.397540192826</v>
      </c>
      <c r="BJ1663" s="2">
        <v>18.155576777806299</v>
      </c>
      <c r="BK1663" s="2">
        <v>17.244828075850901</v>
      </c>
      <c r="BL1663" s="2">
        <v>17.1441329279893</v>
      </c>
      <c r="BM1663" s="2">
        <v>18.325719165594901</v>
      </c>
      <c r="BN1663" s="2">
        <v>17.8916555041022</v>
      </c>
      <c r="BO1663" s="2">
        <v>17.402308285073001</v>
      </c>
      <c r="BP1663" s="2">
        <v>17.473498226804299</v>
      </c>
      <c r="BQ1663" s="2">
        <v>17.758343338868499</v>
      </c>
      <c r="BR1663" s="2">
        <v>17.732283113335502</v>
      </c>
      <c r="BS1663" s="2">
        <v>17.505337766246999</v>
      </c>
      <c r="BT1663" s="2">
        <v>16.246543735854701</v>
      </c>
      <c r="BU1663" s="2">
        <v>17.004578198392402</v>
      </c>
      <c r="BV1663" s="2">
        <v>18.620934973539001</v>
      </c>
      <c r="BW1663" s="2">
        <v>17.7224022498099</v>
      </c>
      <c r="BX1663" s="2">
        <v>17.121204757642602</v>
      </c>
      <c r="BY1663" s="2">
        <v>18.360385625678799</v>
      </c>
      <c r="BZ1663" s="2">
        <v>18.165154613355</v>
      </c>
      <c r="CA1663" s="2">
        <v>18.923308158506401</v>
      </c>
      <c r="CB1663" s="2">
        <v>17.552791032869798</v>
      </c>
      <c r="CC1663" s="2">
        <v>18.247224059652499</v>
      </c>
      <c r="CD1663" s="2">
        <v>18.527157395015099</v>
      </c>
      <c r="CE1663" s="2">
        <v>18.321262596952</v>
      </c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</row>
    <row r="1664" spans="1:97">
      <c r="A1664" s="2" t="s">
        <v>14708</v>
      </c>
      <c r="B1664" s="2">
        <v>486.29487999999998</v>
      </c>
      <c r="C1664" s="2">
        <v>11.095000000000001</v>
      </c>
      <c r="D1664" s="2" t="s">
        <v>84</v>
      </c>
      <c r="E1664" s="2" t="s">
        <v>14709</v>
      </c>
      <c r="F1664" s="2" t="s">
        <v>14710</v>
      </c>
      <c r="G1664" s="2">
        <v>208027</v>
      </c>
      <c r="H1664" s="3" t="str">
        <f>HYPERLINK("https://cloud.oebiotech.com/#/lm/network/208027", "https://cloud.oebiotech.com/#/lm/network/208027")</f>
        <v>https://cloud.oebiotech.com/#/lm/network/208027</v>
      </c>
      <c r="I1664" s="2" t="s">
        <v>14711</v>
      </c>
      <c r="J1664" s="2"/>
      <c r="K1664" s="2"/>
      <c r="L1664" s="2">
        <v>6426711</v>
      </c>
      <c r="M1664" s="2"/>
      <c r="N1664" s="2"/>
      <c r="O1664" s="2"/>
      <c r="P1664" s="2"/>
      <c r="Q1664" s="2"/>
      <c r="R1664" s="2"/>
      <c r="S1664" s="2"/>
      <c r="T1664" s="2" t="s">
        <v>14712</v>
      </c>
      <c r="U1664" s="2" t="s">
        <v>14713</v>
      </c>
      <c r="V1664" s="2" t="s">
        <v>553</v>
      </c>
      <c r="W1664" s="2" t="s">
        <v>14714</v>
      </c>
      <c r="X1664" s="2" t="s">
        <v>375</v>
      </c>
      <c r="Y1664" s="2" t="s">
        <v>556</v>
      </c>
      <c r="Z1664" s="2" t="s">
        <v>14715</v>
      </c>
      <c r="AA1664" s="2"/>
      <c r="AB1664" s="2" t="s">
        <v>8443</v>
      </c>
      <c r="AC1664" s="2">
        <v>41.83</v>
      </c>
      <c r="AD1664" s="2">
        <v>90.72</v>
      </c>
      <c r="AE1664" s="2">
        <v>33.47</v>
      </c>
      <c r="AF1664" s="2" t="s">
        <v>14716</v>
      </c>
      <c r="AG1664" s="2" t="s">
        <v>132</v>
      </c>
      <c r="AH1664" s="2" t="s">
        <v>14717</v>
      </c>
      <c r="AI1664" s="2">
        <v>2.67</v>
      </c>
      <c r="AJ1664" s="2">
        <v>20.3049230840316</v>
      </c>
      <c r="AK1664" s="2">
        <v>20.316823214186002</v>
      </c>
      <c r="AL1664" s="2">
        <v>20.185291641324699</v>
      </c>
      <c r="AM1664" s="2">
        <v>20.307419942016399</v>
      </c>
      <c r="AN1664" s="2">
        <v>20.242385666118398</v>
      </c>
      <c r="AO1664" s="2">
        <v>19.954030984533102</v>
      </c>
      <c r="AP1664" s="2">
        <v>19.980201246289202</v>
      </c>
      <c r="AQ1664" s="2">
        <v>20.427406633534801</v>
      </c>
      <c r="AR1664" s="2">
        <v>19.871726612857699</v>
      </c>
      <c r="AS1664" s="2">
        <v>18.577555253047802</v>
      </c>
      <c r="AT1664" s="2">
        <v>19.689341890525899</v>
      </c>
      <c r="AU1664" s="2">
        <v>19.6892061877187</v>
      </c>
      <c r="AV1664" s="2">
        <v>20.0908304863297</v>
      </c>
      <c r="AW1664" s="2">
        <v>19.796472541284501</v>
      </c>
      <c r="AX1664" s="2">
        <v>19.652742199721899</v>
      </c>
      <c r="AY1664" s="2">
        <v>20.427607656051599</v>
      </c>
      <c r="AZ1664" s="2">
        <v>20.3720210460327</v>
      </c>
      <c r="BA1664" s="2">
        <v>18.972844190584901</v>
      </c>
      <c r="BB1664" s="2">
        <v>20.186492991597</v>
      </c>
      <c r="BC1664" s="2">
        <v>20.3246051707943</v>
      </c>
      <c r="BD1664" s="2">
        <v>19.610600034368399</v>
      </c>
      <c r="BE1664" s="2">
        <v>20.350540119361401</v>
      </c>
      <c r="BF1664" s="2">
        <v>19.387286689759598</v>
      </c>
      <c r="BG1664" s="2">
        <v>20.145309852875101</v>
      </c>
      <c r="BH1664" s="2">
        <v>22.0797422073287</v>
      </c>
      <c r="BI1664" s="2">
        <v>20.1107887964688</v>
      </c>
      <c r="BJ1664" s="2">
        <v>18.986852476590499</v>
      </c>
      <c r="BK1664" s="2">
        <v>19.874111765008099</v>
      </c>
      <c r="BL1664" s="2">
        <v>20.1616779951149</v>
      </c>
      <c r="BM1664" s="2">
        <v>19.824222843147702</v>
      </c>
      <c r="BN1664" s="2">
        <v>20.3245743753507</v>
      </c>
      <c r="BO1664" s="2">
        <v>19.513610293576399</v>
      </c>
      <c r="BP1664" s="2">
        <v>19.621278407799199</v>
      </c>
      <c r="BQ1664" s="2">
        <v>20.2258197057008</v>
      </c>
      <c r="BR1664" s="2">
        <v>19.790866659016999</v>
      </c>
      <c r="BS1664" s="2">
        <v>19.9945811190656</v>
      </c>
      <c r="BT1664" s="2">
        <v>19.755577265396798</v>
      </c>
      <c r="BU1664" s="2">
        <v>19.724570856753399</v>
      </c>
      <c r="BV1664" s="2">
        <v>19.8213645074635</v>
      </c>
      <c r="BW1664" s="2">
        <v>19.641565978937098</v>
      </c>
      <c r="BX1664" s="2">
        <v>19.969929284958202</v>
      </c>
      <c r="BY1664" s="2">
        <v>20.8478137372262</v>
      </c>
      <c r="BZ1664" s="2">
        <v>19.379740061668802</v>
      </c>
      <c r="CA1664" s="2">
        <v>20.031029736332101</v>
      </c>
      <c r="CB1664" s="2">
        <v>20.284832818890099</v>
      </c>
      <c r="CC1664" s="2">
        <v>19.0205112027521</v>
      </c>
      <c r="CD1664" s="2">
        <v>19.370328331351299</v>
      </c>
      <c r="CE1664" s="2">
        <v>19.840151472777801</v>
      </c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</row>
    <row r="1665" spans="1:97">
      <c r="A1665" s="2" t="s">
        <v>14718</v>
      </c>
      <c r="B1665" s="2">
        <v>805.51112999999998</v>
      </c>
      <c r="C1665" s="2">
        <v>10.885999999999999</v>
      </c>
      <c r="D1665" s="2" t="s">
        <v>84</v>
      </c>
      <c r="E1665" s="2" t="s">
        <v>14719</v>
      </c>
      <c r="F1665" s="2" t="s">
        <v>14720</v>
      </c>
      <c r="G1665" s="2">
        <v>243519</v>
      </c>
      <c r="H1665" s="3" t="str">
        <f>HYPERLINK("https://cloud.oebiotech.com/#/lm/network/243519", "https://cloud.oebiotech.com/#/lm/network/243519")</f>
        <v>https://cloud.oebiotech.com/#/lm/network/243519</v>
      </c>
      <c r="I1665" s="2" t="s">
        <v>14721</v>
      </c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 t="s">
        <v>14722</v>
      </c>
      <c r="U1665" s="2" t="s">
        <v>14723</v>
      </c>
      <c r="V1665" s="2" t="s">
        <v>166</v>
      </c>
      <c r="W1665" s="2" t="s">
        <v>167</v>
      </c>
      <c r="X1665" s="2" t="s">
        <v>168</v>
      </c>
      <c r="Y1665" s="2" t="s">
        <v>169</v>
      </c>
      <c r="Z1665" s="2" t="s">
        <v>169</v>
      </c>
      <c r="AA1665" s="2" t="s">
        <v>170</v>
      </c>
      <c r="AB1665" s="2" t="s">
        <v>8443</v>
      </c>
      <c r="AC1665" s="2">
        <v>41.82</v>
      </c>
      <c r="AD1665" s="2">
        <v>74.09</v>
      </c>
      <c r="AE1665" s="2">
        <v>0</v>
      </c>
      <c r="AF1665" s="2" t="s">
        <v>5614</v>
      </c>
      <c r="AG1665" s="2" t="s">
        <v>1578</v>
      </c>
      <c r="AH1665" s="2" t="s">
        <v>14724</v>
      </c>
      <c r="AI1665" s="2">
        <v>-0.99</v>
      </c>
      <c r="AJ1665" s="2">
        <v>19.588876574720299</v>
      </c>
      <c r="AK1665" s="2">
        <v>19.560386855890201</v>
      </c>
      <c r="AL1665" s="2">
        <v>19.485537363555999</v>
      </c>
      <c r="AM1665" s="2">
        <v>19.507127918603199</v>
      </c>
      <c r="AN1665" s="2">
        <v>19.6280860747286</v>
      </c>
      <c r="AO1665" s="2">
        <v>19.8714631388778</v>
      </c>
      <c r="AP1665" s="2">
        <v>20.032409272223099</v>
      </c>
      <c r="AQ1665" s="2">
        <v>19.3446144317804</v>
      </c>
      <c r="AR1665" s="2">
        <v>20.072269363273598</v>
      </c>
      <c r="AS1665" s="2">
        <v>17.3309444429315</v>
      </c>
      <c r="AT1665" s="2">
        <v>18.049981828836</v>
      </c>
      <c r="AU1665" s="2">
        <v>17.936850233255001</v>
      </c>
      <c r="AV1665" s="2">
        <v>19.252031458005401</v>
      </c>
      <c r="AW1665" s="2">
        <v>19.646289037441498</v>
      </c>
      <c r="AX1665" s="2">
        <v>20.233589743560199</v>
      </c>
      <c r="AY1665" s="2">
        <v>18.479801101123201</v>
      </c>
      <c r="AZ1665" s="2">
        <v>19.6420529625081</v>
      </c>
      <c r="BA1665" s="2">
        <v>16.4677648961706</v>
      </c>
      <c r="BB1665" s="2">
        <v>19.0443592704578</v>
      </c>
      <c r="BC1665" s="2">
        <v>20.6435959105929</v>
      </c>
      <c r="BD1665" s="2">
        <v>19.538868824986299</v>
      </c>
      <c r="BE1665" s="2">
        <v>20.361151038511402</v>
      </c>
      <c r="BF1665" s="2">
        <v>19.898893923983501</v>
      </c>
      <c r="BG1665" s="2">
        <v>19.089275094081</v>
      </c>
      <c r="BH1665" s="2">
        <v>18.559259370795701</v>
      </c>
      <c r="BI1665" s="2">
        <v>20.246492799534899</v>
      </c>
      <c r="BJ1665" s="2">
        <v>19.471164195862801</v>
      </c>
      <c r="BK1665" s="2">
        <v>18.007851713233698</v>
      </c>
      <c r="BL1665" s="2">
        <v>20.101819108628501</v>
      </c>
      <c r="BM1665" s="2">
        <v>19.272821662610902</v>
      </c>
      <c r="BN1665" s="2">
        <v>19.791413269342701</v>
      </c>
      <c r="BO1665" s="2">
        <v>19.322926866472699</v>
      </c>
      <c r="BP1665" s="2">
        <v>19.4118546645993</v>
      </c>
      <c r="BQ1665" s="2">
        <v>18.9863779905954</v>
      </c>
      <c r="BR1665" s="2">
        <v>19.7600983301915</v>
      </c>
      <c r="BS1665" s="2">
        <v>19.824623365916999</v>
      </c>
      <c r="BT1665" s="2">
        <v>18.9194001425805</v>
      </c>
      <c r="BU1665" s="2">
        <v>18.466261909925802</v>
      </c>
      <c r="BV1665" s="2">
        <v>18.2207142945005</v>
      </c>
      <c r="BW1665" s="2">
        <v>19.4859534500231</v>
      </c>
      <c r="BX1665" s="2">
        <v>19.390431349709399</v>
      </c>
      <c r="BY1665" s="2">
        <v>20.201267368945601</v>
      </c>
      <c r="BZ1665" s="2">
        <v>19.753143511583101</v>
      </c>
      <c r="CA1665" s="2">
        <v>19.942715886938601</v>
      </c>
      <c r="CB1665" s="2">
        <v>19.149319678818198</v>
      </c>
      <c r="CC1665" s="2">
        <v>18.595825002580199</v>
      </c>
      <c r="CD1665" s="2">
        <v>19.898835424364499</v>
      </c>
      <c r="CE1665" s="2">
        <v>17.466322578888299</v>
      </c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</row>
    <row r="1666" spans="1:97">
      <c r="A1666" s="2" t="s">
        <v>14725</v>
      </c>
      <c r="B1666" s="2">
        <v>551.07006000000001</v>
      </c>
      <c r="C1666" s="2">
        <v>0.79100000000000004</v>
      </c>
      <c r="D1666" s="2" t="s">
        <v>84</v>
      </c>
      <c r="E1666" s="2" t="s">
        <v>14726</v>
      </c>
      <c r="F1666" s="2" t="s">
        <v>14727</v>
      </c>
      <c r="G1666" s="2">
        <v>51981</v>
      </c>
      <c r="H1666" s="3" t="str">
        <f>HYPERLINK("https://cloud.oebiotech.com/#/lm/network/51981", "https://cloud.oebiotech.com/#/lm/network/51981")</f>
        <v>https://cloud.oebiotech.com/#/lm/network/51981</v>
      </c>
      <c r="I1666" s="2" t="s">
        <v>14728</v>
      </c>
      <c r="J1666" s="2">
        <v>62924</v>
      </c>
      <c r="K1666" s="2"/>
      <c r="L1666" s="2">
        <v>192751</v>
      </c>
      <c r="M1666" s="2" t="s">
        <v>14729</v>
      </c>
      <c r="N1666" s="2" t="s">
        <v>4584</v>
      </c>
      <c r="O1666" s="2" t="s">
        <v>4585</v>
      </c>
      <c r="P1666" s="2">
        <v>84725</v>
      </c>
      <c r="Q1666" s="2"/>
      <c r="R1666" s="2"/>
      <c r="S1666" s="2" t="s">
        <v>14730</v>
      </c>
      <c r="T1666" s="2" t="s">
        <v>14731</v>
      </c>
      <c r="U1666" s="2" t="s">
        <v>14732</v>
      </c>
      <c r="V1666" s="2" t="s">
        <v>818</v>
      </c>
      <c r="W1666" s="2" t="s">
        <v>8374</v>
      </c>
      <c r="X1666" s="2" t="s">
        <v>14733</v>
      </c>
      <c r="Y1666" s="2" t="s">
        <v>820</v>
      </c>
      <c r="Z1666" s="2" t="s">
        <v>8376</v>
      </c>
      <c r="AA1666" s="2" t="s">
        <v>14734</v>
      </c>
      <c r="AB1666" s="2" t="s">
        <v>8443</v>
      </c>
      <c r="AC1666" s="2">
        <v>41.8</v>
      </c>
      <c r="AD1666" s="2">
        <v>88.54</v>
      </c>
      <c r="AE1666" s="2">
        <v>0</v>
      </c>
      <c r="AF1666" s="2" t="s">
        <v>14735</v>
      </c>
      <c r="AG1666" s="2" t="s">
        <v>103</v>
      </c>
      <c r="AH1666" s="2" t="s">
        <v>14736</v>
      </c>
      <c r="AI1666" s="2">
        <v>-4.9000000000000004</v>
      </c>
      <c r="AJ1666" s="2">
        <v>20.829164160125401</v>
      </c>
      <c r="AK1666" s="2">
        <v>21.307477666226301</v>
      </c>
      <c r="AL1666" s="2">
        <v>21.367417380232901</v>
      </c>
      <c r="AM1666" s="2">
        <v>20.873106114005399</v>
      </c>
      <c r="AN1666" s="2">
        <v>21.170871222436201</v>
      </c>
      <c r="AO1666" s="2">
        <v>21.0337456303298</v>
      </c>
      <c r="AP1666" s="2">
        <v>21.335861304540799</v>
      </c>
      <c r="AQ1666" s="2">
        <v>21.5300941059505</v>
      </c>
      <c r="AR1666" s="2">
        <v>20.8287272024224</v>
      </c>
      <c r="AS1666" s="2">
        <v>20.084147657739098</v>
      </c>
      <c r="AT1666" s="2">
        <v>21.141861990786801</v>
      </c>
      <c r="AU1666" s="2">
        <v>20.4232497938889</v>
      </c>
      <c r="AV1666" s="2">
        <v>21.424041457918999</v>
      </c>
      <c r="AW1666" s="2">
        <v>21.0277990376884</v>
      </c>
      <c r="AX1666" s="2">
        <v>21.5645291216013</v>
      </c>
      <c r="AY1666" s="2">
        <v>21.105060910514201</v>
      </c>
      <c r="AZ1666" s="2">
        <v>20.8951602348635</v>
      </c>
      <c r="BA1666" s="2">
        <v>20.674758305148799</v>
      </c>
      <c r="BB1666" s="2">
        <v>20.835012010114799</v>
      </c>
      <c r="BC1666" s="2">
        <v>20.394551736127902</v>
      </c>
      <c r="BD1666" s="2">
        <v>19.764334480054899</v>
      </c>
      <c r="BE1666" s="2">
        <v>21.150003132544001</v>
      </c>
      <c r="BF1666" s="2">
        <v>21.031445387411601</v>
      </c>
      <c r="BG1666" s="2">
        <v>20.2899567962798</v>
      </c>
      <c r="BH1666" s="2">
        <v>20.738490197366499</v>
      </c>
      <c r="BI1666" s="2">
        <v>20.778220602096901</v>
      </c>
      <c r="BJ1666" s="2">
        <v>21.701200546539301</v>
      </c>
      <c r="BK1666" s="2">
        <v>20.8343772320667</v>
      </c>
      <c r="BL1666" s="2">
        <v>21.2910335882484</v>
      </c>
      <c r="BM1666" s="2">
        <v>21.021684946573501</v>
      </c>
      <c r="BN1666" s="2">
        <v>21.624434736115798</v>
      </c>
      <c r="BO1666" s="2">
        <v>20.870789105401599</v>
      </c>
      <c r="BP1666" s="2">
        <v>21.088537600277501</v>
      </c>
      <c r="BQ1666" s="2">
        <v>21.3033460303688</v>
      </c>
      <c r="BR1666" s="2">
        <v>21.016665440935501</v>
      </c>
      <c r="BS1666" s="2">
        <v>20.954630051554499</v>
      </c>
      <c r="BT1666" s="2">
        <v>20.889588597818001</v>
      </c>
      <c r="BU1666" s="2">
        <v>21.002892069501002</v>
      </c>
      <c r="BV1666" s="2">
        <v>20.9448976841208</v>
      </c>
      <c r="BW1666" s="2">
        <v>19.433355417499499</v>
      </c>
      <c r="BX1666" s="2">
        <v>20.494839035160101</v>
      </c>
      <c r="BY1666" s="2">
        <v>21.655566276677099</v>
      </c>
      <c r="BZ1666" s="2">
        <v>20.2029399789824</v>
      </c>
      <c r="CA1666" s="2">
        <v>20.809618583258001</v>
      </c>
      <c r="CB1666" s="2">
        <v>20.428424000389199</v>
      </c>
      <c r="CC1666" s="2">
        <v>21.128476955400401</v>
      </c>
      <c r="CD1666" s="2">
        <v>21.557404652626101</v>
      </c>
      <c r="CE1666" s="2">
        <v>20.490529138013201</v>
      </c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</row>
    <row r="1667" spans="1:97">
      <c r="A1667" s="2" t="s">
        <v>14737</v>
      </c>
      <c r="B1667" s="2">
        <v>802.48886000000005</v>
      </c>
      <c r="C1667" s="2">
        <v>10.372999999999999</v>
      </c>
      <c r="D1667" s="2" t="s">
        <v>84</v>
      </c>
      <c r="E1667" s="2" t="s">
        <v>14738</v>
      </c>
      <c r="F1667" s="2" t="s">
        <v>14739</v>
      </c>
      <c r="G1667" s="2">
        <v>217238</v>
      </c>
      <c r="H1667" s="3" t="str">
        <f>HYPERLINK("https://cloud.oebiotech.com/#/lm/network/217238", "https://cloud.oebiotech.com/#/lm/network/217238")</f>
        <v>https://cloud.oebiotech.com/#/lm/network/217238</v>
      </c>
      <c r="I1667" s="2" t="s">
        <v>14740</v>
      </c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 t="s">
        <v>14741</v>
      </c>
      <c r="U1667" s="2" t="s">
        <v>14742</v>
      </c>
      <c r="V1667" s="2" t="s">
        <v>95</v>
      </c>
      <c r="W1667" s="2" t="s">
        <v>96</v>
      </c>
      <c r="X1667" s="2" t="s">
        <v>3216</v>
      </c>
      <c r="Y1667" s="2" t="s">
        <v>98</v>
      </c>
      <c r="Z1667" s="2" t="s">
        <v>99</v>
      </c>
      <c r="AA1667" s="2" t="s">
        <v>3217</v>
      </c>
      <c r="AB1667" s="2" t="s">
        <v>5118</v>
      </c>
      <c r="AC1667" s="2">
        <v>41.78</v>
      </c>
      <c r="AD1667" s="2">
        <v>69.62</v>
      </c>
      <c r="AE1667" s="2">
        <v>61.53</v>
      </c>
      <c r="AF1667" s="2" t="s">
        <v>14743</v>
      </c>
      <c r="AG1667" s="2" t="s">
        <v>132</v>
      </c>
      <c r="AH1667" s="2" t="s">
        <v>14744</v>
      </c>
      <c r="AI1667" s="2">
        <v>-2.99</v>
      </c>
      <c r="AJ1667" s="2">
        <v>21.210431974515501</v>
      </c>
      <c r="AK1667" s="2">
        <v>20.701171634548</v>
      </c>
      <c r="AL1667" s="2">
        <v>20.9852633944197</v>
      </c>
      <c r="AM1667" s="2">
        <v>20.717573104151398</v>
      </c>
      <c r="AN1667" s="2">
        <v>20.937661811157799</v>
      </c>
      <c r="AO1667" s="2">
        <v>20.829951575088401</v>
      </c>
      <c r="AP1667" s="2">
        <v>20.554646629665701</v>
      </c>
      <c r="AQ1667" s="2">
        <v>20.620896869768899</v>
      </c>
      <c r="AR1667" s="2">
        <v>21.434895752960301</v>
      </c>
      <c r="AS1667" s="2">
        <v>19.098332570282999</v>
      </c>
      <c r="AT1667" s="2">
        <v>19.578991047832002</v>
      </c>
      <c r="AU1667" s="2">
        <v>20.548576715843499</v>
      </c>
      <c r="AV1667" s="2">
        <v>21.2641581441341</v>
      </c>
      <c r="AW1667" s="2">
        <v>20.977941401211101</v>
      </c>
      <c r="AX1667" s="2">
        <v>21.1632145029558</v>
      </c>
      <c r="AY1667" s="2">
        <v>20.627845398971601</v>
      </c>
      <c r="AZ1667" s="2">
        <v>20.747163474438299</v>
      </c>
      <c r="BA1667" s="2">
        <v>19.320483642334001</v>
      </c>
      <c r="BB1667" s="2">
        <v>20.250336161103601</v>
      </c>
      <c r="BC1667" s="2">
        <v>20.750765981436199</v>
      </c>
      <c r="BD1667" s="2">
        <v>20.658731045151399</v>
      </c>
      <c r="BE1667" s="2">
        <v>21.332403685333901</v>
      </c>
      <c r="BF1667" s="2">
        <v>20.7201458837445</v>
      </c>
      <c r="BG1667" s="2">
        <v>20.417174207463201</v>
      </c>
      <c r="BH1667" s="2">
        <v>20.773010888102799</v>
      </c>
      <c r="BI1667" s="2">
        <v>20.125198413926199</v>
      </c>
      <c r="BJ1667" s="2">
        <v>20.3120789265102</v>
      </c>
      <c r="BK1667" s="2">
        <v>19.924701716593098</v>
      </c>
      <c r="BL1667" s="2">
        <v>20.573362156586999</v>
      </c>
      <c r="BM1667" s="2">
        <v>21.359393596823601</v>
      </c>
      <c r="BN1667" s="2">
        <v>21.170857857771701</v>
      </c>
      <c r="BO1667" s="2">
        <v>20.696525960917501</v>
      </c>
      <c r="BP1667" s="2">
        <v>20.3194393720851</v>
      </c>
      <c r="BQ1667" s="2">
        <v>20.441215639994301</v>
      </c>
      <c r="BR1667" s="2">
        <v>21.011693387588799</v>
      </c>
      <c r="BS1667" s="2">
        <v>21.243461653816901</v>
      </c>
      <c r="BT1667" s="2">
        <v>20.2777818771951</v>
      </c>
      <c r="BU1667" s="2">
        <v>19.994629675571701</v>
      </c>
      <c r="BV1667" s="2">
        <v>20.337127707024401</v>
      </c>
      <c r="BW1667" s="2">
        <v>19.706702639272901</v>
      </c>
      <c r="BX1667" s="2">
        <v>21.2403582106312</v>
      </c>
      <c r="BY1667" s="2">
        <v>21.8074907328213</v>
      </c>
      <c r="BZ1667" s="2">
        <v>20.023994722898301</v>
      </c>
      <c r="CA1667" s="2">
        <v>20.726761973388999</v>
      </c>
      <c r="CB1667" s="2">
        <v>20.732740157868701</v>
      </c>
      <c r="CC1667" s="2">
        <v>19.802490900894799</v>
      </c>
      <c r="CD1667" s="2">
        <v>20.868799560434098</v>
      </c>
      <c r="CE1667" s="2">
        <v>18.495528449354701</v>
      </c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</row>
    <row r="1668" spans="1:97">
      <c r="A1668" s="2" t="s">
        <v>14745</v>
      </c>
      <c r="B1668" s="2">
        <v>307.15224000000001</v>
      </c>
      <c r="C1668" s="2">
        <v>9.9480000000000004</v>
      </c>
      <c r="D1668" s="2" t="s">
        <v>146</v>
      </c>
      <c r="E1668" s="2" t="s">
        <v>14746</v>
      </c>
      <c r="F1668" s="2" t="s">
        <v>14747</v>
      </c>
      <c r="G1668" s="2">
        <v>207579</v>
      </c>
      <c r="H1668" s="3" t="str">
        <f>HYPERLINK("https://cloud.oebiotech.com/#/lm/network/207579", "https://cloud.oebiotech.com/#/lm/network/207579")</f>
        <v>https://cloud.oebiotech.com/#/lm/network/207579</v>
      </c>
      <c r="I1668" s="2" t="s">
        <v>14748</v>
      </c>
      <c r="J1668" s="2">
        <v>4065</v>
      </c>
      <c r="K1668" s="2"/>
      <c r="L1668" s="2">
        <v>8362</v>
      </c>
      <c r="M1668" s="2"/>
      <c r="N1668" s="2"/>
      <c r="O1668" s="2"/>
      <c r="P1668" s="2"/>
      <c r="Q1668" s="2"/>
      <c r="R1668" s="2"/>
      <c r="S1668" s="2" t="s">
        <v>14749</v>
      </c>
      <c r="T1668" s="2" t="s">
        <v>14750</v>
      </c>
      <c r="U1668" s="2" t="s">
        <v>14751</v>
      </c>
      <c r="V1668" s="2" t="s">
        <v>385</v>
      </c>
      <c r="W1668" s="2" t="s">
        <v>386</v>
      </c>
      <c r="X1668" s="2" t="s">
        <v>1059</v>
      </c>
      <c r="Y1668" s="2" t="s">
        <v>388</v>
      </c>
      <c r="Z1668" s="2" t="s">
        <v>389</v>
      </c>
      <c r="AA1668" s="2" t="s">
        <v>1060</v>
      </c>
      <c r="AB1668" s="2" t="s">
        <v>3086</v>
      </c>
      <c r="AC1668" s="2">
        <v>41.77</v>
      </c>
      <c r="AD1668" s="2">
        <v>88.96</v>
      </c>
      <c r="AE1668" s="2">
        <v>0</v>
      </c>
      <c r="AF1668" s="2" t="s">
        <v>5614</v>
      </c>
      <c r="AG1668" s="2" t="s">
        <v>157</v>
      </c>
      <c r="AH1668" s="2" t="s">
        <v>14752</v>
      </c>
      <c r="AI1668" s="2">
        <v>9.44</v>
      </c>
      <c r="AJ1668" s="2">
        <v>17.609474627109599</v>
      </c>
      <c r="AK1668" s="2">
        <v>17.524890822990201</v>
      </c>
      <c r="AL1668" s="2">
        <v>17.3529892978726</v>
      </c>
      <c r="AM1668" s="2">
        <v>17.712795720889201</v>
      </c>
      <c r="AN1668" s="2">
        <v>17.5927081321854</v>
      </c>
      <c r="AO1668" s="2">
        <v>17.769530019324101</v>
      </c>
      <c r="AP1668" s="2">
        <v>17.6523070824027</v>
      </c>
      <c r="AQ1668" s="2">
        <v>18.011773230347</v>
      </c>
      <c r="AR1668" s="2">
        <v>9.6233145402724691</v>
      </c>
      <c r="AS1668" s="2">
        <v>16.8544287938373</v>
      </c>
      <c r="AT1668" s="2">
        <v>18.7945849857255</v>
      </c>
      <c r="AU1668" s="2">
        <v>13.7707227308822</v>
      </c>
      <c r="AV1668" s="2">
        <v>15.9552030823239</v>
      </c>
      <c r="AW1668" s="2">
        <v>17.511681242918701</v>
      </c>
      <c r="AX1668" s="2">
        <v>17.043627355814198</v>
      </c>
      <c r="AY1668" s="2">
        <v>15.693475523050401</v>
      </c>
      <c r="AZ1668" s="2">
        <v>13.107774491701599</v>
      </c>
      <c r="BA1668" s="2">
        <v>18.142164059786499</v>
      </c>
      <c r="BB1668" s="2">
        <v>18.506726668636201</v>
      </c>
      <c r="BC1668" s="2">
        <v>18.713149729508999</v>
      </c>
      <c r="BD1668" s="2">
        <v>13.1121495050558</v>
      </c>
      <c r="BE1668" s="2">
        <v>16.8967607113774</v>
      </c>
      <c r="BF1668" s="2">
        <v>17.1869555018251</v>
      </c>
      <c r="BG1668" s="2">
        <v>17.973884102878401</v>
      </c>
      <c r="BH1668" s="2">
        <v>15.5492410886672</v>
      </c>
      <c r="BI1668" s="2">
        <v>17.359394744369201</v>
      </c>
      <c r="BJ1668" s="2">
        <v>16.8052822517528</v>
      </c>
      <c r="BK1668" s="2">
        <v>13.893378328434199</v>
      </c>
      <c r="BL1668" s="2">
        <v>18.225978502462901</v>
      </c>
      <c r="BM1668" s="2">
        <v>15.0117723569522</v>
      </c>
      <c r="BN1668" s="2">
        <v>17.929495659286001</v>
      </c>
      <c r="BO1668" s="2">
        <v>17.660642335543201</v>
      </c>
      <c r="BP1668" s="2">
        <v>16.327020130999099</v>
      </c>
      <c r="BQ1668" s="2">
        <v>18.231483288632699</v>
      </c>
      <c r="BR1668" s="2">
        <v>18.286643307191301</v>
      </c>
      <c r="BS1668" s="2">
        <v>14.194354425483199</v>
      </c>
      <c r="BT1668" s="2">
        <v>15.6518485757666</v>
      </c>
      <c r="BU1668" s="2">
        <v>18.407413500422599</v>
      </c>
      <c r="BV1668" s="2">
        <v>18.8031628859727</v>
      </c>
      <c r="BW1668" s="2">
        <v>17.519633949492299</v>
      </c>
      <c r="BX1668" s="2">
        <v>16.1231817513656</v>
      </c>
      <c r="BY1668" s="2">
        <v>16.552781803661802</v>
      </c>
      <c r="BZ1668" s="2">
        <v>16.913720512438498</v>
      </c>
      <c r="CA1668" s="2">
        <v>16.2471700406183</v>
      </c>
      <c r="CB1668" s="2">
        <v>18.237393722342599</v>
      </c>
      <c r="CC1668" s="2">
        <v>18.7236975365491</v>
      </c>
      <c r="CD1668" s="2">
        <v>17.321420632063202</v>
      </c>
      <c r="CE1668" s="2">
        <v>17.978643266861901</v>
      </c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</row>
    <row r="1669" spans="1:97">
      <c r="A1669" s="2" t="s">
        <v>14753</v>
      </c>
      <c r="B1669" s="2">
        <v>527.29641000000004</v>
      </c>
      <c r="C1669" s="2">
        <v>7.4960000000000004</v>
      </c>
      <c r="D1669" s="2" t="s">
        <v>146</v>
      </c>
      <c r="E1669" s="2" t="s">
        <v>14754</v>
      </c>
      <c r="F1669" s="2" t="s">
        <v>14755</v>
      </c>
      <c r="G1669" s="2">
        <v>204232</v>
      </c>
      <c r="H1669" s="3" t="str">
        <f>HYPERLINK("https://cloud.oebiotech.com/#/lm/network/204232", "https://cloud.oebiotech.com/#/lm/network/204232")</f>
        <v>https://cloud.oebiotech.com/#/lm/network/204232</v>
      </c>
      <c r="I1669" s="2" t="s">
        <v>14756</v>
      </c>
      <c r="J1669" s="2">
        <v>24066</v>
      </c>
      <c r="K1669" s="2"/>
      <c r="L1669" s="2">
        <v>9549196</v>
      </c>
      <c r="M1669" s="2"/>
      <c r="N1669" s="2"/>
      <c r="O1669" s="2"/>
      <c r="P1669" s="2">
        <v>138435</v>
      </c>
      <c r="Q1669" s="2"/>
      <c r="R1669" s="2"/>
      <c r="S1669" s="2"/>
      <c r="T1669" s="2" t="s">
        <v>14757</v>
      </c>
      <c r="U1669" s="2" t="s">
        <v>14758</v>
      </c>
      <c r="V1669" s="2" t="s">
        <v>553</v>
      </c>
      <c r="W1669" s="2" t="s">
        <v>1599</v>
      </c>
      <c r="X1669" s="2" t="s">
        <v>11153</v>
      </c>
      <c r="Y1669" s="2" t="s">
        <v>556</v>
      </c>
      <c r="Z1669" s="2" t="s">
        <v>1601</v>
      </c>
      <c r="AA1669" s="2" t="s">
        <v>11154</v>
      </c>
      <c r="AB1669" s="2" t="s">
        <v>5118</v>
      </c>
      <c r="AC1669" s="2">
        <v>41.77</v>
      </c>
      <c r="AD1669" s="2">
        <v>55.01</v>
      </c>
      <c r="AE1669" s="2">
        <v>81.180000000000007</v>
      </c>
      <c r="AF1669" s="2" t="s">
        <v>14759</v>
      </c>
      <c r="AG1669" s="2" t="s">
        <v>4062</v>
      </c>
      <c r="AH1669" s="2" t="s">
        <v>14760</v>
      </c>
      <c r="AI1669" s="2">
        <v>-3.22</v>
      </c>
      <c r="AJ1669" s="2">
        <v>17.917083105911601</v>
      </c>
      <c r="AK1669" s="2">
        <v>17.814099813801999</v>
      </c>
      <c r="AL1669" s="2">
        <v>17.867358202079298</v>
      </c>
      <c r="AM1669" s="2">
        <v>17.8511040440921</v>
      </c>
      <c r="AN1669" s="2">
        <v>17.828030217418601</v>
      </c>
      <c r="AO1669" s="2">
        <v>18.087568969661501</v>
      </c>
      <c r="AP1669" s="2">
        <v>17.4831854994795</v>
      </c>
      <c r="AQ1669" s="2">
        <v>17.5546275204705</v>
      </c>
      <c r="AR1669" s="2">
        <v>17.0524271026664</v>
      </c>
      <c r="AS1669" s="2">
        <v>9.6233145402724691</v>
      </c>
      <c r="AT1669" s="2">
        <v>12.864789721238701</v>
      </c>
      <c r="AU1669" s="2">
        <v>16.613601145724001</v>
      </c>
      <c r="AV1669" s="2">
        <v>14.2503309907025</v>
      </c>
      <c r="AW1669" s="2">
        <v>18.958689122730799</v>
      </c>
      <c r="AX1669" s="2">
        <v>14.1763196556418</v>
      </c>
      <c r="AY1669" s="2">
        <v>16.967317235112802</v>
      </c>
      <c r="AZ1669" s="2">
        <v>12.4785471826309</v>
      </c>
      <c r="BA1669" s="2">
        <v>9.6233145402724691</v>
      </c>
      <c r="BB1669" s="2">
        <v>19.582870795112999</v>
      </c>
      <c r="BC1669" s="2">
        <v>13.431573341148001</v>
      </c>
      <c r="BD1669" s="2">
        <v>9.6233145402724691</v>
      </c>
      <c r="BE1669" s="2">
        <v>14.8280605978676</v>
      </c>
      <c r="BF1669" s="2">
        <v>9.6233145402724691</v>
      </c>
      <c r="BG1669" s="2">
        <v>9.6233145402724691</v>
      </c>
      <c r="BH1669" s="2">
        <v>14.859783722976299</v>
      </c>
      <c r="BI1669" s="2">
        <v>9.6233145402724691</v>
      </c>
      <c r="BJ1669" s="2">
        <v>9.6233145402724691</v>
      </c>
      <c r="BK1669" s="2">
        <v>17.052141449413298</v>
      </c>
      <c r="BL1669" s="2">
        <v>9.6233145402724691</v>
      </c>
      <c r="BM1669" s="2">
        <v>17.203058501886201</v>
      </c>
      <c r="BN1669" s="2">
        <v>16.8672019883</v>
      </c>
      <c r="BO1669" s="2">
        <v>9.6233145402724691</v>
      </c>
      <c r="BP1669" s="2">
        <v>9.6233145402724691</v>
      </c>
      <c r="BQ1669" s="2">
        <v>15.8190793662526</v>
      </c>
      <c r="BR1669" s="2">
        <v>15.0070881665472</v>
      </c>
      <c r="BS1669" s="2">
        <v>15.1645652200844</v>
      </c>
      <c r="BT1669" s="2">
        <v>9.6233145402724691</v>
      </c>
      <c r="BU1669" s="2">
        <v>9.6233145402724691</v>
      </c>
      <c r="BV1669" s="2">
        <v>18.875940088970101</v>
      </c>
      <c r="BW1669" s="2">
        <v>9.6233145402724691</v>
      </c>
      <c r="BX1669" s="2">
        <v>9.6233145402724691</v>
      </c>
      <c r="BY1669" s="2">
        <v>9.6233145402724691</v>
      </c>
      <c r="BZ1669" s="2">
        <v>14.8952742161771</v>
      </c>
      <c r="CA1669" s="2">
        <v>14.156907080041201</v>
      </c>
      <c r="CB1669" s="2">
        <v>14.0461869811421</v>
      </c>
      <c r="CC1669" s="2">
        <v>9.6233145402724691</v>
      </c>
      <c r="CD1669" s="2">
        <v>13.0053648968582</v>
      </c>
      <c r="CE1669" s="2">
        <v>9.6233145402724691</v>
      </c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</row>
    <row r="1670" spans="1:97">
      <c r="A1670" s="2" t="s">
        <v>14761</v>
      </c>
      <c r="B1670" s="2">
        <v>242.09737000000001</v>
      </c>
      <c r="C1670" s="2">
        <v>3.6859999999999999</v>
      </c>
      <c r="D1670" s="2" t="s">
        <v>146</v>
      </c>
      <c r="E1670" s="2" t="s">
        <v>14762</v>
      </c>
      <c r="F1670" s="2" t="s">
        <v>14763</v>
      </c>
      <c r="G1670" s="2">
        <v>266954</v>
      </c>
      <c r="H1670" s="3" t="str">
        <f>HYPERLINK("https://cloud.oebiotech.com/#/lm/network/266954", "https://cloud.oebiotech.com/#/lm/network/266954")</f>
        <v>https://cloud.oebiotech.com/#/lm/network/266954</v>
      </c>
      <c r="I1670" s="2"/>
      <c r="J1670" s="2">
        <v>44388</v>
      </c>
      <c r="K1670" s="2"/>
      <c r="L1670" s="2">
        <v>10302</v>
      </c>
      <c r="M1670" s="2"/>
      <c r="N1670" s="2"/>
      <c r="O1670" s="2"/>
      <c r="P1670" s="2"/>
      <c r="Q1670" s="2"/>
      <c r="R1670" s="2"/>
      <c r="S1670" s="2" t="s">
        <v>14764</v>
      </c>
      <c r="T1670" s="2" t="s">
        <v>14765</v>
      </c>
      <c r="U1670" s="2" t="s">
        <v>14766</v>
      </c>
      <c r="V1670" s="2" t="s">
        <v>553</v>
      </c>
      <c r="W1670" s="2" t="s">
        <v>7397</v>
      </c>
      <c r="X1670" s="2" t="s">
        <v>375</v>
      </c>
      <c r="Y1670" s="2" t="s">
        <v>556</v>
      </c>
      <c r="Z1670" s="2" t="s">
        <v>7398</v>
      </c>
      <c r="AA1670" s="2"/>
      <c r="AB1670" s="2" t="s">
        <v>3086</v>
      </c>
      <c r="AC1670" s="2">
        <v>41.74</v>
      </c>
      <c r="AD1670" s="2">
        <v>74.64</v>
      </c>
      <c r="AE1670" s="2">
        <v>0</v>
      </c>
      <c r="AF1670" s="2" t="s">
        <v>14767</v>
      </c>
      <c r="AG1670" s="2" t="s">
        <v>4062</v>
      </c>
      <c r="AH1670" s="2" t="s">
        <v>14768</v>
      </c>
      <c r="AI1670" s="2">
        <v>-8.67</v>
      </c>
      <c r="AJ1670" s="2">
        <v>18.690796582953102</v>
      </c>
      <c r="AK1670" s="2">
        <v>18.500953263461199</v>
      </c>
      <c r="AL1670" s="2">
        <v>18.597461521345199</v>
      </c>
      <c r="AM1670" s="2">
        <v>18.505185890221799</v>
      </c>
      <c r="AN1670" s="2">
        <v>18.4897350103276</v>
      </c>
      <c r="AO1670" s="2">
        <v>18.773268431628502</v>
      </c>
      <c r="AP1670" s="2">
        <v>18.496246494629101</v>
      </c>
      <c r="AQ1670" s="2">
        <v>18.6511342240624</v>
      </c>
      <c r="AR1670" s="2">
        <v>18.262623194044799</v>
      </c>
      <c r="AS1670" s="2">
        <v>18.4217570384832</v>
      </c>
      <c r="AT1670" s="2">
        <v>18.650276422645401</v>
      </c>
      <c r="AU1670" s="2">
        <v>18.356244115619401</v>
      </c>
      <c r="AV1670" s="2">
        <v>18.553554414072799</v>
      </c>
      <c r="AW1670" s="2">
        <v>18.606181400913801</v>
      </c>
      <c r="AX1670" s="2">
        <v>18.479900349438701</v>
      </c>
      <c r="AY1670" s="2">
        <v>18.0940200402408</v>
      </c>
      <c r="AZ1670" s="2">
        <v>18.423188025036801</v>
      </c>
      <c r="BA1670" s="2">
        <v>18.235304950476799</v>
      </c>
      <c r="BB1670" s="2">
        <v>18.583397316143699</v>
      </c>
      <c r="BC1670" s="2">
        <v>18.566376186349402</v>
      </c>
      <c r="BD1670" s="2">
        <v>18.439977911418499</v>
      </c>
      <c r="BE1670" s="2">
        <v>18.786376909296401</v>
      </c>
      <c r="BF1670" s="2">
        <v>18.520719379966899</v>
      </c>
      <c r="BG1670" s="2">
        <v>18.561428845120101</v>
      </c>
      <c r="BH1670" s="2">
        <v>18.540598030866999</v>
      </c>
      <c r="BI1670" s="2">
        <v>18.191660870835701</v>
      </c>
      <c r="BJ1670" s="2">
        <v>18.576360780627201</v>
      </c>
      <c r="BK1670" s="2">
        <v>18.4121578114786</v>
      </c>
      <c r="BL1670" s="2">
        <v>18.5049186240418</v>
      </c>
      <c r="BM1670" s="2">
        <v>18.698742846794399</v>
      </c>
      <c r="BN1670" s="2">
        <v>18.448251882488702</v>
      </c>
      <c r="BO1670" s="2">
        <v>18.536415664483901</v>
      </c>
      <c r="BP1670" s="2">
        <v>18.610015165812701</v>
      </c>
      <c r="BQ1670" s="2">
        <v>18.4970988727638</v>
      </c>
      <c r="BR1670" s="2">
        <v>18.576878004986401</v>
      </c>
      <c r="BS1670" s="2">
        <v>18.537414530868801</v>
      </c>
      <c r="BT1670" s="2">
        <v>18.3404882069478</v>
      </c>
      <c r="BU1670" s="2">
        <v>18.161463676499999</v>
      </c>
      <c r="BV1670" s="2">
        <v>18.594810176359001</v>
      </c>
      <c r="BW1670" s="2">
        <v>18.516218413771401</v>
      </c>
      <c r="BX1670" s="2">
        <v>18.619592584573201</v>
      </c>
      <c r="BY1670" s="2">
        <v>18.6748751986329</v>
      </c>
      <c r="BZ1670" s="2">
        <v>18.5497543658607</v>
      </c>
      <c r="CA1670" s="2">
        <v>18.564036812258401</v>
      </c>
      <c r="CB1670" s="2">
        <v>18.462075011588301</v>
      </c>
      <c r="CC1670" s="2">
        <v>18.276910438087999</v>
      </c>
      <c r="CD1670" s="2">
        <v>18.694068089291999</v>
      </c>
      <c r="CE1670" s="2">
        <v>18.639418014005301</v>
      </c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</row>
    <row r="1671" spans="1:97">
      <c r="A1671" s="2" t="s">
        <v>14769</v>
      </c>
      <c r="B1671" s="2">
        <v>614.26021000000003</v>
      </c>
      <c r="C1671" s="2">
        <v>8.8160000000000007</v>
      </c>
      <c r="D1671" s="2" t="s">
        <v>146</v>
      </c>
      <c r="E1671" s="2" t="s">
        <v>14770</v>
      </c>
      <c r="F1671" s="2" t="s">
        <v>14771</v>
      </c>
      <c r="G1671" s="2">
        <v>208869</v>
      </c>
      <c r="H1671" s="3" t="str">
        <f>HYPERLINK("https://cloud.oebiotech.com/#/lm/network/208869", "https://cloud.oebiotech.com/#/lm/network/208869")</f>
        <v>https://cloud.oebiotech.com/#/lm/network/208869</v>
      </c>
      <c r="I1671" s="2" t="s">
        <v>14772</v>
      </c>
      <c r="J1671" s="2"/>
      <c r="K1671" s="2"/>
      <c r="L1671" s="2">
        <v>129318011</v>
      </c>
      <c r="M1671" s="2"/>
      <c r="N1671" s="2"/>
      <c r="O1671" s="2"/>
      <c r="P1671" s="2"/>
      <c r="Q1671" s="2"/>
      <c r="R1671" s="2"/>
      <c r="S1671" s="2"/>
      <c r="T1671" s="2" t="s">
        <v>14773</v>
      </c>
      <c r="U1671" s="2" t="s">
        <v>14774</v>
      </c>
      <c r="V1671" s="2" t="s">
        <v>115</v>
      </c>
      <c r="W1671" s="2" t="s">
        <v>116</v>
      </c>
      <c r="X1671" s="2" t="s">
        <v>117</v>
      </c>
      <c r="Y1671" s="2" t="s">
        <v>118</v>
      </c>
      <c r="Z1671" s="2" t="s">
        <v>119</v>
      </c>
      <c r="AA1671" s="2" t="s">
        <v>120</v>
      </c>
      <c r="AB1671" s="2" t="s">
        <v>8443</v>
      </c>
      <c r="AC1671" s="2">
        <v>41.74</v>
      </c>
      <c r="AD1671" s="2">
        <v>75.52</v>
      </c>
      <c r="AE1671" s="2">
        <v>0</v>
      </c>
      <c r="AF1671" s="2" t="s">
        <v>5614</v>
      </c>
      <c r="AG1671" s="2" t="s">
        <v>157</v>
      </c>
      <c r="AH1671" s="2" t="s">
        <v>14775</v>
      </c>
      <c r="AI1671" s="2">
        <v>2.93</v>
      </c>
      <c r="AJ1671" s="2">
        <v>18.0364103926204</v>
      </c>
      <c r="AK1671" s="2">
        <v>17.457677535444901</v>
      </c>
      <c r="AL1671" s="2">
        <v>18.029484591751501</v>
      </c>
      <c r="AM1671" s="2">
        <v>18.277506083800901</v>
      </c>
      <c r="AN1671" s="2">
        <v>17.901616385962601</v>
      </c>
      <c r="AO1671" s="2">
        <v>17.900276430538501</v>
      </c>
      <c r="AP1671" s="2">
        <v>17.984571105093298</v>
      </c>
      <c r="AQ1671" s="2">
        <v>17.893120009233801</v>
      </c>
      <c r="AR1671" s="2">
        <v>17.883700755708499</v>
      </c>
      <c r="AS1671" s="2">
        <v>17.588199148893199</v>
      </c>
      <c r="AT1671" s="2">
        <v>17.528152194994199</v>
      </c>
      <c r="AU1671" s="2">
        <v>18.040189476868701</v>
      </c>
      <c r="AV1671" s="2">
        <v>18.041674764209599</v>
      </c>
      <c r="AW1671" s="2">
        <v>16.891594455724999</v>
      </c>
      <c r="AX1671" s="2">
        <v>17.802551831274901</v>
      </c>
      <c r="AY1671" s="2">
        <v>17.802857674893399</v>
      </c>
      <c r="AZ1671" s="2">
        <v>17.5128563316933</v>
      </c>
      <c r="BA1671" s="2">
        <v>18.0709264689281</v>
      </c>
      <c r="BB1671" s="2">
        <v>17.649503754542501</v>
      </c>
      <c r="BC1671" s="2">
        <v>17.4305457390454</v>
      </c>
      <c r="BD1671" s="2">
        <v>17.8515702670162</v>
      </c>
      <c r="BE1671" s="2">
        <v>17.915290737010402</v>
      </c>
      <c r="BF1671" s="2">
        <v>16.882582036322699</v>
      </c>
      <c r="BG1671" s="2">
        <v>17.970620693806801</v>
      </c>
      <c r="BH1671" s="2">
        <v>17.8009926430645</v>
      </c>
      <c r="BI1671" s="2">
        <v>18.0426055456157</v>
      </c>
      <c r="BJ1671" s="2">
        <v>17.9919868405476</v>
      </c>
      <c r="BK1671" s="2">
        <v>17.822329457080201</v>
      </c>
      <c r="BL1671" s="2">
        <v>17.910789451652001</v>
      </c>
      <c r="BM1671" s="2">
        <v>18.085856962019498</v>
      </c>
      <c r="BN1671" s="2">
        <v>17.631500511512002</v>
      </c>
      <c r="BO1671" s="2">
        <v>17.9306776320709</v>
      </c>
      <c r="BP1671" s="2">
        <v>17.852468611504801</v>
      </c>
      <c r="BQ1671" s="2">
        <v>17.6253413456018</v>
      </c>
      <c r="BR1671" s="2">
        <v>17.831205169714998</v>
      </c>
      <c r="BS1671" s="2">
        <v>17.652740939513599</v>
      </c>
      <c r="BT1671" s="2">
        <v>18.146141087892001</v>
      </c>
      <c r="BU1671" s="2">
        <v>18.146169932551601</v>
      </c>
      <c r="BV1671" s="2">
        <v>17.840012776227201</v>
      </c>
      <c r="BW1671" s="2">
        <v>18.022595437869001</v>
      </c>
      <c r="BX1671" s="2">
        <v>18.1575391325391</v>
      </c>
      <c r="BY1671" s="2">
        <v>17.6990371991646</v>
      </c>
      <c r="BZ1671" s="2">
        <v>18.092149180943899</v>
      </c>
      <c r="CA1671" s="2">
        <v>17.1665493269747</v>
      </c>
      <c r="CB1671" s="2">
        <v>18.006211007258699</v>
      </c>
      <c r="CC1671" s="2">
        <v>18.066987966327702</v>
      </c>
      <c r="CD1671" s="2">
        <v>17.604359284403301</v>
      </c>
      <c r="CE1671" s="2">
        <v>17.6513798322136</v>
      </c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</row>
    <row r="1672" spans="1:97">
      <c r="A1672" s="2" t="s">
        <v>14776</v>
      </c>
      <c r="B1672" s="2">
        <v>295.04289</v>
      </c>
      <c r="C1672" s="2">
        <v>4.7770000000000001</v>
      </c>
      <c r="D1672" s="2" t="s">
        <v>146</v>
      </c>
      <c r="E1672" s="2" t="s">
        <v>14777</v>
      </c>
      <c r="F1672" s="2" t="s">
        <v>14778</v>
      </c>
      <c r="G1672" s="2">
        <v>208958</v>
      </c>
      <c r="H1672" s="3" t="str">
        <f>HYPERLINK("https://cloud.oebiotech.com/#/lm/network/208958", "https://cloud.oebiotech.com/#/lm/network/208958")</f>
        <v>https://cloud.oebiotech.com/#/lm/network/208958</v>
      </c>
      <c r="I1672" s="2" t="s">
        <v>14779</v>
      </c>
      <c r="J1672" s="2"/>
      <c r="K1672" s="2"/>
      <c r="L1672" s="2">
        <v>65819</v>
      </c>
      <c r="M1672" s="2"/>
      <c r="N1672" s="2"/>
      <c r="O1672" s="2"/>
      <c r="P1672" s="2"/>
      <c r="Q1672" s="2"/>
      <c r="R1672" s="2"/>
      <c r="S1672" s="2"/>
      <c r="T1672" s="2" t="s">
        <v>14780</v>
      </c>
      <c r="U1672" s="2" t="s">
        <v>14781</v>
      </c>
      <c r="V1672" s="2" t="s">
        <v>553</v>
      </c>
      <c r="W1672" s="2" t="s">
        <v>6104</v>
      </c>
      <c r="X1672" s="2" t="s">
        <v>14782</v>
      </c>
      <c r="Y1672" s="2" t="s">
        <v>556</v>
      </c>
      <c r="Z1672" s="2" t="s">
        <v>6106</v>
      </c>
      <c r="AA1672" s="2" t="s">
        <v>14783</v>
      </c>
      <c r="AB1672" s="2" t="s">
        <v>8443</v>
      </c>
      <c r="AC1672" s="2">
        <v>41.73</v>
      </c>
      <c r="AD1672" s="2">
        <v>71.53</v>
      </c>
      <c r="AE1672" s="2">
        <v>0</v>
      </c>
      <c r="AF1672" s="2" t="s">
        <v>5614</v>
      </c>
      <c r="AG1672" s="2" t="s">
        <v>4062</v>
      </c>
      <c r="AH1672" s="2" t="s">
        <v>14784</v>
      </c>
      <c r="AI1672" s="2">
        <v>-1.02</v>
      </c>
      <c r="AJ1672" s="2">
        <v>16.718995149371899</v>
      </c>
      <c r="AK1672" s="2">
        <v>16.423140372972401</v>
      </c>
      <c r="AL1672" s="2">
        <v>16.308016151174101</v>
      </c>
      <c r="AM1672" s="2">
        <v>16.877809541041501</v>
      </c>
      <c r="AN1672" s="2">
        <v>16.793673537355101</v>
      </c>
      <c r="AO1672" s="2">
        <v>16.715422326104701</v>
      </c>
      <c r="AP1672" s="2">
        <v>16.465028578002201</v>
      </c>
      <c r="AQ1672" s="2">
        <v>16.153648411347099</v>
      </c>
      <c r="AR1672" s="2">
        <v>13.7720990609248</v>
      </c>
      <c r="AS1672" s="2">
        <v>15.4583216973167</v>
      </c>
      <c r="AT1672" s="2">
        <v>16.398879773073201</v>
      </c>
      <c r="AU1672" s="2">
        <v>15.7181502114687</v>
      </c>
      <c r="AV1672" s="2">
        <v>15.1380633656073</v>
      </c>
      <c r="AW1672" s="2">
        <v>12.5276553770421</v>
      </c>
      <c r="AX1672" s="2">
        <v>18.337809203618601</v>
      </c>
      <c r="AY1672" s="2">
        <v>16.199374052749501</v>
      </c>
      <c r="AZ1672" s="2">
        <v>15.0716747790702</v>
      </c>
      <c r="BA1672" s="2">
        <v>18.230377667963701</v>
      </c>
      <c r="BB1672" s="2">
        <v>15.807249503651599</v>
      </c>
      <c r="BC1672" s="2">
        <v>13.780429039044</v>
      </c>
      <c r="BD1672" s="2">
        <v>15.437753697564901</v>
      </c>
      <c r="BE1672" s="2">
        <v>15.4799589481211</v>
      </c>
      <c r="BF1672" s="2">
        <v>17.5448321012151</v>
      </c>
      <c r="BG1672" s="2">
        <v>16.652762642946701</v>
      </c>
      <c r="BH1672" s="2">
        <v>9.6233145402724691</v>
      </c>
      <c r="BI1672" s="2">
        <v>18.918872173749701</v>
      </c>
      <c r="BJ1672" s="2">
        <v>13.4409820359192</v>
      </c>
      <c r="BK1672" s="2">
        <v>9.6233145402724691</v>
      </c>
      <c r="BL1672" s="2">
        <v>12.1381373813289</v>
      </c>
      <c r="BM1672" s="2">
        <v>16.3127516308836</v>
      </c>
      <c r="BN1672" s="2">
        <v>15.356084990959699</v>
      </c>
      <c r="BO1672" s="2">
        <v>18.298526361084701</v>
      </c>
      <c r="BP1672" s="2">
        <v>9.6233145402724691</v>
      </c>
      <c r="BQ1672" s="2">
        <v>16.558266288561001</v>
      </c>
      <c r="BR1672" s="2">
        <v>18.519170632467901</v>
      </c>
      <c r="BS1672" s="2">
        <v>17.281579721684</v>
      </c>
      <c r="BT1672" s="2">
        <v>9.6233145402724691</v>
      </c>
      <c r="BU1672" s="2">
        <v>17.8035585296488</v>
      </c>
      <c r="BV1672" s="2">
        <v>17.645306538397001</v>
      </c>
      <c r="BW1672" s="2">
        <v>15.387643778162101</v>
      </c>
      <c r="BX1672" s="2">
        <v>15.092691494820301</v>
      </c>
      <c r="BY1672" s="2">
        <v>15.7344526913769</v>
      </c>
      <c r="BZ1672" s="2">
        <v>16.073543282778999</v>
      </c>
      <c r="CA1672" s="2">
        <v>17.216283860404101</v>
      </c>
      <c r="CB1672" s="2">
        <v>9.6233145402724691</v>
      </c>
      <c r="CC1672" s="2">
        <v>17.3926642343901</v>
      </c>
      <c r="CD1672" s="2">
        <v>9.6233145402724691</v>
      </c>
      <c r="CE1672" s="2">
        <v>9.6233145402724691</v>
      </c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</row>
    <row r="1673" spans="1:97">
      <c r="A1673" s="2" t="s">
        <v>14785</v>
      </c>
      <c r="B1673" s="2">
        <v>480.15651000000003</v>
      </c>
      <c r="C1673" s="2">
        <v>12.339</v>
      </c>
      <c r="D1673" s="2" t="s">
        <v>84</v>
      </c>
      <c r="E1673" s="2" t="s">
        <v>14786</v>
      </c>
      <c r="F1673" s="2" t="s">
        <v>14787</v>
      </c>
      <c r="G1673" s="2">
        <v>203878</v>
      </c>
      <c r="H1673" s="3" t="str">
        <f>HYPERLINK("https://cloud.oebiotech.com/#/lm/network/203878", "https://cloud.oebiotech.com/#/lm/network/203878")</f>
        <v>https://cloud.oebiotech.com/#/lm/network/203878</v>
      </c>
      <c r="I1673" s="2" t="s">
        <v>14788</v>
      </c>
      <c r="J1673" s="2"/>
      <c r="K1673" s="2"/>
      <c r="L1673" s="2">
        <v>23447001</v>
      </c>
      <c r="M1673" s="2"/>
      <c r="N1673" s="2"/>
      <c r="O1673" s="2"/>
      <c r="P1673" s="2"/>
      <c r="Q1673" s="2"/>
      <c r="R1673" s="2"/>
      <c r="S1673" s="2"/>
      <c r="T1673" s="2" t="s">
        <v>14789</v>
      </c>
      <c r="U1673" s="2" t="s">
        <v>14790</v>
      </c>
      <c r="V1673" s="2" t="s">
        <v>115</v>
      </c>
      <c r="W1673" s="2" t="s">
        <v>116</v>
      </c>
      <c r="X1673" s="2" t="s">
        <v>117</v>
      </c>
      <c r="Y1673" s="2" t="s">
        <v>118</v>
      </c>
      <c r="Z1673" s="2" t="s">
        <v>119</v>
      </c>
      <c r="AA1673" s="2" t="s">
        <v>120</v>
      </c>
      <c r="AB1673" s="2" t="s">
        <v>8443</v>
      </c>
      <c r="AC1673" s="2">
        <v>41.73</v>
      </c>
      <c r="AD1673" s="2">
        <v>74.69</v>
      </c>
      <c r="AE1673" s="2">
        <v>42.43</v>
      </c>
      <c r="AF1673" s="2" t="s">
        <v>14791</v>
      </c>
      <c r="AG1673" s="2" t="s">
        <v>3544</v>
      </c>
      <c r="AH1673" s="2" t="s">
        <v>14792</v>
      </c>
      <c r="AI1673" s="2">
        <v>0</v>
      </c>
      <c r="AJ1673" s="2">
        <v>19.065344262159901</v>
      </c>
      <c r="AK1673" s="2">
        <v>20.257059779940398</v>
      </c>
      <c r="AL1673" s="2">
        <v>19.968074997689101</v>
      </c>
      <c r="AM1673" s="2">
        <v>19.980323808566801</v>
      </c>
      <c r="AN1673" s="2">
        <v>20.244610443867</v>
      </c>
      <c r="AO1673" s="2">
        <v>20.357131598308001</v>
      </c>
      <c r="AP1673" s="2">
        <v>20.137359651525401</v>
      </c>
      <c r="AQ1673" s="2">
        <v>19.984671353879399</v>
      </c>
      <c r="AR1673" s="2">
        <v>19.5209097306033</v>
      </c>
      <c r="AS1673" s="2">
        <v>18.516587853404701</v>
      </c>
      <c r="AT1673" s="2">
        <v>15.2553779117779</v>
      </c>
      <c r="AU1673" s="2">
        <v>18.3085699438425</v>
      </c>
      <c r="AV1673" s="2">
        <v>18.459456754151802</v>
      </c>
      <c r="AW1673" s="2">
        <v>17.6683549811811</v>
      </c>
      <c r="AX1673" s="2">
        <v>18.709467509300001</v>
      </c>
      <c r="AY1673" s="2">
        <v>18.082312639135399</v>
      </c>
      <c r="AZ1673" s="2">
        <v>9.6233145402724691</v>
      </c>
      <c r="BA1673" s="2">
        <v>19.884163586498399</v>
      </c>
      <c r="BB1673" s="2">
        <v>17.584708806299801</v>
      </c>
      <c r="BC1673" s="2">
        <v>19.759535220825999</v>
      </c>
      <c r="BD1673" s="2">
        <v>17.595834178985299</v>
      </c>
      <c r="BE1673" s="2">
        <v>16.824667428286499</v>
      </c>
      <c r="BF1673" s="2">
        <v>15.311449259641201</v>
      </c>
      <c r="BG1673" s="2">
        <v>16.953020437526899</v>
      </c>
      <c r="BH1673" s="2">
        <v>17.512163139683299</v>
      </c>
      <c r="BI1673" s="2">
        <v>19.1799736785158</v>
      </c>
      <c r="BJ1673" s="2">
        <v>18.853583903350199</v>
      </c>
      <c r="BK1673" s="2">
        <v>18.259544489631502</v>
      </c>
      <c r="BL1673" s="2">
        <v>19.2882648710303</v>
      </c>
      <c r="BM1673" s="2">
        <v>15.306520293270999</v>
      </c>
      <c r="BN1673" s="2">
        <v>18.388483907253899</v>
      </c>
      <c r="BO1673" s="2">
        <v>18.391967759662201</v>
      </c>
      <c r="BP1673" s="2">
        <v>18.066794247637201</v>
      </c>
      <c r="BQ1673" s="2">
        <v>17.085697862672198</v>
      </c>
      <c r="BR1673" s="2">
        <v>18.509660472565599</v>
      </c>
      <c r="BS1673" s="2">
        <v>16.184036935661499</v>
      </c>
      <c r="BT1673" s="2">
        <v>19.5672608595426</v>
      </c>
      <c r="BU1673" s="2">
        <v>18.788027472718198</v>
      </c>
      <c r="BV1673" s="2">
        <v>17.999578044219302</v>
      </c>
      <c r="BW1673" s="2">
        <v>9.6233145402724691</v>
      </c>
      <c r="BX1673" s="2">
        <v>19.173371346036099</v>
      </c>
      <c r="BY1673" s="2">
        <v>17.927691227896901</v>
      </c>
      <c r="BZ1673" s="2">
        <v>19.270961146135999</v>
      </c>
      <c r="CA1673" s="2">
        <v>9.6233145402724691</v>
      </c>
      <c r="CB1673" s="2">
        <v>18.339066077654799</v>
      </c>
      <c r="CC1673" s="2">
        <v>17.6205951443476</v>
      </c>
      <c r="CD1673" s="2">
        <v>16.499748896705999</v>
      </c>
      <c r="CE1673" s="2">
        <v>18.257724737915101</v>
      </c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</row>
    <row r="1674" spans="1:97">
      <c r="A1674" s="2" t="s">
        <v>14793</v>
      </c>
      <c r="B1674" s="2">
        <v>630.30196000000001</v>
      </c>
      <c r="C1674" s="2">
        <v>9.9459999999999997</v>
      </c>
      <c r="D1674" s="2" t="s">
        <v>146</v>
      </c>
      <c r="E1674" s="2" t="s">
        <v>14794</v>
      </c>
      <c r="F1674" s="2" t="s">
        <v>14795</v>
      </c>
      <c r="G1674" s="2">
        <v>203199</v>
      </c>
      <c r="H1674" s="3" t="str">
        <f>HYPERLINK("https://cloud.oebiotech.com/#/lm/network/203199", "https://cloud.oebiotech.com/#/lm/network/203199")</f>
        <v>https://cloud.oebiotech.com/#/lm/network/203199</v>
      </c>
      <c r="I1674" s="2" t="s">
        <v>14796</v>
      </c>
      <c r="J1674" s="2"/>
      <c r="K1674" s="2"/>
      <c r="L1674" s="2">
        <v>126322</v>
      </c>
      <c r="M1674" s="2"/>
      <c r="N1674" s="2"/>
      <c r="O1674" s="2"/>
      <c r="P1674" s="2"/>
      <c r="Q1674" s="2"/>
      <c r="R1674" s="2"/>
      <c r="S1674" s="2"/>
      <c r="T1674" s="2" t="s">
        <v>14797</v>
      </c>
      <c r="U1674" s="2" t="s">
        <v>14798</v>
      </c>
      <c r="V1674" s="2" t="s">
        <v>553</v>
      </c>
      <c r="W1674" s="2" t="s">
        <v>2193</v>
      </c>
      <c r="X1674" s="2" t="s">
        <v>4866</v>
      </c>
      <c r="Y1674" s="2" t="s">
        <v>556</v>
      </c>
      <c r="Z1674" s="2" t="s">
        <v>2194</v>
      </c>
      <c r="AA1674" s="2" t="s">
        <v>4867</v>
      </c>
      <c r="AB1674" s="2" t="s">
        <v>5118</v>
      </c>
      <c r="AC1674" s="2">
        <v>41.73</v>
      </c>
      <c r="AD1674" s="2">
        <v>84.54</v>
      </c>
      <c r="AE1674" s="2">
        <v>80.69</v>
      </c>
      <c r="AF1674" s="2" t="s">
        <v>14799</v>
      </c>
      <c r="AG1674" s="2" t="s">
        <v>157</v>
      </c>
      <c r="AH1674" s="2" t="s">
        <v>14800</v>
      </c>
      <c r="AI1674" s="2">
        <v>8.41</v>
      </c>
      <c r="AJ1674" s="2">
        <v>19.177857538858799</v>
      </c>
      <c r="AK1674" s="2">
        <v>18.695619088566001</v>
      </c>
      <c r="AL1674" s="2">
        <v>18.973823466581202</v>
      </c>
      <c r="AM1674" s="2">
        <v>19.214028871426699</v>
      </c>
      <c r="AN1674" s="2">
        <v>19.308788824442502</v>
      </c>
      <c r="AO1674" s="2">
        <v>19.142461652978799</v>
      </c>
      <c r="AP1674" s="2">
        <v>18.638083880380002</v>
      </c>
      <c r="AQ1674" s="2">
        <v>18.990911662900299</v>
      </c>
      <c r="AR1674" s="2">
        <v>19.6613031568378</v>
      </c>
      <c r="AS1674" s="2">
        <v>17.532743472712401</v>
      </c>
      <c r="AT1674" s="2">
        <v>17.204367295684001</v>
      </c>
      <c r="AU1674" s="2">
        <v>19.493767396321701</v>
      </c>
      <c r="AV1674" s="2">
        <v>19.133713254815</v>
      </c>
      <c r="AW1674" s="2">
        <v>19.541482313753999</v>
      </c>
      <c r="AX1674" s="2">
        <v>17.9735321862922</v>
      </c>
      <c r="AY1674" s="2">
        <v>18.8409592385248</v>
      </c>
      <c r="AZ1674" s="2">
        <v>19.223989116717998</v>
      </c>
      <c r="BA1674" s="2">
        <v>17.665705371702899</v>
      </c>
      <c r="BB1674" s="2">
        <v>18.2026130462657</v>
      </c>
      <c r="BC1674" s="2">
        <v>19.9235082056408</v>
      </c>
      <c r="BD1674" s="2">
        <v>18.6644724931569</v>
      </c>
      <c r="BE1674" s="2">
        <v>18.547415689683699</v>
      </c>
      <c r="BF1674" s="2">
        <v>18.838216310064201</v>
      </c>
      <c r="BG1674" s="2">
        <v>19.641642918213599</v>
      </c>
      <c r="BH1674" s="2">
        <v>18.6115788391023</v>
      </c>
      <c r="BI1674" s="2">
        <v>18.940934346711</v>
      </c>
      <c r="BJ1674" s="2">
        <v>18.184369993543399</v>
      </c>
      <c r="BK1674" s="2">
        <v>17.4473904024189</v>
      </c>
      <c r="BL1674" s="2">
        <v>19.014699162804899</v>
      </c>
      <c r="BM1674" s="2">
        <v>18.980183377856299</v>
      </c>
      <c r="BN1674" s="2">
        <v>17.903120260281899</v>
      </c>
      <c r="BO1674" s="2">
        <v>18.577107810674899</v>
      </c>
      <c r="BP1674" s="2">
        <v>18.1911326818134</v>
      </c>
      <c r="BQ1674" s="2">
        <v>18.526348046249499</v>
      </c>
      <c r="BR1674" s="2">
        <v>18.616821118158899</v>
      </c>
      <c r="BS1674" s="2">
        <v>20.111766764763399</v>
      </c>
      <c r="BT1674" s="2">
        <v>18.9384822224124</v>
      </c>
      <c r="BU1674" s="2">
        <v>17.887251202906899</v>
      </c>
      <c r="BV1674" s="2">
        <v>17.966321419495301</v>
      </c>
      <c r="BW1674" s="2">
        <v>17.307646511846499</v>
      </c>
      <c r="BX1674" s="2">
        <v>18.8005290572967</v>
      </c>
      <c r="BY1674" s="2">
        <v>19.2639819024837</v>
      </c>
      <c r="BZ1674" s="2">
        <v>18.716329961362799</v>
      </c>
      <c r="CA1674" s="2">
        <v>19.255155225276098</v>
      </c>
      <c r="CB1674" s="2">
        <v>18.919633259313802</v>
      </c>
      <c r="CC1674" s="2">
        <v>19.032138438337</v>
      </c>
      <c r="CD1674" s="2">
        <v>18.2189407647674</v>
      </c>
      <c r="CE1674" s="2">
        <v>17.986799103317299</v>
      </c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</row>
    <row r="1675" spans="1:97">
      <c r="A1675" s="2" t="s">
        <v>14801</v>
      </c>
      <c r="B1675" s="2">
        <v>607.25243999999998</v>
      </c>
      <c r="C1675" s="2">
        <v>5.0650000000000004</v>
      </c>
      <c r="D1675" s="2" t="s">
        <v>84</v>
      </c>
      <c r="E1675" s="2" t="s">
        <v>14802</v>
      </c>
      <c r="F1675" s="2" t="s">
        <v>14803</v>
      </c>
      <c r="G1675" s="2">
        <v>58188</v>
      </c>
      <c r="H1675" s="3" t="str">
        <f>HYPERLINK("https://cloud.oebiotech.com/#/lm/network/58188", "https://cloud.oebiotech.com/#/lm/network/58188")</f>
        <v>https://cloud.oebiotech.com/#/lm/network/58188</v>
      </c>
      <c r="I1675" s="2" t="s">
        <v>14804</v>
      </c>
      <c r="J1675" s="2">
        <v>89704</v>
      </c>
      <c r="K1675" s="2"/>
      <c r="L1675" s="2">
        <v>3729509</v>
      </c>
      <c r="M1675" s="2"/>
      <c r="N1675" s="2"/>
      <c r="O1675" s="2"/>
      <c r="P1675" s="2"/>
      <c r="Q1675" s="2"/>
      <c r="R1675" s="2"/>
      <c r="S1675" s="2" t="s">
        <v>14805</v>
      </c>
      <c r="T1675" s="2" t="s">
        <v>14806</v>
      </c>
      <c r="U1675" s="2" t="s">
        <v>14807</v>
      </c>
      <c r="V1675" s="2" t="s">
        <v>95</v>
      </c>
      <c r="W1675" s="2" t="s">
        <v>152</v>
      </c>
      <c r="X1675" s="2" t="s">
        <v>9622</v>
      </c>
      <c r="Y1675" s="2" t="s">
        <v>98</v>
      </c>
      <c r="Z1675" s="2" t="s">
        <v>154</v>
      </c>
      <c r="AA1675" s="2" t="s">
        <v>9623</v>
      </c>
      <c r="AB1675" s="2" t="s">
        <v>8443</v>
      </c>
      <c r="AC1675" s="2">
        <v>41.72</v>
      </c>
      <c r="AD1675" s="2">
        <v>75.16</v>
      </c>
      <c r="AE1675" s="2">
        <v>0</v>
      </c>
      <c r="AF1675" s="2" t="s">
        <v>14808</v>
      </c>
      <c r="AG1675" s="2" t="s">
        <v>3544</v>
      </c>
      <c r="AH1675" s="2" t="s">
        <v>14809</v>
      </c>
      <c r="AI1675" s="2">
        <v>-1.48</v>
      </c>
      <c r="AJ1675" s="2">
        <v>18.015031840075601</v>
      </c>
      <c r="AK1675" s="2">
        <v>18.1694570104364</v>
      </c>
      <c r="AL1675" s="2">
        <v>18.029774172999701</v>
      </c>
      <c r="AM1675" s="2">
        <v>18.3526141956911</v>
      </c>
      <c r="AN1675" s="2">
        <v>18.098310181778</v>
      </c>
      <c r="AO1675" s="2">
        <v>18.102460173159699</v>
      </c>
      <c r="AP1675" s="2">
        <v>17.850115399612999</v>
      </c>
      <c r="AQ1675" s="2">
        <v>18.095899187609799</v>
      </c>
      <c r="AR1675" s="2">
        <v>17.232137108523698</v>
      </c>
      <c r="AS1675" s="2">
        <v>17.4415680469764</v>
      </c>
      <c r="AT1675" s="2">
        <v>19.056892005801402</v>
      </c>
      <c r="AU1675" s="2">
        <v>16.6941016979514</v>
      </c>
      <c r="AV1675" s="2">
        <v>17.757461762074598</v>
      </c>
      <c r="AW1675" s="2">
        <v>18.195074899690699</v>
      </c>
      <c r="AX1675" s="2">
        <v>18.2752213930263</v>
      </c>
      <c r="AY1675" s="2">
        <v>18.370083674643901</v>
      </c>
      <c r="AZ1675" s="2">
        <v>16.0928205134087</v>
      </c>
      <c r="BA1675" s="2">
        <v>17.522773455896701</v>
      </c>
      <c r="BB1675" s="2">
        <v>17.950516029197502</v>
      </c>
      <c r="BC1675" s="2">
        <v>18.8024288634881</v>
      </c>
      <c r="BD1675" s="2">
        <v>16.856954818506701</v>
      </c>
      <c r="BE1675" s="2">
        <v>19.2257457718332</v>
      </c>
      <c r="BF1675" s="2">
        <v>16.427575565938799</v>
      </c>
      <c r="BG1675" s="2">
        <v>18.637265484037201</v>
      </c>
      <c r="BH1675" s="2">
        <v>17.987802423723402</v>
      </c>
      <c r="BI1675" s="2">
        <v>18.3611507278729</v>
      </c>
      <c r="BJ1675" s="2">
        <v>18.3925989201033</v>
      </c>
      <c r="BK1675" s="2">
        <v>17.212691489969401</v>
      </c>
      <c r="BL1675" s="2">
        <v>18.030162436594999</v>
      </c>
      <c r="BM1675" s="2">
        <v>16.145750683355601</v>
      </c>
      <c r="BN1675" s="2">
        <v>18.048652896977501</v>
      </c>
      <c r="BO1675" s="2">
        <v>18.274004435473302</v>
      </c>
      <c r="BP1675" s="2">
        <v>18.323231206232101</v>
      </c>
      <c r="BQ1675" s="2">
        <v>18.136582253185601</v>
      </c>
      <c r="BR1675" s="2">
        <v>18.475321551256201</v>
      </c>
      <c r="BS1675" s="2">
        <v>17.369979983204601</v>
      </c>
      <c r="BT1675" s="2">
        <v>17.302709600406001</v>
      </c>
      <c r="BU1675" s="2">
        <v>17.564196911016399</v>
      </c>
      <c r="BV1675" s="2">
        <v>18.362777898952299</v>
      </c>
      <c r="BW1675" s="2">
        <v>17.778508266404</v>
      </c>
      <c r="BX1675" s="2">
        <v>16.913087969053802</v>
      </c>
      <c r="BY1675" s="2">
        <v>18.580459717145899</v>
      </c>
      <c r="BZ1675" s="2">
        <v>16.336264556152098</v>
      </c>
      <c r="CA1675" s="2">
        <v>17.5233622485433</v>
      </c>
      <c r="CB1675" s="2">
        <v>18.219427012944099</v>
      </c>
      <c r="CC1675" s="2">
        <v>17.043367405007299</v>
      </c>
      <c r="CD1675" s="2">
        <v>18.552504862441499</v>
      </c>
      <c r="CE1675" s="2">
        <v>17.071014802928101</v>
      </c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</row>
    <row r="1676" spans="1:97">
      <c r="A1676" s="2" t="s">
        <v>14810</v>
      </c>
      <c r="B1676" s="2">
        <v>835.60239999999999</v>
      </c>
      <c r="C1676" s="2">
        <v>12.214</v>
      </c>
      <c r="D1676" s="2" t="s">
        <v>84</v>
      </c>
      <c r="E1676" s="2" t="s">
        <v>14811</v>
      </c>
      <c r="F1676" s="2" t="s">
        <v>14812</v>
      </c>
      <c r="G1676" s="2">
        <v>50334</v>
      </c>
      <c r="H1676" s="3" t="str">
        <f>HYPERLINK("https://cloud.oebiotech.com/#/lm/network/50334", "https://cloud.oebiotech.com/#/lm/network/50334")</f>
        <v>https://cloud.oebiotech.com/#/lm/network/50334</v>
      </c>
      <c r="I1676" s="2" t="s">
        <v>14813</v>
      </c>
      <c r="J1676" s="2">
        <v>61049</v>
      </c>
      <c r="K1676" s="2"/>
      <c r="L1676" s="2">
        <v>53479956</v>
      </c>
      <c r="M1676" s="2" t="s">
        <v>13837</v>
      </c>
      <c r="N1676" s="2" t="s">
        <v>13838</v>
      </c>
      <c r="O1676" s="2" t="s">
        <v>13839</v>
      </c>
      <c r="P1676" s="2"/>
      <c r="Q1676" s="2"/>
      <c r="R1676" s="2"/>
      <c r="S1676" s="2"/>
      <c r="T1676" s="2" t="s">
        <v>14814</v>
      </c>
      <c r="U1676" s="2" t="s">
        <v>14815</v>
      </c>
      <c r="V1676" s="2" t="s">
        <v>95</v>
      </c>
      <c r="W1676" s="2" t="s">
        <v>202</v>
      </c>
      <c r="X1676" s="2" t="s">
        <v>327</v>
      </c>
      <c r="Y1676" s="2" t="s">
        <v>98</v>
      </c>
      <c r="Z1676" s="2" t="s">
        <v>204</v>
      </c>
      <c r="AA1676" s="2" t="s">
        <v>328</v>
      </c>
      <c r="AB1676" s="2" t="s">
        <v>3086</v>
      </c>
      <c r="AC1676" s="2">
        <v>41.7</v>
      </c>
      <c r="AD1676" s="2">
        <v>64.239999999999995</v>
      </c>
      <c r="AE1676" s="2">
        <v>0</v>
      </c>
      <c r="AF1676" s="2" t="s">
        <v>5614</v>
      </c>
      <c r="AG1676" s="2" t="s">
        <v>132</v>
      </c>
      <c r="AH1676" s="2" t="s">
        <v>14816</v>
      </c>
      <c r="AI1676" s="2">
        <v>-7.66</v>
      </c>
      <c r="AJ1676" s="2">
        <v>23.821703062290101</v>
      </c>
      <c r="AK1676" s="2">
        <v>24.065566960318499</v>
      </c>
      <c r="AL1676" s="2">
        <v>23.8584374213332</v>
      </c>
      <c r="AM1676" s="2">
        <v>24.4952899072671</v>
      </c>
      <c r="AN1676" s="2">
        <v>23.705425968236501</v>
      </c>
      <c r="AO1676" s="2">
        <v>23.4231228108812</v>
      </c>
      <c r="AP1676" s="2">
        <v>23.931293114512499</v>
      </c>
      <c r="AQ1676" s="2">
        <v>24.277428238160802</v>
      </c>
      <c r="AR1676" s="2">
        <v>22.910075146831598</v>
      </c>
      <c r="AS1676" s="2">
        <v>21.753994383573101</v>
      </c>
      <c r="AT1676" s="2">
        <v>24.269249400927698</v>
      </c>
      <c r="AU1676" s="2">
        <v>24.191775412940999</v>
      </c>
      <c r="AV1676" s="2">
        <v>23.819645204872302</v>
      </c>
      <c r="AW1676" s="2">
        <v>23.2072818056334</v>
      </c>
      <c r="AX1676" s="2">
        <v>24.0068487136123</v>
      </c>
      <c r="AY1676" s="2">
        <v>23.287619538291001</v>
      </c>
      <c r="AZ1676" s="2">
        <v>23.839231492508699</v>
      </c>
      <c r="BA1676" s="2">
        <v>24.210329805553702</v>
      </c>
      <c r="BB1676" s="2">
        <v>24.302311372465301</v>
      </c>
      <c r="BC1676" s="2">
        <v>23.830450211068499</v>
      </c>
      <c r="BD1676" s="2">
        <v>22.9348234290593</v>
      </c>
      <c r="BE1676" s="2">
        <v>23.5256901553117</v>
      </c>
      <c r="BF1676" s="2">
        <v>24.077477150203201</v>
      </c>
      <c r="BG1676" s="2">
        <v>23.14001429971</v>
      </c>
      <c r="BH1676" s="2">
        <v>24.1505556830088</v>
      </c>
      <c r="BI1676" s="2">
        <v>24.072677611055902</v>
      </c>
      <c r="BJ1676" s="2">
        <v>25.807742037459601</v>
      </c>
      <c r="BK1676" s="2">
        <v>24.037171003467598</v>
      </c>
      <c r="BL1676" s="2">
        <v>24.331802222795101</v>
      </c>
      <c r="BM1676" s="2">
        <v>24.2156373609103</v>
      </c>
      <c r="BN1676" s="2">
        <v>23.751683486914501</v>
      </c>
      <c r="BO1676" s="2">
        <v>23.4581586119393</v>
      </c>
      <c r="BP1676" s="2">
        <v>24.236567678598799</v>
      </c>
      <c r="BQ1676" s="2">
        <v>22.876772576024401</v>
      </c>
      <c r="BR1676" s="2">
        <v>23.524823572674698</v>
      </c>
      <c r="BS1676" s="2">
        <v>24.086722074387101</v>
      </c>
      <c r="BT1676" s="2">
        <v>24.033958136233</v>
      </c>
      <c r="BU1676" s="2">
        <v>23.8230906096606</v>
      </c>
      <c r="BV1676" s="2">
        <v>24.155418326973901</v>
      </c>
      <c r="BW1676" s="2">
        <v>23.829983631386099</v>
      </c>
      <c r="BX1676" s="2">
        <v>23.051540438227399</v>
      </c>
      <c r="BY1676" s="2">
        <v>23.661240364550299</v>
      </c>
      <c r="BZ1676" s="2">
        <v>24.6477583332981</v>
      </c>
      <c r="CA1676" s="2">
        <v>24.019093594482499</v>
      </c>
      <c r="CB1676" s="2">
        <v>23.983876677295399</v>
      </c>
      <c r="CC1676" s="2">
        <v>23.6786178542405</v>
      </c>
      <c r="CD1676" s="2">
        <v>23.028247061870399</v>
      </c>
      <c r="CE1676" s="2">
        <v>23.775380385844901</v>
      </c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</row>
    <row r="1677" spans="1:97">
      <c r="A1677" s="2" t="s">
        <v>14817</v>
      </c>
      <c r="B1677" s="2">
        <v>229.05355</v>
      </c>
      <c r="C1677" s="2">
        <v>6.9269999999999996</v>
      </c>
      <c r="D1677" s="2" t="s">
        <v>146</v>
      </c>
      <c r="E1677" s="2" t="s">
        <v>14818</v>
      </c>
      <c r="F1677" s="2" t="s">
        <v>14819</v>
      </c>
      <c r="G1677" s="2">
        <v>200728</v>
      </c>
      <c r="H1677" s="3" t="str">
        <f>HYPERLINK("https://cloud.oebiotech.com/#/lm/network/200728", "https://cloud.oebiotech.com/#/lm/network/200728")</f>
        <v>https://cloud.oebiotech.com/#/lm/network/200728</v>
      </c>
      <c r="I1677" s="2" t="s">
        <v>14820</v>
      </c>
      <c r="J1677" s="2"/>
      <c r="K1677" s="2"/>
      <c r="L1677" s="2">
        <v>201136</v>
      </c>
      <c r="M1677" s="2"/>
      <c r="N1677" s="2"/>
      <c r="O1677" s="2"/>
      <c r="P1677" s="2"/>
      <c r="Q1677" s="2"/>
      <c r="R1677" s="2"/>
      <c r="S1677" s="2"/>
      <c r="T1677" s="2" t="s">
        <v>14821</v>
      </c>
      <c r="U1677" s="2" t="s">
        <v>14822</v>
      </c>
      <c r="V1677" s="2" t="s">
        <v>553</v>
      </c>
      <c r="W1677" s="2" t="s">
        <v>554</v>
      </c>
      <c r="X1677" s="2" t="s">
        <v>555</v>
      </c>
      <c r="Y1677" s="2" t="s">
        <v>556</v>
      </c>
      <c r="Z1677" s="2" t="s">
        <v>557</v>
      </c>
      <c r="AA1677" s="2" t="s">
        <v>558</v>
      </c>
      <c r="AB1677" s="2" t="s">
        <v>8443</v>
      </c>
      <c r="AC1677" s="2">
        <v>41.69</v>
      </c>
      <c r="AD1677" s="2">
        <v>73.400000000000006</v>
      </c>
      <c r="AE1677" s="2">
        <v>0</v>
      </c>
      <c r="AF1677" s="2" t="s">
        <v>14823</v>
      </c>
      <c r="AG1677" s="2" t="s">
        <v>4062</v>
      </c>
      <c r="AH1677" s="2" t="s">
        <v>8454</v>
      </c>
      <c r="AI1677" s="2">
        <v>0.87</v>
      </c>
      <c r="AJ1677" s="2">
        <v>18.614513845269599</v>
      </c>
      <c r="AK1677" s="2">
        <v>17.810891217844901</v>
      </c>
      <c r="AL1677" s="2">
        <v>19.193509815794201</v>
      </c>
      <c r="AM1677" s="2">
        <v>18.392029999019101</v>
      </c>
      <c r="AN1677" s="2">
        <v>19.191102914517199</v>
      </c>
      <c r="AO1677" s="2">
        <v>19.160172884801799</v>
      </c>
      <c r="AP1677" s="2">
        <v>18.643116090433399</v>
      </c>
      <c r="AQ1677" s="2">
        <v>19.095823590791198</v>
      </c>
      <c r="AR1677" s="2">
        <v>16.116923441077599</v>
      </c>
      <c r="AS1677" s="2">
        <v>11.4084783551183</v>
      </c>
      <c r="AT1677" s="2">
        <v>11.719140649205601</v>
      </c>
      <c r="AU1677" s="2">
        <v>15.976932804812201</v>
      </c>
      <c r="AV1677" s="2">
        <v>17.914518977024699</v>
      </c>
      <c r="AW1677" s="2">
        <v>13.181518786560799</v>
      </c>
      <c r="AX1677" s="2">
        <v>12.3201659167754</v>
      </c>
      <c r="AY1677" s="2">
        <v>17.740979325524702</v>
      </c>
      <c r="AZ1677" s="2">
        <v>21.144196579692899</v>
      </c>
      <c r="BA1677" s="2">
        <v>16.328331671477599</v>
      </c>
      <c r="BB1677" s="2">
        <v>13.3956024128435</v>
      </c>
      <c r="BC1677" s="2">
        <v>15.5948062772689</v>
      </c>
      <c r="BD1677" s="2">
        <v>12.791077399013499</v>
      </c>
      <c r="BE1677" s="2">
        <v>16.635335519653001</v>
      </c>
      <c r="BF1677" s="2">
        <v>19.6157447673863</v>
      </c>
      <c r="BG1677" s="2">
        <v>17.593648692647299</v>
      </c>
      <c r="BH1677" s="2">
        <v>21.050454646710001</v>
      </c>
      <c r="BI1677" s="2">
        <v>16.362758725139301</v>
      </c>
      <c r="BJ1677" s="2">
        <v>13.9312315163933</v>
      </c>
      <c r="BK1677" s="2">
        <v>19.358051147822501</v>
      </c>
      <c r="BL1677" s="2">
        <v>17.294036976803799</v>
      </c>
      <c r="BM1677" s="2">
        <v>18.698662213194901</v>
      </c>
      <c r="BN1677" s="2">
        <v>15.062440412611799</v>
      </c>
      <c r="BO1677" s="2">
        <v>17.516232574417799</v>
      </c>
      <c r="BP1677" s="2">
        <v>14.145835050323001</v>
      </c>
      <c r="BQ1677" s="2">
        <v>13.892330305147301</v>
      </c>
      <c r="BR1677" s="2">
        <v>22.057373026871399</v>
      </c>
      <c r="BS1677" s="2">
        <v>19.044953721158699</v>
      </c>
      <c r="BT1677" s="2">
        <v>20.1010650587668</v>
      </c>
      <c r="BU1677" s="2">
        <v>18.137392550021701</v>
      </c>
      <c r="BV1677" s="2">
        <v>18.086229231563301</v>
      </c>
      <c r="BW1677" s="2">
        <v>16.1480779190417</v>
      </c>
      <c r="BX1677" s="2">
        <v>18.435157601341299</v>
      </c>
      <c r="BY1677" s="2">
        <v>18.813670041809701</v>
      </c>
      <c r="BZ1677" s="2">
        <v>15.8540726172311</v>
      </c>
      <c r="CA1677" s="2">
        <v>16.2929546144277</v>
      </c>
      <c r="CB1677" s="2">
        <v>18.176912300020401</v>
      </c>
      <c r="CC1677" s="2">
        <v>17.429553772657801</v>
      </c>
      <c r="CD1677" s="2">
        <v>16.900815639313201</v>
      </c>
      <c r="CE1677" s="2">
        <v>17.881319586000899</v>
      </c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</row>
    <row r="1678" spans="1:97">
      <c r="A1678" s="2" t="s">
        <v>14824</v>
      </c>
      <c r="B1678" s="2">
        <v>229.06885</v>
      </c>
      <c r="C1678" s="2">
        <v>1.64</v>
      </c>
      <c r="D1678" s="2" t="s">
        <v>146</v>
      </c>
      <c r="E1678" s="2" t="s">
        <v>14825</v>
      </c>
      <c r="F1678" s="2" t="s">
        <v>14826</v>
      </c>
      <c r="G1678" s="2">
        <v>199511</v>
      </c>
      <c r="H1678" s="3" t="str">
        <f>HYPERLINK("https://cloud.oebiotech.com/#/lm/network/199511", "https://cloud.oebiotech.com/#/lm/network/199511")</f>
        <v>https://cloud.oebiotech.com/#/lm/network/199511</v>
      </c>
      <c r="I1678" s="2" t="s">
        <v>14827</v>
      </c>
      <c r="J1678" s="2"/>
      <c r="K1678" s="2"/>
      <c r="L1678" s="2">
        <v>49939</v>
      </c>
      <c r="M1678" s="2"/>
      <c r="N1678" s="2"/>
      <c r="O1678" s="2"/>
      <c r="P1678" s="2">
        <v>39422</v>
      </c>
      <c r="Q1678" s="2"/>
      <c r="R1678" s="2"/>
      <c r="S1678" s="2"/>
      <c r="T1678" s="2" t="s">
        <v>14828</v>
      </c>
      <c r="U1678" s="2" t="s">
        <v>14829</v>
      </c>
      <c r="V1678" s="2" t="s">
        <v>115</v>
      </c>
      <c r="W1678" s="2" t="s">
        <v>2162</v>
      </c>
      <c r="X1678" s="2" t="s">
        <v>2163</v>
      </c>
      <c r="Y1678" s="2" t="s">
        <v>118</v>
      </c>
      <c r="Z1678" s="2" t="s">
        <v>2164</v>
      </c>
      <c r="AA1678" s="2" t="s">
        <v>2164</v>
      </c>
      <c r="AB1678" s="2" t="s">
        <v>5118</v>
      </c>
      <c r="AC1678" s="2">
        <v>41.69</v>
      </c>
      <c r="AD1678" s="2">
        <v>77.14</v>
      </c>
      <c r="AE1678" s="2">
        <v>82.31</v>
      </c>
      <c r="AF1678" s="2" t="s">
        <v>14830</v>
      </c>
      <c r="AG1678" s="2" t="s">
        <v>4062</v>
      </c>
      <c r="AH1678" s="2" t="s">
        <v>14831</v>
      </c>
      <c r="AI1678" s="2">
        <v>-7.42</v>
      </c>
      <c r="AJ1678" s="2">
        <v>22.0240260077871</v>
      </c>
      <c r="AK1678" s="2">
        <v>22.194775565261999</v>
      </c>
      <c r="AL1678" s="2">
        <v>22.2088746501069</v>
      </c>
      <c r="AM1678" s="2">
        <v>22.205747191585701</v>
      </c>
      <c r="AN1678" s="2">
        <v>21.950707804817</v>
      </c>
      <c r="AO1678" s="2">
        <v>22.095481839753202</v>
      </c>
      <c r="AP1678" s="2">
        <v>22.0280782841686</v>
      </c>
      <c r="AQ1678" s="2">
        <v>22.117696263191299</v>
      </c>
      <c r="AR1678" s="2">
        <v>21.274766473461199</v>
      </c>
      <c r="AS1678" s="2">
        <v>21.3966957860187</v>
      </c>
      <c r="AT1678" s="2">
        <v>22.8670606369081</v>
      </c>
      <c r="AU1678" s="2">
        <v>18.980508322778199</v>
      </c>
      <c r="AV1678" s="2">
        <v>21.164445008247899</v>
      </c>
      <c r="AW1678" s="2">
        <v>20.236085171632201</v>
      </c>
      <c r="AX1678" s="2">
        <v>22.645554180617498</v>
      </c>
      <c r="AY1678" s="2">
        <v>22.433049202356301</v>
      </c>
      <c r="AZ1678" s="2">
        <v>20.425100134673301</v>
      </c>
      <c r="BA1678" s="2">
        <v>20.901326964421798</v>
      </c>
      <c r="BB1678" s="2">
        <v>23.0686848512686</v>
      </c>
      <c r="BC1678" s="2">
        <v>23.218644263837401</v>
      </c>
      <c r="BD1678" s="2">
        <v>21.476313281043598</v>
      </c>
      <c r="BE1678" s="2">
        <v>20.487959930967602</v>
      </c>
      <c r="BF1678" s="2">
        <v>24.142540002983001</v>
      </c>
      <c r="BG1678" s="2">
        <v>22.4640750292299</v>
      </c>
      <c r="BH1678" s="2">
        <v>20.0856224295526</v>
      </c>
      <c r="BI1678" s="2">
        <v>23.046413200535401</v>
      </c>
      <c r="BJ1678" s="2">
        <v>22.948199763848201</v>
      </c>
      <c r="BK1678" s="2">
        <v>20.955219545565601</v>
      </c>
      <c r="BL1678" s="2">
        <v>21.203355704607802</v>
      </c>
      <c r="BM1678" s="2">
        <v>20.358164104798899</v>
      </c>
      <c r="BN1678" s="2">
        <v>20.792642393832399</v>
      </c>
      <c r="BO1678" s="2">
        <v>21.245672694133699</v>
      </c>
      <c r="BP1678" s="2">
        <v>20.073856508511099</v>
      </c>
      <c r="BQ1678" s="2">
        <v>21.2043444098782</v>
      </c>
      <c r="BR1678" s="2">
        <v>20.8355281418815</v>
      </c>
      <c r="BS1678" s="2">
        <v>21.643256422982301</v>
      </c>
      <c r="BT1678" s="2">
        <v>19.497819683686899</v>
      </c>
      <c r="BU1678" s="2">
        <v>21.575851396728002</v>
      </c>
      <c r="BV1678" s="2">
        <v>21.923774569272801</v>
      </c>
      <c r="BW1678" s="2">
        <v>22.171744097084801</v>
      </c>
      <c r="BX1678" s="2">
        <v>20.198876322655298</v>
      </c>
      <c r="BY1678" s="2">
        <v>22.223156833998999</v>
      </c>
      <c r="BZ1678" s="2">
        <v>21.030122162405998</v>
      </c>
      <c r="CA1678" s="2">
        <v>24.253542093241801</v>
      </c>
      <c r="CB1678" s="2">
        <v>21.302627662728099</v>
      </c>
      <c r="CC1678" s="2">
        <v>21.916628936034598</v>
      </c>
      <c r="CD1678" s="2">
        <v>21.850359457324501</v>
      </c>
      <c r="CE1678" s="2">
        <v>22.5031290368409</v>
      </c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</row>
    <row r="1679" spans="1:97">
      <c r="A1679" s="2" t="s">
        <v>14832</v>
      </c>
      <c r="B1679" s="2">
        <v>943.22167000000002</v>
      </c>
      <c r="C1679" s="2">
        <v>0.79700000000000004</v>
      </c>
      <c r="D1679" s="2" t="s">
        <v>84</v>
      </c>
      <c r="E1679" s="2" t="s">
        <v>14833</v>
      </c>
      <c r="F1679" s="2" t="s">
        <v>14834</v>
      </c>
      <c r="G1679" s="2">
        <v>58757</v>
      </c>
      <c r="H1679" s="3" t="str">
        <f>HYPERLINK("https://cloud.oebiotech.com/#/lm/network/58757", "https://cloud.oebiotech.com/#/lm/network/58757")</f>
        <v>https://cloud.oebiotech.com/#/lm/network/58757</v>
      </c>
      <c r="I1679" s="2" t="s">
        <v>14835</v>
      </c>
      <c r="J1679" s="2"/>
      <c r="K1679" s="2"/>
      <c r="L1679" s="2">
        <v>85170188</v>
      </c>
      <c r="M1679" s="2"/>
      <c r="N1679" s="2"/>
      <c r="O1679" s="2"/>
      <c r="P1679" s="2"/>
      <c r="Q1679" s="2"/>
      <c r="R1679" s="2"/>
      <c r="S1679" s="2"/>
      <c r="T1679" s="2" t="s">
        <v>14836</v>
      </c>
      <c r="U1679" s="2" t="s">
        <v>14837</v>
      </c>
      <c r="V1679" s="2" t="s">
        <v>845</v>
      </c>
      <c r="W1679" s="2" t="s">
        <v>8182</v>
      </c>
      <c r="X1679" s="2" t="s">
        <v>375</v>
      </c>
      <c r="Y1679" s="2" t="s">
        <v>847</v>
      </c>
      <c r="Z1679" s="2" t="s">
        <v>8183</v>
      </c>
      <c r="AA1679" s="2"/>
      <c r="AB1679" s="2" t="s">
        <v>5118</v>
      </c>
      <c r="AC1679" s="2">
        <v>41.68</v>
      </c>
      <c r="AD1679" s="2">
        <v>73.77</v>
      </c>
      <c r="AE1679" s="2">
        <v>83.27</v>
      </c>
      <c r="AF1679" s="2" t="s">
        <v>14838</v>
      </c>
      <c r="AG1679" s="2" t="s">
        <v>3544</v>
      </c>
      <c r="AH1679" s="2" t="s">
        <v>14839</v>
      </c>
      <c r="AI1679" s="2">
        <v>-7</v>
      </c>
      <c r="AJ1679" s="2">
        <v>20.094772678350701</v>
      </c>
      <c r="AK1679" s="2">
        <v>20.198616279382801</v>
      </c>
      <c r="AL1679" s="2">
        <v>19.760587108556301</v>
      </c>
      <c r="AM1679" s="2">
        <v>19.5018715029133</v>
      </c>
      <c r="AN1679" s="2">
        <v>20.175725927235899</v>
      </c>
      <c r="AO1679" s="2">
        <v>20.067928632113102</v>
      </c>
      <c r="AP1679" s="2">
        <v>19.571637651203002</v>
      </c>
      <c r="AQ1679" s="2">
        <v>20.1658654455752</v>
      </c>
      <c r="AR1679" s="2">
        <v>19.873543466808599</v>
      </c>
      <c r="AS1679" s="2">
        <v>20.768000487909301</v>
      </c>
      <c r="AT1679" s="2">
        <v>20.5981722683286</v>
      </c>
      <c r="AU1679" s="2">
        <v>21.585210877321799</v>
      </c>
      <c r="AV1679" s="2">
        <v>19.123767154235399</v>
      </c>
      <c r="AW1679" s="2">
        <v>20.315605120952299</v>
      </c>
      <c r="AX1679" s="2">
        <v>19.3278195723504</v>
      </c>
      <c r="AY1679" s="2">
        <v>20.2535101331496</v>
      </c>
      <c r="AZ1679" s="2">
        <v>20.084093170564099</v>
      </c>
      <c r="BA1679" s="2">
        <v>21.008070263341899</v>
      </c>
      <c r="BB1679" s="2">
        <v>19.877186714403798</v>
      </c>
      <c r="BC1679" s="2">
        <v>20.7635417951732</v>
      </c>
      <c r="BD1679" s="2">
        <v>20.990349763019999</v>
      </c>
      <c r="BE1679" s="2">
        <v>19.292109858044199</v>
      </c>
      <c r="BF1679" s="2">
        <v>20.546817440211601</v>
      </c>
      <c r="BG1679" s="2">
        <v>19.897572514705601</v>
      </c>
      <c r="BH1679" s="2">
        <v>19.605854333227899</v>
      </c>
      <c r="BI1679" s="2">
        <v>19.235096070519901</v>
      </c>
      <c r="BJ1679" s="2">
        <v>19.674263089881801</v>
      </c>
      <c r="BK1679" s="2">
        <v>20.424656453367</v>
      </c>
      <c r="BL1679" s="2">
        <v>20.330757571596099</v>
      </c>
      <c r="BM1679" s="2">
        <v>21.0690901659951</v>
      </c>
      <c r="BN1679" s="2">
        <v>19.771988569029201</v>
      </c>
      <c r="BO1679" s="2">
        <v>18.7807192665983</v>
      </c>
      <c r="BP1679" s="2">
        <v>18.556836477277901</v>
      </c>
      <c r="BQ1679" s="2">
        <v>20.345793303036501</v>
      </c>
      <c r="BR1679" s="2">
        <v>19.588651637060099</v>
      </c>
      <c r="BS1679" s="2">
        <v>19.260078736227399</v>
      </c>
      <c r="BT1679" s="2">
        <v>19.887799970603599</v>
      </c>
      <c r="BU1679" s="2">
        <v>20.710098498641301</v>
      </c>
      <c r="BV1679" s="2">
        <v>18.4267777586028</v>
      </c>
      <c r="BW1679" s="2">
        <v>20.935186024378002</v>
      </c>
      <c r="BX1679" s="2">
        <v>20.8377546576851</v>
      </c>
      <c r="BY1679" s="2">
        <v>18.384641990855201</v>
      </c>
      <c r="BZ1679" s="2">
        <v>20.513625453218999</v>
      </c>
      <c r="CA1679" s="2">
        <v>18.997561730804101</v>
      </c>
      <c r="CB1679" s="2">
        <v>18.307384674856301</v>
      </c>
      <c r="CC1679" s="2">
        <v>19.7904352227178</v>
      </c>
      <c r="CD1679" s="2">
        <v>9.6233145402724691</v>
      </c>
      <c r="CE1679" s="2">
        <v>18.979701474407001</v>
      </c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</row>
    <row r="1680" spans="1:97">
      <c r="A1680" s="2" t="s">
        <v>14840</v>
      </c>
      <c r="B1680" s="2">
        <v>261.13382000000001</v>
      </c>
      <c r="C1680" s="2">
        <v>5.0259999999999998</v>
      </c>
      <c r="D1680" s="2" t="s">
        <v>146</v>
      </c>
      <c r="E1680" s="2" t="s">
        <v>14841</v>
      </c>
      <c r="F1680" s="2" t="s">
        <v>14842</v>
      </c>
      <c r="G1680" s="2">
        <v>203265</v>
      </c>
      <c r="H1680" s="3" t="str">
        <f>HYPERLINK("https://cloud.oebiotech.com/#/lm/network/203265", "https://cloud.oebiotech.com/#/lm/network/203265")</f>
        <v>https://cloud.oebiotech.com/#/lm/network/203265</v>
      </c>
      <c r="I1680" s="2" t="s">
        <v>14843</v>
      </c>
      <c r="J1680" s="2"/>
      <c r="K1680" s="2"/>
      <c r="L1680" s="2">
        <v>115359</v>
      </c>
      <c r="M1680" s="2"/>
      <c r="N1680" s="2"/>
      <c r="O1680" s="2"/>
      <c r="P1680" s="2"/>
      <c r="Q1680" s="2"/>
      <c r="R1680" s="2"/>
      <c r="S1680" s="2"/>
      <c r="T1680" s="2" t="s">
        <v>14844</v>
      </c>
      <c r="U1680" s="2" t="s">
        <v>14845</v>
      </c>
      <c r="V1680" s="2" t="s">
        <v>553</v>
      </c>
      <c r="W1680" s="2" t="s">
        <v>949</v>
      </c>
      <c r="X1680" s="2" t="s">
        <v>950</v>
      </c>
      <c r="Y1680" s="2" t="s">
        <v>556</v>
      </c>
      <c r="Z1680" s="2" t="s">
        <v>951</v>
      </c>
      <c r="AA1680" s="2" t="s">
        <v>952</v>
      </c>
      <c r="AB1680" s="2" t="s">
        <v>8443</v>
      </c>
      <c r="AC1680" s="2">
        <v>41.66</v>
      </c>
      <c r="AD1680" s="2">
        <v>91.34</v>
      </c>
      <c r="AE1680" s="2">
        <v>0</v>
      </c>
      <c r="AF1680" s="2" t="s">
        <v>14846</v>
      </c>
      <c r="AG1680" s="2" t="s">
        <v>993</v>
      </c>
      <c r="AH1680" s="2" t="s">
        <v>14847</v>
      </c>
      <c r="AI1680" s="2">
        <v>5.36</v>
      </c>
      <c r="AJ1680" s="2">
        <v>17.456773589320601</v>
      </c>
      <c r="AK1680" s="2">
        <v>17.871955878330201</v>
      </c>
      <c r="AL1680" s="2">
        <v>17.9966988370637</v>
      </c>
      <c r="AM1680" s="2">
        <v>17.6489340813438</v>
      </c>
      <c r="AN1680" s="2">
        <v>17.8088573660965</v>
      </c>
      <c r="AO1680" s="2">
        <v>17.855097376856602</v>
      </c>
      <c r="AP1680" s="2">
        <v>17.9133043997622</v>
      </c>
      <c r="AQ1680" s="2">
        <v>17.805934208194799</v>
      </c>
      <c r="AR1680" s="2">
        <v>17.874374035268801</v>
      </c>
      <c r="AS1680" s="2">
        <v>18.177982153699499</v>
      </c>
      <c r="AT1680" s="2">
        <v>17.9607911426675</v>
      </c>
      <c r="AU1680" s="2">
        <v>17.859758612899402</v>
      </c>
      <c r="AV1680" s="2">
        <v>18.1177565683493</v>
      </c>
      <c r="AW1680" s="2">
        <v>18.273925510937602</v>
      </c>
      <c r="AX1680" s="2">
        <v>18.009035982185701</v>
      </c>
      <c r="AY1680" s="2">
        <v>18.272527093536699</v>
      </c>
      <c r="AZ1680" s="2">
        <v>18.092628890843699</v>
      </c>
      <c r="BA1680" s="2">
        <v>17.893341470849599</v>
      </c>
      <c r="BB1680" s="2">
        <v>18.021090909508899</v>
      </c>
      <c r="BC1680" s="2">
        <v>17.8101911550892</v>
      </c>
      <c r="BD1680" s="2">
        <v>18.2149159932206</v>
      </c>
      <c r="BE1680" s="2">
        <v>17.968654982161102</v>
      </c>
      <c r="BF1680" s="2">
        <v>18.200555165664799</v>
      </c>
      <c r="BG1680" s="2">
        <v>18.253423858211899</v>
      </c>
      <c r="BH1680" s="2">
        <v>17.924867176463199</v>
      </c>
      <c r="BI1680" s="2">
        <v>17.998694873277898</v>
      </c>
      <c r="BJ1680" s="2">
        <v>18.065763954424199</v>
      </c>
      <c r="BK1680" s="2">
        <v>18.279347187909</v>
      </c>
      <c r="BL1680" s="2">
        <v>17.947155540794402</v>
      </c>
      <c r="BM1680" s="2">
        <v>18.064553059685899</v>
      </c>
      <c r="BN1680" s="2">
        <v>17.873198303270801</v>
      </c>
      <c r="BO1680" s="2">
        <v>17.947892183366299</v>
      </c>
      <c r="BP1680" s="2">
        <v>18.284888065996501</v>
      </c>
      <c r="BQ1680" s="2">
        <v>17.676207234177401</v>
      </c>
      <c r="BR1680" s="2">
        <v>18.061990624861401</v>
      </c>
      <c r="BS1680" s="2">
        <v>18.236980365943801</v>
      </c>
      <c r="BT1680" s="2">
        <v>18.2443603506599</v>
      </c>
      <c r="BU1680" s="2">
        <v>17.9267604311224</v>
      </c>
      <c r="BV1680" s="2">
        <v>17.976120540612399</v>
      </c>
      <c r="BW1680" s="2">
        <v>18.228245631401101</v>
      </c>
      <c r="BX1680" s="2">
        <v>17.849965551426902</v>
      </c>
      <c r="BY1680" s="2">
        <v>18.002007470113501</v>
      </c>
      <c r="BZ1680" s="2">
        <v>17.9515207616409</v>
      </c>
      <c r="CA1680" s="2">
        <v>17.891736364010601</v>
      </c>
      <c r="CB1680" s="2">
        <v>17.941224916772502</v>
      </c>
      <c r="CC1680" s="2">
        <v>17.6735335129157</v>
      </c>
      <c r="CD1680" s="2">
        <v>18.092046745079799</v>
      </c>
      <c r="CE1680" s="2">
        <v>18.100725313880702</v>
      </c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</row>
    <row r="1681" spans="1:97">
      <c r="A1681" s="2" t="s">
        <v>14848</v>
      </c>
      <c r="B1681" s="2">
        <v>600.46726000000001</v>
      </c>
      <c r="C1681" s="2">
        <v>11.835000000000001</v>
      </c>
      <c r="D1681" s="2" t="s">
        <v>84</v>
      </c>
      <c r="E1681" s="2" t="s">
        <v>14849</v>
      </c>
      <c r="F1681" s="2" t="s">
        <v>14850</v>
      </c>
      <c r="G1681" s="2">
        <v>38917</v>
      </c>
      <c r="H1681" s="3" t="str">
        <f>HYPERLINK("https://cloud.oebiotech.com/#/lm/network/38917", "https://cloud.oebiotech.com/#/lm/network/38917")</f>
        <v>https://cloud.oebiotech.com/#/lm/network/38917</v>
      </c>
      <c r="I1681" s="2"/>
      <c r="J1681" s="2"/>
      <c r="K1681" s="2" t="s">
        <v>14851</v>
      </c>
      <c r="L1681" s="2"/>
      <c r="M1681" s="2"/>
      <c r="N1681" s="2"/>
      <c r="O1681" s="2"/>
      <c r="P1681" s="2"/>
      <c r="Q1681" s="2"/>
      <c r="R1681" s="2"/>
      <c r="S1681" s="2"/>
      <c r="T1681" s="2" t="s">
        <v>14852</v>
      </c>
      <c r="U1681" s="2" t="s">
        <v>14853</v>
      </c>
      <c r="V1681" s="2" t="s">
        <v>95</v>
      </c>
      <c r="W1681" s="2" t="s">
        <v>96</v>
      </c>
      <c r="X1681" s="2" t="s">
        <v>315</v>
      </c>
      <c r="Y1681" s="2" t="s">
        <v>98</v>
      </c>
      <c r="Z1681" s="2" t="s">
        <v>99</v>
      </c>
      <c r="AA1681" s="2" t="s">
        <v>316</v>
      </c>
      <c r="AB1681" s="2" t="s">
        <v>8443</v>
      </c>
      <c r="AC1681" s="2">
        <v>41.66</v>
      </c>
      <c r="AD1681" s="2">
        <v>72.33</v>
      </c>
      <c r="AE1681" s="2">
        <v>0</v>
      </c>
      <c r="AF1681" s="2" t="s">
        <v>5614</v>
      </c>
      <c r="AG1681" s="2" t="s">
        <v>1088</v>
      </c>
      <c r="AH1681" s="2" t="s">
        <v>14854</v>
      </c>
      <c r="AI1681" s="2">
        <v>-1.83</v>
      </c>
      <c r="AJ1681" s="2">
        <v>18.965300224362</v>
      </c>
      <c r="AK1681" s="2">
        <v>18.395062506558499</v>
      </c>
      <c r="AL1681" s="2">
        <v>18.514926901901902</v>
      </c>
      <c r="AM1681" s="2">
        <v>19.030648871850001</v>
      </c>
      <c r="AN1681" s="2">
        <v>18.995928204270498</v>
      </c>
      <c r="AO1681" s="2">
        <v>17.434759337275601</v>
      </c>
      <c r="AP1681" s="2">
        <v>18.576821442602899</v>
      </c>
      <c r="AQ1681" s="2">
        <v>19.019663043719198</v>
      </c>
      <c r="AR1681" s="2">
        <v>18.851004032400599</v>
      </c>
      <c r="AS1681" s="2">
        <v>18.637448510345902</v>
      </c>
      <c r="AT1681" s="2">
        <v>18.6563475909335</v>
      </c>
      <c r="AU1681" s="2">
        <v>18.997387462126898</v>
      </c>
      <c r="AV1681" s="2">
        <v>18.9330707290008</v>
      </c>
      <c r="AW1681" s="2">
        <v>18.724294010829801</v>
      </c>
      <c r="AX1681" s="2">
        <v>18.2820782631354</v>
      </c>
      <c r="AY1681" s="2">
        <v>18.9088198841268</v>
      </c>
      <c r="AZ1681" s="2">
        <v>18.1059840901634</v>
      </c>
      <c r="BA1681" s="2">
        <v>18.686950546873302</v>
      </c>
      <c r="BB1681" s="2">
        <v>18.7602680275672</v>
      </c>
      <c r="BC1681" s="2">
        <v>19.015311104468001</v>
      </c>
      <c r="BD1681" s="2">
        <v>18.579035165223502</v>
      </c>
      <c r="BE1681" s="2">
        <v>18.669019462177602</v>
      </c>
      <c r="BF1681" s="2">
        <v>18.801468268625399</v>
      </c>
      <c r="BG1681" s="2">
        <v>18.724839724331702</v>
      </c>
      <c r="BH1681" s="2">
        <v>18.150561461475299</v>
      </c>
      <c r="BI1681" s="2">
        <v>19.220199826789798</v>
      </c>
      <c r="BJ1681" s="2">
        <v>18.817068622249899</v>
      </c>
      <c r="BK1681" s="2">
        <v>19.113047984871699</v>
      </c>
      <c r="BL1681" s="2">
        <v>18.6858646804315</v>
      </c>
      <c r="BM1681" s="2">
        <v>18.356095353299601</v>
      </c>
      <c r="BN1681" s="2">
        <v>18.7040176309314</v>
      </c>
      <c r="BO1681" s="2">
        <v>18.2643171011924</v>
      </c>
      <c r="BP1681" s="2">
        <v>18.5990513151763</v>
      </c>
      <c r="BQ1681" s="2">
        <v>18.846794636836201</v>
      </c>
      <c r="BR1681" s="2">
        <v>18.8677974890584</v>
      </c>
      <c r="BS1681" s="2">
        <v>18.302973357817901</v>
      </c>
      <c r="BT1681" s="2">
        <v>18.833157089964601</v>
      </c>
      <c r="BU1681" s="2">
        <v>18.8655537442724</v>
      </c>
      <c r="BV1681" s="2">
        <v>18.965974358483201</v>
      </c>
      <c r="BW1681" s="2">
        <v>17.936888755678002</v>
      </c>
      <c r="BX1681" s="2">
        <v>18.6227187744107</v>
      </c>
      <c r="BY1681" s="2">
        <v>18.561570551682099</v>
      </c>
      <c r="BZ1681" s="2">
        <v>18.234004142623402</v>
      </c>
      <c r="CA1681" s="2">
        <v>18.359001179207102</v>
      </c>
      <c r="CB1681" s="2">
        <v>19.014680885800999</v>
      </c>
      <c r="CC1681" s="2">
        <v>18.725217855806001</v>
      </c>
      <c r="CD1681" s="2">
        <v>18.2672599022311</v>
      </c>
      <c r="CE1681" s="2">
        <v>18.448372483344802</v>
      </c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</row>
    <row r="1682" spans="1:97">
      <c r="A1682" s="2" t="s">
        <v>14855</v>
      </c>
      <c r="B1682" s="2">
        <v>217.04694000000001</v>
      </c>
      <c r="C1682" s="2">
        <v>2.1320000000000001</v>
      </c>
      <c r="D1682" s="2" t="s">
        <v>84</v>
      </c>
      <c r="E1682" s="2" t="s">
        <v>14856</v>
      </c>
      <c r="F1682" s="2" t="s">
        <v>14857</v>
      </c>
      <c r="G1682" s="2">
        <v>207269</v>
      </c>
      <c r="H1682" s="3" t="str">
        <f>HYPERLINK("https://cloud.oebiotech.com/#/lm/network/207269", "https://cloud.oebiotech.com/#/lm/network/207269")</f>
        <v>https://cloud.oebiotech.com/#/lm/network/207269</v>
      </c>
      <c r="I1682" s="2" t="s">
        <v>14858</v>
      </c>
      <c r="J1682" s="2"/>
      <c r="K1682" s="2"/>
      <c r="L1682" s="2">
        <v>57101247</v>
      </c>
      <c r="M1682" s="2"/>
      <c r="N1682" s="2"/>
      <c r="O1682" s="2"/>
      <c r="P1682" s="2"/>
      <c r="Q1682" s="2"/>
      <c r="R1682" s="2"/>
      <c r="S1682" s="2"/>
      <c r="T1682" s="2" t="s">
        <v>14859</v>
      </c>
      <c r="U1682" s="2" t="s">
        <v>14860</v>
      </c>
      <c r="V1682" s="2" t="s">
        <v>95</v>
      </c>
      <c r="W1682" s="2" t="s">
        <v>7709</v>
      </c>
      <c r="X1682" s="2" t="s">
        <v>7710</v>
      </c>
      <c r="Y1682" s="2" t="s">
        <v>98</v>
      </c>
      <c r="Z1682" s="2" t="s">
        <v>7711</v>
      </c>
      <c r="AA1682" s="2" t="s">
        <v>7712</v>
      </c>
      <c r="AB1682" s="2" t="s">
        <v>8443</v>
      </c>
      <c r="AC1682" s="2">
        <v>41.65</v>
      </c>
      <c r="AD1682" s="2">
        <v>71.87</v>
      </c>
      <c r="AE1682" s="2">
        <v>0</v>
      </c>
      <c r="AF1682" s="2" t="s">
        <v>14861</v>
      </c>
      <c r="AG1682" s="2" t="s">
        <v>3544</v>
      </c>
      <c r="AH1682" s="2" t="s">
        <v>7289</v>
      </c>
      <c r="AI1682" s="2">
        <v>1.84</v>
      </c>
      <c r="AJ1682" s="2">
        <v>24.0725334172587</v>
      </c>
      <c r="AK1682" s="2">
        <v>22.726871006306801</v>
      </c>
      <c r="AL1682" s="2">
        <v>23.713627311688199</v>
      </c>
      <c r="AM1682" s="2">
        <v>24.0334678459337</v>
      </c>
      <c r="AN1682" s="2">
        <v>23.215824316498399</v>
      </c>
      <c r="AO1682" s="2">
        <v>23.7243569909506</v>
      </c>
      <c r="AP1682" s="2">
        <v>23.6091414771549</v>
      </c>
      <c r="AQ1682" s="2">
        <v>23.7144723298182</v>
      </c>
      <c r="AR1682" s="2">
        <v>24.122935232478</v>
      </c>
      <c r="AS1682" s="2">
        <v>23.905741290163199</v>
      </c>
      <c r="AT1682" s="2">
        <v>24.177879392234701</v>
      </c>
      <c r="AU1682" s="2">
        <v>22.969865948120098</v>
      </c>
      <c r="AV1682" s="2">
        <v>24.070391813448001</v>
      </c>
      <c r="AW1682" s="2">
        <v>24.0238728464291</v>
      </c>
      <c r="AX1682" s="2">
        <v>24.0527218248181</v>
      </c>
      <c r="AY1682" s="2">
        <v>24.194179242996299</v>
      </c>
      <c r="AZ1682" s="2">
        <v>24.105298129539801</v>
      </c>
      <c r="BA1682" s="2">
        <v>24.1071871820463</v>
      </c>
      <c r="BB1682" s="2">
        <v>23.986730833954098</v>
      </c>
      <c r="BC1682" s="2">
        <v>24.000561861946299</v>
      </c>
      <c r="BD1682" s="2">
        <v>22.568783992129699</v>
      </c>
      <c r="BE1682" s="2">
        <v>24.0701751559223</v>
      </c>
      <c r="BF1682" s="2">
        <v>24.0059128640594</v>
      </c>
      <c r="BG1682" s="2">
        <v>24.1111854332562</v>
      </c>
      <c r="BH1682" s="2">
        <v>23.840813948923198</v>
      </c>
      <c r="BI1682" s="2">
        <v>24.0628726182298</v>
      </c>
      <c r="BJ1682" s="2">
        <v>24.0815406772542</v>
      </c>
      <c r="BK1682" s="2">
        <v>23.995095702455099</v>
      </c>
      <c r="BL1682" s="2">
        <v>24.160169184792501</v>
      </c>
      <c r="BM1682" s="2">
        <v>24.027198029278299</v>
      </c>
      <c r="BN1682" s="2">
        <v>23.866035340006</v>
      </c>
      <c r="BO1682" s="2">
        <v>24.002404460717301</v>
      </c>
      <c r="BP1682" s="2">
        <v>23.738489206761599</v>
      </c>
      <c r="BQ1682" s="2">
        <v>24.031407668161101</v>
      </c>
      <c r="BR1682" s="2">
        <v>24.117129812026601</v>
      </c>
      <c r="BS1682" s="2">
        <v>23.649076592019799</v>
      </c>
      <c r="BT1682" s="2">
        <v>24.122232179319099</v>
      </c>
      <c r="BU1682" s="2">
        <v>24.0665457390289</v>
      </c>
      <c r="BV1682" s="2">
        <v>24.132596769771901</v>
      </c>
      <c r="BW1682" s="2">
        <v>24.068804190061702</v>
      </c>
      <c r="BX1682" s="2">
        <v>23.908481804748</v>
      </c>
      <c r="BY1682" s="2">
        <v>23.9060801297585</v>
      </c>
      <c r="BZ1682" s="2">
        <v>24.0130935900964</v>
      </c>
      <c r="CA1682" s="2">
        <v>23.572680479572899</v>
      </c>
      <c r="CB1682" s="2">
        <v>24.071141009063702</v>
      </c>
      <c r="CC1682" s="2">
        <v>24.025529385892501</v>
      </c>
      <c r="CD1682" s="2">
        <v>24.003923879575002</v>
      </c>
      <c r="CE1682" s="2">
        <v>23.908814685732199</v>
      </c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</row>
    <row r="1683" spans="1:97">
      <c r="A1683" s="2" t="s">
        <v>14862</v>
      </c>
      <c r="B1683" s="2">
        <v>329.17523999999997</v>
      </c>
      <c r="C1683" s="2">
        <v>6.2759999999999998</v>
      </c>
      <c r="D1683" s="2" t="s">
        <v>146</v>
      </c>
      <c r="E1683" s="2" t="s">
        <v>14863</v>
      </c>
      <c r="F1683" s="2" t="s">
        <v>14864</v>
      </c>
      <c r="G1683" s="2">
        <v>62875</v>
      </c>
      <c r="H1683" s="3" t="str">
        <f>HYPERLINK("https://cloud.oebiotech.com/#/lm/network/62875", "https://cloud.oebiotech.com/#/lm/network/62875")</f>
        <v>https://cloud.oebiotech.com/#/lm/network/62875</v>
      </c>
      <c r="I1683" s="2" t="s">
        <v>14865</v>
      </c>
      <c r="J1683" s="2">
        <v>94170</v>
      </c>
      <c r="K1683" s="2"/>
      <c r="L1683" s="2">
        <v>642531</v>
      </c>
      <c r="M1683" s="2"/>
      <c r="N1683" s="2"/>
      <c r="O1683" s="2"/>
      <c r="P1683" s="2">
        <v>171857</v>
      </c>
      <c r="Q1683" s="2"/>
      <c r="R1683" s="2"/>
      <c r="S1683" s="2" t="s">
        <v>14866</v>
      </c>
      <c r="T1683" s="2" t="s">
        <v>14867</v>
      </c>
      <c r="U1683" s="2" t="s">
        <v>14868</v>
      </c>
      <c r="V1683" s="2" t="s">
        <v>385</v>
      </c>
      <c r="W1683" s="2" t="s">
        <v>386</v>
      </c>
      <c r="X1683" s="2" t="s">
        <v>14869</v>
      </c>
      <c r="Y1683" s="2" t="s">
        <v>388</v>
      </c>
      <c r="Z1683" s="2" t="s">
        <v>389</v>
      </c>
      <c r="AA1683" s="2" t="s">
        <v>14870</v>
      </c>
      <c r="AB1683" s="2" t="s">
        <v>8443</v>
      </c>
      <c r="AC1683" s="2">
        <v>41.64</v>
      </c>
      <c r="AD1683" s="2">
        <v>87.56</v>
      </c>
      <c r="AE1683" s="2">
        <v>30.92</v>
      </c>
      <c r="AF1683" s="2" t="s">
        <v>14871</v>
      </c>
      <c r="AG1683" s="2" t="s">
        <v>194</v>
      </c>
      <c r="AH1683" s="2" t="s">
        <v>14872</v>
      </c>
      <c r="AI1683" s="2">
        <v>1.82</v>
      </c>
      <c r="AJ1683" s="2">
        <v>17.768689494969099</v>
      </c>
      <c r="AK1683" s="2">
        <v>17.767799480668302</v>
      </c>
      <c r="AL1683" s="2">
        <v>17.8096274063363</v>
      </c>
      <c r="AM1683" s="2">
        <v>17.815332631469101</v>
      </c>
      <c r="AN1683" s="2">
        <v>17.629205691050799</v>
      </c>
      <c r="AO1683" s="2">
        <v>17.451437803242001</v>
      </c>
      <c r="AP1683" s="2">
        <v>17.571864312972401</v>
      </c>
      <c r="AQ1683" s="2">
        <v>17.838497205414001</v>
      </c>
      <c r="AR1683" s="2">
        <v>16.223855218441201</v>
      </c>
      <c r="AS1683" s="2">
        <v>15.8605562204585</v>
      </c>
      <c r="AT1683" s="2">
        <v>18.087597352120401</v>
      </c>
      <c r="AU1683" s="2">
        <v>14.9411118143808</v>
      </c>
      <c r="AV1683" s="2">
        <v>16.8817142017433</v>
      </c>
      <c r="AW1683" s="2">
        <v>17.385689028257399</v>
      </c>
      <c r="AX1683" s="2">
        <v>17.8360207589864</v>
      </c>
      <c r="AY1683" s="2">
        <v>17.227364931446601</v>
      </c>
      <c r="AZ1683" s="2">
        <v>17.791668407293301</v>
      </c>
      <c r="BA1683" s="2">
        <v>15.8523615005543</v>
      </c>
      <c r="BB1683" s="2">
        <v>18.550998521217899</v>
      </c>
      <c r="BC1683" s="2">
        <v>18.976485419658701</v>
      </c>
      <c r="BD1683" s="2">
        <v>17.011221030117799</v>
      </c>
      <c r="BE1683" s="2">
        <v>18.489867280998801</v>
      </c>
      <c r="BF1683" s="2">
        <v>13.057165929263901</v>
      </c>
      <c r="BG1683" s="2">
        <v>18.2714715085276</v>
      </c>
      <c r="BH1683" s="2">
        <v>17.172704277328901</v>
      </c>
      <c r="BI1683" s="2">
        <v>9.6233145402724691</v>
      </c>
      <c r="BJ1683" s="2">
        <v>17.898420767626199</v>
      </c>
      <c r="BK1683" s="2">
        <v>17.9980762546245</v>
      </c>
      <c r="BL1683" s="2">
        <v>18.3332517189809</v>
      </c>
      <c r="BM1683" s="2">
        <v>17.689499079581498</v>
      </c>
      <c r="BN1683" s="2">
        <v>17.375103169113</v>
      </c>
      <c r="BO1683" s="2">
        <v>17.030015185790202</v>
      </c>
      <c r="BP1683" s="2">
        <v>18.175337222056498</v>
      </c>
      <c r="BQ1683" s="2">
        <v>18.3643733541528</v>
      </c>
      <c r="BR1683" s="2">
        <v>17.315998268957401</v>
      </c>
      <c r="BS1683" s="2">
        <v>15.855525995576899</v>
      </c>
      <c r="BT1683" s="2">
        <v>17.667857484721001</v>
      </c>
      <c r="BU1683" s="2">
        <v>17.119513431463201</v>
      </c>
      <c r="BV1683" s="2">
        <v>17.312717158462899</v>
      </c>
      <c r="BW1683" s="2">
        <v>17.343001323434599</v>
      </c>
      <c r="BX1683" s="2">
        <v>16.980682941024199</v>
      </c>
      <c r="BY1683" s="2">
        <v>18.896349020637199</v>
      </c>
      <c r="BZ1683" s="2">
        <v>17.619188878944001</v>
      </c>
      <c r="CA1683" s="2">
        <v>9.6233145402724691</v>
      </c>
      <c r="CB1683" s="2">
        <v>17.378111424978901</v>
      </c>
      <c r="CC1683" s="2">
        <v>17.489344907793701</v>
      </c>
      <c r="CD1683" s="2">
        <v>18.449273040855498</v>
      </c>
      <c r="CE1683" s="2">
        <v>18.723760987384502</v>
      </c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</row>
    <row r="1684" spans="1:97">
      <c r="A1684" s="2" t="s">
        <v>14873</v>
      </c>
      <c r="B1684" s="2">
        <v>164.90915000000001</v>
      </c>
      <c r="C1684" s="2">
        <v>0.68700000000000006</v>
      </c>
      <c r="D1684" s="2" t="s">
        <v>146</v>
      </c>
      <c r="E1684" s="2" t="s">
        <v>14874</v>
      </c>
      <c r="F1684" s="2" t="s">
        <v>14875</v>
      </c>
      <c r="G1684" s="2">
        <v>58839</v>
      </c>
      <c r="H1684" s="3" t="str">
        <f>HYPERLINK("https://cloud.oebiotech.com/#/lm/network/58839", "https://cloud.oebiotech.com/#/lm/network/58839")</f>
        <v>https://cloud.oebiotech.com/#/lm/network/58839</v>
      </c>
      <c r="I1684" s="2" t="s">
        <v>14876</v>
      </c>
      <c r="J1684" s="2"/>
      <c r="K1684" s="2"/>
      <c r="L1684" s="2">
        <v>24490</v>
      </c>
      <c r="M1684" s="2"/>
      <c r="N1684" s="2"/>
      <c r="O1684" s="2"/>
      <c r="P1684" s="2">
        <v>29253</v>
      </c>
      <c r="Q1684" s="2"/>
      <c r="R1684" s="2"/>
      <c r="S1684" s="2" t="s">
        <v>14877</v>
      </c>
      <c r="T1684" s="2" t="s">
        <v>14878</v>
      </c>
      <c r="U1684" s="2" t="s">
        <v>14879</v>
      </c>
      <c r="V1684" s="2" t="s">
        <v>2756</v>
      </c>
      <c r="W1684" s="2" t="s">
        <v>2757</v>
      </c>
      <c r="X1684" s="2" t="s">
        <v>14880</v>
      </c>
      <c r="Y1684" s="2" t="s">
        <v>2759</v>
      </c>
      <c r="Z1684" s="2" t="s">
        <v>2760</v>
      </c>
      <c r="AA1684" s="2" t="s">
        <v>14881</v>
      </c>
      <c r="AB1684" s="2" t="s">
        <v>8443</v>
      </c>
      <c r="AC1684" s="2">
        <v>41.61</v>
      </c>
      <c r="AD1684" s="2">
        <v>76.3</v>
      </c>
      <c r="AE1684" s="2">
        <v>0</v>
      </c>
      <c r="AF1684" s="2" t="s">
        <v>5614</v>
      </c>
      <c r="AG1684" s="2" t="s">
        <v>4062</v>
      </c>
      <c r="AH1684" s="2" t="s">
        <v>14882</v>
      </c>
      <c r="AI1684" s="2">
        <v>-1.82</v>
      </c>
      <c r="AJ1684" s="2">
        <v>19.099829344165201</v>
      </c>
      <c r="AK1684" s="2">
        <v>18.755923049958</v>
      </c>
      <c r="AL1684" s="2">
        <v>18.720669282144499</v>
      </c>
      <c r="AM1684" s="2">
        <v>18.9349826749398</v>
      </c>
      <c r="AN1684" s="2">
        <v>18.424990710538701</v>
      </c>
      <c r="AO1684" s="2">
        <v>19.185489649211998</v>
      </c>
      <c r="AP1684" s="2">
        <v>19.1673697039842</v>
      </c>
      <c r="AQ1684" s="2">
        <v>18.950652173362499</v>
      </c>
      <c r="AR1684" s="2">
        <v>18.8326516277235</v>
      </c>
      <c r="AS1684" s="2">
        <v>18.259022830329599</v>
      </c>
      <c r="AT1684" s="2">
        <v>18.6345326849695</v>
      </c>
      <c r="AU1684" s="2">
        <v>18.067965305156498</v>
      </c>
      <c r="AV1684" s="2">
        <v>18.519768151939601</v>
      </c>
      <c r="AW1684" s="2">
        <v>18.705143228395301</v>
      </c>
      <c r="AX1684" s="2">
        <v>18.919251733624499</v>
      </c>
      <c r="AY1684" s="2">
        <v>18.8365623018306</v>
      </c>
      <c r="AZ1684" s="2">
        <v>18.606364002992098</v>
      </c>
      <c r="BA1684" s="2">
        <v>17.2237357998162</v>
      </c>
      <c r="BB1684" s="2">
        <v>18.778542691472801</v>
      </c>
      <c r="BC1684" s="2">
        <v>18.978004337371999</v>
      </c>
      <c r="BD1684" s="2">
        <v>19.1869411431618</v>
      </c>
      <c r="BE1684" s="2">
        <v>19.499407763383299</v>
      </c>
      <c r="BF1684" s="2">
        <v>18.2916483582535</v>
      </c>
      <c r="BG1684" s="2">
        <v>19.153451167578101</v>
      </c>
      <c r="BH1684" s="2">
        <v>18.694212315256301</v>
      </c>
      <c r="BI1684" s="2">
        <v>18.935324867534899</v>
      </c>
      <c r="BJ1684" s="2">
        <v>18.3508709149657</v>
      </c>
      <c r="BK1684" s="2">
        <v>19.0049981186217</v>
      </c>
      <c r="BL1684" s="2">
        <v>18.446625690932098</v>
      </c>
      <c r="BM1684" s="2">
        <v>18.313826774565701</v>
      </c>
      <c r="BN1684" s="2">
        <v>18.708437804167101</v>
      </c>
      <c r="BO1684" s="2">
        <v>18.858952462467901</v>
      </c>
      <c r="BP1684" s="2">
        <v>18.605911847987201</v>
      </c>
      <c r="BQ1684" s="2">
        <v>19.068293745905699</v>
      </c>
      <c r="BR1684" s="2">
        <v>18.715625762713501</v>
      </c>
      <c r="BS1684" s="2">
        <v>18.870944291814801</v>
      </c>
      <c r="BT1684" s="2">
        <v>18.916141587885299</v>
      </c>
      <c r="BU1684" s="2">
        <v>18.4653141789573</v>
      </c>
      <c r="BV1684" s="2">
        <v>18.976504578573401</v>
      </c>
      <c r="BW1684" s="2">
        <v>17.7717772137926</v>
      </c>
      <c r="BX1684" s="2">
        <v>18.732380672045601</v>
      </c>
      <c r="BY1684" s="2">
        <v>19.386966886519001</v>
      </c>
      <c r="BZ1684" s="2">
        <v>18.685368361078801</v>
      </c>
      <c r="CA1684" s="2">
        <v>19.4996997373757</v>
      </c>
      <c r="CB1684" s="2">
        <v>18.441619835371</v>
      </c>
      <c r="CC1684" s="2">
        <v>19.068567612464101</v>
      </c>
      <c r="CD1684" s="2">
        <v>19.339254649209298</v>
      </c>
      <c r="CE1684" s="2">
        <v>18.892337509942202</v>
      </c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</row>
    <row r="1685" spans="1:97">
      <c r="A1685" s="2" t="s">
        <v>14883</v>
      </c>
      <c r="B1685" s="2">
        <v>627.37446999999997</v>
      </c>
      <c r="C1685" s="2">
        <v>7.7759999999999998</v>
      </c>
      <c r="D1685" s="2" t="s">
        <v>146</v>
      </c>
      <c r="E1685" s="2" t="s">
        <v>14884</v>
      </c>
      <c r="F1685" s="2" t="s">
        <v>14885</v>
      </c>
      <c r="G1685" s="2">
        <v>44975</v>
      </c>
      <c r="H1685" s="3" t="str">
        <f>HYPERLINK("https://cloud.oebiotech.com/#/lm/network/44975", "https://cloud.oebiotech.com/#/lm/network/44975")</f>
        <v>https://cloud.oebiotech.com/#/lm/network/44975</v>
      </c>
      <c r="I1685" s="2"/>
      <c r="J1685" s="2"/>
      <c r="K1685" s="2" t="s">
        <v>14886</v>
      </c>
      <c r="L1685" s="2"/>
      <c r="M1685" s="2"/>
      <c r="N1685" s="2"/>
      <c r="O1685" s="2"/>
      <c r="P1685" s="2"/>
      <c r="Q1685" s="2"/>
      <c r="R1685" s="2"/>
      <c r="S1685" s="2"/>
      <c r="T1685" s="2" t="s">
        <v>14887</v>
      </c>
      <c r="U1685" s="2" t="s">
        <v>14888</v>
      </c>
      <c r="V1685" s="2" t="s">
        <v>553</v>
      </c>
      <c r="W1685" s="2" t="s">
        <v>3299</v>
      </c>
      <c r="X1685" s="2" t="s">
        <v>375</v>
      </c>
      <c r="Y1685" s="2" t="s">
        <v>556</v>
      </c>
      <c r="Z1685" s="2" t="s">
        <v>3300</v>
      </c>
      <c r="AA1685" s="2"/>
      <c r="AB1685" s="2" t="s">
        <v>3086</v>
      </c>
      <c r="AC1685" s="2">
        <v>41.61</v>
      </c>
      <c r="AD1685" s="2">
        <v>70.92</v>
      </c>
      <c r="AE1685" s="2">
        <v>0</v>
      </c>
      <c r="AF1685" s="2" t="s">
        <v>14889</v>
      </c>
      <c r="AG1685" s="2" t="s">
        <v>3880</v>
      </c>
      <c r="AH1685" s="2" t="s">
        <v>14890</v>
      </c>
      <c r="AI1685" s="2">
        <v>-8.61</v>
      </c>
      <c r="AJ1685" s="2">
        <v>18.413658172153902</v>
      </c>
      <c r="AK1685" s="2">
        <v>19.556927572455901</v>
      </c>
      <c r="AL1685" s="2">
        <v>19.556188132485801</v>
      </c>
      <c r="AM1685" s="2">
        <v>19.588597144687501</v>
      </c>
      <c r="AN1685" s="2">
        <v>19.528884876230599</v>
      </c>
      <c r="AO1685" s="2">
        <v>19.631049113607499</v>
      </c>
      <c r="AP1685" s="2">
        <v>19.5003424713904</v>
      </c>
      <c r="AQ1685" s="2">
        <v>19.421084151044901</v>
      </c>
      <c r="AR1685" s="2">
        <v>18.546547773021199</v>
      </c>
      <c r="AS1685" s="2">
        <v>17.644308440408601</v>
      </c>
      <c r="AT1685" s="2">
        <v>18.640096660557901</v>
      </c>
      <c r="AU1685" s="2">
        <v>17.287516249861302</v>
      </c>
      <c r="AV1685" s="2">
        <v>19.1534255360305</v>
      </c>
      <c r="AW1685" s="2">
        <v>19.459240866635898</v>
      </c>
      <c r="AX1685" s="2">
        <v>19.470571280450699</v>
      </c>
      <c r="AY1685" s="2">
        <v>20.2665236550665</v>
      </c>
      <c r="AZ1685" s="2">
        <v>18.625467315527001</v>
      </c>
      <c r="BA1685" s="2">
        <v>18.0034228763617</v>
      </c>
      <c r="BB1685" s="2">
        <v>19.310783146465099</v>
      </c>
      <c r="BC1685" s="2">
        <v>20.087799302053799</v>
      </c>
      <c r="BD1685" s="2">
        <v>19.1267699503397</v>
      </c>
      <c r="BE1685" s="2">
        <v>19.689227247064501</v>
      </c>
      <c r="BF1685" s="2">
        <v>19.000923045107999</v>
      </c>
      <c r="BG1685" s="2">
        <v>19.067516974278899</v>
      </c>
      <c r="BH1685" s="2">
        <v>19.199524764099898</v>
      </c>
      <c r="BI1685" s="2">
        <v>19.9830682908329</v>
      </c>
      <c r="BJ1685" s="2">
        <v>19.5443405234656</v>
      </c>
      <c r="BK1685" s="2">
        <v>18.584432788645699</v>
      </c>
      <c r="BL1685" s="2">
        <v>18.6446177359513</v>
      </c>
      <c r="BM1685" s="2">
        <v>18.109589402931299</v>
      </c>
      <c r="BN1685" s="2">
        <v>19.035435787037098</v>
      </c>
      <c r="BO1685" s="2">
        <v>17.329378977335399</v>
      </c>
      <c r="BP1685" s="2">
        <v>19.551346093162699</v>
      </c>
      <c r="BQ1685" s="2">
        <v>19.3301376479194</v>
      </c>
      <c r="BR1685" s="2">
        <v>18.941522105073201</v>
      </c>
      <c r="BS1685" s="2">
        <v>20.541759649196699</v>
      </c>
      <c r="BT1685" s="2">
        <v>19.127291395955901</v>
      </c>
      <c r="BU1685" s="2">
        <v>19.8194970988481</v>
      </c>
      <c r="BV1685" s="2">
        <v>19.465253726688399</v>
      </c>
      <c r="BW1685" s="2">
        <v>19.0846966848341</v>
      </c>
      <c r="BX1685" s="2">
        <v>18.945114040309001</v>
      </c>
      <c r="BY1685" s="2">
        <v>21.0457305570818</v>
      </c>
      <c r="BZ1685" s="2">
        <v>19.380549675013199</v>
      </c>
      <c r="CA1685" s="2">
        <v>18.703476622445201</v>
      </c>
      <c r="CB1685" s="2">
        <v>19.5888974858835</v>
      </c>
      <c r="CC1685" s="2">
        <v>19.822583604963398</v>
      </c>
      <c r="CD1685" s="2">
        <v>19.724687088559801</v>
      </c>
      <c r="CE1685" s="2">
        <v>18.991972617846599</v>
      </c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</row>
    <row r="1686" spans="1:97">
      <c r="A1686" s="2" t="s">
        <v>14891</v>
      </c>
      <c r="B1686" s="2">
        <v>654.30187000000001</v>
      </c>
      <c r="C1686" s="2">
        <v>9.9670000000000005</v>
      </c>
      <c r="D1686" s="2" t="s">
        <v>146</v>
      </c>
      <c r="E1686" s="2" t="s">
        <v>14892</v>
      </c>
      <c r="F1686" s="2" t="s">
        <v>14893</v>
      </c>
      <c r="G1686" s="2">
        <v>210057</v>
      </c>
      <c r="H1686" s="3" t="str">
        <f>HYPERLINK("https://cloud.oebiotech.com/#/lm/network/210057", "https://cloud.oebiotech.com/#/lm/network/210057")</f>
        <v>https://cloud.oebiotech.com/#/lm/network/210057</v>
      </c>
      <c r="I1686" s="2" t="s">
        <v>14894</v>
      </c>
      <c r="J1686" s="2"/>
      <c r="K1686" s="2"/>
      <c r="L1686" s="2">
        <v>44208955</v>
      </c>
      <c r="M1686" s="2"/>
      <c r="N1686" s="2"/>
      <c r="O1686" s="2"/>
      <c r="P1686" s="2"/>
      <c r="Q1686" s="2"/>
      <c r="R1686" s="2"/>
      <c r="S1686" s="2"/>
      <c r="T1686" s="2" t="s">
        <v>14895</v>
      </c>
      <c r="U1686" s="2" t="s">
        <v>14896</v>
      </c>
      <c r="V1686" s="2" t="s">
        <v>115</v>
      </c>
      <c r="W1686" s="2" t="s">
        <v>116</v>
      </c>
      <c r="X1686" s="2" t="s">
        <v>117</v>
      </c>
      <c r="Y1686" s="2" t="s">
        <v>118</v>
      </c>
      <c r="Z1686" s="2" t="s">
        <v>119</v>
      </c>
      <c r="AA1686" s="2" t="s">
        <v>120</v>
      </c>
      <c r="AB1686" s="2" t="s">
        <v>5118</v>
      </c>
      <c r="AC1686" s="2">
        <v>41.57</v>
      </c>
      <c r="AD1686" s="2">
        <v>63.93</v>
      </c>
      <c r="AE1686" s="2">
        <v>94.02</v>
      </c>
      <c r="AF1686" s="2" t="s">
        <v>14897</v>
      </c>
      <c r="AG1686" s="2" t="s">
        <v>4062</v>
      </c>
      <c r="AH1686" s="2" t="s">
        <v>14898</v>
      </c>
      <c r="AI1686" s="2">
        <v>6.88</v>
      </c>
      <c r="AJ1686" s="2">
        <v>19.8215009599772</v>
      </c>
      <c r="AK1686" s="2">
        <v>19.2457615166831</v>
      </c>
      <c r="AL1686" s="2">
        <v>19.172057709118999</v>
      </c>
      <c r="AM1686" s="2">
        <v>19.532404783457601</v>
      </c>
      <c r="AN1686" s="2">
        <v>19.5489429468374</v>
      </c>
      <c r="AO1686" s="2">
        <v>19.246843866418399</v>
      </c>
      <c r="AP1686" s="2">
        <v>19.502087380627401</v>
      </c>
      <c r="AQ1686" s="2">
        <v>19.636854961421101</v>
      </c>
      <c r="AR1686" s="2">
        <v>21.427554252267299</v>
      </c>
      <c r="AS1686" s="2">
        <v>17.354720295691099</v>
      </c>
      <c r="AT1686" s="2">
        <v>18.587765944958299</v>
      </c>
      <c r="AU1686" s="2">
        <v>18.389644824134699</v>
      </c>
      <c r="AV1686" s="2">
        <v>18.645766249177601</v>
      </c>
      <c r="AW1686" s="2">
        <v>19.281333375086898</v>
      </c>
      <c r="AX1686" s="2">
        <v>19.390016679738402</v>
      </c>
      <c r="AY1686" s="2">
        <v>18.128018947870299</v>
      </c>
      <c r="AZ1686" s="2">
        <v>20.387707119254699</v>
      </c>
      <c r="BA1686" s="2">
        <v>19.3444353588065</v>
      </c>
      <c r="BB1686" s="2">
        <v>17.529002144698602</v>
      </c>
      <c r="BC1686" s="2">
        <v>20.079552648148699</v>
      </c>
      <c r="BD1686" s="2">
        <v>19.426125129390101</v>
      </c>
      <c r="BE1686" s="2">
        <v>19.091082283257901</v>
      </c>
      <c r="BF1686" s="2">
        <v>18.593305438343702</v>
      </c>
      <c r="BG1686" s="2">
        <v>19.0094699433395</v>
      </c>
      <c r="BH1686" s="2">
        <v>20.241984766824601</v>
      </c>
      <c r="BI1686" s="2">
        <v>19.099897927177999</v>
      </c>
      <c r="BJ1686" s="2">
        <v>20.790622442976701</v>
      </c>
      <c r="BK1686" s="2">
        <v>18.431359463969098</v>
      </c>
      <c r="BL1686" s="2">
        <v>18.9674437816801</v>
      </c>
      <c r="BM1686" s="2">
        <v>18.768514437147001</v>
      </c>
      <c r="BN1686" s="2">
        <v>19.337046758868699</v>
      </c>
      <c r="BO1686" s="2">
        <v>18.366662909961601</v>
      </c>
      <c r="BP1686" s="2">
        <v>17.450379954180701</v>
      </c>
      <c r="BQ1686" s="2">
        <v>19.305527973925599</v>
      </c>
      <c r="BR1686" s="2">
        <v>19.628677421856001</v>
      </c>
      <c r="BS1686" s="2">
        <v>19.935750573750799</v>
      </c>
      <c r="BT1686" s="2">
        <v>22.4213590307793</v>
      </c>
      <c r="BU1686" s="2">
        <v>19.996107588194398</v>
      </c>
      <c r="BV1686" s="2">
        <v>18.010018387151302</v>
      </c>
      <c r="BW1686" s="2">
        <v>18.050934787088</v>
      </c>
      <c r="BX1686" s="2">
        <v>18.8477329310772</v>
      </c>
      <c r="BY1686" s="2">
        <v>19.278606468540499</v>
      </c>
      <c r="BZ1686" s="2">
        <v>17.731822361570199</v>
      </c>
      <c r="CA1686" s="2">
        <v>19.110074924790499</v>
      </c>
      <c r="CB1686" s="2">
        <v>20.114228834841601</v>
      </c>
      <c r="CC1686" s="2">
        <v>18.489188633358701</v>
      </c>
      <c r="CD1686" s="2">
        <v>19.4321620231661</v>
      </c>
      <c r="CE1686" s="2">
        <v>18.072669986290499</v>
      </c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</row>
    <row r="1687" spans="1:97">
      <c r="A1687" s="2" t="s">
        <v>14899</v>
      </c>
      <c r="B1687" s="2">
        <v>301.14067</v>
      </c>
      <c r="C1687" s="2">
        <v>7.9020000000000001</v>
      </c>
      <c r="D1687" s="2" t="s">
        <v>84</v>
      </c>
      <c r="E1687" s="2" t="s">
        <v>14900</v>
      </c>
      <c r="F1687" s="2" t="s">
        <v>14901</v>
      </c>
      <c r="G1687" s="2">
        <v>47628</v>
      </c>
      <c r="H1687" s="3" t="str">
        <f>HYPERLINK("https://cloud.oebiotech.com/#/lm/network/47628", "https://cloud.oebiotech.com/#/lm/network/47628")</f>
        <v>https://cloud.oebiotech.com/#/lm/network/47628</v>
      </c>
      <c r="I1687" s="2" t="s">
        <v>14902</v>
      </c>
      <c r="J1687" s="2">
        <v>58055</v>
      </c>
      <c r="K1687" s="2"/>
      <c r="L1687" s="2">
        <v>9943542</v>
      </c>
      <c r="M1687" s="2"/>
      <c r="N1687" s="2"/>
      <c r="O1687" s="2"/>
      <c r="P1687" s="2">
        <v>626842</v>
      </c>
      <c r="Q1687" s="2"/>
      <c r="R1687" s="2"/>
      <c r="S1687" s="2" t="s">
        <v>14903</v>
      </c>
      <c r="T1687" s="2" t="s">
        <v>14904</v>
      </c>
      <c r="U1687" s="2" t="s">
        <v>14905</v>
      </c>
      <c r="V1687" s="2" t="s">
        <v>553</v>
      </c>
      <c r="W1687" s="2" t="s">
        <v>2193</v>
      </c>
      <c r="X1687" s="2" t="s">
        <v>4866</v>
      </c>
      <c r="Y1687" s="2" t="s">
        <v>556</v>
      </c>
      <c r="Z1687" s="2" t="s">
        <v>2194</v>
      </c>
      <c r="AA1687" s="2" t="s">
        <v>4867</v>
      </c>
      <c r="AB1687" s="2" t="s">
        <v>8443</v>
      </c>
      <c r="AC1687" s="2">
        <v>41.56</v>
      </c>
      <c r="AD1687" s="2">
        <v>71.510000000000005</v>
      </c>
      <c r="AE1687" s="2">
        <v>0</v>
      </c>
      <c r="AF1687" s="2" t="s">
        <v>14906</v>
      </c>
      <c r="AG1687" s="2" t="s">
        <v>1578</v>
      </c>
      <c r="AH1687" s="2" t="s">
        <v>4808</v>
      </c>
      <c r="AI1687" s="2">
        <v>1</v>
      </c>
      <c r="AJ1687" s="2">
        <v>24.866992411020501</v>
      </c>
      <c r="AK1687" s="2">
        <v>24.719093095702</v>
      </c>
      <c r="AL1687" s="2">
        <v>25.017794502719799</v>
      </c>
      <c r="AM1687" s="2">
        <v>24.451317284785802</v>
      </c>
      <c r="AN1687" s="2">
        <v>25.023406727591698</v>
      </c>
      <c r="AO1687" s="2">
        <v>24.760086703890899</v>
      </c>
      <c r="AP1687" s="2">
        <v>24.838400157979699</v>
      </c>
      <c r="AQ1687" s="2">
        <v>23.281709208844799</v>
      </c>
      <c r="AR1687" s="2">
        <v>25.102914892826899</v>
      </c>
      <c r="AS1687" s="2">
        <v>25.059485293447601</v>
      </c>
      <c r="AT1687" s="2">
        <v>24.575780974809199</v>
      </c>
      <c r="AU1687" s="2">
        <v>24.586487947120499</v>
      </c>
      <c r="AV1687" s="2">
        <v>24.0786390620049</v>
      </c>
      <c r="AW1687" s="2">
        <v>25.125184530693101</v>
      </c>
      <c r="AX1687" s="2">
        <v>25.142055801690201</v>
      </c>
      <c r="AY1687" s="2">
        <v>25.162113642581801</v>
      </c>
      <c r="AZ1687" s="2">
        <v>24.930444780862999</v>
      </c>
      <c r="BA1687" s="2">
        <v>23.540418873827299</v>
      </c>
      <c r="BB1687" s="2">
        <v>24.190957043627101</v>
      </c>
      <c r="BC1687" s="2">
        <v>24.8329798859988</v>
      </c>
      <c r="BD1687" s="2">
        <v>25.058075649400401</v>
      </c>
      <c r="BE1687" s="2">
        <v>24.934025765690201</v>
      </c>
      <c r="BF1687" s="2">
        <v>25.021504633333301</v>
      </c>
      <c r="BG1687" s="2">
        <v>25.096110642862499</v>
      </c>
      <c r="BH1687" s="2">
        <v>24.985294192296902</v>
      </c>
      <c r="BI1687" s="2">
        <v>24.9938523961013</v>
      </c>
      <c r="BJ1687" s="2">
        <v>24.951760515259501</v>
      </c>
      <c r="BK1687" s="2">
        <v>24.9148170421775</v>
      </c>
      <c r="BL1687" s="2">
        <v>24.885525149497902</v>
      </c>
      <c r="BM1687" s="2">
        <v>24.9477311498384</v>
      </c>
      <c r="BN1687" s="2">
        <v>24.884804009719399</v>
      </c>
      <c r="BO1687" s="2">
        <v>25.016372537745699</v>
      </c>
      <c r="BP1687" s="2">
        <v>24.9775682018259</v>
      </c>
      <c r="BQ1687" s="2">
        <v>24.2635158117182</v>
      </c>
      <c r="BR1687" s="2">
        <v>24.983212086670399</v>
      </c>
      <c r="BS1687" s="2">
        <v>24.528567232414101</v>
      </c>
      <c r="BT1687" s="2">
        <v>24.884375631950899</v>
      </c>
      <c r="BU1687" s="2">
        <v>24.896453162337501</v>
      </c>
      <c r="BV1687" s="2">
        <v>23.611669327121401</v>
      </c>
      <c r="BW1687" s="2">
        <v>24.8473547844489</v>
      </c>
      <c r="BX1687" s="2">
        <v>24.340726905261999</v>
      </c>
      <c r="BY1687" s="2">
        <v>24.442959660071502</v>
      </c>
      <c r="BZ1687" s="2">
        <v>24.790530957193901</v>
      </c>
      <c r="CA1687" s="2">
        <v>24.6830973318819</v>
      </c>
      <c r="CB1687" s="2">
        <v>24.258076474363701</v>
      </c>
      <c r="CC1687" s="2">
        <v>24.952484596561</v>
      </c>
      <c r="CD1687" s="2">
        <v>24.666254860237501</v>
      </c>
      <c r="CE1687" s="2">
        <v>23.7728342350884</v>
      </c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</row>
    <row r="1688" spans="1:97">
      <c r="A1688" s="2" t="s">
        <v>14907</v>
      </c>
      <c r="B1688" s="2">
        <v>476.93954000000002</v>
      </c>
      <c r="C1688" s="2">
        <v>0.71</v>
      </c>
      <c r="D1688" s="2" t="s">
        <v>146</v>
      </c>
      <c r="E1688" s="2" t="s">
        <v>14908</v>
      </c>
      <c r="F1688" s="2" t="s">
        <v>14909</v>
      </c>
      <c r="G1688" s="2">
        <v>206086</v>
      </c>
      <c r="H1688" s="3" t="str">
        <f>HYPERLINK("https://cloud.oebiotech.com/#/lm/network/206086", "https://cloud.oebiotech.com/#/lm/network/206086")</f>
        <v>https://cloud.oebiotech.com/#/lm/network/206086</v>
      </c>
      <c r="I1688" s="2" t="s">
        <v>14910</v>
      </c>
      <c r="J1688" s="2"/>
      <c r="K1688" s="2"/>
      <c r="L1688" s="2">
        <v>54510520</v>
      </c>
      <c r="M1688" s="2"/>
      <c r="N1688" s="2"/>
      <c r="O1688" s="2"/>
      <c r="P1688" s="2"/>
      <c r="Q1688" s="2"/>
      <c r="R1688" s="2"/>
      <c r="S1688" s="2"/>
      <c r="T1688" s="2" t="s">
        <v>14911</v>
      </c>
      <c r="U1688" s="2" t="s">
        <v>14912</v>
      </c>
      <c r="V1688" s="2" t="s">
        <v>553</v>
      </c>
      <c r="W1688" s="2" t="s">
        <v>2447</v>
      </c>
      <c r="X1688" s="2" t="s">
        <v>375</v>
      </c>
      <c r="Y1688" s="2" t="s">
        <v>556</v>
      </c>
      <c r="Z1688" s="2" t="s">
        <v>2449</v>
      </c>
      <c r="AA1688" s="2"/>
      <c r="AB1688" s="2" t="s">
        <v>8443</v>
      </c>
      <c r="AC1688" s="2">
        <v>41.55</v>
      </c>
      <c r="AD1688" s="2">
        <v>91.94</v>
      </c>
      <c r="AE1688" s="2">
        <v>0</v>
      </c>
      <c r="AF1688" s="2" t="s">
        <v>5614</v>
      </c>
      <c r="AG1688" s="2" t="s">
        <v>3880</v>
      </c>
      <c r="AH1688" s="2" t="s">
        <v>14913</v>
      </c>
      <c r="AI1688" s="2">
        <v>6.08</v>
      </c>
      <c r="AJ1688" s="2">
        <v>19.183422737301601</v>
      </c>
      <c r="AK1688" s="2">
        <v>18.4312433914147</v>
      </c>
      <c r="AL1688" s="2">
        <v>18.657411022799799</v>
      </c>
      <c r="AM1688" s="2">
        <v>18.348760437144801</v>
      </c>
      <c r="AN1688" s="2">
        <v>18.908780165168899</v>
      </c>
      <c r="AO1688" s="2">
        <v>18.211337038452999</v>
      </c>
      <c r="AP1688" s="2">
        <v>19.1807151096144</v>
      </c>
      <c r="AQ1688" s="2">
        <v>19.268057473741798</v>
      </c>
      <c r="AR1688" s="2">
        <v>18.4051205998969</v>
      </c>
      <c r="AS1688" s="2">
        <v>18.353606685350599</v>
      </c>
      <c r="AT1688" s="2">
        <v>19.146788660813701</v>
      </c>
      <c r="AU1688" s="2">
        <v>18.094803831131099</v>
      </c>
      <c r="AV1688" s="2">
        <v>18.338162401990701</v>
      </c>
      <c r="AW1688" s="2">
        <v>18.826587184474601</v>
      </c>
      <c r="AX1688" s="2">
        <v>19.007739610077198</v>
      </c>
      <c r="AY1688" s="2">
        <v>18.946870017060899</v>
      </c>
      <c r="AZ1688" s="2">
        <v>18.175273765954699</v>
      </c>
      <c r="BA1688" s="2">
        <v>18.149516868005499</v>
      </c>
      <c r="BB1688" s="2">
        <v>18.068658793557901</v>
      </c>
      <c r="BC1688" s="2">
        <v>18.154483844002801</v>
      </c>
      <c r="BD1688" s="2">
        <v>18.699617828228099</v>
      </c>
      <c r="BE1688" s="2">
        <v>19.216076353748701</v>
      </c>
      <c r="BF1688" s="2">
        <v>18.2734599777169</v>
      </c>
      <c r="BG1688" s="2">
        <v>18.779600837504201</v>
      </c>
      <c r="BH1688" s="2">
        <v>18.8432427275531</v>
      </c>
      <c r="BI1688" s="2">
        <v>18.7627258719778</v>
      </c>
      <c r="BJ1688" s="2">
        <v>18.948916020728099</v>
      </c>
      <c r="BK1688" s="2">
        <v>18.2923294524123</v>
      </c>
      <c r="BL1688" s="2">
        <v>18.858907068035801</v>
      </c>
      <c r="BM1688" s="2">
        <v>17.559731088184201</v>
      </c>
      <c r="BN1688" s="2">
        <v>18.791235875058799</v>
      </c>
      <c r="BO1688" s="2">
        <v>19.173394502773601</v>
      </c>
      <c r="BP1688" s="2">
        <v>18.799684053371401</v>
      </c>
      <c r="BQ1688" s="2">
        <v>18.4512523713544</v>
      </c>
      <c r="BR1688" s="2">
        <v>18.741368525899102</v>
      </c>
      <c r="BS1688" s="2">
        <v>19.0205317933431</v>
      </c>
      <c r="BT1688" s="2">
        <v>18.063529800973502</v>
      </c>
      <c r="BU1688" s="2">
        <v>18.8223365221031</v>
      </c>
      <c r="BV1688" s="2">
        <v>18.658424612701801</v>
      </c>
      <c r="BW1688" s="2">
        <v>18.275071540973698</v>
      </c>
      <c r="BX1688" s="2">
        <v>18.9432925309338</v>
      </c>
      <c r="BY1688" s="2">
        <v>19.1036053354415</v>
      </c>
      <c r="BZ1688" s="2">
        <v>17.363770480427501</v>
      </c>
      <c r="CA1688" s="2">
        <v>18.201227697628902</v>
      </c>
      <c r="CB1688" s="2">
        <v>18.5234035630058</v>
      </c>
      <c r="CC1688" s="2">
        <v>17.879763850383998</v>
      </c>
      <c r="CD1688" s="2">
        <v>18.831605320658301</v>
      </c>
      <c r="CE1688" s="2">
        <v>18.644826829347</v>
      </c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</row>
    <row r="1689" spans="1:97">
      <c r="A1689" s="2" t="s">
        <v>14914</v>
      </c>
      <c r="B1689" s="2">
        <v>151.00044</v>
      </c>
      <c r="C1689" s="2">
        <v>0.58299999999999996</v>
      </c>
      <c r="D1689" s="2" t="s">
        <v>84</v>
      </c>
      <c r="E1689" s="2" t="s">
        <v>14915</v>
      </c>
      <c r="F1689" s="2" t="s">
        <v>14916</v>
      </c>
      <c r="G1689" s="2">
        <v>208719</v>
      </c>
      <c r="H1689" s="3" t="str">
        <f>HYPERLINK("https://cloud.oebiotech.com/#/lm/network/208719", "https://cloud.oebiotech.com/#/lm/network/208719")</f>
        <v>https://cloud.oebiotech.com/#/lm/network/208719</v>
      </c>
      <c r="I1689" s="2" t="s">
        <v>14917</v>
      </c>
      <c r="J1689" s="2"/>
      <c r="K1689" s="2"/>
      <c r="L1689" s="2">
        <v>20591840</v>
      </c>
      <c r="M1689" s="2"/>
      <c r="N1689" s="2"/>
      <c r="O1689" s="2"/>
      <c r="P1689" s="2"/>
      <c r="Q1689" s="2"/>
      <c r="R1689" s="2"/>
      <c r="S1689" s="2"/>
      <c r="T1689" s="2" t="s">
        <v>14918</v>
      </c>
      <c r="U1689" s="2" t="s">
        <v>14919</v>
      </c>
      <c r="V1689" s="2" t="s">
        <v>338</v>
      </c>
      <c r="W1689" s="2" t="s">
        <v>339</v>
      </c>
      <c r="X1689" s="2" t="s">
        <v>340</v>
      </c>
      <c r="Y1689" s="2" t="s">
        <v>341</v>
      </c>
      <c r="Z1689" s="2" t="s">
        <v>341</v>
      </c>
      <c r="AA1689" s="2" t="s">
        <v>342</v>
      </c>
      <c r="AB1689" s="2" t="s">
        <v>8443</v>
      </c>
      <c r="AC1689" s="2">
        <v>41.55</v>
      </c>
      <c r="AD1689" s="2">
        <v>72.97</v>
      </c>
      <c r="AE1689" s="2">
        <v>0</v>
      </c>
      <c r="AF1689" s="2" t="s">
        <v>5614</v>
      </c>
      <c r="AG1689" s="2" t="s">
        <v>1578</v>
      </c>
      <c r="AH1689" s="2" t="s">
        <v>14920</v>
      </c>
      <c r="AI1689" s="2">
        <v>-1.32</v>
      </c>
      <c r="AJ1689" s="2">
        <v>21.586676442770401</v>
      </c>
      <c r="AK1689" s="2">
        <v>21.771929839069902</v>
      </c>
      <c r="AL1689" s="2">
        <v>21.373293223348501</v>
      </c>
      <c r="AM1689" s="2">
        <v>21.5090754524524</v>
      </c>
      <c r="AN1689" s="2">
        <v>21.2461005168627</v>
      </c>
      <c r="AO1689" s="2">
        <v>21.980699973608601</v>
      </c>
      <c r="AP1689" s="2">
        <v>21.658606242601</v>
      </c>
      <c r="AQ1689" s="2">
        <v>21.972194169622</v>
      </c>
      <c r="AR1689" s="2">
        <v>21.3783203129443</v>
      </c>
      <c r="AS1689" s="2">
        <v>21.380765131688399</v>
      </c>
      <c r="AT1689" s="2">
        <v>20.885654836044299</v>
      </c>
      <c r="AU1689" s="2">
        <v>21.716675707197702</v>
      </c>
      <c r="AV1689" s="2">
        <v>20.447846615977099</v>
      </c>
      <c r="AW1689" s="2">
        <v>21.393182493585901</v>
      </c>
      <c r="AX1689" s="2">
        <v>21.786771348859599</v>
      </c>
      <c r="AY1689" s="2">
        <v>19.101149232108298</v>
      </c>
      <c r="AZ1689" s="2">
        <v>20.744763473792499</v>
      </c>
      <c r="BA1689" s="2">
        <v>21.287417160415501</v>
      </c>
      <c r="BB1689" s="2">
        <v>20.9210930845225</v>
      </c>
      <c r="BC1689" s="2">
        <v>21.754028705135202</v>
      </c>
      <c r="BD1689" s="2">
        <v>21.438353489737501</v>
      </c>
      <c r="BE1689" s="2">
        <v>21.9027617506936</v>
      </c>
      <c r="BF1689" s="2">
        <v>21.468500181274202</v>
      </c>
      <c r="BG1689" s="2">
        <v>21.834864557357601</v>
      </c>
      <c r="BH1689" s="2">
        <v>21.4746785259928</v>
      </c>
      <c r="BI1689" s="2">
        <v>21.293476520979201</v>
      </c>
      <c r="BJ1689" s="2">
        <v>20.824976246595099</v>
      </c>
      <c r="BK1689" s="2">
        <v>21.7865552250482</v>
      </c>
      <c r="BL1689" s="2">
        <v>20.850750173548501</v>
      </c>
      <c r="BM1689" s="2">
        <v>21.413686266296601</v>
      </c>
      <c r="BN1689" s="2">
        <v>21.329257364869601</v>
      </c>
      <c r="BO1689" s="2">
        <v>19.899965151362299</v>
      </c>
      <c r="BP1689" s="2">
        <v>21.391254976882699</v>
      </c>
      <c r="BQ1689" s="2">
        <v>20.171069361826302</v>
      </c>
      <c r="BR1689" s="2">
        <v>20.513975603373801</v>
      </c>
      <c r="BS1689" s="2">
        <v>21.161558225157101</v>
      </c>
      <c r="BT1689" s="2">
        <v>22.175241156498799</v>
      </c>
      <c r="BU1689" s="2">
        <v>22.0175092910698</v>
      </c>
      <c r="BV1689" s="2">
        <v>22.2328529371634</v>
      </c>
      <c r="BW1689" s="2">
        <v>21.317033728267901</v>
      </c>
      <c r="BX1689" s="2">
        <v>21.243262500852101</v>
      </c>
      <c r="BY1689" s="2">
        <v>21.279900965112201</v>
      </c>
      <c r="BZ1689" s="2">
        <v>21.463618511846299</v>
      </c>
      <c r="CA1689" s="2">
        <v>20.694068216856699</v>
      </c>
      <c r="CB1689" s="2">
        <v>21.406379023501199</v>
      </c>
      <c r="CC1689" s="2">
        <v>20.542943639685401</v>
      </c>
      <c r="CD1689" s="2">
        <v>21.432390177648699</v>
      </c>
      <c r="CE1689" s="2">
        <v>21.409462678555599</v>
      </c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</row>
    <row r="1690" spans="1:97">
      <c r="A1690" s="2" t="s">
        <v>14921</v>
      </c>
      <c r="B1690" s="2">
        <v>397.20472000000001</v>
      </c>
      <c r="C1690" s="2">
        <v>7.9180000000000001</v>
      </c>
      <c r="D1690" s="2" t="s">
        <v>146</v>
      </c>
      <c r="E1690" s="2" t="s">
        <v>14922</v>
      </c>
      <c r="F1690" s="2" t="s">
        <v>14923</v>
      </c>
      <c r="G1690" s="2">
        <v>46221</v>
      </c>
      <c r="H1690" s="3" t="str">
        <f>HYPERLINK("https://cloud.oebiotech.com/#/lm/network/46221", "https://cloud.oebiotech.com/#/lm/network/46221")</f>
        <v>https://cloud.oebiotech.com/#/lm/network/46221</v>
      </c>
      <c r="I1690" s="2"/>
      <c r="J1690" s="2">
        <v>84673</v>
      </c>
      <c r="K1690" s="2" t="s">
        <v>14924</v>
      </c>
      <c r="L1690" s="2">
        <v>5284111</v>
      </c>
      <c r="M1690" s="2"/>
      <c r="N1690" s="2"/>
      <c r="O1690" s="2"/>
      <c r="P1690" s="2"/>
      <c r="Q1690" s="2"/>
      <c r="R1690" s="2"/>
      <c r="S1690" s="2"/>
      <c r="T1690" s="2" t="s">
        <v>14925</v>
      </c>
      <c r="U1690" s="2" t="s">
        <v>14926</v>
      </c>
      <c r="V1690" s="2" t="s">
        <v>95</v>
      </c>
      <c r="W1690" s="2" t="s">
        <v>152</v>
      </c>
      <c r="X1690" s="2" t="s">
        <v>278</v>
      </c>
      <c r="Y1690" s="2" t="s">
        <v>98</v>
      </c>
      <c r="Z1690" s="2" t="s">
        <v>154</v>
      </c>
      <c r="AA1690" s="2" t="s">
        <v>279</v>
      </c>
      <c r="AB1690" s="2" t="s">
        <v>8443</v>
      </c>
      <c r="AC1690" s="2">
        <v>41.54</v>
      </c>
      <c r="AD1690" s="2">
        <v>96.17</v>
      </c>
      <c r="AE1690" s="2">
        <v>0</v>
      </c>
      <c r="AF1690" s="2" t="s">
        <v>14927</v>
      </c>
      <c r="AG1690" s="2" t="s">
        <v>194</v>
      </c>
      <c r="AH1690" s="2" t="s">
        <v>14928</v>
      </c>
      <c r="AI1690" s="2">
        <v>-6.55</v>
      </c>
      <c r="AJ1690" s="2">
        <v>23.3516610555744</v>
      </c>
      <c r="AK1690" s="2">
        <v>23.245742583822398</v>
      </c>
      <c r="AL1690" s="2">
        <v>23.2359415643141</v>
      </c>
      <c r="AM1690" s="2">
        <v>23.2302175513253</v>
      </c>
      <c r="AN1690" s="2">
        <v>23.1964645288698</v>
      </c>
      <c r="AO1690" s="2">
        <v>23.2692271826443</v>
      </c>
      <c r="AP1690" s="2">
        <v>23.2499331164327</v>
      </c>
      <c r="AQ1690" s="2">
        <v>23.263005456563601</v>
      </c>
      <c r="AR1690" s="2">
        <v>20.750302368610399</v>
      </c>
      <c r="AS1690" s="2">
        <v>21.239158335093201</v>
      </c>
      <c r="AT1690" s="2">
        <v>23.6560301739731</v>
      </c>
      <c r="AU1690" s="2">
        <v>22.469683464597502</v>
      </c>
      <c r="AV1690" s="2">
        <v>23.841978747090401</v>
      </c>
      <c r="AW1690" s="2">
        <v>23.632594171234199</v>
      </c>
      <c r="AX1690" s="2">
        <v>22.9867169672399</v>
      </c>
      <c r="AY1690" s="2">
        <v>23.8864070162392</v>
      </c>
      <c r="AZ1690" s="2">
        <v>23.338174601235401</v>
      </c>
      <c r="BA1690" s="2">
        <v>23.3943476780053</v>
      </c>
      <c r="BB1690" s="2">
        <v>22.345095486866999</v>
      </c>
      <c r="BC1690" s="2">
        <v>25.2259005720449</v>
      </c>
      <c r="BD1690" s="2">
        <v>22.1599688499069</v>
      </c>
      <c r="BE1690" s="2">
        <v>24.9310455697203</v>
      </c>
      <c r="BF1690" s="2">
        <v>20.9434285213758</v>
      </c>
      <c r="BG1690" s="2">
        <v>23.284287431003499</v>
      </c>
      <c r="BH1690" s="2">
        <v>23.7248487088921</v>
      </c>
      <c r="BI1690" s="2">
        <v>19.9461993050536</v>
      </c>
      <c r="BJ1690" s="2">
        <v>23.8299623673452</v>
      </c>
      <c r="BK1690" s="2">
        <v>23.137936203170501</v>
      </c>
      <c r="BL1690" s="2">
        <v>22.546444232577301</v>
      </c>
      <c r="BM1690" s="2">
        <v>21.950576702644199</v>
      </c>
      <c r="BN1690" s="2">
        <v>22.7420465915195</v>
      </c>
      <c r="BO1690" s="2">
        <v>23.207737819192499</v>
      </c>
      <c r="BP1690" s="2">
        <v>23.390715184260699</v>
      </c>
      <c r="BQ1690" s="2">
        <v>22.893089899725801</v>
      </c>
      <c r="BR1690" s="2">
        <v>23.491402526214198</v>
      </c>
      <c r="BS1690" s="2">
        <v>23.254109102514398</v>
      </c>
      <c r="BT1690" s="2">
        <v>22.861284757010701</v>
      </c>
      <c r="BU1690" s="2">
        <v>23.415060969990201</v>
      </c>
      <c r="BV1690" s="2">
        <v>21.579149237886</v>
      </c>
      <c r="BW1690" s="2">
        <v>23.799689907243501</v>
      </c>
      <c r="BX1690" s="2">
        <v>22.529263308839301</v>
      </c>
      <c r="BY1690" s="2">
        <v>24.5271420081286</v>
      </c>
      <c r="BZ1690" s="2">
        <v>22.285390289037899</v>
      </c>
      <c r="CA1690" s="2">
        <v>20.309881475395098</v>
      </c>
      <c r="CB1690" s="2">
        <v>23.808666648506801</v>
      </c>
      <c r="CC1690" s="2">
        <v>21.191983640148401</v>
      </c>
      <c r="CD1690" s="2">
        <v>22.608755319185999</v>
      </c>
      <c r="CE1690" s="2">
        <v>23.797575164944199</v>
      </c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</row>
    <row r="1691" spans="1:97">
      <c r="A1691" s="2" t="s">
        <v>14929</v>
      </c>
      <c r="B1691" s="2">
        <v>251.01682</v>
      </c>
      <c r="C1691" s="2">
        <v>4.2190000000000003</v>
      </c>
      <c r="D1691" s="2" t="s">
        <v>146</v>
      </c>
      <c r="E1691" s="2" t="s">
        <v>14930</v>
      </c>
      <c r="F1691" s="2" t="s">
        <v>14931</v>
      </c>
      <c r="G1691" s="2">
        <v>212393</v>
      </c>
      <c r="H1691" s="3" t="str">
        <f>HYPERLINK("https://cloud.oebiotech.com/#/lm/network/212393", "https://cloud.oebiotech.com/#/lm/network/212393")</f>
        <v>https://cloud.oebiotech.com/#/lm/network/212393</v>
      </c>
      <c r="I1691" s="2" t="s">
        <v>14932</v>
      </c>
      <c r="J1691" s="2">
        <v>72318</v>
      </c>
      <c r="K1691" s="2"/>
      <c r="L1691" s="2">
        <v>115224</v>
      </c>
      <c r="M1691" s="2" t="s">
        <v>14933</v>
      </c>
      <c r="N1691" s="2"/>
      <c r="O1691" s="2"/>
      <c r="P1691" s="2">
        <v>39175</v>
      </c>
      <c r="Q1691" s="2"/>
      <c r="R1691" s="2"/>
      <c r="S1691" s="2" t="s">
        <v>14934</v>
      </c>
      <c r="T1691" s="2" t="s">
        <v>14935</v>
      </c>
      <c r="U1691" s="2" t="s">
        <v>14936</v>
      </c>
      <c r="V1691" s="2" t="s">
        <v>553</v>
      </c>
      <c r="W1691" s="2" t="s">
        <v>2447</v>
      </c>
      <c r="X1691" s="2" t="s">
        <v>14937</v>
      </c>
      <c r="Y1691" s="2" t="s">
        <v>556</v>
      </c>
      <c r="Z1691" s="2" t="s">
        <v>2449</v>
      </c>
      <c r="AA1691" s="2" t="s">
        <v>14938</v>
      </c>
      <c r="AB1691" s="2" t="s">
        <v>8443</v>
      </c>
      <c r="AC1691" s="2">
        <v>41.53</v>
      </c>
      <c r="AD1691" s="2">
        <v>75.63</v>
      </c>
      <c r="AE1691" s="2">
        <v>0</v>
      </c>
      <c r="AF1691" s="2" t="s">
        <v>14939</v>
      </c>
      <c r="AG1691" s="2" t="s">
        <v>194</v>
      </c>
      <c r="AH1691" s="2" t="s">
        <v>14940</v>
      </c>
      <c r="AI1691" s="2">
        <v>-1.59</v>
      </c>
      <c r="AJ1691" s="2">
        <v>22.0590738132626</v>
      </c>
      <c r="AK1691" s="2">
        <v>22.144614587991398</v>
      </c>
      <c r="AL1691" s="2">
        <v>22.251509154856802</v>
      </c>
      <c r="AM1691" s="2">
        <v>21.934292833465399</v>
      </c>
      <c r="AN1691" s="2">
        <v>21.947400023038</v>
      </c>
      <c r="AO1691" s="2">
        <v>22.067075747217501</v>
      </c>
      <c r="AP1691" s="2">
        <v>22.058016057486</v>
      </c>
      <c r="AQ1691" s="2">
        <v>22.025313809621199</v>
      </c>
      <c r="AR1691" s="2">
        <v>19.3061951820434</v>
      </c>
      <c r="AS1691" s="2">
        <v>20.919969963859799</v>
      </c>
      <c r="AT1691" s="2">
        <v>22.512746525997301</v>
      </c>
      <c r="AU1691" s="2">
        <v>22.0266825712064</v>
      </c>
      <c r="AV1691" s="2">
        <v>22.990472605349499</v>
      </c>
      <c r="AW1691" s="2">
        <v>20.382565664969199</v>
      </c>
      <c r="AX1691" s="2">
        <v>23.2758591929713</v>
      </c>
      <c r="AY1691" s="2">
        <v>21.302500577894101</v>
      </c>
      <c r="AZ1691" s="2">
        <v>22.2965485040116</v>
      </c>
      <c r="BA1691" s="2">
        <v>23.4460900819263</v>
      </c>
      <c r="BB1691" s="2">
        <v>21.765305295168002</v>
      </c>
      <c r="BC1691" s="2">
        <v>20.0381397422018</v>
      </c>
      <c r="BD1691" s="2">
        <v>20.8536281331513</v>
      </c>
      <c r="BE1691" s="2">
        <v>22.7682914107702</v>
      </c>
      <c r="BF1691" s="2">
        <v>21.7756394908528</v>
      </c>
      <c r="BG1691" s="2">
        <v>21.472688053203399</v>
      </c>
      <c r="BH1691" s="2">
        <v>18.753556408080701</v>
      </c>
      <c r="BI1691" s="2">
        <v>24.0166846371941</v>
      </c>
      <c r="BJ1691" s="2">
        <v>21.582162696576901</v>
      </c>
      <c r="BK1691" s="2">
        <v>15.274742130098399</v>
      </c>
      <c r="BL1691" s="2">
        <v>19.367455854603399</v>
      </c>
      <c r="BM1691" s="2">
        <v>21.753030746007202</v>
      </c>
      <c r="BN1691" s="2">
        <v>21.627227121712401</v>
      </c>
      <c r="BO1691" s="2">
        <v>23.6285518821017</v>
      </c>
      <c r="BP1691" s="2">
        <v>20.726180133990798</v>
      </c>
      <c r="BQ1691" s="2">
        <v>20.660820949514601</v>
      </c>
      <c r="BR1691" s="2">
        <v>23.272502850468001</v>
      </c>
      <c r="BS1691" s="2">
        <v>21.5563275244468</v>
      </c>
      <c r="BT1691" s="2">
        <v>19.680724807805401</v>
      </c>
      <c r="BU1691" s="2">
        <v>23.543185697218799</v>
      </c>
      <c r="BV1691" s="2">
        <v>21.543890661454402</v>
      </c>
      <c r="BW1691" s="2">
        <v>19.582831792034</v>
      </c>
      <c r="BX1691" s="2">
        <v>19.089439618653898</v>
      </c>
      <c r="BY1691" s="2">
        <v>23.261904435843299</v>
      </c>
      <c r="BZ1691" s="2">
        <v>18.791906160524</v>
      </c>
      <c r="CA1691" s="2">
        <v>21.017596352698</v>
      </c>
      <c r="CB1691" s="2">
        <v>19.452316016834299</v>
      </c>
      <c r="CC1691" s="2">
        <v>23.540050488857599</v>
      </c>
      <c r="CD1691" s="2">
        <v>19.718132413756798</v>
      </c>
      <c r="CE1691" s="2">
        <v>12.091722971014301</v>
      </c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</row>
    <row r="1692" spans="1:97">
      <c r="A1692" s="2" t="s">
        <v>14941</v>
      </c>
      <c r="B1692" s="2">
        <v>496.24745000000001</v>
      </c>
      <c r="C1692" s="2">
        <v>10.669</v>
      </c>
      <c r="D1692" s="2" t="s">
        <v>84</v>
      </c>
      <c r="E1692" s="2" t="s">
        <v>14942</v>
      </c>
      <c r="F1692" s="2" t="s">
        <v>14943</v>
      </c>
      <c r="G1692" s="2">
        <v>198519</v>
      </c>
      <c r="H1692" s="3" t="str">
        <f>HYPERLINK("https://cloud.oebiotech.com/#/lm/network/198519", "https://cloud.oebiotech.com/#/lm/network/198519")</f>
        <v>https://cloud.oebiotech.com/#/lm/network/198519</v>
      </c>
      <c r="I1692" s="2" t="s">
        <v>14944</v>
      </c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 t="s">
        <v>14945</v>
      </c>
      <c r="U1692" s="2" t="s">
        <v>14946</v>
      </c>
      <c r="V1692" s="2" t="s">
        <v>115</v>
      </c>
      <c r="W1692" s="2" t="s">
        <v>116</v>
      </c>
      <c r="X1692" s="2" t="s">
        <v>117</v>
      </c>
      <c r="Y1692" s="2" t="s">
        <v>118</v>
      </c>
      <c r="Z1692" s="2" t="s">
        <v>119</v>
      </c>
      <c r="AA1692" s="2" t="s">
        <v>120</v>
      </c>
      <c r="AB1692" s="2" t="s">
        <v>8443</v>
      </c>
      <c r="AC1692" s="2">
        <v>41.52</v>
      </c>
      <c r="AD1692" s="2">
        <v>73.59</v>
      </c>
      <c r="AE1692" s="2">
        <v>0</v>
      </c>
      <c r="AF1692" s="2" t="s">
        <v>5614</v>
      </c>
      <c r="AG1692" s="2" t="s">
        <v>3544</v>
      </c>
      <c r="AH1692" s="2" t="s">
        <v>14947</v>
      </c>
      <c r="AI1692" s="2">
        <v>-3.02</v>
      </c>
      <c r="AJ1692" s="2">
        <v>20.650073676337499</v>
      </c>
      <c r="AK1692" s="2">
        <v>20.5974182366609</v>
      </c>
      <c r="AL1692" s="2">
        <v>20.167659987699501</v>
      </c>
      <c r="AM1692" s="2">
        <v>20.789314590988099</v>
      </c>
      <c r="AN1692" s="2">
        <v>20.764952008120002</v>
      </c>
      <c r="AO1692" s="2">
        <v>20.507740906223699</v>
      </c>
      <c r="AP1692" s="2">
        <v>19.600602267012199</v>
      </c>
      <c r="AQ1692" s="2">
        <v>20.942354680028298</v>
      </c>
      <c r="AR1692" s="2">
        <v>19.5507909108888</v>
      </c>
      <c r="AS1692" s="2">
        <v>19.946031046275898</v>
      </c>
      <c r="AT1692" s="2">
        <v>20.6492652132819</v>
      </c>
      <c r="AU1692" s="2">
        <v>20.817587597870801</v>
      </c>
      <c r="AV1692" s="2">
        <v>19.242864740283402</v>
      </c>
      <c r="AW1692" s="2">
        <v>20.562520735407301</v>
      </c>
      <c r="AX1692" s="2">
        <v>20.1720928176501</v>
      </c>
      <c r="AY1692" s="2">
        <v>20.1299491636216</v>
      </c>
      <c r="AZ1692" s="2">
        <v>19.706200670676701</v>
      </c>
      <c r="BA1692" s="2">
        <v>19.805943935247399</v>
      </c>
      <c r="BB1692" s="2">
        <v>19.0169370667975</v>
      </c>
      <c r="BC1692" s="2">
        <v>20.6068112822384</v>
      </c>
      <c r="BD1692" s="2">
        <v>20.2357795694579</v>
      </c>
      <c r="BE1692" s="2">
        <v>21.045100708688</v>
      </c>
      <c r="BF1692" s="2">
        <v>21.110131836683699</v>
      </c>
      <c r="BG1692" s="2">
        <v>20.681422824516201</v>
      </c>
      <c r="BH1692" s="2">
        <v>20.327944742374001</v>
      </c>
      <c r="BI1692" s="2">
        <v>21.063600895032302</v>
      </c>
      <c r="BJ1692" s="2">
        <v>20.5648085453929</v>
      </c>
      <c r="BK1692" s="2">
        <v>20.360507305431199</v>
      </c>
      <c r="BL1692" s="2">
        <v>19.070217767453801</v>
      </c>
      <c r="BM1692" s="2">
        <v>20.457797040426801</v>
      </c>
      <c r="BN1692" s="2">
        <v>18.739988581999199</v>
      </c>
      <c r="BO1692" s="2">
        <v>20.352194622050401</v>
      </c>
      <c r="BP1692" s="2">
        <v>20.3212687746529</v>
      </c>
      <c r="BQ1692" s="2">
        <v>19.615758397099</v>
      </c>
      <c r="BR1692" s="2">
        <v>20.330077047317701</v>
      </c>
      <c r="BS1692" s="2">
        <v>21.0932398473349</v>
      </c>
      <c r="BT1692" s="2">
        <v>20.832615626866001</v>
      </c>
      <c r="BU1692" s="2">
        <v>20.804207010551199</v>
      </c>
      <c r="BV1692" s="2">
        <v>17.293193842226898</v>
      </c>
      <c r="BW1692" s="2">
        <v>19.845374778362402</v>
      </c>
      <c r="BX1692" s="2">
        <v>19.6551674951133</v>
      </c>
      <c r="BY1692" s="2">
        <v>21.200602954940202</v>
      </c>
      <c r="BZ1692" s="2">
        <v>20.616298992390799</v>
      </c>
      <c r="CA1692" s="2">
        <v>19.911896800058301</v>
      </c>
      <c r="CB1692" s="2">
        <v>20.049351474100298</v>
      </c>
      <c r="CC1692" s="2">
        <v>19.4844913117457</v>
      </c>
      <c r="CD1692" s="2">
        <v>20.170708283635602</v>
      </c>
      <c r="CE1692" s="2">
        <v>20.2048045102385</v>
      </c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</row>
    <row r="1693" spans="1:97">
      <c r="A1693" s="2" t="s">
        <v>14948</v>
      </c>
      <c r="B1693" s="2">
        <v>274.01163000000003</v>
      </c>
      <c r="C1693" s="2">
        <v>4.8120000000000003</v>
      </c>
      <c r="D1693" s="2" t="s">
        <v>84</v>
      </c>
      <c r="E1693" s="2" t="s">
        <v>14949</v>
      </c>
      <c r="F1693" s="2" t="s">
        <v>14950</v>
      </c>
      <c r="G1693" s="2">
        <v>53074</v>
      </c>
      <c r="H1693" s="3" t="str">
        <f>HYPERLINK("https://cloud.oebiotech.com/#/lm/network/53074", "https://cloud.oebiotech.com/#/lm/network/53074")</f>
        <v>https://cloud.oebiotech.com/#/lm/network/53074</v>
      </c>
      <c r="I1693" s="2" t="s">
        <v>14951</v>
      </c>
      <c r="J1693" s="2">
        <v>69154</v>
      </c>
      <c r="K1693" s="2"/>
      <c r="L1693" s="2">
        <v>6194</v>
      </c>
      <c r="M1693" s="2" t="s">
        <v>14952</v>
      </c>
      <c r="N1693" s="2"/>
      <c r="O1693" s="2"/>
      <c r="P1693" s="2">
        <v>9884</v>
      </c>
      <c r="Q1693" s="2"/>
      <c r="R1693" s="2"/>
      <c r="S1693" s="2" t="s">
        <v>14953</v>
      </c>
      <c r="T1693" s="2" t="s">
        <v>14954</v>
      </c>
      <c r="U1693" s="2" t="s">
        <v>14955</v>
      </c>
      <c r="V1693" s="2" t="s">
        <v>166</v>
      </c>
      <c r="W1693" s="2" t="s">
        <v>167</v>
      </c>
      <c r="X1693" s="2" t="s">
        <v>14956</v>
      </c>
      <c r="Y1693" s="2" t="s">
        <v>169</v>
      </c>
      <c r="Z1693" s="2" t="s">
        <v>169</v>
      </c>
      <c r="AA1693" s="2" t="s">
        <v>14957</v>
      </c>
      <c r="AB1693" s="2" t="s">
        <v>8443</v>
      </c>
      <c r="AC1693" s="2">
        <v>41.5</v>
      </c>
      <c r="AD1693" s="2">
        <v>74.83</v>
      </c>
      <c r="AE1693" s="2">
        <v>0</v>
      </c>
      <c r="AF1693" s="2" t="s">
        <v>14958</v>
      </c>
      <c r="AG1693" s="2" t="s">
        <v>1578</v>
      </c>
      <c r="AH1693" s="2" t="s">
        <v>14959</v>
      </c>
      <c r="AI1693" s="2">
        <v>1.82</v>
      </c>
      <c r="AJ1693" s="2">
        <v>18.659407943236499</v>
      </c>
      <c r="AK1693" s="2">
        <v>18.412774952195001</v>
      </c>
      <c r="AL1693" s="2">
        <v>18.422487163517701</v>
      </c>
      <c r="AM1693" s="2">
        <v>18.598192363538601</v>
      </c>
      <c r="AN1693" s="2">
        <v>18.642084490055701</v>
      </c>
      <c r="AO1693" s="2">
        <v>18.514670332876399</v>
      </c>
      <c r="AP1693" s="2">
        <v>18.105758458684001</v>
      </c>
      <c r="AQ1693" s="2">
        <v>18.509136479147301</v>
      </c>
      <c r="AR1693" s="2">
        <v>15.7931681491846</v>
      </c>
      <c r="AS1693" s="2">
        <v>15.106842619515399</v>
      </c>
      <c r="AT1693" s="2">
        <v>9.6233145402724691</v>
      </c>
      <c r="AU1693" s="2">
        <v>14.379301193819799</v>
      </c>
      <c r="AV1693" s="2">
        <v>20.055829544647299</v>
      </c>
      <c r="AW1693" s="2">
        <v>18.406188684307299</v>
      </c>
      <c r="AX1693" s="2">
        <v>17.4847563518166</v>
      </c>
      <c r="AY1693" s="2">
        <v>16.331956800601599</v>
      </c>
      <c r="AZ1693" s="2">
        <v>17.5454162604196</v>
      </c>
      <c r="BA1693" s="2">
        <v>14.311319756175401</v>
      </c>
      <c r="BB1693" s="2">
        <v>13.616332882816801</v>
      </c>
      <c r="BC1693" s="2">
        <v>9.6233145402724691</v>
      </c>
      <c r="BD1693" s="2">
        <v>17.590536321966301</v>
      </c>
      <c r="BE1693" s="2">
        <v>20.599501983872901</v>
      </c>
      <c r="BF1693" s="2">
        <v>17.7297561491668</v>
      </c>
      <c r="BG1693" s="2">
        <v>15.0609200689651</v>
      </c>
      <c r="BH1693" s="2">
        <v>19.2543212115229</v>
      </c>
      <c r="BI1693" s="2">
        <v>19.215118380531301</v>
      </c>
      <c r="BJ1693" s="2">
        <v>19.041630946990001</v>
      </c>
      <c r="BK1693" s="2">
        <v>9.6233145402724691</v>
      </c>
      <c r="BL1693" s="2">
        <v>18.259159091500798</v>
      </c>
      <c r="BM1693" s="2">
        <v>9.6233145402724691</v>
      </c>
      <c r="BN1693" s="2">
        <v>15.5158655071211</v>
      </c>
      <c r="BO1693" s="2">
        <v>9.6233145402724691</v>
      </c>
      <c r="BP1693" s="2">
        <v>19.349370694632601</v>
      </c>
      <c r="BQ1693" s="2">
        <v>18.219070982825802</v>
      </c>
      <c r="BR1693" s="2">
        <v>18.158501706874901</v>
      </c>
      <c r="BS1693" s="2">
        <v>17.702455719389899</v>
      </c>
      <c r="BT1693" s="2">
        <v>18.115439505629698</v>
      </c>
      <c r="BU1693" s="2">
        <v>15.910426309981601</v>
      </c>
      <c r="BV1693" s="2">
        <v>15.3522765892998</v>
      </c>
      <c r="BW1693" s="2">
        <v>9.6233145402724691</v>
      </c>
      <c r="BX1693" s="2">
        <v>18.0753173866783</v>
      </c>
      <c r="BY1693" s="2">
        <v>20.656412136147399</v>
      </c>
      <c r="BZ1693" s="2">
        <v>16.1173105111354</v>
      </c>
      <c r="CA1693" s="2">
        <v>9.6233145402724691</v>
      </c>
      <c r="CB1693" s="2">
        <v>18.646207387338698</v>
      </c>
      <c r="CC1693" s="2">
        <v>16.7580493228444</v>
      </c>
      <c r="CD1693" s="2">
        <v>19.378999865520999</v>
      </c>
      <c r="CE1693" s="2">
        <v>9.6233145402724691</v>
      </c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</row>
    <row r="1694" spans="1:97">
      <c r="A1694" s="2" t="s">
        <v>14960</v>
      </c>
      <c r="B1694" s="2">
        <v>919.22753999999998</v>
      </c>
      <c r="C1694" s="2">
        <v>0.82699999999999996</v>
      </c>
      <c r="D1694" s="2" t="s">
        <v>146</v>
      </c>
      <c r="E1694" s="2" t="s">
        <v>14961</v>
      </c>
      <c r="F1694" s="2" t="s">
        <v>14962</v>
      </c>
      <c r="G1694" s="2">
        <v>32336</v>
      </c>
      <c r="H1694" s="3" t="str">
        <f>HYPERLINK("https://cloud.oebiotech.com/#/lm/network/32336", "https://cloud.oebiotech.com/#/lm/network/32336")</f>
        <v>https://cloud.oebiotech.com/#/lm/network/32336</v>
      </c>
      <c r="I1694" s="2"/>
      <c r="J1694" s="2"/>
      <c r="K1694" s="2" t="s">
        <v>14963</v>
      </c>
      <c r="L1694" s="2">
        <v>44259295</v>
      </c>
      <c r="M1694" s="2"/>
      <c r="N1694" s="2"/>
      <c r="O1694" s="2"/>
      <c r="P1694" s="2"/>
      <c r="Q1694" s="2"/>
      <c r="R1694" s="2"/>
      <c r="S1694" s="2"/>
      <c r="T1694" s="2" t="s">
        <v>14964</v>
      </c>
      <c r="U1694" s="2" t="s">
        <v>14965</v>
      </c>
      <c r="V1694" s="2" t="s">
        <v>845</v>
      </c>
      <c r="W1694" s="2" t="s">
        <v>1853</v>
      </c>
      <c r="X1694" s="2" t="s">
        <v>6175</v>
      </c>
      <c r="Y1694" s="2" t="s">
        <v>847</v>
      </c>
      <c r="Z1694" s="2" t="s">
        <v>1855</v>
      </c>
      <c r="AA1694" s="2" t="s">
        <v>6176</v>
      </c>
      <c r="AB1694" s="2" t="s">
        <v>5118</v>
      </c>
      <c r="AC1694" s="2">
        <v>41.49</v>
      </c>
      <c r="AD1694" s="2">
        <v>82.78</v>
      </c>
      <c r="AE1694" s="2">
        <v>88.52</v>
      </c>
      <c r="AF1694" s="2" t="s">
        <v>14966</v>
      </c>
      <c r="AG1694" s="2" t="s">
        <v>157</v>
      </c>
      <c r="AH1694" s="2" t="s">
        <v>14967</v>
      </c>
      <c r="AI1694" s="2">
        <v>9.36</v>
      </c>
      <c r="AJ1694" s="2">
        <v>21.923232604043999</v>
      </c>
      <c r="AK1694" s="2">
        <v>21.955898795617301</v>
      </c>
      <c r="AL1694" s="2">
        <v>21.2028936417205</v>
      </c>
      <c r="AM1694" s="2">
        <v>22.197313646486698</v>
      </c>
      <c r="AN1694" s="2">
        <v>21.203453348604398</v>
      </c>
      <c r="AO1694" s="2">
        <v>22.1389613030601</v>
      </c>
      <c r="AP1694" s="2">
        <v>21.466854174655399</v>
      </c>
      <c r="AQ1694" s="2">
        <v>21.325085568206099</v>
      </c>
      <c r="AR1694" s="2">
        <v>22.056045618505401</v>
      </c>
      <c r="AS1694" s="2">
        <v>22.157621338975201</v>
      </c>
      <c r="AT1694" s="2">
        <v>21.883457806674301</v>
      </c>
      <c r="AU1694" s="2">
        <v>20.700890557625499</v>
      </c>
      <c r="AV1694" s="2">
        <v>21.815197517851701</v>
      </c>
      <c r="AW1694" s="2">
        <v>22.120886238185701</v>
      </c>
      <c r="AX1694" s="2">
        <v>21.5547759192029</v>
      </c>
      <c r="AY1694" s="2">
        <v>22.187294535661501</v>
      </c>
      <c r="AZ1694" s="2">
        <v>21.832410478225999</v>
      </c>
      <c r="BA1694" s="2">
        <v>22.529540589057799</v>
      </c>
      <c r="BB1694" s="2">
        <v>22.452983902579302</v>
      </c>
      <c r="BC1694" s="2">
        <v>23.043979670450899</v>
      </c>
      <c r="BD1694" s="2">
        <v>22.6929142154438</v>
      </c>
      <c r="BE1694" s="2">
        <v>20.705366632578599</v>
      </c>
      <c r="BF1694" s="2">
        <v>22.375563452425201</v>
      </c>
      <c r="BG1694" s="2">
        <v>21.889773107526501</v>
      </c>
      <c r="BH1694" s="2">
        <v>21.720476934696801</v>
      </c>
      <c r="BI1694" s="2">
        <v>19.837255955803499</v>
      </c>
      <c r="BJ1694" s="2">
        <v>21.9192037193313</v>
      </c>
      <c r="BK1694" s="2">
        <v>22.035687187891199</v>
      </c>
      <c r="BL1694" s="2">
        <v>21.641479884807701</v>
      </c>
      <c r="BM1694" s="2">
        <v>23.053780852516599</v>
      </c>
      <c r="BN1694" s="2">
        <v>20.7438103767252</v>
      </c>
      <c r="BO1694" s="2">
        <v>21.453315065360801</v>
      </c>
      <c r="BP1694" s="2">
        <v>20.564396860617499</v>
      </c>
      <c r="BQ1694" s="2">
        <v>21.5947397906939</v>
      </c>
      <c r="BR1694" s="2">
        <v>21.696230573450102</v>
      </c>
      <c r="BS1694" s="2">
        <v>21.2764450493335</v>
      </c>
      <c r="BT1694" s="2">
        <v>21.8323167927987</v>
      </c>
      <c r="BU1694" s="2">
        <v>22.078719503994598</v>
      </c>
      <c r="BV1694" s="2">
        <v>20.947992759796701</v>
      </c>
      <c r="BW1694" s="2">
        <v>22.903968960684399</v>
      </c>
      <c r="BX1694" s="2">
        <v>22.187214410657099</v>
      </c>
      <c r="BY1694" s="2">
        <v>20.688038952831899</v>
      </c>
      <c r="BZ1694" s="2">
        <v>22.537136508140499</v>
      </c>
      <c r="CA1694" s="2">
        <v>21.842525138538601</v>
      </c>
      <c r="CB1694" s="2">
        <v>20.432568303938702</v>
      </c>
      <c r="CC1694" s="2">
        <v>21.7236568202377</v>
      </c>
      <c r="CD1694" s="2">
        <v>20.552867903125001</v>
      </c>
      <c r="CE1694" s="2">
        <v>21.314688234513099</v>
      </c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</row>
    <row r="1695" spans="1:97">
      <c r="A1695" s="2" t="s">
        <v>14968</v>
      </c>
      <c r="B1695" s="2">
        <v>589.31137000000001</v>
      </c>
      <c r="C1695" s="2">
        <v>5.0140000000000002</v>
      </c>
      <c r="D1695" s="2" t="s">
        <v>84</v>
      </c>
      <c r="E1695" s="2" t="s">
        <v>14969</v>
      </c>
      <c r="F1695" s="2" t="s">
        <v>14970</v>
      </c>
      <c r="G1695" s="2">
        <v>48606</v>
      </c>
      <c r="H1695" s="3" t="str">
        <f>HYPERLINK("https://cloud.oebiotech.com/#/lm/network/48606", "https://cloud.oebiotech.com/#/lm/network/48606")</f>
        <v>https://cloud.oebiotech.com/#/lm/network/48606</v>
      </c>
      <c r="I1695" s="2" t="s">
        <v>14971</v>
      </c>
      <c r="J1695" s="2">
        <v>58309</v>
      </c>
      <c r="K1695" s="2"/>
      <c r="L1695" s="2">
        <v>5311081</v>
      </c>
      <c r="M1695" s="2"/>
      <c r="N1695" s="2"/>
      <c r="O1695" s="2"/>
      <c r="P1695" s="2">
        <v>297398</v>
      </c>
      <c r="Q1695" s="2"/>
      <c r="R1695" s="2"/>
      <c r="S1695" s="2" t="s">
        <v>14972</v>
      </c>
      <c r="T1695" s="2" t="s">
        <v>14973</v>
      </c>
      <c r="U1695" s="2" t="s">
        <v>14974</v>
      </c>
      <c r="V1695" s="2" t="s">
        <v>115</v>
      </c>
      <c r="W1695" s="2" t="s">
        <v>116</v>
      </c>
      <c r="X1695" s="2" t="s">
        <v>117</v>
      </c>
      <c r="Y1695" s="2" t="s">
        <v>118</v>
      </c>
      <c r="Z1695" s="2" t="s">
        <v>119</v>
      </c>
      <c r="AA1695" s="2" t="s">
        <v>120</v>
      </c>
      <c r="AB1695" s="2" t="s">
        <v>8443</v>
      </c>
      <c r="AC1695" s="2">
        <v>41.49</v>
      </c>
      <c r="AD1695" s="2">
        <v>76.97</v>
      </c>
      <c r="AE1695" s="2">
        <v>0</v>
      </c>
      <c r="AF1695" s="2" t="s">
        <v>14975</v>
      </c>
      <c r="AG1695" s="2" t="s">
        <v>132</v>
      </c>
      <c r="AH1695" s="2" t="s">
        <v>14976</v>
      </c>
      <c r="AI1695" s="2">
        <v>3.22</v>
      </c>
      <c r="AJ1695" s="2">
        <v>18.262900986989699</v>
      </c>
      <c r="AK1695" s="2">
        <v>18.695475207079699</v>
      </c>
      <c r="AL1695" s="2">
        <v>18.544591738226799</v>
      </c>
      <c r="AM1695" s="2">
        <v>18.650157510121801</v>
      </c>
      <c r="AN1695" s="2">
        <v>18.7654717467308</v>
      </c>
      <c r="AO1695" s="2">
        <v>18.773769346479501</v>
      </c>
      <c r="AP1695" s="2">
        <v>18.491444032106099</v>
      </c>
      <c r="AQ1695" s="2">
        <v>18.221525242412199</v>
      </c>
      <c r="AR1695" s="2">
        <v>9.6233145402724691</v>
      </c>
      <c r="AS1695" s="2">
        <v>9.6233145402724691</v>
      </c>
      <c r="AT1695" s="2">
        <v>9.6233145402724691</v>
      </c>
      <c r="AU1695" s="2">
        <v>9.6233145402724691</v>
      </c>
      <c r="AV1695" s="2">
        <v>9.6233145402724691</v>
      </c>
      <c r="AW1695" s="2">
        <v>9.6233145402724691</v>
      </c>
      <c r="AX1695" s="2">
        <v>9.6233145402724691</v>
      </c>
      <c r="AY1695" s="2">
        <v>9.6233145402724691</v>
      </c>
      <c r="AZ1695" s="2">
        <v>9.6233145402724691</v>
      </c>
      <c r="BA1695" s="2">
        <v>9.6233145402724691</v>
      </c>
      <c r="BB1695" s="2">
        <v>9.6233145402724691</v>
      </c>
      <c r="BC1695" s="2">
        <v>9.6233145402724691</v>
      </c>
      <c r="BD1695" s="2">
        <v>9.6233145402724691</v>
      </c>
      <c r="BE1695" s="2">
        <v>9.6233145402724691</v>
      </c>
      <c r="BF1695" s="2">
        <v>20.053371420404599</v>
      </c>
      <c r="BG1695" s="2">
        <v>9.6233145402724691</v>
      </c>
      <c r="BH1695" s="2">
        <v>9.6233145402724691</v>
      </c>
      <c r="BI1695" s="2">
        <v>9.6233145402724691</v>
      </c>
      <c r="BJ1695" s="2">
        <v>9.6233145402724691</v>
      </c>
      <c r="BK1695" s="2">
        <v>9.6233145402724691</v>
      </c>
      <c r="BL1695" s="2">
        <v>14.0335486124073</v>
      </c>
      <c r="BM1695" s="2">
        <v>17.036332901337001</v>
      </c>
      <c r="BN1695" s="2">
        <v>9.6233145402724691</v>
      </c>
      <c r="BO1695" s="2">
        <v>9.6233145402724691</v>
      </c>
      <c r="BP1695" s="2">
        <v>9.6233145402724691</v>
      </c>
      <c r="BQ1695" s="2">
        <v>14.314840946519199</v>
      </c>
      <c r="BR1695" s="2">
        <v>13.8954247571323</v>
      </c>
      <c r="BS1695" s="2">
        <v>13.9652224258866</v>
      </c>
      <c r="BT1695" s="2">
        <v>14.922300072351399</v>
      </c>
      <c r="BU1695" s="2">
        <v>16.669799117779402</v>
      </c>
      <c r="BV1695" s="2">
        <v>15.7638039434724</v>
      </c>
      <c r="BW1695" s="2">
        <v>13.990286594368699</v>
      </c>
      <c r="BX1695" s="2">
        <v>15.303151072426401</v>
      </c>
      <c r="BY1695" s="2">
        <v>14.089895668233201</v>
      </c>
      <c r="BZ1695" s="2">
        <v>9.6233145402724691</v>
      </c>
      <c r="CA1695" s="2">
        <v>24.0747485183423</v>
      </c>
      <c r="CB1695" s="2">
        <v>9.6233145402724691</v>
      </c>
      <c r="CC1695" s="2">
        <v>9.6233145402724691</v>
      </c>
      <c r="CD1695" s="2">
        <v>9.6233145402724691</v>
      </c>
      <c r="CE1695" s="2">
        <v>9.6233145402724691</v>
      </c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</row>
    <row r="1696" spans="1:97">
      <c r="A1696" s="2" t="s">
        <v>14977</v>
      </c>
      <c r="B1696" s="2">
        <v>162.04998000000001</v>
      </c>
      <c r="C1696" s="2">
        <v>0.78200000000000003</v>
      </c>
      <c r="D1696" s="2" t="s">
        <v>84</v>
      </c>
      <c r="E1696" s="2" t="s">
        <v>14978</v>
      </c>
      <c r="F1696" s="2" t="s">
        <v>14979</v>
      </c>
      <c r="G1696" s="2">
        <v>205782</v>
      </c>
      <c r="H1696" s="3" t="str">
        <f>HYPERLINK("https://cloud.oebiotech.com/#/lm/network/205782", "https://cloud.oebiotech.com/#/lm/network/205782")</f>
        <v>https://cloud.oebiotech.com/#/lm/network/205782</v>
      </c>
      <c r="I1696" s="2" t="s">
        <v>14980</v>
      </c>
      <c r="J1696" s="2"/>
      <c r="K1696" s="2"/>
      <c r="L1696" s="2">
        <v>179547</v>
      </c>
      <c r="M1696" s="2"/>
      <c r="N1696" s="2"/>
      <c r="O1696" s="2"/>
      <c r="P1696" s="2">
        <v>76452</v>
      </c>
      <c r="Q1696" s="2"/>
      <c r="R1696" s="2"/>
      <c r="S1696" s="2"/>
      <c r="T1696" s="2" t="s">
        <v>14981</v>
      </c>
      <c r="U1696" s="2" t="s">
        <v>14982</v>
      </c>
      <c r="V1696" s="2" t="s">
        <v>553</v>
      </c>
      <c r="W1696" s="2" t="s">
        <v>6104</v>
      </c>
      <c r="X1696" s="2" t="s">
        <v>6105</v>
      </c>
      <c r="Y1696" s="2" t="s">
        <v>556</v>
      </c>
      <c r="Z1696" s="2" t="s">
        <v>6106</v>
      </c>
      <c r="AA1696" s="2" t="s">
        <v>6107</v>
      </c>
      <c r="AB1696" s="2" t="s">
        <v>8443</v>
      </c>
      <c r="AC1696" s="2">
        <v>41.49</v>
      </c>
      <c r="AD1696" s="2">
        <v>96.73</v>
      </c>
      <c r="AE1696" s="2">
        <v>0</v>
      </c>
      <c r="AF1696" s="2" t="s">
        <v>5614</v>
      </c>
      <c r="AG1696" s="2" t="s">
        <v>132</v>
      </c>
      <c r="AH1696" s="2" t="s">
        <v>14983</v>
      </c>
      <c r="AI1696" s="2">
        <v>5.55</v>
      </c>
      <c r="AJ1696" s="2">
        <v>21.239314493311799</v>
      </c>
      <c r="AK1696" s="2">
        <v>20.936282253121099</v>
      </c>
      <c r="AL1696" s="2">
        <v>21.2033369971684</v>
      </c>
      <c r="AM1696" s="2">
        <v>20.858891516473101</v>
      </c>
      <c r="AN1696" s="2">
        <v>20.5619910212645</v>
      </c>
      <c r="AO1696" s="2">
        <v>21.100386765931599</v>
      </c>
      <c r="AP1696" s="2">
        <v>20.719852307059799</v>
      </c>
      <c r="AQ1696" s="2">
        <v>21.079173474588298</v>
      </c>
      <c r="AR1696" s="2">
        <v>20.229434275746598</v>
      </c>
      <c r="AS1696" s="2">
        <v>20.276374755495102</v>
      </c>
      <c r="AT1696" s="2">
        <v>20.828480418062199</v>
      </c>
      <c r="AU1696" s="2">
        <v>20.415806651720398</v>
      </c>
      <c r="AV1696" s="2">
        <v>21.329781061569101</v>
      </c>
      <c r="AW1696" s="2">
        <v>20.862717318090802</v>
      </c>
      <c r="AX1696" s="2">
        <v>21.139753427862601</v>
      </c>
      <c r="AY1696" s="2">
        <v>19.846947231881099</v>
      </c>
      <c r="AZ1696" s="2">
        <v>20.6342461994997</v>
      </c>
      <c r="BA1696" s="2">
        <v>20.061910646740198</v>
      </c>
      <c r="BB1696" s="2">
        <v>20.497657162330299</v>
      </c>
      <c r="BC1696" s="2">
        <v>20.834531400715498</v>
      </c>
      <c r="BD1696" s="2">
        <v>20.2256454538472</v>
      </c>
      <c r="BE1696" s="2">
        <v>21.467202405293602</v>
      </c>
      <c r="BF1696" s="2">
        <v>19.865300484410501</v>
      </c>
      <c r="BG1696" s="2">
        <v>21.6542004329877</v>
      </c>
      <c r="BH1696" s="2">
        <v>21.368093808989499</v>
      </c>
      <c r="BI1696" s="2">
        <v>20.898504836280601</v>
      </c>
      <c r="BJ1696" s="2">
        <v>21.553558819979902</v>
      </c>
      <c r="BK1696" s="2">
        <v>20.2801297790337</v>
      </c>
      <c r="BL1696" s="2">
        <v>20.487878365496901</v>
      </c>
      <c r="BM1696" s="2">
        <v>20.916273257769902</v>
      </c>
      <c r="BN1696" s="2">
        <v>21.5231345335072</v>
      </c>
      <c r="BO1696" s="2">
        <v>20.754859413938298</v>
      </c>
      <c r="BP1696" s="2">
        <v>21.210604066621201</v>
      </c>
      <c r="BQ1696" s="2">
        <v>21.113652308884699</v>
      </c>
      <c r="BR1696" s="2">
        <v>21.037835397376</v>
      </c>
      <c r="BS1696" s="2">
        <v>21.142505098793201</v>
      </c>
      <c r="BT1696" s="2">
        <v>20.8324917106093</v>
      </c>
      <c r="BU1696" s="2">
        <v>20.7102320402877</v>
      </c>
      <c r="BV1696" s="2">
        <v>21.194333508661501</v>
      </c>
      <c r="BW1696" s="2">
        <v>19.029720746909401</v>
      </c>
      <c r="BX1696" s="2">
        <v>21.2451626694629</v>
      </c>
      <c r="BY1696" s="2">
        <v>22.445820250797698</v>
      </c>
      <c r="BZ1696" s="2">
        <v>20.9180075244455</v>
      </c>
      <c r="CA1696" s="2">
        <v>20.792566356828999</v>
      </c>
      <c r="CB1696" s="2">
        <v>21.0875827789888</v>
      </c>
      <c r="CC1696" s="2">
        <v>19.576318648344401</v>
      </c>
      <c r="CD1696" s="2">
        <v>22.342825318257098</v>
      </c>
      <c r="CE1696" s="2">
        <v>21.104133779614902</v>
      </c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</row>
    <row r="1697" spans="1:97">
      <c r="A1697" s="2" t="s">
        <v>14984</v>
      </c>
      <c r="B1697" s="2">
        <v>162.12255999999999</v>
      </c>
      <c r="C1697" s="2">
        <v>0.71899999999999997</v>
      </c>
      <c r="D1697" s="2" t="s">
        <v>84</v>
      </c>
      <c r="E1697" s="2" t="s">
        <v>14985</v>
      </c>
      <c r="F1697" s="2" t="s">
        <v>14986</v>
      </c>
      <c r="G1697" s="2">
        <v>8580</v>
      </c>
      <c r="H1697" s="3" t="str">
        <f>HYPERLINK("https://cloud.oebiotech.com/#/lm/network/8580", "https://cloud.oebiotech.com/#/lm/network/8580")</f>
        <v>https://cloud.oebiotech.com/#/lm/network/8580</v>
      </c>
      <c r="I1697" s="2" t="s">
        <v>14987</v>
      </c>
      <c r="J1697" s="2">
        <v>44737</v>
      </c>
      <c r="K1697" s="2" t="s">
        <v>14988</v>
      </c>
      <c r="L1697" s="2">
        <v>12364</v>
      </c>
      <c r="M1697" s="2"/>
      <c r="N1697" s="2"/>
      <c r="O1697" s="2"/>
      <c r="P1697" s="2"/>
      <c r="Q1697" s="2"/>
      <c r="R1697" s="2"/>
      <c r="S1697" s="2" t="s">
        <v>14989</v>
      </c>
      <c r="T1697" s="2" t="s">
        <v>14990</v>
      </c>
      <c r="U1697" s="2" t="s">
        <v>14991</v>
      </c>
      <c r="V1697" s="2" t="s">
        <v>95</v>
      </c>
      <c r="W1697" s="2" t="s">
        <v>96</v>
      </c>
      <c r="X1697" s="2" t="s">
        <v>315</v>
      </c>
      <c r="Y1697" s="2" t="s">
        <v>98</v>
      </c>
      <c r="Z1697" s="2" t="s">
        <v>99</v>
      </c>
      <c r="AA1697" s="2" t="s">
        <v>316</v>
      </c>
      <c r="AB1697" s="2" t="s">
        <v>8443</v>
      </c>
      <c r="AC1697" s="2">
        <v>41.47</v>
      </c>
      <c r="AD1697" s="2">
        <v>95.93</v>
      </c>
      <c r="AE1697" s="2">
        <v>0</v>
      </c>
      <c r="AF1697" s="2" t="s">
        <v>5614</v>
      </c>
      <c r="AG1697" s="2" t="s">
        <v>132</v>
      </c>
      <c r="AH1697" s="2" t="s">
        <v>14992</v>
      </c>
      <c r="AI1697" s="2">
        <v>6.78</v>
      </c>
      <c r="AJ1697" s="2">
        <v>21.5869951092854</v>
      </c>
      <c r="AK1697" s="2">
        <v>22.1572352629648</v>
      </c>
      <c r="AL1697" s="2">
        <v>21.035640681716899</v>
      </c>
      <c r="AM1697" s="2">
        <v>22.130295955523401</v>
      </c>
      <c r="AN1697" s="2">
        <v>21.360606456016701</v>
      </c>
      <c r="AO1697" s="2">
        <v>21.5002791553576</v>
      </c>
      <c r="AP1697" s="2">
        <v>21.493103739039501</v>
      </c>
      <c r="AQ1697" s="2">
        <v>21.174988794396999</v>
      </c>
      <c r="AR1697" s="2">
        <v>19.4303974612905</v>
      </c>
      <c r="AS1697" s="2">
        <v>20.464815556393798</v>
      </c>
      <c r="AT1697" s="2">
        <v>21.613527466876601</v>
      </c>
      <c r="AU1697" s="2">
        <v>19.8171381234026</v>
      </c>
      <c r="AV1697" s="2">
        <v>21.563945918248798</v>
      </c>
      <c r="AW1697" s="2">
        <v>21.663925165924901</v>
      </c>
      <c r="AX1697" s="2">
        <v>21.361450864588399</v>
      </c>
      <c r="AY1697" s="2">
        <v>20.467777570671998</v>
      </c>
      <c r="AZ1697" s="2">
        <v>20.6828686015171</v>
      </c>
      <c r="BA1697" s="2">
        <v>21.157877543344899</v>
      </c>
      <c r="BB1697" s="2">
        <v>21.244494478898201</v>
      </c>
      <c r="BC1697" s="2">
        <v>21.237819765654699</v>
      </c>
      <c r="BD1697" s="2">
        <v>21.4438211231903</v>
      </c>
      <c r="BE1697" s="2">
        <v>21.386851116851101</v>
      </c>
      <c r="BF1697" s="2">
        <v>21.922077606185098</v>
      </c>
      <c r="BG1697" s="2">
        <v>22.072135058093199</v>
      </c>
      <c r="BH1697" s="2">
        <v>21.3078751801105</v>
      </c>
      <c r="BI1697" s="2">
        <v>22.209943841468402</v>
      </c>
      <c r="BJ1697" s="2">
        <v>21.488561478583598</v>
      </c>
      <c r="BK1697" s="2">
        <v>21.897844134255099</v>
      </c>
      <c r="BL1697" s="2">
        <v>19.886578992677801</v>
      </c>
      <c r="BM1697" s="2">
        <v>19.918760740388201</v>
      </c>
      <c r="BN1697" s="2">
        <v>9.6233145402724691</v>
      </c>
      <c r="BO1697" s="2">
        <v>21.552919869824098</v>
      </c>
      <c r="BP1697" s="2">
        <v>21.272098742657501</v>
      </c>
      <c r="BQ1697" s="2">
        <v>19.734051578562699</v>
      </c>
      <c r="BR1697" s="2">
        <v>21.0454744312445</v>
      </c>
      <c r="BS1697" s="2">
        <v>21.5854332894646</v>
      </c>
      <c r="BT1697" s="2">
        <v>20.872375790610601</v>
      </c>
      <c r="BU1697" s="2">
        <v>20.887053064839201</v>
      </c>
      <c r="BV1697" s="2">
        <v>20.152059985560001</v>
      </c>
      <c r="BW1697" s="2">
        <v>20.117371216098601</v>
      </c>
      <c r="BX1697" s="2">
        <v>21.6636267139171</v>
      </c>
      <c r="BY1697" s="2">
        <v>20.867073419031801</v>
      </c>
      <c r="BZ1697" s="2">
        <v>21.705897102102298</v>
      </c>
      <c r="CA1697" s="2">
        <v>21.679128549239401</v>
      </c>
      <c r="CB1697" s="2">
        <v>21.575123890033598</v>
      </c>
      <c r="CC1697" s="2">
        <v>21.484529629241798</v>
      </c>
      <c r="CD1697" s="2">
        <v>21.3604615561628</v>
      </c>
      <c r="CE1697" s="2">
        <v>21.4182438642233</v>
      </c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</row>
    <row r="1698" spans="1:97">
      <c r="A1698" s="2" t="s">
        <v>14993</v>
      </c>
      <c r="B1698" s="2">
        <v>355.28478999999999</v>
      </c>
      <c r="C1698" s="2">
        <v>14.738</v>
      </c>
      <c r="D1698" s="2" t="s">
        <v>146</v>
      </c>
      <c r="E1698" s="2" t="s">
        <v>14994</v>
      </c>
      <c r="F1698" s="2" t="s">
        <v>14995</v>
      </c>
      <c r="G1698" s="2">
        <v>202874</v>
      </c>
      <c r="H1698" s="3" t="str">
        <f>HYPERLINK("https://cloud.oebiotech.com/#/lm/network/202874", "https://cloud.oebiotech.com/#/lm/network/202874")</f>
        <v>https://cloud.oebiotech.com/#/lm/network/202874</v>
      </c>
      <c r="I1698" s="2" t="s">
        <v>14996</v>
      </c>
      <c r="J1698" s="2"/>
      <c r="K1698" s="2"/>
      <c r="L1698" s="2">
        <v>3035221</v>
      </c>
      <c r="M1698" s="2"/>
      <c r="N1698" s="2"/>
      <c r="O1698" s="2"/>
      <c r="P1698" s="2"/>
      <c r="Q1698" s="2"/>
      <c r="R1698" s="2"/>
      <c r="S1698" s="2"/>
      <c r="T1698" s="2" t="s">
        <v>14997</v>
      </c>
      <c r="U1698" s="2" t="s">
        <v>14998</v>
      </c>
      <c r="V1698" s="2" t="s">
        <v>95</v>
      </c>
      <c r="W1698" s="2" t="s">
        <v>96</v>
      </c>
      <c r="X1698" s="2" t="s">
        <v>141</v>
      </c>
      <c r="Y1698" s="2" t="s">
        <v>98</v>
      </c>
      <c r="Z1698" s="2" t="s">
        <v>99</v>
      </c>
      <c r="AA1698" s="2" t="s">
        <v>142</v>
      </c>
      <c r="AB1698" s="2" t="s">
        <v>8443</v>
      </c>
      <c r="AC1698" s="2">
        <v>41.44</v>
      </c>
      <c r="AD1698" s="2">
        <v>86.31</v>
      </c>
      <c r="AE1698" s="2">
        <v>30.43</v>
      </c>
      <c r="AF1698" s="2" t="s">
        <v>14999</v>
      </c>
      <c r="AG1698" s="2" t="s">
        <v>157</v>
      </c>
      <c r="AH1698" s="2" t="s">
        <v>15000</v>
      </c>
      <c r="AI1698" s="2">
        <v>1.69</v>
      </c>
      <c r="AJ1698" s="2">
        <v>17.749748202827298</v>
      </c>
      <c r="AK1698" s="2">
        <v>17.192569073367299</v>
      </c>
      <c r="AL1698" s="2">
        <v>17.9740144454776</v>
      </c>
      <c r="AM1698" s="2">
        <v>17.187277833123598</v>
      </c>
      <c r="AN1698" s="2">
        <v>17.555701439242799</v>
      </c>
      <c r="AO1698" s="2">
        <v>17.0347088128098</v>
      </c>
      <c r="AP1698" s="2">
        <v>17.2443676447878</v>
      </c>
      <c r="AQ1698" s="2">
        <v>17.713544797782799</v>
      </c>
      <c r="AR1698" s="2">
        <v>15.3074327945249</v>
      </c>
      <c r="AS1698" s="2">
        <v>16.859074892869</v>
      </c>
      <c r="AT1698" s="2">
        <v>18.355087794320202</v>
      </c>
      <c r="AU1698" s="2">
        <v>16.179925996498401</v>
      </c>
      <c r="AV1698" s="2">
        <v>16.738715728336601</v>
      </c>
      <c r="AW1698" s="2">
        <v>16.3350546266268</v>
      </c>
      <c r="AX1698" s="2">
        <v>17.930535402942599</v>
      </c>
      <c r="AY1698" s="2">
        <v>16.827976275045199</v>
      </c>
      <c r="AZ1698" s="2">
        <v>15.395761379519801</v>
      </c>
      <c r="BA1698" s="2">
        <v>17.350382943560799</v>
      </c>
      <c r="BB1698" s="2">
        <v>17.462361117894801</v>
      </c>
      <c r="BC1698" s="2">
        <v>18.588600529935199</v>
      </c>
      <c r="BD1698" s="2">
        <v>14.649472318545</v>
      </c>
      <c r="BE1698" s="2">
        <v>16.441771866929098</v>
      </c>
      <c r="BF1698" s="2">
        <v>17.263447013463701</v>
      </c>
      <c r="BG1698" s="2">
        <v>17.275660581346798</v>
      </c>
      <c r="BH1698" s="2">
        <v>16.358289760787599</v>
      </c>
      <c r="BI1698" s="2">
        <v>17.3272776392152</v>
      </c>
      <c r="BJ1698" s="2">
        <v>17.533116616051998</v>
      </c>
      <c r="BK1698" s="2">
        <v>16.2220999858142</v>
      </c>
      <c r="BL1698" s="2">
        <v>18.262427706939601</v>
      </c>
      <c r="BM1698" s="2">
        <v>16.840638657273399</v>
      </c>
      <c r="BN1698" s="2">
        <v>16.560719431846401</v>
      </c>
      <c r="BO1698" s="2">
        <v>17.8717250940235</v>
      </c>
      <c r="BP1698" s="2">
        <v>18.405641508753099</v>
      </c>
      <c r="BQ1698" s="2">
        <v>17.388223177687401</v>
      </c>
      <c r="BR1698" s="2">
        <v>17.5747260392953</v>
      </c>
      <c r="BS1698" s="2">
        <v>14.8227366198255</v>
      </c>
      <c r="BT1698" s="2">
        <v>17.085676910864098</v>
      </c>
      <c r="BU1698" s="2">
        <v>17.380692386426698</v>
      </c>
      <c r="BV1698" s="2">
        <v>17.315061178199301</v>
      </c>
      <c r="BW1698" s="2">
        <v>18.189316017302399</v>
      </c>
      <c r="BX1698" s="2">
        <v>17.456705660246399</v>
      </c>
      <c r="BY1698" s="2">
        <v>16.152263647021101</v>
      </c>
      <c r="BZ1698" s="2">
        <v>18.139363888985901</v>
      </c>
      <c r="CA1698" s="2">
        <v>17.085448184454499</v>
      </c>
      <c r="CB1698" s="2">
        <v>18.250914446626702</v>
      </c>
      <c r="CC1698" s="2">
        <v>17.720885102904401</v>
      </c>
      <c r="CD1698" s="2">
        <v>17.138812749387199</v>
      </c>
      <c r="CE1698" s="2">
        <v>18.148091577112499</v>
      </c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</row>
    <row r="1699" spans="1:97">
      <c r="A1699" s="2" t="s">
        <v>15001</v>
      </c>
      <c r="B1699" s="2">
        <v>279.01805999999999</v>
      </c>
      <c r="C1699" s="2">
        <v>5.4909999999999997</v>
      </c>
      <c r="D1699" s="2" t="s">
        <v>146</v>
      </c>
      <c r="E1699" s="2" t="s">
        <v>15002</v>
      </c>
      <c r="F1699" s="2" t="s">
        <v>15003</v>
      </c>
      <c r="G1699" s="2">
        <v>199729</v>
      </c>
      <c r="H1699" s="3" t="str">
        <f>HYPERLINK("https://cloud.oebiotech.com/#/lm/network/199729", "https://cloud.oebiotech.com/#/lm/network/199729")</f>
        <v>https://cloud.oebiotech.com/#/lm/network/199729</v>
      </c>
      <c r="I1699" s="2" t="s">
        <v>15004</v>
      </c>
      <c r="J1699" s="2"/>
      <c r="K1699" s="2"/>
      <c r="L1699" s="2">
        <v>134319</v>
      </c>
      <c r="M1699" s="2"/>
      <c r="N1699" s="2"/>
      <c r="O1699" s="2"/>
      <c r="P1699" s="2"/>
      <c r="Q1699" s="2"/>
      <c r="R1699" s="2"/>
      <c r="S1699" s="2"/>
      <c r="T1699" s="2" t="s">
        <v>15005</v>
      </c>
      <c r="U1699" s="2" t="s">
        <v>15006</v>
      </c>
      <c r="V1699" s="2" t="s">
        <v>385</v>
      </c>
      <c r="W1699" s="2" t="s">
        <v>15007</v>
      </c>
      <c r="X1699" s="2" t="s">
        <v>375</v>
      </c>
      <c r="Y1699" s="2" t="s">
        <v>388</v>
      </c>
      <c r="Z1699" s="2" t="s">
        <v>15008</v>
      </c>
      <c r="AA1699" s="2"/>
      <c r="AB1699" s="2" t="s">
        <v>8443</v>
      </c>
      <c r="AC1699" s="2">
        <v>41.44</v>
      </c>
      <c r="AD1699" s="2">
        <v>74.069999999999993</v>
      </c>
      <c r="AE1699" s="2">
        <v>0</v>
      </c>
      <c r="AF1699" s="2" t="s">
        <v>5614</v>
      </c>
      <c r="AG1699" s="2" t="s">
        <v>4062</v>
      </c>
      <c r="AH1699" s="2" t="s">
        <v>15009</v>
      </c>
      <c r="AI1699" s="2">
        <v>-1.08</v>
      </c>
      <c r="AJ1699" s="2">
        <v>17.530516681003899</v>
      </c>
      <c r="AK1699" s="2">
        <v>18.756190259976499</v>
      </c>
      <c r="AL1699" s="2">
        <v>18.3468876119206</v>
      </c>
      <c r="AM1699" s="2">
        <v>17.670702853832399</v>
      </c>
      <c r="AN1699" s="2">
        <v>18.4458365337047</v>
      </c>
      <c r="AO1699" s="2">
        <v>18.079861721161802</v>
      </c>
      <c r="AP1699" s="2">
        <v>18.260479693387499</v>
      </c>
      <c r="AQ1699" s="2">
        <v>18.489639493564901</v>
      </c>
      <c r="AR1699" s="2">
        <v>18.2498483846271</v>
      </c>
      <c r="AS1699" s="2">
        <v>18.641431757524899</v>
      </c>
      <c r="AT1699" s="2">
        <v>18.167945730745299</v>
      </c>
      <c r="AU1699" s="2">
        <v>17.877176811830701</v>
      </c>
      <c r="AV1699" s="2">
        <v>18.310825540414601</v>
      </c>
      <c r="AW1699" s="2">
        <v>18.0338744721533</v>
      </c>
      <c r="AX1699" s="2">
        <v>18.4849551048367</v>
      </c>
      <c r="AY1699" s="2">
        <v>16.381133958387601</v>
      </c>
      <c r="AZ1699" s="2">
        <v>18.251991922112399</v>
      </c>
      <c r="BA1699" s="2">
        <v>16.558340139418601</v>
      </c>
      <c r="BB1699" s="2">
        <v>18.486009367109698</v>
      </c>
      <c r="BC1699" s="2">
        <v>18.647951556225799</v>
      </c>
      <c r="BD1699" s="2">
        <v>18.470006967515001</v>
      </c>
      <c r="BE1699" s="2">
        <v>17.6266781134646</v>
      </c>
      <c r="BF1699" s="2">
        <v>18.698036997289101</v>
      </c>
      <c r="BG1699" s="2">
        <v>18.427299420303299</v>
      </c>
      <c r="BH1699" s="2">
        <v>18.502055010744499</v>
      </c>
      <c r="BI1699" s="2">
        <v>18.1653201558699</v>
      </c>
      <c r="BJ1699" s="2">
        <v>17.962584606014602</v>
      </c>
      <c r="BK1699" s="2">
        <v>17.440496444872501</v>
      </c>
      <c r="BL1699" s="2">
        <v>18.1084263421751</v>
      </c>
      <c r="BM1699" s="2">
        <v>18.0289473835109</v>
      </c>
      <c r="BN1699" s="2">
        <v>17.9391866251792</v>
      </c>
      <c r="BO1699" s="2">
        <v>18.360617273493201</v>
      </c>
      <c r="BP1699" s="2">
        <v>17.533466849353601</v>
      </c>
      <c r="BQ1699" s="2">
        <v>18.879367384385102</v>
      </c>
      <c r="BR1699" s="2">
        <v>17.247790233619099</v>
      </c>
      <c r="BS1699" s="2">
        <v>17.9943559231188</v>
      </c>
      <c r="BT1699" s="2">
        <v>18.348716658400601</v>
      </c>
      <c r="BU1699" s="2">
        <v>18.5147961386735</v>
      </c>
      <c r="BV1699" s="2">
        <v>18.538786545581399</v>
      </c>
      <c r="BW1699" s="2">
        <v>17.5663829132647</v>
      </c>
      <c r="BX1699" s="2">
        <v>18.279884215953601</v>
      </c>
      <c r="BY1699" s="2">
        <v>17.9518291521861</v>
      </c>
      <c r="BZ1699" s="2">
        <v>18.261936784947199</v>
      </c>
      <c r="CA1699" s="2">
        <v>18.122199812641298</v>
      </c>
      <c r="CB1699" s="2">
        <v>17.847538457916801</v>
      </c>
      <c r="CC1699" s="2">
        <v>17.880410334247799</v>
      </c>
      <c r="CD1699" s="2">
        <v>17.137181186001399</v>
      </c>
      <c r="CE1699" s="2">
        <v>18.432627531767</v>
      </c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</row>
    <row r="1700" spans="1:97">
      <c r="A1700" s="2" t="s">
        <v>15010</v>
      </c>
      <c r="B1700" s="2">
        <v>532.28849000000002</v>
      </c>
      <c r="C1700" s="2">
        <v>7.4969999999999999</v>
      </c>
      <c r="D1700" s="2" t="s">
        <v>146</v>
      </c>
      <c r="E1700" s="2" t="s">
        <v>15011</v>
      </c>
      <c r="F1700" s="2" t="s">
        <v>15012</v>
      </c>
      <c r="G1700" s="2">
        <v>10410</v>
      </c>
      <c r="H1700" s="3" t="str">
        <f>HYPERLINK("https://cloud.oebiotech.com/#/lm/network/10410", "https://cloud.oebiotech.com/#/lm/network/10410")</f>
        <v>https://cloud.oebiotech.com/#/lm/network/10410</v>
      </c>
      <c r="I1700" s="2"/>
      <c r="J1700" s="2"/>
      <c r="K1700" s="2" t="s">
        <v>15013</v>
      </c>
      <c r="L1700" s="2">
        <v>86289901</v>
      </c>
      <c r="M1700" s="2"/>
      <c r="N1700" s="2"/>
      <c r="O1700" s="2"/>
      <c r="P1700" s="2">
        <v>79375</v>
      </c>
      <c r="Q1700" s="2"/>
      <c r="R1700" s="2"/>
      <c r="S1700" s="2"/>
      <c r="T1700" s="2" t="s">
        <v>15014</v>
      </c>
      <c r="U1700" s="2" t="s">
        <v>15015</v>
      </c>
      <c r="V1700" s="2" t="s">
        <v>95</v>
      </c>
      <c r="W1700" s="2" t="s">
        <v>96</v>
      </c>
      <c r="X1700" s="2" t="s">
        <v>141</v>
      </c>
      <c r="Y1700" s="2" t="s">
        <v>98</v>
      </c>
      <c r="Z1700" s="2" t="s">
        <v>99</v>
      </c>
      <c r="AA1700" s="2" t="s">
        <v>142</v>
      </c>
      <c r="AB1700" s="2" t="s">
        <v>8443</v>
      </c>
      <c r="AC1700" s="2">
        <v>41.37</v>
      </c>
      <c r="AD1700" s="2">
        <v>97.4</v>
      </c>
      <c r="AE1700" s="2">
        <v>42.99</v>
      </c>
      <c r="AF1700" s="2" t="s">
        <v>15016</v>
      </c>
      <c r="AG1700" s="2" t="s">
        <v>194</v>
      </c>
      <c r="AH1700" s="2" t="s">
        <v>15017</v>
      </c>
      <c r="AI1700" s="2">
        <v>5.82</v>
      </c>
      <c r="AJ1700" s="2">
        <v>21.768492941108299</v>
      </c>
      <c r="AK1700" s="2">
        <v>21.521358503878101</v>
      </c>
      <c r="AL1700" s="2">
        <v>21.750869767086702</v>
      </c>
      <c r="AM1700" s="2">
        <v>21.955040671602202</v>
      </c>
      <c r="AN1700" s="2">
        <v>21.777555672792499</v>
      </c>
      <c r="AO1700" s="2">
        <v>21.921692110803601</v>
      </c>
      <c r="AP1700" s="2">
        <v>21.7560235161401</v>
      </c>
      <c r="AQ1700" s="2">
        <v>21.817623565860401</v>
      </c>
      <c r="AR1700" s="2">
        <v>20.994283633360801</v>
      </c>
      <c r="AS1700" s="2">
        <v>14.4298127366032</v>
      </c>
      <c r="AT1700" s="2">
        <v>18.907532227951901</v>
      </c>
      <c r="AU1700" s="2">
        <v>20.706668201649101</v>
      </c>
      <c r="AV1700" s="2">
        <v>19.203976999116801</v>
      </c>
      <c r="AW1700" s="2">
        <v>22.734015628619002</v>
      </c>
      <c r="AX1700" s="2">
        <v>19.239948062077499</v>
      </c>
      <c r="AY1700" s="2">
        <v>21.0807738164835</v>
      </c>
      <c r="AZ1700" s="2">
        <v>17.9757817616313</v>
      </c>
      <c r="BA1700" s="2">
        <v>15.887474340666699</v>
      </c>
      <c r="BB1700" s="2">
        <v>23.358418607991101</v>
      </c>
      <c r="BC1700" s="2">
        <v>19.109047358354399</v>
      </c>
      <c r="BD1700" s="2">
        <v>18.850176213752</v>
      </c>
      <c r="BE1700" s="2">
        <v>19.685369901113301</v>
      </c>
      <c r="BF1700" s="2">
        <v>18.289562351005099</v>
      </c>
      <c r="BG1700" s="2">
        <v>15.9265366864422</v>
      </c>
      <c r="BH1700" s="2">
        <v>19.568309718962201</v>
      </c>
      <c r="BI1700" s="2">
        <v>15.8176986956679</v>
      </c>
      <c r="BJ1700" s="2">
        <v>18.938492531404702</v>
      </c>
      <c r="BK1700" s="2">
        <v>21.067511558327499</v>
      </c>
      <c r="BL1700" s="2">
        <v>17.551374596807001</v>
      </c>
      <c r="BM1700" s="2">
        <v>21.438373522513999</v>
      </c>
      <c r="BN1700" s="2">
        <v>20.5632290681557</v>
      </c>
      <c r="BO1700" s="2">
        <v>17.476800383081301</v>
      </c>
      <c r="BP1700" s="2">
        <v>9.6233145402724691</v>
      </c>
      <c r="BQ1700" s="2">
        <v>20.629023893471501</v>
      </c>
      <c r="BR1700" s="2">
        <v>20.1160822535591</v>
      </c>
      <c r="BS1700" s="2">
        <v>20.1602787712295</v>
      </c>
      <c r="BT1700" s="2">
        <v>18.126711126581199</v>
      </c>
      <c r="BU1700" s="2">
        <v>16.356342780431099</v>
      </c>
      <c r="BV1700" s="2">
        <v>22.724561017001299</v>
      </c>
      <c r="BW1700" s="2">
        <v>18.0820398098823</v>
      </c>
      <c r="BX1700" s="2">
        <v>18.7463218212452</v>
      </c>
      <c r="BY1700" s="2">
        <v>18.151473157480599</v>
      </c>
      <c r="BZ1700" s="2">
        <v>20.2508321558422</v>
      </c>
      <c r="CA1700" s="2">
        <v>19.259518307704301</v>
      </c>
      <c r="CB1700" s="2">
        <v>19.734029641427899</v>
      </c>
      <c r="CC1700" s="2">
        <v>17.4574747480344</v>
      </c>
      <c r="CD1700" s="2">
        <v>19.1952983789018</v>
      </c>
      <c r="CE1700" s="2">
        <v>17.642758112121601</v>
      </c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</row>
    <row r="1701" spans="1:97">
      <c r="A1701" s="2" t="s">
        <v>15018</v>
      </c>
      <c r="B1701" s="2">
        <v>205.08776</v>
      </c>
      <c r="C1701" s="2">
        <v>3.6749999999999998</v>
      </c>
      <c r="D1701" s="2" t="s">
        <v>84</v>
      </c>
      <c r="E1701" s="2" t="s">
        <v>15019</v>
      </c>
      <c r="F1701" s="2" t="s">
        <v>15020</v>
      </c>
      <c r="G1701" s="2">
        <v>59002</v>
      </c>
      <c r="H1701" s="3" t="str">
        <f>HYPERLINK("https://cloud.oebiotech.com/#/lm/network/59002", "https://cloud.oebiotech.com/#/lm/network/59002")</f>
        <v>https://cloud.oebiotech.com/#/lm/network/59002</v>
      </c>
      <c r="I1701" s="2" t="s">
        <v>15021</v>
      </c>
      <c r="J1701" s="2">
        <v>90437</v>
      </c>
      <c r="K1701" s="2"/>
      <c r="L1701" s="2">
        <v>66595</v>
      </c>
      <c r="M1701" s="2"/>
      <c r="N1701" s="2"/>
      <c r="O1701" s="2"/>
      <c r="P1701" s="2"/>
      <c r="Q1701" s="2"/>
      <c r="R1701" s="2"/>
      <c r="S1701" s="2" t="s">
        <v>15022</v>
      </c>
      <c r="T1701" s="2" t="s">
        <v>15023</v>
      </c>
      <c r="U1701" s="2" t="s">
        <v>15024</v>
      </c>
      <c r="V1701" s="2" t="s">
        <v>845</v>
      </c>
      <c r="W1701" s="2" t="s">
        <v>846</v>
      </c>
      <c r="X1701" s="2" t="s">
        <v>375</v>
      </c>
      <c r="Y1701" s="2" t="s">
        <v>847</v>
      </c>
      <c r="Z1701" s="2" t="s">
        <v>848</v>
      </c>
      <c r="AA1701" s="2"/>
      <c r="AB1701" s="2" t="s">
        <v>5118</v>
      </c>
      <c r="AC1701" s="2">
        <v>41.37</v>
      </c>
      <c r="AD1701" s="2">
        <v>92.94</v>
      </c>
      <c r="AE1701" s="2">
        <v>74.34</v>
      </c>
      <c r="AF1701" s="2" t="s">
        <v>15025</v>
      </c>
      <c r="AG1701" s="2" t="s">
        <v>103</v>
      </c>
      <c r="AH1701" s="2" t="s">
        <v>15026</v>
      </c>
      <c r="AI1701" s="2">
        <v>-9.26</v>
      </c>
      <c r="AJ1701" s="2">
        <v>23.725496714001199</v>
      </c>
      <c r="AK1701" s="2">
        <v>23.464997633507402</v>
      </c>
      <c r="AL1701" s="2">
        <v>23.3996215117593</v>
      </c>
      <c r="AM1701" s="2">
        <v>23.562909814974699</v>
      </c>
      <c r="AN1701" s="2">
        <v>23.731952956946198</v>
      </c>
      <c r="AO1701" s="2">
        <v>23.589781979858099</v>
      </c>
      <c r="AP1701" s="2">
        <v>23.582191557044201</v>
      </c>
      <c r="AQ1701" s="2">
        <v>23.5240787159285</v>
      </c>
      <c r="AR1701" s="2">
        <v>22.490939832307198</v>
      </c>
      <c r="AS1701" s="2">
        <v>22.784265651702899</v>
      </c>
      <c r="AT1701" s="2">
        <v>23.384398494073199</v>
      </c>
      <c r="AU1701" s="2">
        <v>23.100097825748101</v>
      </c>
      <c r="AV1701" s="2">
        <v>23.645680130521502</v>
      </c>
      <c r="AW1701" s="2">
        <v>23.547460263151901</v>
      </c>
      <c r="AX1701" s="2">
        <v>23.0906367095746</v>
      </c>
      <c r="AY1701" s="2">
        <v>23.6996187135166</v>
      </c>
      <c r="AZ1701" s="2">
        <v>23.564895072956102</v>
      </c>
      <c r="BA1701" s="2">
        <v>23.057830320100301</v>
      </c>
      <c r="BB1701" s="2">
        <v>23.896657440359199</v>
      </c>
      <c r="BC1701" s="2">
        <v>23.746830686218701</v>
      </c>
      <c r="BD1701" s="2">
        <v>23.234085160179301</v>
      </c>
      <c r="BE1701" s="2">
        <v>23.892726661795599</v>
      </c>
      <c r="BF1701" s="2">
        <v>23.416371167049999</v>
      </c>
      <c r="BG1701" s="2">
        <v>23.076281191048299</v>
      </c>
      <c r="BH1701" s="2">
        <v>23.747104621706399</v>
      </c>
      <c r="BI1701" s="2">
        <v>23.039230617178799</v>
      </c>
      <c r="BJ1701" s="2">
        <v>23.648724277011802</v>
      </c>
      <c r="BK1701" s="2">
        <v>23.409426528095</v>
      </c>
      <c r="BL1701" s="2">
        <v>23.203083638642099</v>
      </c>
      <c r="BM1701" s="2">
        <v>23.920075129743399</v>
      </c>
      <c r="BN1701" s="2">
        <v>23.553835720649602</v>
      </c>
      <c r="BO1701" s="2">
        <v>23.509542697674799</v>
      </c>
      <c r="BP1701" s="2">
        <v>23.2162225619936</v>
      </c>
      <c r="BQ1701" s="2">
        <v>23.569350812426698</v>
      </c>
      <c r="BR1701" s="2">
        <v>23.563591948008799</v>
      </c>
      <c r="BS1701" s="2">
        <v>23.4051372383028</v>
      </c>
      <c r="BT1701" s="2">
        <v>23.1929401964268</v>
      </c>
      <c r="BU1701" s="2">
        <v>22.874062834565599</v>
      </c>
      <c r="BV1701" s="2">
        <v>24.4118173588407</v>
      </c>
      <c r="BW1701" s="2">
        <v>22.878306676603099</v>
      </c>
      <c r="BX1701" s="2">
        <v>23.615406819550699</v>
      </c>
      <c r="BY1701" s="2">
        <v>23.8961956967145</v>
      </c>
      <c r="BZ1701" s="2">
        <v>23.497399965494498</v>
      </c>
      <c r="CA1701" s="2">
        <v>23.8255122806294</v>
      </c>
      <c r="CB1701" s="2">
        <v>23.397041831551299</v>
      </c>
      <c r="CC1701" s="2">
        <v>23.4150056189326</v>
      </c>
      <c r="CD1701" s="2">
        <v>23.897448706692099</v>
      </c>
      <c r="CE1701" s="2">
        <v>23.133875790803401</v>
      </c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</row>
    <row r="1702" spans="1:97">
      <c r="A1702" s="2" t="s">
        <v>15027</v>
      </c>
      <c r="B1702" s="2">
        <v>506.24040000000002</v>
      </c>
      <c r="C1702" s="2">
        <v>8.9710000000000001</v>
      </c>
      <c r="D1702" s="2" t="s">
        <v>84</v>
      </c>
      <c r="E1702" s="2" t="s">
        <v>15028</v>
      </c>
      <c r="F1702" s="2" t="s">
        <v>15029</v>
      </c>
      <c r="G1702" s="2">
        <v>59686</v>
      </c>
      <c r="H1702" s="3" t="str">
        <f>HYPERLINK("https://cloud.oebiotech.com/#/lm/network/59686", "https://cloud.oebiotech.com/#/lm/network/59686")</f>
        <v>https://cloud.oebiotech.com/#/lm/network/59686</v>
      </c>
      <c r="I1702" s="2" t="s">
        <v>15030</v>
      </c>
      <c r="J1702" s="2"/>
      <c r="K1702" s="2"/>
      <c r="L1702" s="2">
        <v>45934422</v>
      </c>
      <c r="M1702" s="2"/>
      <c r="N1702" s="2"/>
      <c r="O1702" s="2"/>
      <c r="P1702" s="2"/>
      <c r="Q1702" s="2"/>
      <c r="R1702" s="2"/>
      <c r="S1702" s="2" t="s">
        <v>15031</v>
      </c>
      <c r="T1702" s="2" t="s">
        <v>15032</v>
      </c>
      <c r="U1702" s="2" t="s">
        <v>15033</v>
      </c>
      <c r="V1702" s="2" t="s">
        <v>95</v>
      </c>
      <c r="W1702" s="2" t="s">
        <v>152</v>
      </c>
      <c r="X1702" s="2" t="s">
        <v>9622</v>
      </c>
      <c r="Y1702" s="2" t="s">
        <v>98</v>
      </c>
      <c r="Z1702" s="2" t="s">
        <v>154</v>
      </c>
      <c r="AA1702" s="2" t="s">
        <v>9623</v>
      </c>
      <c r="AB1702" s="2" t="s">
        <v>8443</v>
      </c>
      <c r="AC1702" s="2">
        <v>41.33</v>
      </c>
      <c r="AD1702" s="2">
        <v>81.36</v>
      </c>
      <c r="AE1702" s="2">
        <v>0</v>
      </c>
      <c r="AF1702" s="2" t="s">
        <v>15034</v>
      </c>
      <c r="AG1702" s="2" t="s">
        <v>132</v>
      </c>
      <c r="AH1702" s="2" t="s">
        <v>15035</v>
      </c>
      <c r="AI1702" s="2">
        <v>-3.75</v>
      </c>
      <c r="AJ1702" s="2">
        <v>19.141822784261901</v>
      </c>
      <c r="AK1702" s="2">
        <v>19.003071859646798</v>
      </c>
      <c r="AL1702" s="2">
        <v>19.294994772002799</v>
      </c>
      <c r="AM1702" s="2">
        <v>19.303381524608898</v>
      </c>
      <c r="AN1702" s="2">
        <v>19.318772934464199</v>
      </c>
      <c r="AO1702" s="2">
        <v>19.179062954115398</v>
      </c>
      <c r="AP1702" s="2">
        <v>19.143947030262702</v>
      </c>
      <c r="AQ1702" s="2">
        <v>19.297901930575701</v>
      </c>
      <c r="AR1702" s="2">
        <v>18.773208087322899</v>
      </c>
      <c r="AS1702" s="2">
        <v>9.6233145402724691</v>
      </c>
      <c r="AT1702" s="2">
        <v>18.7100165711697</v>
      </c>
      <c r="AU1702" s="2">
        <v>19.314189632957099</v>
      </c>
      <c r="AV1702" s="2">
        <v>16.934024253437499</v>
      </c>
      <c r="AW1702" s="2">
        <v>21.469442816337899</v>
      </c>
      <c r="AX1702" s="2">
        <v>17.312433726720101</v>
      </c>
      <c r="AY1702" s="2">
        <v>18.791645866546101</v>
      </c>
      <c r="AZ1702" s="2">
        <v>14.1132163589404</v>
      </c>
      <c r="BA1702" s="2">
        <v>9.6233145402724691</v>
      </c>
      <c r="BB1702" s="2">
        <v>21.0451552750967</v>
      </c>
      <c r="BC1702" s="2">
        <v>18.121114737883399</v>
      </c>
      <c r="BD1702" s="2">
        <v>16.376807767004799</v>
      </c>
      <c r="BE1702" s="2">
        <v>16.521295859067902</v>
      </c>
      <c r="BF1702" s="2">
        <v>15.483746826984</v>
      </c>
      <c r="BG1702" s="2">
        <v>9.6233145402724691</v>
      </c>
      <c r="BH1702" s="2">
        <v>18.251233991454502</v>
      </c>
      <c r="BI1702" s="2">
        <v>9.6233145402724691</v>
      </c>
      <c r="BJ1702" s="2">
        <v>18.277625446761402</v>
      </c>
      <c r="BK1702" s="2">
        <v>20.7480186128039</v>
      </c>
      <c r="BL1702" s="2">
        <v>9.6233145402724691</v>
      </c>
      <c r="BM1702" s="2">
        <v>20.134709159373799</v>
      </c>
      <c r="BN1702" s="2">
        <v>19.828597854101499</v>
      </c>
      <c r="BO1702" s="2">
        <v>14.114946892684801</v>
      </c>
      <c r="BP1702" s="2">
        <v>9.6233145402724691</v>
      </c>
      <c r="BQ1702" s="2">
        <v>19.901678882314901</v>
      </c>
      <c r="BR1702" s="2">
        <v>19.1853734975595</v>
      </c>
      <c r="BS1702" s="2">
        <v>18.391515814691399</v>
      </c>
      <c r="BT1702" s="2">
        <v>15.4981670179176</v>
      </c>
      <c r="BU1702" s="2">
        <v>9.6233145402724691</v>
      </c>
      <c r="BV1702" s="2">
        <v>20.600505195335298</v>
      </c>
      <c r="BW1702" s="2">
        <v>16.323621281369199</v>
      </c>
      <c r="BX1702" s="2">
        <v>17.198903292928499</v>
      </c>
      <c r="BY1702" s="2">
        <v>16.554688519133499</v>
      </c>
      <c r="BZ1702" s="2">
        <v>16.719364754431702</v>
      </c>
      <c r="CA1702" s="2">
        <v>18.999115435362398</v>
      </c>
      <c r="CB1702" s="2">
        <v>18.1955043298397</v>
      </c>
      <c r="CC1702" s="2">
        <v>16.266446905296402</v>
      </c>
      <c r="CD1702" s="2">
        <v>18.588613741474301</v>
      </c>
      <c r="CE1702" s="2">
        <v>18.2203845158974</v>
      </c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</row>
    <row r="1703" spans="1:97">
      <c r="A1703" s="2" t="s">
        <v>15036</v>
      </c>
      <c r="B1703" s="2">
        <v>279.03395</v>
      </c>
      <c r="C1703" s="2">
        <v>0.99099999999999999</v>
      </c>
      <c r="D1703" s="2" t="s">
        <v>146</v>
      </c>
      <c r="E1703" s="2" t="s">
        <v>15037</v>
      </c>
      <c r="F1703" s="2" t="s">
        <v>15038</v>
      </c>
      <c r="G1703" s="2">
        <v>595864</v>
      </c>
      <c r="H1703" s="3" t="str">
        <f>HYPERLINK("https://cloud.oebiotech.com/#/lm/network/595864", "https://cloud.oebiotech.com/#/lm/network/595864")</f>
        <v>https://cloud.oebiotech.com/#/lm/network/595864</v>
      </c>
      <c r="I1703" s="2"/>
      <c r="J1703" s="2"/>
      <c r="K1703" s="2"/>
      <c r="L1703" s="2">
        <v>77381530</v>
      </c>
      <c r="M1703" s="2"/>
      <c r="N1703" s="2"/>
      <c r="O1703" s="2"/>
      <c r="P1703" s="2"/>
      <c r="Q1703" s="2"/>
      <c r="R1703" s="2"/>
      <c r="S1703" s="2"/>
      <c r="T1703" s="2" t="s">
        <v>15039</v>
      </c>
      <c r="U1703" s="2" t="s">
        <v>15040</v>
      </c>
      <c r="V1703" s="2" t="s">
        <v>338</v>
      </c>
      <c r="W1703" s="2" t="s">
        <v>339</v>
      </c>
      <c r="X1703" s="2" t="s">
        <v>663</v>
      </c>
      <c r="Y1703" s="2" t="s">
        <v>341</v>
      </c>
      <c r="Z1703" s="2" t="s">
        <v>341</v>
      </c>
      <c r="AA1703" s="2" t="s">
        <v>664</v>
      </c>
      <c r="AB1703" s="2" t="s">
        <v>8443</v>
      </c>
      <c r="AC1703" s="2">
        <v>41.33</v>
      </c>
      <c r="AD1703" s="2">
        <v>93.33</v>
      </c>
      <c r="AE1703" s="2">
        <v>0</v>
      </c>
      <c r="AF1703" s="2" t="s">
        <v>15041</v>
      </c>
      <c r="AG1703" s="2" t="s">
        <v>194</v>
      </c>
      <c r="AH1703" s="2" t="s">
        <v>15042</v>
      </c>
      <c r="AI1703" s="2">
        <v>6.45</v>
      </c>
      <c r="AJ1703" s="2">
        <v>21.4606872983478</v>
      </c>
      <c r="AK1703" s="2">
        <v>21.650056566177099</v>
      </c>
      <c r="AL1703" s="2">
        <v>21.553329076166701</v>
      </c>
      <c r="AM1703" s="2">
        <v>21.754432670637101</v>
      </c>
      <c r="AN1703" s="2">
        <v>21.455795231339401</v>
      </c>
      <c r="AO1703" s="2">
        <v>21.410858674107502</v>
      </c>
      <c r="AP1703" s="2">
        <v>21.469375247662501</v>
      </c>
      <c r="AQ1703" s="2">
        <v>21.454186121723598</v>
      </c>
      <c r="AR1703" s="2">
        <v>20.853281743045802</v>
      </c>
      <c r="AS1703" s="2">
        <v>20.326501728913801</v>
      </c>
      <c r="AT1703" s="2">
        <v>21.206969681055298</v>
      </c>
      <c r="AU1703" s="2">
        <v>20.255364368053101</v>
      </c>
      <c r="AV1703" s="2">
        <v>20.917595552794001</v>
      </c>
      <c r="AW1703" s="2">
        <v>21.5610904504187</v>
      </c>
      <c r="AX1703" s="2">
        <v>21.601127940311599</v>
      </c>
      <c r="AY1703" s="2">
        <v>20.8990416013566</v>
      </c>
      <c r="AZ1703" s="2">
        <v>20.7207551067373</v>
      </c>
      <c r="BA1703" s="2">
        <v>21.0575732995047</v>
      </c>
      <c r="BB1703" s="2">
        <v>21.2949297331769</v>
      </c>
      <c r="BC1703" s="2">
        <v>20.199890693022802</v>
      </c>
      <c r="BD1703" s="2">
        <v>20.835047820109502</v>
      </c>
      <c r="BE1703" s="2">
        <v>20.881503815681299</v>
      </c>
      <c r="BF1703" s="2">
        <v>21.432648026475899</v>
      </c>
      <c r="BG1703" s="2">
        <v>21.514553338278301</v>
      </c>
      <c r="BH1703" s="2">
        <v>21.022920185396099</v>
      </c>
      <c r="BI1703" s="2">
        <v>22.563525461857299</v>
      </c>
      <c r="BJ1703" s="2">
        <v>21.7619873842564</v>
      </c>
      <c r="BK1703" s="2">
        <v>21.146558993141198</v>
      </c>
      <c r="BL1703" s="2">
        <v>20.6864863442553</v>
      </c>
      <c r="BM1703" s="2">
        <v>20.034823621156999</v>
      </c>
      <c r="BN1703" s="2">
        <v>21.172066446643701</v>
      </c>
      <c r="BO1703" s="2">
        <v>21.105044158919199</v>
      </c>
      <c r="BP1703" s="2">
        <v>21.0553149890446</v>
      </c>
      <c r="BQ1703" s="2">
        <v>21.266888469469102</v>
      </c>
      <c r="BR1703" s="2">
        <v>21.8294536058057</v>
      </c>
      <c r="BS1703" s="2">
        <v>21.730927909697598</v>
      </c>
      <c r="BT1703" s="2">
        <v>19.627299609896902</v>
      </c>
      <c r="BU1703" s="2">
        <v>21.7206045722018</v>
      </c>
      <c r="BV1703" s="2">
        <v>21.0024588582164</v>
      </c>
      <c r="BW1703" s="2">
        <v>20.144158289405599</v>
      </c>
      <c r="BX1703" s="2">
        <v>19.995225505929799</v>
      </c>
      <c r="BY1703" s="2">
        <v>21.4537995561077</v>
      </c>
      <c r="BZ1703" s="2">
        <v>20.6523217979401</v>
      </c>
      <c r="CA1703" s="2">
        <v>20.776750325301201</v>
      </c>
      <c r="CB1703" s="2">
        <v>20.228203887834699</v>
      </c>
      <c r="CC1703" s="2">
        <v>21.7418969152227</v>
      </c>
      <c r="CD1703" s="2">
        <v>21.4229975202189</v>
      </c>
      <c r="CE1703" s="2">
        <v>21.413981810380101</v>
      </c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</row>
    <row r="1704" spans="1:97">
      <c r="A1704" s="2" t="s">
        <v>15043</v>
      </c>
      <c r="B1704" s="2">
        <v>184.07276999999999</v>
      </c>
      <c r="C1704" s="2">
        <v>10.507</v>
      </c>
      <c r="D1704" s="2" t="s">
        <v>84</v>
      </c>
      <c r="E1704" s="2" t="s">
        <v>15044</v>
      </c>
      <c r="F1704" s="2" t="s">
        <v>15045</v>
      </c>
      <c r="G1704" s="2">
        <v>202491</v>
      </c>
      <c r="H1704" s="3" t="str">
        <f>HYPERLINK("https://cloud.oebiotech.com/#/lm/network/202491", "https://cloud.oebiotech.com/#/lm/network/202491")</f>
        <v>https://cloud.oebiotech.com/#/lm/network/202491</v>
      </c>
      <c r="I1704" s="2" t="s">
        <v>15046</v>
      </c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 t="s">
        <v>15047</v>
      </c>
      <c r="U1704" s="2" t="s">
        <v>15048</v>
      </c>
      <c r="V1704" s="2" t="s">
        <v>95</v>
      </c>
      <c r="W1704" s="2" t="s">
        <v>96</v>
      </c>
      <c r="X1704" s="2" t="s">
        <v>141</v>
      </c>
      <c r="Y1704" s="2" t="s">
        <v>98</v>
      </c>
      <c r="Z1704" s="2" t="s">
        <v>99</v>
      </c>
      <c r="AA1704" s="2" t="s">
        <v>142</v>
      </c>
      <c r="AB1704" s="2" t="s">
        <v>8443</v>
      </c>
      <c r="AC1704" s="2">
        <v>41.32</v>
      </c>
      <c r="AD1704" s="2">
        <v>90.18</v>
      </c>
      <c r="AE1704" s="2">
        <v>34.619999999999997</v>
      </c>
      <c r="AF1704" s="2" t="s">
        <v>15049</v>
      </c>
      <c r="AG1704" s="2" t="s">
        <v>3544</v>
      </c>
      <c r="AH1704" s="2" t="s">
        <v>1038</v>
      </c>
      <c r="AI1704" s="2">
        <v>3.26</v>
      </c>
      <c r="AJ1704" s="2">
        <v>22.868253813816001</v>
      </c>
      <c r="AK1704" s="2">
        <v>22.957474392240599</v>
      </c>
      <c r="AL1704" s="2">
        <v>22.997557959731001</v>
      </c>
      <c r="AM1704" s="2">
        <v>22.935324416066202</v>
      </c>
      <c r="AN1704" s="2">
        <v>22.907881543023599</v>
      </c>
      <c r="AO1704" s="2">
        <v>22.896906488500001</v>
      </c>
      <c r="AP1704" s="2">
        <v>22.982426712069099</v>
      </c>
      <c r="AQ1704" s="2">
        <v>22.923638495939699</v>
      </c>
      <c r="AR1704" s="2">
        <v>23.190516171569101</v>
      </c>
      <c r="AS1704" s="2">
        <v>22.1753993656354</v>
      </c>
      <c r="AT1704" s="2">
        <v>22.617721245733001</v>
      </c>
      <c r="AU1704" s="2">
        <v>22.738636516981199</v>
      </c>
      <c r="AV1704" s="2">
        <v>22.641855194306</v>
      </c>
      <c r="AW1704" s="2">
        <v>22.7808205854035</v>
      </c>
      <c r="AX1704" s="2">
        <v>22.736126809752101</v>
      </c>
      <c r="AY1704" s="2">
        <v>22.721364896636299</v>
      </c>
      <c r="AZ1704" s="2">
        <v>22.8506050874742</v>
      </c>
      <c r="BA1704" s="2">
        <v>21.8987180379596</v>
      </c>
      <c r="BB1704" s="2">
        <v>22.666397744324001</v>
      </c>
      <c r="BC1704" s="2">
        <v>23.3558842865617</v>
      </c>
      <c r="BD1704" s="2">
        <v>22.529048639894</v>
      </c>
      <c r="BE1704" s="2">
        <v>23.216325762289198</v>
      </c>
      <c r="BF1704" s="2">
        <v>22.817213153557201</v>
      </c>
      <c r="BG1704" s="2">
        <v>23.164757048774401</v>
      </c>
      <c r="BH1704" s="2">
        <v>22.680395082103601</v>
      </c>
      <c r="BI1704" s="2">
        <v>23.130822463282598</v>
      </c>
      <c r="BJ1704" s="2">
        <v>23.0774440807273</v>
      </c>
      <c r="BK1704" s="2">
        <v>22.689463443941801</v>
      </c>
      <c r="BL1704" s="2">
        <v>22.938343842545599</v>
      </c>
      <c r="BM1704" s="2">
        <v>22.609213238197899</v>
      </c>
      <c r="BN1704" s="2">
        <v>22.8703592274172</v>
      </c>
      <c r="BO1704" s="2">
        <v>23.001688806061601</v>
      </c>
      <c r="BP1704" s="2">
        <v>22.837510188570299</v>
      </c>
      <c r="BQ1704" s="2">
        <v>22.740187770669198</v>
      </c>
      <c r="BR1704" s="2">
        <v>23.063454880172099</v>
      </c>
      <c r="BS1704" s="2">
        <v>23.218583333162002</v>
      </c>
      <c r="BT1704" s="2">
        <v>22.767434348630601</v>
      </c>
      <c r="BU1704" s="2">
        <v>22.808568363431299</v>
      </c>
      <c r="BV1704" s="2">
        <v>22.979742089166301</v>
      </c>
      <c r="BW1704" s="2">
        <v>22.3379567311658</v>
      </c>
      <c r="BX1704" s="2">
        <v>22.3775177319142</v>
      </c>
      <c r="BY1704" s="2">
        <v>23.475472840963199</v>
      </c>
      <c r="BZ1704" s="2">
        <v>22.7001693741867</v>
      </c>
      <c r="CA1704" s="2">
        <v>23.128953362250101</v>
      </c>
      <c r="CB1704" s="2">
        <v>22.881688174917301</v>
      </c>
      <c r="CC1704" s="2">
        <v>22.670375054704401</v>
      </c>
      <c r="CD1704" s="2">
        <v>23.2472559310932</v>
      </c>
      <c r="CE1704" s="2">
        <v>22.405186038078</v>
      </c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</row>
    <row r="1705" spans="1:97">
      <c r="A1705" s="2" t="s">
        <v>15050</v>
      </c>
      <c r="B1705" s="2">
        <v>367.13619999999997</v>
      </c>
      <c r="C1705" s="2">
        <v>7.5279999999999996</v>
      </c>
      <c r="D1705" s="2" t="s">
        <v>146</v>
      </c>
      <c r="E1705" s="2" t="s">
        <v>15051</v>
      </c>
      <c r="F1705" s="2" t="s">
        <v>15052</v>
      </c>
      <c r="G1705" s="2">
        <v>197099</v>
      </c>
      <c r="H1705" s="3" t="str">
        <f>HYPERLINK("https://cloud.oebiotech.com/#/lm/network/197099", "https://cloud.oebiotech.com/#/lm/network/197099")</f>
        <v>https://cloud.oebiotech.com/#/lm/network/197099</v>
      </c>
      <c r="I1705" s="2" t="s">
        <v>15053</v>
      </c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 t="s">
        <v>15054</v>
      </c>
      <c r="U1705" s="2" t="s">
        <v>15055</v>
      </c>
      <c r="V1705" s="2" t="s">
        <v>385</v>
      </c>
      <c r="W1705" s="2" t="s">
        <v>3055</v>
      </c>
      <c r="X1705" s="2" t="s">
        <v>375</v>
      </c>
      <c r="Y1705" s="2" t="s">
        <v>388</v>
      </c>
      <c r="Z1705" s="2" t="s">
        <v>3056</v>
      </c>
      <c r="AA1705" s="2"/>
      <c r="AB1705" s="2" t="s">
        <v>3086</v>
      </c>
      <c r="AC1705" s="2">
        <v>41.31</v>
      </c>
      <c r="AD1705" s="2">
        <v>87.97</v>
      </c>
      <c r="AE1705" s="2">
        <v>0</v>
      </c>
      <c r="AF1705" s="2" t="s">
        <v>5614</v>
      </c>
      <c r="AG1705" s="2" t="s">
        <v>157</v>
      </c>
      <c r="AH1705" s="2" t="s">
        <v>15056</v>
      </c>
      <c r="AI1705" s="2">
        <v>9.81</v>
      </c>
      <c r="AJ1705" s="2">
        <v>17.422748589536202</v>
      </c>
      <c r="AK1705" s="2">
        <v>18.176550295355501</v>
      </c>
      <c r="AL1705" s="2">
        <v>18.026456387369599</v>
      </c>
      <c r="AM1705" s="2">
        <v>17.9950130295245</v>
      </c>
      <c r="AN1705" s="2">
        <v>18.388511486919501</v>
      </c>
      <c r="AO1705" s="2">
        <v>18.655055171173601</v>
      </c>
      <c r="AP1705" s="2">
        <v>18.031408130928401</v>
      </c>
      <c r="AQ1705" s="2">
        <v>18.6250625744064</v>
      </c>
      <c r="AR1705" s="2">
        <v>13.8067278333559</v>
      </c>
      <c r="AS1705" s="2">
        <v>9.6233145402724691</v>
      </c>
      <c r="AT1705" s="2">
        <v>13.643941847249801</v>
      </c>
      <c r="AU1705" s="2">
        <v>15.052073398063399</v>
      </c>
      <c r="AV1705" s="2">
        <v>18.999451752736999</v>
      </c>
      <c r="AW1705" s="2">
        <v>17.561022816042801</v>
      </c>
      <c r="AX1705" s="2">
        <v>18.328373750131199</v>
      </c>
      <c r="AY1705" s="2">
        <v>18.867591103575201</v>
      </c>
      <c r="AZ1705" s="2">
        <v>17.274669069111798</v>
      </c>
      <c r="BA1705" s="2">
        <v>17.1669987036089</v>
      </c>
      <c r="BB1705" s="2">
        <v>14.302483280238301</v>
      </c>
      <c r="BC1705" s="2">
        <v>20.031258031740101</v>
      </c>
      <c r="BD1705" s="2">
        <v>16.257963803852899</v>
      </c>
      <c r="BE1705" s="2">
        <v>19.203132077765801</v>
      </c>
      <c r="BF1705" s="2">
        <v>16.461819936850599</v>
      </c>
      <c r="BG1705" s="2">
        <v>17.204434165773101</v>
      </c>
      <c r="BH1705" s="2">
        <v>16.242321334776399</v>
      </c>
      <c r="BI1705" s="2">
        <v>13.120294585938099</v>
      </c>
      <c r="BJ1705" s="2">
        <v>16.267923078872599</v>
      </c>
      <c r="BK1705" s="2">
        <v>18.0052773304132</v>
      </c>
      <c r="BL1705" s="2">
        <v>17.155985080966101</v>
      </c>
      <c r="BM1705" s="2">
        <v>16.8251691099324</v>
      </c>
      <c r="BN1705" s="2">
        <v>16.014352895434801</v>
      </c>
      <c r="BO1705" s="2">
        <v>14.8768823702354</v>
      </c>
      <c r="BP1705" s="2">
        <v>19.170344620884201</v>
      </c>
      <c r="BQ1705" s="2">
        <v>17.8508958972558</v>
      </c>
      <c r="BR1705" s="2">
        <v>18.553602409612498</v>
      </c>
      <c r="BS1705" s="2">
        <v>18.560952422565901</v>
      </c>
      <c r="BT1705" s="2">
        <v>16.950833232884701</v>
      </c>
      <c r="BU1705" s="2">
        <v>9.6233145402724691</v>
      </c>
      <c r="BV1705" s="2">
        <v>9.6233145402724691</v>
      </c>
      <c r="BW1705" s="2">
        <v>18.236937216531601</v>
      </c>
      <c r="BX1705" s="2">
        <v>17.726218824683599</v>
      </c>
      <c r="BY1705" s="2">
        <v>19.935536463067098</v>
      </c>
      <c r="BZ1705" s="2">
        <v>17.554883637585402</v>
      </c>
      <c r="CA1705" s="2">
        <v>14.9612891548935</v>
      </c>
      <c r="CB1705" s="2">
        <v>18.387230283796999</v>
      </c>
      <c r="CC1705" s="2">
        <v>14.664575614697601</v>
      </c>
      <c r="CD1705" s="2">
        <v>18.3135242084394</v>
      </c>
      <c r="CE1705" s="2">
        <v>19.229293382104</v>
      </c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</row>
    <row r="1706" spans="1:97">
      <c r="A1706" s="2" t="s">
        <v>15057</v>
      </c>
      <c r="B1706" s="2">
        <v>201.0376</v>
      </c>
      <c r="C1706" s="2">
        <v>1.0289999999999999</v>
      </c>
      <c r="D1706" s="2" t="s">
        <v>146</v>
      </c>
      <c r="E1706" s="2" t="s">
        <v>15058</v>
      </c>
      <c r="F1706" s="2" t="s">
        <v>15059</v>
      </c>
      <c r="G1706" s="2">
        <v>207524</v>
      </c>
      <c r="H1706" s="3" t="str">
        <f>HYPERLINK("https://cloud.oebiotech.com/#/lm/network/207524", "https://cloud.oebiotech.com/#/lm/network/207524")</f>
        <v>https://cloud.oebiotech.com/#/lm/network/207524</v>
      </c>
      <c r="I1706" s="2" t="s">
        <v>15060</v>
      </c>
      <c r="J1706" s="2"/>
      <c r="K1706" s="2"/>
      <c r="L1706" s="2">
        <v>49937</v>
      </c>
      <c r="M1706" s="2"/>
      <c r="N1706" s="2"/>
      <c r="O1706" s="2"/>
      <c r="P1706" s="2"/>
      <c r="Q1706" s="2"/>
      <c r="R1706" s="2"/>
      <c r="S1706" s="2"/>
      <c r="T1706" s="2" t="s">
        <v>15061</v>
      </c>
      <c r="U1706" s="2" t="s">
        <v>15062</v>
      </c>
      <c r="V1706" s="2" t="s">
        <v>115</v>
      </c>
      <c r="W1706" s="2" t="s">
        <v>2162</v>
      </c>
      <c r="X1706" s="2" t="s">
        <v>2163</v>
      </c>
      <c r="Y1706" s="2" t="s">
        <v>118</v>
      </c>
      <c r="Z1706" s="2" t="s">
        <v>2164</v>
      </c>
      <c r="AA1706" s="2" t="s">
        <v>2164</v>
      </c>
      <c r="AB1706" s="2" t="s">
        <v>5118</v>
      </c>
      <c r="AC1706" s="2">
        <v>41.31</v>
      </c>
      <c r="AD1706" s="2">
        <v>78.05</v>
      </c>
      <c r="AE1706" s="2">
        <v>90.28</v>
      </c>
      <c r="AF1706" s="2" t="s">
        <v>15063</v>
      </c>
      <c r="AG1706" s="2" t="s">
        <v>4062</v>
      </c>
      <c r="AH1706" s="2" t="s">
        <v>15064</v>
      </c>
      <c r="AI1706" s="2">
        <v>-8.9499999999999993</v>
      </c>
      <c r="AJ1706" s="2">
        <v>26.334401526667801</v>
      </c>
      <c r="AK1706" s="2">
        <v>26.344399748425101</v>
      </c>
      <c r="AL1706" s="2">
        <v>26.517869305797898</v>
      </c>
      <c r="AM1706" s="2">
        <v>26.548750931231702</v>
      </c>
      <c r="AN1706" s="2">
        <v>26.559013504145302</v>
      </c>
      <c r="AO1706" s="2">
        <v>26.387542016807998</v>
      </c>
      <c r="AP1706" s="2">
        <v>26.460891088390401</v>
      </c>
      <c r="AQ1706" s="2">
        <v>26.372959270367399</v>
      </c>
      <c r="AR1706" s="2">
        <v>26.428512382290499</v>
      </c>
      <c r="AS1706" s="2">
        <v>26.161864697240901</v>
      </c>
      <c r="AT1706" s="2">
        <v>26.353941334580799</v>
      </c>
      <c r="AU1706" s="2">
        <v>25.2464387897192</v>
      </c>
      <c r="AV1706" s="2">
        <v>26.221651968086999</v>
      </c>
      <c r="AW1706" s="2">
        <v>26.514765809967699</v>
      </c>
      <c r="AX1706" s="2">
        <v>26.442889717018002</v>
      </c>
      <c r="AY1706" s="2">
        <v>25.9366907495418</v>
      </c>
      <c r="AZ1706" s="2">
        <v>26.0681888448247</v>
      </c>
      <c r="BA1706" s="2">
        <v>25.246056930605199</v>
      </c>
      <c r="BB1706" s="2">
        <v>26.523185120823999</v>
      </c>
      <c r="BC1706" s="2">
        <v>26.0566814207946</v>
      </c>
      <c r="BD1706" s="2">
        <v>26.361479546881501</v>
      </c>
      <c r="BE1706" s="2">
        <v>25.684608580577901</v>
      </c>
      <c r="BF1706" s="2">
        <v>26.9728043207563</v>
      </c>
      <c r="BG1706" s="2">
        <v>26.738853000997</v>
      </c>
      <c r="BH1706" s="2">
        <v>25.975723693230599</v>
      </c>
      <c r="BI1706" s="2">
        <v>26.7440960038025</v>
      </c>
      <c r="BJ1706" s="2">
        <v>26.982018226289799</v>
      </c>
      <c r="BK1706" s="2">
        <v>26.0342320177819</v>
      </c>
      <c r="BL1706" s="2">
        <v>26.157380607570602</v>
      </c>
      <c r="BM1706" s="2">
        <v>25.1609128132908</v>
      </c>
      <c r="BN1706" s="2">
        <v>25.750493236397499</v>
      </c>
      <c r="BO1706" s="2">
        <v>25.201076003496699</v>
      </c>
      <c r="BP1706" s="2">
        <v>26.667787082900801</v>
      </c>
      <c r="BQ1706" s="2">
        <v>25.964825572089101</v>
      </c>
      <c r="BR1706" s="2">
        <v>26.403296922194599</v>
      </c>
      <c r="BS1706" s="2">
        <v>26.636913854129901</v>
      </c>
      <c r="BT1706" s="2">
        <v>25.351298292500601</v>
      </c>
      <c r="BU1706" s="2">
        <v>26.782735052667899</v>
      </c>
      <c r="BV1706" s="2">
        <v>26.430541927712401</v>
      </c>
      <c r="BW1706" s="2">
        <v>25.671447033901501</v>
      </c>
      <c r="BX1706" s="2">
        <v>25.384041885357899</v>
      </c>
      <c r="BY1706" s="2">
        <v>26.387362231484101</v>
      </c>
      <c r="BZ1706" s="2">
        <v>25.714778592117401</v>
      </c>
      <c r="CA1706" s="2">
        <v>27.151823834745301</v>
      </c>
      <c r="CB1706" s="2">
        <v>25.5809318933863</v>
      </c>
      <c r="CC1706" s="2">
        <v>26.649746957171899</v>
      </c>
      <c r="CD1706" s="2">
        <v>26.723837626259598</v>
      </c>
      <c r="CE1706" s="2">
        <v>26.518805036903299</v>
      </c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</row>
    <row r="1707" spans="1:97">
      <c r="A1707" s="2" t="s">
        <v>15065</v>
      </c>
      <c r="B1707" s="2">
        <v>356.26123999999999</v>
      </c>
      <c r="C1707" s="2">
        <v>9.4019999999999992</v>
      </c>
      <c r="D1707" s="2" t="s">
        <v>84</v>
      </c>
      <c r="E1707" s="2" t="s">
        <v>15066</v>
      </c>
      <c r="F1707" s="2" t="s">
        <v>15067</v>
      </c>
      <c r="G1707" s="2">
        <v>203810</v>
      </c>
      <c r="H1707" s="3" t="str">
        <f>HYPERLINK("https://cloud.oebiotech.com/#/lm/network/203810", "https://cloud.oebiotech.com/#/lm/network/203810")</f>
        <v>https://cloud.oebiotech.com/#/lm/network/203810</v>
      </c>
      <c r="I1707" s="2" t="s">
        <v>15068</v>
      </c>
      <c r="J1707" s="2"/>
      <c r="K1707" s="2"/>
      <c r="L1707" s="2">
        <v>4108831</v>
      </c>
      <c r="M1707" s="2"/>
      <c r="N1707" s="2"/>
      <c r="O1707" s="2"/>
      <c r="P1707" s="2"/>
      <c r="Q1707" s="2"/>
      <c r="R1707" s="2"/>
      <c r="S1707" s="2"/>
      <c r="T1707" s="2" t="s">
        <v>15069</v>
      </c>
      <c r="U1707" s="2" t="s">
        <v>15070</v>
      </c>
      <c r="V1707" s="2" t="s">
        <v>95</v>
      </c>
      <c r="W1707" s="2" t="s">
        <v>152</v>
      </c>
      <c r="X1707" s="2" t="s">
        <v>5492</v>
      </c>
      <c r="Y1707" s="2" t="s">
        <v>98</v>
      </c>
      <c r="Z1707" s="2" t="s">
        <v>154</v>
      </c>
      <c r="AA1707" s="2" t="s">
        <v>5493</v>
      </c>
      <c r="AB1707" s="2" t="s">
        <v>5118</v>
      </c>
      <c r="AC1707" s="2">
        <v>41.31</v>
      </c>
      <c r="AD1707" s="2">
        <v>95.95</v>
      </c>
      <c r="AE1707" s="2">
        <v>59.73</v>
      </c>
      <c r="AF1707" s="2" t="s">
        <v>15071</v>
      </c>
      <c r="AG1707" s="2" t="s">
        <v>103</v>
      </c>
      <c r="AH1707" s="2" t="s">
        <v>15072</v>
      </c>
      <c r="AI1707" s="2">
        <v>-7.86</v>
      </c>
      <c r="AJ1707" s="2">
        <v>20.445988727574498</v>
      </c>
      <c r="AK1707" s="2">
        <v>20.4240264294925</v>
      </c>
      <c r="AL1707" s="2">
        <v>20.384261863609499</v>
      </c>
      <c r="AM1707" s="2">
        <v>20.396263243677801</v>
      </c>
      <c r="AN1707" s="2">
        <v>20.319613736053402</v>
      </c>
      <c r="AO1707" s="2">
        <v>20.319395014233699</v>
      </c>
      <c r="AP1707" s="2">
        <v>20.2372537790006</v>
      </c>
      <c r="AQ1707" s="2">
        <v>20.414676555417302</v>
      </c>
      <c r="AR1707" s="2">
        <v>18.539984815649898</v>
      </c>
      <c r="AS1707" s="2">
        <v>19.3714693584024</v>
      </c>
      <c r="AT1707" s="2">
        <v>19.923842861299701</v>
      </c>
      <c r="AU1707" s="2">
        <v>18.061856024987399</v>
      </c>
      <c r="AV1707" s="2">
        <v>19.680909749643501</v>
      </c>
      <c r="AW1707" s="2">
        <v>20.1551376426773</v>
      </c>
      <c r="AX1707" s="2">
        <v>20.144734410053399</v>
      </c>
      <c r="AY1707" s="2">
        <v>21.366958104202901</v>
      </c>
      <c r="AZ1707" s="2">
        <v>19.220205543318301</v>
      </c>
      <c r="BA1707" s="2">
        <v>20.4169419024315</v>
      </c>
      <c r="BB1707" s="2">
        <v>20.3413609221085</v>
      </c>
      <c r="BC1707" s="2">
        <v>21.528562758461099</v>
      </c>
      <c r="BD1707" s="2">
        <v>19.382097905873302</v>
      </c>
      <c r="BE1707" s="2">
        <v>20.903255742797501</v>
      </c>
      <c r="BF1707" s="2">
        <v>20.653734665668001</v>
      </c>
      <c r="BG1707" s="2">
        <v>19.565853490900899</v>
      </c>
      <c r="BH1707" s="2">
        <v>20.673831940843399</v>
      </c>
      <c r="BI1707" s="2">
        <v>19.588505520400599</v>
      </c>
      <c r="BJ1707" s="2">
        <v>20.1703298880925</v>
      </c>
      <c r="BK1707" s="2">
        <v>19.398388526502099</v>
      </c>
      <c r="BL1707" s="2">
        <v>19.476925580526299</v>
      </c>
      <c r="BM1707" s="2">
        <v>20.1171523186926</v>
      </c>
      <c r="BN1707" s="2">
        <v>20.192503926595901</v>
      </c>
      <c r="BO1707" s="2">
        <v>19.400352301457399</v>
      </c>
      <c r="BP1707" s="2">
        <v>19.4749899948965</v>
      </c>
      <c r="BQ1707" s="2">
        <v>19.808028606525099</v>
      </c>
      <c r="BR1707" s="2">
        <v>20.422670057900799</v>
      </c>
      <c r="BS1707" s="2">
        <v>20.457813859890699</v>
      </c>
      <c r="BT1707" s="2">
        <v>19.729428067335402</v>
      </c>
      <c r="BU1707" s="2">
        <v>20.475503212777198</v>
      </c>
      <c r="BV1707" s="2">
        <v>20.070887212002699</v>
      </c>
      <c r="BW1707" s="2">
        <v>20.563193487972899</v>
      </c>
      <c r="BX1707" s="2">
        <v>19.727756845524301</v>
      </c>
      <c r="BY1707" s="2">
        <v>21.326119368109499</v>
      </c>
      <c r="BZ1707" s="2">
        <v>19.799692257677599</v>
      </c>
      <c r="CA1707" s="2">
        <v>19.795844586745901</v>
      </c>
      <c r="CB1707" s="2">
        <v>19.241861429265001</v>
      </c>
      <c r="CC1707" s="2">
        <v>20.762737135437501</v>
      </c>
      <c r="CD1707" s="2">
        <v>20.7869251592371</v>
      </c>
      <c r="CE1707" s="2">
        <v>19.5565238854306</v>
      </c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</row>
    <row r="1708" spans="1:97">
      <c r="A1708" s="2" t="s">
        <v>15073</v>
      </c>
      <c r="B1708" s="2">
        <v>346.14515999999998</v>
      </c>
      <c r="C1708" s="2">
        <v>7.6920000000000002</v>
      </c>
      <c r="D1708" s="2" t="s">
        <v>84</v>
      </c>
      <c r="E1708" s="2" t="s">
        <v>15074</v>
      </c>
      <c r="F1708" s="2" t="s">
        <v>15075</v>
      </c>
      <c r="G1708" s="2">
        <v>199971</v>
      </c>
      <c r="H1708" s="3" t="str">
        <f>HYPERLINK("https://cloud.oebiotech.com/#/lm/network/199971", "https://cloud.oebiotech.com/#/lm/network/199971")</f>
        <v>https://cloud.oebiotech.com/#/lm/network/199971</v>
      </c>
      <c r="I1708" s="2" t="s">
        <v>15076</v>
      </c>
      <c r="J1708" s="2"/>
      <c r="K1708" s="2"/>
      <c r="L1708" s="2">
        <v>129608</v>
      </c>
      <c r="M1708" s="2"/>
      <c r="N1708" s="2"/>
      <c r="O1708" s="2"/>
      <c r="P1708" s="2"/>
      <c r="Q1708" s="2"/>
      <c r="R1708" s="2"/>
      <c r="S1708" s="2"/>
      <c r="T1708" s="2" t="s">
        <v>15077</v>
      </c>
      <c r="U1708" s="2" t="s">
        <v>15078</v>
      </c>
      <c r="V1708" s="2" t="s">
        <v>95</v>
      </c>
      <c r="W1708" s="2" t="s">
        <v>96</v>
      </c>
      <c r="X1708" s="2" t="s">
        <v>141</v>
      </c>
      <c r="Y1708" s="2" t="s">
        <v>98</v>
      </c>
      <c r="Z1708" s="2" t="s">
        <v>99</v>
      </c>
      <c r="AA1708" s="2" t="s">
        <v>142</v>
      </c>
      <c r="AB1708" s="2" t="s">
        <v>8443</v>
      </c>
      <c r="AC1708" s="2">
        <v>41.26</v>
      </c>
      <c r="AD1708" s="2">
        <v>74.36</v>
      </c>
      <c r="AE1708" s="2">
        <v>0</v>
      </c>
      <c r="AF1708" s="2" t="s">
        <v>5614</v>
      </c>
      <c r="AG1708" s="2" t="s">
        <v>1578</v>
      </c>
      <c r="AH1708" s="2" t="s">
        <v>15079</v>
      </c>
      <c r="AI1708" s="2">
        <v>-1.44</v>
      </c>
      <c r="AJ1708" s="2">
        <v>18.9109608611727</v>
      </c>
      <c r="AK1708" s="2">
        <v>18.892019160070902</v>
      </c>
      <c r="AL1708" s="2">
        <v>18.8762024018814</v>
      </c>
      <c r="AM1708" s="2">
        <v>18.730763161488401</v>
      </c>
      <c r="AN1708" s="2">
        <v>18.739348784651199</v>
      </c>
      <c r="AO1708" s="2">
        <v>18.779941072711502</v>
      </c>
      <c r="AP1708" s="2">
        <v>18.9169660545647</v>
      </c>
      <c r="AQ1708" s="2">
        <v>19.002526921308</v>
      </c>
      <c r="AR1708" s="2">
        <v>9.6233145402724691</v>
      </c>
      <c r="AS1708" s="2">
        <v>9.6233145402724691</v>
      </c>
      <c r="AT1708" s="2">
        <v>18.9356167133394</v>
      </c>
      <c r="AU1708" s="2">
        <v>20.5803317704455</v>
      </c>
      <c r="AV1708" s="2">
        <v>19.342944612728701</v>
      </c>
      <c r="AW1708" s="2">
        <v>19.803624696186699</v>
      </c>
      <c r="AX1708" s="2">
        <v>19.6147833413103</v>
      </c>
      <c r="AY1708" s="2">
        <v>18.695345076108399</v>
      </c>
      <c r="AZ1708" s="2">
        <v>18.304535372623999</v>
      </c>
      <c r="BA1708" s="2">
        <v>17.748102022996498</v>
      </c>
      <c r="BB1708" s="2">
        <v>9.6233145402724691</v>
      </c>
      <c r="BC1708" s="2">
        <v>9.6233145402724691</v>
      </c>
      <c r="BD1708" s="2">
        <v>20.333517190984299</v>
      </c>
      <c r="BE1708" s="2">
        <v>17.595670305822601</v>
      </c>
      <c r="BF1708" s="2">
        <v>18.176773546358799</v>
      </c>
      <c r="BG1708" s="2">
        <v>9.6233145402724691</v>
      </c>
      <c r="BH1708" s="2">
        <v>20.2743557087929</v>
      </c>
      <c r="BI1708" s="2">
        <v>20.555246782487998</v>
      </c>
      <c r="BJ1708" s="2">
        <v>9.6233145402724691</v>
      </c>
      <c r="BK1708" s="2">
        <v>19.720247632250899</v>
      </c>
      <c r="BL1708" s="2">
        <v>17.292179883783199</v>
      </c>
      <c r="BM1708" s="2">
        <v>20.1024154852837</v>
      </c>
      <c r="BN1708" s="2">
        <v>19.4868219439382</v>
      </c>
      <c r="BO1708" s="2">
        <v>17.0752335470237</v>
      </c>
      <c r="BP1708" s="2">
        <v>19.760941811029902</v>
      </c>
      <c r="BQ1708" s="2">
        <v>17.801971578758899</v>
      </c>
      <c r="BR1708" s="2">
        <v>9.6233145402724691</v>
      </c>
      <c r="BS1708" s="2">
        <v>17.127890470431598</v>
      </c>
      <c r="BT1708" s="2">
        <v>9.6233145402724691</v>
      </c>
      <c r="BU1708" s="2">
        <v>19.416441068408101</v>
      </c>
      <c r="BV1708" s="2">
        <v>9.6233145402724691</v>
      </c>
      <c r="BW1708" s="2">
        <v>9.6233145402724691</v>
      </c>
      <c r="BX1708" s="2">
        <v>20.710513422084301</v>
      </c>
      <c r="BY1708" s="2">
        <v>20.956466856044099</v>
      </c>
      <c r="BZ1708" s="2">
        <v>9.6233145402724691</v>
      </c>
      <c r="CA1708" s="2">
        <v>9.6233145402724691</v>
      </c>
      <c r="CB1708" s="2">
        <v>9.6233145402724691</v>
      </c>
      <c r="CC1708" s="2">
        <v>17.731676212949299</v>
      </c>
      <c r="CD1708" s="2">
        <v>18.930007508080401</v>
      </c>
      <c r="CE1708" s="2">
        <v>18.277003779431201</v>
      </c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</row>
    <row r="1709" spans="1:97">
      <c r="A1709" s="2" t="s">
        <v>15080</v>
      </c>
      <c r="B1709" s="2">
        <v>186.99081000000001</v>
      </c>
      <c r="C1709" s="2">
        <v>4.8049999999999997</v>
      </c>
      <c r="D1709" s="2" t="s">
        <v>146</v>
      </c>
      <c r="E1709" s="2" t="s">
        <v>15081</v>
      </c>
      <c r="F1709" s="2" t="s">
        <v>15082</v>
      </c>
      <c r="G1709" s="2">
        <v>202323</v>
      </c>
      <c r="H1709" s="3" t="str">
        <f>HYPERLINK("https://cloud.oebiotech.com/#/lm/network/202323", "https://cloud.oebiotech.com/#/lm/network/202323")</f>
        <v>https://cloud.oebiotech.com/#/lm/network/202323</v>
      </c>
      <c r="I1709" s="2" t="s">
        <v>15083</v>
      </c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 t="s">
        <v>15084</v>
      </c>
      <c r="U1709" s="2" t="s">
        <v>15085</v>
      </c>
      <c r="V1709" s="2" t="s">
        <v>553</v>
      </c>
      <c r="W1709" s="2" t="s">
        <v>2447</v>
      </c>
      <c r="X1709" s="2" t="s">
        <v>14937</v>
      </c>
      <c r="Y1709" s="2" t="s">
        <v>556</v>
      </c>
      <c r="Z1709" s="2" t="s">
        <v>2449</v>
      </c>
      <c r="AA1709" s="2" t="s">
        <v>14938</v>
      </c>
      <c r="AB1709" s="2" t="s">
        <v>8443</v>
      </c>
      <c r="AC1709" s="2">
        <v>41.24</v>
      </c>
      <c r="AD1709" s="2">
        <v>79.05</v>
      </c>
      <c r="AE1709" s="2">
        <v>0</v>
      </c>
      <c r="AF1709" s="2" t="s">
        <v>5614</v>
      </c>
      <c r="AG1709" s="2" t="s">
        <v>194</v>
      </c>
      <c r="AH1709" s="2" t="s">
        <v>15086</v>
      </c>
      <c r="AI1709" s="2">
        <v>4.28</v>
      </c>
      <c r="AJ1709" s="2">
        <v>18.179464835173398</v>
      </c>
      <c r="AK1709" s="2">
        <v>17.750780314905001</v>
      </c>
      <c r="AL1709" s="2">
        <v>18.219961247825001</v>
      </c>
      <c r="AM1709" s="2">
        <v>17.727447005866999</v>
      </c>
      <c r="AN1709" s="2">
        <v>17.435036501291101</v>
      </c>
      <c r="AO1709" s="2">
        <v>18.359265612942199</v>
      </c>
      <c r="AP1709" s="2">
        <v>17.858863341166099</v>
      </c>
      <c r="AQ1709" s="2">
        <v>17.966810205715699</v>
      </c>
      <c r="AR1709" s="2">
        <v>15.4081167444029</v>
      </c>
      <c r="AS1709" s="2">
        <v>14.0623286771936</v>
      </c>
      <c r="AT1709" s="2">
        <v>9.6233145402724691</v>
      </c>
      <c r="AU1709" s="2">
        <v>15.870690772661</v>
      </c>
      <c r="AV1709" s="2">
        <v>19.246728770794299</v>
      </c>
      <c r="AW1709" s="2">
        <v>17.173878635032899</v>
      </c>
      <c r="AX1709" s="2">
        <v>16.928143241509499</v>
      </c>
      <c r="AY1709" s="2">
        <v>16.582342391064898</v>
      </c>
      <c r="AZ1709" s="2">
        <v>17.0002676627252</v>
      </c>
      <c r="BA1709" s="2">
        <v>15.8783908009993</v>
      </c>
      <c r="BB1709" s="2">
        <v>14.8282406353983</v>
      </c>
      <c r="BC1709" s="2">
        <v>13.6044269761565</v>
      </c>
      <c r="BD1709" s="2">
        <v>17.558421684911</v>
      </c>
      <c r="BE1709" s="2">
        <v>20.9165422177682</v>
      </c>
      <c r="BF1709" s="2">
        <v>18.0045904321385</v>
      </c>
      <c r="BG1709" s="2">
        <v>16.612071098131299</v>
      </c>
      <c r="BH1709" s="2">
        <v>18.936598144728901</v>
      </c>
      <c r="BI1709" s="2">
        <v>18.691434145287701</v>
      </c>
      <c r="BJ1709" s="2">
        <v>19.314542620111801</v>
      </c>
      <c r="BK1709" s="2">
        <v>14.962865286303201</v>
      </c>
      <c r="BL1709" s="2">
        <v>17.566726724643001</v>
      </c>
      <c r="BM1709" s="2">
        <v>13.356263505184801</v>
      </c>
      <c r="BN1709" s="2">
        <v>16.659096435476702</v>
      </c>
      <c r="BO1709" s="2">
        <v>9.6233145402724691</v>
      </c>
      <c r="BP1709" s="2">
        <v>18.437874041598601</v>
      </c>
      <c r="BQ1709" s="2">
        <v>17.6472792308486</v>
      </c>
      <c r="BR1709" s="2">
        <v>17.931766205007001</v>
      </c>
      <c r="BS1709" s="2">
        <v>17.6733026566367</v>
      </c>
      <c r="BT1709" s="2">
        <v>16.872791252976899</v>
      </c>
      <c r="BU1709" s="2">
        <v>16.660820157580201</v>
      </c>
      <c r="BV1709" s="2">
        <v>15.248817059278499</v>
      </c>
      <c r="BW1709" s="2">
        <v>12.052452576240899</v>
      </c>
      <c r="BX1709" s="2">
        <v>17.308010905572399</v>
      </c>
      <c r="BY1709" s="2">
        <v>19.560070310443098</v>
      </c>
      <c r="BZ1709" s="2">
        <v>15.155652321367601</v>
      </c>
      <c r="CA1709" s="2">
        <v>15.031204512466701</v>
      </c>
      <c r="CB1709" s="2">
        <v>17.913544638982501</v>
      </c>
      <c r="CC1709" s="2">
        <v>14.0834818204663</v>
      </c>
      <c r="CD1709" s="2">
        <v>18.118472518080502</v>
      </c>
      <c r="CE1709" s="2">
        <v>9.6233145402724691</v>
      </c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</row>
    <row r="1710" spans="1:97">
      <c r="A1710" s="2" t="s">
        <v>15087</v>
      </c>
      <c r="B1710" s="2">
        <v>215.08780999999999</v>
      </c>
      <c r="C1710" s="2">
        <v>0.63800000000000001</v>
      </c>
      <c r="D1710" s="2" t="s">
        <v>84</v>
      </c>
      <c r="E1710" s="2" t="s">
        <v>15088</v>
      </c>
      <c r="F1710" s="2" t="s">
        <v>15089</v>
      </c>
      <c r="G1710" s="2">
        <v>211237</v>
      </c>
      <c r="H1710" s="3" t="str">
        <f>HYPERLINK("https://cloud.oebiotech.com/#/lm/network/211237", "https://cloud.oebiotech.com/#/lm/network/211237")</f>
        <v>https://cloud.oebiotech.com/#/lm/network/211237</v>
      </c>
      <c r="I1710" s="2" t="s">
        <v>15090</v>
      </c>
      <c r="J1710" s="2"/>
      <c r="K1710" s="2"/>
      <c r="L1710" s="2">
        <v>57085244</v>
      </c>
      <c r="M1710" s="2"/>
      <c r="N1710" s="2"/>
      <c r="O1710" s="2"/>
      <c r="P1710" s="2"/>
      <c r="Q1710" s="2"/>
      <c r="R1710" s="2"/>
      <c r="S1710" s="2"/>
      <c r="T1710" s="2" t="s">
        <v>15091</v>
      </c>
      <c r="U1710" s="2" t="s">
        <v>15092</v>
      </c>
      <c r="V1710" s="2" t="s">
        <v>115</v>
      </c>
      <c r="W1710" s="2" t="s">
        <v>116</v>
      </c>
      <c r="X1710" s="2" t="s">
        <v>1238</v>
      </c>
      <c r="Y1710" s="2" t="s">
        <v>118</v>
      </c>
      <c r="Z1710" s="2" t="s">
        <v>119</v>
      </c>
      <c r="AA1710" s="2" t="s">
        <v>1239</v>
      </c>
      <c r="AB1710" s="2" t="s">
        <v>8443</v>
      </c>
      <c r="AC1710" s="2">
        <v>41.24</v>
      </c>
      <c r="AD1710" s="2">
        <v>95.23</v>
      </c>
      <c r="AE1710" s="2">
        <v>0</v>
      </c>
      <c r="AF1710" s="2" t="s">
        <v>5614</v>
      </c>
      <c r="AG1710" s="2" t="s">
        <v>1088</v>
      </c>
      <c r="AH1710" s="2" t="s">
        <v>15093</v>
      </c>
      <c r="AI1710" s="2">
        <v>6.97</v>
      </c>
      <c r="AJ1710" s="2">
        <v>20.058867580475098</v>
      </c>
      <c r="AK1710" s="2">
        <v>19.8268267301446</v>
      </c>
      <c r="AL1710" s="2">
        <v>20.0467949579566</v>
      </c>
      <c r="AM1710" s="2">
        <v>19.258254183000702</v>
      </c>
      <c r="AN1710" s="2">
        <v>19.7439697272807</v>
      </c>
      <c r="AO1710" s="2">
        <v>19.623307484145201</v>
      </c>
      <c r="AP1710" s="2">
        <v>19.834327130074499</v>
      </c>
      <c r="AQ1710" s="2">
        <v>19.772606728234098</v>
      </c>
      <c r="AR1710" s="2">
        <v>19.4951248969512</v>
      </c>
      <c r="AS1710" s="2">
        <v>19.357017346566799</v>
      </c>
      <c r="AT1710" s="2">
        <v>20.057549429944299</v>
      </c>
      <c r="AU1710" s="2">
        <v>19.451926404950999</v>
      </c>
      <c r="AV1710" s="2">
        <v>19.8542579313674</v>
      </c>
      <c r="AW1710" s="2">
        <v>19.7417303705998</v>
      </c>
      <c r="AX1710" s="2">
        <v>19.830157874616699</v>
      </c>
      <c r="AY1710" s="2">
        <v>19.887995798032701</v>
      </c>
      <c r="AZ1710" s="2">
        <v>19.668974031852802</v>
      </c>
      <c r="BA1710" s="2">
        <v>19.776948892990902</v>
      </c>
      <c r="BB1710" s="2">
        <v>19.812165818144901</v>
      </c>
      <c r="BC1710" s="2">
        <v>19.3857429460998</v>
      </c>
      <c r="BD1710" s="2">
        <v>19.280403372127498</v>
      </c>
      <c r="BE1710" s="2">
        <v>19.613136285946499</v>
      </c>
      <c r="BF1710" s="2">
        <v>19.010969701933998</v>
      </c>
      <c r="BG1710" s="2">
        <v>20.0518751045615</v>
      </c>
      <c r="BH1710" s="2">
        <v>20.226379098973499</v>
      </c>
      <c r="BI1710" s="2">
        <v>20.0323543292109</v>
      </c>
      <c r="BJ1710" s="2">
        <v>19.8287549576958</v>
      </c>
      <c r="BK1710" s="2">
        <v>19.686838978190298</v>
      </c>
      <c r="BL1710" s="2">
        <v>19.467342733856899</v>
      </c>
      <c r="BM1710" s="2">
        <v>19.865858116846798</v>
      </c>
      <c r="BN1710" s="2">
        <v>19.956627663638098</v>
      </c>
      <c r="BO1710" s="2">
        <v>20.124430954873901</v>
      </c>
      <c r="BP1710" s="2">
        <v>19.599812510331901</v>
      </c>
      <c r="BQ1710" s="2">
        <v>19.721820392656898</v>
      </c>
      <c r="BR1710" s="2">
        <v>19.7835164915913</v>
      </c>
      <c r="BS1710" s="2">
        <v>19.734971066490299</v>
      </c>
      <c r="BT1710" s="2">
        <v>19.516151783755902</v>
      </c>
      <c r="BU1710" s="2">
        <v>19.437303801506399</v>
      </c>
      <c r="BV1710" s="2">
        <v>19.2254323461671</v>
      </c>
      <c r="BW1710" s="2">
        <v>19.2296090445491</v>
      </c>
      <c r="BX1710" s="2">
        <v>20.091960838429699</v>
      </c>
      <c r="BY1710" s="2">
        <v>20.192222368657099</v>
      </c>
      <c r="BZ1710" s="2">
        <v>18.821189263138599</v>
      </c>
      <c r="CA1710" s="2">
        <v>19.526741699271899</v>
      </c>
      <c r="CB1710" s="2">
        <v>20.0468593030288</v>
      </c>
      <c r="CC1710" s="2">
        <v>19.690543136391099</v>
      </c>
      <c r="CD1710" s="2">
        <v>20.3888978936405</v>
      </c>
      <c r="CE1710" s="2">
        <v>19.349874727140801</v>
      </c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</row>
    <row r="1711" spans="1:97">
      <c r="A1711" s="2" t="s">
        <v>15094</v>
      </c>
      <c r="B1711" s="2">
        <v>455.29602</v>
      </c>
      <c r="C1711" s="2">
        <v>8.8030000000000008</v>
      </c>
      <c r="D1711" s="2" t="s">
        <v>146</v>
      </c>
      <c r="E1711" s="2" t="s">
        <v>15095</v>
      </c>
      <c r="F1711" s="2" t="s">
        <v>15096</v>
      </c>
      <c r="G1711" s="2">
        <v>44178</v>
      </c>
      <c r="H1711" s="3" t="str">
        <f>HYPERLINK("https://cloud.oebiotech.com/#/lm/network/44178", "https://cloud.oebiotech.com/#/lm/network/44178")</f>
        <v>https://cloud.oebiotech.com/#/lm/network/44178</v>
      </c>
      <c r="I1711" s="2"/>
      <c r="J1711" s="2"/>
      <c r="K1711" s="2" t="s">
        <v>15097</v>
      </c>
      <c r="L1711" s="2">
        <v>21629551</v>
      </c>
      <c r="M1711" s="2"/>
      <c r="N1711" s="2"/>
      <c r="O1711" s="2"/>
      <c r="P1711" s="2"/>
      <c r="Q1711" s="2"/>
      <c r="R1711" s="2"/>
      <c r="S1711" s="2"/>
      <c r="T1711" s="2" t="s">
        <v>15098</v>
      </c>
      <c r="U1711" s="2" t="s">
        <v>15099</v>
      </c>
      <c r="V1711" s="2" t="s">
        <v>95</v>
      </c>
      <c r="W1711" s="2" t="s">
        <v>152</v>
      </c>
      <c r="X1711" s="2" t="s">
        <v>153</v>
      </c>
      <c r="Y1711" s="2" t="s">
        <v>98</v>
      </c>
      <c r="Z1711" s="2" t="s">
        <v>154</v>
      </c>
      <c r="AA1711" s="2" t="s">
        <v>155</v>
      </c>
      <c r="AB1711" s="2" t="s">
        <v>3086</v>
      </c>
      <c r="AC1711" s="2">
        <v>41.23</v>
      </c>
      <c r="AD1711" s="2">
        <v>61.82</v>
      </c>
      <c r="AE1711" s="2">
        <v>0</v>
      </c>
      <c r="AF1711" s="2" t="s">
        <v>5614</v>
      </c>
      <c r="AG1711" s="2" t="s">
        <v>4062</v>
      </c>
      <c r="AH1711" s="2" t="s">
        <v>8848</v>
      </c>
      <c r="AI1711" s="2">
        <v>-5.71</v>
      </c>
      <c r="AJ1711" s="2">
        <v>18.1523140595962</v>
      </c>
      <c r="AK1711" s="2">
        <v>17.464923715890802</v>
      </c>
      <c r="AL1711" s="2">
        <v>18.043142286505699</v>
      </c>
      <c r="AM1711" s="2">
        <v>18.142331962152099</v>
      </c>
      <c r="AN1711" s="2">
        <v>18.082075372106999</v>
      </c>
      <c r="AO1711" s="2">
        <v>17.762703393449701</v>
      </c>
      <c r="AP1711" s="2">
        <v>17.856433188545498</v>
      </c>
      <c r="AQ1711" s="2">
        <v>17.943487794515601</v>
      </c>
      <c r="AR1711" s="2">
        <v>17.417737904796201</v>
      </c>
      <c r="AS1711" s="2">
        <v>17.319385112642902</v>
      </c>
      <c r="AT1711" s="2">
        <v>17.377015010945598</v>
      </c>
      <c r="AU1711" s="2">
        <v>17.591354110970101</v>
      </c>
      <c r="AV1711" s="2">
        <v>17.889334323169201</v>
      </c>
      <c r="AW1711" s="2">
        <v>17.710861106695098</v>
      </c>
      <c r="AX1711" s="2">
        <v>17.975246066624202</v>
      </c>
      <c r="AY1711" s="2">
        <v>17.455974678992099</v>
      </c>
      <c r="AZ1711" s="2">
        <v>17.938703318350601</v>
      </c>
      <c r="BA1711" s="2">
        <v>17.736129180361001</v>
      </c>
      <c r="BB1711" s="2">
        <v>17.202083255116399</v>
      </c>
      <c r="BC1711" s="2">
        <v>17.7474926947813</v>
      </c>
      <c r="BD1711" s="2">
        <v>17.628590710856798</v>
      </c>
      <c r="BE1711" s="2">
        <v>17.5572424518483</v>
      </c>
      <c r="BF1711" s="2">
        <v>17.952132925546</v>
      </c>
      <c r="BG1711" s="2">
        <v>17.962311666899499</v>
      </c>
      <c r="BH1711" s="2">
        <v>17.375467040004501</v>
      </c>
      <c r="BI1711" s="2">
        <v>17.587638507276601</v>
      </c>
      <c r="BJ1711" s="2">
        <v>17.6129937977677</v>
      </c>
      <c r="BK1711" s="2">
        <v>17.6886093670918</v>
      </c>
      <c r="BL1711" s="2">
        <v>17.563522298876901</v>
      </c>
      <c r="BM1711" s="2">
        <v>17.718503711501501</v>
      </c>
      <c r="BN1711" s="2">
        <v>17.543251030153002</v>
      </c>
      <c r="BO1711" s="2">
        <v>17.543195588756401</v>
      </c>
      <c r="BP1711" s="2">
        <v>17.698926069724099</v>
      </c>
      <c r="BQ1711" s="2">
        <v>17.967474121934199</v>
      </c>
      <c r="BR1711" s="2">
        <v>17.5634174301643</v>
      </c>
      <c r="BS1711" s="2">
        <v>17.5732655186141</v>
      </c>
      <c r="BT1711" s="2">
        <v>17.580256874263899</v>
      </c>
      <c r="BU1711" s="2">
        <v>17.931403169283801</v>
      </c>
      <c r="BV1711" s="2">
        <v>17.686438083639999</v>
      </c>
      <c r="BW1711" s="2">
        <v>17.9238959174731</v>
      </c>
      <c r="BX1711" s="2">
        <v>17.5224541803356</v>
      </c>
      <c r="BY1711" s="2">
        <v>17.523657358707801</v>
      </c>
      <c r="BZ1711" s="2">
        <v>17.7901334969728</v>
      </c>
      <c r="CA1711" s="2">
        <v>17.831106553101598</v>
      </c>
      <c r="CB1711" s="2">
        <v>14.8924488980149</v>
      </c>
      <c r="CC1711" s="2">
        <v>16.044920219455602</v>
      </c>
      <c r="CD1711" s="2">
        <v>17.858332626192201</v>
      </c>
      <c r="CE1711" s="2">
        <v>17.4584583614309</v>
      </c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</row>
    <row r="1712" spans="1:97">
      <c r="A1712" s="2" t="s">
        <v>15100</v>
      </c>
      <c r="B1712" s="2">
        <v>395.18905000000001</v>
      </c>
      <c r="C1712" s="2">
        <v>9.1660000000000004</v>
      </c>
      <c r="D1712" s="2" t="s">
        <v>146</v>
      </c>
      <c r="E1712" s="2" t="s">
        <v>15101</v>
      </c>
      <c r="F1712" s="2" t="s">
        <v>15102</v>
      </c>
      <c r="G1712" s="2">
        <v>254994</v>
      </c>
      <c r="H1712" s="3" t="str">
        <f>HYPERLINK("https://cloud.oebiotech.com/#/lm/network/254994", "https://cloud.oebiotech.com/#/lm/network/254994")</f>
        <v>https://cloud.oebiotech.com/#/lm/network/254994</v>
      </c>
      <c r="I1712" s="2" t="s">
        <v>15103</v>
      </c>
      <c r="J1712" s="2"/>
      <c r="K1712" s="2"/>
      <c r="L1712" s="2">
        <v>340816</v>
      </c>
      <c r="M1712" s="2"/>
      <c r="N1712" s="2"/>
      <c r="O1712" s="2"/>
      <c r="P1712" s="2"/>
      <c r="Q1712" s="2"/>
      <c r="R1712" s="2"/>
      <c r="S1712" s="2"/>
      <c r="T1712" s="2" t="s">
        <v>15104</v>
      </c>
      <c r="U1712" s="2" t="s">
        <v>15105</v>
      </c>
      <c r="V1712" s="2" t="s">
        <v>553</v>
      </c>
      <c r="W1712" s="2" t="s">
        <v>1599</v>
      </c>
      <c r="X1712" s="2" t="s">
        <v>15106</v>
      </c>
      <c r="Y1712" s="2" t="s">
        <v>556</v>
      </c>
      <c r="Z1712" s="2" t="s">
        <v>1601</v>
      </c>
      <c r="AA1712" s="2" t="s">
        <v>15107</v>
      </c>
      <c r="AB1712" s="2" t="s">
        <v>8443</v>
      </c>
      <c r="AC1712" s="2">
        <v>41.22</v>
      </c>
      <c r="AD1712" s="2">
        <v>63.28</v>
      </c>
      <c r="AE1712" s="2">
        <v>0</v>
      </c>
      <c r="AF1712" s="2" t="s">
        <v>15108</v>
      </c>
      <c r="AG1712" s="2" t="s">
        <v>4062</v>
      </c>
      <c r="AH1712" s="2" t="s">
        <v>15109</v>
      </c>
      <c r="AI1712" s="2">
        <v>1.27</v>
      </c>
      <c r="AJ1712" s="2">
        <v>21.3606973653018</v>
      </c>
      <c r="AK1712" s="2">
        <v>21.450241958697902</v>
      </c>
      <c r="AL1712" s="2">
        <v>21.340884524106201</v>
      </c>
      <c r="AM1712" s="2">
        <v>20.129231931493202</v>
      </c>
      <c r="AN1712" s="2">
        <v>21.459055894565999</v>
      </c>
      <c r="AO1712" s="2">
        <v>21.443047022685199</v>
      </c>
      <c r="AP1712" s="2">
        <v>21.390163365804899</v>
      </c>
      <c r="AQ1712" s="2">
        <v>21.4034865639046</v>
      </c>
      <c r="AR1712" s="2">
        <v>19.166251634714399</v>
      </c>
      <c r="AS1712" s="2">
        <v>18.4032991405291</v>
      </c>
      <c r="AT1712" s="2">
        <v>21.150989662082601</v>
      </c>
      <c r="AU1712" s="2">
        <v>20.059299434</v>
      </c>
      <c r="AV1712" s="2">
        <v>21.7772519073796</v>
      </c>
      <c r="AW1712" s="2">
        <v>22.243318805076001</v>
      </c>
      <c r="AX1712" s="2">
        <v>21.994189814266502</v>
      </c>
      <c r="AY1712" s="2">
        <v>21.966051950908799</v>
      </c>
      <c r="AZ1712" s="2">
        <v>22.082881454490099</v>
      </c>
      <c r="BA1712" s="2">
        <v>20.914815207711701</v>
      </c>
      <c r="BB1712" s="2">
        <v>21.3684609492161</v>
      </c>
      <c r="BC1712" s="2">
        <v>23.4334306506696</v>
      </c>
      <c r="BD1712" s="2">
        <v>19.813436772415098</v>
      </c>
      <c r="BE1712" s="2">
        <v>22.898115420287802</v>
      </c>
      <c r="BF1712" s="2">
        <v>19.832844873624801</v>
      </c>
      <c r="BG1712" s="2">
        <v>21.451333613942101</v>
      </c>
      <c r="BH1712" s="2">
        <v>21.938946348396801</v>
      </c>
      <c r="BI1712" s="2">
        <v>16.944100858564902</v>
      </c>
      <c r="BJ1712" s="2">
        <v>21.521250798176901</v>
      </c>
      <c r="BK1712" s="2">
        <v>21.9709513336695</v>
      </c>
      <c r="BL1712" s="2">
        <v>20.983560795680798</v>
      </c>
      <c r="BM1712" s="2">
        <v>20.271210774961499</v>
      </c>
      <c r="BN1712" s="2">
        <v>20.836305172155001</v>
      </c>
      <c r="BO1712" s="2">
        <v>20.9261174119329</v>
      </c>
      <c r="BP1712" s="2">
        <v>20.847102327118201</v>
      </c>
      <c r="BQ1712" s="2">
        <v>21.454527679093101</v>
      </c>
      <c r="BR1712" s="2">
        <v>22.239760751303201</v>
      </c>
      <c r="BS1712" s="2">
        <v>21.6832163584074</v>
      </c>
      <c r="BT1712" s="2">
        <v>20.7826668277545</v>
      </c>
      <c r="BU1712" s="2">
        <v>21.174970952480098</v>
      </c>
      <c r="BV1712" s="2">
        <v>18.9351495072071</v>
      </c>
      <c r="BW1712" s="2">
        <v>21.844565558913501</v>
      </c>
      <c r="BX1712" s="2">
        <v>20.122125012633301</v>
      </c>
      <c r="BY1712" s="2">
        <v>23.037306162189498</v>
      </c>
      <c r="BZ1712" s="2">
        <v>20.775598627097398</v>
      </c>
      <c r="CA1712" s="2">
        <v>17.025365073920099</v>
      </c>
      <c r="CB1712" s="2">
        <v>20.891855205909199</v>
      </c>
      <c r="CC1712" s="2">
        <v>20.280494188262299</v>
      </c>
      <c r="CD1712" s="2">
        <v>20.9547038375519</v>
      </c>
      <c r="CE1712" s="2">
        <v>21.8206035671578</v>
      </c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</row>
    <row r="1713" spans="1:97">
      <c r="A1713" s="2" t="s">
        <v>15110</v>
      </c>
      <c r="B1713" s="2">
        <v>193.08333999999999</v>
      </c>
      <c r="C1713" s="2">
        <v>0.66300000000000003</v>
      </c>
      <c r="D1713" s="2" t="s">
        <v>84</v>
      </c>
      <c r="E1713" s="2" t="s">
        <v>15111</v>
      </c>
      <c r="F1713" s="2" t="s">
        <v>15112</v>
      </c>
      <c r="G1713" s="2">
        <v>54059</v>
      </c>
      <c r="H1713" s="3" t="str">
        <f>HYPERLINK("https://cloud.oebiotech.com/#/lm/network/54059", "https://cloud.oebiotech.com/#/lm/network/54059")</f>
        <v>https://cloud.oebiotech.com/#/lm/network/54059</v>
      </c>
      <c r="I1713" s="2" t="s">
        <v>15113</v>
      </c>
      <c r="J1713" s="2">
        <v>23926</v>
      </c>
      <c r="K1713" s="2"/>
      <c r="L1713" s="2">
        <v>7019104</v>
      </c>
      <c r="M1713" s="2"/>
      <c r="N1713" s="2"/>
      <c r="O1713" s="2"/>
      <c r="P1713" s="2">
        <v>73653</v>
      </c>
      <c r="Q1713" s="2"/>
      <c r="R1713" s="2"/>
      <c r="S1713" s="2" t="s">
        <v>15114</v>
      </c>
      <c r="T1713" s="2" t="s">
        <v>15115</v>
      </c>
      <c r="U1713" s="2" t="s">
        <v>15116</v>
      </c>
      <c r="V1713" s="2" t="s">
        <v>115</v>
      </c>
      <c r="W1713" s="2" t="s">
        <v>116</v>
      </c>
      <c r="X1713" s="2" t="s">
        <v>117</v>
      </c>
      <c r="Y1713" s="2" t="s">
        <v>118</v>
      </c>
      <c r="Z1713" s="2" t="s">
        <v>119</v>
      </c>
      <c r="AA1713" s="2" t="s">
        <v>120</v>
      </c>
      <c r="AB1713" s="2" t="s">
        <v>8443</v>
      </c>
      <c r="AC1713" s="2">
        <v>41.22</v>
      </c>
      <c r="AD1713" s="2">
        <v>95.57</v>
      </c>
      <c r="AE1713" s="2">
        <v>0</v>
      </c>
      <c r="AF1713" s="2" t="s">
        <v>5614</v>
      </c>
      <c r="AG1713" s="2" t="s">
        <v>103</v>
      </c>
      <c r="AH1713" s="2" t="s">
        <v>15117</v>
      </c>
      <c r="AI1713" s="2">
        <v>-7.25</v>
      </c>
      <c r="AJ1713" s="2">
        <v>20.174119579342801</v>
      </c>
      <c r="AK1713" s="2">
        <v>20.0999717574737</v>
      </c>
      <c r="AL1713" s="2">
        <v>20.548398354079801</v>
      </c>
      <c r="AM1713" s="2">
        <v>20.598429240518001</v>
      </c>
      <c r="AN1713" s="2">
        <v>20.086837177588201</v>
      </c>
      <c r="AO1713" s="2">
        <v>20.1539025768169</v>
      </c>
      <c r="AP1713" s="2">
        <v>20.488087587271298</v>
      </c>
      <c r="AQ1713" s="2">
        <v>20.257127268098799</v>
      </c>
      <c r="AR1713" s="2">
        <v>20.623723566961299</v>
      </c>
      <c r="AS1713" s="2">
        <v>19.9568537224797</v>
      </c>
      <c r="AT1713" s="2">
        <v>20.183272927432501</v>
      </c>
      <c r="AU1713" s="2">
        <v>19.9230714408592</v>
      </c>
      <c r="AV1713" s="2">
        <v>20.132237220699</v>
      </c>
      <c r="AW1713" s="2">
        <v>20.418524368300599</v>
      </c>
      <c r="AX1713" s="2">
        <v>20.636546820201101</v>
      </c>
      <c r="AY1713" s="2">
        <v>20.313519137823999</v>
      </c>
      <c r="AZ1713" s="2">
        <v>20.084295001624199</v>
      </c>
      <c r="BA1713" s="2">
        <v>20.3786209154114</v>
      </c>
      <c r="BB1713" s="2">
        <v>20.2162162818905</v>
      </c>
      <c r="BC1713" s="2">
        <v>19.550830564459499</v>
      </c>
      <c r="BD1713" s="2">
        <v>20.3497679318703</v>
      </c>
      <c r="BE1713" s="2">
        <v>20.540667485541</v>
      </c>
      <c r="BF1713" s="2">
        <v>20.333693224476701</v>
      </c>
      <c r="BG1713" s="2">
        <v>20.059994235515099</v>
      </c>
      <c r="BH1713" s="2">
        <v>20.5777140523168</v>
      </c>
      <c r="BI1713" s="2">
        <v>19.913794551087701</v>
      </c>
      <c r="BJ1713" s="2">
        <v>20.3083896290002</v>
      </c>
      <c r="BK1713" s="2">
        <v>20.409448129392501</v>
      </c>
      <c r="BL1713" s="2">
        <v>20.668518593841501</v>
      </c>
      <c r="BM1713" s="2">
        <v>20.115290024650701</v>
      </c>
      <c r="BN1713" s="2">
        <v>20.487105796011001</v>
      </c>
      <c r="BO1713" s="2">
        <v>19.939405102163501</v>
      </c>
      <c r="BP1713" s="2">
        <v>20.711919474850198</v>
      </c>
      <c r="BQ1713" s="2">
        <v>20.2507872795445</v>
      </c>
      <c r="BR1713" s="2">
        <v>20.1663962956681</v>
      </c>
      <c r="BS1713" s="2">
        <v>19.9619309373501</v>
      </c>
      <c r="BT1713" s="2">
        <v>20.484550353602199</v>
      </c>
      <c r="BU1713" s="2">
        <v>20.1732595345139</v>
      </c>
      <c r="BV1713" s="2">
        <v>20.479022840560301</v>
      </c>
      <c r="BW1713" s="2">
        <v>20.530013816273801</v>
      </c>
      <c r="BX1713" s="2">
        <v>20.022350919893999</v>
      </c>
      <c r="BY1713" s="2">
        <v>20.1533846879028</v>
      </c>
      <c r="BZ1713" s="2">
        <v>20.3816470399316</v>
      </c>
      <c r="CA1713" s="2">
        <v>20.929843467271901</v>
      </c>
      <c r="CB1713" s="2">
        <v>20.542240259122298</v>
      </c>
      <c r="CC1713" s="2">
        <v>20.194362205333199</v>
      </c>
      <c r="CD1713" s="2">
        <v>20.0167208010851</v>
      </c>
      <c r="CE1713" s="2">
        <v>20.535264582114799</v>
      </c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</row>
    <row r="1714" spans="1:97">
      <c r="A1714" s="2" t="s">
        <v>15118</v>
      </c>
      <c r="B1714" s="2">
        <v>129.05215999999999</v>
      </c>
      <c r="C1714" s="2">
        <v>0.66400000000000003</v>
      </c>
      <c r="D1714" s="2" t="s">
        <v>84</v>
      </c>
      <c r="E1714" s="2" t="s">
        <v>15119</v>
      </c>
      <c r="F1714" s="2" t="s">
        <v>15120</v>
      </c>
      <c r="G1714" s="2">
        <v>205888</v>
      </c>
      <c r="H1714" s="3" t="str">
        <f>HYPERLINK("https://cloud.oebiotech.com/#/lm/network/205888", "https://cloud.oebiotech.com/#/lm/network/205888")</f>
        <v>https://cloud.oebiotech.com/#/lm/network/205888</v>
      </c>
      <c r="I1714" s="2" t="s">
        <v>15121</v>
      </c>
      <c r="J1714" s="2">
        <v>70263</v>
      </c>
      <c r="K1714" s="2"/>
      <c r="L1714" s="2">
        <v>8117</v>
      </c>
      <c r="M1714" s="2" t="s">
        <v>15122</v>
      </c>
      <c r="N1714" s="2"/>
      <c r="O1714" s="2"/>
      <c r="P1714" s="2">
        <v>46807</v>
      </c>
      <c r="Q1714" s="2"/>
      <c r="R1714" s="2"/>
      <c r="S1714" s="2" t="s">
        <v>15123</v>
      </c>
      <c r="T1714" s="2" t="s">
        <v>15124</v>
      </c>
      <c r="U1714" s="2" t="s">
        <v>15125</v>
      </c>
      <c r="V1714" s="2" t="s">
        <v>338</v>
      </c>
      <c r="W1714" s="2" t="s">
        <v>339</v>
      </c>
      <c r="X1714" s="2" t="s">
        <v>1663</v>
      </c>
      <c r="Y1714" s="2" t="s">
        <v>341</v>
      </c>
      <c r="Z1714" s="2" t="s">
        <v>341</v>
      </c>
      <c r="AA1714" s="2" t="s">
        <v>1664</v>
      </c>
      <c r="AB1714" s="2" t="s">
        <v>8443</v>
      </c>
      <c r="AC1714" s="2">
        <v>41.2</v>
      </c>
      <c r="AD1714" s="2">
        <v>72.209999999999994</v>
      </c>
      <c r="AE1714" s="2">
        <v>0</v>
      </c>
      <c r="AF1714" s="2" t="s">
        <v>15126</v>
      </c>
      <c r="AG1714" s="2" t="s">
        <v>1578</v>
      </c>
      <c r="AH1714" s="2" t="s">
        <v>15127</v>
      </c>
      <c r="AI1714" s="2">
        <v>0</v>
      </c>
      <c r="AJ1714" s="2">
        <v>23.214368058751599</v>
      </c>
      <c r="AK1714" s="2">
        <v>22.9833759564386</v>
      </c>
      <c r="AL1714" s="2">
        <v>23.030510908245201</v>
      </c>
      <c r="AM1714" s="2">
        <v>23.049048456546402</v>
      </c>
      <c r="AN1714" s="2">
        <v>23.154488629431601</v>
      </c>
      <c r="AO1714" s="2">
        <v>22.8307476440899</v>
      </c>
      <c r="AP1714" s="2">
        <v>23.018722168848999</v>
      </c>
      <c r="AQ1714" s="2">
        <v>23.068035854500501</v>
      </c>
      <c r="AR1714" s="2">
        <v>22.951614947898701</v>
      </c>
      <c r="AS1714" s="2">
        <v>22.744227238068301</v>
      </c>
      <c r="AT1714" s="2">
        <v>23.178713810036498</v>
      </c>
      <c r="AU1714" s="2">
        <v>22.9609789899547</v>
      </c>
      <c r="AV1714" s="2">
        <v>22.704021798960401</v>
      </c>
      <c r="AW1714" s="2">
        <v>21.253660752784398</v>
      </c>
      <c r="AX1714" s="2">
        <v>22.9814486456178</v>
      </c>
      <c r="AY1714" s="2">
        <v>23.105592370447901</v>
      </c>
      <c r="AZ1714" s="2">
        <v>22.946757006619901</v>
      </c>
      <c r="BA1714" s="2">
        <v>22.956566501509201</v>
      </c>
      <c r="BB1714" s="2">
        <v>22.683977094129599</v>
      </c>
      <c r="BC1714" s="2">
        <v>23.0757308052215</v>
      </c>
      <c r="BD1714" s="2">
        <v>22.908812268357799</v>
      </c>
      <c r="BE1714" s="2">
        <v>23.191154795986002</v>
      </c>
      <c r="BF1714" s="2">
        <v>22.635882463549699</v>
      </c>
      <c r="BG1714" s="2">
        <v>23.0265221727695</v>
      </c>
      <c r="BH1714" s="2">
        <v>23.100953943590302</v>
      </c>
      <c r="BI1714" s="2">
        <v>23.317820163056499</v>
      </c>
      <c r="BJ1714" s="2">
        <v>23.2112352678242</v>
      </c>
      <c r="BK1714" s="2">
        <v>22.934070448442299</v>
      </c>
      <c r="BL1714" s="2">
        <v>23.033455858829502</v>
      </c>
      <c r="BM1714" s="2">
        <v>22.9556676337215</v>
      </c>
      <c r="BN1714" s="2">
        <v>23.2511222195084</v>
      </c>
      <c r="BO1714" s="2">
        <v>23.1077775576736</v>
      </c>
      <c r="BP1714" s="2">
        <v>23.3386530004679</v>
      </c>
      <c r="BQ1714" s="2">
        <v>23.146062344941001</v>
      </c>
      <c r="BR1714" s="2">
        <v>22.700834841000901</v>
      </c>
      <c r="BS1714" s="2">
        <v>23.2320224253003</v>
      </c>
      <c r="BT1714" s="2">
        <v>23.003196811893702</v>
      </c>
      <c r="BU1714" s="2">
        <v>22.955200941024302</v>
      </c>
      <c r="BV1714" s="2">
        <v>23.098982326546199</v>
      </c>
      <c r="BW1714" s="2">
        <v>22.8448741404858</v>
      </c>
      <c r="BX1714" s="2">
        <v>22.989495588601901</v>
      </c>
      <c r="BY1714" s="2">
        <v>22.5316576439428</v>
      </c>
      <c r="BZ1714" s="2">
        <v>22.766698136362599</v>
      </c>
      <c r="CA1714" s="2">
        <v>22.940939150249299</v>
      </c>
      <c r="CB1714" s="2">
        <v>22.855962225431401</v>
      </c>
      <c r="CC1714" s="2">
        <v>22.3928350389663</v>
      </c>
      <c r="CD1714" s="2">
        <v>23.076025899976798</v>
      </c>
      <c r="CE1714" s="2">
        <v>23.1310154246999</v>
      </c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</row>
    <row r="1715" spans="1:97">
      <c r="A1715" s="2" t="s">
        <v>15128</v>
      </c>
      <c r="B1715" s="2">
        <v>393.04347000000001</v>
      </c>
      <c r="C1715" s="2">
        <v>4.6429999999999998</v>
      </c>
      <c r="D1715" s="2" t="s">
        <v>146</v>
      </c>
      <c r="E1715" s="2" t="s">
        <v>15129</v>
      </c>
      <c r="F1715" s="2" t="s">
        <v>15130</v>
      </c>
      <c r="G1715" s="2">
        <v>51464</v>
      </c>
      <c r="H1715" s="3" t="str">
        <f>HYPERLINK("https://cloud.oebiotech.com/#/lm/network/51464", "https://cloud.oebiotech.com/#/lm/network/51464")</f>
        <v>https://cloud.oebiotech.com/#/lm/network/51464</v>
      </c>
      <c r="I1715" s="2" t="s">
        <v>15131</v>
      </c>
      <c r="J1715" s="2">
        <v>62420</v>
      </c>
      <c r="K1715" s="2"/>
      <c r="L1715" s="2">
        <v>18601915</v>
      </c>
      <c r="M1715" s="2"/>
      <c r="N1715" s="2"/>
      <c r="O1715" s="2"/>
      <c r="P1715" s="2">
        <v>144835</v>
      </c>
      <c r="Q1715" s="2"/>
      <c r="R1715" s="2"/>
      <c r="S1715" s="2"/>
      <c r="T1715" s="2" t="s">
        <v>15132</v>
      </c>
      <c r="U1715" s="2" t="s">
        <v>15133</v>
      </c>
      <c r="V1715" s="2" t="s">
        <v>338</v>
      </c>
      <c r="W1715" s="2" t="s">
        <v>339</v>
      </c>
      <c r="X1715" s="2" t="s">
        <v>663</v>
      </c>
      <c r="Y1715" s="2" t="s">
        <v>341</v>
      </c>
      <c r="Z1715" s="2" t="s">
        <v>341</v>
      </c>
      <c r="AA1715" s="2" t="s">
        <v>664</v>
      </c>
      <c r="AB1715" s="2" t="s">
        <v>8443</v>
      </c>
      <c r="AC1715" s="2">
        <v>41.2</v>
      </c>
      <c r="AD1715" s="2">
        <v>91.64</v>
      </c>
      <c r="AE1715" s="2">
        <v>40.31</v>
      </c>
      <c r="AF1715" s="2" t="s">
        <v>15134</v>
      </c>
      <c r="AG1715" s="2" t="s">
        <v>157</v>
      </c>
      <c r="AH1715" s="2" t="s">
        <v>15135</v>
      </c>
      <c r="AI1715" s="2">
        <v>4.58</v>
      </c>
      <c r="AJ1715" s="2">
        <v>17.854630649090399</v>
      </c>
      <c r="AK1715" s="2">
        <v>17.910673937780501</v>
      </c>
      <c r="AL1715" s="2">
        <v>17.810859846238401</v>
      </c>
      <c r="AM1715" s="2">
        <v>17.734750034064799</v>
      </c>
      <c r="AN1715" s="2">
        <v>17.765787041060101</v>
      </c>
      <c r="AO1715" s="2">
        <v>17.8562471504173</v>
      </c>
      <c r="AP1715" s="2">
        <v>17.2588305344023</v>
      </c>
      <c r="AQ1715" s="2">
        <v>17.641253681880201</v>
      </c>
      <c r="AR1715" s="2">
        <v>18.061549292816199</v>
      </c>
      <c r="AS1715" s="2">
        <v>17.919072400317301</v>
      </c>
      <c r="AT1715" s="2">
        <v>18.070016355780101</v>
      </c>
      <c r="AU1715" s="2">
        <v>17.729291137069399</v>
      </c>
      <c r="AV1715" s="2">
        <v>17.856612516319601</v>
      </c>
      <c r="AW1715" s="2">
        <v>17.3534661367175</v>
      </c>
      <c r="AX1715" s="2">
        <v>17.818336078031798</v>
      </c>
      <c r="AY1715" s="2">
        <v>17.788039297328599</v>
      </c>
      <c r="AZ1715" s="2">
        <v>18.0219913757096</v>
      </c>
      <c r="BA1715" s="2">
        <v>17.8778090618516</v>
      </c>
      <c r="BB1715" s="2">
        <v>17.825116178759099</v>
      </c>
      <c r="BC1715" s="2">
        <v>17.774470444600599</v>
      </c>
      <c r="BD1715" s="2">
        <v>17.972086124023399</v>
      </c>
      <c r="BE1715" s="2">
        <v>17.553331026321199</v>
      </c>
      <c r="BF1715" s="2">
        <v>17.712018974662399</v>
      </c>
      <c r="BG1715" s="2">
        <v>17.711283693343699</v>
      </c>
      <c r="BH1715" s="2">
        <v>17.8990745288041</v>
      </c>
      <c r="BI1715" s="2">
        <v>17.9886486877271</v>
      </c>
      <c r="BJ1715" s="2">
        <v>18.0303891583556</v>
      </c>
      <c r="BK1715" s="2">
        <v>17.989905293678401</v>
      </c>
      <c r="BL1715" s="2">
        <v>17.705196934969401</v>
      </c>
      <c r="BM1715" s="2">
        <v>17.568157202949902</v>
      </c>
      <c r="BN1715" s="2">
        <v>17.6340088100781</v>
      </c>
      <c r="BO1715" s="2">
        <v>17.798987924354201</v>
      </c>
      <c r="BP1715" s="2">
        <v>18.0343984568282</v>
      </c>
      <c r="BQ1715" s="2">
        <v>17.925252436710199</v>
      </c>
      <c r="BR1715" s="2">
        <v>17.864203559054801</v>
      </c>
      <c r="BS1715" s="2">
        <v>17.788767774119599</v>
      </c>
      <c r="BT1715" s="2">
        <v>17.773210888848698</v>
      </c>
      <c r="BU1715" s="2">
        <v>17.745378830617501</v>
      </c>
      <c r="BV1715" s="2">
        <v>17.826389777638301</v>
      </c>
      <c r="BW1715" s="2">
        <v>17.856839470770201</v>
      </c>
      <c r="BX1715" s="2">
        <v>17.6585094095804</v>
      </c>
      <c r="BY1715" s="2">
        <v>17.695557344300799</v>
      </c>
      <c r="BZ1715" s="2">
        <v>17.769939511935</v>
      </c>
      <c r="CA1715" s="2">
        <v>17.829421171884899</v>
      </c>
      <c r="CB1715" s="2">
        <v>17.604627136929999</v>
      </c>
      <c r="CC1715" s="2">
        <v>17.806861414520199</v>
      </c>
      <c r="CD1715" s="2">
        <v>17.7591789204447</v>
      </c>
      <c r="CE1715" s="2">
        <v>17.577933060609801</v>
      </c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</row>
    <row r="1716" spans="1:97">
      <c r="A1716" s="2" t="s">
        <v>15136</v>
      </c>
      <c r="B1716" s="2">
        <v>346.08179000000001</v>
      </c>
      <c r="C1716" s="2">
        <v>1.1539999999999999</v>
      </c>
      <c r="D1716" s="2" t="s">
        <v>146</v>
      </c>
      <c r="E1716" s="2" t="s">
        <v>15137</v>
      </c>
      <c r="F1716" s="2" t="s">
        <v>15138</v>
      </c>
      <c r="G1716" s="2">
        <v>19866</v>
      </c>
      <c r="H1716" s="3" t="str">
        <f>HYPERLINK("https://cloud.oebiotech.com/#/lm/network/19866", "https://cloud.oebiotech.com/#/lm/network/19866")</f>
        <v>https://cloud.oebiotech.com/#/lm/network/19866</v>
      </c>
      <c r="I1716" s="2"/>
      <c r="J1716" s="2">
        <v>40354</v>
      </c>
      <c r="K1716" s="2" t="s">
        <v>15139</v>
      </c>
      <c r="L1716" s="2">
        <v>24779497</v>
      </c>
      <c r="M1716" s="2"/>
      <c r="N1716" s="2"/>
      <c r="O1716" s="2"/>
      <c r="P1716" s="2"/>
      <c r="Q1716" s="2"/>
      <c r="R1716" s="2"/>
      <c r="S1716" s="2"/>
      <c r="T1716" s="2" t="s">
        <v>15140</v>
      </c>
      <c r="U1716" s="2" t="s">
        <v>15141</v>
      </c>
      <c r="V1716" s="2" t="s">
        <v>95</v>
      </c>
      <c r="W1716" s="2" t="s">
        <v>202</v>
      </c>
      <c r="X1716" s="2" t="s">
        <v>203</v>
      </c>
      <c r="Y1716" s="2" t="s">
        <v>98</v>
      </c>
      <c r="Z1716" s="2" t="s">
        <v>204</v>
      </c>
      <c r="AA1716" s="2" t="s">
        <v>205</v>
      </c>
      <c r="AB1716" s="2" t="s">
        <v>8443</v>
      </c>
      <c r="AC1716" s="2">
        <v>41.17</v>
      </c>
      <c r="AD1716" s="2">
        <v>74.28</v>
      </c>
      <c r="AE1716" s="2">
        <v>0</v>
      </c>
      <c r="AF1716" s="2" t="s">
        <v>5614</v>
      </c>
      <c r="AG1716" s="2" t="s">
        <v>4062</v>
      </c>
      <c r="AH1716" s="2" t="s">
        <v>15142</v>
      </c>
      <c r="AI1716" s="2">
        <v>2.89</v>
      </c>
      <c r="AJ1716" s="2">
        <v>18.335734900756201</v>
      </c>
      <c r="AK1716" s="2">
        <v>18.462364233512702</v>
      </c>
      <c r="AL1716" s="2">
        <v>18.343877864614502</v>
      </c>
      <c r="AM1716" s="2">
        <v>18.4704013404323</v>
      </c>
      <c r="AN1716" s="2">
        <v>18.310410021544602</v>
      </c>
      <c r="AO1716" s="2">
        <v>18.313188978045499</v>
      </c>
      <c r="AP1716" s="2">
        <v>18.248983510213101</v>
      </c>
      <c r="AQ1716" s="2">
        <v>18.5215592652822</v>
      </c>
      <c r="AR1716" s="2">
        <v>17.960753931854899</v>
      </c>
      <c r="AS1716" s="2">
        <v>17.825857721566901</v>
      </c>
      <c r="AT1716" s="2">
        <v>18.0712087415274</v>
      </c>
      <c r="AU1716" s="2">
        <v>18.407538061648001</v>
      </c>
      <c r="AV1716" s="2">
        <v>18.045766379214399</v>
      </c>
      <c r="AW1716" s="2">
        <v>18.330493932791398</v>
      </c>
      <c r="AX1716" s="2">
        <v>17.928137399154998</v>
      </c>
      <c r="AY1716" s="2">
        <v>18.560014261112901</v>
      </c>
      <c r="AZ1716" s="2">
        <v>18.153967734213701</v>
      </c>
      <c r="BA1716" s="2">
        <v>18.085051380003598</v>
      </c>
      <c r="BB1716" s="2">
        <v>18.570968232943301</v>
      </c>
      <c r="BC1716" s="2">
        <v>17.614709628469999</v>
      </c>
      <c r="BD1716" s="2">
        <v>17.203299724964399</v>
      </c>
      <c r="BE1716" s="2">
        <v>18.432833556348701</v>
      </c>
      <c r="BF1716" s="2">
        <v>18.175833321361601</v>
      </c>
      <c r="BG1716" s="2">
        <v>18.3262737116791</v>
      </c>
      <c r="BH1716" s="2">
        <v>18.680036912736199</v>
      </c>
      <c r="BI1716" s="2">
        <v>17.8785926840286</v>
      </c>
      <c r="BJ1716" s="2">
        <v>18.292072012167001</v>
      </c>
      <c r="BK1716" s="2">
        <v>18.329844723251501</v>
      </c>
      <c r="BL1716" s="2">
        <v>18.122050840873001</v>
      </c>
      <c r="BM1716" s="2">
        <v>19.350151265534201</v>
      </c>
      <c r="BN1716" s="2">
        <v>18.780499398717001</v>
      </c>
      <c r="BO1716" s="2">
        <v>18.364668990477099</v>
      </c>
      <c r="BP1716" s="2">
        <v>18.067651309626399</v>
      </c>
      <c r="BQ1716" s="2">
        <v>18.428760942904901</v>
      </c>
      <c r="BR1716" s="2">
        <v>17.784475610754999</v>
      </c>
      <c r="BS1716" s="2">
        <v>18.260889082202699</v>
      </c>
      <c r="BT1716" s="2">
        <v>17.156303837731599</v>
      </c>
      <c r="BU1716" s="2">
        <v>17.649711018503901</v>
      </c>
      <c r="BV1716" s="2">
        <v>17.8607180650827</v>
      </c>
      <c r="BW1716" s="2">
        <v>17.431420394241002</v>
      </c>
      <c r="BX1716" s="2">
        <v>18.423835296911399</v>
      </c>
      <c r="BY1716" s="2">
        <v>17.877390907987699</v>
      </c>
      <c r="BZ1716" s="2">
        <v>18.8777193307346</v>
      </c>
      <c r="CA1716" s="2">
        <v>19.0333238924349</v>
      </c>
      <c r="CB1716" s="2">
        <v>17.835183370204302</v>
      </c>
      <c r="CC1716" s="2">
        <v>17.524172699568801</v>
      </c>
      <c r="CD1716" s="2">
        <v>18.639507998154802</v>
      </c>
      <c r="CE1716" s="2">
        <v>17.9271901042571</v>
      </c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</row>
    <row r="1717" spans="1:97">
      <c r="A1717" s="2" t="s">
        <v>15143</v>
      </c>
      <c r="B1717" s="2">
        <v>587.10847000000001</v>
      </c>
      <c r="C1717" s="2">
        <v>4.4539999999999997</v>
      </c>
      <c r="D1717" s="2" t="s">
        <v>84</v>
      </c>
      <c r="E1717" s="2" t="s">
        <v>15144</v>
      </c>
      <c r="F1717" s="2"/>
      <c r="G1717" s="2">
        <v>595065</v>
      </c>
      <c r="H1717" s="3" t="str">
        <f>HYPERLINK("https://cloud.oebiotech.com/#/lm/network/595065", "https://cloud.oebiotech.com/#/lm/network/595065")</f>
        <v>https://cloud.oebiotech.com/#/lm/network/595065</v>
      </c>
      <c r="I1717" s="2"/>
      <c r="J1717" s="2"/>
      <c r="K1717" s="2"/>
      <c r="L1717" s="2">
        <v>78069859</v>
      </c>
      <c r="M1717" s="2"/>
      <c r="N1717" s="2"/>
      <c r="O1717" s="2"/>
      <c r="P1717" s="2"/>
      <c r="Q1717" s="2"/>
      <c r="R1717" s="2"/>
      <c r="S1717" s="2"/>
      <c r="T1717" s="2" t="s">
        <v>15145</v>
      </c>
      <c r="U1717" s="2" t="s">
        <v>15146</v>
      </c>
      <c r="V1717" s="2" t="s">
        <v>338</v>
      </c>
      <c r="W1717" s="2" t="s">
        <v>339</v>
      </c>
      <c r="X1717" s="2" t="s">
        <v>663</v>
      </c>
      <c r="Y1717" s="2" t="s">
        <v>341</v>
      </c>
      <c r="Z1717" s="2" t="s">
        <v>341</v>
      </c>
      <c r="AA1717" s="2" t="s">
        <v>664</v>
      </c>
      <c r="AB1717" s="2" t="s">
        <v>8443</v>
      </c>
      <c r="AC1717" s="2">
        <v>41.14</v>
      </c>
      <c r="AD1717" s="2">
        <v>75.56</v>
      </c>
      <c r="AE1717" s="2">
        <v>0</v>
      </c>
      <c r="AF1717" s="2" t="s">
        <v>5614</v>
      </c>
      <c r="AG1717" s="2" t="s">
        <v>3544</v>
      </c>
      <c r="AH1717" s="2" t="s">
        <v>15147</v>
      </c>
      <c r="AI1717" s="2">
        <v>1.87</v>
      </c>
      <c r="AJ1717" s="2">
        <v>17.841072452779699</v>
      </c>
      <c r="AK1717" s="2">
        <v>17.889908464493502</v>
      </c>
      <c r="AL1717" s="2">
        <v>17.3592223663459</v>
      </c>
      <c r="AM1717" s="2">
        <v>18.386003534639698</v>
      </c>
      <c r="AN1717" s="2">
        <v>17.7198702005171</v>
      </c>
      <c r="AO1717" s="2">
        <v>18.283308917765002</v>
      </c>
      <c r="AP1717" s="2">
        <v>17.358676266540002</v>
      </c>
      <c r="AQ1717" s="2">
        <v>18.0752237784729</v>
      </c>
      <c r="AR1717" s="2">
        <v>9.6233145402724691</v>
      </c>
      <c r="AS1717" s="2">
        <v>9.6233145402724691</v>
      </c>
      <c r="AT1717" s="2">
        <v>13.9430312318985</v>
      </c>
      <c r="AU1717" s="2">
        <v>14.0528193458498</v>
      </c>
      <c r="AV1717" s="2">
        <v>17.1884896531501</v>
      </c>
      <c r="AW1717" s="2">
        <v>13.8902120182854</v>
      </c>
      <c r="AX1717" s="2">
        <v>15.5922888376271</v>
      </c>
      <c r="AY1717" s="2">
        <v>15.1285578643715</v>
      </c>
      <c r="AZ1717" s="2">
        <v>16.748149599544099</v>
      </c>
      <c r="BA1717" s="2">
        <v>15.864557364475401</v>
      </c>
      <c r="BB1717" s="2">
        <v>16.1981086931508</v>
      </c>
      <c r="BC1717" s="2">
        <v>13.9702596092745</v>
      </c>
      <c r="BD1717" s="2">
        <v>13.825247012140901</v>
      </c>
      <c r="BE1717" s="2">
        <v>17.9886317140598</v>
      </c>
      <c r="BF1717" s="2">
        <v>15.550706810154299</v>
      </c>
      <c r="BG1717" s="2">
        <v>17.4814979979793</v>
      </c>
      <c r="BH1717" s="2">
        <v>17.827756578545401</v>
      </c>
      <c r="BI1717" s="2">
        <v>17.233063599541499</v>
      </c>
      <c r="BJ1717" s="2">
        <v>17.191220317024101</v>
      </c>
      <c r="BK1717" s="2">
        <v>16.368158227435899</v>
      </c>
      <c r="BL1717" s="2">
        <v>16.430847801186498</v>
      </c>
      <c r="BM1717" s="2">
        <v>17.643810541279802</v>
      </c>
      <c r="BN1717" s="2">
        <v>18.391325958933699</v>
      </c>
      <c r="BO1717" s="2">
        <v>17.1255285981524</v>
      </c>
      <c r="BP1717" s="2">
        <v>18.267578590575202</v>
      </c>
      <c r="BQ1717" s="2">
        <v>9.6233145402724691</v>
      </c>
      <c r="BR1717" s="2">
        <v>14.352974474912999</v>
      </c>
      <c r="BS1717" s="2">
        <v>17.640060957710698</v>
      </c>
      <c r="BT1717" s="2">
        <v>15.8312941292328</v>
      </c>
      <c r="BU1717" s="2">
        <v>9.6233145402724691</v>
      </c>
      <c r="BV1717" s="2">
        <v>17.327654386982299</v>
      </c>
      <c r="BW1717" s="2">
        <v>15.0475482720325</v>
      </c>
      <c r="BX1717" s="2">
        <v>17.616162632822299</v>
      </c>
      <c r="BY1717" s="2">
        <v>18.937282056747001</v>
      </c>
      <c r="BZ1717" s="2">
        <v>16.40218268844</v>
      </c>
      <c r="CA1717" s="2">
        <v>17.170494018788101</v>
      </c>
      <c r="CB1717" s="2">
        <v>16.719399517039999</v>
      </c>
      <c r="CC1717" s="2">
        <v>16.9404546935301</v>
      </c>
      <c r="CD1717" s="2">
        <v>19.091013150698299</v>
      </c>
      <c r="CE1717" s="2">
        <v>15.848002776884201</v>
      </c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</row>
    <row r="1718" spans="1:97">
      <c r="A1718" s="2" t="s">
        <v>15148</v>
      </c>
      <c r="B1718" s="2">
        <v>301.11883</v>
      </c>
      <c r="C1718" s="2">
        <v>8.2010000000000005</v>
      </c>
      <c r="D1718" s="2" t="s">
        <v>146</v>
      </c>
      <c r="E1718" s="2" t="s">
        <v>15149</v>
      </c>
      <c r="F1718" s="2" t="s">
        <v>15150</v>
      </c>
      <c r="G1718" s="2">
        <v>64025</v>
      </c>
      <c r="H1718" s="3" t="str">
        <f>HYPERLINK("https://cloud.oebiotech.com/#/lm/network/64025", "https://cloud.oebiotech.com/#/lm/network/64025")</f>
        <v>https://cloud.oebiotech.com/#/lm/network/64025</v>
      </c>
      <c r="I1718" s="2" t="s">
        <v>15151</v>
      </c>
      <c r="J1718" s="2"/>
      <c r="K1718" s="2"/>
      <c r="L1718" s="2">
        <v>131752982</v>
      </c>
      <c r="M1718" s="2"/>
      <c r="N1718" s="2"/>
      <c r="O1718" s="2"/>
      <c r="P1718" s="2"/>
      <c r="Q1718" s="2"/>
      <c r="R1718" s="2"/>
      <c r="S1718" s="2" t="s">
        <v>15152</v>
      </c>
      <c r="T1718" s="2" t="s">
        <v>15153</v>
      </c>
      <c r="U1718" s="2" t="s">
        <v>15154</v>
      </c>
      <c r="V1718" s="2" t="s">
        <v>553</v>
      </c>
      <c r="W1718" s="2" t="s">
        <v>2261</v>
      </c>
      <c r="X1718" s="2" t="s">
        <v>2262</v>
      </c>
      <c r="Y1718" s="2" t="s">
        <v>556</v>
      </c>
      <c r="Z1718" s="2" t="s">
        <v>2263</v>
      </c>
      <c r="AA1718" s="2" t="s">
        <v>2264</v>
      </c>
      <c r="AB1718" s="2" t="s">
        <v>5118</v>
      </c>
      <c r="AC1718" s="2">
        <v>41.13</v>
      </c>
      <c r="AD1718" s="2">
        <v>70.680000000000007</v>
      </c>
      <c r="AE1718" s="2">
        <v>49.88</v>
      </c>
      <c r="AF1718" s="2" t="s">
        <v>15155</v>
      </c>
      <c r="AG1718" s="2" t="s">
        <v>4062</v>
      </c>
      <c r="AH1718" s="2" t="s">
        <v>3302</v>
      </c>
      <c r="AI1718" s="2">
        <v>7.97</v>
      </c>
      <c r="AJ1718" s="2">
        <v>17.053506999773798</v>
      </c>
      <c r="AK1718" s="2">
        <v>16.7938515686226</v>
      </c>
      <c r="AL1718" s="2">
        <v>16.836695028796001</v>
      </c>
      <c r="AM1718" s="2">
        <v>17.185659842888501</v>
      </c>
      <c r="AN1718" s="2">
        <v>17.390531062684602</v>
      </c>
      <c r="AO1718" s="2">
        <v>17.179177646350301</v>
      </c>
      <c r="AP1718" s="2">
        <v>17.478272485835902</v>
      </c>
      <c r="AQ1718" s="2">
        <v>17.520368225029099</v>
      </c>
      <c r="AR1718" s="2">
        <v>12.919261860838599</v>
      </c>
      <c r="AS1718" s="2">
        <v>15.691842461194801</v>
      </c>
      <c r="AT1718" s="2">
        <v>17.186687740002199</v>
      </c>
      <c r="AU1718" s="2">
        <v>14.1581118220418</v>
      </c>
      <c r="AV1718" s="2">
        <v>15.3558944138264</v>
      </c>
      <c r="AW1718" s="2">
        <v>16.529060651405899</v>
      </c>
      <c r="AX1718" s="2">
        <v>16.8048771888791</v>
      </c>
      <c r="AY1718" s="2">
        <v>17.102872563978</v>
      </c>
      <c r="AZ1718" s="2">
        <v>15.276306912104401</v>
      </c>
      <c r="BA1718" s="2">
        <v>15.1576974600918</v>
      </c>
      <c r="BB1718" s="2">
        <v>17.5095613950641</v>
      </c>
      <c r="BC1718" s="2">
        <v>19.0444314755912</v>
      </c>
      <c r="BD1718" s="2">
        <v>15.5861923998319</v>
      </c>
      <c r="BE1718" s="2">
        <v>19.146725378149299</v>
      </c>
      <c r="BF1718" s="2">
        <v>15.9420482390061</v>
      </c>
      <c r="BG1718" s="2">
        <v>18.358274820459201</v>
      </c>
      <c r="BH1718" s="2">
        <v>17.070257448843101</v>
      </c>
      <c r="BI1718" s="2">
        <v>16.836253688318301</v>
      </c>
      <c r="BJ1718" s="2">
        <v>17.898112144212998</v>
      </c>
      <c r="BK1718" s="2">
        <v>15.9511731385928</v>
      </c>
      <c r="BL1718" s="2">
        <v>16.096402824966901</v>
      </c>
      <c r="BM1718" s="2">
        <v>16.158511864368101</v>
      </c>
      <c r="BN1718" s="2">
        <v>17.2188502104237</v>
      </c>
      <c r="BO1718" s="2">
        <v>17.236561005456299</v>
      </c>
      <c r="BP1718" s="2">
        <v>17.3116523615268</v>
      </c>
      <c r="BQ1718" s="2">
        <v>16.0518667825664</v>
      </c>
      <c r="BR1718" s="2">
        <v>17.696440677971101</v>
      </c>
      <c r="BS1718" s="2">
        <v>16.168257644136698</v>
      </c>
      <c r="BT1718" s="2">
        <v>15.501354236534</v>
      </c>
      <c r="BU1718" s="2">
        <v>16.351147499788802</v>
      </c>
      <c r="BV1718" s="2">
        <v>17.424236259537</v>
      </c>
      <c r="BW1718" s="2">
        <v>16.714577438886401</v>
      </c>
      <c r="BX1718" s="2">
        <v>15.3631560161071</v>
      </c>
      <c r="BY1718" s="2">
        <v>18.247346000765301</v>
      </c>
      <c r="BZ1718" s="2">
        <v>14.440252776830601</v>
      </c>
      <c r="CA1718" s="2">
        <v>15.9777139280098</v>
      </c>
      <c r="CB1718" s="2">
        <v>17.026033830405598</v>
      </c>
      <c r="CC1718" s="2">
        <v>15.602324515952301</v>
      </c>
      <c r="CD1718" s="2">
        <v>17.860820193638499</v>
      </c>
      <c r="CE1718" s="2">
        <v>16.5150965875557</v>
      </c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</row>
    <row r="1719" spans="1:97">
      <c r="A1719" s="2" t="s">
        <v>15156</v>
      </c>
      <c r="B1719" s="2">
        <v>533.28382999999997</v>
      </c>
      <c r="C1719" s="2">
        <v>8.9580000000000002</v>
      </c>
      <c r="D1719" s="2" t="s">
        <v>146</v>
      </c>
      <c r="E1719" s="2" t="s">
        <v>15157</v>
      </c>
      <c r="F1719" s="2" t="s">
        <v>15158</v>
      </c>
      <c r="G1719" s="2">
        <v>202426</v>
      </c>
      <c r="H1719" s="3" t="str">
        <f>HYPERLINK("https://cloud.oebiotech.com/#/lm/network/202426", "https://cloud.oebiotech.com/#/lm/network/202426")</f>
        <v>https://cloud.oebiotech.com/#/lm/network/202426</v>
      </c>
      <c r="I1719" s="2" t="s">
        <v>15159</v>
      </c>
      <c r="J1719" s="2">
        <v>340472</v>
      </c>
      <c r="K1719" s="2"/>
      <c r="L1719" s="2">
        <v>12446</v>
      </c>
      <c r="M1719" s="2"/>
      <c r="N1719" s="2"/>
      <c r="O1719" s="2"/>
      <c r="P1719" s="2">
        <v>83605</v>
      </c>
      <c r="Q1719" s="2"/>
      <c r="R1719" s="2"/>
      <c r="S1719" s="2"/>
      <c r="T1719" s="2" t="s">
        <v>15160</v>
      </c>
      <c r="U1719" s="2" t="s">
        <v>15161</v>
      </c>
      <c r="V1719" s="2" t="s">
        <v>553</v>
      </c>
      <c r="W1719" s="2" t="s">
        <v>2447</v>
      </c>
      <c r="X1719" s="2" t="s">
        <v>6211</v>
      </c>
      <c r="Y1719" s="2" t="s">
        <v>556</v>
      </c>
      <c r="Z1719" s="2" t="s">
        <v>2449</v>
      </c>
      <c r="AA1719" s="2" t="s">
        <v>6212</v>
      </c>
      <c r="AB1719" s="2" t="s">
        <v>8443</v>
      </c>
      <c r="AC1719" s="2">
        <v>41.13</v>
      </c>
      <c r="AD1719" s="2">
        <v>96.02</v>
      </c>
      <c r="AE1719" s="2">
        <v>0</v>
      </c>
      <c r="AF1719" s="2" t="s">
        <v>15162</v>
      </c>
      <c r="AG1719" s="2" t="s">
        <v>3880</v>
      </c>
      <c r="AH1719" s="2" t="s">
        <v>15163</v>
      </c>
      <c r="AI1719" s="2">
        <v>5.81</v>
      </c>
      <c r="AJ1719" s="2">
        <v>19.229486345991202</v>
      </c>
      <c r="AK1719" s="2">
        <v>18.904605223729099</v>
      </c>
      <c r="AL1719" s="2">
        <v>18.809025335116999</v>
      </c>
      <c r="AM1719" s="2">
        <v>18.9306528021737</v>
      </c>
      <c r="AN1719" s="2">
        <v>18.868096142292298</v>
      </c>
      <c r="AO1719" s="2">
        <v>18.900944294403001</v>
      </c>
      <c r="AP1719" s="2">
        <v>18.923450927789901</v>
      </c>
      <c r="AQ1719" s="2">
        <v>18.933509678631001</v>
      </c>
      <c r="AR1719" s="2">
        <v>18.330813483482</v>
      </c>
      <c r="AS1719" s="2">
        <v>9.6233145402724691</v>
      </c>
      <c r="AT1719" s="2">
        <v>18.485400489015301</v>
      </c>
      <c r="AU1719" s="2">
        <v>18.8546119013604</v>
      </c>
      <c r="AV1719" s="2">
        <v>17.830889869839002</v>
      </c>
      <c r="AW1719" s="2">
        <v>21.107854144210702</v>
      </c>
      <c r="AX1719" s="2">
        <v>17.357294259301302</v>
      </c>
      <c r="AY1719" s="2">
        <v>18.4978832490239</v>
      </c>
      <c r="AZ1719" s="2">
        <v>16.510254678810199</v>
      </c>
      <c r="BA1719" s="2">
        <v>9.6233145402724691</v>
      </c>
      <c r="BB1719" s="2">
        <v>20.608927146907501</v>
      </c>
      <c r="BC1719" s="2">
        <v>17.811137523994301</v>
      </c>
      <c r="BD1719" s="2">
        <v>16.850158507088501</v>
      </c>
      <c r="BE1719" s="2">
        <v>17.098971511528902</v>
      </c>
      <c r="BF1719" s="2">
        <v>16.508484981946498</v>
      </c>
      <c r="BG1719" s="2">
        <v>16.061918344234101</v>
      </c>
      <c r="BH1719" s="2">
        <v>17.8949037143813</v>
      </c>
      <c r="BI1719" s="2">
        <v>13.668175868970099</v>
      </c>
      <c r="BJ1719" s="2">
        <v>17.534933027076502</v>
      </c>
      <c r="BK1719" s="2">
        <v>19.755014964468099</v>
      </c>
      <c r="BL1719" s="2">
        <v>12.323417922397301</v>
      </c>
      <c r="BM1719" s="2">
        <v>19.609239205146899</v>
      </c>
      <c r="BN1719" s="2">
        <v>19.3987446103202</v>
      </c>
      <c r="BO1719" s="2">
        <v>16.131943952046999</v>
      </c>
      <c r="BP1719" s="2">
        <v>12.5923028550129</v>
      </c>
      <c r="BQ1719" s="2">
        <v>19.551074322628502</v>
      </c>
      <c r="BR1719" s="2">
        <v>18.595053903235701</v>
      </c>
      <c r="BS1719" s="2">
        <v>18.029042964147202</v>
      </c>
      <c r="BT1719" s="2">
        <v>16.657724290052901</v>
      </c>
      <c r="BU1719" s="2">
        <v>12.373925475478901</v>
      </c>
      <c r="BV1719" s="2">
        <v>20.2859261532634</v>
      </c>
      <c r="BW1719" s="2">
        <v>16.166223311395601</v>
      </c>
      <c r="BX1719" s="2">
        <v>17.121379012648799</v>
      </c>
      <c r="BY1719" s="2">
        <v>16.8816641414092</v>
      </c>
      <c r="BZ1719" s="2">
        <v>16.0625544581425</v>
      </c>
      <c r="CA1719" s="2">
        <v>18.684496471872102</v>
      </c>
      <c r="CB1719" s="2">
        <v>17.174374406998801</v>
      </c>
      <c r="CC1719" s="2">
        <v>16.191453310168399</v>
      </c>
      <c r="CD1719" s="2">
        <v>18.3152720435221</v>
      </c>
      <c r="CE1719" s="2">
        <v>17.548454386131699</v>
      </c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</row>
    <row r="1720" spans="1:97">
      <c r="A1720" s="2" t="s">
        <v>15164</v>
      </c>
      <c r="B1720" s="2">
        <v>169.98558</v>
      </c>
      <c r="C1720" s="2">
        <v>0.71399999999999997</v>
      </c>
      <c r="D1720" s="2" t="s">
        <v>84</v>
      </c>
      <c r="E1720" s="2" t="s">
        <v>15165</v>
      </c>
      <c r="F1720" s="2" t="s">
        <v>15166</v>
      </c>
      <c r="G1720" s="2">
        <v>2917</v>
      </c>
      <c r="H1720" s="3" t="str">
        <f>HYPERLINK("https://cloud.oebiotech.com/#/lm/network/2917", "https://cloud.oebiotech.com/#/lm/network/2917")</f>
        <v>https://cloud.oebiotech.com/#/lm/network/2917</v>
      </c>
      <c r="I1720" s="2" t="s">
        <v>15167</v>
      </c>
      <c r="J1720" s="2">
        <v>6025</v>
      </c>
      <c r="K1720" s="2" t="s">
        <v>15168</v>
      </c>
      <c r="L1720" s="2">
        <v>796</v>
      </c>
      <c r="M1720" s="2" t="s">
        <v>15169</v>
      </c>
      <c r="N1720" s="2" t="s">
        <v>2667</v>
      </c>
      <c r="O1720" s="2" t="s">
        <v>2668</v>
      </c>
      <c r="P1720" s="2">
        <v>50616</v>
      </c>
      <c r="Q1720" s="2"/>
      <c r="R1720" s="2"/>
      <c r="S1720" s="2" t="s">
        <v>15170</v>
      </c>
      <c r="T1720" s="2" t="s">
        <v>15171</v>
      </c>
      <c r="U1720" s="2" t="s">
        <v>15172</v>
      </c>
      <c r="V1720" s="2" t="s">
        <v>115</v>
      </c>
      <c r="W1720" s="2" t="s">
        <v>116</v>
      </c>
      <c r="X1720" s="2" t="s">
        <v>1238</v>
      </c>
      <c r="Y1720" s="2" t="s">
        <v>118</v>
      </c>
      <c r="Z1720" s="2" t="s">
        <v>119</v>
      </c>
      <c r="AA1720" s="2" t="s">
        <v>1239</v>
      </c>
      <c r="AB1720" s="2" t="s">
        <v>8443</v>
      </c>
      <c r="AC1720" s="2">
        <v>41.12</v>
      </c>
      <c r="AD1720" s="2">
        <v>73.44</v>
      </c>
      <c r="AE1720" s="2">
        <v>0</v>
      </c>
      <c r="AF1720" s="2" t="s">
        <v>5614</v>
      </c>
      <c r="AG1720" s="2" t="s">
        <v>3544</v>
      </c>
      <c r="AH1720" s="2" t="s">
        <v>15173</v>
      </c>
      <c r="AI1720" s="2">
        <v>-3.53</v>
      </c>
      <c r="AJ1720" s="2">
        <v>20.6577375376059</v>
      </c>
      <c r="AK1720" s="2">
        <v>20.340196670101601</v>
      </c>
      <c r="AL1720" s="2">
        <v>20.534416177569401</v>
      </c>
      <c r="AM1720" s="2">
        <v>20.067405736404599</v>
      </c>
      <c r="AN1720" s="2">
        <v>20.435771167936199</v>
      </c>
      <c r="AO1720" s="2">
        <v>20.548650678708</v>
      </c>
      <c r="AP1720" s="2">
        <v>20.586960078374599</v>
      </c>
      <c r="AQ1720" s="2">
        <v>20.4236124837572</v>
      </c>
      <c r="AR1720" s="2">
        <v>19.454443408108698</v>
      </c>
      <c r="AS1720" s="2">
        <v>20.519592267801901</v>
      </c>
      <c r="AT1720" s="2">
        <v>20.5384008361996</v>
      </c>
      <c r="AU1720" s="2">
        <v>20.252932379318899</v>
      </c>
      <c r="AV1720" s="2">
        <v>20.505557991038799</v>
      </c>
      <c r="AW1720" s="2">
        <v>21.206447867080001</v>
      </c>
      <c r="AX1720" s="2">
        <v>20.719538859895302</v>
      </c>
      <c r="AY1720" s="2">
        <v>19.538927008694301</v>
      </c>
      <c r="AZ1720" s="2">
        <v>20.801403463605901</v>
      </c>
      <c r="BA1720" s="2">
        <v>20.5180982356996</v>
      </c>
      <c r="BB1720" s="2">
        <v>20.056437256321701</v>
      </c>
      <c r="BC1720" s="2">
        <v>19.380952895574801</v>
      </c>
      <c r="BD1720" s="2">
        <v>18.5403592697017</v>
      </c>
      <c r="BE1720" s="2">
        <v>20.5264746336406</v>
      </c>
      <c r="BF1720" s="2">
        <v>19.8676043749022</v>
      </c>
      <c r="BG1720" s="2">
        <v>19.593039032623</v>
      </c>
      <c r="BH1720" s="2">
        <v>21.8346187705529</v>
      </c>
      <c r="BI1720" s="2">
        <v>21.065985426256098</v>
      </c>
      <c r="BJ1720" s="2">
        <v>21.851643767873199</v>
      </c>
      <c r="BK1720" s="2">
        <v>20.019265115030201</v>
      </c>
      <c r="BL1720" s="2">
        <v>20.309784898172602</v>
      </c>
      <c r="BM1720" s="2">
        <v>19.9661820839667</v>
      </c>
      <c r="BN1720" s="2">
        <v>20.991290669897499</v>
      </c>
      <c r="BO1720" s="2">
        <v>21.0447156714831</v>
      </c>
      <c r="BP1720" s="2">
        <v>20.563596523517401</v>
      </c>
      <c r="BQ1720" s="2">
        <v>20.5046043135271</v>
      </c>
      <c r="BR1720" s="2">
        <v>20.958021377093502</v>
      </c>
      <c r="BS1720" s="2">
        <v>20.1935762044798</v>
      </c>
      <c r="BT1720" s="2">
        <v>20.2916438396269</v>
      </c>
      <c r="BU1720" s="2">
        <v>20.5858619692922</v>
      </c>
      <c r="BV1720" s="2">
        <v>20.657171874802</v>
      </c>
      <c r="BW1720" s="2">
        <v>18.8762885697213</v>
      </c>
      <c r="BX1720" s="2">
        <v>20.250678210793399</v>
      </c>
      <c r="BY1720" s="2">
        <v>21.111222786439399</v>
      </c>
      <c r="BZ1720" s="2">
        <v>19.0272680531004</v>
      </c>
      <c r="CA1720" s="2">
        <v>20.043062017790199</v>
      </c>
      <c r="CB1720" s="2">
        <v>20.521014561365</v>
      </c>
      <c r="CC1720" s="2">
        <v>20.538748245418098</v>
      </c>
      <c r="CD1720" s="2">
        <v>20.919396447091799</v>
      </c>
      <c r="CE1720" s="2">
        <v>20.002939516394399</v>
      </c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</row>
    <row r="1721" spans="1:97">
      <c r="A1721" s="2" t="s">
        <v>15174</v>
      </c>
      <c r="B1721" s="2">
        <v>363.07355000000001</v>
      </c>
      <c r="C1721" s="2">
        <v>0.80100000000000005</v>
      </c>
      <c r="D1721" s="2" t="s">
        <v>146</v>
      </c>
      <c r="E1721" s="2" t="s">
        <v>15175</v>
      </c>
      <c r="F1721" s="2" t="s">
        <v>15176</v>
      </c>
      <c r="G1721" s="2">
        <v>61044</v>
      </c>
      <c r="H1721" s="3" t="str">
        <f>HYPERLINK("https://cloud.oebiotech.com/#/lm/network/61044", "https://cloud.oebiotech.com/#/lm/network/61044")</f>
        <v>https://cloud.oebiotech.com/#/lm/network/61044</v>
      </c>
      <c r="I1721" s="2" t="s">
        <v>15177</v>
      </c>
      <c r="J1721" s="2">
        <v>92378</v>
      </c>
      <c r="K1721" s="2"/>
      <c r="L1721" s="2">
        <v>56658060</v>
      </c>
      <c r="M1721" s="2"/>
      <c r="N1721" s="2"/>
      <c r="O1721" s="2"/>
      <c r="P1721" s="2"/>
      <c r="Q1721" s="2"/>
      <c r="R1721" s="2"/>
      <c r="S1721" s="2" t="s">
        <v>15178</v>
      </c>
      <c r="T1721" s="2" t="s">
        <v>15179</v>
      </c>
      <c r="U1721" s="2" t="s">
        <v>15180</v>
      </c>
      <c r="V1721" s="2" t="s">
        <v>845</v>
      </c>
      <c r="W1721" s="2" t="s">
        <v>1853</v>
      </c>
      <c r="X1721" s="2" t="s">
        <v>1854</v>
      </c>
      <c r="Y1721" s="2" t="s">
        <v>847</v>
      </c>
      <c r="Z1721" s="2" t="s">
        <v>1855</v>
      </c>
      <c r="AA1721" s="2" t="s">
        <v>1856</v>
      </c>
      <c r="AB1721" s="2" t="s">
        <v>8443</v>
      </c>
      <c r="AC1721" s="2">
        <v>41.12</v>
      </c>
      <c r="AD1721" s="2">
        <v>88.4</v>
      </c>
      <c r="AE1721" s="2">
        <v>41.07</v>
      </c>
      <c r="AF1721" s="2" t="s">
        <v>15181</v>
      </c>
      <c r="AG1721" s="2" t="s">
        <v>157</v>
      </c>
      <c r="AH1721" s="2" t="s">
        <v>15182</v>
      </c>
      <c r="AI1721" s="2">
        <v>-4.13</v>
      </c>
      <c r="AJ1721" s="2">
        <v>18.7263558472619</v>
      </c>
      <c r="AK1721" s="2">
        <v>19.728786059077098</v>
      </c>
      <c r="AL1721" s="2">
        <v>19.5514741861471</v>
      </c>
      <c r="AM1721" s="2">
        <v>19.125984200692901</v>
      </c>
      <c r="AN1721" s="2">
        <v>19.6733246741206</v>
      </c>
      <c r="AO1721" s="2">
        <v>19.2279215408836</v>
      </c>
      <c r="AP1721" s="2">
        <v>19.369824581135202</v>
      </c>
      <c r="AQ1721" s="2">
        <v>19.362905860509201</v>
      </c>
      <c r="AR1721" s="2">
        <v>19.6716696311723</v>
      </c>
      <c r="AS1721" s="2">
        <v>20.1305963899806</v>
      </c>
      <c r="AT1721" s="2">
        <v>20.247316976933099</v>
      </c>
      <c r="AU1721" s="2">
        <v>21.617299519669402</v>
      </c>
      <c r="AV1721" s="2">
        <v>17.352185535847699</v>
      </c>
      <c r="AW1721" s="2">
        <v>20.620305036176902</v>
      </c>
      <c r="AX1721" s="2">
        <v>19.683672812855701</v>
      </c>
      <c r="AY1721" s="2">
        <v>21.1311838427639</v>
      </c>
      <c r="AZ1721" s="2">
        <v>19.106938031238901</v>
      </c>
      <c r="BA1721" s="2">
        <v>19.481127110298299</v>
      </c>
      <c r="BB1721" s="2">
        <v>18.225027531402699</v>
      </c>
      <c r="BC1721" s="2">
        <v>19.625786507816599</v>
      </c>
      <c r="BD1721" s="2">
        <v>18.806118255573999</v>
      </c>
      <c r="BE1721" s="2">
        <v>17.241282424379101</v>
      </c>
      <c r="BF1721" s="2">
        <v>19.5158375441411</v>
      </c>
      <c r="BG1721" s="2">
        <v>19.256805318199099</v>
      </c>
      <c r="BH1721" s="2">
        <v>18.895585813826699</v>
      </c>
      <c r="BI1721" s="2">
        <v>20.610104848310499</v>
      </c>
      <c r="BJ1721" s="2">
        <v>18.597425402366401</v>
      </c>
      <c r="BK1721" s="2">
        <v>19.331996696893299</v>
      </c>
      <c r="BL1721" s="2">
        <v>20.051564556763601</v>
      </c>
      <c r="BM1721" s="2">
        <v>21.943134036919499</v>
      </c>
      <c r="BN1721" s="2">
        <v>20.531728831828602</v>
      </c>
      <c r="BO1721" s="2">
        <v>19.3819153379815</v>
      </c>
      <c r="BP1721" s="2">
        <v>16.652226402523901</v>
      </c>
      <c r="BQ1721" s="2">
        <v>21.524604802487801</v>
      </c>
      <c r="BR1721" s="2">
        <v>19.515863370945599</v>
      </c>
      <c r="BS1721" s="2">
        <v>20.303445520184098</v>
      </c>
      <c r="BT1721" s="2">
        <v>20.6769033860453</v>
      </c>
      <c r="BU1721" s="2">
        <v>19.9072900757143</v>
      </c>
      <c r="BV1721" s="2">
        <v>19.649479914471002</v>
      </c>
      <c r="BW1721" s="2">
        <v>19.571255579894199</v>
      </c>
      <c r="BX1721" s="2">
        <v>19.744551442348701</v>
      </c>
      <c r="BY1721" s="2">
        <v>18.361475897705098</v>
      </c>
      <c r="BZ1721" s="2">
        <v>21.062577981546699</v>
      </c>
      <c r="CA1721" s="2">
        <v>18.2591114498411</v>
      </c>
      <c r="CB1721" s="2">
        <v>16.6565828170001</v>
      </c>
      <c r="CC1721" s="2">
        <v>19.545765726328501</v>
      </c>
      <c r="CD1721" s="2">
        <v>19.207810392910201</v>
      </c>
      <c r="CE1721" s="2">
        <v>19.085765279792099</v>
      </c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</row>
    <row r="1722" spans="1:97">
      <c r="A1722" s="2" t="s">
        <v>15183</v>
      </c>
      <c r="B1722" s="2">
        <v>393.29897999999997</v>
      </c>
      <c r="C1722" s="2">
        <v>12.173</v>
      </c>
      <c r="D1722" s="2" t="s">
        <v>84</v>
      </c>
      <c r="E1722" s="2" t="s">
        <v>15184</v>
      </c>
      <c r="F1722" s="2" t="s">
        <v>15185</v>
      </c>
      <c r="G1722" s="2">
        <v>45883</v>
      </c>
      <c r="H1722" s="3" t="str">
        <f>HYPERLINK("https://cloud.oebiotech.com/#/lm/network/45883", "https://cloud.oebiotech.com/#/lm/network/45883")</f>
        <v>https://cloud.oebiotech.com/#/lm/network/45883</v>
      </c>
      <c r="I1722" s="2"/>
      <c r="J1722" s="2">
        <v>84341</v>
      </c>
      <c r="K1722" s="2" t="s">
        <v>15186</v>
      </c>
      <c r="L1722" s="2">
        <v>5283816</v>
      </c>
      <c r="M1722" s="2"/>
      <c r="N1722" s="2"/>
      <c r="O1722" s="2"/>
      <c r="P1722" s="2"/>
      <c r="Q1722" s="2"/>
      <c r="R1722" s="2"/>
      <c r="S1722" s="2"/>
      <c r="T1722" s="2" t="s">
        <v>15187</v>
      </c>
      <c r="U1722" s="2" t="s">
        <v>15188</v>
      </c>
      <c r="V1722" s="2" t="s">
        <v>95</v>
      </c>
      <c r="W1722" s="2" t="s">
        <v>152</v>
      </c>
      <c r="X1722" s="2" t="s">
        <v>278</v>
      </c>
      <c r="Y1722" s="2" t="s">
        <v>98</v>
      </c>
      <c r="Z1722" s="2" t="s">
        <v>154</v>
      </c>
      <c r="AA1722" s="2" t="s">
        <v>279</v>
      </c>
      <c r="AB1722" s="2" t="s">
        <v>8443</v>
      </c>
      <c r="AC1722" s="2">
        <v>41.11</v>
      </c>
      <c r="AD1722" s="2">
        <v>84.82</v>
      </c>
      <c r="AE1722" s="2">
        <v>33.979999999999997</v>
      </c>
      <c r="AF1722" s="2" t="s">
        <v>15189</v>
      </c>
      <c r="AG1722" s="2" t="s">
        <v>103</v>
      </c>
      <c r="AH1722" s="2" t="s">
        <v>712</v>
      </c>
      <c r="AI1722" s="2">
        <v>2.29</v>
      </c>
      <c r="AJ1722" s="2">
        <v>20.685771588652699</v>
      </c>
      <c r="AK1722" s="2">
        <v>20.186160048638801</v>
      </c>
      <c r="AL1722" s="2">
        <v>20.231490237993398</v>
      </c>
      <c r="AM1722" s="2">
        <v>20.1125171777358</v>
      </c>
      <c r="AN1722" s="2">
        <v>20.703394377203299</v>
      </c>
      <c r="AO1722" s="2">
        <v>20.084082501324101</v>
      </c>
      <c r="AP1722" s="2">
        <v>20.368010368807902</v>
      </c>
      <c r="AQ1722" s="2">
        <v>20.340594887298099</v>
      </c>
      <c r="AR1722" s="2">
        <v>20.794026023031002</v>
      </c>
      <c r="AS1722" s="2">
        <v>19.727288529027099</v>
      </c>
      <c r="AT1722" s="2">
        <v>19.892513363972501</v>
      </c>
      <c r="AU1722" s="2">
        <v>20.213050676389301</v>
      </c>
      <c r="AV1722" s="2">
        <v>19.234740074997902</v>
      </c>
      <c r="AW1722" s="2">
        <v>18.029673518970199</v>
      </c>
      <c r="AX1722" s="2">
        <v>19.404004995526499</v>
      </c>
      <c r="AY1722" s="2">
        <v>20.986635145879301</v>
      </c>
      <c r="AZ1722" s="2">
        <v>21.268796370428401</v>
      </c>
      <c r="BA1722" s="2">
        <v>20.709617372069498</v>
      </c>
      <c r="BB1722" s="2">
        <v>20.548265038720501</v>
      </c>
      <c r="BC1722" s="2">
        <v>20.158922172227602</v>
      </c>
      <c r="BD1722" s="2">
        <v>20.0722830777299</v>
      </c>
      <c r="BE1722" s="2">
        <v>20.6842287212427</v>
      </c>
      <c r="BF1722" s="2">
        <v>19.430576793362299</v>
      </c>
      <c r="BG1722" s="2">
        <v>19.842374515204298</v>
      </c>
      <c r="BH1722" s="2">
        <v>19.4805825313559</v>
      </c>
      <c r="BI1722" s="2">
        <v>20.723255852749698</v>
      </c>
      <c r="BJ1722" s="2">
        <v>20.1035585188766</v>
      </c>
      <c r="BK1722" s="2">
        <v>18.7718381014576</v>
      </c>
      <c r="BL1722" s="2">
        <v>20.894480976073702</v>
      </c>
      <c r="BM1722" s="2">
        <v>20.495871437730901</v>
      </c>
      <c r="BN1722" s="2">
        <v>19.941644201056999</v>
      </c>
      <c r="BO1722" s="2">
        <v>20.193561935621702</v>
      </c>
      <c r="BP1722" s="2">
        <v>19.062385415623002</v>
      </c>
      <c r="BQ1722" s="2">
        <v>18.381729156598102</v>
      </c>
      <c r="BR1722" s="2">
        <v>19.356310279826602</v>
      </c>
      <c r="BS1722" s="2">
        <v>20.9753620947744</v>
      </c>
      <c r="BT1722" s="2">
        <v>21.235413796858602</v>
      </c>
      <c r="BU1722" s="2">
        <v>20.876550482060299</v>
      </c>
      <c r="BV1722" s="2">
        <v>20.0715457931861</v>
      </c>
      <c r="BW1722" s="2">
        <v>17.368576285794099</v>
      </c>
      <c r="BX1722" s="2">
        <v>19.0967423540156</v>
      </c>
      <c r="BY1722" s="2">
        <v>20.950255195084601</v>
      </c>
      <c r="BZ1722" s="2">
        <v>19.9142243646662</v>
      </c>
      <c r="CA1722" s="2">
        <v>20.171477397042601</v>
      </c>
      <c r="CB1722" s="2">
        <v>19.8695754244964</v>
      </c>
      <c r="CC1722" s="2">
        <v>20.591326377241199</v>
      </c>
      <c r="CD1722" s="2">
        <v>20.6780490570365</v>
      </c>
      <c r="CE1722" s="2">
        <v>19.060543136425402</v>
      </c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</row>
    <row r="1723" spans="1:97">
      <c r="A1723" s="2" t="s">
        <v>15190</v>
      </c>
      <c r="B1723" s="2">
        <v>415.25331</v>
      </c>
      <c r="C1723" s="2">
        <v>4.3979999999999997</v>
      </c>
      <c r="D1723" s="2" t="s">
        <v>84</v>
      </c>
      <c r="E1723" s="2" t="s">
        <v>15191</v>
      </c>
      <c r="F1723" s="2" t="s">
        <v>15192</v>
      </c>
      <c r="G1723" s="2">
        <v>204456</v>
      </c>
      <c r="H1723" s="3" t="str">
        <f>HYPERLINK("https://cloud.oebiotech.com/#/lm/network/204456", "https://cloud.oebiotech.com/#/lm/network/204456")</f>
        <v>https://cloud.oebiotech.com/#/lm/network/204456</v>
      </c>
      <c r="I1723" s="2" t="s">
        <v>15193</v>
      </c>
      <c r="J1723" s="2"/>
      <c r="K1723" s="2"/>
      <c r="L1723" s="2">
        <v>4027</v>
      </c>
      <c r="M1723" s="2"/>
      <c r="N1723" s="2"/>
      <c r="O1723" s="2"/>
      <c r="P1723" s="2"/>
      <c r="Q1723" s="2"/>
      <c r="R1723" s="2"/>
      <c r="S1723" s="2"/>
      <c r="T1723" s="2" t="s">
        <v>15194</v>
      </c>
      <c r="U1723" s="2" t="s">
        <v>15195</v>
      </c>
      <c r="V1723" s="2" t="s">
        <v>115</v>
      </c>
      <c r="W1723" s="2" t="s">
        <v>116</v>
      </c>
      <c r="X1723" s="2" t="s">
        <v>117</v>
      </c>
      <c r="Y1723" s="2" t="s">
        <v>118</v>
      </c>
      <c r="Z1723" s="2" t="s">
        <v>119</v>
      </c>
      <c r="AA1723" s="2" t="s">
        <v>120</v>
      </c>
      <c r="AB1723" s="2" t="s">
        <v>8443</v>
      </c>
      <c r="AC1723" s="2">
        <v>41.11</v>
      </c>
      <c r="AD1723" s="2">
        <v>86.95</v>
      </c>
      <c r="AE1723" s="2">
        <v>44.05</v>
      </c>
      <c r="AF1723" s="2" t="s">
        <v>15196</v>
      </c>
      <c r="AG1723" s="2" t="s">
        <v>132</v>
      </c>
      <c r="AH1723" s="2" t="s">
        <v>15197</v>
      </c>
      <c r="AI1723" s="2">
        <v>4.33</v>
      </c>
      <c r="AJ1723" s="2">
        <v>19.220398191257701</v>
      </c>
      <c r="AK1723" s="2">
        <v>19.3563809118207</v>
      </c>
      <c r="AL1723" s="2">
        <v>19.1812802761965</v>
      </c>
      <c r="AM1723" s="2">
        <v>19.215797617762199</v>
      </c>
      <c r="AN1723" s="2">
        <v>19.2011309500915</v>
      </c>
      <c r="AO1723" s="2">
        <v>19.228228905930301</v>
      </c>
      <c r="AP1723" s="2">
        <v>19.201922093244001</v>
      </c>
      <c r="AQ1723" s="2">
        <v>19.017291116105302</v>
      </c>
      <c r="AR1723" s="2">
        <v>18.2085074864546</v>
      </c>
      <c r="AS1723" s="2">
        <v>17.730707280857398</v>
      </c>
      <c r="AT1723" s="2">
        <v>19.281057206791601</v>
      </c>
      <c r="AU1723" s="2">
        <v>19.664471555654501</v>
      </c>
      <c r="AV1723" s="2">
        <v>19.048883328630598</v>
      </c>
      <c r="AW1723" s="2">
        <v>19.364518529588501</v>
      </c>
      <c r="AX1723" s="2">
        <v>18.680741150381799</v>
      </c>
      <c r="AY1723" s="2">
        <v>19.068610697889</v>
      </c>
      <c r="AZ1723" s="2">
        <v>18.3960520758976</v>
      </c>
      <c r="BA1723" s="2">
        <v>18.341903117205501</v>
      </c>
      <c r="BB1723" s="2">
        <v>16.2878227414988</v>
      </c>
      <c r="BC1723" s="2">
        <v>16.566080208193402</v>
      </c>
      <c r="BD1723" s="2">
        <v>19.624231435967999</v>
      </c>
      <c r="BE1723" s="2">
        <v>19.348471269723198</v>
      </c>
      <c r="BF1723" s="2">
        <v>19.740508068511001</v>
      </c>
      <c r="BG1723" s="2">
        <v>16.590480036708001</v>
      </c>
      <c r="BH1723" s="2">
        <v>18.990280084121402</v>
      </c>
      <c r="BI1723" s="2">
        <v>19.122362773980502</v>
      </c>
      <c r="BJ1723" s="2">
        <v>15.983611123048201</v>
      </c>
      <c r="BK1723" s="2">
        <v>19.250221100838999</v>
      </c>
      <c r="BL1723" s="2">
        <v>19.197895700765901</v>
      </c>
      <c r="BM1723" s="2">
        <v>20.337118242249801</v>
      </c>
      <c r="BN1723" s="2">
        <v>19.0326201726111</v>
      </c>
      <c r="BO1723" s="2">
        <v>18.737721580385699</v>
      </c>
      <c r="BP1723" s="2">
        <v>18.785822130556902</v>
      </c>
      <c r="BQ1723" s="2">
        <v>19.3698167232826</v>
      </c>
      <c r="BR1723" s="2">
        <v>15.733539443105499</v>
      </c>
      <c r="BS1723" s="2">
        <v>19.999602321306199</v>
      </c>
      <c r="BT1723" s="2">
        <v>17.516770345219399</v>
      </c>
      <c r="BU1723" s="2">
        <v>19.104814996246699</v>
      </c>
      <c r="BV1723" s="2">
        <v>17.1274170549631</v>
      </c>
      <c r="BW1723" s="2">
        <v>16.776449097142901</v>
      </c>
      <c r="BX1723" s="2">
        <v>19.549519409097101</v>
      </c>
      <c r="BY1723" s="2">
        <v>19.676491843880001</v>
      </c>
      <c r="BZ1723" s="2">
        <v>17.141156284936901</v>
      </c>
      <c r="CA1723" s="2">
        <v>20.922138652477901</v>
      </c>
      <c r="CB1723" s="2">
        <v>17.591489256185302</v>
      </c>
      <c r="CC1723" s="2">
        <v>17.798601086523501</v>
      </c>
      <c r="CD1723" s="2">
        <v>19.358558252469901</v>
      </c>
      <c r="CE1723" s="2">
        <v>19.714953458036401</v>
      </c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</row>
    <row r="1724" spans="1:97">
      <c r="A1724" s="2" t="s">
        <v>15198</v>
      </c>
      <c r="B1724" s="2">
        <v>266.99405999999999</v>
      </c>
      <c r="C1724" s="2">
        <v>5.3319999999999999</v>
      </c>
      <c r="D1724" s="2" t="s">
        <v>146</v>
      </c>
      <c r="E1724" s="2" t="s">
        <v>15199</v>
      </c>
      <c r="F1724" s="2" t="s">
        <v>15200</v>
      </c>
      <c r="G1724" s="2">
        <v>205175</v>
      </c>
      <c r="H1724" s="3" t="str">
        <f>HYPERLINK("https://cloud.oebiotech.com/#/lm/network/205175", "https://cloud.oebiotech.com/#/lm/network/205175")</f>
        <v>https://cloud.oebiotech.com/#/lm/network/205175</v>
      </c>
      <c r="I1724" s="2" t="s">
        <v>15201</v>
      </c>
      <c r="J1724" s="2">
        <v>69622</v>
      </c>
      <c r="K1724" s="2"/>
      <c r="L1724" s="2">
        <v>3721046</v>
      </c>
      <c r="M1724" s="2" t="s">
        <v>15202</v>
      </c>
      <c r="N1724" s="2"/>
      <c r="O1724" s="2"/>
      <c r="P1724" s="2"/>
      <c r="Q1724" s="2"/>
      <c r="R1724" s="2"/>
      <c r="S1724" s="2" t="s">
        <v>15203</v>
      </c>
      <c r="T1724" s="2" t="s">
        <v>15204</v>
      </c>
      <c r="U1724" s="2" t="s">
        <v>15205</v>
      </c>
      <c r="V1724" s="2" t="s">
        <v>553</v>
      </c>
      <c r="W1724" s="2" t="s">
        <v>10339</v>
      </c>
      <c r="X1724" s="2" t="s">
        <v>10340</v>
      </c>
      <c r="Y1724" s="2" t="s">
        <v>556</v>
      </c>
      <c r="Z1724" s="2" t="s">
        <v>10341</v>
      </c>
      <c r="AA1724" s="2" t="s">
        <v>10342</v>
      </c>
      <c r="AB1724" s="2" t="s">
        <v>5118</v>
      </c>
      <c r="AC1724" s="2">
        <v>41.1</v>
      </c>
      <c r="AD1724" s="2">
        <v>75.150000000000006</v>
      </c>
      <c r="AE1724" s="2">
        <v>67.58</v>
      </c>
      <c r="AF1724" s="2" t="s">
        <v>15206</v>
      </c>
      <c r="AG1724" s="2" t="s">
        <v>4062</v>
      </c>
      <c r="AH1724" s="2" t="s">
        <v>15207</v>
      </c>
      <c r="AI1724" s="2">
        <v>-5.62</v>
      </c>
      <c r="AJ1724" s="2">
        <v>18.556958509838299</v>
      </c>
      <c r="AK1724" s="2">
        <v>17.9726329211117</v>
      </c>
      <c r="AL1724" s="2">
        <v>18.251504185135602</v>
      </c>
      <c r="AM1724" s="2">
        <v>18.363193411626199</v>
      </c>
      <c r="AN1724" s="2">
        <v>18.574230590672801</v>
      </c>
      <c r="AO1724" s="2">
        <v>18.4505122176718</v>
      </c>
      <c r="AP1724" s="2">
        <v>18.603907840370901</v>
      </c>
      <c r="AQ1724" s="2">
        <v>18.062319611487698</v>
      </c>
      <c r="AR1724" s="2">
        <v>15.3990031533384</v>
      </c>
      <c r="AS1724" s="2">
        <v>15.6407095452492</v>
      </c>
      <c r="AT1724" s="2">
        <v>14.106335559023</v>
      </c>
      <c r="AU1724" s="2">
        <v>13.248908947756</v>
      </c>
      <c r="AV1724" s="2">
        <v>17.5735792933203</v>
      </c>
      <c r="AW1724" s="2">
        <v>16.885920228195001</v>
      </c>
      <c r="AX1724" s="2">
        <v>16.937049158887799</v>
      </c>
      <c r="AY1724" s="2">
        <v>13.9720122818392</v>
      </c>
      <c r="AZ1724" s="2">
        <v>16.904709760078202</v>
      </c>
      <c r="BA1724" s="2">
        <v>16.765183907659502</v>
      </c>
      <c r="BB1724" s="2">
        <v>19.2292450960189</v>
      </c>
      <c r="BC1724" s="2">
        <v>17.420498208683998</v>
      </c>
      <c r="BD1724" s="2">
        <v>16.078050084152601</v>
      </c>
      <c r="BE1724" s="2">
        <v>14.935768195502099</v>
      </c>
      <c r="BF1724" s="2">
        <v>15.304068559384101</v>
      </c>
      <c r="BG1724" s="2">
        <v>13.6790170872482</v>
      </c>
      <c r="BH1724" s="2">
        <v>16.289897849063799</v>
      </c>
      <c r="BI1724" s="2">
        <v>20.738749046639199</v>
      </c>
      <c r="BJ1724" s="2">
        <v>17.5579347353477</v>
      </c>
      <c r="BK1724" s="2">
        <v>16.990134884119499</v>
      </c>
      <c r="BL1724" s="2">
        <v>16.604620115485002</v>
      </c>
      <c r="BM1724" s="2">
        <v>15.871499085705301</v>
      </c>
      <c r="BN1724" s="2">
        <v>16.749885921529401</v>
      </c>
      <c r="BO1724" s="2">
        <v>14.751809728173701</v>
      </c>
      <c r="BP1724" s="2">
        <v>16.659908674955201</v>
      </c>
      <c r="BQ1724" s="2">
        <v>18.166256024166</v>
      </c>
      <c r="BR1724" s="2">
        <v>18.2249347684063</v>
      </c>
      <c r="BS1724" s="2">
        <v>16.0523018510493</v>
      </c>
      <c r="BT1724" s="2">
        <v>16.4524999446637</v>
      </c>
      <c r="BU1724" s="2">
        <v>16.544643315326802</v>
      </c>
      <c r="BV1724" s="2">
        <v>16.950042542724798</v>
      </c>
      <c r="BW1724" s="2">
        <v>20.3834015514737</v>
      </c>
      <c r="BX1724" s="2">
        <v>17.6267430552621</v>
      </c>
      <c r="BY1724" s="2">
        <v>18.782491658152001</v>
      </c>
      <c r="BZ1724" s="2">
        <v>17.6120059966184</v>
      </c>
      <c r="CA1724" s="2">
        <v>17.382919407731102</v>
      </c>
      <c r="CB1724" s="2">
        <v>16.943068673639701</v>
      </c>
      <c r="CC1724" s="2">
        <v>19.844922006593301</v>
      </c>
      <c r="CD1724" s="2">
        <v>17.701141685294498</v>
      </c>
      <c r="CE1724" s="2">
        <v>17.813442894672502</v>
      </c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</row>
    <row r="1725" spans="1:97">
      <c r="A1725" s="2" t="s">
        <v>15208</v>
      </c>
      <c r="B1725" s="2">
        <v>457.99802</v>
      </c>
      <c r="C1725" s="2">
        <v>8.3019999999999996</v>
      </c>
      <c r="D1725" s="2" t="s">
        <v>146</v>
      </c>
      <c r="E1725" s="2" t="s">
        <v>15209</v>
      </c>
      <c r="F1725" s="2" t="s">
        <v>15210</v>
      </c>
      <c r="G1725" s="2">
        <v>82731</v>
      </c>
      <c r="H1725" s="3" t="str">
        <f>HYPERLINK("https://cloud.oebiotech.com/#/lm/network/82731", "https://cloud.oebiotech.com/#/lm/network/82731")</f>
        <v>https://cloud.oebiotech.com/#/lm/network/82731</v>
      </c>
      <c r="I1725" s="2" t="s">
        <v>15211</v>
      </c>
      <c r="J1725" s="2"/>
      <c r="K1725" s="2"/>
      <c r="L1725" s="2">
        <v>53936469</v>
      </c>
      <c r="M1725" s="2"/>
      <c r="N1725" s="2"/>
      <c r="O1725" s="2"/>
      <c r="P1725" s="2"/>
      <c r="Q1725" s="2"/>
      <c r="R1725" s="2"/>
      <c r="S1725" s="2" t="s">
        <v>15212</v>
      </c>
      <c r="T1725" s="2" t="s">
        <v>15213</v>
      </c>
      <c r="U1725" s="2" t="s">
        <v>15214</v>
      </c>
      <c r="V1725" s="2" t="s">
        <v>818</v>
      </c>
      <c r="W1725" s="2" t="s">
        <v>9642</v>
      </c>
      <c r="X1725" s="2" t="s">
        <v>9643</v>
      </c>
      <c r="Y1725" s="2" t="s">
        <v>820</v>
      </c>
      <c r="Z1725" s="2" t="s">
        <v>9644</v>
      </c>
      <c r="AA1725" s="2" t="s">
        <v>9645</v>
      </c>
      <c r="AB1725" s="2" t="s">
        <v>5118</v>
      </c>
      <c r="AC1725" s="2">
        <v>41.08</v>
      </c>
      <c r="AD1725" s="2">
        <v>91.62</v>
      </c>
      <c r="AE1725" s="2">
        <v>66.989999999999995</v>
      </c>
      <c r="AF1725" s="2" t="s">
        <v>15215</v>
      </c>
      <c r="AG1725" s="2" t="s">
        <v>194</v>
      </c>
      <c r="AH1725" s="2" t="s">
        <v>15216</v>
      </c>
      <c r="AI1725" s="2">
        <v>-8.3000000000000007</v>
      </c>
      <c r="AJ1725" s="2">
        <v>19.262453147913099</v>
      </c>
      <c r="AK1725" s="2">
        <v>18.662818069055501</v>
      </c>
      <c r="AL1725" s="2">
        <v>19.3012533601188</v>
      </c>
      <c r="AM1725" s="2">
        <v>19.279411782397698</v>
      </c>
      <c r="AN1725" s="2">
        <v>19.2186294278799</v>
      </c>
      <c r="AO1725" s="2">
        <v>19.477016940913899</v>
      </c>
      <c r="AP1725" s="2">
        <v>19.345114539434299</v>
      </c>
      <c r="AQ1725" s="2">
        <v>19.332025246658301</v>
      </c>
      <c r="AR1725" s="2">
        <v>18.679477281738901</v>
      </c>
      <c r="AS1725" s="2">
        <v>14.3566500383237</v>
      </c>
      <c r="AT1725" s="2">
        <v>14.688194021069499</v>
      </c>
      <c r="AU1725" s="2">
        <v>9.6233145402724691</v>
      </c>
      <c r="AV1725" s="2">
        <v>13.864363181265</v>
      </c>
      <c r="AW1725" s="2">
        <v>18.2200501732436</v>
      </c>
      <c r="AX1725" s="2">
        <v>9.6233145402724691</v>
      </c>
      <c r="AY1725" s="2">
        <v>11.975794242017299</v>
      </c>
      <c r="AZ1725" s="2">
        <v>13.2610664999994</v>
      </c>
      <c r="BA1725" s="2">
        <v>12.4148807526553</v>
      </c>
      <c r="BB1725" s="2">
        <v>17.039269292291198</v>
      </c>
      <c r="BC1725" s="2">
        <v>11.994650431736501</v>
      </c>
      <c r="BD1725" s="2">
        <v>16.272703769309398</v>
      </c>
      <c r="BE1725" s="2">
        <v>17.011552572161499</v>
      </c>
      <c r="BF1725" s="2">
        <v>18.108123686526302</v>
      </c>
      <c r="BG1725" s="2">
        <v>18.0032201015268</v>
      </c>
      <c r="BH1725" s="2">
        <v>16.630124896501901</v>
      </c>
      <c r="BI1725" s="2">
        <v>15.6869504785023</v>
      </c>
      <c r="BJ1725" s="2">
        <v>17.9468205113976</v>
      </c>
      <c r="BK1725" s="2">
        <v>15.8202430464153</v>
      </c>
      <c r="BL1725" s="2">
        <v>18.5095046050867</v>
      </c>
      <c r="BM1725" s="2">
        <v>18.085817396252502</v>
      </c>
      <c r="BN1725" s="2">
        <v>18.2252047533565</v>
      </c>
      <c r="BO1725" s="2">
        <v>18.1634061043674</v>
      </c>
      <c r="BP1725" s="2">
        <v>14.1047191369221</v>
      </c>
      <c r="BQ1725" s="2">
        <v>17.409698536844601</v>
      </c>
      <c r="BR1725" s="2">
        <v>19.134546872353901</v>
      </c>
      <c r="BS1725" s="2">
        <v>19.601700396993699</v>
      </c>
      <c r="BT1725" s="2">
        <v>21.899208023717701</v>
      </c>
      <c r="BU1725" s="2">
        <v>18.265409021427001</v>
      </c>
      <c r="BV1725" s="2">
        <v>18.5808394877678</v>
      </c>
      <c r="BW1725" s="2">
        <v>17.706086397701299</v>
      </c>
      <c r="BX1725" s="2">
        <v>18.4512605023601</v>
      </c>
      <c r="BY1725" s="2">
        <v>17.297976443187199</v>
      </c>
      <c r="BZ1725" s="2">
        <v>9.6233145402724691</v>
      </c>
      <c r="CA1725" s="2">
        <v>15.2358216552279</v>
      </c>
      <c r="CB1725" s="2">
        <v>20.5533578406781</v>
      </c>
      <c r="CC1725" s="2">
        <v>17.911392514528199</v>
      </c>
      <c r="CD1725" s="2">
        <v>14.898872009040799</v>
      </c>
      <c r="CE1725" s="2">
        <v>19.1620979170978</v>
      </c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</row>
    <row r="1726" spans="1:97">
      <c r="A1726" s="2" t="s">
        <v>15217</v>
      </c>
      <c r="B1726" s="2">
        <v>195.12253000000001</v>
      </c>
      <c r="C1726" s="2">
        <v>4.6580000000000004</v>
      </c>
      <c r="D1726" s="2" t="s">
        <v>84</v>
      </c>
      <c r="E1726" s="2" t="s">
        <v>15218</v>
      </c>
      <c r="F1726" s="2" t="s">
        <v>15219</v>
      </c>
      <c r="G1726" s="2">
        <v>212252</v>
      </c>
      <c r="H1726" s="3" t="str">
        <f>HYPERLINK("https://cloud.oebiotech.com/#/lm/network/212252", "https://cloud.oebiotech.com/#/lm/network/212252")</f>
        <v>https://cloud.oebiotech.com/#/lm/network/212252</v>
      </c>
      <c r="I1726" s="2" t="s">
        <v>15220</v>
      </c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 t="s">
        <v>15221</v>
      </c>
      <c r="U1726" s="2" t="s">
        <v>15222</v>
      </c>
      <c r="V1726" s="2" t="s">
        <v>553</v>
      </c>
      <c r="W1726" s="2" t="s">
        <v>3192</v>
      </c>
      <c r="X1726" s="2" t="s">
        <v>375</v>
      </c>
      <c r="Y1726" s="2" t="s">
        <v>556</v>
      </c>
      <c r="Z1726" s="2" t="s">
        <v>3194</v>
      </c>
      <c r="AA1726" s="2"/>
      <c r="AB1726" s="2" t="s">
        <v>8443</v>
      </c>
      <c r="AC1726" s="2">
        <v>41.07</v>
      </c>
      <c r="AD1726" s="2">
        <v>72.760000000000005</v>
      </c>
      <c r="AE1726" s="2">
        <v>0</v>
      </c>
      <c r="AF1726" s="2" t="s">
        <v>5614</v>
      </c>
      <c r="AG1726" s="2" t="s">
        <v>1578</v>
      </c>
      <c r="AH1726" s="2" t="s">
        <v>15223</v>
      </c>
      <c r="AI1726" s="2">
        <v>2.56</v>
      </c>
      <c r="AJ1726" s="2">
        <v>21.766582990209201</v>
      </c>
      <c r="AK1726" s="2">
        <v>22.039829687225399</v>
      </c>
      <c r="AL1726" s="2">
        <v>21.975666298949601</v>
      </c>
      <c r="AM1726" s="2">
        <v>21.890950112517899</v>
      </c>
      <c r="AN1726" s="2">
        <v>21.619461528760699</v>
      </c>
      <c r="AO1726" s="2">
        <v>21.279366216263099</v>
      </c>
      <c r="AP1726" s="2">
        <v>21.873542336626201</v>
      </c>
      <c r="AQ1726" s="2">
        <v>20.8981665833047</v>
      </c>
      <c r="AR1726" s="2">
        <v>21.9354156116609</v>
      </c>
      <c r="AS1726" s="2">
        <v>22.018826689504799</v>
      </c>
      <c r="AT1726" s="2">
        <v>21.974257993749799</v>
      </c>
      <c r="AU1726" s="2">
        <v>21.841387627802298</v>
      </c>
      <c r="AV1726" s="2">
        <v>21.944409341272401</v>
      </c>
      <c r="AW1726" s="2">
        <v>22.0115591406691</v>
      </c>
      <c r="AX1726" s="2">
        <v>21.905477249967799</v>
      </c>
      <c r="AY1726" s="2">
        <v>22.005478839740199</v>
      </c>
      <c r="AZ1726" s="2">
        <v>21.521360507316899</v>
      </c>
      <c r="BA1726" s="2">
        <v>21.841264650884099</v>
      </c>
      <c r="BB1726" s="2">
        <v>21.520412407038599</v>
      </c>
      <c r="BC1726" s="2">
        <v>21.7801016059585</v>
      </c>
      <c r="BD1726" s="2">
        <v>21.792790881996901</v>
      </c>
      <c r="BE1726" s="2">
        <v>21.8521022173726</v>
      </c>
      <c r="BF1726" s="2">
        <v>21.836952424058499</v>
      </c>
      <c r="BG1726" s="2">
        <v>21.846187018755899</v>
      </c>
      <c r="BH1726" s="2">
        <v>21.8133502947104</v>
      </c>
      <c r="BI1726" s="2">
        <v>21.921901463258401</v>
      </c>
      <c r="BJ1726" s="2">
        <v>21.8060905256343</v>
      </c>
      <c r="BK1726" s="2">
        <v>21.855486671540799</v>
      </c>
      <c r="BL1726" s="2">
        <v>21.847367794456499</v>
      </c>
      <c r="BM1726" s="2">
        <v>21.7867735380064</v>
      </c>
      <c r="BN1726" s="2">
        <v>21.8870427759432</v>
      </c>
      <c r="BO1726" s="2">
        <v>21.019210008560002</v>
      </c>
      <c r="BP1726" s="2">
        <v>21.752121507443398</v>
      </c>
      <c r="BQ1726" s="2">
        <v>21.670049788176598</v>
      </c>
      <c r="BR1726" s="2">
        <v>21.952040215025701</v>
      </c>
      <c r="BS1726" s="2">
        <v>21.892559595659701</v>
      </c>
      <c r="BT1726" s="2">
        <v>21.9667039420324</v>
      </c>
      <c r="BU1726" s="2">
        <v>21.867469352304202</v>
      </c>
      <c r="BV1726" s="2">
        <v>21.771398711440401</v>
      </c>
      <c r="BW1726" s="2">
        <v>21.8345620149002</v>
      </c>
      <c r="BX1726" s="2">
        <v>21.8325574905374</v>
      </c>
      <c r="BY1726" s="2">
        <v>21.376304027406199</v>
      </c>
      <c r="BZ1726" s="2">
        <v>21.782509431225801</v>
      </c>
      <c r="CA1726" s="2">
        <v>21.8649000534182</v>
      </c>
      <c r="CB1726" s="2">
        <v>21.764921058645601</v>
      </c>
      <c r="CC1726" s="2">
        <v>21.6941115924568</v>
      </c>
      <c r="CD1726" s="2">
        <v>21.776656974267699</v>
      </c>
      <c r="CE1726" s="2">
        <v>21.761126115185998</v>
      </c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</row>
    <row r="1727" spans="1:97">
      <c r="A1727" s="2" t="s">
        <v>15224</v>
      </c>
      <c r="B1727" s="2">
        <v>349.03813000000002</v>
      </c>
      <c r="C1727" s="2">
        <v>7.3410000000000002</v>
      </c>
      <c r="D1727" s="2" t="s">
        <v>146</v>
      </c>
      <c r="E1727" s="2" t="s">
        <v>15225</v>
      </c>
      <c r="F1727" s="2" t="s">
        <v>15226</v>
      </c>
      <c r="G1727" s="2">
        <v>212002</v>
      </c>
      <c r="H1727" s="3" t="str">
        <f>HYPERLINK("https://cloud.oebiotech.com/#/lm/network/212002", "https://cloud.oebiotech.com/#/lm/network/212002")</f>
        <v>https://cloud.oebiotech.com/#/lm/network/212002</v>
      </c>
      <c r="I1727" s="2" t="s">
        <v>15227</v>
      </c>
      <c r="J1727" s="2"/>
      <c r="K1727" s="2"/>
      <c r="L1727" s="2">
        <v>3467590</v>
      </c>
      <c r="M1727" s="2"/>
      <c r="N1727" s="2"/>
      <c r="O1727" s="2"/>
      <c r="P1727" s="2"/>
      <c r="Q1727" s="2"/>
      <c r="R1727" s="2"/>
      <c r="S1727" s="2"/>
      <c r="T1727" s="2" t="s">
        <v>15228</v>
      </c>
      <c r="U1727" s="2" t="s">
        <v>15229</v>
      </c>
      <c r="V1727" s="2" t="s">
        <v>385</v>
      </c>
      <c r="W1727" s="2" t="s">
        <v>4381</v>
      </c>
      <c r="X1727" s="2" t="s">
        <v>11722</v>
      </c>
      <c r="Y1727" s="2" t="s">
        <v>388</v>
      </c>
      <c r="Z1727" s="2" t="s">
        <v>4382</v>
      </c>
      <c r="AA1727" s="2" t="s">
        <v>11723</v>
      </c>
      <c r="AB1727" s="2" t="s">
        <v>8443</v>
      </c>
      <c r="AC1727" s="2">
        <v>41.07</v>
      </c>
      <c r="AD1727" s="2">
        <v>74.22</v>
      </c>
      <c r="AE1727" s="2">
        <v>39.82</v>
      </c>
      <c r="AF1727" s="2" t="s">
        <v>15230</v>
      </c>
      <c r="AG1727" s="2" t="s">
        <v>4062</v>
      </c>
      <c r="AH1727" s="2" t="s">
        <v>15231</v>
      </c>
      <c r="AI1727" s="2">
        <v>1.1499999999999999</v>
      </c>
      <c r="AJ1727" s="2">
        <v>20.552728950302299</v>
      </c>
      <c r="AK1727" s="2">
        <v>20.5061662307292</v>
      </c>
      <c r="AL1727" s="2">
        <v>20.692595692083501</v>
      </c>
      <c r="AM1727" s="2">
        <v>20.649628000723801</v>
      </c>
      <c r="AN1727" s="2">
        <v>20.604073767630801</v>
      </c>
      <c r="AO1727" s="2">
        <v>19.397231075073201</v>
      </c>
      <c r="AP1727" s="2">
        <v>20.6600222238262</v>
      </c>
      <c r="AQ1727" s="2">
        <v>19.768159103632101</v>
      </c>
      <c r="AR1727" s="2">
        <v>16.850621739563302</v>
      </c>
      <c r="AS1727" s="2">
        <v>14.2484064537742</v>
      </c>
      <c r="AT1727" s="2">
        <v>13.498425408706</v>
      </c>
      <c r="AU1727" s="2">
        <v>18.644014504188899</v>
      </c>
      <c r="AV1727" s="2">
        <v>17.367701490470399</v>
      </c>
      <c r="AW1727" s="2">
        <v>15.5790424596601</v>
      </c>
      <c r="AX1727" s="2">
        <v>15.9510936636275</v>
      </c>
      <c r="AY1727" s="2">
        <v>19.408168731521702</v>
      </c>
      <c r="AZ1727" s="2">
        <v>9.6233145402724691</v>
      </c>
      <c r="BA1727" s="2">
        <v>18.705585412618898</v>
      </c>
      <c r="BB1727" s="2">
        <v>20.568958427802901</v>
      </c>
      <c r="BC1727" s="2">
        <v>18.441924085036401</v>
      </c>
      <c r="BD1727" s="2">
        <v>18.061729427433999</v>
      </c>
      <c r="BE1727" s="2">
        <v>16.5098229325713</v>
      </c>
      <c r="BF1727" s="2">
        <v>19.2344494614157</v>
      </c>
      <c r="BG1727" s="2">
        <v>14.1703789030803</v>
      </c>
      <c r="BH1727" s="2">
        <v>16.719622378940802</v>
      </c>
      <c r="BI1727" s="2">
        <v>15.0476083369963</v>
      </c>
      <c r="BJ1727" s="2">
        <v>15.5232535004653</v>
      </c>
      <c r="BK1727" s="2">
        <v>13.284796633825099</v>
      </c>
      <c r="BL1727" s="2">
        <v>21.4229747841771</v>
      </c>
      <c r="BM1727" s="2">
        <v>20.2482808260939</v>
      </c>
      <c r="BN1727" s="2">
        <v>19.948299167295001</v>
      </c>
      <c r="BO1727" s="2">
        <v>22.3874247840644</v>
      </c>
      <c r="BP1727" s="2">
        <v>17.705934851871799</v>
      </c>
      <c r="BQ1727" s="2">
        <v>20.785699276764799</v>
      </c>
      <c r="BR1727" s="2">
        <v>22.8818334613999</v>
      </c>
      <c r="BS1727" s="2">
        <v>20.8670252167462</v>
      </c>
      <c r="BT1727" s="2">
        <v>17.326452924406102</v>
      </c>
      <c r="BU1727" s="2">
        <v>21.664999082225201</v>
      </c>
      <c r="BV1727" s="2">
        <v>23.395794859642901</v>
      </c>
      <c r="BW1727" s="2">
        <v>22.664259994402698</v>
      </c>
      <c r="BX1727" s="2">
        <v>22.311539691737099</v>
      </c>
      <c r="BY1727" s="2">
        <v>16.741779934906798</v>
      </c>
      <c r="BZ1727" s="2">
        <v>17.801003193167201</v>
      </c>
      <c r="CA1727" s="2">
        <v>21.660480251402198</v>
      </c>
      <c r="CB1727" s="2">
        <v>19.453369031306401</v>
      </c>
      <c r="CC1727" s="2">
        <v>15.3781265000534</v>
      </c>
      <c r="CD1727" s="2">
        <v>11.7056496650429</v>
      </c>
      <c r="CE1727" s="2">
        <v>14.798707708219901</v>
      </c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</row>
    <row r="1728" spans="1:97">
      <c r="A1728" s="2" t="s">
        <v>15232</v>
      </c>
      <c r="B1728" s="2">
        <v>462.35545000000002</v>
      </c>
      <c r="C1728" s="2">
        <v>10.268000000000001</v>
      </c>
      <c r="D1728" s="2" t="s">
        <v>84</v>
      </c>
      <c r="E1728" s="2" t="s">
        <v>15233</v>
      </c>
      <c r="F1728" s="2" t="s">
        <v>15234</v>
      </c>
      <c r="G1728" s="2">
        <v>44074</v>
      </c>
      <c r="H1728" s="3" t="str">
        <f>HYPERLINK("https://cloud.oebiotech.com/#/lm/network/44074", "https://cloud.oebiotech.com/#/lm/network/44074")</f>
        <v>https://cloud.oebiotech.com/#/lm/network/44074</v>
      </c>
      <c r="I1728" s="2"/>
      <c r="J1728" s="2">
        <v>84045</v>
      </c>
      <c r="K1728" s="2" t="s">
        <v>15235</v>
      </c>
      <c r="L1728" s="2">
        <v>16733530</v>
      </c>
      <c r="M1728" s="2"/>
      <c r="N1728" s="2"/>
      <c r="O1728" s="2"/>
      <c r="P1728" s="2"/>
      <c r="Q1728" s="2"/>
      <c r="R1728" s="2"/>
      <c r="S1728" s="2"/>
      <c r="T1728" s="2" t="s">
        <v>15236</v>
      </c>
      <c r="U1728" s="2" t="s">
        <v>15237</v>
      </c>
      <c r="V1728" s="2" t="s">
        <v>95</v>
      </c>
      <c r="W1728" s="2" t="s">
        <v>152</v>
      </c>
      <c r="X1728" s="2" t="s">
        <v>7803</v>
      </c>
      <c r="Y1728" s="2" t="s">
        <v>98</v>
      </c>
      <c r="Z1728" s="2" t="s">
        <v>154</v>
      </c>
      <c r="AA1728" s="2" t="s">
        <v>7804</v>
      </c>
      <c r="AB1728" s="2" t="s">
        <v>8443</v>
      </c>
      <c r="AC1728" s="2">
        <v>41.05</v>
      </c>
      <c r="AD1728" s="2">
        <v>80.42</v>
      </c>
      <c r="AE1728" s="2">
        <v>0</v>
      </c>
      <c r="AF1728" s="2" t="s">
        <v>5614</v>
      </c>
      <c r="AG1728" s="2" t="s">
        <v>132</v>
      </c>
      <c r="AH1728" s="2" t="s">
        <v>15238</v>
      </c>
      <c r="AI1728" s="2">
        <v>4.97</v>
      </c>
      <c r="AJ1728" s="2">
        <v>19.338001814560201</v>
      </c>
      <c r="AK1728" s="2">
        <v>19.3753641378322</v>
      </c>
      <c r="AL1728" s="2">
        <v>19.3654835150178</v>
      </c>
      <c r="AM1728" s="2">
        <v>19.224524491381999</v>
      </c>
      <c r="AN1728" s="2">
        <v>19.140237319761901</v>
      </c>
      <c r="AO1728" s="2">
        <v>19.123879130462399</v>
      </c>
      <c r="AP1728" s="2">
        <v>19.301978639604201</v>
      </c>
      <c r="AQ1728" s="2">
        <v>19.394892475633199</v>
      </c>
      <c r="AR1728" s="2">
        <v>19.2521209932085</v>
      </c>
      <c r="AS1728" s="2">
        <v>19.419485604839601</v>
      </c>
      <c r="AT1728" s="2">
        <v>19.5235734606036</v>
      </c>
      <c r="AU1728" s="2">
        <v>19.129902490051499</v>
      </c>
      <c r="AV1728" s="2">
        <v>19.113474504527002</v>
      </c>
      <c r="AW1728" s="2">
        <v>19.617905255315801</v>
      </c>
      <c r="AX1728" s="2">
        <v>19.117661666553801</v>
      </c>
      <c r="AY1728" s="2">
        <v>18.934080680993802</v>
      </c>
      <c r="AZ1728" s="2">
        <v>19.415921095636801</v>
      </c>
      <c r="BA1728" s="2">
        <v>19.3040298446296</v>
      </c>
      <c r="BB1728" s="2">
        <v>19.477776089776299</v>
      </c>
      <c r="BC1728" s="2">
        <v>19.256288242656399</v>
      </c>
      <c r="BD1728" s="2">
        <v>19.480585864246599</v>
      </c>
      <c r="BE1728" s="2">
        <v>19.2866602713246</v>
      </c>
      <c r="BF1728" s="2">
        <v>19.243680371351299</v>
      </c>
      <c r="BG1728" s="2">
        <v>19.672224113362599</v>
      </c>
      <c r="BH1728" s="2">
        <v>19.2229388020694</v>
      </c>
      <c r="BI1728" s="2">
        <v>19.332605978381299</v>
      </c>
      <c r="BJ1728" s="2">
        <v>19.3872162924206</v>
      </c>
      <c r="BK1728" s="2">
        <v>19.3034303577261</v>
      </c>
      <c r="BL1728" s="2">
        <v>19.193064603012399</v>
      </c>
      <c r="BM1728" s="2">
        <v>18.947362611487801</v>
      </c>
      <c r="BN1728" s="2">
        <v>19.286055552767799</v>
      </c>
      <c r="BO1728" s="2">
        <v>19.244384811395602</v>
      </c>
      <c r="BP1728" s="2">
        <v>19.3479380132671</v>
      </c>
      <c r="BQ1728" s="2">
        <v>19.138216418925499</v>
      </c>
      <c r="BR1728" s="2">
        <v>19.189454535191501</v>
      </c>
      <c r="BS1728" s="2">
        <v>19.145214544336799</v>
      </c>
      <c r="BT1728" s="2">
        <v>19.1148371687656</v>
      </c>
      <c r="BU1728" s="2">
        <v>19.083584165110299</v>
      </c>
      <c r="BV1728" s="2">
        <v>19.203689607426199</v>
      </c>
      <c r="BW1728" s="2">
        <v>19.680545250440101</v>
      </c>
      <c r="BX1728" s="2">
        <v>19.290067121709999</v>
      </c>
      <c r="BY1728" s="2">
        <v>19.603668520280898</v>
      </c>
      <c r="BZ1728" s="2">
        <v>19.285348233291899</v>
      </c>
      <c r="CA1728" s="2">
        <v>18.916070192411802</v>
      </c>
      <c r="CB1728" s="2">
        <v>19.093401728081901</v>
      </c>
      <c r="CC1728" s="2">
        <v>19.337619963961998</v>
      </c>
      <c r="CD1728" s="2">
        <v>19.389528791280298</v>
      </c>
      <c r="CE1728" s="2">
        <v>19.5117216580331</v>
      </c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</row>
    <row r="1729" spans="1:97">
      <c r="A1729" s="2" t="s">
        <v>15239</v>
      </c>
      <c r="B1729" s="2">
        <v>360.06718000000001</v>
      </c>
      <c r="C1729" s="2">
        <v>1.1040000000000001</v>
      </c>
      <c r="D1729" s="2" t="s">
        <v>146</v>
      </c>
      <c r="E1729" s="2" t="s">
        <v>15240</v>
      </c>
      <c r="F1729" s="2" t="s">
        <v>15241</v>
      </c>
      <c r="G1729" s="2">
        <v>199097</v>
      </c>
      <c r="H1729" s="3" t="str">
        <f>HYPERLINK("https://cloud.oebiotech.com/#/lm/network/199097", "https://cloud.oebiotech.com/#/lm/network/199097")</f>
        <v>https://cloud.oebiotech.com/#/lm/network/199097</v>
      </c>
      <c r="I1729" s="2" t="s">
        <v>15242</v>
      </c>
      <c r="J1729" s="2"/>
      <c r="K1729" s="2"/>
      <c r="L1729" s="2">
        <v>4603312</v>
      </c>
      <c r="M1729" s="2"/>
      <c r="N1729" s="2"/>
      <c r="O1729" s="2"/>
      <c r="P1729" s="2"/>
      <c r="Q1729" s="2"/>
      <c r="R1729" s="2"/>
      <c r="S1729" s="2"/>
      <c r="T1729" s="2" t="s">
        <v>15243</v>
      </c>
      <c r="U1729" s="2" t="s">
        <v>15244</v>
      </c>
      <c r="V1729" s="2" t="s">
        <v>338</v>
      </c>
      <c r="W1729" s="2" t="s">
        <v>339</v>
      </c>
      <c r="X1729" s="2" t="s">
        <v>663</v>
      </c>
      <c r="Y1729" s="2" t="s">
        <v>341</v>
      </c>
      <c r="Z1729" s="2" t="s">
        <v>341</v>
      </c>
      <c r="AA1729" s="2" t="s">
        <v>664</v>
      </c>
      <c r="AB1729" s="2" t="s">
        <v>5118</v>
      </c>
      <c r="AC1729" s="2">
        <v>41.02</v>
      </c>
      <c r="AD1729" s="2">
        <v>73.599999999999994</v>
      </c>
      <c r="AE1729" s="2">
        <v>50.07</v>
      </c>
      <c r="AF1729" s="2" t="s">
        <v>15245</v>
      </c>
      <c r="AG1729" s="2" t="s">
        <v>4062</v>
      </c>
      <c r="AH1729" s="2" t="s">
        <v>15246</v>
      </c>
      <c r="AI1729" s="2">
        <v>8.61</v>
      </c>
      <c r="AJ1729" s="2">
        <v>18.913722528139601</v>
      </c>
      <c r="AK1729" s="2">
        <v>18.892230738907301</v>
      </c>
      <c r="AL1729" s="2">
        <v>18.815531463173201</v>
      </c>
      <c r="AM1729" s="2">
        <v>18.801515917285801</v>
      </c>
      <c r="AN1729" s="2">
        <v>19.002729546401</v>
      </c>
      <c r="AO1729" s="2">
        <v>19.013817762392101</v>
      </c>
      <c r="AP1729" s="2">
        <v>18.632364753343602</v>
      </c>
      <c r="AQ1729" s="2">
        <v>18.8485644752311</v>
      </c>
      <c r="AR1729" s="2">
        <v>18.4210798968573</v>
      </c>
      <c r="AS1729" s="2">
        <v>17.914008991964099</v>
      </c>
      <c r="AT1729" s="2">
        <v>18.3881030353383</v>
      </c>
      <c r="AU1729" s="2">
        <v>18.276066730860101</v>
      </c>
      <c r="AV1729" s="2">
        <v>18.4916065992157</v>
      </c>
      <c r="AW1729" s="2">
        <v>18.699169573735599</v>
      </c>
      <c r="AX1729" s="2">
        <v>18.410513461050598</v>
      </c>
      <c r="AY1729" s="2">
        <v>18.5741836831317</v>
      </c>
      <c r="AZ1729" s="2">
        <v>18.452293934265299</v>
      </c>
      <c r="BA1729" s="2">
        <v>17.996094868426301</v>
      </c>
      <c r="BB1729" s="2">
        <v>19.002642616387998</v>
      </c>
      <c r="BC1729" s="2">
        <v>18.312380942707801</v>
      </c>
      <c r="BD1729" s="2">
        <v>17.6711146938521</v>
      </c>
      <c r="BE1729" s="2">
        <v>18.560881503353599</v>
      </c>
      <c r="BF1729" s="2">
        <v>18.827756051432001</v>
      </c>
      <c r="BG1729" s="2">
        <v>19.0435441371373</v>
      </c>
      <c r="BH1729" s="2">
        <v>18.807686757339098</v>
      </c>
      <c r="BI1729" s="2">
        <v>18.564031526202399</v>
      </c>
      <c r="BJ1729" s="2">
        <v>19.0765634895304</v>
      </c>
      <c r="BK1729" s="2">
        <v>18.5541230211151</v>
      </c>
      <c r="BL1729" s="2">
        <v>18.261816070929299</v>
      </c>
      <c r="BM1729" s="2">
        <v>18.853853052953301</v>
      </c>
      <c r="BN1729" s="2">
        <v>18.88862875041</v>
      </c>
      <c r="BO1729" s="2">
        <v>18.1222392021294</v>
      </c>
      <c r="BP1729" s="2">
        <v>18.639695261658598</v>
      </c>
      <c r="BQ1729" s="2">
        <v>19.0521835154325</v>
      </c>
      <c r="BR1729" s="2">
        <v>18.264706071440798</v>
      </c>
      <c r="BS1729" s="2">
        <v>18.877059084354599</v>
      </c>
      <c r="BT1729" s="2">
        <v>17.3529792148294</v>
      </c>
      <c r="BU1729" s="2">
        <v>18.829219134493201</v>
      </c>
      <c r="BV1729" s="2">
        <v>18.870170925101402</v>
      </c>
      <c r="BW1729" s="2">
        <v>17.768301748363701</v>
      </c>
      <c r="BX1729" s="2">
        <v>17.842898322006199</v>
      </c>
      <c r="BY1729" s="2">
        <v>18.779515397462099</v>
      </c>
      <c r="BZ1729" s="2">
        <v>18.882554633344999</v>
      </c>
      <c r="CA1729" s="2">
        <v>19.535971105344998</v>
      </c>
      <c r="CB1729" s="2">
        <v>18.242535195455101</v>
      </c>
      <c r="CC1729" s="2">
        <v>18.3725088218957</v>
      </c>
      <c r="CD1729" s="2">
        <v>19.1996635512781</v>
      </c>
      <c r="CE1729" s="2">
        <v>18.3862641182264</v>
      </c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</row>
    <row r="1730" spans="1:97">
      <c r="A1730" s="2" t="s">
        <v>15247</v>
      </c>
      <c r="B1730" s="2">
        <v>536.97937999999999</v>
      </c>
      <c r="C1730" s="2">
        <v>5.4859999999999998</v>
      </c>
      <c r="D1730" s="2" t="s">
        <v>146</v>
      </c>
      <c r="E1730" s="2" t="s">
        <v>15248</v>
      </c>
      <c r="F1730" s="2" t="s">
        <v>15249</v>
      </c>
      <c r="G1730" s="2">
        <v>48126</v>
      </c>
      <c r="H1730" s="3" t="str">
        <f>HYPERLINK("https://cloud.oebiotech.com/#/lm/network/48126", "https://cloud.oebiotech.com/#/lm/network/48126")</f>
        <v>https://cloud.oebiotech.com/#/lm/network/48126</v>
      </c>
      <c r="I1730" s="2" t="s">
        <v>15250</v>
      </c>
      <c r="J1730" s="2">
        <v>58160</v>
      </c>
      <c r="K1730" s="2"/>
      <c r="L1730" s="2">
        <v>146302</v>
      </c>
      <c r="M1730" s="2" t="s">
        <v>15251</v>
      </c>
      <c r="N1730" s="2" t="s">
        <v>811</v>
      </c>
      <c r="O1730" s="2" t="s">
        <v>812</v>
      </c>
      <c r="P1730" s="2">
        <v>28807</v>
      </c>
      <c r="Q1730" s="2"/>
      <c r="R1730" s="2"/>
      <c r="S1730" s="2" t="s">
        <v>15252</v>
      </c>
      <c r="T1730" s="2" t="s">
        <v>15253</v>
      </c>
      <c r="U1730" s="2" t="s">
        <v>15254</v>
      </c>
      <c r="V1730" s="2" t="s">
        <v>818</v>
      </c>
      <c r="W1730" s="2" t="s">
        <v>9642</v>
      </c>
      <c r="X1730" s="2" t="s">
        <v>15255</v>
      </c>
      <c r="Y1730" s="2" t="s">
        <v>820</v>
      </c>
      <c r="Z1730" s="2" t="s">
        <v>9644</v>
      </c>
      <c r="AA1730" s="2" t="s">
        <v>15256</v>
      </c>
      <c r="AB1730" s="2" t="s">
        <v>5118</v>
      </c>
      <c r="AC1730" s="2">
        <v>41</v>
      </c>
      <c r="AD1730" s="2">
        <v>94.56</v>
      </c>
      <c r="AE1730" s="2">
        <v>50.8</v>
      </c>
      <c r="AF1730" s="2" t="s">
        <v>15257</v>
      </c>
      <c r="AG1730" s="2" t="s">
        <v>157</v>
      </c>
      <c r="AH1730" s="2" t="s">
        <v>15258</v>
      </c>
      <c r="AI1730" s="2">
        <v>6.7</v>
      </c>
      <c r="AJ1730" s="2">
        <v>18.824169550864301</v>
      </c>
      <c r="AK1730" s="2">
        <v>18.884818787095099</v>
      </c>
      <c r="AL1730" s="2">
        <v>18.6157681299639</v>
      </c>
      <c r="AM1730" s="2">
        <v>18.699959263616201</v>
      </c>
      <c r="AN1730" s="2">
        <v>19.003346749914801</v>
      </c>
      <c r="AO1730" s="2">
        <v>18.694366967976499</v>
      </c>
      <c r="AP1730" s="2">
        <v>18.7521423338994</v>
      </c>
      <c r="AQ1730" s="2">
        <v>18.870560354252401</v>
      </c>
      <c r="AR1730" s="2">
        <v>18.824983718063802</v>
      </c>
      <c r="AS1730" s="2">
        <v>18.819077057915599</v>
      </c>
      <c r="AT1730" s="2">
        <v>18.8992994748053</v>
      </c>
      <c r="AU1730" s="2">
        <v>18.816069403536702</v>
      </c>
      <c r="AV1730" s="2">
        <v>18.966606752659199</v>
      </c>
      <c r="AW1730" s="2">
        <v>18.708311801348199</v>
      </c>
      <c r="AX1730" s="2">
        <v>18.992832866648801</v>
      </c>
      <c r="AY1730" s="2">
        <v>18.7647171560617</v>
      </c>
      <c r="AZ1730" s="2">
        <v>18.575645896912299</v>
      </c>
      <c r="BA1730" s="2">
        <v>18.721120689019202</v>
      </c>
      <c r="BB1730" s="2">
        <v>18.821591609755799</v>
      </c>
      <c r="BC1730" s="2">
        <v>18.7243738574265</v>
      </c>
      <c r="BD1730" s="2">
        <v>18.836033059927399</v>
      </c>
      <c r="BE1730" s="2">
        <v>18.7191658895259</v>
      </c>
      <c r="BF1730" s="2">
        <v>18.984812975227701</v>
      </c>
      <c r="BG1730" s="2">
        <v>18.722979921326299</v>
      </c>
      <c r="BH1730" s="2">
        <v>18.950762366405598</v>
      </c>
      <c r="BI1730" s="2">
        <v>18.684629742185599</v>
      </c>
      <c r="BJ1730" s="2">
        <v>18.468138478615899</v>
      </c>
      <c r="BK1730" s="2">
        <v>18.846143960824701</v>
      </c>
      <c r="BL1730" s="2">
        <v>18.9078282832754</v>
      </c>
      <c r="BM1730" s="2">
        <v>18.730308790871099</v>
      </c>
      <c r="BN1730" s="2">
        <v>18.969244544035099</v>
      </c>
      <c r="BO1730" s="2">
        <v>18.997365987196599</v>
      </c>
      <c r="BP1730" s="2">
        <v>18.802045030559</v>
      </c>
      <c r="BQ1730" s="2">
        <v>18.798127204874799</v>
      </c>
      <c r="BR1730" s="2">
        <v>18.465406257664299</v>
      </c>
      <c r="BS1730" s="2">
        <v>18.667133480954401</v>
      </c>
      <c r="BT1730" s="2">
        <v>18.712111866317802</v>
      </c>
      <c r="BU1730" s="2">
        <v>18.772421867282301</v>
      </c>
      <c r="BV1730" s="2">
        <v>18.590643623362102</v>
      </c>
      <c r="BW1730" s="2">
        <v>18.6671559393669</v>
      </c>
      <c r="BX1730" s="2">
        <v>18.350080522175301</v>
      </c>
      <c r="BY1730" s="2">
        <v>18.282083196535599</v>
      </c>
      <c r="BZ1730" s="2">
        <v>18.718978666043501</v>
      </c>
      <c r="CA1730" s="2">
        <v>18.660709978732601</v>
      </c>
      <c r="CB1730" s="2">
        <v>18.369603054209101</v>
      </c>
      <c r="CC1730" s="2">
        <v>18.673444453008901</v>
      </c>
      <c r="CD1730" s="2">
        <v>18.5434779853192</v>
      </c>
      <c r="CE1730" s="2">
        <v>18.728305652579898</v>
      </c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</row>
    <row r="1731" spans="1:97">
      <c r="A1731" s="2" t="s">
        <v>15259</v>
      </c>
      <c r="B1731" s="2">
        <v>317.22449999999998</v>
      </c>
      <c r="C1731" s="2">
        <v>13.691000000000001</v>
      </c>
      <c r="D1731" s="2" t="s">
        <v>146</v>
      </c>
      <c r="E1731" s="2" t="s">
        <v>15260</v>
      </c>
      <c r="F1731" s="2" t="s">
        <v>15261</v>
      </c>
      <c r="G1731" s="2">
        <v>2451</v>
      </c>
      <c r="H1731" s="3" t="str">
        <f>HYPERLINK("https://cloud.oebiotech.com/#/lm/network/2451", "https://cloud.oebiotech.com/#/lm/network/2451")</f>
        <v>https://cloud.oebiotech.com/#/lm/network/2451</v>
      </c>
      <c r="I1731" s="2" t="s">
        <v>15262</v>
      </c>
      <c r="J1731" s="2"/>
      <c r="K1731" s="2" t="s">
        <v>15263</v>
      </c>
      <c r="L1731" s="2">
        <v>13059777</v>
      </c>
      <c r="M1731" s="2"/>
      <c r="N1731" s="2"/>
      <c r="O1731" s="2"/>
      <c r="P1731" s="2"/>
      <c r="Q1731" s="2"/>
      <c r="R1731" s="2"/>
      <c r="S1731" s="2"/>
      <c r="T1731" s="2" t="s">
        <v>15264</v>
      </c>
      <c r="U1731" s="2" t="s">
        <v>15265</v>
      </c>
      <c r="V1731" s="2" t="s">
        <v>95</v>
      </c>
      <c r="W1731" s="2" t="s">
        <v>96</v>
      </c>
      <c r="X1731" s="2" t="s">
        <v>141</v>
      </c>
      <c r="Y1731" s="2" t="s">
        <v>98</v>
      </c>
      <c r="Z1731" s="2" t="s">
        <v>99</v>
      </c>
      <c r="AA1731" s="2" t="s">
        <v>142</v>
      </c>
      <c r="AB1731" s="2" t="s">
        <v>8443</v>
      </c>
      <c r="AC1731" s="2">
        <v>40.98</v>
      </c>
      <c r="AD1731" s="2">
        <v>69.33</v>
      </c>
      <c r="AE1731" s="2">
        <v>0</v>
      </c>
      <c r="AF1731" s="2" t="s">
        <v>15266</v>
      </c>
      <c r="AG1731" s="2" t="s">
        <v>194</v>
      </c>
      <c r="AH1731" s="2" t="s">
        <v>15267</v>
      </c>
      <c r="AI1731" s="2">
        <v>2.52</v>
      </c>
      <c r="AJ1731" s="2">
        <v>18.702526739768</v>
      </c>
      <c r="AK1731" s="2">
        <v>17.899091763215999</v>
      </c>
      <c r="AL1731" s="2">
        <v>18.0356393192939</v>
      </c>
      <c r="AM1731" s="2">
        <v>17.804763902114299</v>
      </c>
      <c r="AN1731" s="2">
        <v>18.111304420465402</v>
      </c>
      <c r="AO1731" s="2">
        <v>17.679587170554701</v>
      </c>
      <c r="AP1731" s="2">
        <v>17.8374474002248</v>
      </c>
      <c r="AQ1731" s="2">
        <v>18.199678047442202</v>
      </c>
      <c r="AR1731" s="2">
        <v>15.960189318162101</v>
      </c>
      <c r="AS1731" s="2">
        <v>17.2320926894593</v>
      </c>
      <c r="AT1731" s="2">
        <v>19.679545954639298</v>
      </c>
      <c r="AU1731" s="2">
        <v>16.925532071436699</v>
      </c>
      <c r="AV1731" s="2">
        <v>16.562172052954999</v>
      </c>
      <c r="AW1731" s="2">
        <v>16.3821003129292</v>
      </c>
      <c r="AX1731" s="2">
        <v>18.8449399002007</v>
      </c>
      <c r="AY1731" s="2">
        <v>16.579102876808399</v>
      </c>
      <c r="AZ1731" s="2">
        <v>15.140756292405101</v>
      </c>
      <c r="BA1731" s="2">
        <v>18.620501287993999</v>
      </c>
      <c r="BB1731" s="2">
        <v>17.111045478593802</v>
      </c>
      <c r="BC1731" s="2">
        <v>20.4728468092047</v>
      </c>
      <c r="BD1731" s="2">
        <v>12.863543599826</v>
      </c>
      <c r="BE1731" s="2">
        <v>15.605193879227301</v>
      </c>
      <c r="BF1731" s="2">
        <v>16.962877935396399</v>
      </c>
      <c r="BG1731" s="2">
        <v>18.361029595156701</v>
      </c>
      <c r="BH1731" s="2">
        <v>15.225805799269599</v>
      </c>
      <c r="BI1731" s="2">
        <v>18.5874732243438</v>
      </c>
      <c r="BJ1731" s="2">
        <v>16.9822769273928</v>
      </c>
      <c r="BK1731" s="2">
        <v>15.6147029434528</v>
      </c>
      <c r="BL1731" s="2">
        <v>19.079057342314801</v>
      </c>
      <c r="BM1731" s="2">
        <v>17.199580716683599</v>
      </c>
      <c r="BN1731" s="2">
        <v>17.126443843961098</v>
      </c>
      <c r="BO1731" s="2">
        <v>18.199177282323902</v>
      </c>
      <c r="BP1731" s="2">
        <v>18.692948112704698</v>
      </c>
      <c r="BQ1731" s="2">
        <v>18.4661498468869</v>
      </c>
      <c r="BR1731" s="2">
        <v>18.3017983919367</v>
      </c>
      <c r="BS1731" s="2">
        <v>15.9128972867448</v>
      </c>
      <c r="BT1731" s="2">
        <v>17.614438105592001</v>
      </c>
      <c r="BU1731" s="2">
        <v>18.846276023523298</v>
      </c>
      <c r="BV1731" s="2">
        <v>18.1205357244766</v>
      </c>
      <c r="BW1731" s="2">
        <v>17.160266262261</v>
      </c>
      <c r="BX1731" s="2">
        <v>17.501494193135599</v>
      </c>
      <c r="BY1731" s="2">
        <v>15.4608398130301</v>
      </c>
      <c r="BZ1731" s="2">
        <v>18.887331714990399</v>
      </c>
      <c r="CA1731" s="2">
        <v>17.1676099370363</v>
      </c>
      <c r="CB1731" s="2">
        <v>17.7996691621995</v>
      </c>
      <c r="CC1731" s="2">
        <v>18.268239838595701</v>
      </c>
      <c r="CD1731" s="2">
        <v>17.713383292713999</v>
      </c>
      <c r="CE1731" s="2">
        <v>19.2790323589095</v>
      </c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</row>
    <row r="1732" spans="1:97">
      <c r="A1732" s="2" t="s">
        <v>15268</v>
      </c>
      <c r="B1732" s="2">
        <v>272.05360000000002</v>
      </c>
      <c r="C1732" s="2">
        <v>5.0380000000000003</v>
      </c>
      <c r="D1732" s="2" t="s">
        <v>146</v>
      </c>
      <c r="E1732" s="2" t="s">
        <v>15269</v>
      </c>
      <c r="F1732" s="2" t="s">
        <v>15270</v>
      </c>
      <c r="G1732" s="2">
        <v>52411</v>
      </c>
      <c r="H1732" s="3" t="str">
        <f>HYPERLINK("https://cloud.oebiotech.com/#/lm/network/52411", "https://cloud.oebiotech.com/#/lm/network/52411")</f>
        <v>https://cloud.oebiotech.com/#/lm/network/52411</v>
      </c>
      <c r="I1732" s="2" t="s">
        <v>15271</v>
      </c>
      <c r="J1732" s="2"/>
      <c r="K1732" s="2"/>
      <c r="L1732" s="2">
        <v>53481912</v>
      </c>
      <c r="M1732" s="2"/>
      <c r="N1732" s="2"/>
      <c r="O1732" s="2"/>
      <c r="P1732" s="2">
        <v>169109</v>
      </c>
      <c r="Q1732" s="2"/>
      <c r="R1732" s="2"/>
      <c r="S1732" s="2"/>
      <c r="T1732" s="2" t="s">
        <v>15272</v>
      </c>
      <c r="U1732" s="2" t="s">
        <v>15273</v>
      </c>
      <c r="V1732" s="2" t="s">
        <v>95</v>
      </c>
      <c r="W1732" s="2" t="s">
        <v>96</v>
      </c>
      <c r="X1732" s="2" t="s">
        <v>141</v>
      </c>
      <c r="Y1732" s="2" t="s">
        <v>98</v>
      </c>
      <c r="Z1732" s="2" t="s">
        <v>99</v>
      </c>
      <c r="AA1732" s="2" t="s">
        <v>142</v>
      </c>
      <c r="AB1732" s="2" t="s">
        <v>5118</v>
      </c>
      <c r="AC1732" s="2">
        <v>40.96</v>
      </c>
      <c r="AD1732" s="2">
        <v>73.260000000000005</v>
      </c>
      <c r="AE1732" s="2">
        <v>68.23</v>
      </c>
      <c r="AF1732" s="2" t="s">
        <v>15274</v>
      </c>
      <c r="AG1732" s="2" t="s">
        <v>4062</v>
      </c>
      <c r="AH1732" s="2" t="s">
        <v>15275</v>
      </c>
      <c r="AI1732" s="2">
        <v>5.51</v>
      </c>
      <c r="AJ1732" s="2">
        <v>20.6516480471374</v>
      </c>
      <c r="AK1732" s="2">
        <v>20.714811642910401</v>
      </c>
      <c r="AL1732" s="2">
        <v>20.6718577669069</v>
      </c>
      <c r="AM1732" s="2">
        <v>20.779495575611001</v>
      </c>
      <c r="AN1732" s="2">
        <v>20.5165560188358</v>
      </c>
      <c r="AO1732" s="2">
        <v>20.640885120382599</v>
      </c>
      <c r="AP1732" s="2">
        <v>20.671939921229001</v>
      </c>
      <c r="AQ1732" s="2">
        <v>20.555650265332901</v>
      </c>
      <c r="AR1732" s="2">
        <v>19.997563191683199</v>
      </c>
      <c r="AS1732" s="2">
        <v>19.9016411756716</v>
      </c>
      <c r="AT1732" s="2">
        <v>19.351286376288002</v>
      </c>
      <c r="AU1732" s="2">
        <v>19.7958347913616</v>
      </c>
      <c r="AV1732" s="2">
        <v>20.2535308152843</v>
      </c>
      <c r="AW1732" s="2">
        <v>20.3495054012811</v>
      </c>
      <c r="AX1732" s="2">
        <v>20.0122749492369</v>
      </c>
      <c r="AY1732" s="2">
        <v>19.6854424348785</v>
      </c>
      <c r="AZ1732" s="2">
        <v>20.3928652522027</v>
      </c>
      <c r="BA1732" s="2">
        <v>19.908580102767299</v>
      </c>
      <c r="BB1732" s="2">
        <v>20.500667144287501</v>
      </c>
      <c r="BC1732" s="2">
        <v>20.5024278227277</v>
      </c>
      <c r="BD1732" s="2">
        <v>20.0328441145871</v>
      </c>
      <c r="BE1732" s="2">
        <v>20.8893170609335</v>
      </c>
      <c r="BF1732" s="2">
        <v>20.365140318764301</v>
      </c>
      <c r="BG1732" s="2">
        <v>21.389768602879901</v>
      </c>
      <c r="BH1732" s="2">
        <v>20.155694352803899</v>
      </c>
      <c r="BI1732" s="2">
        <v>20.940958405451202</v>
      </c>
      <c r="BJ1732" s="2">
        <v>20.175677787906899</v>
      </c>
      <c r="BK1732" s="2">
        <v>20.879236753184799</v>
      </c>
      <c r="BL1732" s="2">
        <v>20.411601424635901</v>
      </c>
      <c r="BM1732" s="2">
        <v>20.296215280293701</v>
      </c>
      <c r="BN1732" s="2">
        <v>20.151007022402801</v>
      </c>
      <c r="BO1732" s="2">
        <v>20.6775537573366</v>
      </c>
      <c r="BP1732" s="2">
        <v>20.548776951447401</v>
      </c>
      <c r="BQ1732" s="2">
        <v>20.652720653509501</v>
      </c>
      <c r="BR1732" s="2">
        <v>20.670484891247099</v>
      </c>
      <c r="BS1732" s="2">
        <v>20.278730787448701</v>
      </c>
      <c r="BT1732" s="2">
        <v>20.204543097675501</v>
      </c>
      <c r="BU1732" s="2">
        <v>20.3334351555119</v>
      </c>
      <c r="BV1732" s="2">
        <v>20.474691837920599</v>
      </c>
      <c r="BW1732" s="2">
        <v>19.0421534321097</v>
      </c>
      <c r="BX1732" s="2">
        <v>20.425340074242499</v>
      </c>
      <c r="BY1732" s="2">
        <v>21.508595728989501</v>
      </c>
      <c r="BZ1732" s="2">
        <v>20.405804088043102</v>
      </c>
      <c r="CA1732" s="2">
        <v>20.850786243482101</v>
      </c>
      <c r="CB1732" s="2">
        <v>20.375548491065199</v>
      </c>
      <c r="CC1732" s="2">
        <v>20.422921403612101</v>
      </c>
      <c r="CD1732" s="2">
        <v>20.920327898070799</v>
      </c>
      <c r="CE1732" s="2">
        <v>21.192773590553799</v>
      </c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</row>
    <row r="1733" spans="1:97">
      <c r="A1733" s="2" t="s">
        <v>15276</v>
      </c>
      <c r="B1733" s="2">
        <v>398.08256999999998</v>
      </c>
      <c r="C1733" s="2">
        <v>4.3129999999999997</v>
      </c>
      <c r="D1733" s="2" t="s">
        <v>146</v>
      </c>
      <c r="E1733" s="2" t="s">
        <v>15277</v>
      </c>
      <c r="F1733" s="2" t="s">
        <v>15278</v>
      </c>
      <c r="G1733" s="2">
        <v>212126</v>
      </c>
      <c r="H1733" s="3" t="str">
        <f>HYPERLINK("https://cloud.oebiotech.com/#/lm/network/212126", "https://cloud.oebiotech.com/#/lm/network/212126")</f>
        <v>https://cloud.oebiotech.com/#/lm/network/212126</v>
      </c>
      <c r="I1733" s="2" t="s">
        <v>15279</v>
      </c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 t="s">
        <v>15280</v>
      </c>
      <c r="U1733" s="2" t="s">
        <v>15281</v>
      </c>
      <c r="V1733" s="2" t="s">
        <v>553</v>
      </c>
      <c r="W1733" s="2" t="s">
        <v>933</v>
      </c>
      <c r="X1733" s="2" t="s">
        <v>9765</v>
      </c>
      <c r="Y1733" s="2" t="s">
        <v>556</v>
      </c>
      <c r="Z1733" s="2" t="s">
        <v>935</v>
      </c>
      <c r="AA1733" s="2" t="s">
        <v>9766</v>
      </c>
      <c r="AB1733" s="2" t="s">
        <v>8443</v>
      </c>
      <c r="AC1733" s="2">
        <v>40.93</v>
      </c>
      <c r="AD1733" s="2">
        <v>83.95</v>
      </c>
      <c r="AE1733" s="2">
        <v>35.29</v>
      </c>
      <c r="AF1733" s="2" t="s">
        <v>15282</v>
      </c>
      <c r="AG1733" s="2" t="s">
        <v>157</v>
      </c>
      <c r="AH1733" s="2" t="s">
        <v>15283</v>
      </c>
      <c r="AI1733" s="2">
        <v>-2.5099999999999998</v>
      </c>
      <c r="AJ1733" s="2">
        <v>17.373454927387499</v>
      </c>
      <c r="AK1733" s="2">
        <v>17.291911178588801</v>
      </c>
      <c r="AL1733" s="2">
        <v>17.334000169913701</v>
      </c>
      <c r="AM1733" s="2">
        <v>17.251271675505802</v>
      </c>
      <c r="AN1733" s="2">
        <v>17.051983684280401</v>
      </c>
      <c r="AO1733" s="2">
        <v>16.8061024864001</v>
      </c>
      <c r="AP1733" s="2">
        <v>17.2669369355702</v>
      </c>
      <c r="AQ1733" s="2">
        <v>17.160535919768598</v>
      </c>
      <c r="AR1733" s="2">
        <v>15.5053925881301</v>
      </c>
      <c r="AS1733" s="2">
        <v>13.442662339840901</v>
      </c>
      <c r="AT1733" s="2">
        <v>9.6233145402724691</v>
      </c>
      <c r="AU1733" s="2">
        <v>13.760105527910101</v>
      </c>
      <c r="AV1733" s="2">
        <v>18.095702926353901</v>
      </c>
      <c r="AW1733" s="2">
        <v>9.6233145402724691</v>
      </c>
      <c r="AX1733" s="2">
        <v>9.6233145402724691</v>
      </c>
      <c r="AY1733" s="2">
        <v>18.073135866003099</v>
      </c>
      <c r="AZ1733" s="2">
        <v>13.5380700770272</v>
      </c>
      <c r="BA1733" s="2">
        <v>13.049608647429</v>
      </c>
      <c r="BB1733" s="2">
        <v>16.692415128603301</v>
      </c>
      <c r="BC1733" s="2">
        <v>13.870845345195001</v>
      </c>
      <c r="BD1733" s="2">
        <v>16.195356057741002</v>
      </c>
      <c r="BE1733" s="2">
        <v>18.014418063576301</v>
      </c>
      <c r="BF1733" s="2">
        <v>16.7763309853047</v>
      </c>
      <c r="BG1733" s="2">
        <v>17.176953047245</v>
      </c>
      <c r="BH1733" s="2">
        <v>9.6233145402724691</v>
      </c>
      <c r="BI1733" s="2">
        <v>16.152073866009601</v>
      </c>
      <c r="BJ1733" s="2">
        <v>15.350400901209399</v>
      </c>
      <c r="BK1733" s="2">
        <v>15.053961083267801</v>
      </c>
      <c r="BL1733" s="2">
        <v>17.1101363173881</v>
      </c>
      <c r="BM1733" s="2">
        <v>16.994304042272201</v>
      </c>
      <c r="BN1733" s="2">
        <v>15.0408397892033</v>
      </c>
      <c r="BO1733" s="2">
        <v>9.6233145402724691</v>
      </c>
      <c r="BP1733" s="2">
        <v>15.011948771982301</v>
      </c>
      <c r="BQ1733" s="2">
        <v>17.1126376275318</v>
      </c>
      <c r="BR1733" s="2">
        <v>9.6233145402724691</v>
      </c>
      <c r="BS1733" s="2">
        <v>17.793585275478701</v>
      </c>
      <c r="BT1733" s="2">
        <v>9.6233145402724691</v>
      </c>
      <c r="BU1733" s="2">
        <v>17.264396324014701</v>
      </c>
      <c r="BV1733" s="2">
        <v>17.262242242680198</v>
      </c>
      <c r="BW1733" s="2">
        <v>9.6233145402724691</v>
      </c>
      <c r="BX1733" s="2">
        <v>16.2713587030408</v>
      </c>
      <c r="BY1733" s="2">
        <v>18.726878868429498</v>
      </c>
      <c r="BZ1733" s="2">
        <v>17.0583967260538</v>
      </c>
      <c r="CA1733" s="2">
        <v>17.105271686395302</v>
      </c>
      <c r="CB1733" s="2">
        <v>16.989923637873499</v>
      </c>
      <c r="CC1733" s="2">
        <v>9.6233145402724691</v>
      </c>
      <c r="CD1733" s="2">
        <v>17.145955722327201</v>
      </c>
      <c r="CE1733" s="2">
        <v>14.8138232692088</v>
      </c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</row>
    <row r="1734" spans="1:97">
      <c r="A1734" s="2" t="s">
        <v>15284</v>
      </c>
      <c r="B1734" s="2">
        <v>512.39688000000001</v>
      </c>
      <c r="C1734" s="2">
        <v>11.958</v>
      </c>
      <c r="D1734" s="2" t="s">
        <v>84</v>
      </c>
      <c r="E1734" s="2" t="s">
        <v>15285</v>
      </c>
      <c r="F1734" s="2" t="s">
        <v>15286</v>
      </c>
      <c r="G1734" s="2">
        <v>250269</v>
      </c>
      <c r="H1734" s="3" t="str">
        <f>HYPERLINK("https://cloud.oebiotech.com/#/lm/network/250269", "https://cloud.oebiotech.com/#/lm/network/250269")</f>
        <v>https://cloud.oebiotech.com/#/lm/network/250269</v>
      </c>
      <c r="I1734" s="2" t="s">
        <v>15287</v>
      </c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 t="s">
        <v>15288</v>
      </c>
      <c r="U1734" s="2" t="s">
        <v>15289</v>
      </c>
      <c r="V1734" s="2" t="s">
        <v>95</v>
      </c>
      <c r="W1734" s="2" t="s">
        <v>96</v>
      </c>
      <c r="X1734" s="2" t="s">
        <v>919</v>
      </c>
      <c r="Y1734" s="2" t="s">
        <v>98</v>
      </c>
      <c r="Z1734" s="2" t="s">
        <v>99</v>
      </c>
      <c r="AA1734" s="2" t="s">
        <v>920</v>
      </c>
      <c r="AB1734" s="2" t="s">
        <v>8443</v>
      </c>
      <c r="AC1734" s="2">
        <v>40.909999999999997</v>
      </c>
      <c r="AD1734" s="2">
        <v>80.2</v>
      </c>
      <c r="AE1734" s="2">
        <v>0</v>
      </c>
      <c r="AF1734" s="2" t="s">
        <v>5614</v>
      </c>
      <c r="AG1734" s="2" t="s">
        <v>132</v>
      </c>
      <c r="AH1734" s="2" t="s">
        <v>15290</v>
      </c>
      <c r="AI1734" s="2">
        <v>-4.49</v>
      </c>
      <c r="AJ1734" s="2">
        <v>18.625900188634599</v>
      </c>
      <c r="AK1734" s="2">
        <v>18.9107627256207</v>
      </c>
      <c r="AL1734" s="2">
        <v>19.119586150771699</v>
      </c>
      <c r="AM1734" s="2">
        <v>19.300949798137101</v>
      </c>
      <c r="AN1734" s="2">
        <v>19.291600563506002</v>
      </c>
      <c r="AO1734" s="2">
        <v>19.275368228390999</v>
      </c>
      <c r="AP1734" s="2">
        <v>18.453161496807301</v>
      </c>
      <c r="AQ1734" s="2">
        <v>19.3631044566221</v>
      </c>
      <c r="AR1734" s="2">
        <v>19.2818515348227</v>
      </c>
      <c r="AS1734" s="2">
        <v>17.718381829336199</v>
      </c>
      <c r="AT1734" s="2">
        <v>17.9447721034661</v>
      </c>
      <c r="AU1734" s="2">
        <v>17.6215938243989</v>
      </c>
      <c r="AV1734" s="2">
        <v>18.409852271182899</v>
      </c>
      <c r="AW1734" s="2">
        <v>17.8702998734346</v>
      </c>
      <c r="AX1734" s="2">
        <v>18.6182238840588</v>
      </c>
      <c r="AY1734" s="2">
        <v>18.290132768314098</v>
      </c>
      <c r="AZ1734" s="2">
        <v>19.0681328814889</v>
      </c>
      <c r="BA1734" s="2">
        <v>16.814365289311599</v>
      </c>
      <c r="BB1734" s="2">
        <v>18.476926252751099</v>
      </c>
      <c r="BC1734" s="2">
        <v>19.340521978684102</v>
      </c>
      <c r="BD1734" s="2">
        <v>17.964180649706002</v>
      </c>
      <c r="BE1734" s="2">
        <v>20.000014721639801</v>
      </c>
      <c r="BF1734" s="2">
        <v>17.863851662722102</v>
      </c>
      <c r="BG1734" s="2">
        <v>19.117220324160801</v>
      </c>
      <c r="BH1734" s="2">
        <v>18.784808373587101</v>
      </c>
      <c r="BI1734" s="2">
        <v>17.787677567000301</v>
      </c>
      <c r="BJ1734" s="2">
        <v>18.1597488179669</v>
      </c>
      <c r="BK1734" s="2">
        <v>18.092530463435299</v>
      </c>
      <c r="BL1734" s="2">
        <v>19.512466239979201</v>
      </c>
      <c r="BM1734" s="2">
        <v>19.269390689045299</v>
      </c>
      <c r="BN1734" s="2">
        <v>19.064451276978399</v>
      </c>
      <c r="BO1734" s="2">
        <v>19.0027174067265</v>
      </c>
      <c r="BP1734" s="2">
        <v>19.475945400668099</v>
      </c>
      <c r="BQ1734" s="2">
        <v>18.809935897556802</v>
      </c>
      <c r="BR1734" s="2">
        <v>18.674217100121702</v>
      </c>
      <c r="BS1734" s="2">
        <v>18.836159331192299</v>
      </c>
      <c r="BT1734" s="2">
        <v>19.372552968585399</v>
      </c>
      <c r="BU1734" s="2">
        <v>18.549254327120401</v>
      </c>
      <c r="BV1734" s="2">
        <v>19.777318749606899</v>
      </c>
      <c r="BW1734" s="2">
        <v>19.024247553584601</v>
      </c>
      <c r="BX1734" s="2">
        <v>18.460239738238901</v>
      </c>
      <c r="BY1734" s="2">
        <v>19.901721006539901</v>
      </c>
      <c r="BZ1734" s="2">
        <v>18.575587624404999</v>
      </c>
      <c r="CA1734" s="2">
        <v>19.497765508687699</v>
      </c>
      <c r="CB1734" s="2">
        <v>17.1183721371691</v>
      </c>
      <c r="CC1734" s="2">
        <v>17.4985970462442</v>
      </c>
      <c r="CD1734" s="2">
        <v>19.423732566916598</v>
      </c>
      <c r="CE1734" s="2">
        <v>18.544050690113501</v>
      </c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</row>
    <row r="1735" spans="1:97">
      <c r="A1735" s="2" t="s">
        <v>15291</v>
      </c>
      <c r="B1735" s="2">
        <v>256.05864000000003</v>
      </c>
      <c r="C1735" s="2">
        <v>6.25</v>
      </c>
      <c r="D1735" s="2" t="s">
        <v>146</v>
      </c>
      <c r="E1735" s="2" t="s">
        <v>15292</v>
      </c>
      <c r="F1735" s="2" t="s">
        <v>15293</v>
      </c>
      <c r="G1735" s="2">
        <v>209549</v>
      </c>
      <c r="H1735" s="3" t="str">
        <f>HYPERLINK("https://cloud.oebiotech.com/#/lm/network/209549", "https://cloud.oebiotech.com/#/lm/network/209549")</f>
        <v>https://cloud.oebiotech.com/#/lm/network/209549</v>
      </c>
      <c r="I1735" s="2" t="s">
        <v>15294</v>
      </c>
      <c r="J1735" s="2">
        <v>1521</v>
      </c>
      <c r="K1735" s="2"/>
      <c r="L1735" s="2">
        <v>47528</v>
      </c>
      <c r="M1735" s="2" t="s">
        <v>15295</v>
      </c>
      <c r="N1735" s="2"/>
      <c r="O1735" s="2"/>
      <c r="P1735" s="2">
        <v>31905</v>
      </c>
      <c r="Q1735" s="2"/>
      <c r="R1735" s="2"/>
      <c r="S1735" s="2" t="s">
        <v>15296</v>
      </c>
      <c r="T1735" s="2" t="s">
        <v>15297</v>
      </c>
      <c r="U1735" s="2" t="s">
        <v>15298</v>
      </c>
      <c r="V1735" s="2" t="s">
        <v>553</v>
      </c>
      <c r="W1735" s="2" t="s">
        <v>2447</v>
      </c>
      <c r="X1735" s="2" t="s">
        <v>2448</v>
      </c>
      <c r="Y1735" s="2" t="s">
        <v>556</v>
      </c>
      <c r="Z1735" s="2" t="s">
        <v>2449</v>
      </c>
      <c r="AA1735" s="2" t="s">
        <v>2450</v>
      </c>
      <c r="AB1735" s="2" t="s">
        <v>8443</v>
      </c>
      <c r="AC1735" s="2">
        <v>40.9</v>
      </c>
      <c r="AD1735" s="2">
        <v>93.59</v>
      </c>
      <c r="AE1735" s="2">
        <v>34.28</v>
      </c>
      <c r="AF1735" s="2" t="s">
        <v>15299</v>
      </c>
      <c r="AG1735" s="2" t="s">
        <v>157</v>
      </c>
      <c r="AH1735" s="2" t="s">
        <v>15300</v>
      </c>
      <c r="AI1735" s="2">
        <v>-4.3</v>
      </c>
      <c r="AJ1735" s="2">
        <v>17.620119356379199</v>
      </c>
      <c r="AK1735" s="2">
        <v>17.722134845854502</v>
      </c>
      <c r="AL1735" s="2">
        <v>17.957091042603501</v>
      </c>
      <c r="AM1735" s="2">
        <v>17.9106628718507</v>
      </c>
      <c r="AN1735" s="2">
        <v>17.7520926668595</v>
      </c>
      <c r="AO1735" s="2">
        <v>17.5976134439459</v>
      </c>
      <c r="AP1735" s="2">
        <v>17.539440332774902</v>
      </c>
      <c r="AQ1735" s="2">
        <v>17.5205181659449</v>
      </c>
      <c r="AR1735" s="2">
        <v>18.396090133964599</v>
      </c>
      <c r="AS1735" s="2">
        <v>15.690223102046099</v>
      </c>
      <c r="AT1735" s="2">
        <v>17.204842197209601</v>
      </c>
      <c r="AU1735" s="2">
        <v>18.979728571970199</v>
      </c>
      <c r="AV1735" s="2">
        <v>20.288463275936198</v>
      </c>
      <c r="AW1735" s="2">
        <v>13.2016767395461</v>
      </c>
      <c r="AX1735" s="2">
        <v>9.6233145402724691</v>
      </c>
      <c r="AY1735" s="2">
        <v>19.6864783508017</v>
      </c>
      <c r="AZ1735" s="2">
        <v>13.852240785455701</v>
      </c>
      <c r="BA1735" s="2">
        <v>17.314279199093502</v>
      </c>
      <c r="BB1735" s="2">
        <v>16.629049194917901</v>
      </c>
      <c r="BC1735" s="2">
        <v>16.5832974452894</v>
      </c>
      <c r="BD1735" s="2">
        <v>18.483445406306799</v>
      </c>
      <c r="BE1735" s="2">
        <v>18.014497939573801</v>
      </c>
      <c r="BF1735" s="2">
        <v>9.6233145402724691</v>
      </c>
      <c r="BG1735" s="2">
        <v>11.624297416265</v>
      </c>
      <c r="BH1735" s="2">
        <v>15.3821166976944</v>
      </c>
      <c r="BI1735" s="2">
        <v>17.5138422292831</v>
      </c>
      <c r="BJ1735" s="2">
        <v>15.417957971195399</v>
      </c>
      <c r="BK1735" s="2">
        <v>17.608376697296599</v>
      </c>
      <c r="BL1735" s="2">
        <v>17.271870679746598</v>
      </c>
      <c r="BM1735" s="2">
        <v>18.022915872340501</v>
      </c>
      <c r="BN1735" s="2">
        <v>15.9012195158727</v>
      </c>
      <c r="BO1735" s="2">
        <v>18.496189451216999</v>
      </c>
      <c r="BP1735" s="2">
        <v>9.6233145402724691</v>
      </c>
      <c r="BQ1735" s="2">
        <v>17.240523875975999</v>
      </c>
      <c r="BR1735" s="2">
        <v>13.475810679949401</v>
      </c>
      <c r="BS1735" s="2">
        <v>18.519012486243</v>
      </c>
      <c r="BT1735" s="2">
        <v>16.314932087049399</v>
      </c>
      <c r="BU1735" s="2">
        <v>16.952835302268699</v>
      </c>
      <c r="BV1735" s="2">
        <v>19.003443382871499</v>
      </c>
      <c r="BW1735" s="2">
        <v>9.6233145402724691</v>
      </c>
      <c r="BX1735" s="2">
        <v>18.033705072980599</v>
      </c>
      <c r="BY1735" s="2">
        <v>18.78974004334</v>
      </c>
      <c r="BZ1735" s="2">
        <v>9.6233145402724691</v>
      </c>
      <c r="CA1735" s="2">
        <v>9.6233145402724691</v>
      </c>
      <c r="CB1735" s="2">
        <v>18.3021445368421</v>
      </c>
      <c r="CC1735" s="2">
        <v>15.170992617052301</v>
      </c>
      <c r="CD1735" s="2">
        <v>12.8999101017339</v>
      </c>
      <c r="CE1735" s="2">
        <v>9.6233145402724691</v>
      </c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</row>
    <row r="1736" spans="1:97">
      <c r="A1736" s="2" t="s">
        <v>15301</v>
      </c>
      <c r="B1736" s="2">
        <v>285.08229999999998</v>
      </c>
      <c r="C1736" s="2">
        <v>0.79</v>
      </c>
      <c r="D1736" s="2" t="s">
        <v>146</v>
      </c>
      <c r="E1736" s="2" t="s">
        <v>15302</v>
      </c>
      <c r="F1736" s="2" t="s">
        <v>15303</v>
      </c>
      <c r="G1736" s="2">
        <v>595644</v>
      </c>
      <c r="H1736" s="3" t="str">
        <f>HYPERLINK("https://cloud.oebiotech.com/#/lm/network/595644", "https://cloud.oebiotech.com/#/lm/network/595644")</f>
        <v>https://cloud.oebiotech.com/#/lm/network/595644</v>
      </c>
      <c r="I1736" s="2"/>
      <c r="J1736" s="2"/>
      <c r="K1736" s="2"/>
      <c r="L1736" s="2">
        <v>386058</v>
      </c>
      <c r="M1736" s="2"/>
      <c r="N1736" s="2"/>
      <c r="O1736" s="2"/>
      <c r="P1736" s="2"/>
      <c r="Q1736" s="2"/>
      <c r="R1736" s="2"/>
      <c r="S1736" s="2"/>
      <c r="T1736" s="2" t="s">
        <v>15304</v>
      </c>
      <c r="U1736" s="2" t="s">
        <v>15305</v>
      </c>
      <c r="V1736" s="2" t="s">
        <v>818</v>
      </c>
      <c r="W1736" s="2" t="s">
        <v>15306</v>
      </c>
      <c r="X1736" s="2" t="s">
        <v>15307</v>
      </c>
      <c r="Y1736" s="2" t="s">
        <v>820</v>
      </c>
      <c r="Z1736" s="2" t="s">
        <v>15308</v>
      </c>
      <c r="AA1736" s="2" t="s">
        <v>15309</v>
      </c>
      <c r="AB1736" s="2" t="s">
        <v>8443</v>
      </c>
      <c r="AC1736" s="2">
        <v>40.9</v>
      </c>
      <c r="AD1736" s="2">
        <v>92.37</v>
      </c>
      <c r="AE1736" s="2">
        <v>0</v>
      </c>
      <c r="AF1736" s="2" t="s">
        <v>5614</v>
      </c>
      <c r="AG1736" s="2" t="s">
        <v>194</v>
      </c>
      <c r="AH1736" s="2" t="s">
        <v>15310</v>
      </c>
      <c r="AI1736" s="2">
        <v>5.96</v>
      </c>
      <c r="AJ1736" s="2">
        <v>19.3449353552049</v>
      </c>
      <c r="AK1736" s="2">
        <v>19.558457485738099</v>
      </c>
      <c r="AL1736" s="2">
        <v>19.471196730361701</v>
      </c>
      <c r="AM1736" s="2">
        <v>18.978072621049002</v>
      </c>
      <c r="AN1736" s="2">
        <v>19.6327495445952</v>
      </c>
      <c r="AO1736" s="2">
        <v>19.708207279031701</v>
      </c>
      <c r="AP1736" s="2">
        <v>18.252406128690598</v>
      </c>
      <c r="AQ1736" s="2">
        <v>19.4490497582314</v>
      </c>
      <c r="AR1736" s="2">
        <v>17.669607244836701</v>
      </c>
      <c r="AS1736" s="2">
        <v>16.9111247583336</v>
      </c>
      <c r="AT1736" s="2">
        <v>18.7470090343107</v>
      </c>
      <c r="AU1736" s="2">
        <v>9.6233145402724691</v>
      </c>
      <c r="AV1736" s="2">
        <v>19.256073277450199</v>
      </c>
      <c r="AW1736" s="2">
        <v>18.433315049038399</v>
      </c>
      <c r="AX1736" s="2">
        <v>19.111320698316</v>
      </c>
      <c r="AY1736" s="2">
        <v>19.307883160391899</v>
      </c>
      <c r="AZ1736" s="2">
        <v>18.079888172860901</v>
      </c>
      <c r="BA1736" s="2">
        <v>18.592288326574</v>
      </c>
      <c r="BB1736" s="2">
        <v>19.6637598329641</v>
      </c>
      <c r="BC1736" s="2">
        <v>19.179592980024399</v>
      </c>
      <c r="BD1736" s="2">
        <v>20.178984786096301</v>
      </c>
      <c r="BE1736" s="2">
        <v>19.349770652591999</v>
      </c>
      <c r="BF1736" s="2">
        <v>19.221463714926202</v>
      </c>
      <c r="BG1736" s="2">
        <v>19.108957214670902</v>
      </c>
      <c r="BH1736" s="2">
        <v>19.788576290653701</v>
      </c>
      <c r="BI1736" s="2">
        <v>19.275361134799301</v>
      </c>
      <c r="BJ1736" s="2">
        <v>19.980000635666801</v>
      </c>
      <c r="BK1736" s="2">
        <v>19.072102685566499</v>
      </c>
      <c r="BL1736" s="2">
        <v>18.247188263574401</v>
      </c>
      <c r="BM1736" s="2">
        <v>18.546687746286199</v>
      </c>
      <c r="BN1736" s="2">
        <v>19.355576435396902</v>
      </c>
      <c r="BO1736" s="2">
        <v>19.169178737024499</v>
      </c>
      <c r="BP1736" s="2">
        <v>19.243442204067499</v>
      </c>
      <c r="BQ1736" s="2">
        <v>18.9709717770168</v>
      </c>
      <c r="BR1736" s="2">
        <v>18.1601504752824</v>
      </c>
      <c r="BS1736" s="2">
        <v>19.2313935416032</v>
      </c>
      <c r="BT1736" s="2">
        <v>18.434686739839002</v>
      </c>
      <c r="BU1736" s="2">
        <v>19.270083647831601</v>
      </c>
      <c r="BV1736" s="2">
        <v>19.324543425432299</v>
      </c>
      <c r="BW1736" s="2">
        <v>19.091038107004401</v>
      </c>
      <c r="BX1736" s="2">
        <v>18.3638948899967</v>
      </c>
      <c r="BY1736" s="2">
        <v>19.444826504271798</v>
      </c>
      <c r="BZ1736" s="2">
        <v>18.755898281645099</v>
      </c>
      <c r="CA1736" s="2">
        <v>20.523242280566802</v>
      </c>
      <c r="CB1736" s="2">
        <v>17.764986758184001</v>
      </c>
      <c r="CC1736" s="2">
        <v>18.883281412182001</v>
      </c>
      <c r="CD1736" s="2">
        <v>19.005124830384901</v>
      </c>
      <c r="CE1736" s="2">
        <v>18.302219924170199</v>
      </c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</row>
    <row r="1737" spans="1:97">
      <c r="A1737" s="2" t="s">
        <v>15311</v>
      </c>
      <c r="B1737" s="2">
        <v>432.27996000000002</v>
      </c>
      <c r="C1737" s="2">
        <v>4.3970000000000002</v>
      </c>
      <c r="D1737" s="2" t="s">
        <v>84</v>
      </c>
      <c r="E1737" s="2" t="s">
        <v>15312</v>
      </c>
      <c r="F1737" s="2" t="s">
        <v>15313</v>
      </c>
      <c r="G1737" s="2">
        <v>207137</v>
      </c>
      <c r="H1737" s="3" t="str">
        <f>HYPERLINK("https://cloud.oebiotech.com/#/lm/network/207137", "https://cloud.oebiotech.com/#/lm/network/207137")</f>
        <v>https://cloud.oebiotech.com/#/lm/network/207137</v>
      </c>
      <c r="I1737" s="2" t="s">
        <v>15314</v>
      </c>
      <c r="J1737" s="2"/>
      <c r="K1737" s="2"/>
      <c r="L1737" s="2">
        <v>582362</v>
      </c>
      <c r="M1737" s="2"/>
      <c r="N1737" s="2"/>
      <c r="O1737" s="2"/>
      <c r="P1737" s="2"/>
      <c r="Q1737" s="2"/>
      <c r="R1737" s="2"/>
      <c r="S1737" s="2"/>
      <c r="T1737" s="2" t="s">
        <v>15315</v>
      </c>
      <c r="U1737" s="2" t="s">
        <v>15316</v>
      </c>
      <c r="V1737" s="2" t="s">
        <v>338</v>
      </c>
      <c r="W1737" s="2" t="s">
        <v>339</v>
      </c>
      <c r="X1737" s="2" t="s">
        <v>663</v>
      </c>
      <c r="Y1737" s="2" t="s">
        <v>341</v>
      </c>
      <c r="Z1737" s="2" t="s">
        <v>341</v>
      </c>
      <c r="AA1737" s="2" t="s">
        <v>664</v>
      </c>
      <c r="AB1737" s="2" t="s">
        <v>8443</v>
      </c>
      <c r="AC1737" s="2">
        <v>40.89</v>
      </c>
      <c r="AD1737" s="2">
        <v>95.95</v>
      </c>
      <c r="AE1737" s="2">
        <v>30.41</v>
      </c>
      <c r="AF1737" s="2" t="s">
        <v>15317</v>
      </c>
      <c r="AG1737" s="2" t="s">
        <v>1088</v>
      </c>
      <c r="AH1737" s="2" t="s">
        <v>15318</v>
      </c>
      <c r="AI1737" s="2">
        <v>5.32</v>
      </c>
      <c r="AJ1737" s="2">
        <v>21.1067096483849</v>
      </c>
      <c r="AK1737" s="2">
        <v>21.3024345043059</v>
      </c>
      <c r="AL1737" s="2">
        <v>20.971796267543201</v>
      </c>
      <c r="AM1737" s="2">
        <v>21.277931754393801</v>
      </c>
      <c r="AN1737" s="2">
        <v>21.2300616457917</v>
      </c>
      <c r="AO1737" s="2">
        <v>21.0459562449918</v>
      </c>
      <c r="AP1737" s="2">
        <v>21.328955159143302</v>
      </c>
      <c r="AQ1737" s="2">
        <v>21.1197558972124</v>
      </c>
      <c r="AR1737" s="2">
        <v>20.079585928103899</v>
      </c>
      <c r="AS1737" s="2">
        <v>19.7597442815931</v>
      </c>
      <c r="AT1737" s="2">
        <v>21.0672022048266</v>
      </c>
      <c r="AU1737" s="2">
        <v>21.711341133887199</v>
      </c>
      <c r="AV1737" s="2">
        <v>21.090369466004098</v>
      </c>
      <c r="AW1737" s="2">
        <v>21.155105374946199</v>
      </c>
      <c r="AX1737" s="2">
        <v>20.4196641897388</v>
      </c>
      <c r="AY1737" s="2">
        <v>21.025461209847901</v>
      </c>
      <c r="AZ1737" s="2">
        <v>20.106429815731602</v>
      </c>
      <c r="BA1737" s="2">
        <v>20.409937789432899</v>
      </c>
      <c r="BB1737" s="2">
        <v>19.0813600077398</v>
      </c>
      <c r="BC1737" s="2">
        <v>19.0294180785219</v>
      </c>
      <c r="BD1737" s="2">
        <v>21.250088331151201</v>
      </c>
      <c r="BE1737" s="2">
        <v>21.127204117218501</v>
      </c>
      <c r="BF1737" s="2">
        <v>21.530855566153999</v>
      </c>
      <c r="BG1737" s="2">
        <v>18.692096122449001</v>
      </c>
      <c r="BH1737" s="2">
        <v>20.8490871320517</v>
      </c>
      <c r="BI1737" s="2">
        <v>20.982178093094699</v>
      </c>
      <c r="BJ1737" s="2">
        <v>18.500963646927399</v>
      </c>
      <c r="BK1737" s="2">
        <v>21.093476665288499</v>
      </c>
      <c r="BL1737" s="2">
        <v>21.054924324524801</v>
      </c>
      <c r="BM1737" s="2">
        <v>22.319936088518599</v>
      </c>
      <c r="BN1737" s="2">
        <v>20.961101784396298</v>
      </c>
      <c r="BO1737" s="2">
        <v>20.723120560763899</v>
      </c>
      <c r="BP1737" s="2">
        <v>20.951522803472599</v>
      </c>
      <c r="BQ1737" s="2">
        <v>21.223803875299001</v>
      </c>
      <c r="BR1737" s="2">
        <v>18.806379696577</v>
      </c>
      <c r="BS1737" s="2">
        <v>21.972594535113199</v>
      </c>
      <c r="BT1737" s="2">
        <v>19.684992081371501</v>
      </c>
      <c r="BU1737" s="2">
        <v>21.186566576918601</v>
      </c>
      <c r="BV1737" s="2">
        <v>19.1911613397879</v>
      </c>
      <c r="BW1737" s="2">
        <v>18.648559217977201</v>
      </c>
      <c r="BX1737" s="2">
        <v>21.3555855163982</v>
      </c>
      <c r="BY1737" s="2">
        <v>21.5343620723296</v>
      </c>
      <c r="BZ1737" s="2">
        <v>18.791786955017098</v>
      </c>
      <c r="CA1737" s="2">
        <v>22.672959008340701</v>
      </c>
      <c r="CB1737" s="2">
        <v>19.595541524871798</v>
      </c>
      <c r="CC1737" s="2">
        <v>19.911054343370399</v>
      </c>
      <c r="CD1737" s="2">
        <v>21.3241930473691</v>
      </c>
      <c r="CE1737" s="2">
        <v>21.630874998364401</v>
      </c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</row>
    <row r="1738" spans="1:97">
      <c r="A1738" s="2" t="s">
        <v>15319</v>
      </c>
      <c r="B1738" s="2">
        <v>166.02603999999999</v>
      </c>
      <c r="C1738" s="2">
        <v>0.71499999999999997</v>
      </c>
      <c r="D1738" s="2" t="s">
        <v>84</v>
      </c>
      <c r="E1738" s="2" t="s">
        <v>15320</v>
      </c>
      <c r="F1738" s="2" t="s">
        <v>15321</v>
      </c>
      <c r="G1738" s="2">
        <v>200443</v>
      </c>
      <c r="H1738" s="3" t="str">
        <f>HYPERLINK("https://cloud.oebiotech.com/#/lm/network/200443", "https://cloud.oebiotech.com/#/lm/network/200443")</f>
        <v>https://cloud.oebiotech.com/#/lm/network/200443</v>
      </c>
      <c r="I1738" s="2" t="s">
        <v>15322</v>
      </c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 t="s">
        <v>15323</v>
      </c>
      <c r="U1738" s="2" t="s">
        <v>15324</v>
      </c>
      <c r="V1738" s="2" t="s">
        <v>115</v>
      </c>
      <c r="W1738" s="2" t="s">
        <v>116</v>
      </c>
      <c r="X1738" s="2" t="s">
        <v>117</v>
      </c>
      <c r="Y1738" s="2" t="s">
        <v>118</v>
      </c>
      <c r="Z1738" s="2" t="s">
        <v>119</v>
      </c>
      <c r="AA1738" s="2" t="s">
        <v>120</v>
      </c>
      <c r="AB1738" s="2" t="s">
        <v>8443</v>
      </c>
      <c r="AC1738" s="2">
        <v>40.869999999999997</v>
      </c>
      <c r="AD1738" s="2">
        <v>96.86</v>
      </c>
      <c r="AE1738" s="2">
        <v>0</v>
      </c>
      <c r="AF1738" s="2" t="s">
        <v>5614</v>
      </c>
      <c r="AG1738" s="2" t="s">
        <v>1088</v>
      </c>
      <c r="AH1738" s="2" t="s">
        <v>15325</v>
      </c>
      <c r="AI1738" s="2">
        <v>6.02</v>
      </c>
      <c r="AJ1738" s="2">
        <v>20.505968683171201</v>
      </c>
      <c r="AK1738" s="2">
        <v>20.893801301057898</v>
      </c>
      <c r="AL1738" s="2">
        <v>21.205957862066899</v>
      </c>
      <c r="AM1738" s="2">
        <v>21.4579117074157</v>
      </c>
      <c r="AN1738" s="2">
        <v>21.4321343935909</v>
      </c>
      <c r="AO1738" s="2">
        <v>20.313143098702799</v>
      </c>
      <c r="AP1738" s="2">
        <v>21.565310763775098</v>
      </c>
      <c r="AQ1738" s="2">
        <v>21.101643635305699</v>
      </c>
      <c r="AR1738" s="2">
        <v>20.343389246018599</v>
      </c>
      <c r="AS1738" s="2">
        <v>19.913268602973002</v>
      </c>
      <c r="AT1738" s="2">
        <v>21.002030256862199</v>
      </c>
      <c r="AU1738" s="2">
        <v>21.240911949531199</v>
      </c>
      <c r="AV1738" s="2">
        <v>20.524680100196701</v>
      </c>
      <c r="AW1738" s="2">
        <v>21.010204252075098</v>
      </c>
      <c r="AX1738" s="2">
        <v>20.629260138686199</v>
      </c>
      <c r="AY1738" s="2">
        <v>20.9778200894281</v>
      </c>
      <c r="AZ1738" s="2">
        <v>21.0396343819246</v>
      </c>
      <c r="BA1738" s="2">
        <v>21.111175490342902</v>
      </c>
      <c r="BB1738" s="2">
        <v>21.360777200874701</v>
      </c>
      <c r="BC1738" s="2">
        <v>21.098708746731301</v>
      </c>
      <c r="BD1738" s="2">
        <v>21.443699256102601</v>
      </c>
      <c r="BE1738" s="2">
        <v>20.76560594947</v>
      </c>
      <c r="BF1738" s="2">
        <v>21.555900272014799</v>
      </c>
      <c r="BG1738" s="2">
        <v>20.938877723346</v>
      </c>
      <c r="BH1738" s="2">
        <v>20.903924810111</v>
      </c>
      <c r="BI1738" s="2">
        <v>20.534682622566201</v>
      </c>
      <c r="BJ1738" s="2">
        <v>21.3333188423343</v>
      </c>
      <c r="BK1738" s="2">
        <v>20.768621068593699</v>
      </c>
      <c r="BL1738" s="2">
        <v>20.748705419512302</v>
      </c>
      <c r="BM1738" s="2">
        <v>21.467707277518599</v>
      </c>
      <c r="BN1738" s="2">
        <v>21.232066039707</v>
      </c>
      <c r="BO1738" s="2">
        <v>19.6979676723304</v>
      </c>
      <c r="BP1738" s="2">
        <v>21.176164399887998</v>
      </c>
      <c r="BQ1738" s="2">
        <v>21.0924484118066</v>
      </c>
      <c r="BR1738" s="2">
        <v>20.843598037776101</v>
      </c>
      <c r="BS1738" s="2">
        <v>20.916344628615199</v>
      </c>
      <c r="BT1738" s="2">
        <v>20.8669260914921</v>
      </c>
      <c r="BU1738" s="2">
        <v>21.007170612476301</v>
      </c>
      <c r="BV1738" s="2">
        <v>21.5142863763256</v>
      </c>
      <c r="BW1738" s="2">
        <v>20.7506590114867</v>
      </c>
      <c r="BX1738" s="2">
        <v>21.660820096662199</v>
      </c>
      <c r="BY1738" s="2">
        <v>20.4654058092433</v>
      </c>
      <c r="BZ1738" s="2">
        <v>21.628992630804198</v>
      </c>
      <c r="CA1738" s="2">
        <v>21.081104739200399</v>
      </c>
      <c r="CB1738" s="2">
        <v>21.3297391662596</v>
      </c>
      <c r="CC1738" s="2">
        <v>21.224320445622599</v>
      </c>
      <c r="CD1738" s="2">
        <v>20.934398883604501</v>
      </c>
      <c r="CE1738" s="2">
        <v>19.2452854117297</v>
      </c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</row>
    <row r="1739" spans="1:97">
      <c r="A1739" s="2" t="s">
        <v>15326</v>
      </c>
      <c r="B1739" s="2">
        <v>323.04727000000003</v>
      </c>
      <c r="C1739" s="2">
        <v>4.9550000000000001</v>
      </c>
      <c r="D1739" s="2" t="s">
        <v>84</v>
      </c>
      <c r="E1739" s="2" t="s">
        <v>15327</v>
      </c>
      <c r="F1739" s="2" t="s">
        <v>15328</v>
      </c>
      <c r="G1739" s="2">
        <v>83583</v>
      </c>
      <c r="H1739" s="3" t="str">
        <f>HYPERLINK("https://cloud.oebiotech.com/#/lm/network/83583", "https://cloud.oebiotech.com/#/lm/network/83583")</f>
        <v>https://cloud.oebiotech.com/#/lm/network/83583</v>
      </c>
      <c r="I1739" s="2" t="s">
        <v>15329</v>
      </c>
      <c r="J1739" s="2">
        <v>70359</v>
      </c>
      <c r="K1739" s="2"/>
      <c r="L1739" s="2">
        <v>115064</v>
      </c>
      <c r="M1739" s="2" t="s">
        <v>15330</v>
      </c>
      <c r="N1739" s="2" t="s">
        <v>12618</v>
      </c>
      <c r="O1739" s="2" t="s">
        <v>12619</v>
      </c>
      <c r="P1739" s="2">
        <v>34513</v>
      </c>
      <c r="Q1739" s="2"/>
      <c r="R1739" s="2"/>
      <c r="S1739" s="2" t="s">
        <v>15331</v>
      </c>
      <c r="T1739" s="2" t="s">
        <v>15332</v>
      </c>
      <c r="U1739" s="2" t="s">
        <v>15333</v>
      </c>
      <c r="V1739" s="2" t="s">
        <v>385</v>
      </c>
      <c r="W1739" s="2" t="s">
        <v>11848</v>
      </c>
      <c r="X1739" s="2" t="s">
        <v>15334</v>
      </c>
      <c r="Y1739" s="2" t="s">
        <v>388</v>
      </c>
      <c r="Z1739" s="2" t="s">
        <v>11850</v>
      </c>
      <c r="AA1739" s="2" t="s">
        <v>15335</v>
      </c>
      <c r="AB1739" s="2" t="s">
        <v>8443</v>
      </c>
      <c r="AC1739" s="2">
        <v>40.86</v>
      </c>
      <c r="AD1739" s="2">
        <v>74.650000000000006</v>
      </c>
      <c r="AE1739" s="2">
        <v>38.590000000000003</v>
      </c>
      <c r="AF1739" s="2" t="s">
        <v>15336</v>
      </c>
      <c r="AG1739" s="2" t="s">
        <v>3544</v>
      </c>
      <c r="AH1739" s="2" t="s">
        <v>15337</v>
      </c>
      <c r="AI1739" s="2">
        <v>-1.24</v>
      </c>
      <c r="AJ1739" s="2">
        <v>18.517289343610798</v>
      </c>
      <c r="AK1739" s="2">
        <v>18.667237694739601</v>
      </c>
      <c r="AL1739" s="2">
        <v>18.666037480796</v>
      </c>
      <c r="AM1739" s="2">
        <v>18.830536127289701</v>
      </c>
      <c r="AN1739" s="2">
        <v>18.658518405009499</v>
      </c>
      <c r="AO1739" s="2">
        <v>18.645782957417499</v>
      </c>
      <c r="AP1739" s="2">
        <v>18.754378910531798</v>
      </c>
      <c r="AQ1739" s="2">
        <v>18.722000424623801</v>
      </c>
      <c r="AR1739" s="2">
        <v>17.6365080113865</v>
      </c>
      <c r="AS1739" s="2">
        <v>17.505721940823001</v>
      </c>
      <c r="AT1739" s="2">
        <v>17.779223163888201</v>
      </c>
      <c r="AU1739" s="2">
        <v>19.176310061088</v>
      </c>
      <c r="AV1739" s="2">
        <v>17.7667983017753</v>
      </c>
      <c r="AW1739" s="2">
        <v>17.754614179280701</v>
      </c>
      <c r="AX1739" s="2">
        <v>16.444810917534198</v>
      </c>
      <c r="AY1739" s="2">
        <v>15.293063138750901</v>
      </c>
      <c r="AZ1739" s="2">
        <v>17.212755031057601</v>
      </c>
      <c r="BA1739" s="2">
        <v>18.996926907793</v>
      </c>
      <c r="BB1739" s="2">
        <v>19.534365411514301</v>
      </c>
      <c r="BC1739" s="2">
        <v>18.849609431620902</v>
      </c>
      <c r="BD1739" s="2">
        <v>19.065242666761399</v>
      </c>
      <c r="BE1739" s="2">
        <v>17.829644269069298</v>
      </c>
      <c r="BF1739" s="2">
        <v>18.059420409046002</v>
      </c>
      <c r="BG1739" s="2">
        <v>18.3068075585239</v>
      </c>
      <c r="BH1739" s="2">
        <v>18.810507935557499</v>
      </c>
      <c r="BI1739" s="2">
        <v>16.551837411167</v>
      </c>
      <c r="BJ1739" s="2">
        <v>19.441929777203999</v>
      </c>
      <c r="BK1739" s="2">
        <v>19.866761976699099</v>
      </c>
      <c r="BL1739" s="2">
        <v>18.611763388395001</v>
      </c>
      <c r="BM1739" s="2">
        <v>18.233602545403301</v>
      </c>
      <c r="BN1739" s="2">
        <v>18.880097923152999</v>
      </c>
      <c r="BO1739" s="2">
        <v>18.960568457268099</v>
      </c>
      <c r="BP1739" s="2">
        <v>17.2336926933746</v>
      </c>
      <c r="BQ1739" s="2">
        <v>17.5929655321025</v>
      </c>
      <c r="BR1739" s="2">
        <v>17.2234097281478</v>
      </c>
      <c r="BS1739" s="2">
        <v>17.3074042431222</v>
      </c>
      <c r="BT1739" s="2">
        <v>19.8780259389208</v>
      </c>
      <c r="BU1739" s="2">
        <v>19.443486359771502</v>
      </c>
      <c r="BV1739" s="2">
        <v>19.082748809211498</v>
      </c>
      <c r="BW1739" s="2">
        <v>18.0398533699518</v>
      </c>
      <c r="BX1739" s="2">
        <v>19.1339458666606</v>
      </c>
      <c r="BY1739" s="2">
        <v>18.1027641216393</v>
      </c>
      <c r="BZ1739" s="2">
        <v>16.952704965534</v>
      </c>
      <c r="CA1739" s="2">
        <v>17.949753429945801</v>
      </c>
      <c r="CB1739" s="2">
        <v>18.451482879674298</v>
      </c>
      <c r="CC1739" s="2">
        <v>16.866812737867999</v>
      </c>
      <c r="CD1739" s="2">
        <v>19.412558311086499</v>
      </c>
      <c r="CE1739" s="2">
        <v>19.7117850392512</v>
      </c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</row>
    <row r="1740" spans="1:97">
      <c r="A1740" s="2" t="s">
        <v>15338</v>
      </c>
      <c r="B1740" s="2">
        <v>330.09532999999999</v>
      </c>
      <c r="C1740" s="2">
        <v>4.3120000000000003</v>
      </c>
      <c r="D1740" s="2" t="s">
        <v>146</v>
      </c>
      <c r="E1740" s="2" t="s">
        <v>15339</v>
      </c>
      <c r="F1740" s="2" t="s">
        <v>15340</v>
      </c>
      <c r="G1740" s="2">
        <v>209300</v>
      </c>
      <c r="H1740" s="3" t="str">
        <f>HYPERLINK("https://cloud.oebiotech.com/#/lm/network/209300", "https://cloud.oebiotech.com/#/lm/network/209300")</f>
        <v>https://cloud.oebiotech.com/#/lm/network/209300</v>
      </c>
      <c r="I1740" s="2" t="s">
        <v>15341</v>
      </c>
      <c r="J1740" s="2"/>
      <c r="K1740" s="2"/>
      <c r="L1740" s="2">
        <v>135839700</v>
      </c>
      <c r="M1740" s="2"/>
      <c r="N1740" s="2"/>
      <c r="O1740" s="2"/>
      <c r="P1740" s="2"/>
      <c r="Q1740" s="2"/>
      <c r="R1740" s="2"/>
      <c r="S1740" s="2"/>
      <c r="T1740" s="2" t="s">
        <v>15342</v>
      </c>
      <c r="U1740" s="2" t="s">
        <v>15343</v>
      </c>
      <c r="V1740" s="2" t="s">
        <v>818</v>
      </c>
      <c r="W1740" s="2" t="s">
        <v>819</v>
      </c>
      <c r="X1740" s="2" t="s">
        <v>15344</v>
      </c>
      <c r="Y1740" s="2" t="s">
        <v>820</v>
      </c>
      <c r="Z1740" s="2" t="s">
        <v>821</v>
      </c>
      <c r="AA1740" s="2" t="s">
        <v>15345</v>
      </c>
      <c r="AB1740" s="2" t="s">
        <v>5118</v>
      </c>
      <c r="AC1740" s="2">
        <v>40.86</v>
      </c>
      <c r="AD1740" s="2">
        <v>73.53</v>
      </c>
      <c r="AE1740" s="2">
        <v>73.650000000000006</v>
      </c>
      <c r="AF1740" s="2" t="s">
        <v>15346</v>
      </c>
      <c r="AG1740" s="2" t="s">
        <v>4062</v>
      </c>
      <c r="AH1740" s="2" t="s">
        <v>15347</v>
      </c>
      <c r="AI1740" s="2">
        <v>6.36</v>
      </c>
      <c r="AJ1740" s="2">
        <v>18.835501403279</v>
      </c>
      <c r="AK1740" s="2">
        <v>19.0430220219787</v>
      </c>
      <c r="AL1740" s="2">
        <v>18.8673293318612</v>
      </c>
      <c r="AM1740" s="2">
        <v>18.834512590569201</v>
      </c>
      <c r="AN1740" s="2">
        <v>18.7386699834694</v>
      </c>
      <c r="AO1740" s="2">
        <v>18.876132690311799</v>
      </c>
      <c r="AP1740" s="2">
        <v>18.7688662756741</v>
      </c>
      <c r="AQ1740" s="2">
        <v>18.8553027890278</v>
      </c>
      <c r="AR1740" s="2">
        <v>17.803699214646201</v>
      </c>
      <c r="AS1740" s="2">
        <v>14.634900081670301</v>
      </c>
      <c r="AT1740" s="2">
        <v>9.6233145402724691</v>
      </c>
      <c r="AU1740" s="2">
        <v>15.755460072920799</v>
      </c>
      <c r="AV1740" s="2">
        <v>19.471313780998599</v>
      </c>
      <c r="AW1740" s="2">
        <v>13.646743197724</v>
      </c>
      <c r="AX1740" s="2">
        <v>12.037708235781601</v>
      </c>
      <c r="AY1740" s="2">
        <v>19.260183098743699</v>
      </c>
      <c r="AZ1740" s="2">
        <v>15.4418934158181</v>
      </c>
      <c r="BA1740" s="2">
        <v>15.5131980213002</v>
      </c>
      <c r="BB1740" s="2">
        <v>18.212257027597101</v>
      </c>
      <c r="BC1740" s="2">
        <v>15.955724364943199</v>
      </c>
      <c r="BD1740" s="2">
        <v>17.665523432034401</v>
      </c>
      <c r="BE1740" s="2">
        <v>19.641574480911199</v>
      </c>
      <c r="BF1740" s="2">
        <v>18.6644593680684</v>
      </c>
      <c r="BG1740" s="2">
        <v>18.905135323561201</v>
      </c>
      <c r="BH1740" s="2">
        <v>9.6233145402724691</v>
      </c>
      <c r="BI1740" s="2">
        <v>17.814758874354599</v>
      </c>
      <c r="BJ1740" s="2">
        <v>17.140007318413499</v>
      </c>
      <c r="BK1740" s="2">
        <v>16.511350390865701</v>
      </c>
      <c r="BL1740" s="2">
        <v>18.710195878709499</v>
      </c>
      <c r="BM1740" s="2">
        <v>18.593039780561401</v>
      </c>
      <c r="BN1740" s="2">
        <v>17.020906930127001</v>
      </c>
      <c r="BO1740" s="2">
        <v>16.037188723727098</v>
      </c>
      <c r="BP1740" s="2">
        <v>17.027433484940101</v>
      </c>
      <c r="BQ1740" s="2">
        <v>18.6574047072131</v>
      </c>
      <c r="BR1740" s="2">
        <v>12.760233423595199</v>
      </c>
      <c r="BS1740" s="2">
        <v>19.1495214575185</v>
      </c>
      <c r="BT1740" s="2">
        <v>14.460508370955599</v>
      </c>
      <c r="BU1740" s="2">
        <v>18.902883841660799</v>
      </c>
      <c r="BV1740" s="2">
        <v>18.726764974653101</v>
      </c>
      <c r="BW1740" s="2">
        <v>9.6233145402724691</v>
      </c>
      <c r="BX1740" s="2">
        <v>17.9298992714047</v>
      </c>
      <c r="BY1740" s="2">
        <v>20.443713509444098</v>
      </c>
      <c r="BZ1740" s="2">
        <v>18.489087512505101</v>
      </c>
      <c r="CA1740" s="2">
        <v>18.8573852248085</v>
      </c>
      <c r="CB1740" s="2">
        <v>18.269054566342898</v>
      </c>
      <c r="CC1740" s="2">
        <v>12.6540497026679</v>
      </c>
      <c r="CD1740" s="2">
        <v>18.913434283510401</v>
      </c>
      <c r="CE1740" s="2">
        <v>16.9177309136312</v>
      </c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</row>
    <row r="1741" spans="1:97">
      <c r="A1741" s="2" t="s">
        <v>15348</v>
      </c>
      <c r="B1741" s="2">
        <v>493.35685999999998</v>
      </c>
      <c r="C1741" s="2">
        <v>10.029999999999999</v>
      </c>
      <c r="D1741" s="2" t="s">
        <v>146</v>
      </c>
      <c r="E1741" s="2" t="s">
        <v>15349</v>
      </c>
      <c r="F1741" s="2" t="s">
        <v>15350</v>
      </c>
      <c r="G1741" s="2">
        <v>44190</v>
      </c>
      <c r="H1741" s="3" t="str">
        <f>HYPERLINK("https://cloud.oebiotech.com/#/lm/network/44190", "https://cloud.oebiotech.com/#/lm/network/44190")</f>
        <v>https://cloud.oebiotech.com/#/lm/network/44190</v>
      </c>
      <c r="I1741" s="2"/>
      <c r="J1741" s="2"/>
      <c r="K1741" s="2" t="s">
        <v>15351</v>
      </c>
      <c r="L1741" s="2"/>
      <c r="M1741" s="2"/>
      <c r="N1741" s="2"/>
      <c r="O1741" s="2"/>
      <c r="P1741" s="2"/>
      <c r="Q1741" s="2"/>
      <c r="R1741" s="2"/>
      <c r="S1741" s="2"/>
      <c r="T1741" s="2" t="s">
        <v>15352</v>
      </c>
      <c r="U1741" s="2" t="s">
        <v>15353</v>
      </c>
      <c r="V1741" s="2" t="s">
        <v>95</v>
      </c>
      <c r="W1741" s="2" t="s">
        <v>152</v>
      </c>
      <c r="X1741" s="2" t="s">
        <v>7803</v>
      </c>
      <c r="Y1741" s="2" t="s">
        <v>98</v>
      </c>
      <c r="Z1741" s="2" t="s">
        <v>154</v>
      </c>
      <c r="AA1741" s="2" t="s">
        <v>7804</v>
      </c>
      <c r="AB1741" s="2" t="s">
        <v>8443</v>
      </c>
      <c r="AC1741" s="2">
        <v>40.83</v>
      </c>
      <c r="AD1741" s="2">
        <v>93.45</v>
      </c>
      <c r="AE1741" s="2">
        <v>0</v>
      </c>
      <c r="AF1741" s="2" t="s">
        <v>15354</v>
      </c>
      <c r="AG1741" s="2" t="s">
        <v>157</v>
      </c>
      <c r="AH1741" s="2" t="s">
        <v>15355</v>
      </c>
      <c r="AI1741" s="2">
        <v>-6.89</v>
      </c>
      <c r="AJ1741" s="2">
        <v>20.213482847016099</v>
      </c>
      <c r="AK1741" s="2">
        <v>20.215486727483601</v>
      </c>
      <c r="AL1741" s="2">
        <v>20.296139119111899</v>
      </c>
      <c r="AM1741" s="2">
        <v>20.2188078867317</v>
      </c>
      <c r="AN1741" s="2">
        <v>20.188856085967</v>
      </c>
      <c r="AO1741" s="2">
        <v>20.1537982125014</v>
      </c>
      <c r="AP1741" s="2">
        <v>20.177543691883098</v>
      </c>
      <c r="AQ1741" s="2">
        <v>19.986242370688299</v>
      </c>
      <c r="AR1741" s="2">
        <v>20.123782458670998</v>
      </c>
      <c r="AS1741" s="2">
        <v>20.380820512424499</v>
      </c>
      <c r="AT1741" s="2">
        <v>20.190044293943501</v>
      </c>
      <c r="AU1741" s="2">
        <v>20.119266510534199</v>
      </c>
      <c r="AV1741" s="2">
        <v>20.1712474721806</v>
      </c>
      <c r="AW1741" s="2">
        <v>20.095022165156099</v>
      </c>
      <c r="AX1741" s="2">
        <v>20.1780268110147</v>
      </c>
      <c r="AY1741" s="2">
        <v>20.166903346566102</v>
      </c>
      <c r="AZ1741" s="2">
        <v>20.097860333122199</v>
      </c>
      <c r="BA1741" s="2">
        <v>20.244587008905999</v>
      </c>
      <c r="BB1741" s="2">
        <v>20.0654472835812</v>
      </c>
      <c r="BC1741" s="2">
        <v>20.2248615308681</v>
      </c>
      <c r="BD1741" s="2">
        <v>20.010048227708801</v>
      </c>
      <c r="BE1741" s="2">
        <v>20.1516698915548</v>
      </c>
      <c r="BF1741" s="2">
        <v>19.988889459321101</v>
      </c>
      <c r="BG1741" s="2">
        <v>20.232133910677899</v>
      </c>
      <c r="BH1741" s="2">
        <v>20.194630794859101</v>
      </c>
      <c r="BI1741" s="2">
        <v>20.075497782124302</v>
      </c>
      <c r="BJ1741" s="2">
        <v>20.1347314663021</v>
      </c>
      <c r="BK1741" s="2">
        <v>20.106932320511099</v>
      </c>
      <c r="BL1741" s="2">
        <v>20.226115720880799</v>
      </c>
      <c r="BM1741" s="2">
        <v>20.340651179789202</v>
      </c>
      <c r="BN1741" s="2">
        <v>20.1008054270884</v>
      </c>
      <c r="BO1741" s="2">
        <v>20.1669354434136</v>
      </c>
      <c r="BP1741" s="2">
        <v>19.9626458435899</v>
      </c>
      <c r="BQ1741" s="2">
        <v>20.125786340839799</v>
      </c>
      <c r="BR1741" s="2">
        <v>20.1323288965093</v>
      </c>
      <c r="BS1741" s="2">
        <v>20.156598207844102</v>
      </c>
      <c r="BT1741" s="2">
        <v>19.911368842786299</v>
      </c>
      <c r="BU1741" s="2">
        <v>20.201695737704998</v>
      </c>
      <c r="BV1741" s="2">
        <v>20.131528284522702</v>
      </c>
      <c r="BW1741" s="2">
        <v>20.192272800984298</v>
      </c>
      <c r="BX1741" s="2">
        <v>20.062253277249098</v>
      </c>
      <c r="BY1741" s="2">
        <v>19.937460922528899</v>
      </c>
      <c r="BZ1741" s="2">
        <v>20.113280492640101</v>
      </c>
      <c r="CA1741" s="2">
        <v>20.166957478178499</v>
      </c>
      <c r="CB1741" s="2">
        <v>19.925699015057202</v>
      </c>
      <c r="CC1741" s="2">
        <v>20.055230290039798</v>
      </c>
      <c r="CD1741" s="2">
        <v>19.942459652401499</v>
      </c>
      <c r="CE1741" s="2">
        <v>20.1184265490527</v>
      </c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</row>
    <row r="1742" spans="1:97">
      <c r="A1742" s="2" t="s">
        <v>15356</v>
      </c>
      <c r="B1742" s="2">
        <v>313.11898000000002</v>
      </c>
      <c r="C1742" s="2">
        <v>5.8650000000000002</v>
      </c>
      <c r="D1742" s="2" t="s">
        <v>146</v>
      </c>
      <c r="E1742" s="2" t="s">
        <v>15357</v>
      </c>
      <c r="F1742" s="2" t="s">
        <v>15358</v>
      </c>
      <c r="G1742" s="2">
        <v>199632</v>
      </c>
      <c r="H1742" s="3" t="str">
        <f>HYPERLINK("https://cloud.oebiotech.com/#/lm/network/199632", "https://cloud.oebiotech.com/#/lm/network/199632")</f>
        <v>https://cloud.oebiotech.com/#/lm/network/199632</v>
      </c>
      <c r="I1742" s="2" t="s">
        <v>15359</v>
      </c>
      <c r="J1742" s="2"/>
      <c r="K1742" s="2"/>
      <c r="L1742" s="2">
        <v>11321095</v>
      </c>
      <c r="M1742" s="2"/>
      <c r="N1742" s="2"/>
      <c r="O1742" s="2"/>
      <c r="P1742" s="2"/>
      <c r="Q1742" s="2"/>
      <c r="R1742" s="2"/>
      <c r="S1742" s="2"/>
      <c r="T1742" s="2" t="s">
        <v>15360</v>
      </c>
      <c r="U1742" s="2" t="s">
        <v>15361</v>
      </c>
      <c r="V1742" s="2" t="s">
        <v>553</v>
      </c>
      <c r="W1742" s="2" t="s">
        <v>10313</v>
      </c>
      <c r="X1742" s="2" t="s">
        <v>15362</v>
      </c>
      <c r="Y1742" s="2" t="s">
        <v>556</v>
      </c>
      <c r="Z1742" s="2" t="s">
        <v>10315</v>
      </c>
      <c r="AA1742" s="2" t="s">
        <v>15363</v>
      </c>
      <c r="AB1742" s="2" t="s">
        <v>8443</v>
      </c>
      <c r="AC1742" s="2">
        <v>40.81</v>
      </c>
      <c r="AD1742" s="2">
        <v>88.15</v>
      </c>
      <c r="AE1742" s="2">
        <v>0</v>
      </c>
      <c r="AF1742" s="2" t="s">
        <v>5614</v>
      </c>
      <c r="AG1742" s="2" t="s">
        <v>3880</v>
      </c>
      <c r="AH1742" s="2" t="s">
        <v>15364</v>
      </c>
      <c r="AI1742" s="2">
        <v>5.43</v>
      </c>
      <c r="AJ1742" s="2">
        <v>16.748954100220701</v>
      </c>
      <c r="AK1742" s="2">
        <v>16.768408823622401</v>
      </c>
      <c r="AL1742" s="2">
        <v>16.4338070963536</v>
      </c>
      <c r="AM1742" s="2">
        <v>16.745494317240901</v>
      </c>
      <c r="AN1742" s="2">
        <v>16.801260478073601</v>
      </c>
      <c r="AO1742" s="2">
        <v>16.549019176054401</v>
      </c>
      <c r="AP1742" s="2">
        <v>16.823899469061701</v>
      </c>
      <c r="AQ1742" s="2">
        <v>16.8231064644783</v>
      </c>
      <c r="AR1742" s="2">
        <v>16.116695859547999</v>
      </c>
      <c r="AS1742" s="2">
        <v>16.052070425388301</v>
      </c>
      <c r="AT1742" s="2">
        <v>16.9051782579701</v>
      </c>
      <c r="AU1742" s="2">
        <v>15.993079908713</v>
      </c>
      <c r="AV1742" s="2">
        <v>16.072924553990699</v>
      </c>
      <c r="AW1742" s="2">
        <v>16.286018021674298</v>
      </c>
      <c r="AX1742" s="2">
        <v>16.230819792803999</v>
      </c>
      <c r="AY1742" s="2">
        <v>15.7349567156223</v>
      </c>
      <c r="AZ1742" s="2">
        <v>15.521815723813001</v>
      </c>
      <c r="BA1742" s="2">
        <v>15.9158817123856</v>
      </c>
      <c r="BB1742" s="2">
        <v>16.646756274072501</v>
      </c>
      <c r="BC1742" s="2">
        <v>17.880100046186101</v>
      </c>
      <c r="BD1742" s="2">
        <v>14.8529502991075</v>
      </c>
      <c r="BE1742" s="2">
        <v>16.8062229698469</v>
      </c>
      <c r="BF1742" s="2">
        <v>16.767691002530199</v>
      </c>
      <c r="BG1742" s="2">
        <v>17.295494170687601</v>
      </c>
      <c r="BH1742" s="2">
        <v>16.2589770698103</v>
      </c>
      <c r="BI1742" s="2">
        <v>16.119966455338801</v>
      </c>
      <c r="BJ1742" s="2">
        <v>17.200966497901401</v>
      </c>
      <c r="BK1742" s="2">
        <v>15.776471844449601</v>
      </c>
      <c r="BL1742" s="2">
        <v>16.145580143547001</v>
      </c>
      <c r="BM1742" s="2">
        <v>15.311434003672501</v>
      </c>
      <c r="BN1742" s="2">
        <v>16.175946541216899</v>
      </c>
      <c r="BO1742" s="2">
        <v>15.9762477160803</v>
      </c>
      <c r="BP1742" s="2">
        <v>16.276816681871399</v>
      </c>
      <c r="BQ1742" s="2">
        <v>16.292637978607701</v>
      </c>
      <c r="BR1742" s="2">
        <v>16.9361885219501</v>
      </c>
      <c r="BS1742" s="2">
        <v>16.094711530366499</v>
      </c>
      <c r="BT1742" s="2">
        <v>16.044001286691302</v>
      </c>
      <c r="BU1742" s="2">
        <v>17.954447842045099</v>
      </c>
      <c r="BV1742" s="2">
        <v>16.9278433419775</v>
      </c>
      <c r="BW1742" s="2">
        <v>15.922101658333499</v>
      </c>
      <c r="BX1742" s="2">
        <v>15.4545402796573</v>
      </c>
      <c r="BY1742" s="2">
        <v>17.066831711403601</v>
      </c>
      <c r="BZ1742" s="2">
        <v>15.1248523312365</v>
      </c>
      <c r="CA1742" s="2">
        <v>15.8376271940856</v>
      </c>
      <c r="CB1742" s="2">
        <v>16.109495033605601</v>
      </c>
      <c r="CC1742" s="2">
        <v>15.964773367771</v>
      </c>
      <c r="CD1742" s="2">
        <v>17.646668252494202</v>
      </c>
      <c r="CE1742" s="2">
        <v>15.7678745960296</v>
      </c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</row>
    <row r="1743" spans="1:97">
      <c r="A1743" s="2" t="s">
        <v>15365</v>
      </c>
      <c r="B1743" s="2">
        <v>127.08604</v>
      </c>
      <c r="C1743" s="2">
        <v>15.391</v>
      </c>
      <c r="D1743" s="2" t="s">
        <v>84</v>
      </c>
      <c r="E1743" s="2" t="s">
        <v>15366</v>
      </c>
      <c r="F1743" s="2" t="s">
        <v>15367</v>
      </c>
      <c r="G1743" s="2">
        <v>201356</v>
      </c>
      <c r="H1743" s="3" t="str">
        <f>HYPERLINK("https://cloud.oebiotech.com/#/lm/network/201356", "https://cloud.oebiotech.com/#/lm/network/201356")</f>
        <v>https://cloud.oebiotech.com/#/lm/network/201356</v>
      </c>
      <c r="I1743" s="2" t="s">
        <v>15368</v>
      </c>
      <c r="J1743" s="2"/>
      <c r="K1743" s="2"/>
      <c r="L1743" s="2"/>
      <c r="M1743" s="2"/>
      <c r="N1743" s="2"/>
      <c r="O1743" s="2"/>
      <c r="P1743" s="2">
        <v>45213</v>
      </c>
      <c r="Q1743" s="2"/>
      <c r="R1743" s="2"/>
      <c r="S1743" s="2"/>
      <c r="T1743" s="2" t="s">
        <v>15369</v>
      </c>
      <c r="U1743" s="2" t="s">
        <v>15370</v>
      </c>
      <c r="V1743" s="2" t="s">
        <v>553</v>
      </c>
      <c r="W1743" s="2" t="s">
        <v>2447</v>
      </c>
      <c r="X1743" s="2" t="s">
        <v>375</v>
      </c>
      <c r="Y1743" s="2" t="s">
        <v>556</v>
      </c>
      <c r="Z1743" s="2" t="s">
        <v>2449</v>
      </c>
      <c r="AA1743" s="2"/>
      <c r="AB1743" s="2" t="s">
        <v>8443</v>
      </c>
      <c r="AC1743" s="2">
        <v>40.81</v>
      </c>
      <c r="AD1743" s="2">
        <v>96.04</v>
      </c>
      <c r="AE1743" s="2">
        <v>33.25</v>
      </c>
      <c r="AF1743" s="2" t="s">
        <v>15371</v>
      </c>
      <c r="AG1743" s="2" t="s">
        <v>132</v>
      </c>
      <c r="AH1743" s="2" t="s">
        <v>15372</v>
      </c>
      <c r="AI1743" s="2">
        <v>4.72</v>
      </c>
      <c r="AJ1743" s="2">
        <v>21.934226009954699</v>
      </c>
      <c r="AK1743" s="2">
        <v>22.0865443574408</v>
      </c>
      <c r="AL1743" s="2">
        <v>22.217053390840501</v>
      </c>
      <c r="AM1743" s="2">
        <v>21.1079540723007</v>
      </c>
      <c r="AN1743" s="2">
        <v>21.954814438490899</v>
      </c>
      <c r="AO1743" s="2">
        <v>22.159164376569901</v>
      </c>
      <c r="AP1743" s="2">
        <v>21.794671437572099</v>
      </c>
      <c r="AQ1743" s="2">
        <v>21.938495919859601</v>
      </c>
      <c r="AR1743" s="2">
        <v>21.9974413410167</v>
      </c>
      <c r="AS1743" s="2">
        <v>22.155182138589598</v>
      </c>
      <c r="AT1743" s="2">
        <v>22.122877156366101</v>
      </c>
      <c r="AU1743" s="2">
        <v>22.0865266379116</v>
      </c>
      <c r="AV1743" s="2">
        <v>20.444182506431201</v>
      </c>
      <c r="AW1743" s="2">
        <v>20.396793107549701</v>
      </c>
      <c r="AX1743" s="2">
        <v>21.945828327015001</v>
      </c>
      <c r="AY1743" s="2">
        <v>22.1346738341433</v>
      </c>
      <c r="AZ1743" s="2">
        <v>21.894534305279599</v>
      </c>
      <c r="BA1743" s="2">
        <v>20.576257800734101</v>
      </c>
      <c r="BB1743" s="2">
        <v>22.127819635488699</v>
      </c>
      <c r="BC1743" s="2">
        <v>22.206003880351801</v>
      </c>
      <c r="BD1743" s="2">
        <v>22.216733349874701</v>
      </c>
      <c r="BE1743" s="2">
        <v>22.145352133836901</v>
      </c>
      <c r="BF1743" s="2">
        <v>22.0519911130854</v>
      </c>
      <c r="BG1743" s="2">
        <v>22.185726986924799</v>
      </c>
      <c r="BH1743" s="2">
        <v>22.049634031237101</v>
      </c>
      <c r="BI1743" s="2">
        <v>22.0746024319713</v>
      </c>
      <c r="BJ1743" s="2">
        <v>22.134299803599198</v>
      </c>
      <c r="BK1743" s="2">
        <v>22.073889946265901</v>
      </c>
      <c r="BL1743" s="2">
        <v>22.135952419842599</v>
      </c>
      <c r="BM1743" s="2">
        <v>21.985314621486701</v>
      </c>
      <c r="BN1743" s="2">
        <v>21.941607882808</v>
      </c>
      <c r="BO1743" s="2">
        <v>22.0075635863031</v>
      </c>
      <c r="BP1743" s="2">
        <v>21.885527688595499</v>
      </c>
      <c r="BQ1743" s="2">
        <v>21.993800306716398</v>
      </c>
      <c r="BR1743" s="2">
        <v>22.1015886123851</v>
      </c>
      <c r="BS1743" s="2">
        <v>21.9066870601931</v>
      </c>
      <c r="BT1743" s="2">
        <v>21.691713739837098</v>
      </c>
      <c r="BU1743" s="2">
        <v>22.0921930747316</v>
      </c>
      <c r="BV1743" s="2">
        <v>21.907690446307399</v>
      </c>
      <c r="BW1743" s="2">
        <v>21.969408216554701</v>
      </c>
      <c r="BX1743" s="2">
        <v>20.640642334476901</v>
      </c>
      <c r="BY1743" s="2">
        <v>22.050812948938301</v>
      </c>
      <c r="BZ1743" s="2">
        <v>21.9805501106446</v>
      </c>
      <c r="CA1743" s="2">
        <v>19.978947156977</v>
      </c>
      <c r="CB1743" s="2">
        <v>22.050997951733802</v>
      </c>
      <c r="CC1743" s="2">
        <v>21.9587320004389</v>
      </c>
      <c r="CD1743" s="2">
        <v>19.941520099185698</v>
      </c>
      <c r="CE1743" s="2">
        <v>20.032600372584799</v>
      </c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</row>
    <row r="1744" spans="1:97">
      <c r="A1744" s="2" t="s">
        <v>15373</v>
      </c>
      <c r="B1744" s="2">
        <v>420.12303000000003</v>
      </c>
      <c r="C1744" s="2">
        <v>3.915</v>
      </c>
      <c r="D1744" s="2" t="s">
        <v>146</v>
      </c>
      <c r="E1744" s="2" t="s">
        <v>15374</v>
      </c>
      <c r="F1744" s="2" t="s">
        <v>15375</v>
      </c>
      <c r="G1744" s="2">
        <v>54329</v>
      </c>
      <c r="H1744" s="3" t="str">
        <f>HYPERLINK("https://cloud.oebiotech.com/#/lm/network/54329", "https://cloud.oebiotech.com/#/lm/network/54329")</f>
        <v>https://cloud.oebiotech.com/#/lm/network/54329</v>
      </c>
      <c r="I1744" s="2" t="s">
        <v>15376</v>
      </c>
      <c r="J1744" s="2">
        <v>86224</v>
      </c>
      <c r="K1744" s="2"/>
      <c r="L1744" s="2">
        <v>609842</v>
      </c>
      <c r="M1744" s="2"/>
      <c r="N1744" s="2"/>
      <c r="O1744" s="2"/>
      <c r="P1744" s="2"/>
      <c r="Q1744" s="2"/>
      <c r="R1744" s="2"/>
      <c r="S1744" s="2" t="s">
        <v>15377</v>
      </c>
      <c r="T1744" s="2" t="s">
        <v>15378</v>
      </c>
      <c r="U1744" s="2" t="s">
        <v>15379</v>
      </c>
      <c r="V1744" s="2" t="s">
        <v>374</v>
      </c>
      <c r="W1744" s="2" t="s">
        <v>15380</v>
      </c>
      <c r="X1744" s="2" t="s">
        <v>375</v>
      </c>
      <c r="Y1744" s="2" t="s">
        <v>376</v>
      </c>
      <c r="Z1744" s="2" t="s">
        <v>15381</v>
      </c>
      <c r="AA1744" s="2"/>
      <c r="AB1744" s="2" t="s">
        <v>5118</v>
      </c>
      <c r="AC1744" s="2">
        <v>40.81</v>
      </c>
      <c r="AD1744" s="2">
        <v>65.66</v>
      </c>
      <c r="AE1744" s="2">
        <v>58.09</v>
      </c>
      <c r="AF1744" s="2" t="s">
        <v>15382</v>
      </c>
      <c r="AG1744" s="2" t="s">
        <v>4062</v>
      </c>
      <c r="AH1744" s="2" t="s">
        <v>15383</v>
      </c>
      <c r="AI1744" s="2">
        <v>-2.62</v>
      </c>
      <c r="AJ1744" s="2">
        <v>16.548855465415201</v>
      </c>
      <c r="AK1744" s="2">
        <v>16.264697688382199</v>
      </c>
      <c r="AL1744" s="2">
        <v>16.305870798901701</v>
      </c>
      <c r="AM1744" s="2">
        <v>16.34354263142</v>
      </c>
      <c r="AN1744" s="2">
        <v>16.7521412229448</v>
      </c>
      <c r="AO1744" s="2">
        <v>16.005698225804402</v>
      </c>
      <c r="AP1744" s="2">
        <v>16.508642506930599</v>
      </c>
      <c r="AQ1744" s="2">
        <v>16.263882237509399</v>
      </c>
      <c r="AR1744" s="2">
        <v>14.0821149366515</v>
      </c>
      <c r="AS1744" s="2">
        <v>15.3129003225287</v>
      </c>
      <c r="AT1744" s="2">
        <v>16.2213964258221</v>
      </c>
      <c r="AU1744" s="2">
        <v>13.961570878585899</v>
      </c>
      <c r="AV1744" s="2">
        <v>15.047773183302199</v>
      </c>
      <c r="AW1744" s="2">
        <v>16.341248987632</v>
      </c>
      <c r="AX1744" s="2">
        <v>16.182142527134801</v>
      </c>
      <c r="AY1744" s="2">
        <v>15.948774666035799</v>
      </c>
      <c r="AZ1744" s="2">
        <v>14.7729774097035</v>
      </c>
      <c r="BA1744" s="2">
        <v>16.002009778344402</v>
      </c>
      <c r="BB1744" s="2">
        <v>16.031536448034299</v>
      </c>
      <c r="BC1744" s="2">
        <v>17.3016559636111</v>
      </c>
      <c r="BD1744" s="2">
        <v>14.8687400989254</v>
      </c>
      <c r="BE1744" s="2">
        <v>17.408869058211</v>
      </c>
      <c r="BF1744" s="2">
        <v>15.179854676999099</v>
      </c>
      <c r="BG1744" s="2">
        <v>16.511089516313302</v>
      </c>
      <c r="BH1744" s="2">
        <v>15.3218403893247</v>
      </c>
      <c r="BI1744" s="2">
        <v>15.599267517128199</v>
      </c>
      <c r="BJ1744" s="2">
        <v>16.2538982546121</v>
      </c>
      <c r="BK1744" s="2">
        <v>15.2130354712152</v>
      </c>
      <c r="BL1744" s="2">
        <v>16.136636520755701</v>
      </c>
      <c r="BM1744" s="2">
        <v>12.9731933034866</v>
      </c>
      <c r="BN1744" s="2">
        <v>15.9753549570032</v>
      </c>
      <c r="BO1744" s="2">
        <v>16.442989810072699</v>
      </c>
      <c r="BP1744" s="2">
        <v>16.523171244713598</v>
      </c>
      <c r="BQ1744" s="2">
        <v>15.2322856306956</v>
      </c>
      <c r="BR1744" s="2">
        <v>16.902879573820702</v>
      </c>
      <c r="BS1744" s="2">
        <v>15.2613666322314</v>
      </c>
      <c r="BT1744" s="2">
        <v>15.603564628120701</v>
      </c>
      <c r="BU1744" s="2">
        <v>15.7667211895591</v>
      </c>
      <c r="BV1744" s="2">
        <v>16.515121695948299</v>
      </c>
      <c r="BW1744" s="2">
        <v>16.045953079767401</v>
      </c>
      <c r="BX1744" s="2">
        <v>15.142704598686301</v>
      </c>
      <c r="BY1744" s="2">
        <v>16.2040179923845</v>
      </c>
      <c r="BZ1744" s="2">
        <v>14.727203607529701</v>
      </c>
      <c r="CA1744" s="2">
        <v>15.5856526877209</v>
      </c>
      <c r="CB1744" s="2">
        <v>16.494993048883199</v>
      </c>
      <c r="CC1744" s="2">
        <v>15.5077423093514</v>
      </c>
      <c r="CD1744" s="2">
        <v>16.059347207283199</v>
      </c>
      <c r="CE1744" s="2">
        <v>16.2598978876599</v>
      </c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</row>
    <row r="1745" spans="1:97">
      <c r="A1745" s="2" t="s">
        <v>15384</v>
      </c>
      <c r="B1745" s="2">
        <v>336.21384999999998</v>
      </c>
      <c r="C1745" s="2">
        <v>6.6470000000000002</v>
      </c>
      <c r="D1745" s="2" t="s">
        <v>84</v>
      </c>
      <c r="E1745" s="2" t="s">
        <v>15385</v>
      </c>
      <c r="F1745" s="2" t="s">
        <v>15386</v>
      </c>
      <c r="G1745" s="2">
        <v>8338</v>
      </c>
      <c r="H1745" s="3" t="str">
        <f>HYPERLINK("https://cloud.oebiotech.com/#/lm/network/8338", "https://cloud.oebiotech.com/#/lm/network/8338")</f>
        <v>https://cloud.oebiotech.com/#/lm/network/8338</v>
      </c>
      <c r="I1745" s="2" t="s">
        <v>15387</v>
      </c>
      <c r="J1745" s="2">
        <v>849184</v>
      </c>
      <c r="K1745" s="2" t="s">
        <v>15388</v>
      </c>
      <c r="L1745" s="2">
        <v>57357170</v>
      </c>
      <c r="M1745" s="2"/>
      <c r="N1745" s="2"/>
      <c r="O1745" s="2"/>
      <c r="P1745" s="2"/>
      <c r="Q1745" s="2"/>
      <c r="R1745" s="2"/>
      <c r="S1745" s="2"/>
      <c r="T1745" s="2" t="s">
        <v>15389</v>
      </c>
      <c r="U1745" s="2" t="s">
        <v>15390</v>
      </c>
      <c r="V1745" s="2" t="s">
        <v>95</v>
      </c>
      <c r="W1745" s="2" t="s">
        <v>96</v>
      </c>
      <c r="X1745" s="2" t="s">
        <v>97</v>
      </c>
      <c r="Y1745" s="2" t="s">
        <v>98</v>
      </c>
      <c r="Z1745" s="2" t="s">
        <v>99</v>
      </c>
      <c r="AA1745" s="2" t="s">
        <v>100</v>
      </c>
      <c r="AB1745" s="2" t="s">
        <v>8443</v>
      </c>
      <c r="AC1745" s="2">
        <v>40.799999999999997</v>
      </c>
      <c r="AD1745" s="2">
        <v>75.3</v>
      </c>
      <c r="AE1745" s="2">
        <v>0</v>
      </c>
      <c r="AF1745" s="2" t="s">
        <v>15391</v>
      </c>
      <c r="AG1745" s="2" t="s">
        <v>1578</v>
      </c>
      <c r="AH1745" s="2" t="s">
        <v>540</v>
      </c>
      <c r="AI1745" s="2">
        <v>2.08</v>
      </c>
      <c r="AJ1745" s="2">
        <v>17.877250877236001</v>
      </c>
      <c r="AK1745" s="2">
        <v>17.099304657131501</v>
      </c>
      <c r="AL1745" s="2">
        <v>17.6266821055804</v>
      </c>
      <c r="AM1745" s="2">
        <v>17.5061634407799</v>
      </c>
      <c r="AN1745" s="2">
        <v>17.903254506915399</v>
      </c>
      <c r="AO1745" s="2">
        <v>17.4534944298981</v>
      </c>
      <c r="AP1745" s="2">
        <v>17.700695732611202</v>
      </c>
      <c r="AQ1745" s="2">
        <v>17.758557468205701</v>
      </c>
      <c r="AR1745" s="2">
        <v>9.6233145402724691</v>
      </c>
      <c r="AS1745" s="2">
        <v>16.204795210704599</v>
      </c>
      <c r="AT1745" s="2">
        <v>16.460267419800001</v>
      </c>
      <c r="AU1745" s="2">
        <v>15.1379377302303</v>
      </c>
      <c r="AV1745" s="2">
        <v>13.929841842297201</v>
      </c>
      <c r="AW1745" s="2">
        <v>17.519432622411301</v>
      </c>
      <c r="AX1745" s="2">
        <v>17.053757495078699</v>
      </c>
      <c r="AY1745" s="2">
        <v>17.998790331137901</v>
      </c>
      <c r="AZ1745" s="2">
        <v>9.6233145402724691</v>
      </c>
      <c r="BA1745" s="2">
        <v>17.930029951658799</v>
      </c>
      <c r="BB1745" s="2">
        <v>19.6924424244338</v>
      </c>
      <c r="BC1745" s="2">
        <v>18.6159500254874</v>
      </c>
      <c r="BD1745" s="2">
        <v>9.6233145402724691</v>
      </c>
      <c r="BE1745" s="2">
        <v>17.400953796651802</v>
      </c>
      <c r="BF1745" s="2">
        <v>16.7789216979155</v>
      </c>
      <c r="BG1745" s="2">
        <v>18.417619989443399</v>
      </c>
      <c r="BH1745" s="2">
        <v>15.539890940898401</v>
      </c>
      <c r="BI1745" s="2">
        <v>17.8656354763366</v>
      </c>
      <c r="BJ1745" s="2">
        <v>16.666487548016399</v>
      </c>
      <c r="BK1745" s="2">
        <v>13.7694081110079</v>
      </c>
      <c r="BL1745" s="2">
        <v>17.628930904174801</v>
      </c>
      <c r="BM1745" s="2">
        <v>15.8696080600012</v>
      </c>
      <c r="BN1745" s="2">
        <v>14.748886769973099</v>
      </c>
      <c r="BO1745" s="2">
        <v>18.185360236317699</v>
      </c>
      <c r="BP1745" s="2">
        <v>17.7701781945051</v>
      </c>
      <c r="BQ1745" s="2">
        <v>18.990294074191102</v>
      </c>
      <c r="BR1745" s="2">
        <v>18.140266157860701</v>
      </c>
      <c r="BS1745" s="2">
        <v>17.161146156302099</v>
      </c>
      <c r="BT1745" s="2">
        <v>17.506778261679901</v>
      </c>
      <c r="BU1745" s="2">
        <v>17.3420199615332</v>
      </c>
      <c r="BV1745" s="2">
        <v>19.114784311282499</v>
      </c>
      <c r="BW1745" s="2">
        <v>17.1118483425508</v>
      </c>
      <c r="BX1745" s="2">
        <v>17.090428594981098</v>
      </c>
      <c r="BY1745" s="2">
        <v>14.770963735045299</v>
      </c>
      <c r="BZ1745" s="2">
        <v>17.6589165883139</v>
      </c>
      <c r="CA1745" s="2">
        <v>14.8534815962769</v>
      </c>
      <c r="CB1745" s="2">
        <v>16.7690126129079</v>
      </c>
      <c r="CC1745" s="2">
        <v>18.2329931733961</v>
      </c>
      <c r="CD1745" s="2">
        <v>16.8421088181302</v>
      </c>
      <c r="CE1745" s="2">
        <v>17.8718286116965</v>
      </c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</row>
    <row r="1746" spans="1:97">
      <c r="A1746" s="2" t="s">
        <v>15392</v>
      </c>
      <c r="B1746" s="2">
        <v>241.03245000000001</v>
      </c>
      <c r="C1746" s="2">
        <v>4.3310000000000004</v>
      </c>
      <c r="D1746" s="2" t="s">
        <v>146</v>
      </c>
      <c r="E1746" s="2" t="s">
        <v>15393</v>
      </c>
      <c r="F1746" s="2" t="s">
        <v>15394</v>
      </c>
      <c r="G1746" s="2">
        <v>200682</v>
      </c>
      <c r="H1746" s="3" t="str">
        <f>HYPERLINK("https://cloud.oebiotech.com/#/lm/network/200682", "https://cloud.oebiotech.com/#/lm/network/200682")</f>
        <v>https://cloud.oebiotech.com/#/lm/network/200682</v>
      </c>
      <c r="I1746" s="2" t="s">
        <v>15395</v>
      </c>
      <c r="J1746" s="2"/>
      <c r="K1746" s="2"/>
      <c r="L1746" s="2">
        <v>10198171</v>
      </c>
      <c r="M1746" s="2"/>
      <c r="N1746" s="2"/>
      <c r="O1746" s="2"/>
      <c r="P1746" s="2"/>
      <c r="Q1746" s="2"/>
      <c r="R1746" s="2"/>
      <c r="S1746" s="2"/>
      <c r="T1746" s="2" t="s">
        <v>15396</v>
      </c>
      <c r="U1746" s="2" t="s">
        <v>15397</v>
      </c>
      <c r="V1746" s="2" t="s">
        <v>95</v>
      </c>
      <c r="W1746" s="2" t="s">
        <v>96</v>
      </c>
      <c r="X1746" s="2" t="s">
        <v>141</v>
      </c>
      <c r="Y1746" s="2" t="s">
        <v>98</v>
      </c>
      <c r="Z1746" s="2" t="s">
        <v>99</v>
      </c>
      <c r="AA1746" s="2" t="s">
        <v>142</v>
      </c>
      <c r="AB1746" s="2" t="s">
        <v>8443</v>
      </c>
      <c r="AC1746" s="2">
        <v>40.79</v>
      </c>
      <c r="AD1746" s="2">
        <v>73.64</v>
      </c>
      <c r="AE1746" s="2">
        <v>37.090000000000003</v>
      </c>
      <c r="AF1746" s="2" t="s">
        <v>15398</v>
      </c>
      <c r="AG1746" s="2" t="s">
        <v>4062</v>
      </c>
      <c r="AH1746" s="2" t="s">
        <v>15399</v>
      </c>
      <c r="AI1746" s="2">
        <v>-7.47</v>
      </c>
      <c r="AJ1746" s="2">
        <v>20.061996344946099</v>
      </c>
      <c r="AK1746" s="2">
        <v>19.9945810362033</v>
      </c>
      <c r="AL1746" s="2">
        <v>19.902932582443</v>
      </c>
      <c r="AM1746" s="2">
        <v>20.147311245637301</v>
      </c>
      <c r="AN1746" s="2">
        <v>19.45803296583</v>
      </c>
      <c r="AO1746" s="2">
        <v>19.902180448937798</v>
      </c>
      <c r="AP1746" s="2">
        <v>19.827588419601</v>
      </c>
      <c r="AQ1746" s="2">
        <v>19.748876945257901</v>
      </c>
      <c r="AR1746" s="2">
        <v>18.927130859579002</v>
      </c>
      <c r="AS1746" s="2">
        <v>18.687908072482699</v>
      </c>
      <c r="AT1746" s="2">
        <v>19.392742372886701</v>
      </c>
      <c r="AU1746" s="2">
        <v>18.982635741149</v>
      </c>
      <c r="AV1746" s="2">
        <v>19.5927415230572</v>
      </c>
      <c r="AW1746" s="2">
        <v>19.026961223619001</v>
      </c>
      <c r="AX1746" s="2">
        <v>19.834351313203101</v>
      </c>
      <c r="AY1746" s="2">
        <v>19.6603525793141</v>
      </c>
      <c r="AZ1746" s="2">
        <v>18.7092077955608</v>
      </c>
      <c r="BA1746" s="2">
        <v>19.127691335492901</v>
      </c>
      <c r="BB1746" s="2">
        <v>20.294275969108298</v>
      </c>
      <c r="BC1746" s="2">
        <v>20.616119797891098</v>
      </c>
      <c r="BD1746" s="2">
        <v>19.612956392288702</v>
      </c>
      <c r="BE1746" s="2">
        <v>20.353699490338599</v>
      </c>
      <c r="BF1746" s="2">
        <v>20.031911829841999</v>
      </c>
      <c r="BG1746" s="2">
        <v>20.377660910337202</v>
      </c>
      <c r="BH1746" s="2">
        <v>19.850470585720299</v>
      </c>
      <c r="BI1746" s="2">
        <v>20.0963687595622</v>
      </c>
      <c r="BJ1746" s="2">
        <v>19.682942443826299</v>
      </c>
      <c r="BK1746" s="2">
        <v>19.166058828977601</v>
      </c>
      <c r="BL1746" s="2">
        <v>19.686768343762601</v>
      </c>
      <c r="BM1746" s="2">
        <v>20.308978651811799</v>
      </c>
      <c r="BN1746" s="2">
        <v>19.749295746248698</v>
      </c>
      <c r="BO1746" s="2">
        <v>19.596929884541101</v>
      </c>
      <c r="BP1746" s="2">
        <v>19.6726672488074</v>
      </c>
      <c r="BQ1746" s="2">
        <v>19.799828657311</v>
      </c>
      <c r="BR1746" s="2">
        <v>19.6663339347513</v>
      </c>
      <c r="BS1746" s="2">
        <v>19.591010492907699</v>
      </c>
      <c r="BT1746" s="2">
        <v>18.887318237116599</v>
      </c>
      <c r="BU1746" s="2">
        <v>19.4759873635331</v>
      </c>
      <c r="BV1746" s="2">
        <v>20.268080290603798</v>
      </c>
      <c r="BW1746" s="2">
        <v>19.7735358611199</v>
      </c>
      <c r="BX1746" s="2">
        <v>19.626350900632598</v>
      </c>
      <c r="BY1746" s="2">
        <v>20.092536373398399</v>
      </c>
      <c r="BZ1746" s="2">
        <v>19.802595973428101</v>
      </c>
      <c r="CA1746" s="2">
        <v>20.4497274406332</v>
      </c>
      <c r="CB1746" s="2">
        <v>19.753711030208802</v>
      </c>
      <c r="CC1746" s="2">
        <v>19.975406432138801</v>
      </c>
      <c r="CD1746" s="2">
        <v>20.136861566707701</v>
      </c>
      <c r="CE1746" s="2">
        <v>20.103198200742</v>
      </c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</row>
    <row r="1747" spans="1:97">
      <c r="A1747" s="2" t="s">
        <v>15400</v>
      </c>
      <c r="B1747" s="2">
        <v>590.24659999999994</v>
      </c>
      <c r="C1747" s="2">
        <v>7.4960000000000004</v>
      </c>
      <c r="D1747" s="2" t="s">
        <v>146</v>
      </c>
      <c r="E1747" s="2" t="s">
        <v>15401</v>
      </c>
      <c r="F1747" s="2" t="s">
        <v>15402</v>
      </c>
      <c r="G1747" s="2">
        <v>209016</v>
      </c>
      <c r="H1747" s="3" t="str">
        <f>HYPERLINK("https://cloud.oebiotech.com/#/lm/network/209016", "https://cloud.oebiotech.com/#/lm/network/209016")</f>
        <v>https://cloud.oebiotech.com/#/lm/network/209016</v>
      </c>
      <c r="I1747" s="2" t="s">
        <v>15403</v>
      </c>
      <c r="J1747" s="2"/>
      <c r="K1747" s="2"/>
      <c r="L1747" s="2">
        <v>3083702</v>
      </c>
      <c r="M1747" s="2"/>
      <c r="N1747" s="2"/>
      <c r="O1747" s="2"/>
      <c r="P1747" s="2"/>
      <c r="Q1747" s="2"/>
      <c r="R1747" s="2"/>
      <c r="S1747" s="2"/>
      <c r="T1747" s="2" t="s">
        <v>15404</v>
      </c>
      <c r="U1747" s="2" t="s">
        <v>15405</v>
      </c>
      <c r="V1747" s="2" t="s">
        <v>115</v>
      </c>
      <c r="W1747" s="2" t="s">
        <v>7559</v>
      </c>
      <c r="X1747" s="2" t="s">
        <v>11263</v>
      </c>
      <c r="Y1747" s="2" t="s">
        <v>118</v>
      </c>
      <c r="Z1747" s="2" t="s">
        <v>7561</v>
      </c>
      <c r="AA1747" s="2" t="s">
        <v>11264</v>
      </c>
      <c r="AB1747" s="2" t="s">
        <v>8443</v>
      </c>
      <c r="AC1747" s="2">
        <v>40.76</v>
      </c>
      <c r="AD1747" s="2">
        <v>79.48</v>
      </c>
      <c r="AE1747" s="2">
        <v>30.37</v>
      </c>
      <c r="AF1747" s="2" t="s">
        <v>15406</v>
      </c>
      <c r="AG1747" s="2" t="s">
        <v>194</v>
      </c>
      <c r="AH1747" s="2" t="s">
        <v>15407</v>
      </c>
      <c r="AI1747" s="2">
        <v>0.34</v>
      </c>
      <c r="AJ1747" s="2">
        <v>16.211757141401701</v>
      </c>
      <c r="AK1747" s="2">
        <v>16.522882316770101</v>
      </c>
      <c r="AL1747" s="2">
        <v>16.2135025921569</v>
      </c>
      <c r="AM1747" s="2">
        <v>17.069380534530598</v>
      </c>
      <c r="AN1747" s="2">
        <v>16.859266270064001</v>
      </c>
      <c r="AO1747" s="2">
        <v>16.287582531152498</v>
      </c>
      <c r="AP1747" s="2">
        <v>16.1265544531486</v>
      </c>
      <c r="AQ1747" s="2">
        <v>17.098939035479798</v>
      </c>
      <c r="AR1747" s="2">
        <v>16.106682955576002</v>
      </c>
      <c r="AS1747" s="2">
        <v>9.6233145402724691</v>
      </c>
      <c r="AT1747" s="2">
        <v>13.515395549301701</v>
      </c>
      <c r="AU1747" s="2">
        <v>15.876994808109799</v>
      </c>
      <c r="AV1747" s="2">
        <v>12.234937151879301</v>
      </c>
      <c r="AW1747" s="2">
        <v>18.0601793547279</v>
      </c>
      <c r="AX1747" s="2">
        <v>9.6233145402724691</v>
      </c>
      <c r="AY1747" s="2">
        <v>15.6193605634723</v>
      </c>
      <c r="AZ1747" s="2">
        <v>9.6233145402724691</v>
      </c>
      <c r="BA1747" s="2">
        <v>9.6233145402724691</v>
      </c>
      <c r="BB1747" s="2">
        <v>18.310179535357499</v>
      </c>
      <c r="BC1747" s="2">
        <v>12.130271310899801</v>
      </c>
      <c r="BD1747" s="2">
        <v>11.9371972429359</v>
      </c>
      <c r="BE1747" s="2">
        <v>12.788122863645199</v>
      </c>
      <c r="BF1747" s="2">
        <v>12.1903957184558</v>
      </c>
      <c r="BG1747" s="2">
        <v>9.6233145402724691</v>
      </c>
      <c r="BH1747" s="2">
        <v>13.7027841424286</v>
      </c>
      <c r="BI1747" s="2">
        <v>9.6233145402724691</v>
      </c>
      <c r="BJ1747" s="2">
        <v>9.6233145402724691</v>
      </c>
      <c r="BK1747" s="2">
        <v>16.242921757620898</v>
      </c>
      <c r="BL1747" s="2">
        <v>9.6233145402724691</v>
      </c>
      <c r="BM1747" s="2">
        <v>16.653594548422198</v>
      </c>
      <c r="BN1747" s="2">
        <v>13.7422662724956</v>
      </c>
      <c r="BO1747" s="2">
        <v>9.6233145402724691</v>
      </c>
      <c r="BP1747" s="2">
        <v>9.6233145402724691</v>
      </c>
      <c r="BQ1747" s="2">
        <v>14.578499475944099</v>
      </c>
      <c r="BR1747" s="2">
        <v>13.3575231394324</v>
      </c>
      <c r="BS1747" s="2">
        <v>12.3085096858628</v>
      </c>
      <c r="BT1747" s="2">
        <v>9.6233145402724691</v>
      </c>
      <c r="BU1747" s="2">
        <v>9.6233145402724691</v>
      </c>
      <c r="BV1747" s="2">
        <v>18.0883548227721</v>
      </c>
      <c r="BW1747" s="2">
        <v>11.815315242555601</v>
      </c>
      <c r="BX1747" s="2">
        <v>9.6233145402724691</v>
      </c>
      <c r="BY1747" s="2">
        <v>9.6233145402724691</v>
      </c>
      <c r="BZ1747" s="2">
        <v>14.9794193895262</v>
      </c>
      <c r="CA1747" s="2">
        <v>11.994869603030599</v>
      </c>
      <c r="CB1747" s="2">
        <v>14.250353199005501</v>
      </c>
      <c r="CC1747" s="2">
        <v>9.6233145402724691</v>
      </c>
      <c r="CD1747" s="2">
        <v>12.0858773926723</v>
      </c>
      <c r="CE1747" s="2">
        <v>9.6233145402724691</v>
      </c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</row>
    <row r="1748" spans="1:97">
      <c r="A1748" s="2" t="s">
        <v>15408</v>
      </c>
      <c r="B1748" s="2">
        <v>272.06832000000003</v>
      </c>
      <c r="C1748" s="2">
        <v>1.095</v>
      </c>
      <c r="D1748" s="2" t="s">
        <v>146</v>
      </c>
      <c r="E1748" s="2" t="s">
        <v>15409</v>
      </c>
      <c r="F1748" s="2" t="s">
        <v>15410</v>
      </c>
      <c r="G1748" s="2">
        <v>57047</v>
      </c>
      <c r="H1748" s="3" t="str">
        <f>HYPERLINK("https://cloud.oebiotech.com/#/lm/network/57047", "https://cloud.oebiotech.com/#/lm/network/57047")</f>
        <v>https://cloud.oebiotech.com/#/lm/network/57047</v>
      </c>
      <c r="I1748" s="2" t="s">
        <v>15411</v>
      </c>
      <c r="J1748" s="2">
        <v>88702</v>
      </c>
      <c r="K1748" s="2"/>
      <c r="L1748" s="2">
        <v>27975</v>
      </c>
      <c r="M1748" s="2"/>
      <c r="N1748" s="2"/>
      <c r="O1748" s="2"/>
      <c r="P1748" s="2"/>
      <c r="Q1748" s="2"/>
      <c r="R1748" s="2"/>
      <c r="S1748" s="2" t="s">
        <v>15412</v>
      </c>
      <c r="T1748" s="2" t="s">
        <v>15413</v>
      </c>
      <c r="U1748" s="2" t="s">
        <v>15414</v>
      </c>
      <c r="V1748" s="2" t="s">
        <v>553</v>
      </c>
      <c r="W1748" s="2" t="s">
        <v>15415</v>
      </c>
      <c r="X1748" s="2" t="s">
        <v>375</v>
      </c>
      <c r="Y1748" s="2" t="s">
        <v>556</v>
      </c>
      <c r="Z1748" s="2" t="s">
        <v>15416</v>
      </c>
      <c r="AA1748" s="2"/>
      <c r="AB1748" s="2" t="s">
        <v>5118</v>
      </c>
      <c r="AC1748" s="2">
        <v>40.74</v>
      </c>
      <c r="AD1748" s="2">
        <v>73.55</v>
      </c>
      <c r="AE1748" s="2">
        <v>58.97</v>
      </c>
      <c r="AF1748" s="2" t="s">
        <v>15417</v>
      </c>
      <c r="AG1748" s="2" t="s">
        <v>4062</v>
      </c>
      <c r="AH1748" s="2" t="s">
        <v>15418</v>
      </c>
      <c r="AI1748" s="2">
        <v>4.41</v>
      </c>
      <c r="AJ1748" s="2">
        <v>18.288051327980298</v>
      </c>
      <c r="AK1748" s="2">
        <v>18.986077259439501</v>
      </c>
      <c r="AL1748" s="2">
        <v>18.9280608389858</v>
      </c>
      <c r="AM1748" s="2">
        <v>18.028938698951901</v>
      </c>
      <c r="AN1748" s="2">
        <v>19.043430661523701</v>
      </c>
      <c r="AO1748" s="2">
        <v>18.325839699044099</v>
      </c>
      <c r="AP1748" s="2">
        <v>18.665152889738</v>
      </c>
      <c r="AQ1748" s="2">
        <v>18.6175661105571</v>
      </c>
      <c r="AR1748" s="2">
        <v>18.1951603248487</v>
      </c>
      <c r="AS1748" s="2">
        <v>18.4873331790136</v>
      </c>
      <c r="AT1748" s="2">
        <v>18.890930291311701</v>
      </c>
      <c r="AU1748" s="2">
        <v>18.355254170699801</v>
      </c>
      <c r="AV1748" s="2">
        <v>18.726467445013999</v>
      </c>
      <c r="AW1748" s="2">
        <v>18.558275034254599</v>
      </c>
      <c r="AX1748" s="2">
        <v>18.535250122856699</v>
      </c>
      <c r="AY1748" s="2">
        <v>17.632943880280902</v>
      </c>
      <c r="AZ1748" s="2">
        <v>18.459560613617001</v>
      </c>
      <c r="BA1748" s="2">
        <v>18.296645022029502</v>
      </c>
      <c r="BB1748" s="2">
        <v>18.499378389486399</v>
      </c>
      <c r="BC1748" s="2">
        <v>18.331229860961798</v>
      </c>
      <c r="BD1748" s="2">
        <v>16.835095945861699</v>
      </c>
      <c r="BE1748" s="2">
        <v>18.371529893463698</v>
      </c>
      <c r="BF1748" s="2">
        <v>19.1404903512963</v>
      </c>
      <c r="BG1748" s="2">
        <v>18.462564817209401</v>
      </c>
      <c r="BH1748" s="2">
        <v>18.2878981596579</v>
      </c>
      <c r="BI1748" s="2">
        <v>18.148842125195099</v>
      </c>
      <c r="BJ1748" s="2">
        <v>19.026028019992701</v>
      </c>
      <c r="BK1748" s="2">
        <v>17.910958109882799</v>
      </c>
      <c r="BL1748" s="2">
        <v>17.8099893258292</v>
      </c>
      <c r="BM1748" s="2">
        <v>17.868453154411501</v>
      </c>
      <c r="BN1748" s="2">
        <v>18.609959707527501</v>
      </c>
      <c r="BO1748" s="2">
        <v>18.302689700647701</v>
      </c>
      <c r="BP1748" s="2">
        <v>18.978409801151699</v>
      </c>
      <c r="BQ1748" s="2">
        <v>18.257826371094499</v>
      </c>
      <c r="BR1748" s="2">
        <v>18.7085859217168</v>
      </c>
      <c r="BS1748" s="2">
        <v>18.22165116851</v>
      </c>
      <c r="BT1748" s="2">
        <v>18.343834024183099</v>
      </c>
      <c r="BU1748" s="2">
        <v>19.675226399548201</v>
      </c>
      <c r="BV1748" s="2">
        <v>18.430349475002</v>
      </c>
      <c r="BW1748" s="2">
        <v>18.375835145257302</v>
      </c>
      <c r="BX1748" s="2">
        <v>18.149895094121199</v>
      </c>
      <c r="BY1748" s="2">
        <v>18.587219384965401</v>
      </c>
      <c r="BZ1748" s="2">
        <v>18.6451853152751</v>
      </c>
      <c r="CA1748" s="2">
        <v>18.5267725458827</v>
      </c>
      <c r="CB1748" s="2">
        <v>18.3231528178273</v>
      </c>
      <c r="CC1748" s="2">
        <v>17.775266128554101</v>
      </c>
      <c r="CD1748" s="2">
        <v>18.958924414124901</v>
      </c>
      <c r="CE1748" s="2">
        <v>18.3602573117616</v>
      </c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</row>
    <row r="1749" spans="1:97">
      <c r="A1749" s="2" t="s">
        <v>15419</v>
      </c>
      <c r="B1749" s="2">
        <v>411.18409000000003</v>
      </c>
      <c r="C1749" s="2">
        <v>6.2169999999999996</v>
      </c>
      <c r="D1749" s="2" t="s">
        <v>146</v>
      </c>
      <c r="E1749" s="2" t="s">
        <v>15420</v>
      </c>
      <c r="F1749" s="2" t="s">
        <v>15421</v>
      </c>
      <c r="G1749" s="2">
        <v>204247</v>
      </c>
      <c r="H1749" s="3" t="str">
        <f>HYPERLINK("https://cloud.oebiotech.com/#/lm/network/204247", "https://cloud.oebiotech.com/#/lm/network/204247")</f>
        <v>https://cloud.oebiotech.com/#/lm/network/204247</v>
      </c>
      <c r="I1749" s="2" t="s">
        <v>15422</v>
      </c>
      <c r="J1749" s="2">
        <v>45523</v>
      </c>
      <c r="K1749" s="2"/>
      <c r="L1749" s="2">
        <v>2396</v>
      </c>
      <c r="M1749" s="2" t="s">
        <v>15423</v>
      </c>
      <c r="N1749" s="2"/>
      <c r="O1749" s="2"/>
      <c r="P1749" s="2"/>
      <c r="Q1749" s="2"/>
      <c r="R1749" s="2"/>
      <c r="S1749" s="2" t="s">
        <v>15424</v>
      </c>
      <c r="T1749" s="2" t="s">
        <v>15425</v>
      </c>
      <c r="U1749" s="2" t="s">
        <v>15426</v>
      </c>
      <c r="V1749" s="2" t="s">
        <v>553</v>
      </c>
      <c r="W1749" s="2" t="s">
        <v>933</v>
      </c>
      <c r="X1749" s="2" t="s">
        <v>9765</v>
      </c>
      <c r="Y1749" s="2" t="s">
        <v>556</v>
      </c>
      <c r="Z1749" s="2" t="s">
        <v>935</v>
      </c>
      <c r="AA1749" s="2" t="s">
        <v>9766</v>
      </c>
      <c r="AB1749" s="2" t="s">
        <v>8443</v>
      </c>
      <c r="AC1749" s="2">
        <v>40.729999999999997</v>
      </c>
      <c r="AD1749" s="2">
        <v>83</v>
      </c>
      <c r="AE1749" s="2">
        <v>0</v>
      </c>
      <c r="AF1749" s="2" t="s">
        <v>15427</v>
      </c>
      <c r="AG1749" s="2" t="s">
        <v>194</v>
      </c>
      <c r="AH1749" s="2" t="s">
        <v>15428</v>
      </c>
      <c r="AI1749" s="2">
        <v>-3.65</v>
      </c>
      <c r="AJ1749" s="2">
        <v>18.754141449839899</v>
      </c>
      <c r="AK1749" s="2">
        <v>18.676756016263599</v>
      </c>
      <c r="AL1749" s="2">
        <v>18.709785961697701</v>
      </c>
      <c r="AM1749" s="2">
        <v>18.515275302044198</v>
      </c>
      <c r="AN1749" s="2">
        <v>18.721969161301502</v>
      </c>
      <c r="AO1749" s="2">
        <v>18.784564847029699</v>
      </c>
      <c r="AP1749" s="2">
        <v>17.822655034663001</v>
      </c>
      <c r="AQ1749" s="2">
        <v>18.555432023379201</v>
      </c>
      <c r="AR1749" s="2">
        <v>17.1779972828576</v>
      </c>
      <c r="AS1749" s="2">
        <v>15.821379378813701</v>
      </c>
      <c r="AT1749" s="2">
        <v>19.694326954407899</v>
      </c>
      <c r="AU1749" s="2">
        <v>18.015205297506899</v>
      </c>
      <c r="AV1749" s="2">
        <v>18.732659497885901</v>
      </c>
      <c r="AW1749" s="2">
        <v>18.9219505061597</v>
      </c>
      <c r="AX1749" s="2">
        <v>18.1694284808272</v>
      </c>
      <c r="AY1749" s="2">
        <v>18.659040636459402</v>
      </c>
      <c r="AZ1749" s="2">
        <v>18.175264408136702</v>
      </c>
      <c r="BA1749" s="2">
        <v>18.7262133687932</v>
      </c>
      <c r="BB1749" s="2">
        <v>18.544569703263502</v>
      </c>
      <c r="BC1749" s="2">
        <v>19.7899789898538</v>
      </c>
      <c r="BD1749" s="2">
        <v>17.9037967808822</v>
      </c>
      <c r="BE1749" s="2">
        <v>19.110372608617801</v>
      </c>
      <c r="BF1749" s="2">
        <v>16.849935506641099</v>
      </c>
      <c r="BG1749" s="2">
        <v>18.974082329919099</v>
      </c>
      <c r="BH1749" s="2">
        <v>18.060020407299699</v>
      </c>
      <c r="BI1749" s="2">
        <v>17.0978291691336</v>
      </c>
      <c r="BJ1749" s="2">
        <v>18.9338990046048</v>
      </c>
      <c r="BK1749" s="2">
        <v>18.2650686493668</v>
      </c>
      <c r="BL1749" s="2">
        <v>18.355649060301999</v>
      </c>
      <c r="BM1749" s="2">
        <v>17.615998682691998</v>
      </c>
      <c r="BN1749" s="2">
        <v>19.7271103526814</v>
      </c>
      <c r="BO1749" s="2">
        <v>18.726776613845701</v>
      </c>
      <c r="BP1749" s="2">
        <v>18.891333443297899</v>
      </c>
      <c r="BQ1749" s="2">
        <v>18.6336922655458</v>
      </c>
      <c r="BR1749" s="2">
        <v>18.4888804651481</v>
      </c>
      <c r="BS1749" s="2">
        <v>18.0604379302114</v>
      </c>
      <c r="BT1749" s="2">
        <v>18.141758659843799</v>
      </c>
      <c r="BU1749" s="2">
        <v>19.027732466946699</v>
      </c>
      <c r="BV1749" s="2">
        <v>17.499699776299</v>
      </c>
      <c r="BW1749" s="2">
        <v>18.3853726415655</v>
      </c>
      <c r="BX1749" s="2">
        <v>17.8887284466457</v>
      </c>
      <c r="BY1749" s="2">
        <v>19.232899609941299</v>
      </c>
      <c r="BZ1749" s="2">
        <v>18.084059488205799</v>
      </c>
      <c r="CA1749" s="2">
        <v>16.1247869180708</v>
      </c>
      <c r="CB1749" s="2">
        <v>19.4243790409535</v>
      </c>
      <c r="CC1749" s="2">
        <v>17.246820003905299</v>
      </c>
      <c r="CD1749" s="2">
        <v>19.387405743072499</v>
      </c>
      <c r="CE1749" s="2">
        <v>18.902516967342201</v>
      </c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</row>
    <row r="1750" spans="1:97">
      <c r="A1750" s="2" t="s">
        <v>15429</v>
      </c>
      <c r="B1750" s="2">
        <v>626.35299999999995</v>
      </c>
      <c r="C1750" s="2">
        <v>6.1959999999999997</v>
      </c>
      <c r="D1750" s="2" t="s">
        <v>84</v>
      </c>
      <c r="E1750" s="2" t="s">
        <v>15430</v>
      </c>
      <c r="F1750" s="2" t="s">
        <v>15431</v>
      </c>
      <c r="G1750" s="2">
        <v>57634</v>
      </c>
      <c r="H1750" s="3" t="str">
        <f>HYPERLINK("https://cloud.oebiotech.com/#/lm/network/57634", "https://cloud.oebiotech.com/#/lm/network/57634")</f>
        <v>https://cloud.oebiotech.com/#/lm/network/57634</v>
      </c>
      <c r="I1750" s="2" t="s">
        <v>15432</v>
      </c>
      <c r="J1750" s="2"/>
      <c r="K1750" s="2"/>
      <c r="L1750" s="2">
        <v>101683947</v>
      </c>
      <c r="M1750" s="2"/>
      <c r="N1750" s="2"/>
      <c r="O1750" s="2"/>
      <c r="P1750" s="2"/>
      <c r="Q1750" s="2"/>
      <c r="R1750" s="2"/>
      <c r="S1750" s="2" t="s">
        <v>15433</v>
      </c>
      <c r="T1750" s="2" t="s">
        <v>15434</v>
      </c>
      <c r="U1750" s="2" t="s">
        <v>15435</v>
      </c>
      <c r="V1750" s="2" t="s">
        <v>115</v>
      </c>
      <c r="W1750" s="2" t="s">
        <v>116</v>
      </c>
      <c r="X1750" s="2" t="s">
        <v>1642</v>
      </c>
      <c r="Y1750" s="2" t="s">
        <v>118</v>
      </c>
      <c r="Z1750" s="2" t="s">
        <v>119</v>
      </c>
      <c r="AA1750" s="2" t="s">
        <v>1643</v>
      </c>
      <c r="AB1750" s="2" t="s">
        <v>5118</v>
      </c>
      <c r="AC1750" s="2">
        <v>40.700000000000003</v>
      </c>
      <c r="AD1750" s="2">
        <v>75.72</v>
      </c>
      <c r="AE1750" s="2">
        <v>47.42</v>
      </c>
      <c r="AF1750" s="2" t="s">
        <v>15436</v>
      </c>
      <c r="AG1750" s="2" t="s">
        <v>1578</v>
      </c>
      <c r="AH1750" s="2" t="s">
        <v>15437</v>
      </c>
      <c r="AI1750" s="2">
        <v>-3.03</v>
      </c>
      <c r="AJ1750" s="2">
        <v>17.722498110865299</v>
      </c>
      <c r="AK1750" s="2">
        <v>16.898852174623901</v>
      </c>
      <c r="AL1750" s="2">
        <v>16.5951642208368</v>
      </c>
      <c r="AM1750" s="2">
        <v>17.2803975267121</v>
      </c>
      <c r="AN1750" s="2">
        <v>17.508919294534401</v>
      </c>
      <c r="AO1750" s="2">
        <v>17.702457680952101</v>
      </c>
      <c r="AP1750" s="2">
        <v>17.282562244387801</v>
      </c>
      <c r="AQ1750" s="2">
        <v>17.795448549779699</v>
      </c>
      <c r="AR1750" s="2">
        <v>14.710538485887801</v>
      </c>
      <c r="AS1750" s="2">
        <v>13.7426462782618</v>
      </c>
      <c r="AT1750" s="2">
        <v>9.6233145402724691</v>
      </c>
      <c r="AU1750" s="2">
        <v>16.093223596352299</v>
      </c>
      <c r="AV1750" s="2">
        <v>16.619430062667998</v>
      </c>
      <c r="AW1750" s="2">
        <v>17.523230601057701</v>
      </c>
      <c r="AX1750" s="2">
        <v>14.8499523611102</v>
      </c>
      <c r="AY1750" s="2">
        <v>17.344616837183999</v>
      </c>
      <c r="AZ1750" s="2">
        <v>14.093217818181</v>
      </c>
      <c r="BA1750" s="2">
        <v>18.024119398346102</v>
      </c>
      <c r="BB1750" s="2">
        <v>17.958431390732599</v>
      </c>
      <c r="BC1750" s="2">
        <v>17.255955966206901</v>
      </c>
      <c r="BD1750" s="2">
        <v>14.646917539293</v>
      </c>
      <c r="BE1750" s="2">
        <v>18.245836822131601</v>
      </c>
      <c r="BF1750" s="2">
        <v>14.8444743184216</v>
      </c>
      <c r="BG1750" s="2">
        <v>18.849808511656502</v>
      </c>
      <c r="BH1750" s="2">
        <v>9.6233145402724691</v>
      </c>
      <c r="BI1750" s="2">
        <v>16.7528414774204</v>
      </c>
      <c r="BJ1750" s="2">
        <v>17.637916036610001</v>
      </c>
      <c r="BK1750" s="2">
        <v>16.015338167585998</v>
      </c>
      <c r="BL1750" s="2">
        <v>9.6233145402724691</v>
      </c>
      <c r="BM1750" s="2">
        <v>15.9003857036664</v>
      </c>
      <c r="BN1750" s="2">
        <v>15.9242154316022</v>
      </c>
      <c r="BO1750" s="2">
        <v>9.6233145402724691</v>
      </c>
      <c r="BP1750" s="2">
        <v>18.202491138829799</v>
      </c>
      <c r="BQ1750" s="2">
        <v>17.377246546468101</v>
      </c>
      <c r="BR1750" s="2">
        <v>16.499604410987001</v>
      </c>
      <c r="BS1750" s="2">
        <v>17.221780528666201</v>
      </c>
      <c r="BT1750" s="2">
        <v>19.5210693756251</v>
      </c>
      <c r="BU1750" s="2">
        <v>17.865776518196</v>
      </c>
      <c r="BV1750" s="2">
        <v>17.713059019720401</v>
      </c>
      <c r="BW1750" s="2">
        <v>15.166048503751201</v>
      </c>
      <c r="BX1750" s="2">
        <v>14.624610424523601</v>
      </c>
      <c r="BY1750" s="2">
        <v>17.481364129876798</v>
      </c>
      <c r="BZ1750" s="2">
        <v>16.025213330637399</v>
      </c>
      <c r="CA1750" s="2">
        <v>18.1270133352401</v>
      </c>
      <c r="CB1750" s="2">
        <v>14.3967572835392</v>
      </c>
      <c r="CC1750" s="2">
        <v>16.6557530525643</v>
      </c>
      <c r="CD1750" s="2">
        <v>16.960498519890901</v>
      </c>
      <c r="CE1750" s="2">
        <v>15.9668242281359</v>
      </c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</row>
    <row r="1751" spans="1:97">
      <c r="A1751" s="2" t="s">
        <v>15438</v>
      </c>
      <c r="B1751" s="2">
        <v>223.06335999999999</v>
      </c>
      <c r="C1751" s="2">
        <v>10.349</v>
      </c>
      <c r="D1751" s="2" t="s">
        <v>84</v>
      </c>
      <c r="E1751" s="2" t="s">
        <v>15439</v>
      </c>
      <c r="F1751" s="2" t="s">
        <v>15440</v>
      </c>
      <c r="G1751" s="2">
        <v>63467</v>
      </c>
      <c r="H1751" s="3" t="str">
        <f>HYPERLINK("https://cloud.oebiotech.com/#/lm/network/63467", "https://cloud.oebiotech.com/#/lm/network/63467")</f>
        <v>https://cloud.oebiotech.com/#/lm/network/63467</v>
      </c>
      <c r="I1751" s="2" t="s">
        <v>15441</v>
      </c>
      <c r="J1751" s="2">
        <v>94791</v>
      </c>
      <c r="K1751" s="2"/>
      <c r="L1751" s="2">
        <v>12487714</v>
      </c>
      <c r="M1751" s="2"/>
      <c r="N1751" s="2"/>
      <c r="O1751" s="2"/>
      <c r="P1751" s="2">
        <v>174133</v>
      </c>
      <c r="Q1751" s="2"/>
      <c r="R1751" s="2"/>
      <c r="S1751" s="2" t="s">
        <v>15442</v>
      </c>
      <c r="T1751" s="2" t="s">
        <v>15443</v>
      </c>
      <c r="U1751" s="2" t="s">
        <v>15444</v>
      </c>
      <c r="V1751" s="2" t="s">
        <v>553</v>
      </c>
      <c r="W1751" s="2" t="s">
        <v>15445</v>
      </c>
      <c r="X1751" s="2" t="s">
        <v>375</v>
      </c>
      <c r="Y1751" s="2" t="s">
        <v>556</v>
      </c>
      <c r="Z1751" s="2" t="s">
        <v>15446</v>
      </c>
      <c r="AA1751" s="2"/>
      <c r="AB1751" s="2" t="s">
        <v>8443</v>
      </c>
      <c r="AC1751" s="2">
        <v>40.659999999999997</v>
      </c>
      <c r="AD1751" s="2">
        <v>85.47</v>
      </c>
      <c r="AE1751" s="2">
        <v>0</v>
      </c>
      <c r="AF1751" s="2" t="s">
        <v>15447</v>
      </c>
      <c r="AG1751" s="2" t="s">
        <v>103</v>
      </c>
      <c r="AH1751" s="2" t="s">
        <v>15448</v>
      </c>
      <c r="AI1751" s="2">
        <v>4.03</v>
      </c>
      <c r="AJ1751" s="2">
        <v>20.3996844973348</v>
      </c>
      <c r="AK1751" s="2">
        <v>20.976609710336898</v>
      </c>
      <c r="AL1751" s="2">
        <v>20.6172544761369</v>
      </c>
      <c r="AM1751" s="2">
        <v>20.352139759054399</v>
      </c>
      <c r="AN1751" s="2">
        <v>20.958766304519301</v>
      </c>
      <c r="AO1751" s="2">
        <v>21.001619229462101</v>
      </c>
      <c r="AP1751" s="2">
        <v>20.0351648359769</v>
      </c>
      <c r="AQ1751" s="2">
        <v>20.192482507341801</v>
      </c>
      <c r="AR1751" s="2">
        <v>20.466616625872401</v>
      </c>
      <c r="AS1751" s="2">
        <v>20.951311825015001</v>
      </c>
      <c r="AT1751" s="2">
        <v>20.708807067805701</v>
      </c>
      <c r="AU1751" s="2">
        <v>20.474184392816198</v>
      </c>
      <c r="AV1751" s="2">
        <v>21.1182175153548</v>
      </c>
      <c r="AW1751" s="2">
        <v>20.8958917394867</v>
      </c>
      <c r="AX1751" s="2">
        <v>20.9964896394081</v>
      </c>
      <c r="AY1751" s="2">
        <v>20.8169867237293</v>
      </c>
      <c r="AZ1751" s="2">
        <v>20.8825885063942</v>
      </c>
      <c r="BA1751" s="2">
        <v>21.184281705092701</v>
      </c>
      <c r="BB1751" s="2">
        <v>20.827690106475899</v>
      </c>
      <c r="BC1751" s="2">
        <v>21.032625700966602</v>
      </c>
      <c r="BD1751" s="2">
        <v>20.597830152378801</v>
      </c>
      <c r="BE1751" s="2">
        <v>20.426422764028501</v>
      </c>
      <c r="BF1751" s="2">
        <v>20.714499773280199</v>
      </c>
      <c r="BG1751" s="2">
        <v>20.7827197319749</v>
      </c>
      <c r="BH1751" s="2">
        <v>20.635918103937801</v>
      </c>
      <c r="BI1751" s="2">
        <v>21.146637558289999</v>
      </c>
      <c r="BJ1751" s="2">
        <v>20.625880324114799</v>
      </c>
      <c r="BK1751" s="2">
        <v>20.380098324888401</v>
      </c>
      <c r="BL1751" s="2">
        <v>20.8889734890837</v>
      </c>
      <c r="BM1751" s="2">
        <v>19.788852652054899</v>
      </c>
      <c r="BN1751" s="2">
        <v>20.276792378757001</v>
      </c>
      <c r="BO1751" s="2">
        <v>20.464832663080799</v>
      </c>
      <c r="BP1751" s="2">
        <v>20.824539991757199</v>
      </c>
      <c r="BQ1751" s="2">
        <v>20.915516961899399</v>
      </c>
      <c r="BR1751" s="2">
        <v>20.375074366526501</v>
      </c>
      <c r="BS1751" s="2">
        <v>19.710092602979302</v>
      </c>
      <c r="BT1751" s="2">
        <v>20.739375569413301</v>
      </c>
      <c r="BU1751" s="2">
        <v>20.528280474941099</v>
      </c>
      <c r="BV1751" s="2">
        <v>20.4856641437086</v>
      </c>
      <c r="BW1751" s="2">
        <v>19.8238696693017</v>
      </c>
      <c r="BX1751" s="2">
        <v>20.169311004339299</v>
      </c>
      <c r="BY1751" s="2">
        <v>20.239568591655299</v>
      </c>
      <c r="BZ1751" s="2">
        <v>19.878255657694901</v>
      </c>
      <c r="CA1751" s="2">
        <v>19.093137308306702</v>
      </c>
      <c r="CB1751" s="2">
        <v>19.445698628234901</v>
      </c>
      <c r="CC1751" s="2">
        <v>20.378284895262599</v>
      </c>
      <c r="CD1751" s="2">
        <v>19.8189596865849</v>
      </c>
      <c r="CE1751" s="2">
        <v>20.762693354224801</v>
      </c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</row>
    <row r="1752" spans="1:97">
      <c r="A1752" s="2" t="s">
        <v>15449</v>
      </c>
      <c r="B1752" s="2">
        <v>269.13067000000001</v>
      </c>
      <c r="C1752" s="2">
        <v>11.497</v>
      </c>
      <c r="D1752" s="2" t="s">
        <v>146</v>
      </c>
      <c r="E1752" s="2" t="s">
        <v>15450</v>
      </c>
      <c r="F1752" s="2" t="s">
        <v>15451</v>
      </c>
      <c r="G1752" s="2">
        <v>61222</v>
      </c>
      <c r="H1752" s="3" t="str">
        <f>HYPERLINK("https://cloud.oebiotech.com/#/lm/network/61222", "https://cloud.oebiotech.com/#/lm/network/61222")</f>
        <v>https://cloud.oebiotech.com/#/lm/network/61222</v>
      </c>
      <c r="I1752" s="2" t="s">
        <v>15452</v>
      </c>
      <c r="J1752" s="2">
        <v>92533</v>
      </c>
      <c r="K1752" s="2"/>
      <c r="L1752" s="2">
        <v>43046</v>
      </c>
      <c r="M1752" s="2"/>
      <c r="N1752" s="2"/>
      <c r="O1752" s="2"/>
      <c r="P1752" s="2"/>
      <c r="Q1752" s="2"/>
      <c r="R1752" s="2"/>
      <c r="S1752" s="2" t="s">
        <v>15453</v>
      </c>
      <c r="T1752" s="2" t="s">
        <v>15454</v>
      </c>
      <c r="U1752" s="2" t="s">
        <v>15455</v>
      </c>
      <c r="V1752" s="2" t="s">
        <v>385</v>
      </c>
      <c r="W1752" s="2" t="s">
        <v>15007</v>
      </c>
      <c r="X1752" s="2" t="s">
        <v>375</v>
      </c>
      <c r="Y1752" s="2" t="s">
        <v>388</v>
      </c>
      <c r="Z1752" s="2" t="s">
        <v>15008</v>
      </c>
      <c r="AA1752" s="2"/>
      <c r="AB1752" s="2" t="s">
        <v>8443</v>
      </c>
      <c r="AC1752" s="2">
        <v>40.65</v>
      </c>
      <c r="AD1752" s="2">
        <v>71.31</v>
      </c>
      <c r="AE1752" s="2">
        <v>0</v>
      </c>
      <c r="AF1752" s="2" t="s">
        <v>15456</v>
      </c>
      <c r="AG1752" s="2" t="s">
        <v>4062</v>
      </c>
      <c r="AH1752" s="2" t="s">
        <v>9380</v>
      </c>
      <c r="AI1752" s="2">
        <v>2.6</v>
      </c>
      <c r="AJ1752" s="2">
        <v>20.5537156333884</v>
      </c>
      <c r="AK1752" s="2">
        <v>21.282447531301901</v>
      </c>
      <c r="AL1752" s="2">
        <v>21.280483817817899</v>
      </c>
      <c r="AM1752" s="2">
        <v>20.282073148675099</v>
      </c>
      <c r="AN1752" s="2">
        <v>21.265976823960301</v>
      </c>
      <c r="AO1752" s="2">
        <v>21.244239196538299</v>
      </c>
      <c r="AP1752" s="2">
        <v>20.822683638224301</v>
      </c>
      <c r="AQ1752" s="2">
        <v>21.5049104117643</v>
      </c>
      <c r="AR1752" s="2">
        <v>20.6711459469287</v>
      </c>
      <c r="AS1752" s="2">
        <v>20.568768895609502</v>
      </c>
      <c r="AT1752" s="2">
        <v>21.046432129099699</v>
      </c>
      <c r="AU1752" s="2">
        <v>21.061059477660098</v>
      </c>
      <c r="AV1752" s="2">
        <v>21.280724488071598</v>
      </c>
      <c r="AW1752" s="2">
        <v>21.219691969304499</v>
      </c>
      <c r="AX1752" s="2">
        <v>20.8898484633369</v>
      </c>
      <c r="AY1752" s="2">
        <v>21.362624859787399</v>
      </c>
      <c r="AZ1752" s="2">
        <v>21.347115769274101</v>
      </c>
      <c r="BA1752" s="2">
        <v>21.2959127352004</v>
      </c>
      <c r="BB1752" s="2">
        <v>21.316837518563101</v>
      </c>
      <c r="BC1752" s="2">
        <v>21.2318408911527</v>
      </c>
      <c r="BD1752" s="2">
        <v>21.180890206522399</v>
      </c>
      <c r="BE1752" s="2">
        <v>20.993789732557001</v>
      </c>
      <c r="BF1752" s="2">
        <v>21.260450909607702</v>
      </c>
      <c r="BG1752" s="2">
        <v>21.2747161542936</v>
      </c>
      <c r="BH1752" s="2">
        <v>21.376735971650799</v>
      </c>
      <c r="BI1752" s="2">
        <v>21.024154834299999</v>
      </c>
      <c r="BJ1752" s="2">
        <v>21.311731260893399</v>
      </c>
      <c r="BK1752" s="2">
        <v>21.1338202421124</v>
      </c>
      <c r="BL1752" s="2">
        <v>19.803049669532601</v>
      </c>
      <c r="BM1752" s="2">
        <v>20.971909613319902</v>
      </c>
      <c r="BN1752" s="2">
        <v>20.943308000161799</v>
      </c>
      <c r="BO1752" s="2">
        <v>21.382550272098001</v>
      </c>
      <c r="BP1752" s="2">
        <v>21.198546657226</v>
      </c>
      <c r="BQ1752" s="2">
        <v>20.7475487976868</v>
      </c>
      <c r="BR1752" s="2">
        <v>21.407043741896501</v>
      </c>
      <c r="BS1752" s="2">
        <v>21.3309504043008</v>
      </c>
      <c r="BT1752" s="2">
        <v>21.2500709141285</v>
      </c>
      <c r="BU1752" s="2">
        <v>21.2384486612487</v>
      </c>
      <c r="BV1752" s="2">
        <v>20.9899599237777</v>
      </c>
      <c r="BW1752" s="2">
        <v>20.974294262634299</v>
      </c>
      <c r="BX1752" s="2">
        <v>20.801401829430201</v>
      </c>
      <c r="BY1752" s="2">
        <v>21.4621640413921</v>
      </c>
      <c r="BZ1752" s="2">
        <v>21.265065849996802</v>
      </c>
      <c r="CA1752" s="2">
        <v>21.5922985704163</v>
      </c>
      <c r="CB1752" s="2">
        <v>21.378642165408898</v>
      </c>
      <c r="CC1752" s="2">
        <v>21.414443569102399</v>
      </c>
      <c r="CD1752" s="2">
        <v>21.471010580042901</v>
      </c>
      <c r="CE1752" s="2">
        <v>21.487215497128499</v>
      </c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</row>
    <row r="1753" spans="1:97">
      <c r="A1753" s="2" t="s">
        <v>15457</v>
      </c>
      <c r="B1753" s="2">
        <v>378.32083999999998</v>
      </c>
      <c r="C1753" s="2">
        <v>11.337</v>
      </c>
      <c r="D1753" s="2" t="s">
        <v>84</v>
      </c>
      <c r="E1753" s="2" t="s">
        <v>15458</v>
      </c>
      <c r="F1753" s="2" t="s">
        <v>15459</v>
      </c>
      <c r="G1753" s="2">
        <v>9053</v>
      </c>
      <c r="H1753" s="3" t="str">
        <f>HYPERLINK("https://cloud.oebiotech.com/#/lm/network/9053", "https://cloud.oebiotech.com/#/lm/network/9053")</f>
        <v>https://cloud.oebiotech.com/#/lm/network/9053</v>
      </c>
      <c r="I1753" s="2"/>
      <c r="J1753" s="2"/>
      <c r="K1753" s="2" t="s">
        <v>15460</v>
      </c>
      <c r="L1753" s="2">
        <v>44256596</v>
      </c>
      <c r="M1753" s="2"/>
      <c r="N1753" s="2"/>
      <c r="O1753" s="2"/>
      <c r="P1753" s="2"/>
      <c r="Q1753" s="2"/>
      <c r="R1753" s="2"/>
      <c r="S1753" s="2"/>
      <c r="T1753" s="2" t="s">
        <v>15461</v>
      </c>
      <c r="U1753" s="2" t="s">
        <v>15462</v>
      </c>
      <c r="V1753" s="2" t="s">
        <v>166</v>
      </c>
      <c r="W1753" s="2" t="s">
        <v>167</v>
      </c>
      <c r="X1753" s="2" t="s">
        <v>482</v>
      </c>
      <c r="Y1753" s="2" t="s">
        <v>169</v>
      </c>
      <c r="Z1753" s="2" t="s">
        <v>169</v>
      </c>
      <c r="AA1753" s="2" t="s">
        <v>483</v>
      </c>
      <c r="AB1753" s="2" t="s">
        <v>8443</v>
      </c>
      <c r="AC1753" s="2">
        <v>40.65</v>
      </c>
      <c r="AD1753" s="2">
        <v>74.849999999999994</v>
      </c>
      <c r="AE1753" s="2">
        <v>0</v>
      </c>
      <c r="AF1753" s="2" t="s">
        <v>15463</v>
      </c>
      <c r="AG1753" s="2" t="s">
        <v>1578</v>
      </c>
      <c r="AH1753" s="2" t="s">
        <v>15464</v>
      </c>
      <c r="AI1753" s="2">
        <v>2.91</v>
      </c>
      <c r="AJ1753" s="2">
        <v>18.616919879396299</v>
      </c>
      <c r="AK1753" s="2">
        <v>18.090525615270799</v>
      </c>
      <c r="AL1753" s="2">
        <v>18.581826717936799</v>
      </c>
      <c r="AM1753" s="2">
        <v>17.942143566639</v>
      </c>
      <c r="AN1753" s="2">
        <v>18.6880529497077</v>
      </c>
      <c r="AO1753" s="2">
        <v>18.5536100212585</v>
      </c>
      <c r="AP1753" s="2">
        <v>18.774208336985598</v>
      </c>
      <c r="AQ1753" s="2">
        <v>18.7990731045861</v>
      </c>
      <c r="AR1753" s="2">
        <v>17.772697635823899</v>
      </c>
      <c r="AS1753" s="2">
        <v>17.770016581419</v>
      </c>
      <c r="AT1753" s="2">
        <v>17.475503954932901</v>
      </c>
      <c r="AU1753" s="2">
        <v>18.208578356036899</v>
      </c>
      <c r="AV1753" s="2">
        <v>17.836341658988498</v>
      </c>
      <c r="AW1753" s="2">
        <v>18.172097494652501</v>
      </c>
      <c r="AX1753" s="2">
        <v>17.488762693706501</v>
      </c>
      <c r="AY1753" s="2">
        <v>17.343087838763299</v>
      </c>
      <c r="AZ1753" s="2">
        <v>18.248073723873901</v>
      </c>
      <c r="BA1753" s="2">
        <v>17.3944941795319</v>
      </c>
      <c r="BB1753" s="2">
        <v>18.391570228409101</v>
      </c>
      <c r="BC1753" s="2">
        <v>17.875317999631701</v>
      </c>
      <c r="BD1753" s="2">
        <v>17.376549708806198</v>
      </c>
      <c r="BE1753" s="2">
        <v>20.756564303451398</v>
      </c>
      <c r="BF1753" s="2">
        <v>20.454523612752102</v>
      </c>
      <c r="BG1753" s="2">
        <v>18.285324321847899</v>
      </c>
      <c r="BH1753" s="2">
        <v>17.5165396107747</v>
      </c>
      <c r="BI1753" s="2">
        <v>17.797789427662199</v>
      </c>
      <c r="BJ1753" s="2">
        <v>18.3371027651947</v>
      </c>
      <c r="BK1753" s="2">
        <v>17.645530941434401</v>
      </c>
      <c r="BL1753" s="2">
        <v>17.7659336585841</v>
      </c>
      <c r="BM1753" s="2">
        <v>18.1157257485137</v>
      </c>
      <c r="BN1753" s="2">
        <v>18.238408751367199</v>
      </c>
      <c r="BO1753" s="2">
        <v>17.785406169880901</v>
      </c>
      <c r="BP1753" s="2">
        <v>18.3831936300639</v>
      </c>
      <c r="BQ1753" s="2">
        <v>18.482644907095001</v>
      </c>
      <c r="BR1753" s="2">
        <v>18.3287208522021</v>
      </c>
      <c r="BS1753" s="2">
        <v>19.024968701572199</v>
      </c>
      <c r="BT1753" s="2">
        <v>18.2130599703396</v>
      </c>
      <c r="BU1753" s="2">
        <v>18.358305087343101</v>
      </c>
      <c r="BV1753" s="2">
        <v>17.616344514516801</v>
      </c>
      <c r="BW1753" s="2">
        <v>17.528776257559201</v>
      </c>
      <c r="BX1753" s="2">
        <v>18.6171737494418</v>
      </c>
      <c r="BY1753" s="2">
        <v>18.187845653234302</v>
      </c>
      <c r="BZ1753" s="2">
        <v>18.566787622591299</v>
      </c>
      <c r="CA1753" s="2">
        <v>21.022282566383002</v>
      </c>
      <c r="CB1753" s="2">
        <v>16.4854934959329</v>
      </c>
      <c r="CC1753" s="2">
        <v>17.4063834043084</v>
      </c>
      <c r="CD1753" s="2">
        <v>18.274901568532002</v>
      </c>
      <c r="CE1753" s="2">
        <v>18.105628801785901</v>
      </c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</row>
    <row r="1754" spans="1:97">
      <c r="A1754" s="2" t="s">
        <v>15465</v>
      </c>
      <c r="B1754" s="2">
        <v>499.32074999999998</v>
      </c>
      <c r="C1754" s="2">
        <v>10.054</v>
      </c>
      <c r="D1754" s="2" t="s">
        <v>146</v>
      </c>
      <c r="E1754" s="2" t="s">
        <v>15466</v>
      </c>
      <c r="F1754" s="2" t="s">
        <v>15467</v>
      </c>
      <c r="G1754" s="2">
        <v>256256</v>
      </c>
      <c r="H1754" s="3" t="str">
        <f>HYPERLINK("https://cloud.oebiotech.com/#/lm/network/256256", "https://cloud.oebiotech.com/#/lm/network/256256")</f>
        <v>https://cloud.oebiotech.com/#/lm/network/256256</v>
      </c>
      <c r="I1754" s="2" t="s">
        <v>15468</v>
      </c>
      <c r="J1754" s="2">
        <v>64158</v>
      </c>
      <c r="K1754" s="2"/>
      <c r="L1754" s="2">
        <v>46173985</v>
      </c>
      <c r="M1754" s="2" t="s">
        <v>15469</v>
      </c>
      <c r="N1754" s="2"/>
      <c r="O1754" s="2"/>
      <c r="P1754" s="2">
        <v>81307</v>
      </c>
      <c r="Q1754" s="2"/>
      <c r="R1754" s="2"/>
      <c r="S1754" s="2"/>
      <c r="T1754" s="2" t="s">
        <v>15470</v>
      </c>
      <c r="U1754" s="2" t="s">
        <v>15471</v>
      </c>
      <c r="V1754" s="2" t="s">
        <v>95</v>
      </c>
      <c r="W1754" s="2" t="s">
        <v>152</v>
      </c>
      <c r="X1754" s="2" t="s">
        <v>9622</v>
      </c>
      <c r="Y1754" s="2" t="s">
        <v>98</v>
      </c>
      <c r="Z1754" s="2" t="s">
        <v>154</v>
      </c>
      <c r="AA1754" s="2" t="s">
        <v>9623</v>
      </c>
      <c r="AB1754" s="2" t="s">
        <v>8443</v>
      </c>
      <c r="AC1754" s="2">
        <v>40.64</v>
      </c>
      <c r="AD1754" s="2">
        <v>73.09</v>
      </c>
      <c r="AE1754" s="2">
        <v>0</v>
      </c>
      <c r="AF1754" s="2" t="s">
        <v>15472</v>
      </c>
      <c r="AG1754" s="2" t="s">
        <v>4062</v>
      </c>
      <c r="AH1754" s="2" t="s">
        <v>3245</v>
      </c>
      <c r="AI1754" s="2">
        <v>-2.2000000000000002</v>
      </c>
      <c r="AJ1754" s="2">
        <v>19.8149715652232</v>
      </c>
      <c r="AK1754" s="2">
        <v>19.8576924035731</v>
      </c>
      <c r="AL1754" s="2">
        <v>19.696655739238299</v>
      </c>
      <c r="AM1754" s="2">
        <v>19.801866460739099</v>
      </c>
      <c r="AN1754" s="2">
        <v>19.782838217594399</v>
      </c>
      <c r="AO1754" s="2">
        <v>19.719571947250301</v>
      </c>
      <c r="AP1754" s="2">
        <v>19.628718408430998</v>
      </c>
      <c r="AQ1754" s="2">
        <v>19.689327078516101</v>
      </c>
      <c r="AR1754" s="2">
        <v>19.803572151028298</v>
      </c>
      <c r="AS1754" s="2">
        <v>19.712487756080701</v>
      </c>
      <c r="AT1754" s="2">
        <v>19.703423950205298</v>
      </c>
      <c r="AU1754" s="2">
        <v>19.539323531051501</v>
      </c>
      <c r="AV1754" s="2">
        <v>19.815374695510101</v>
      </c>
      <c r="AW1754" s="2">
        <v>19.6463653560659</v>
      </c>
      <c r="AX1754" s="2">
        <v>19.697508503332902</v>
      </c>
      <c r="AY1754" s="2">
        <v>19.854803764952202</v>
      </c>
      <c r="AZ1754" s="2">
        <v>19.740497379542699</v>
      </c>
      <c r="BA1754" s="2">
        <v>19.714937816976299</v>
      </c>
      <c r="BB1754" s="2">
        <v>19.8339322719719</v>
      </c>
      <c r="BC1754" s="2">
        <v>19.713208929509499</v>
      </c>
      <c r="BD1754" s="2">
        <v>19.553712605829599</v>
      </c>
      <c r="BE1754" s="2">
        <v>19.825842058016899</v>
      </c>
      <c r="BF1754" s="2">
        <v>19.850976068770098</v>
      </c>
      <c r="BG1754" s="2">
        <v>19.715573381366902</v>
      </c>
      <c r="BH1754" s="2">
        <v>19.790713773337501</v>
      </c>
      <c r="BI1754" s="2">
        <v>19.6905561456634</v>
      </c>
      <c r="BJ1754" s="2">
        <v>19.681849850184399</v>
      </c>
      <c r="BK1754" s="2">
        <v>19.649659222845301</v>
      </c>
      <c r="BL1754" s="2">
        <v>19.9022607800011</v>
      </c>
      <c r="BM1754" s="2">
        <v>19.8331344777121</v>
      </c>
      <c r="BN1754" s="2">
        <v>19.690422347454799</v>
      </c>
      <c r="BO1754" s="2">
        <v>19.767275034809899</v>
      </c>
      <c r="BP1754" s="2">
        <v>19.7258604552732</v>
      </c>
      <c r="BQ1754" s="2">
        <v>19.743868085414199</v>
      </c>
      <c r="BR1754" s="2">
        <v>19.664878374447898</v>
      </c>
      <c r="BS1754" s="2">
        <v>19.866505819821999</v>
      </c>
      <c r="BT1754" s="2">
        <v>19.762491046522999</v>
      </c>
      <c r="BU1754" s="2">
        <v>19.8272574709537</v>
      </c>
      <c r="BV1754" s="2">
        <v>19.777637147911001</v>
      </c>
      <c r="BW1754" s="2">
        <v>19.568599803789699</v>
      </c>
      <c r="BX1754" s="2">
        <v>19.669625461061798</v>
      </c>
      <c r="BY1754" s="2">
        <v>19.865152537606502</v>
      </c>
      <c r="BZ1754" s="2">
        <v>19.684478802016201</v>
      </c>
      <c r="CA1754" s="2">
        <v>19.661070021773199</v>
      </c>
      <c r="CB1754" s="2">
        <v>19.538053381205099</v>
      </c>
      <c r="CC1754" s="2">
        <v>19.598106527497499</v>
      </c>
      <c r="CD1754" s="2">
        <v>19.706020730920901</v>
      </c>
      <c r="CE1754" s="2">
        <v>19.572268505653501</v>
      </c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</row>
    <row r="1755" spans="1:97">
      <c r="A1755" s="2" t="s">
        <v>15473</v>
      </c>
      <c r="B1755" s="2">
        <v>139.07377</v>
      </c>
      <c r="C1755" s="2">
        <v>15.435</v>
      </c>
      <c r="D1755" s="2" t="s">
        <v>84</v>
      </c>
      <c r="E1755" s="2" t="s">
        <v>15474</v>
      </c>
      <c r="F1755" s="2" t="s">
        <v>15475</v>
      </c>
      <c r="G1755" s="2">
        <v>210733</v>
      </c>
      <c r="H1755" s="3" t="str">
        <f>HYPERLINK("https://cloud.oebiotech.com/#/lm/network/210733", "https://cloud.oebiotech.com/#/lm/network/210733")</f>
        <v>https://cloud.oebiotech.com/#/lm/network/210733</v>
      </c>
      <c r="I1755" s="2" t="s">
        <v>15476</v>
      </c>
      <c r="J1755" s="2"/>
      <c r="K1755" s="2"/>
      <c r="L1755" s="2">
        <v>66624196</v>
      </c>
      <c r="M1755" s="2"/>
      <c r="N1755" s="2"/>
      <c r="O1755" s="2"/>
      <c r="P1755" s="2"/>
      <c r="Q1755" s="2"/>
      <c r="R1755" s="2"/>
      <c r="S1755" s="2"/>
      <c r="T1755" s="2" t="s">
        <v>15477</v>
      </c>
      <c r="U1755" s="2" t="s">
        <v>15478</v>
      </c>
      <c r="V1755" s="2" t="s">
        <v>553</v>
      </c>
      <c r="W1755" s="2" t="s">
        <v>15479</v>
      </c>
      <c r="X1755" s="2" t="s">
        <v>375</v>
      </c>
      <c r="Y1755" s="2" t="s">
        <v>556</v>
      </c>
      <c r="Z1755" s="2" t="s">
        <v>15480</v>
      </c>
      <c r="AA1755" s="2"/>
      <c r="AB1755" s="2" t="s">
        <v>5118</v>
      </c>
      <c r="AC1755" s="2">
        <v>40.590000000000003</v>
      </c>
      <c r="AD1755" s="2">
        <v>96.68</v>
      </c>
      <c r="AE1755" s="2">
        <v>54.65</v>
      </c>
      <c r="AF1755" s="2" t="s">
        <v>15481</v>
      </c>
      <c r="AG1755" s="2" t="s">
        <v>132</v>
      </c>
      <c r="AH1755" s="2" t="s">
        <v>15482</v>
      </c>
      <c r="AI1755" s="2">
        <v>-7.91</v>
      </c>
      <c r="AJ1755" s="2">
        <v>24.2203374910953</v>
      </c>
      <c r="AK1755" s="2">
        <v>24.727674953038701</v>
      </c>
      <c r="AL1755" s="2">
        <v>23.7328938936394</v>
      </c>
      <c r="AM1755" s="2">
        <v>24.545283421682701</v>
      </c>
      <c r="AN1755" s="2">
        <v>24.3618969338083</v>
      </c>
      <c r="AO1755" s="2">
        <v>24.497016620804501</v>
      </c>
      <c r="AP1755" s="2">
        <v>24.306775684235198</v>
      </c>
      <c r="AQ1755" s="2">
        <v>23.1634839063809</v>
      </c>
      <c r="AR1755" s="2">
        <v>24.593995160435099</v>
      </c>
      <c r="AS1755" s="2">
        <v>24.6055552547781</v>
      </c>
      <c r="AT1755" s="2">
        <v>24.4784127731734</v>
      </c>
      <c r="AU1755" s="2">
        <v>24.5836730029249</v>
      </c>
      <c r="AV1755" s="2">
        <v>23.6339872859207</v>
      </c>
      <c r="AW1755" s="2">
        <v>23.2985466329792</v>
      </c>
      <c r="AX1755" s="2">
        <v>23.323373058566801</v>
      </c>
      <c r="AY1755" s="2">
        <v>24.803162144788001</v>
      </c>
      <c r="AZ1755" s="2">
        <v>23.825994685973701</v>
      </c>
      <c r="BA1755" s="2">
        <v>24.470290965265999</v>
      </c>
      <c r="BB1755" s="2">
        <v>24.571245866153401</v>
      </c>
      <c r="BC1755" s="2">
        <v>24.5425123349277</v>
      </c>
      <c r="BD1755" s="2">
        <v>24.603257637810199</v>
      </c>
      <c r="BE1755" s="2">
        <v>24.051134312895201</v>
      </c>
      <c r="BF1755" s="2">
        <v>24.572166604573798</v>
      </c>
      <c r="BG1755" s="2">
        <v>24.7100279593751</v>
      </c>
      <c r="BH1755" s="2">
        <v>24.339364301919701</v>
      </c>
      <c r="BI1755" s="2">
        <v>24.187899551307002</v>
      </c>
      <c r="BJ1755" s="2">
        <v>24.596004950292102</v>
      </c>
      <c r="BK1755" s="2">
        <v>24.4973853812158</v>
      </c>
      <c r="BL1755" s="2">
        <v>24.620073439035899</v>
      </c>
      <c r="BM1755" s="2">
        <v>24.534629088891499</v>
      </c>
      <c r="BN1755" s="2">
        <v>24.847205787335401</v>
      </c>
      <c r="BO1755" s="2">
        <v>24.457173610245199</v>
      </c>
      <c r="BP1755" s="2">
        <v>23.7662839247315</v>
      </c>
      <c r="BQ1755" s="2">
        <v>23.653856019723001</v>
      </c>
      <c r="BR1755" s="2">
        <v>23.476522100164601</v>
      </c>
      <c r="BS1755" s="2">
        <v>23.518883525960799</v>
      </c>
      <c r="BT1755" s="2">
        <v>24.506637699467401</v>
      </c>
      <c r="BU1755" s="2">
        <v>24.489612181251601</v>
      </c>
      <c r="BV1755" s="2">
        <v>24.609495580002999</v>
      </c>
      <c r="BW1755" s="2">
        <v>24.3684706089083</v>
      </c>
      <c r="BX1755" s="2">
        <v>24.064631824191899</v>
      </c>
      <c r="BY1755" s="2">
        <v>24.382778875885101</v>
      </c>
      <c r="BZ1755" s="2">
        <v>24.560776641875002</v>
      </c>
      <c r="CA1755" s="2">
        <v>24.1090180664212</v>
      </c>
      <c r="CB1755" s="2">
        <v>24.708836677374698</v>
      </c>
      <c r="CC1755" s="2">
        <v>24.702789164612302</v>
      </c>
      <c r="CD1755" s="2">
        <v>24.4717194353663</v>
      </c>
      <c r="CE1755" s="2">
        <v>24.3589402133676</v>
      </c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</row>
    <row r="1756" spans="1:97">
      <c r="A1756" s="2" t="s">
        <v>15483</v>
      </c>
      <c r="B1756" s="2">
        <v>389.00486000000001</v>
      </c>
      <c r="C1756" s="2">
        <v>3.5249999999999999</v>
      </c>
      <c r="D1756" s="2" t="s">
        <v>146</v>
      </c>
      <c r="E1756" s="2" t="s">
        <v>15484</v>
      </c>
      <c r="F1756" s="2" t="s">
        <v>15485</v>
      </c>
      <c r="G1756" s="2">
        <v>202286</v>
      </c>
      <c r="H1756" s="3" t="str">
        <f>HYPERLINK("https://cloud.oebiotech.com/#/lm/network/202286", "https://cloud.oebiotech.com/#/lm/network/202286")</f>
        <v>https://cloud.oebiotech.com/#/lm/network/202286</v>
      </c>
      <c r="I1756" s="2" t="s">
        <v>15486</v>
      </c>
      <c r="J1756" s="2"/>
      <c r="K1756" s="2"/>
      <c r="L1756" s="2">
        <v>12767986</v>
      </c>
      <c r="M1756" s="2"/>
      <c r="N1756" s="2"/>
      <c r="O1756" s="2"/>
      <c r="P1756" s="2"/>
      <c r="Q1756" s="2"/>
      <c r="R1756" s="2"/>
      <c r="S1756" s="2"/>
      <c r="T1756" s="2" t="s">
        <v>15487</v>
      </c>
      <c r="U1756" s="2" t="s">
        <v>15488</v>
      </c>
      <c r="V1756" s="2" t="s">
        <v>553</v>
      </c>
      <c r="W1756" s="2" t="s">
        <v>6375</v>
      </c>
      <c r="X1756" s="2" t="s">
        <v>6376</v>
      </c>
      <c r="Y1756" s="2" t="s">
        <v>556</v>
      </c>
      <c r="Z1756" s="2" t="s">
        <v>6377</v>
      </c>
      <c r="AA1756" s="2" t="s">
        <v>6378</v>
      </c>
      <c r="AB1756" s="2" t="s">
        <v>5118</v>
      </c>
      <c r="AC1756" s="2">
        <v>40.590000000000003</v>
      </c>
      <c r="AD1756" s="2">
        <v>63.36</v>
      </c>
      <c r="AE1756" s="2">
        <v>60.94</v>
      </c>
      <c r="AF1756" s="2" t="s">
        <v>15489</v>
      </c>
      <c r="AG1756" s="2" t="s">
        <v>4062</v>
      </c>
      <c r="AH1756" s="2" t="s">
        <v>15490</v>
      </c>
      <c r="AI1756" s="2">
        <v>-2.83</v>
      </c>
      <c r="AJ1756" s="2">
        <v>19.982194843376501</v>
      </c>
      <c r="AK1756" s="2">
        <v>19.208122786777899</v>
      </c>
      <c r="AL1756" s="2">
        <v>19.477124070947202</v>
      </c>
      <c r="AM1756" s="2">
        <v>19.162809039867302</v>
      </c>
      <c r="AN1756" s="2">
        <v>20.027846144838701</v>
      </c>
      <c r="AO1756" s="2">
        <v>19.989156626601599</v>
      </c>
      <c r="AP1756" s="2">
        <v>20.044328890388702</v>
      </c>
      <c r="AQ1756" s="2">
        <v>19.110157987739299</v>
      </c>
      <c r="AR1756" s="2">
        <v>20.1806472888256</v>
      </c>
      <c r="AS1756" s="2">
        <v>18.983351764893399</v>
      </c>
      <c r="AT1756" s="2">
        <v>19.3297760641914</v>
      </c>
      <c r="AU1756" s="2">
        <v>18.7864005216754</v>
      </c>
      <c r="AV1756" s="2">
        <v>19.983656418265198</v>
      </c>
      <c r="AW1756" s="2">
        <v>19.470375501123399</v>
      </c>
      <c r="AX1756" s="2">
        <v>19.556634139362099</v>
      </c>
      <c r="AY1756" s="2">
        <v>19.0127006955809</v>
      </c>
      <c r="AZ1756" s="2">
        <v>19.4041966419061</v>
      </c>
      <c r="BA1756" s="2">
        <v>18.295481749484999</v>
      </c>
      <c r="BB1756" s="2">
        <v>19.324285780322299</v>
      </c>
      <c r="BC1756" s="2">
        <v>19.562089321327498</v>
      </c>
      <c r="BD1756" s="2">
        <v>20.1443501103629</v>
      </c>
      <c r="BE1756" s="2">
        <v>18.770367569870501</v>
      </c>
      <c r="BF1756" s="2">
        <v>19.5253921496945</v>
      </c>
      <c r="BG1756" s="2">
        <v>21.285998968007998</v>
      </c>
      <c r="BH1756" s="2">
        <v>19.1604556334809</v>
      </c>
      <c r="BI1756" s="2">
        <v>20.962750161751199</v>
      </c>
      <c r="BJ1756" s="2">
        <v>19.8139840872477</v>
      </c>
      <c r="BK1756" s="2">
        <v>19.768685392546899</v>
      </c>
      <c r="BL1756" s="2">
        <v>19.3353679345419</v>
      </c>
      <c r="BM1756" s="2">
        <v>19.369445715784899</v>
      </c>
      <c r="BN1756" s="2">
        <v>19.731253889486499</v>
      </c>
      <c r="BO1756" s="2">
        <v>19.250200949600099</v>
      </c>
      <c r="BP1756" s="2">
        <v>19.881479387014998</v>
      </c>
      <c r="BQ1756" s="2">
        <v>20.039798294800999</v>
      </c>
      <c r="BR1756" s="2">
        <v>20.135385557609801</v>
      </c>
      <c r="BS1756" s="2">
        <v>19.259359298034799</v>
      </c>
      <c r="BT1756" s="2">
        <v>18.9585510445953</v>
      </c>
      <c r="BU1756" s="2">
        <v>18.933436284692402</v>
      </c>
      <c r="BV1756" s="2">
        <v>19.891676490739101</v>
      </c>
      <c r="BW1756" s="2">
        <v>18.853073057101401</v>
      </c>
      <c r="BX1756" s="2">
        <v>20.075451023805499</v>
      </c>
      <c r="BY1756" s="2">
        <v>19.972303630697802</v>
      </c>
      <c r="BZ1756" s="2">
        <v>18.075274762266499</v>
      </c>
      <c r="CA1756" s="2">
        <v>20.9486902614433</v>
      </c>
      <c r="CB1756" s="2">
        <v>19.463954696557401</v>
      </c>
      <c r="CC1756" s="2">
        <v>20.423607560001098</v>
      </c>
      <c r="CD1756" s="2">
        <v>20.3394155648481</v>
      </c>
      <c r="CE1756" s="2">
        <v>20.080255205217199</v>
      </c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</row>
    <row r="1757" spans="1:97">
      <c r="A1757" s="2" t="s">
        <v>15491</v>
      </c>
      <c r="B1757" s="2">
        <v>549.06451000000004</v>
      </c>
      <c r="C1757" s="2">
        <v>1.131</v>
      </c>
      <c r="D1757" s="2" t="s">
        <v>84</v>
      </c>
      <c r="E1757" s="2" t="s">
        <v>15492</v>
      </c>
      <c r="F1757" s="2" t="s">
        <v>15493</v>
      </c>
      <c r="G1757" s="2">
        <v>204676</v>
      </c>
      <c r="H1757" s="3" t="str">
        <f>HYPERLINK("https://cloud.oebiotech.com/#/lm/network/204676", "https://cloud.oebiotech.com/#/lm/network/204676")</f>
        <v>https://cloud.oebiotech.com/#/lm/network/204676</v>
      </c>
      <c r="I1757" s="2" t="s">
        <v>15494</v>
      </c>
      <c r="J1757" s="2"/>
      <c r="K1757" s="2"/>
      <c r="L1757" s="2">
        <v>3379942</v>
      </c>
      <c r="M1757" s="2"/>
      <c r="N1757" s="2"/>
      <c r="O1757" s="2"/>
      <c r="P1757" s="2"/>
      <c r="Q1757" s="2"/>
      <c r="R1757" s="2"/>
      <c r="S1757" s="2"/>
      <c r="T1757" s="2" t="s">
        <v>15495</v>
      </c>
      <c r="U1757" s="2" t="s">
        <v>15496</v>
      </c>
      <c r="V1757" s="2" t="s">
        <v>553</v>
      </c>
      <c r="W1757" s="2" t="s">
        <v>6375</v>
      </c>
      <c r="X1757" s="2" t="s">
        <v>6376</v>
      </c>
      <c r="Y1757" s="2" t="s">
        <v>556</v>
      </c>
      <c r="Z1757" s="2" t="s">
        <v>6377</v>
      </c>
      <c r="AA1757" s="2" t="s">
        <v>6378</v>
      </c>
      <c r="AB1757" s="2" t="s">
        <v>5118</v>
      </c>
      <c r="AC1757" s="2">
        <v>40.58</v>
      </c>
      <c r="AD1757" s="2">
        <v>88.78</v>
      </c>
      <c r="AE1757" s="2">
        <v>63.85</v>
      </c>
      <c r="AF1757" s="2" t="s">
        <v>15497</v>
      </c>
      <c r="AG1757" s="2" t="s">
        <v>3544</v>
      </c>
      <c r="AH1757" s="2" t="s">
        <v>15498</v>
      </c>
      <c r="AI1757" s="2">
        <v>7.83</v>
      </c>
      <c r="AJ1757" s="2">
        <v>19.990950789918799</v>
      </c>
      <c r="AK1757" s="2">
        <v>20.144093658623198</v>
      </c>
      <c r="AL1757" s="2">
        <v>20.372894937449001</v>
      </c>
      <c r="AM1757" s="2">
        <v>20.2808777800272</v>
      </c>
      <c r="AN1757" s="2">
        <v>20.304746244770101</v>
      </c>
      <c r="AO1757" s="2">
        <v>20.116069571266099</v>
      </c>
      <c r="AP1757" s="2">
        <v>19.960603170174199</v>
      </c>
      <c r="AQ1757" s="2">
        <v>20.0370360600506</v>
      </c>
      <c r="AR1757" s="2">
        <v>19.665342579862401</v>
      </c>
      <c r="AS1757" s="2">
        <v>18.997253617650401</v>
      </c>
      <c r="AT1757" s="2">
        <v>19.6462700494579</v>
      </c>
      <c r="AU1757" s="2">
        <v>20.373356289495501</v>
      </c>
      <c r="AV1757" s="2">
        <v>20.2303177835418</v>
      </c>
      <c r="AW1757" s="2">
        <v>19.958969995625701</v>
      </c>
      <c r="AX1757" s="2">
        <v>19.840514375621002</v>
      </c>
      <c r="AY1757" s="2">
        <v>20.180631786830201</v>
      </c>
      <c r="AZ1757" s="2">
        <v>19.927941102536401</v>
      </c>
      <c r="BA1757" s="2">
        <v>19.677907566330099</v>
      </c>
      <c r="BB1757" s="2">
        <v>20.259301915079501</v>
      </c>
      <c r="BC1757" s="2">
        <v>20.1283828128532</v>
      </c>
      <c r="BD1757" s="2">
        <v>19.1106531557894</v>
      </c>
      <c r="BE1757" s="2">
        <v>20.186451340145901</v>
      </c>
      <c r="BF1757" s="2">
        <v>19.940713062019999</v>
      </c>
      <c r="BG1757" s="2">
        <v>19.819359474254199</v>
      </c>
      <c r="BH1757" s="2">
        <v>20.584451011622701</v>
      </c>
      <c r="BI1757" s="2">
        <v>20.022702234694599</v>
      </c>
      <c r="BJ1757" s="2">
        <v>20.070443509598601</v>
      </c>
      <c r="BK1757" s="2">
        <v>19.710079381806398</v>
      </c>
      <c r="BL1757" s="2">
        <v>19.345414018361499</v>
      </c>
      <c r="BM1757" s="2">
        <v>20.729242137773301</v>
      </c>
      <c r="BN1757" s="2">
        <v>20.4435131202316</v>
      </c>
      <c r="BO1757" s="2">
        <v>20.192970207181801</v>
      </c>
      <c r="BP1757" s="2">
        <v>19.9220342459557</v>
      </c>
      <c r="BQ1757" s="2">
        <v>20.180461569549198</v>
      </c>
      <c r="BR1757" s="2">
        <v>19.651117384933901</v>
      </c>
      <c r="BS1757" s="2">
        <v>20.465529976682301</v>
      </c>
      <c r="BT1757" s="2">
        <v>18.959310735419599</v>
      </c>
      <c r="BU1757" s="2">
        <v>19.916800210706299</v>
      </c>
      <c r="BV1757" s="2">
        <v>19.882315835260702</v>
      </c>
      <c r="BW1757" s="2">
        <v>19.502647812363801</v>
      </c>
      <c r="BX1757" s="2">
        <v>20.156499543886699</v>
      </c>
      <c r="BY1757" s="2">
        <v>20.235715176554699</v>
      </c>
      <c r="BZ1757" s="2">
        <v>20.718376176483201</v>
      </c>
      <c r="CA1757" s="2">
        <v>20.7022943633153</v>
      </c>
      <c r="CB1757" s="2">
        <v>19.804189171847199</v>
      </c>
      <c r="CC1757" s="2">
        <v>19.9442008844761</v>
      </c>
      <c r="CD1757" s="2">
        <v>20.397183842916899</v>
      </c>
      <c r="CE1757" s="2">
        <v>19.942352174115101</v>
      </c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</row>
    <row r="1758" spans="1:97">
      <c r="A1758" s="2" t="s">
        <v>15499</v>
      </c>
      <c r="B1758" s="2">
        <v>207.13534999999999</v>
      </c>
      <c r="C1758" s="2">
        <v>0.65300000000000002</v>
      </c>
      <c r="D1758" s="2" t="s">
        <v>84</v>
      </c>
      <c r="E1758" s="2" t="s">
        <v>15500</v>
      </c>
      <c r="F1758" s="2" t="s">
        <v>15501</v>
      </c>
      <c r="G1758" s="2">
        <v>204600</v>
      </c>
      <c r="H1758" s="3" t="str">
        <f>HYPERLINK("https://cloud.oebiotech.com/#/lm/network/204600", "https://cloud.oebiotech.com/#/lm/network/204600")</f>
        <v>https://cloud.oebiotech.com/#/lm/network/204600</v>
      </c>
      <c r="I1758" s="2" t="s">
        <v>15502</v>
      </c>
      <c r="J1758" s="2"/>
      <c r="K1758" s="2"/>
      <c r="L1758" s="2">
        <v>2592</v>
      </c>
      <c r="M1758" s="2"/>
      <c r="N1758" s="2"/>
      <c r="O1758" s="2"/>
      <c r="P1758" s="2"/>
      <c r="Q1758" s="2"/>
      <c r="R1758" s="2"/>
      <c r="S1758" s="2"/>
      <c r="T1758" s="2" t="s">
        <v>15503</v>
      </c>
      <c r="U1758" s="2" t="s">
        <v>15504</v>
      </c>
      <c r="V1758" s="2" t="s">
        <v>553</v>
      </c>
      <c r="W1758" s="2" t="s">
        <v>15505</v>
      </c>
      <c r="X1758" s="2" t="s">
        <v>375</v>
      </c>
      <c r="Y1758" s="2" t="s">
        <v>556</v>
      </c>
      <c r="Z1758" s="2" t="s">
        <v>15506</v>
      </c>
      <c r="AA1758" s="2"/>
      <c r="AB1758" s="2" t="s">
        <v>8443</v>
      </c>
      <c r="AC1758" s="2">
        <v>40.58</v>
      </c>
      <c r="AD1758" s="2">
        <v>94.54</v>
      </c>
      <c r="AE1758" s="2">
        <v>0</v>
      </c>
      <c r="AF1758" s="2" t="s">
        <v>5614</v>
      </c>
      <c r="AG1758" s="2" t="s">
        <v>132</v>
      </c>
      <c r="AH1758" s="2" t="s">
        <v>15507</v>
      </c>
      <c r="AI1758" s="2">
        <v>-6.76</v>
      </c>
      <c r="AJ1758" s="2">
        <v>18.7345050863495</v>
      </c>
      <c r="AK1758" s="2">
        <v>18.7600870704828</v>
      </c>
      <c r="AL1758" s="2">
        <v>18.245441244771001</v>
      </c>
      <c r="AM1758" s="2">
        <v>18.6143868793034</v>
      </c>
      <c r="AN1758" s="2">
        <v>18.276290280217001</v>
      </c>
      <c r="AO1758" s="2">
        <v>18.093670302749999</v>
      </c>
      <c r="AP1758" s="2">
        <v>18.563424803994799</v>
      </c>
      <c r="AQ1758" s="2">
        <v>17.312704840354499</v>
      </c>
      <c r="AR1758" s="2">
        <v>18.913513815097399</v>
      </c>
      <c r="AS1758" s="2">
        <v>18.639554065605999</v>
      </c>
      <c r="AT1758" s="2">
        <v>18.9152037449294</v>
      </c>
      <c r="AU1758" s="2">
        <v>18.6140285679658</v>
      </c>
      <c r="AV1758" s="2">
        <v>16.545140654854201</v>
      </c>
      <c r="AW1758" s="2">
        <v>18.515091157615799</v>
      </c>
      <c r="AX1758" s="2">
        <v>18.7520996268833</v>
      </c>
      <c r="AY1758" s="2">
        <v>18.149939885321999</v>
      </c>
      <c r="AZ1758" s="2">
        <v>17.8823430934975</v>
      </c>
      <c r="BA1758" s="2">
        <v>18.702331425315101</v>
      </c>
      <c r="BB1758" s="2">
        <v>18.5571363775625</v>
      </c>
      <c r="BC1758" s="2">
        <v>18.524594626044799</v>
      </c>
      <c r="BD1758" s="2">
        <v>18.210689320293</v>
      </c>
      <c r="BE1758" s="2">
        <v>18.577304199305701</v>
      </c>
      <c r="BF1758" s="2">
        <v>18.112898370390099</v>
      </c>
      <c r="BG1758" s="2">
        <v>18.9978385271889</v>
      </c>
      <c r="BH1758" s="2">
        <v>17.7537797349563</v>
      </c>
      <c r="BI1758" s="2">
        <v>18.521383973224399</v>
      </c>
      <c r="BJ1758" s="2">
        <v>18.199395381914101</v>
      </c>
      <c r="BK1758" s="2">
        <v>18.149068017536798</v>
      </c>
      <c r="BL1758" s="2">
        <v>18.552920760772601</v>
      </c>
      <c r="BM1758" s="2">
        <v>18.904409888608601</v>
      </c>
      <c r="BN1758" s="2">
        <v>18.9097675970247</v>
      </c>
      <c r="BO1758" s="2">
        <v>18.629389458038499</v>
      </c>
      <c r="BP1758" s="2">
        <v>18.542240136297099</v>
      </c>
      <c r="BQ1758" s="2">
        <v>18.773399383613601</v>
      </c>
      <c r="BR1758" s="2">
        <v>18.9244509612505</v>
      </c>
      <c r="BS1758" s="2">
        <v>18.814779054506602</v>
      </c>
      <c r="BT1758" s="2">
        <v>18.552344849407199</v>
      </c>
      <c r="BU1758" s="2">
        <v>19.312807059745499</v>
      </c>
      <c r="BV1758" s="2">
        <v>18.920288501955199</v>
      </c>
      <c r="BW1758" s="2">
        <v>18.870825452734699</v>
      </c>
      <c r="BX1758" s="2">
        <v>18.507313295149501</v>
      </c>
      <c r="BY1758" s="2">
        <v>17.940950027579799</v>
      </c>
      <c r="BZ1758" s="2">
        <v>18.136408773505799</v>
      </c>
      <c r="CA1758" s="2">
        <v>18.225861847721799</v>
      </c>
      <c r="CB1758" s="2">
        <v>18.811074696708602</v>
      </c>
      <c r="CC1758" s="2">
        <v>19.012404038139199</v>
      </c>
      <c r="CD1758" s="2">
        <v>18.177453506485701</v>
      </c>
      <c r="CE1758" s="2">
        <v>18.7243554034951</v>
      </c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</row>
    <row r="1759" spans="1:97">
      <c r="A1759" s="2" t="s">
        <v>15508</v>
      </c>
      <c r="B1759" s="2">
        <v>750.54318000000001</v>
      </c>
      <c r="C1759" s="2">
        <v>13.69</v>
      </c>
      <c r="D1759" s="2" t="s">
        <v>146</v>
      </c>
      <c r="E1759" s="2" t="s">
        <v>15509</v>
      </c>
      <c r="F1759" s="2" t="s">
        <v>15510</v>
      </c>
      <c r="G1759" s="2">
        <v>50174</v>
      </c>
      <c r="H1759" s="3" t="str">
        <f>HYPERLINK("https://cloud.oebiotech.com/#/lm/network/50174", "https://cloud.oebiotech.com/#/lm/network/50174")</f>
        <v>https://cloud.oebiotech.com/#/lm/network/50174</v>
      </c>
      <c r="I1759" s="2" t="s">
        <v>15511</v>
      </c>
      <c r="J1759" s="2">
        <v>60808</v>
      </c>
      <c r="K1759" s="2"/>
      <c r="L1759" s="2">
        <v>53479796</v>
      </c>
      <c r="M1759" s="2" t="s">
        <v>13837</v>
      </c>
      <c r="N1759" s="2" t="s">
        <v>13838</v>
      </c>
      <c r="O1759" s="2" t="s">
        <v>13839</v>
      </c>
      <c r="P1759" s="2"/>
      <c r="Q1759" s="2"/>
      <c r="R1759" s="2"/>
      <c r="S1759" s="2"/>
      <c r="T1759" s="2" t="s">
        <v>15512</v>
      </c>
      <c r="U1759" s="2" t="s">
        <v>15513</v>
      </c>
      <c r="V1759" s="2" t="s">
        <v>95</v>
      </c>
      <c r="W1759" s="2" t="s">
        <v>202</v>
      </c>
      <c r="X1759" s="2" t="s">
        <v>327</v>
      </c>
      <c r="Y1759" s="2" t="s">
        <v>98</v>
      </c>
      <c r="Z1759" s="2" t="s">
        <v>204</v>
      </c>
      <c r="AA1759" s="2" t="s">
        <v>328</v>
      </c>
      <c r="AB1759" s="2" t="s">
        <v>8443</v>
      </c>
      <c r="AC1759" s="2">
        <v>40.549999999999997</v>
      </c>
      <c r="AD1759" s="2">
        <v>68.58</v>
      </c>
      <c r="AE1759" s="2">
        <v>36.5</v>
      </c>
      <c r="AF1759" s="2" t="s">
        <v>15514</v>
      </c>
      <c r="AG1759" s="2" t="s">
        <v>194</v>
      </c>
      <c r="AH1759" s="2" t="s">
        <v>15515</v>
      </c>
      <c r="AI1759" s="2">
        <v>1.47</v>
      </c>
      <c r="AJ1759" s="2">
        <v>18.358169761539301</v>
      </c>
      <c r="AK1759" s="2">
        <v>19.270428359855899</v>
      </c>
      <c r="AL1759" s="2">
        <v>19.6500027794192</v>
      </c>
      <c r="AM1759" s="2">
        <v>19.598760294196801</v>
      </c>
      <c r="AN1759" s="2">
        <v>19.2335578437749</v>
      </c>
      <c r="AO1759" s="2">
        <v>18.7771563127564</v>
      </c>
      <c r="AP1759" s="2">
        <v>19.508458229617599</v>
      </c>
      <c r="AQ1759" s="2">
        <v>19.708492499639899</v>
      </c>
      <c r="AR1759" s="2">
        <v>16.143703670995201</v>
      </c>
      <c r="AS1759" s="2">
        <v>18.409649898533502</v>
      </c>
      <c r="AT1759" s="2">
        <v>20.468449756586399</v>
      </c>
      <c r="AU1759" s="2">
        <v>17.939118025908702</v>
      </c>
      <c r="AV1759" s="2">
        <v>14.4814015006676</v>
      </c>
      <c r="AW1759" s="2">
        <v>18.969653067006401</v>
      </c>
      <c r="AX1759" s="2">
        <v>19.232271505348901</v>
      </c>
      <c r="AY1759" s="2">
        <v>19.178280767130001</v>
      </c>
      <c r="AZ1759" s="2">
        <v>18.522954745685599</v>
      </c>
      <c r="BA1759" s="2">
        <v>20.0650790681436</v>
      </c>
      <c r="BB1759" s="2">
        <v>18.726803583156698</v>
      </c>
      <c r="BC1759" s="2">
        <v>18.567403554282901</v>
      </c>
      <c r="BD1759" s="2">
        <v>18.6214024433995</v>
      </c>
      <c r="BE1759" s="2">
        <v>17.6444219562303</v>
      </c>
      <c r="BF1759" s="2">
        <v>19.352978977833999</v>
      </c>
      <c r="BG1759" s="2">
        <v>19.7124139999937</v>
      </c>
      <c r="BH1759" s="2">
        <v>19.356449648950001</v>
      </c>
      <c r="BI1759" s="2">
        <v>19.124780533062001</v>
      </c>
      <c r="BJ1759" s="2">
        <v>18.980705976448501</v>
      </c>
      <c r="BK1759" s="2">
        <v>19.153695831922199</v>
      </c>
      <c r="BL1759" s="2">
        <v>19.798022629322499</v>
      </c>
      <c r="BM1759" s="2">
        <v>18.5259747914215</v>
      </c>
      <c r="BN1759" s="2">
        <v>19.233035153224399</v>
      </c>
      <c r="BO1759" s="2">
        <v>19.415431368331198</v>
      </c>
      <c r="BP1759" s="2">
        <v>19.930926629211001</v>
      </c>
      <c r="BQ1759" s="2">
        <v>19.1702091468897</v>
      </c>
      <c r="BR1759" s="2">
        <v>19.6967433268515</v>
      </c>
      <c r="BS1759" s="2">
        <v>18.5402647759628</v>
      </c>
      <c r="BT1759" s="2">
        <v>18.4975620809434</v>
      </c>
      <c r="BU1759" s="2">
        <v>19.1219512649464</v>
      </c>
      <c r="BV1759" s="2">
        <v>19.3063967996885</v>
      </c>
      <c r="BW1759" s="2">
        <v>18.245308556774699</v>
      </c>
      <c r="BX1759" s="2">
        <v>18.923427801285602</v>
      </c>
      <c r="BY1759" s="2">
        <v>17.374262639780401</v>
      </c>
      <c r="BZ1759" s="2">
        <v>19.313779443293999</v>
      </c>
      <c r="CA1759" s="2">
        <v>19.070219706992201</v>
      </c>
      <c r="CB1759" s="2">
        <v>18.869119308610198</v>
      </c>
      <c r="CC1759" s="2">
        <v>19.3052456871619</v>
      </c>
      <c r="CD1759" s="2">
        <v>17.801921198825902</v>
      </c>
      <c r="CE1759" s="2">
        <v>19.241270621686098</v>
      </c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</row>
    <row r="1760" spans="1:97">
      <c r="A1760" s="2" t="s">
        <v>15516</v>
      </c>
      <c r="B1760" s="2">
        <v>184.98534000000001</v>
      </c>
      <c r="C1760" s="2">
        <v>3.7410000000000001</v>
      </c>
      <c r="D1760" s="2" t="s">
        <v>84</v>
      </c>
      <c r="E1760" s="2" t="s">
        <v>15517</v>
      </c>
      <c r="F1760" s="2" t="s">
        <v>15518</v>
      </c>
      <c r="G1760" s="2">
        <v>256005</v>
      </c>
      <c r="H1760" s="3" t="str">
        <f>HYPERLINK("https://cloud.oebiotech.com/#/lm/network/256005", "https://cloud.oebiotech.com/#/lm/network/256005")</f>
        <v>https://cloud.oebiotech.com/#/lm/network/256005</v>
      </c>
      <c r="I1760" s="2" t="s">
        <v>15519</v>
      </c>
      <c r="J1760" s="2"/>
      <c r="K1760" s="2"/>
      <c r="L1760" s="2">
        <v>85447654</v>
      </c>
      <c r="M1760" s="2"/>
      <c r="N1760" s="2"/>
      <c r="O1760" s="2"/>
      <c r="P1760" s="2"/>
      <c r="Q1760" s="2"/>
      <c r="R1760" s="2"/>
      <c r="S1760" s="2"/>
      <c r="T1760" s="2" t="s">
        <v>15520</v>
      </c>
      <c r="U1760" s="2" t="s">
        <v>15521</v>
      </c>
      <c r="V1760" s="2" t="s">
        <v>553</v>
      </c>
      <c r="W1760" s="2" t="s">
        <v>15522</v>
      </c>
      <c r="X1760" s="2" t="s">
        <v>375</v>
      </c>
      <c r="Y1760" s="2" t="s">
        <v>556</v>
      </c>
      <c r="Z1760" s="2" t="s">
        <v>15523</v>
      </c>
      <c r="AA1760" s="2"/>
      <c r="AB1760" s="2" t="s">
        <v>8443</v>
      </c>
      <c r="AC1760" s="2">
        <v>40.53</v>
      </c>
      <c r="AD1760" s="2">
        <v>71.95</v>
      </c>
      <c r="AE1760" s="2">
        <v>38.869999999999997</v>
      </c>
      <c r="AF1760" s="2" t="s">
        <v>15524</v>
      </c>
      <c r="AG1760" s="2" t="s">
        <v>3544</v>
      </c>
      <c r="AH1760" s="2" t="s">
        <v>15525</v>
      </c>
      <c r="AI1760" s="2">
        <v>1.08</v>
      </c>
      <c r="AJ1760" s="2">
        <v>23.685967397082401</v>
      </c>
      <c r="AK1760" s="2">
        <v>23.786159915576501</v>
      </c>
      <c r="AL1760" s="2">
        <v>22.866845798061199</v>
      </c>
      <c r="AM1760" s="2">
        <v>23.748130075164099</v>
      </c>
      <c r="AN1760" s="2">
        <v>23.758216132678299</v>
      </c>
      <c r="AO1760" s="2">
        <v>23.774172725279101</v>
      </c>
      <c r="AP1760" s="2">
        <v>22.9234124239137</v>
      </c>
      <c r="AQ1760" s="2">
        <v>23.510599563657699</v>
      </c>
      <c r="AR1760" s="2">
        <v>23.642057133820298</v>
      </c>
      <c r="AS1760" s="2">
        <v>22.935489802415901</v>
      </c>
      <c r="AT1760" s="2">
        <v>22.5800524819511</v>
      </c>
      <c r="AU1760" s="2">
        <v>21.763399076165602</v>
      </c>
      <c r="AV1760" s="2">
        <v>23.729505010217402</v>
      </c>
      <c r="AW1760" s="2">
        <v>23.693547142129301</v>
      </c>
      <c r="AX1760" s="2">
        <v>23.737530408073699</v>
      </c>
      <c r="AY1760" s="2">
        <v>23.689508422380602</v>
      </c>
      <c r="AZ1760" s="2">
        <v>23.794551546162499</v>
      </c>
      <c r="BA1760" s="2">
        <v>23.813661432265501</v>
      </c>
      <c r="BB1760" s="2">
        <v>23.3166608688976</v>
      </c>
      <c r="BC1760" s="2">
        <v>23.802115116211599</v>
      </c>
      <c r="BD1760" s="2">
        <v>21.903369608600901</v>
      </c>
      <c r="BE1760" s="2">
        <v>23.8128417452996</v>
      </c>
      <c r="BF1760" s="2">
        <v>23.5801227169618</v>
      </c>
      <c r="BG1760" s="2">
        <v>22.404777622349201</v>
      </c>
      <c r="BH1760" s="2">
        <v>23.6800101884123</v>
      </c>
      <c r="BI1760" s="2">
        <v>23.695375297812902</v>
      </c>
      <c r="BJ1760" s="2">
        <v>23.7318206870344</v>
      </c>
      <c r="BK1760" s="2">
        <v>23.8250811173884</v>
      </c>
      <c r="BL1760" s="2">
        <v>22.453135713696099</v>
      </c>
      <c r="BM1760" s="2">
        <v>23.750751812380301</v>
      </c>
      <c r="BN1760" s="2">
        <v>23.793011375123498</v>
      </c>
      <c r="BO1760" s="2">
        <v>23.782562225242302</v>
      </c>
      <c r="BP1760" s="2">
        <v>23.723454959882002</v>
      </c>
      <c r="BQ1760" s="2">
        <v>23.683160268831202</v>
      </c>
      <c r="BR1760" s="2">
        <v>23.725840491719101</v>
      </c>
      <c r="BS1760" s="2">
        <v>23.793335746731099</v>
      </c>
      <c r="BT1760" s="2">
        <v>23.7185419574758</v>
      </c>
      <c r="BU1760" s="2">
        <v>23.731777163956501</v>
      </c>
      <c r="BV1760" s="2">
        <v>22.021974823707801</v>
      </c>
      <c r="BW1760" s="2">
        <v>23.758337373771099</v>
      </c>
      <c r="BX1760" s="2">
        <v>23.648937083341501</v>
      </c>
      <c r="BY1760" s="2">
        <v>23.765525423861501</v>
      </c>
      <c r="BZ1760" s="2">
        <v>23.602845071008002</v>
      </c>
      <c r="CA1760" s="2">
        <v>23.740037254737501</v>
      </c>
      <c r="CB1760" s="2">
        <v>23.667748464528199</v>
      </c>
      <c r="CC1760" s="2">
        <v>23.2724980294274</v>
      </c>
      <c r="CD1760" s="2">
        <v>23.698745520163602</v>
      </c>
      <c r="CE1760" s="2">
        <v>23.714095895877399</v>
      </c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</row>
    <row r="1761" spans="1:97">
      <c r="A1761" s="2" t="s">
        <v>15526</v>
      </c>
      <c r="B1761" s="2">
        <v>340.19366000000002</v>
      </c>
      <c r="C1761" s="2">
        <v>6.9909999999999997</v>
      </c>
      <c r="D1761" s="2" t="s">
        <v>84</v>
      </c>
      <c r="E1761" s="2" t="s">
        <v>15527</v>
      </c>
      <c r="F1761" s="2" t="s">
        <v>15528</v>
      </c>
      <c r="G1761" s="2">
        <v>63941</v>
      </c>
      <c r="H1761" s="3" t="str">
        <f>HYPERLINK("https://cloud.oebiotech.com/#/lm/network/63941", "https://cloud.oebiotech.com/#/lm/network/63941")</f>
        <v>https://cloud.oebiotech.com/#/lm/network/63941</v>
      </c>
      <c r="I1761" s="2" t="s">
        <v>15529</v>
      </c>
      <c r="J1761" s="2">
        <v>95274</v>
      </c>
      <c r="K1761" s="2"/>
      <c r="L1761" s="2">
        <v>6439947</v>
      </c>
      <c r="M1761" s="2"/>
      <c r="N1761" s="2"/>
      <c r="O1761" s="2"/>
      <c r="P1761" s="2"/>
      <c r="Q1761" s="2"/>
      <c r="R1761" s="2"/>
      <c r="S1761" s="2" t="s">
        <v>15530</v>
      </c>
      <c r="T1761" s="2" t="s">
        <v>15531</v>
      </c>
      <c r="U1761" s="2" t="s">
        <v>15532</v>
      </c>
      <c r="V1761" s="2" t="s">
        <v>553</v>
      </c>
      <c r="W1761" s="2" t="s">
        <v>6195</v>
      </c>
      <c r="X1761" s="2" t="s">
        <v>375</v>
      </c>
      <c r="Y1761" s="2" t="s">
        <v>556</v>
      </c>
      <c r="Z1761" s="2" t="s">
        <v>6196</v>
      </c>
      <c r="AA1761" s="2"/>
      <c r="AB1761" s="2" t="s">
        <v>5118</v>
      </c>
      <c r="AC1761" s="2">
        <v>40.51</v>
      </c>
      <c r="AD1761" s="2">
        <v>86.29</v>
      </c>
      <c r="AE1761" s="2">
        <v>73.98</v>
      </c>
      <c r="AF1761" s="2" t="s">
        <v>15533</v>
      </c>
      <c r="AG1761" s="2" t="s">
        <v>103</v>
      </c>
      <c r="AH1761" s="2" t="s">
        <v>15534</v>
      </c>
      <c r="AI1761" s="2">
        <v>-8.82</v>
      </c>
      <c r="AJ1761" s="2">
        <v>18.925104802487599</v>
      </c>
      <c r="AK1761" s="2">
        <v>19.025745876024398</v>
      </c>
      <c r="AL1761" s="2">
        <v>18.999873745451399</v>
      </c>
      <c r="AM1761" s="2">
        <v>18.954239201112902</v>
      </c>
      <c r="AN1761" s="2">
        <v>19.159281480918601</v>
      </c>
      <c r="AO1761" s="2">
        <v>19.197208700623399</v>
      </c>
      <c r="AP1761" s="2">
        <v>19.156446450429801</v>
      </c>
      <c r="AQ1761" s="2">
        <v>19.054109753417698</v>
      </c>
      <c r="AR1761" s="2">
        <v>9.6233145402724691</v>
      </c>
      <c r="AS1761" s="2">
        <v>21.013804277952801</v>
      </c>
      <c r="AT1761" s="2">
        <v>18.496249498905001</v>
      </c>
      <c r="AU1761" s="2">
        <v>19.193262449535801</v>
      </c>
      <c r="AV1761" s="2">
        <v>19.6074239832909</v>
      </c>
      <c r="AW1761" s="2">
        <v>19.758343469008398</v>
      </c>
      <c r="AX1761" s="2">
        <v>18.606247380375802</v>
      </c>
      <c r="AY1761" s="2">
        <v>20.191637740408002</v>
      </c>
      <c r="AZ1761" s="2">
        <v>19.844188162215001</v>
      </c>
      <c r="BA1761" s="2">
        <v>19.181266928739898</v>
      </c>
      <c r="BB1761" s="2">
        <v>17.8684924016626</v>
      </c>
      <c r="BC1761" s="2">
        <v>18.854279058163701</v>
      </c>
      <c r="BD1761" s="2">
        <v>19.3242020203683</v>
      </c>
      <c r="BE1761" s="2">
        <v>19.920479285755299</v>
      </c>
      <c r="BF1761" s="2">
        <v>19.648880379956299</v>
      </c>
      <c r="BG1761" s="2">
        <v>16.538565746896801</v>
      </c>
      <c r="BH1761" s="2">
        <v>19.2241698820606</v>
      </c>
      <c r="BI1761" s="2">
        <v>18.5757413878334</v>
      </c>
      <c r="BJ1761" s="2">
        <v>13.959737558604401</v>
      </c>
      <c r="BK1761" s="2">
        <v>19.314445236947101</v>
      </c>
      <c r="BL1761" s="2">
        <v>19.7809800659712</v>
      </c>
      <c r="BM1761" s="2">
        <v>19.651693588446001</v>
      </c>
      <c r="BN1761" s="2">
        <v>18.897973608352501</v>
      </c>
      <c r="BO1761" s="2">
        <v>18.999613881680201</v>
      </c>
      <c r="BP1761" s="2">
        <v>19.4105042483034</v>
      </c>
      <c r="BQ1761" s="2">
        <v>19.688352598869699</v>
      </c>
      <c r="BR1761" s="2">
        <v>15.0285389368892</v>
      </c>
      <c r="BS1761" s="2">
        <v>19.4898240543179</v>
      </c>
      <c r="BT1761" s="2">
        <v>18.210444715956498</v>
      </c>
      <c r="BU1761" s="2">
        <v>19.509324961619701</v>
      </c>
      <c r="BV1761" s="2">
        <v>18.140832715819801</v>
      </c>
      <c r="BW1761" s="2">
        <v>16.606759423024901</v>
      </c>
      <c r="BX1761" s="2">
        <v>19.7291776991737</v>
      </c>
      <c r="BY1761" s="2">
        <v>18.670351518140698</v>
      </c>
      <c r="BZ1761" s="2">
        <v>18.834566443410399</v>
      </c>
      <c r="CA1761" s="2">
        <v>15.667663759661901</v>
      </c>
      <c r="CB1761" s="2">
        <v>14.765388153043901</v>
      </c>
      <c r="CC1761" s="2">
        <v>19.842102570721</v>
      </c>
      <c r="CD1761" s="2">
        <v>19.8393433621642</v>
      </c>
      <c r="CE1761" s="2">
        <v>20.221351238164701</v>
      </c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</row>
    <row r="1762" spans="1:97">
      <c r="A1762" s="2" t="s">
        <v>15535</v>
      </c>
      <c r="B1762" s="2">
        <v>613.12456999999995</v>
      </c>
      <c r="C1762" s="2">
        <v>7.4009999999999998</v>
      </c>
      <c r="D1762" s="2" t="s">
        <v>146</v>
      </c>
      <c r="E1762" s="2" t="s">
        <v>15536</v>
      </c>
      <c r="F1762" s="2" t="s">
        <v>15537</v>
      </c>
      <c r="G1762" s="2">
        <v>30595</v>
      </c>
      <c r="H1762" s="3" t="str">
        <f>HYPERLINK("https://cloud.oebiotech.com/#/lm/network/30595", "https://cloud.oebiotech.com/#/lm/network/30595")</f>
        <v>https://cloud.oebiotech.com/#/lm/network/30595</v>
      </c>
      <c r="I1762" s="2"/>
      <c r="J1762" s="2"/>
      <c r="K1762" s="2" t="s">
        <v>15538</v>
      </c>
      <c r="L1762" s="2">
        <v>44257939</v>
      </c>
      <c r="M1762" s="2"/>
      <c r="N1762" s="2"/>
      <c r="O1762" s="2"/>
      <c r="P1762" s="2"/>
      <c r="Q1762" s="2"/>
      <c r="R1762" s="2"/>
      <c r="S1762" s="2"/>
      <c r="T1762" s="2" t="s">
        <v>15539</v>
      </c>
      <c r="U1762" s="2" t="s">
        <v>15540</v>
      </c>
      <c r="V1762" s="2" t="s">
        <v>845</v>
      </c>
      <c r="W1762" s="2" t="s">
        <v>1853</v>
      </c>
      <c r="X1762" s="2" t="s">
        <v>6175</v>
      </c>
      <c r="Y1762" s="2" t="s">
        <v>847</v>
      </c>
      <c r="Z1762" s="2" t="s">
        <v>1855</v>
      </c>
      <c r="AA1762" s="2" t="s">
        <v>6176</v>
      </c>
      <c r="AB1762" s="2" t="s">
        <v>5118</v>
      </c>
      <c r="AC1762" s="2">
        <v>40.5</v>
      </c>
      <c r="AD1762" s="2">
        <v>79.17</v>
      </c>
      <c r="AE1762" s="2">
        <v>74.2</v>
      </c>
      <c r="AF1762" s="2" t="s">
        <v>15541</v>
      </c>
      <c r="AG1762" s="2" t="s">
        <v>157</v>
      </c>
      <c r="AH1762" s="2" t="s">
        <v>15542</v>
      </c>
      <c r="AI1762" s="2">
        <v>-7.67</v>
      </c>
      <c r="AJ1762" s="2">
        <v>16.970902398314099</v>
      </c>
      <c r="AK1762" s="2">
        <v>16.0801271534325</v>
      </c>
      <c r="AL1762" s="2">
        <v>16.621041934274398</v>
      </c>
      <c r="AM1762" s="2">
        <v>17.048917642825899</v>
      </c>
      <c r="AN1762" s="2">
        <v>17.0197078861089</v>
      </c>
      <c r="AO1762" s="2">
        <v>16.406307163906899</v>
      </c>
      <c r="AP1762" s="2">
        <v>16.952583034298499</v>
      </c>
      <c r="AQ1762" s="2">
        <v>16.557007551898899</v>
      </c>
      <c r="AR1762" s="2">
        <v>16.394896724034499</v>
      </c>
      <c r="AS1762" s="2">
        <v>13.6151594661372</v>
      </c>
      <c r="AT1762" s="2">
        <v>17.250667409855499</v>
      </c>
      <c r="AU1762" s="2">
        <v>16.781992802960001</v>
      </c>
      <c r="AV1762" s="2">
        <v>14.234882530514</v>
      </c>
      <c r="AW1762" s="2">
        <v>17.790272696756599</v>
      </c>
      <c r="AX1762" s="2">
        <v>9.6233145402724691</v>
      </c>
      <c r="AY1762" s="2">
        <v>13.554233889685801</v>
      </c>
      <c r="AZ1762" s="2">
        <v>11.788571527535</v>
      </c>
      <c r="BA1762" s="2">
        <v>17.75492096272</v>
      </c>
      <c r="BB1762" s="2">
        <v>16.6152412397368</v>
      </c>
      <c r="BC1762" s="2">
        <v>17.4694280646852</v>
      </c>
      <c r="BD1762" s="2">
        <v>17.331093721329701</v>
      </c>
      <c r="BE1762" s="2">
        <v>15.0065689035711</v>
      </c>
      <c r="BF1762" s="2">
        <v>15.1541310043142</v>
      </c>
      <c r="BG1762" s="2">
        <v>15.0403586515672</v>
      </c>
      <c r="BH1762" s="2">
        <v>15.3713522798756</v>
      </c>
      <c r="BI1762" s="2">
        <v>14.8568281664389</v>
      </c>
      <c r="BJ1762" s="2">
        <v>19.9076136990953</v>
      </c>
      <c r="BK1762" s="2">
        <v>17.921677032680901</v>
      </c>
      <c r="BL1762" s="2">
        <v>16.5348232483733</v>
      </c>
      <c r="BM1762" s="2">
        <v>16.290275033630401</v>
      </c>
      <c r="BN1762" s="2">
        <v>17.8930576003429</v>
      </c>
      <c r="BO1762" s="2">
        <v>17.475463185279001</v>
      </c>
      <c r="BP1762" s="2">
        <v>9.6233145402724691</v>
      </c>
      <c r="BQ1762" s="2">
        <v>16.877462805531799</v>
      </c>
      <c r="BR1762" s="2">
        <v>14.302356896747099</v>
      </c>
      <c r="BS1762" s="2">
        <v>15.058263640410599</v>
      </c>
      <c r="BT1762" s="2">
        <v>19.827811862369899</v>
      </c>
      <c r="BU1762" s="2">
        <v>17.710738577124399</v>
      </c>
      <c r="BV1762" s="2">
        <v>15.9376505983369</v>
      </c>
      <c r="BW1762" s="2">
        <v>9.6233145402724691</v>
      </c>
      <c r="BX1762" s="2">
        <v>16.660315598304301</v>
      </c>
      <c r="BY1762" s="2">
        <v>14.761356442998901</v>
      </c>
      <c r="BZ1762" s="2">
        <v>9.6233145402724691</v>
      </c>
      <c r="CA1762" s="2">
        <v>15.365764701635401</v>
      </c>
      <c r="CB1762" s="2">
        <v>9.6233145402724691</v>
      </c>
      <c r="CC1762" s="2">
        <v>16.662283815112499</v>
      </c>
      <c r="CD1762" s="2">
        <v>17.593521773571599</v>
      </c>
      <c r="CE1762" s="2">
        <v>17.8445700027941</v>
      </c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</row>
    <row r="1763" spans="1:97">
      <c r="A1763" s="2" t="s">
        <v>15543</v>
      </c>
      <c r="B1763" s="2">
        <v>477.36117000000002</v>
      </c>
      <c r="C1763" s="2">
        <v>10.028</v>
      </c>
      <c r="D1763" s="2" t="s">
        <v>146</v>
      </c>
      <c r="E1763" s="2" t="s">
        <v>15544</v>
      </c>
      <c r="F1763" s="2" t="s">
        <v>15545</v>
      </c>
      <c r="G1763" s="2">
        <v>45713</v>
      </c>
      <c r="H1763" s="3" t="str">
        <f>HYPERLINK("https://cloud.oebiotech.com/#/lm/network/45713", "https://cloud.oebiotech.com/#/lm/network/45713")</f>
        <v>https://cloud.oebiotech.com/#/lm/network/45713</v>
      </c>
      <c r="I1763" s="2"/>
      <c r="J1763" s="2"/>
      <c r="K1763" s="2" t="s">
        <v>15546</v>
      </c>
      <c r="L1763" s="2">
        <v>9547651</v>
      </c>
      <c r="M1763" s="2"/>
      <c r="N1763" s="2"/>
      <c r="O1763" s="2"/>
      <c r="P1763" s="2"/>
      <c r="Q1763" s="2"/>
      <c r="R1763" s="2"/>
      <c r="S1763" s="2"/>
      <c r="T1763" s="2" t="s">
        <v>15547</v>
      </c>
      <c r="U1763" s="2" t="s">
        <v>15548</v>
      </c>
      <c r="V1763" s="2" t="s">
        <v>95</v>
      </c>
      <c r="W1763" s="2" t="s">
        <v>152</v>
      </c>
      <c r="X1763" s="2" t="s">
        <v>1484</v>
      </c>
      <c r="Y1763" s="2" t="s">
        <v>98</v>
      </c>
      <c r="Z1763" s="2" t="s">
        <v>154</v>
      </c>
      <c r="AA1763" s="2" t="s">
        <v>1485</v>
      </c>
      <c r="AB1763" s="2" t="s">
        <v>8443</v>
      </c>
      <c r="AC1763" s="2">
        <v>40.5</v>
      </c>
      <c r="AD1763" s="2">
        <v>80.430000000000007</v>
      </c>
      <c r="AE1763" s="2">
        <v>0</v>
      </c>
      <c r="AF1763" s="2" t="s">
        <v>5614</v>
      </c>
      <c r="AG1763" s="2" t="s">
        <v>194</v>
      </c>
      <c r="AH1763" s="2" t="s">
        <v>15549</v>
      </c>
      <c r="AI1763" s="2">
        <v>-5.45</v>
      </c>
      <c r="AJ1763" s="2">
        <v>17.1654385711618</v>
      </c>
      <c r="AK1763" s="2">
        <v>17.732960157359699</v>
      </c>
      <c r="AL1763" s="2">
        <v>17.795187054753701</v>
      </c>
      <c r="AM1763" s="2">
        <v>17.5051138821383</v>
      </c>
      <c r="AN1763" s="2">
        <v>17.814194216255501</v>
      </c>
      <c r="AO1763" s="2">
        <v>17.9010360996689</v>
      </c>
      <c r="AP1763" s="2">
        <v>17.822468759254299</v>
      </c>
      <c r="AQ1763" s="2">
        <v>17.9578642805456</v>
      </c>
      <c r="AR1763" s="2">
        <v>17.890478280548798</v>
      </c>
      <c r="AS1763" s="2">
        <v>18.069514486692199</v>
      </c>
      <c r="AT1763" s="2">
        <v>18.084618604382101</v>
      </c>
      <c r="AU1763" s="2">
        <v>17.695958889592902</v>
      </c>
      <c r="AV1763" s="2">
        <v>18.0726428262622</v>
      </c>
      <c r="AW1763" s="2">
        <v>17.989061153010301</v>
      </c>
      <c r="AX1763" s="2">
        <v>18.141469902530499</v>
      </c>
      <c r="AY1763" s="2">
        <v>17.703428056580002</v>
      </c>
      <c r="AZ1763" s="2">
        <v>17.863187548880301</v>
      </c>
      <c r="BA1763" s="2">
        <v>17.998317992650101</v>
      </c>
      <c r="BB1763" s="2">
        <v>18.175017866255399</v>
      </c>
      <c r="BC1763" s="2">
        <v>17.612360418651502</v>
      </c>
      <c r="BD1763" s="2">
        <v>17.792816660958799</v>
      </c>
      <c r="BE1763" s="2">
        <v>17.668556230785001</v>
      </c>
      <c r="BF1763" s="2">
        <v>17.827055719718199</v>
      </c>
      <c r="BG1763" s="2">
        <v>17.993196806196</v>
      </c>
      <c r="BH1763" s="2">
        <v>17.743527419571102</v>
      </c>
      <c r="BI1763" s="2">
        <v>17.962326467488499</v>
      </c>
      <c r="BJ1763" s="2">
        <v>17.979530533144001</v>
      </c>
      <c r="BK1763" s="2">
        <v>17.802600990213499</v>
      </c>
      <c r="BL1763" s="2">
        <v>18.112811037215099</v>
      </c>
      <c r="BM1763" s="2">
        <v>18.090007253785998</v>
      </c>
      <c r="BN1763" s="2">
        <v>17.452657831197801</v>
      </c>
      <c r="BO1763" s="2">
        <v>18.084541220382999</v>
      </c>
      <c r="BP1763" s="2">
        <v>17.855209395828101</v>
      </c>
      <c r="BQ1763" s="2">
        <v>18.047391388443302</v>
      </c>
      <c r="BR1763" s="2">
        <v>17.903964611495599</v>
      </c>
      <c r="BS1763" s="2">
        <v>17.970796990208999</v>
      </c>
      <c r="BT1763" s="2">
        <v>16.7395365806819</v>
      </c>
      <c r="BU1763" s="2">
        <v>17.7184690610883</v>
      </c>
      <c r="BV1763" s="2">
        <v>18.180119532468801</v>
      </c>
      <c r="BW1763" s="2">
        <v>17.648819656371501</v>
      </c>
      <c r="BX1763" s="2">
        <v>17.801626396759701</v>
      </c>
      <c r="BY1763" s="2">
        <v>17.811522959536202</v>
      </c>
      <c r="BZ1763" s="2">
        <v>17.467162360807901</v>
      </c>
      <c r="CA1763" s="2">
        <v>17.930852699589298</v>
      </c>
      <c r="CB1763" s="2">
        <v>18.089617132065001</v>
      </c>
      <c r="CC1763" s="2">
        <v>17.715074507065399</v>
      </c>
      <c r="CD1763" s="2">
        <v>17.733971984547299</v>
      </c>
      <c r="CE1763" s="2">
        <v>17.803176700325</v>
      </c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</row>
    <row r="1764" spans="1:97">
      <c r="A1764" s="2" t="s">
        <v>15550</v>
      </c>
      <c r="B1764" s="2">
        <v>310.15377999999998</v>
      </c>
      <c r="C1764" s="2">
        <v>10.9</v>
      </c>
      <c r="D1764" s="2" t="s">
        <v>84</v>
      </c>
      <c r="E1764" s="2" t="s">
        <v>15551</v>
      </c>
      <c r="F1764" s="2" t="s">
        <v>15552</v>
      </c>
      <c r="G1764" s="2">
        <v>209516</v>
      </c>
      <c r="H1764" s="3" t="str">
        <f>HYPERLINK("https://cloud.oebiotech.com/#/lm/network/209516", "https://cloud.oebiotech.com/#/lm/network/209516")</f>
        <v>https://cloud.oebiotech.com/#/lm/network/209516</v>
      </c>
      <c r="I1764" s="2" t="s">
        <v>15553</v>
      </c>
      <c r="J1764" s="2"/>
      <c r="K1764" s="2"/>
      <c r="L1764" s="2">
        <v>65875</v>
      </c>
      <c r="M1764" s="2"/>
      <c r="N1764" s="2"/>
      <c r="O1764" s="2"/>
      <c r="P1764" s="2"/>
      <c r="Q1764" s="2"/>
      <c r="R1764" s="2"/>
      <c r="S1764" s="2"/>
      <c r="T1764" s="2" t="s">
        <v>15554</v>
      </c>
      <c r="U1764" s="2" t="s">
        <v>15555</v>
      </c>
      <c r="V1764" s="2" t="s">
        <v>553</v>
      </c>
      <c r="W1764" s="2" t="s">
        <v>12477</v>
      </c>
      <c r="X1764" s="2" t="s">
        <v>375</v>
      </c>
      <c r="Y1764" s="2" t="s">
        <v>556</v>
      </c>
      <c r="Z1764" s="2" t="s">
        <v>12478</v>
      </c>
      <c r="AA1764" s="2"/>
      <c r="AB1764" s="2" t="s">
        <v>8443</v>
      </c>
      <c r="AC1764" s="2">
        <v>40.49</v>
      </c>
      <c r="AD1764" s="2">
        <v>88.52</v>
      </c>
      <c r="AE1764" s="2">
        <v>35.380000000000003</v>
      </c>
      <c r="AF1764" s="2" t="s">
        <v>15556</v>
      </c>
      <c r="AG1764" s="2" t="s">
        <v>103</v>
      </c>
      <c r="AH1764" s="2" t="s">
        <v>15557</v>
      </c>
      <c r="AI1764" s="2">
        <v>3.87</v>
      </c>
      <c r="AJ1764" s="2">
        <v>21.628432323465201</v>
      </c>
      <c r="AK1764" s="2">
        <v>21.7402479532897</v>
      </c>
      <c r="AL1764" s="2">
        <v>21.481576086896599</v>
      </c>
      <c r="AM1764" s="2">
        <v>21.6010832008336</v>
      </c>
      <c r="AN1764" s="2">
        <v>21.543752794959801</v>
      </c>
      <c r="AO1764" s="2">
        <v>21.849951643577899</v>
      </c>
      <c r="AP1764" s="2">
        <v>21.840300649298701</v>
      </c>
      <c r="AQ1764" s="2">
        <v>21.737731530867599</v>
      </c>
      <c r="AR1764" s="2">
        <v>21.652728346121901</v>
      </c>
      <c r="AS1764" s="2">
        <v>20.790723364956602</v>
      </c>
      <c r="AT1764" s="2">
        <v>21.518160332600001</v>
      </c>
      <c r="AU1764" s="2">
        <v>21.4285608119541</v>
      </c>
      <c r="AV1764" s="2">
        <v>21.566516743556299</v>
      </c>
      <c r="AW1764" s="2">
        <v>21.724464803712301</v>
      </c>
      <c r="AX1764" s="2">
        <v>21.875756084645001</v>
      </c>
      <c r="AY1764" s="2">
        <v>21.324869783462201</v>
      </c>
      <c r="AZ1764" s="2">
        <v>21.763761823377301</v>
      </c>
      <c r="BA1764" s="2">
        <v>20.4999046055162</v>
      </c>
      <c r="BB1764" s="2">
        <v>21.2927228106225</v>
      </c>
      <c r="BC1764" s="2">
        <v>22.002128602594102</v>
      </c>
      <c r="BD1764" s="2">
        <v>21.670014274176701</v>
      </c>
      <c r="BE1764" s="2">
        <v>21.901969179418501</v>
      </c>
      <c r="BF1764" s="2">
        <v>21.7396001256594</v>
      </c>
      <c r="BG1764" s="2">
        <v>21.8076848669463</v>
      </c>
      <c r="BH1764" s="2">
        <v>21.458027787564799</v>
      </c>
      <c r="BI1764" s="2">
        <v>21.9778461640092</v>
      </c>
      <c r="BJ1764" s="2">
        <v>21.637455541871699</v>
      </c>
      <c r="BK1764" s="2">
        <v>20.635387557535399</v>
      </c>
      <c r="BL1764" s="2">
        <v>21.4992385243544</v>
      </c>
      <c r="BM1764" s="2">
        <v>20.992467590513101</v>
      </c>
      <c r="BN1764" s="2">
        <v>21.807854953080099</v>
      </c>
      <c r="BO1764" s="2">
        <v>21.6169924522153</v>
      </c>
      <c r="BP1764" s="2">
        <v>21.2616482421552</v>
      </c>
      <c r="BQ1764" s="2">
        <v>21.413162726758198</v>
      </c>
      <c r="BR1764" s="2">
        <v>21.8716676290354</v>
      </c>
      <c r="BS1764" s="2">
        <v>21.770054186798902</v>
      </c>
      <c r="BT1764" s="2">
        <v>21.625437861989599</v>
      </c>
      <c r="BU1764" s="2">
        <v>21.439406868936199</v>
      </c>
      <c r="BV1764" s="2">
        <v>21.484125348791999</v>
      </c>
      <c r="BW1764" s="2">
        <v>21.278917858085599</v>
      </c>
      <c r="BX1764" s="2">
        <v>21.645196883813799</v>
      </c>
      <c r="BY1764" s="2">
        <v>22.0811981226806</v>
      </c>
      <c r="BZ1764" s="2">
        <v>21.683543733124399</v>
      </c>
      <c r="CA1764" s="2">
        <v>21.9757927834127</v>
      </c>
      <c r="CB1764" s="2">
        <v>21.8287163999535</v>
      </c>
      <c r="CC1764" s="2">
        <v>21.241449031087601</v>
      </c>
      <c r="CD1764" s="2">
        <v>21.7647715283133</v>
      </c>
      <c r="CE1764" s="2">
        <v>21.048642946779101</v>
      </c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</row>
    <row r="1765" spans="1:97">
      <c r="A1765" s="2" t="s">
        <v>15558</v>
      </c>
      <c r="B1765" s="2">
        <v>424.10395999999997</v>
      </c>
      <c r="C1765" s="2">
        <v>3.7109999999999999</v>
      </c>
      <c r="D1765" s="2" t="s">
        <v>146</v>
      </c>
      <c r="E1765" s="2" t="s">
        <v>15559</v>
      </c>
      <c r="F1765" s="2" t="s">
        <v>15560</v>
      </c>
      <c r="G1765" s="2">
        <v>53102</v>
      </c>
      <c r="H1765" s="3" t="str">
        <f>HYPERLINK("https://cloud.oebiotech.com/#/lm/network/53102", "https://cloud.oebiotech.com/#/lm/network/53102")</f>
        <v>https://cloud.oebiotech.com/#/lm/network/53102</v>
      </c>
      <c r="I1765" s="2" t="s">
        <v>15561</v>
      </c>
      <c r="J1765" s="2">
        <v>316057</v>
      </c>
      <c r="K1765" s="2"/>
      <c r="L1765" s="2">
        <v>110635</v>
      </c>
      <c r="M1765" s="2"/>
      <c r="N1765" s="2"/>
      <c r="O1765" s="2"/>
      <c r="P1765" s="2">
        <v>71940</v>
      </c>
      <c r="Q1765" s="2"/>
      <c r="R1765" s="2"/>
      <c r="S1765" s="2" t="s">
        <v>15562</v>
      </c>
      <c r="T1765" s="2" t="s">
        <v>15563</v>
      </c>
      <c r="U1765" s="2" t="s">
        <v>15564</v>
      </c>
      <c r="V1765" s="2" t="s">
        <v>553</v>
      </c>
      <c r="W1765" s="2" t="s">
        <v>933</v>
      </c>
      <c r="X1765" s="2" t="s">
        <v>13160</v>
      </c>
      <c r="Y1765" s="2" t="s">
        <v>556</v>
      </c>
      <c r="Z1765" s="2" t="s">
        <v>935</v>
      </c>
      <c r="AA1765" s="2" t="s">
        <v>13161</v>
      </c>
      <c r="AB1765" s="2" t="s">
        <v>5118</v>
      </c>
      <c r="AC1765" s="2">
        <v>40.46</v>
      </c>
      <c r="AD1765" s="2">
        <v>92.3</v>
      </c>
      <c r="AE1765" s="2">
        <v>53.02</v>
      </c>
      <c r="AF1765" s="2" t="s">
        <v>15565</v>
      </c>
      <c r="AG1765" s="2" t="s">
        <v>4062</v>
      </c>
      <c r="AH1765" s="2" t="s">
        <v>15566</v>
      </c>
      <c r="AI1765" s="2">
        <v>7.07</v>
      </c>
      <c r="AJ1765" s="2">
        <v>19.620454321729401</v>
      </c>
      <c r="AK1765" s="2">
        <v>19.753941936984901</v>
      </c>
      <c r="AL1765" s="2">
        <v>19.699086862239099</v>
      </c>
      <c r="AM1765" s="2">
        <v>19.625318440797201</v>
      </c>
      <c r="AN1765" s="2">
        <v>19.6110394805923</v>
      </c>
      <c r="AO1765" s="2">
        <v>19.534268358260402</v>
      </c>
      <c r="AP1765" s="2">
        <v>19.610684247302899</v>
      </c>
      <c r="AQ1765" s="2">
        <v>19.394688558584999</v>
      </c>
      <c r="AR1765" s="2">
        <v>18.7418195917083</v>
      </c>
      <c r="AS1765" s="2">
        <v>18.8773625074706</v>
      </c>
      <c r="AT1765" s="2">
        <v>19.137783446823899</v>
      </c>
      <c r="AU1765" s="2">
        <v>19.027320166041498</v>
      </c>
      <c r="AV1765" s="2">
        <v>19.394536214180501</v>
      </c>
      <c r="AW1765" s="2">
        <v>19.267792899758302</v>
      </c>
      <c r="AX1765" s="2">
        <v>18.9796259278436</v>
      </c>
      <c r="AY1765" s="2">
        <v>19.524154923680801</v>
      </c>
      <c r="AZ1765" s="2">
        <v>19.3377186913259</v>
      </c>
      <c r="BA1765" s="2">
        <v>18.913798480039901</v>
      </c>
      <c r="BB1765" s="2">
        <v>19.902284572214</v>
      </c>
      <c r="BC1765" s="2">
        <v>19.450566021761301</v>
      </c>
      <c r="BD1765" s="2">
        <v>18.898821714095501</v>
      </c>
      <c r="BE1765" s="2">
        <v>19.848614841627899</v>
      </c>
      <c r="BF1765" s="2">
        <v>19.516302644483801</v>
      </c>
      <c r="BG1765" s="2">
        <v>19.779417672216201</v>
      </c>
      <c r="BH1765" s="2">
        <v>19.7792730600517</v>
      </c>
      <c r="BI1765" s="2">
        <v>19.146461902532501</v>
      </c>
      <c r="BJ1765" s="2">
        <v>19.551612875005599</v>
      </c>
      <c r="BK1765" s="2">
        <v>19.4323237620697</v>
      </c>
      <c r="BL1765" s="2">
        <v>19.234739162975401</v>
      </c>
      <c r="BM1765" s="2">
        <v>19.987556377487799</v>
      </c>
      <c r="BN1765" s="2">
        <v>19.487561939263401</v>
      </c>
      <c r="BO1765" s="2">
        <v>19.436643373413698</v>
      </c>
      <c r="BP1765" s="2">
        <v>19.396694787949201</v>
      </c>
      <c r="BQ1765" s="2">
        <v>19.359946382919201</v>
      </c>
      <c r="BR1765" s="2">
        <v>19.339514049805999</v>
      </c>
      <c r="BS1765" s="2">
        <v>19.186433325067402</v>
      </c>
      <c r="BT1765" s="2">
        <v>19.034695703554501</v>
      </c>
      <c r="BU1765" s="2">
        <v>18.8051229804874</v>
      </c>
      <c r="BV1765" s="2">
        <v>19.564361997743902</v>
      </c>
      <c r="BW1765" s="2">
        <v>18.952748241820199</v>
      </c>
      <c r="BX1765" s="2">
        <v>19.4049777284722</v>
      </c>
      <c r="BY1765" s="2">
        <v>19.5069532846932</v>
      </c>
      <c r="BZ1765" s="2">
        <v>19.6484623533708</v>
      </c>
      <c r="CA1765" s="2">
        <v>19.665460993406601</v>
      </c>
      <c r="CB1765" s="2">
        <v>19.338958631529302</v>
      </c>
      <c r="CC1765" s="2">
        <v>18.835175226452598</v>
      </c>
      <c r="CD1765" s="2">
        <v>19.703883875992801</v>
      </c>
      <c r="CE1765" s="2">
        <v>19.485440113997299</v>
      </c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</row>
    <row r="1766" spans="1:97">
      <c r="A1766" s="2" t="s">
        <v>15567</v>
      </c>
      <c r="B1766" s="2">
        <v>293.00439999999998</v>
      </c>
      <c r="C1766" s="2">
        <v>7.4</v>
      </c>
      <c r="D1766" s="2" t="s">
        <v>84</v>
      </c>
      <c r="E1766" s="2" t="s">
        <v>15568</v>
      </c>
      <c r="F1766" s="2" t="s">
        <v>15569</v>
      </c>
      <c r="G1766" s="2">
        <v>213474</v>
      </c>
      <c r="H1766" s="3" t="str">
        <f>HYPERLINK("https://cloud.oebiotech.com/#/lm/network/213474", "https://cloud.oebiotech.com/#/lm/network/213474")</f>
        <v>https://cloud.oebiotech.com/#/lm/network/213474</v>
      </c>
      <c r="I1766" s="2" t="s">
        <v>15570</v>
      </c>
      <c r="J1766" s="2"/>
      <c r="K1766" s="2"/>
      <c r="L1766" s="2">
        <v>23146122</v>
      </c>
      <c r="M1766" s="2"/>
      <c r="N1766" s="2"/>
      <c r="O1766" s="2"/>
      <c r="P1766" s="2"/>
      <c r="Q1766" s="2"/>
      <c r="R1766" s="2"/>
      <c r="S1766" s="2"/>
      <c r="T1766" s="2" t="s">
        <v>15571</v>
      </c>
      <c r="U1766" s="2" t="s">
        <v>15572</v>
      </c>
      <c r="V1766" s="2" t="s">
        <v>115</v>
      </c>
      <c r="W1766" s="2" t="s">
        <v>116</v>
      </c>
      <c r="X1766" s="2" t="s">
        <v>117</v>
      </c>
      <c r="Y1766" s="2" t="s">
        <v>118</v>
      </c>
      <c r="Z1766" s="2" t="s">
        <v>119</v>
      </c>
      <c r="AA1766" s="2" t="s">
        <v>120</v>
      </c>
      <c r="AB1766" s="2" t="s">
        <v>8443</v>
      </c>
      <c r="AC1766" s="2">
        <v>40.43</v>
      </c>
      <c r="AD1766" s="2">
        <v>74.16</v>
      </c>
      <c r="AE1766" s="2">
        <v>37.29</v>
      </c>
      <c r="AF1766" s="2" t="s">
        <v>15573</v>
      </c>
      <c r="AG1766" s="2" t="s">
        <v>1578</v>
      </c>
      <c r="AH1766" s="2" t="s">
        <v>15574</v>
      </c>
      <c r="AI1766" s="2">
        <v>1.37</v>
      </c>
      <c r="AJ1766" s="2">
        <v>19.3577593917278</v>
      </c>
      <c r="AK1766" s="2">
        <v>19.377263897423202</v>
      </c>
      <c r="AL1766" s="2">
        <v>19.512536686099001</v>
      </c>
      <c r="AM1766" s="2">
        <v>19.137665791199499</v>
      </c>
      <c r="AN1766" s="2">
        <v>19.381148896269899</v>
      </c>
      <c r="AO1766" s="2">
        <v>19.4580917784001</v>
      </c>
      <c r="AP1766" s="2">
        <v>19.722202418736799</v>
      </c>
      <c r="AQ1766" s="2">
        <v>19.884264754573898</v>
      </c>
      <c r="AR1766" s="2">
        <v>19.2176589271909</v>
      </c>
      <c r="AS1766" s="2">
        <v>18.635769480289699</v>
      </c>
      <c r="AT1766" s="2">
        <v>18.851974505887998</v>
      </c>
      <c r="AU1766" s="2">
        <v>18.506663917853199</v>
      </c>
      <c r="AV1766" s="2">
        <v>19.218262651295198</v>
      </c>
      <c r="AW1766" s="2">
        <v>18.907141971067102</v>
      </c>
      <c r="AX1766" s="2">
        <v>19.413061042251002</v>
      </c>
      <c r="AY1766" s="2">
        <v>19.0132354523444</v>
      </c>
      <c r="AZ1766" s="2">
        <v>19.038360229974799</v>
      </c>
      <c r="BA1766" s="2">
        <v>19.077953368298498</v>
      </c>
      <c r="BB1766" s="2">
        <v>19.005397876830699</v>
      </c>
      <c r="BC1766" s="2">
        <v>18.685342077569</v>
      </c>
      <c r="BD1766" s="2">
        <v>18.973619318723902</v>
      </c>
      <c r="BE1766" s="2">
        <v>19.546881275103999</v>
      </c>
      <c r="BF1766" s="2">
        <v>19.087831641454599</v>
      </c>
      <c r="BG1766" s="2">
        <v>19.4131502555251</v>
      </c>
      <c r="BH1766" s="2">
        <v>19.298600349255501</v>
      </c>
      <c r="BI1766" s="2">
        <v>19.166383386012299</v>
      </c>
      <c r="BJ1766" s="2">
        <v>19.518524881216099</v>
      </c>
      <c r="BK1766" s="2">
        <v>19.1136270095196</v>
      </c>
      <c r="BL1766" s="2">
        <v>18.9583085829818</v>
      </c>
      <c r="BM1766" s="2">
        <v>18.614502126908398</v>
      </c>
      <c r="BN1766" s="2">
        <v>19.037124871109501</v>
      </c>
      <c r="BO1766" s="2">
        <v>19.3787383685283</v>
      </c>
      <c r="BP1766" s="2">
        <v>19.259626020648799</v>
      </c>
      <c r="BQ1766" s="2">
        <v>19.4491305253073</v>
      </c>
      <c r="BR1766" s="2">
        <v>19.191388703407199</v>
      </c>
      <c r="BS1766" s="2">
        <v>19.2539547914098</v>
      </c>
      <c r="BT1766" s="2">
        <v>19.240939967364799</v>
      </c>
      <c r="BU1766" s="2">
        <v>19.145872780061801</v>
      </c>
      <c r="BV1766" s="2">
        <v>19.0749254140263</v>
      </c>
      <c r="BW1766" s="2">
        <v>18.616090893467899</v>
      </c>
      <c r="BX1766" s="2">
        <v>18.926273290318999</v>
      </c>
      <c r="BY1766" s="2">
        <v>19.660006707168701</v>
      </c>
      <c r="BZ1766" s="2">
        <v>19.357007764305902</v>
      </c>
      <c r="CA1766" s="2">
        <v>19.3042388964199</v>
      </c>
      <c r="CB1766" s="2">
        <v>19.642691825107001</v>
      </c>
      <c r="CC1766" s="2">
        <v>19.191349422238702</v>
      </c>
      <c r="CD1766" s="2">
        <v>19.319481457306701</v>
      </c>
      <c r="CE1766" s="2">
        <v>19.395804318434301</v>
      </c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</row>
    <row r="1767" spans="1:97">
      <c r="A1767" s="2" t="s">
        <v>15575</v>
      </c>
      <c r="B1767" s="2">
        <v>123.04403000000001</v>
      </c>
      <c r="C1767" s="2">
        <v>0.79400000000000004</v>
      </c>
      <c r="D1767" s="2" t="s">
        <v>84</v>
      </c>
      <c r="E1767" s="2" t="s">
        <v>15576</v>
      </c>
      <c r="F1767" s="2" t="s">
        <v>15577</v>
      </c>
      <c r="G1767" s="2">
        <v>210408</v>
      </c>
      <c r="H1767" s="3" t="str">
        <f>HYPERLINK("https://cloud.oebiotech.com/#/lm/network/210408", "https://cloud.oebiotech.com/#/lm/network/210408")</f>
        <v>https://cloud.oebiotech.com/#/lm/network/210408</v>
      </c>
      <c r="I1767" s="2" t="s">
        <v>15578</v>
      </c>
      <c r="J1767" s="2"/>
      <c r="K1767" s="2"/>
      <c r="L1767" s="2">
        <v>5376415</v>
      </c>
      <c r="M1767" s="2"/>
      <c r="N1767" s="2"/>
      <c r="O1767" s="2"/>
      <c r="P1767" s="2"/>
      <c r="Q1767" s="2"/>
      <c r="R1767" s="2"/>
      <c r="S1767" s="2"/>
      <c r="T1767" s="2" t="s">
        <v>15579</v>
      </c>
      <c r="U1767" s="2" t="s">
        <v>15580</v>
      </c>
      <c r="V1767" s="2" t="s">
        <v>553</v>
      </c>
      <c r="W1767" s="2" t="s">
        <v>3192</v>
      </c>
      <c r="X1767" s="2" t="s">
        <v>375</v>
      </c>
      <c r="Y1767" s="2" t="s">
        <v>556</v>
      </c>
      <c r="Z1767" s="2" t="s">
        <v>3194</v>
      </c>
      <c r="AA1767" s="2"/>
      <c r="AB1767" s="2" t="s">
        <v>8443</v>
      </c>
      <c r="AC1767" s="2">
        <v>40.409999999999997</v>
      </c>
      <c r="AD1767" s="2">
        <v>72.48</v>
      </c>
      <c r="AE1767" s="2">
        <v>0</v>
      </c>
      <c r="AF1767" s="2" t="s">
        <v>15581</v>
      </c>
      <c r="AG1767" s="2" t="s">
        <v>3544</v>
      </c>
      <c r="AH1767" s="2" t="s">
        <v>15582</v>
      </c>
      <c r="AI1767" s="2">
        <v>4.0599999999999996</v>
      </c>
      <c r="AJ1767" s="2">
        <v>22.2499436900227</v>
      </c>
      <c r="AK1767" s="2">
        <v>22.4475361948856</v>
      </c>
      <c r="AL1767" s="2">
        <v>22.345614952910399</v>
      </c>
      <c r="AM1767" s="2">
        <v>22.206224194322299</v>
      </c>
      <c r="AN1767" s="2">
        <v>22.596589873619902</v>
      </c>
      <c r="AO1767" s="2">
        <v>22.504086362451801</v>
      </c>
      <c r="AP1767" s="2">
        <v>22.256590686280099</v>
      </c>
      <c r="AQ1767" s="2">
        <v>22.587719853091901</v>
      </c>
      <c r="AR1767" s="2">
        <v>22.263337943343402</v>
      </c>
      <c r="AS1767" s="2">
        <v>22.626524711612301</v>
      </c>
      <c r="AT1767" s="2">
        <v>22.386272352814299</v>
      </c>
      <c r="AU1767" s="2">
        <v>22.467114457245199</v>
      </c>
      <c r="AV1767" s="2">
        <v>22.289265061411999</v>
      </c>
      <c r="AW1767" s="2">
        <v>22.628878183556399</v>
      </c>
      <c r="AX1767" s="2">
        <v>22.172011581316401</v>
      </c>
      <c r="AY1767" s="2">
        <v>23.6176077233836</v>
      </c>
      <c r="AZ1767" s="2">
        <v>22.153530564344699</v>
      </c>
      <c r="BA1767" s="2">
        <v>22.246276233413099</v>
      </c>
      <c r="BB1767" s="2">
        <v>22.692370384375401</v>
      </c>
      <c r="BC1767" s="2">
        <v>22.2013765132894</v>
      </c>
      <c r="BD1767" s="2">
        <v>21.7204629148824</v>
      </c>
      <c r="BE1767" s="2">
        <v>23.004724610803699</v>
      </c>
      <c r="BF1767" s="2">
        <v>22.2066510046125</v>
      </c>
      <c r="BG1767" s="2">
        <v>22.2989481289545</v>
      </c>
      <c r="BH1767" s="2">
        <v>22.906864753034601</v>
      </c>
      <c r="BI1767" s="2">
        <v>22.373812596476601</v>
      </c>
      <c r="BJ1767" s="2">
        <v>22.1256470175801</v>
      </c>
      <c r="BK1767" s="2">
        <v>22.172628129119701</v>
      </c>
      <c r="BL1767" s="2">
        <v>22.193371349821501</v>
      </c>
      <c r="BM1767" s="2">
        <v>23.2520563190226</v>
      </c>
      <c r="BN1767" s="2">
        <v>22.666827233586499</v>
      </c>
      <c r="BO1767" s="2">
        <v>22.637282392742598</v>
      </c>
      <c r="BP1767" s="2">
        <v>22.4318607715567</v>
      </c>
      <c r="BQ1767" s="2">
        <v>22.8017917627073</v>
      </c>
      <c r="BR1767" s="2">
        <v>22.7835606465353</v>
      </c>
      <c r="BS1767" s="2">
        <v>22.448726697627801</v>
      </c>
      <c r="BT1767" s="2">
        <v>21.9713598052493</v>
      </c>
      <c r="BU1767" s="2">
        <v>22.594212128208799</v>
      </c>
      <c r="BV1767" s="2">
        <v>22.277924134375901</v>
      </c>
      <c r="BW1767" s="2">
        <v>22.371293005780501</v>
      </c>
      <c r="BX1767" s="2">
        <v>22.5820125158724</v>
      </c>
      <c r="BY1767" s="2">
        <v>22.558409039495299</v>
      </c>
      <c r="BZ1767" s="2">
        <v>22.5879744831519</v>
      </c>
      <c r="CA1767" s="2">
        <v>22.763760419488101</v>
      </c>
      <c r="CB1767" s="2">
        <v>22.319167265965099</v>
      </c>
      <c r="CC1767" s="2">
        <v>22.4962498037216</v>
      </c>
      <c r="CD1767" s="2">
        <v>22.718751215333999</v>
      </c>
      <c r="CE1767" s="2">
        <v>22.483215701978501</v>
      </c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</row>
    <row r="1768" spans="1:97">
      <c r="A1768" s="2" t="s">
        <v>15583</v>
      </c>
      <c r="B1768" s="2">
        <v>788.60974999999996</v>
      </c>
      <c r="C1768" s="2">
        <v>11.896000000000001</v>
      </c>
      <c r="D1768" s="2" t="s">
        <v>84</v>
      </c>
      <c r="E1768" s="2" t="s">
        <v>15584</v>
      </c>
      <c r="F1768" s="2" t="s">
        <v>15585</v>
      </c>
      <c r="G1768" s="2">
        <v>134035</v>
      </c>
      <c r="H1768" s="3" t="str">
        <f>HYPERLINK("https://cloud.oebiotech.com/#/lm/network/134035", "https://cloud.oebiotech.com/#/lm/network/134035")</f>
        <v>https://cloud.oebiotech.com/#/lm/network/134035</v>
      </c>
      <c r="I1768" s="2" t="s">
        <v>15586</v>
      </c>
      <c r="J1768" s="2"/>
      <c r="K1768" s="2"/>
      <c r="L1768" s="2">
        <v>131821042</v>
      </c>
      <c r="M1768" s="2"/>
      <c r="N1768" s="2"/>
      <c r="O1768" s="2"/>
      <c r="P1768" s="2"/>
      <c r="Q1768" s="2"/>
      <c r="R1768" s="2"/>
      <c r="S1768" s="2"/>
      <c r="T1768" s="2" t="s">
        <v>15587</v>
      </c>
      <c r="U1768" s="2" t="s">
        <v>15588</v>
      </c>
      <c r="V1768" s="2" t="s">
        <v>95</v>
      </c>
      <c r="W1768" s="2" t="s">
        <v>202</v>
      </c>
      <c r="X1768" s="2" t="s">
        <v>327</v>
      </c>
      <c r="Y1768" s="2" t="s">
        <v>98</v>
      </c>
      <c r="Z1768" s="2" t="s">
        <v>204</v>
      </c>
      <c r="AA1768" s="2" t="s">
        <v>328</v>
      </c>
      <c r="AB1768" s="2" t="s">
        <v>3086</v>
      </c>
      <c r="AC1768" s="2">
        <v>40.409999999999997</v>
      </c>
      <c r="AD1768" s="2">
        <v>68.38</v>
      </c>
      <c r="AE1768" s="2">
        <v>0</v>
      </c>
      <c r="AF1768" s="2" t="s">
        <v>5614</v>
      </c>
      <c r="AG1768" s="2" t="s">
        <v>103</v>
      </c>
      <c r="AH1768" s="2" t="s">
        <v>15589</v>
      </c>
      <c r="AI1768" s="2">
        <v>8.5</v>
      </c>
      <c r="AJ1768" s="2">
        <v>26.404927842231199</v>
      </c>
      <c r="AK1768" s="2">
        <v>26.130334826046301</v>
      </c>
      <c r="AL1768" s="2">
        <v>26.073997089858501</v>
      </c>
      <c r="AM1768" s="2">
        <v>26.299892788211501</v>
      </c>
      <c r="AN1768" s="2">
        <v>24.706515361601401</v>
      </c>
      <c r="AO1768" s="2">
        <v>26.148972113161001</v>
      </c>
      <c r="AP1768" s="2">
        <v>26.372939195669201</v>
      </c>
      <c r="AQ1768" s="2">
        <v>26.342580836081002</v>
      </c>
      <c r="AR1768" s="2">
        <v>25.3886223392572</v>
      </c>
      <c r="AS1768" s="2">
        <v>26.278005579567399</v>
      </c>
      <c r="AT1768" s="2">
        <v>26.025698165529601</v>
      </c>
      <c r="AU1768" s="2">
        <v>9.6233145402724691</v>
      </c>
      <c r="AV1768" s="2">
        <v>25.8253199516184</v>
      </c>
      <c r="AW1768" s="2">
        <v>24.8214576392011</v>
      </c>
      <c r="AX1768" s="2">
        <v>26.378349278372699</v>
      </c>
      <c r="AY1768" s="2">
        <v>25.667653863984999</v>
      </c>
      <c r="AZ1768" s="2">
        <v>25.263205235044001</v>
      </c>
      <c r="BA1768" s="2">
        <v>26.0661055337482</v>
      </c>
      <c r="BB1768" s="2">
        <v>24.724232192367499</v>
      </c>
      <c r="BC1768" s="2">
        <v>26.245448985893599</v>
      </c>
      <c r="BD1768" s="2">
        <v>26.315188899859798</v>
      </c>
      <c r="BE1768" s="2">
        <v>26.202740188783501</v>
      </c>
      <c r="BF1768" s="2">
        <v>26.264571930036301</v>
      </c>
      <c r="BG1768" s="2">
        <v>26.4371453241938</v>
      </c>
      <c r="BH1768" s="2">
        <v>26.120632922724401</v>
      </c>
      <c r="BI1768" s="2">
        <v>26.3372079799956</v>
      </c>
      <c r="BJ1768" s="2">
        <v>25.763169071723301</v>
      </c>
      <c r="BK1768" s="2">
        <v>26.125321357909201</v>
      </c>
      <c r="BL1768" s="2">
        <v>24.742851347723899</v>
      </c>
      <c r="BM1768" s="2">
        <v>26.163979147050998</v>
      </c>
      <c r="BN1768" s="2">
        <v>25.323031260225999</v>
      </c>
      <c r="BO1768" s="2">
        <v>26.0869552129409</v>
      </c>
      <c r="BP1768" s="2">
        <v>26.264247808441599</v>
      </c>
      <c r="BQ1768" s="2">
        <v>26.440297449618601</v>
      </c>
      <c r="BR1768" s="2">
        <v>26.020269334775701</v>
      </c>
      <c r="BS1768" s="2">
        <v>26.486900753210598</v>
      </c>
      <c r="BT1768" s="2">
        <v>25.187617159694199</v>
      </c>
      <c r="BU1768" s="2">
        <v>26.375499717922999</v>
      </c>
      <c r="BV1768" s="2">
        <v>24.583349142359101</v>
      </c>
      <c r="BW1768" s="2">
        <v>26.304802260334998</v>
      </c>
      <c r="BX1768" s="2">
        <v>26.2432055567355</v>
      </c>
      <c r="BY1768" s="2">
        <v>26.237061652848698</v>
      </c>
      <c r="BZ1768" s="2">
        <v>26.2219021274691</v>
      </c>
      <c r="CA1768" s="2">
        <v>24.183073531162801</v>
      </c>
      <c r="CB1768" s="2">
        <v>26.3458191142517</v>
      </c>
      <c r="CC1768" s="2">
        <v>24.600948874290001</v>
      </c>
      <c r="CD1768" s="2">
        <v>24.4769837663545</v>
      </c>
      <c r="CE1768" s="2">
        <v>26.330613012036601</v>
      </c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</row>
    <row r="1769" spans="1:97">
      <c r="A1769" s="2" t="s">
        <v>15590</v>
      </c>
      <c r="B1769" s="2">
        <v>665.09315000000004</v>
      </c>
      <c r="C1769" s="2">
        <v>0.76100000000000001</v>
      </c>
      <c r="D1769" s="2" t="s">
        <v>146</v>
      </c>
      <c r="E1769" s="2" t="s">
        <v>15591</v>
      </c>
      <c r="F1769" s="2" t="s">
        <v>15592</v>
      </c>
      <c r="G1769" s="2">
        <v>62469</v>
      </c>
      <c r="H1769" s="3" t="str">
        <f>HYPERLINK("https://cloud.oebiotech.com/#/lm/network/62469", "https://cloud.oebiotech.com/#/lm/network/62469")</f>
        <v>https://cloud.oebiotech.com/#/lm/network/62469</v>
      </c>
      <c r="I1769" s="2" t="s">
        <v>15593</v>
      </c>
      <c r="J1769" s="2"/>
      <c r="K1769" s="2"/>
      <c r="L1769" s="2">
        <v>14034239</v>
      </c>
      <c r="M1769" s="2"/>
      <c r="N1769" s="2"/>
      <c r="O1769" s="2"/>
      <c r="P1769" s="2"/>
      <c r="Q1769" s="2"/>
      <c r="R1769" s="2"/>
      <c r="S1769" s="2"/>
      <c r="T1769" s="2" t="s">
        <v>15594</v>
      </c>
      <c r="U1769" s="2" t="s">
        <v>15595</v>
      </c>
      <c r="V1769" s="2" t="s">
        <v>845</v>
      </c>
      <c r="W1769" s="2" t="s">
        <v>8001</v>
      </c>
      <c r="X1769" s="2" t="s">
        <v>375</v>
      </c>
      <c r="Y1769" s="2" t="s">
        <v>847</v>
      </c>
      <c r="Z1769" s="2" t="s">
        <v>8003</v>
      </c>
      <c r="AA1769" s="2"/>
      <c r="AB1769" s="2" t="s">
        <v>5118</v>
      </c>
      <c r="AC1769" s="2">
        <v>40.4</v>
      </c>
      <c r="AD1769" s="2">
        <v>64.75</v>
      </c>
      <c r="AE1769" s="2">
        <v>56.31</v>
      </c>
      <c r="AF1769" s="2" t="s">
        <v>15596</v>
      </c>
      <c r="AG1769" s="2" t="s">
        <v>4062</v>
      </c>
      <c r="AH1769" s="2" t="s">
        <v>15597</v>
      </c>
      <c r="AI1769" s="2">
        <v>-2.56</v>
      </c>
      <c r="AJ1769" s="2">
        <v>22.882317992352402</v>
      </c>
      <c r="AK1769" s="2">
        <v>22.6817451620174</v>
      </c>
      <c r="AL1769" s="2">
        <v>22.755181343961102</v>
      </c>
      <c r="AM1769" s="2">
        <v>22.796357657775498</v>
      </c>
      <c r="AN1769" s="2">
        <v>22.445782871133702</v>
      </c>
      <c r="AO1769" s="2">
        <v>22.259823289639101</v>
      </c>
      <c r="AP1769" s="2">
        <v>22.826820747805101</v>
      </c>
      <c r="AQ1769" s="2">
        <v>22.6772867218199</v>
      </c>
      <c r="AR1769" s="2">
        <v>22.5518387345146</v>
      </c>
      <c r="AS1769" s="2">
        <v>22.6314796315454</v>
      </c>
      <c r="AT1769" s="2">
        <v>22.5518017131735</v>
      </c>
      <c r="AU1769" s="2">
        <v>23.102855726097701</v>
      </c>
      <c r="AV1769" s="2">
        <v>21.739987873540699</v>
      </c>
      <c r="AW1769" s="2">
        <v>22.745539280005499</v>
      </c>
      <c r="AX1769" s="2">
        <v>22.393005870472901</v>
      </c>
      <c r="AY1769" s="2">
        <v>22.151517041920901</v>
      </c>
      <c r="AZ1769" s="2">
        <v>22.3456874827991</v>
      </c>
      <c r="BA1769" s="2">
        <v>23.053373845128</v>
      </c>
      <c r="BB1769" s="2">
        <v>22.904978433863299</v>
      </c>
      <c r="BC1769" s="2">
        <v>23.676174172575699</v>
      </c>
      <c r="BD1769" s="2">
        <v>23.023772757631999</v>
      </c>
      <c r="BE1769" s="2">
        <v>22.6927880368426</v>
      </c>
      <c r="BF1769" s="2">
        <v>21.752248238250399</v>
      </c>
      <c r="BG1769" s="2">
        <v>22.663393337278499</v>
      </c>
      <c r="BH1769" s="2">
        <v>22.418073974530401</v>
      </c>
      <c r="BI1769" s="2">
        <v>22.4817488415745</v>
      </c>
      <c r="BJ1769" s="2">
        <v>21.492726544096499</v>
      </c>
      <c r="BK1769" s="2">
        <v>22.655940830291598</v>
      </c>
      <c r="BL1769" s="2">
        <v>22.625456963379399</v>
      </c>
      <c r="BM1769" s="2">
        <v>22.9182315910063</v>
      </c>
      <c r="BN1769" s="2">
        <v>22.4346588226481</v>
      </c>
      <c r="BO1769" s="2">
        <v>22.2371765388183</v>
      </c>
      <c r="BP1769" s="2">
        <v>21.0762302901175</v>
      </c>
      <c r="BQ1769" s="2">
        <v>22.738827027505501</v>
      </c>
      <c r="BR1769" s="2">
        <v>22.545004124236598</v>
      </c>
      <c r="BS1769" s="2">
        <v>21.0432975232251</v>
      </c>
      <c r="BT1769" s="2">
        <v>22.5838058184356</v>
      </c>
      <c r="BU1769" s="2">
        <v>22.5494791483728</v>
      </c>
      <c r="BV1769" s="2">
        <v>22.726476781163399</v>
      </c>
      <c r="BW1769" s="2">
        <v>23.296761767576701</v>
      </c>
      <c r="BX1769" s="2">
        <v>22.981921627568902</v>
      </c>
      <c r="BY1769" s="2">
        <v>22.5026747843274</v>
      </c>
      <c r="BZ1769" s="2">
        <v>23.136216394444801</v>
      </c>
      <c r="CA1769" s="2">
        <v>22.597175361398701</v>
      </c>
      <c r="CB1769" s="2">
        <v>22.201701617752001</v>
      </c>
      <c r="CC1769" s="2">
        <v>22.661943007971299</v>
      </c>
      <c r="CD1769" s="2">
        <v>21.548547559530199</v>
      </c>
      <c r="CE1769" s="2">
        <v>22.328873553947499</v>
      </c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</row>
    <row r="1770" spans="1:97">
      <c r="A1770" s="2" t="s">
        <v>15598</v>
      </c>
      <c r="B1770" s="2">
        <v>418.98462000000001</v>
      </c>
      <c r="C1770" s="2">
        <v>3.7480000000000002</v>
      </c>
      <c r="D1770" s="2" t="s">
        <v>146</v>
      </c>
      <c r="E1770" s="2" t="s">
        <v>15599</v>
      </c>
      <c r="F1770" s="2"/>
      <c r="G1770" s="2">
        <v>595660</v>
      </c>
      <c r="H1770" s="3" t="str">
        <f>HYPERLINK("https://cloud.oebiotech.com/#/lm/network/595660", "https://cloud.oebiotech.com/#/lm/network/595660")</f>
        <v>https://cloud.oebiotech.com/#/lm/network/595660</v>
      </c>
      <c r="I1770" s="2"/>
      <c r="J1770" s="2"/>
      <c r="K1770" s="2"/>
      <c r="L1770" s="2">
        <v>20573879</v>
      </c>
      <c r="M1770" s="2"/>
      <c r="N1770" s="2"/>
      <c r="O1770" s="2"/>
      <c r="P1770" s="2"/>
      <c r="Q1770" s="2"/>
      <c r="R1770" s="2"/>
      <c r="S1770" s="2"/>
      <c r="T1770" s="2" t="s">
        <v>15600</v>
      </c>
      <c r="U1770" s="2" t="s">
        <v>15601</v>
      </c>
      <c r="V1770" s="2" t="s">
        <v>845</v>
      </c>
      <c r="W1770" s="2" t="s">
        <v>1853</v>
      </c>
      <c r="X1770" s="2" t="s">
        <v>15602</v>
      </c>
      <c r="Y1770" s="2" t="s">
        <v>847</v>
      </c>
      <c r="Z1770" s="2" t="s">
        <v>1855</v>
      </c>
      <c r="AA1770" s="2" t="s">
        <v>15603</v>
      </c>
      <c r="AB1770" s="2" t="s">
        <v>8443</v>
      </c>
      <c r="AC1770" s="2">
        <v>40.39</v>
      </c>
      <c r="AD1770" s="2">
        <v>65.75</v>
      </c>
      <c r="AE1770" s="2">
        <v>0</v>
      </c>
      <c r="AF1770" s="2" t="s">
        <v>5614</v>
      </c>
      <c r="AG1770" s="2" t="s">
        <v>4062</v>
      </c>
      <c r="AH1770" s="2" t="s">
        <v>15604</v>
      </c>
      <c r="AI1770" s="2">
        <v>-0.24</v>
      </c>
      <c r="AJ1770" s="2">
        <v>18.640857016737801</v>
      </c>
      <c r="AK1770" s="2">
        <v>18.728108547968599</v>
      </c>
      <c r="AL1770" s="2">
        <v>18.5841575992165</v>
      </c>
      <c r="AM1770" s="2">
        <v>18.548695950049201</v>
      </c>
      <c r="AN1770" s="2">
        <v>18.880211007695799</v>
      </c>
      <c r="AO1770" s="2">
        <v>18.6826951223563</v>
      </c>
      <c r="AP1770" s="2">
        <v>18.690891737520399</v>
      </c>
      <c r="AQ1770" s="2">
        <v>18.5368333812015</v>
      </c>
      <c r="AR1770" s="2">
        <v>18.886751963395401</v>
      </c>
      <c r="AS1770" s="2">
        <v>18.8561119841428</v>
      </c>
      <c r="AT1770" s="2">
        <v>18.899266427085699</v>
      </c>
      <c r="AU1770" s="2">
        <v>18.790709621721401</v>
      </c>
      <c r="AV1770" s="2">
        <v>18.877843952451201</v>
      </c>
      <c r="AW1770" s="2">
        <v>18.7467151917315</v>
      </c>
      <c r="AX1770" s="2">
        <v>18.921927646064599</v>
      </c>
      <c r="AY1770" s="2">
        <v>18.817686549641699</v>
      </c>
      <c r="AZ1770" s="2">
        <v>18.759430670953101</v>
      </c>
      <c r="BA1770" s="2">
        <v>18.8244050229248</v>
      </c>
      <c r="BB1770" s="2">
        <v>18.567675385477202</v>
      </c>
      <c r="BC1770" s="2">
        <v>18.5098017515758</v>
      </c>
      <c r="BD1770" s="2">
        <v>18.535379083308499</v>
      </c>
      <c r="BE1770" s="2">
        <v>18.5686957807646</v>
      </c>
      <c r="BF1770" s="2">
        <v>18.781941976545301</v>
      </c>
      <c r="BG1770" s="2">
        <v>18.7196958676913</v>
      </c>
      <c r="BH1770" s="2">
        <v>18.7221360135194</v>
      </c>
      <c r="BI1770" s="2">
        <v>18.649753218400601</v>
      </c>
      <c r="BJ1770" s="2">
        <v>18.4491761777685</v>
      </c>
      <c r="BK1770" s="2">
        <v>18.750010472322799</v>
      </c>
      <c r="BL1770" s="2">
        <v>18.732295602543701</v>
      </c>
      <c r="BM1770" s="2">
        <v>18.558156626517601</v>
      </c>
      <c r="BN1770" s="2">
        <v>18.457926732553499</v>
      </c>
      <c r="BO1770" s="2">
        <v>18.699644564549001</v>
      </c>
      <c r="BP1770" s="2">
        <v>18.835662906763901</v>
      </c>
      <c r="BQ1770" s="2">
        <v>18.766615574067998</v>
      </c>
      <c r="BR1770" s="2">
        <v>18.538116922842701</v>
      </c>
      <c r="BS1770" s="2">
        <v>18.6672031424831</v>
      </c>
      <c r="BT1770" s="2">
        <v>18.674310009307298</v>
      </c>
      <c r="BU1770" s="2">
        <v>18.753683580033901</v>
      </c>
      <c r="BV1770" s="2">
        <v>18.510969102703299</v>
      </c>
      <c r="BW1770" s="2">
        <v>18.781592736575099</v>
      </c>
      <c r="BX1770" s="2">
        <v>18.630436998624099</v>
      </c>
      <c r="BY1770" s="2">
        <v>18.293776114812299</v>
      </c>
      <c r="BZ1770" s="2">
        <v>18.694656705881599</v>
      </c>
      <c r="CA1770" s="2">
        <v>18.6736932962786</v>
      </c>
      <c r="CB1770" s="2">
        <v>18.7841191217919</v>
      </c>
      <c r="CC1770" s="2">
        <v>18.601227659229799</v>
      </c>
      <c r="CD1770" s="2">
        <v>18.565453632922701</v>
      </c>
      <c r="CE1770" s="2">
        <v>18.6472728707523</v>
      </c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</row>
    <row r="1771" spans="1:97">
      <c r="A1771" s="2" t="s">
        <v>15605</v>
      </c>
      <c r="B1771" s="2">
        <v>156.96251000000001</v>
      </c>
      <c r="C1771" s="2">
        <v>0.57799999999999996</v>
      </c>
      <c r="D1771" s="2" t="s">
        <v>146</v>
      </c>
      <c r="E1771" s="2" t="s">
        <v>15606</v>
      </c>
      <c r="F1771" s="2" t="s">
        <v>15607</v>
      </c>
      <c r="G1771" s="2">
        <v>208628</v>
      </c>
      <c r="H1771" s="3" t="str">
        <f>HYPERLINK("https://cloud.oebiotech.com/#/lm/network/208628", "https://cloud.oebiotech.com/#/lm/network/208628")</f>
        <v>https://cloud.oebiotech.com/#/lm/network/208628</v>
      </c>
      <c r="I1771" s="2" t="s">
        <v>15608</v>
      </c>
      <c r="J1771" s="2"/>
      <c r="K1771" s="2"/>
      <c r="L1771" s="2">
        <v>74768</v>
      </c>
      <c r="M1771" s="2"/>
      <c r="N1771" s="2"/>
      <c r="O1771" s="2"/>
      <c r="P1771" s="2"/>
      <c r="Q1771" s="2"/>
      <c r="R1771" s="2"/>
      <c r="S1771" s="2"/>
      <c r="T1771" s="2" t="s">
        <v>15609</v>
      </c>
      <c r="U1771" s="2" t="s">
        <v>15610</v>
      </c>
      <c r="V1771" s="2" t="s">
        <v>9746</v>
      </c>
      <c r="W1771" s="2" t="s">
        <v>375</v>
      </c>
      <c r="X1771" s="2" t="s">
        <v>375</v>
      </c>
      <c r="Y1771" s="2" t="s">
        <v>9748</v>
      </c>
      <c r="Z1771" s="2"/>
      <c r="AA1771" s="2"/>
      <c r="AB1771" s="2" t="s">
        <v>8443</v>
      </c>
      <c r="AC1771" s="2">
        <v>40.340000000000003</v>
      </c>
      <c r="AD1771" s="2">
        <v>92.62</v>
      </c>
      <c r="AE1771" s="2">
        <v>0</v>
      </c>
      <c r="AF1771" s="2" t="s">
        <v>5614</v>
      </c>
      <c r="AG1771" s="2" t="s">
        <v>157</v>
      </c>
      <c r="AH1771" s="2" t="s">
        <v>15611</v>
      </c>
      <c r="AI1771" s="2">
        <v>6.37</v>
      </c>
      <c r="AJ1771" s="2">
        <v>18.7623889817155</v>
      </c>
      <c r="AK1771" s="2">
        <v>18.635256436193</v>
      </c>
      <c r="AL1771" s="2">
        <v>18.458992196713599</v>
      </c>
      <c r="AM1771" s="2">
        <v>18.647040936488398</v>
      </c>
      <c r="AN1771" s="2">
        <v>18.4900740300567</v>
      </c>
      <c r="AO1771" s="2">
        <v>18.6191600359451</v>
      </c>
      <c r="AP1771" s="2">
        <v>18.660694486877102</v>
      </c>
      <c r="AQ1771" s="2">
        <v>18.7821996748761</v>
      </c>
      <c r="AR1771" s="2">
        <v>18.5265717159308</v>
      </c>
      <c r="AS1771" s="2">
        <v>18.495305263084401</v>
      </c>
      <c r="AT1771" s="2">
        <v>18.663514290973801</v>
      </c>
      <c r="AU1771" s="2">
        <v>18.716086556169</v>
      </c>
      <c r="AV1771" s="2">
        <v>18.750685104643502</v>
      </c>
      <c r="AW1771" s="2">
        <v>18.717284426240699</v>
      </c>
      <c r="AX1771" s="2">
        <v>18.3521220278366</v>
      </c>
      <c r="AY1771" s="2">
        <v>18.802030289994899</v>
      </c>
      <c r="AZ1771" s="2">
        <v>18.297678011457101</v>
      </c>
      <c r="BA1771" s="2">
        <v>18.591358055928801</v>
      </c>
      <c r="BB1771" s="2">
        <v>18.7970270412468</v>
      </c>
      <c r="BC1771" s="2">
        <v>18.5861173948622</v>
      </c>
      <c r="BD1771" s="2">
        <v>18.605397623347901</v>
      </c>
      <c r="BE1771" s="2">
        <v>18.782908491859299</v>
      </c>
      <c r="BF1771" s="2">
        <v>18.203357945182301</v>
      </c>
      <c r="BG1771" s="2">
        <v>18.909306916711</v>
      </c>
      <c r="BH1771" s="2">
        <v>18.718426014483299</v>
      </c>
      <c r="BI1771" s="2">
        <v>18.591568218962301</v>
      </c>
      <c r="BJ1771" s="2">
        <v>18.535153318995398</v>
      </c>
      <c r="BK1771" s="2">
        <v>18.478809703434798</v>
      </c>
      <c r="BL1771" s="2">
        <v>19.067592047118399</v>
      </c>
      <c r="BM1771" s="2">
        <v>18.9488056010319</v>
      </c>
      <c r="BN1771" s="2">
        <v>18.561771042688299</v>
      </c>
      <c r="BO1771" s="2">
        <v>18.541961541876699</v>
      </c>
      <c r="BP1771" s="2">
        <v>18.415849977911499</v>
      </c>
      <c r="BQ1771" s="2">
        <v>18.555199600074801</v>
      </c>
      <c r="BR1771" s="2">
        <v>18.561044190806602</v>
      </c>
      <c r="BS1771" s="2">
        <v>19.334040249866</v>
      </c>
      <c r="BT1771" s="2">
        <v>18.993914268504401</v>
      </c>
      <c r="BU1771" s="2">
        <v>18.656315360892599</v>
      </c>
      <c r="BV1771" s="2">
        <v>18.809139606956599</v>
      </c>
      <c r="BW1771" s="2">
        <v>18.6854202080047</v>
      </c>
      <c r="BX1771" s="2">
        <v>18.838153327335199</v>
      </c>
      <c r="BY1771" s="2">
        <v>18.903937052848601</v>
      </c>
      <c r="BZ1771" s="2">
        <v>18.2487267861185</v>
      </c>
      <c r="CA1771" s="2">
        <v>18.548227346908</v>
      </c>
      <c r="CB1771" s="2">
        <v>18.5866626866862</v>
      </c>
      <c r="CC1771" s="2">
        <v>18.550901040309199</v>
      </c>
      <c r="CD1771" s="2">
        <v>18.678293814457799</v>
      </c>
      <c r="CE1771" s="2">
        <v>18.473631082892499</v>
      </c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</row>
    <row r="1772" spans="1:97">
      <c r="A1772" s="2" t="s">
        <v>15612</v>
      </c>
      <c r="B1772" s="2">
        <v>475.19432999999998</v>
      </c>
      <c r="C1772" s="2">
        <v>6.2249999999999996</v>
      </c>
      <c r="D1772" s="2" t="s">
        <v>146</v>
      </c>
      <c r="E1772" s="2" t="s">
        <v>15613</v>
      </c>
      <c r="F1772" s="2" t="s">
        <v>15614</v>
      </c>
      <c r="G1772" s="2">
        <v>61977</v>
      </c>
      <c r="H1772" s="3" t="str">
        <f>HYPERLINK("https://cloud.oebiotech.com/#/lm/network/61977", "https://cloud.oebiotech.com/#/lm/network/61977")</f>
        <v>https://cloud.oebiotech.com/#/lm/network/61977</v>
      </c>
      <c r="I1772" s="2" t="s">
        <v>15615</v>
      </c>
      <c r="J1772" s="2"/>
      <c r="K1772" s="2"/>
      <c r="L1772" s="2"/>
      <c r="M1772" s="2"/>
      <c r="N1772" s="2"/>
      <c r="O1772" s="2"/>
      <c r="P1772" s="2"/>
      <c r="Q1772" s="2"/>
      <c r="R1772" s="2"/>
      <c r="S1772" s="2" t="s">
        <v>15616</v>
      </c>
      <c r="T1772" s="2" t="s">
        <v>15617</v>
      </c>
      <c r="U1772" s="2" t="s">
        <v>15618</v>
      </c>
      <c r="V1772" s="2" t="s">
        <v>95</v>
      </c>
      <c r="W1772" s="2" t="s">
        <v>180</v>
      </c>
      <c r="X1772" s="2" t="s">
        <v>2714</v>
      </c>
      <c r="Y1772" s="2" t="s">
        <v>98</v>
      </c>
      <c r="Z1772" s="2" t="s">
        <v>182</v>
      </c>
      <c r="AA1772" s="2" t="s">
        <v>2715</v>
      </c>
      <c r="AB1772" s="2" t="s">
        <v>8443</v>
      </c>
      <c r="AC1772" s="2">
        <v>40.340000000000003</v>
      </c>
      <c r="AD1772" s="2">
        <v>83.42</v>
      </c>
      <c r="AE1772" s="2">
        <v>0</v>
      </c>
      <c r="AF1772" s="2" t="s">
        <v>15619</v>
      </c>
      <c r="AG1772" s="2" t="s">
        <v>993</v>
      </c>
      <c r="AH1772" s="2" t="s">
        <v>15620</v>
      </c>
      <c r="AI1772" s="2">
        <v>5.26</v>
      </c>
      <c r="AJ1772" s="2">
        <v>17.852864188607601</v>
      </c>
      <c r="AK1772" s="2">
        <v>17.513932958151699</v>
      </c>
      <c r="AL1772" s="2">
        <v>17.718983714709701</v>
      </c>
      <c r="AM1772" s="2">
        <v>17.7715460815838</v>
      </c>
      <c r="AN1772" s="2">
        <v>18.077101154362602</v>
      </c>
      <c r="AO1772" s="2">
        <v>17.730085649440301</v>
      </c>
      <c r="AP1772" s="2">
        <v>17.8015114019402</v>
      </c>
      <c r="AQ1772" s="2">
        <v>17.916769878995702</v>
      </c>
      <c r="AR1772" s="2">
        <v>16.168072698605702</v>
      </c>
      <c r="AS1772" s="2">
        <v>15.288176492018801</v>
      </c>
      <c r="AT1772" s="2">
        <v>17.918128044456399</v>
      </c>
      <c r="AU1772" s="2">
        <v>14.8909073795426</v>
      </c>
      <c r="AV1772" s="2">
        <v>17.130923029281</v>
      </c>
      <c r="AW1772" s="2">
        <v>18.220033541488501</v>
      </c>
      <c r="AX1772" s="2">
        <v>18.249885966042399</v>
      </c>
      <c r="AY1772" s="2">
        <v>17.2298652039992</v>
      </c>
      <c r="AZ1772" s="2">
        <v>17.712199310031</v>
      </c>
      <c r="BA1772" s="2">
        <v>15.629371704998601</v>
      </c>
      <c r="BB1772" s="2">
        <v>19.268908343024101</v>
      </c>
      <c r="BC1772" s="2">
        <v>18.8101450475958</v>
      </c>
      <c r="BD1772" s="2">
        <v>17.201793978600499</v>
      </c>
      <c r="BE1772" s="2">
        <v>18.5182933513344</v>
      </c>
      <c r="BF1772" s="2">
        <v>14.417406217543901</v>
      </c>
      <c r="BG1772" s="2">
        <v>18.2532694622486</v>
      </c>
      <c r="BH1772" s="2">
        <v>16.440411603746401</v>
      </c>
      <c r="BI1772" s="2">
        <v>9.6233145402724691</v>
      </c>
      <c r="BJ1772" s="2">
        <v>18.4235111227968</v>
      </c>
      <c r="BK1772" s="2">
        <v>18.181377708889201</v>
      </c>
      <c r="BL1772" s="2">
        <v>18.967207792653699</v>
      </c>
      <c r="BM1772" s="2">
        <v>18.004111483062498</v>
      </c>
      <c r="BN1772" s="2">
        <v>17.279303881455</v>
      </c>
      <c r="BO1772" s="2">
        <v>17.032723983790302</v>
      </c>
      <c r="BP1772" s="2">
        <v>17.7645105479222</v>
      </c>
      <c r="BQ1772" s="2">
        <v>18.219058500558301</v>
      </c>
      <c r="BR1772" s="2">
        <v>16.841858163734098</v>
      </c>
      <c r="BS1772" s="2">
        <v>15.1512770284134</v>
      </c>
      <c r="BT1772" s="2">
        <v>17.340500116247501</v>
      </c>
      <c r="BU1772" s="2">
        <v>16.337615107986601</v>
      </c>
      <c r="BV1772" s="2">
        <v>16.862718104962699</v>
      </c>
      <c r="BW1772" s="2">
        <v>18.1596466371047</v>
      </c>
      <c r="BX1772" s="2">
        <v>16.792806304955501</v>
      </c>
      <c r="BY1772" s="2">
        <v>18.994150073909001</v>
      </c>
      <c r="BZ1772" s="2">
        <v>17.018360268908701</v>
      </c>
      <c r="CA1772" s="2">
        <v>12.5024141475338</v>
      </c>
      <c r="CB1772" s="2">
        <v>17.115294457608801</v>
      </c>
      <c r="CC1772" s="2">
        <v>17.6149957612968</v>
      </c>
      <c r="CD1772" s="2">
        <v>18.281640435889202</v>
      </c>
      <c r="CE1772" s="2">
        <v>18.5931580594028</v>
      </c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</row>
    <row r="1773" spans="1:97">
      <c r="A1773" s="2" t="s">
        <v>15621</v>
      </c>
      <c r="B1773" s="2">
        <v>279.09249</v>
      </c>
      <c r="C1773" s="2">
        <v>4.8659999999999997</v>
      </c>
      <c r="D1773" s="2" t="s">
        <v>84</v>
      </c>
      <c r="E1773" s="2" t="s">
        <v>15622</v>
      </c>
      <c r="F1773" s="2" t="s">
        <v>15623</v>
      </c>
      <c r="G1773" s="2">
        <v>53571</v>
      </c>
      <c r="H1773" s="3" t="str">
        <f>HYPERLINK("https://cloud.oebiotech.com/#/lm/network/53571", "https://cloud.oebiotech.com/#/lm/network/53571")</f>
        <v>https://cloud.oebiotech.com/#/lm/network/53571</v>
      </c>
      <c r="I1773" s="2" t="s">
        <v>15624</v>
      </c>
      <c r="J1773" s="2">
        <v>2529</v>
      </c>
      <c r="K1773" s="2"/>
      <c r="L1773" s="2">
        <v>5327</v>
      </c>
      <c r="M1773" s="2" t="s">
        <v>15625</v>
      </c>
      <c r="N1773" s="2"/>
      <c r="O1773" s="2"/>
      <c r="P1773" s="2">
        <v>102265</v>
      </c>
      <c r="Q1773" s="2"/>
      <c r="R1773" s="2"/>
      <c r="S1773" s="2" t="s">
        <v>15626</v>
      </c>
      <c r="T1773" s="2" t="s">
        <v>15627</v>
      </c>
      <c r="U1773" s="2" t="s">
        <v>15628</v>
      </c>
      <c r="V1773" s="2" t="s">
        <v>385</v>
      </c>
      <c r="W1773" s="2" t="s">
        <v>386</v>
      </c>
      <c r="X1773" s="2" t="s">
        <v>13266</v>
      </c>
      <c r="Y1773" s="2" t="s">
        <v>388</v>
      </c>
      <c r="Z1773" s="2" t="s">
        <v>389</v>
      </c>
      <c r="AA1773" s="2" t="s">
        <v>13267</v>
      </c>
      <c r="AB1773" s="2" t="s">
        <v>8443</v>
      </c>
      <c r="AC1773" s="2">
        <v>40.31</v>
      </c>
      <c r="AD1773" s="2">
        <v>89.2</v>
      </c>
      <c r="AE1773" s="2">
        <v>0</v>
      </c>
      <c r="AF1773" s="2" t="s">
        <v>5614</v>
      </c>
      <c r="AG1773" s="2" t="s">
        <v>103</v>
      </c>
      <c r="AH1773" s="2" t="s">
        <v>15629</v>
      </c>
      <c r="AI1773" s="2">
        <v>-5.37</v>
      </c>
      <c r="AJ1773" s="2">
        <v>18.221821160746799</v>
      </c>
      <c r="AK1773" s="2">
        <v>18.586399028252099</v>
      </c>
      <c r="AL1773" s="2">
        <v>18.653787268435799</v>
      </c>
      <c r="AM1773" s="2">
        <v>18.6793009885745</v>
      </c>
      <c r="AN1773" s="2">
        <v>18.602502423611998</v>
      </c>
      <c r="AO1773" s="2">
        <v>18.413676970501101</v>
      </c>
      <c r="AP1773" s="2">
        <v>18.540743954646398</v>
      </c>
      <c r="AQ1773" s="2">
        <v>18.539704005963401</v>
      </c>
      <c r="AR1773" s="2">
        <v>18.385670240785799</v>
      </c>
      <c r="AS1773" s="2">
        <v>18.687997200514602</v>
      </c>
      <c r="AT1773" s="2">
        <v>18.9015379339635</v>
      </c>
      <c r="AU1773" s="2">
        <v>18.484414231148801</v>
      </c>
      <c r="AV1773" s="2">
        <v>17.5948285055855</v>
      </c>
      <c r="AW1773" s="2">
        <v>18.076181252044901</v>
      </c>
      <c r="AX1773" s="2">
        <v>18.642443129124601</v>
      </c>
      <c r="AY1773" s="2">
        <v>18.2331507377727</v>
      </c>
      <c r="AZ1773" s="2">
        <v>18.540641011247601</v>
      </c>
      <c r="BA1773" s="2">
        <v>18.2356267090356</v>
      </c>
      <c r="BB1773" s="2">
        <v>18.231268205186801</v>
      </c>
      <c r="BC1773" s="2">
        <v>17.999610688824301</v>
      </c>
      <c r="BD1773" s="2">
        <v>18.1449750820004</v>
      </c>
      <c r="BE1773" s="2">
        <v>17.813095059152801</v>
      </c>
      <c r="BF1773" s="2">
        <v>18.475928168039498</v>
      </c>
      <c r="BG1773" s="2">
        <v>17.939761812214101</v>
      </c>
      <c r="BH1773" s="2">
        <v>17.635602146360899</v>
      </c>
      <c r="BI1773" s="2">
        <v>18.299111629756499</v>
      </c>
      <c r="BJ1773" s="2">
        <v>18.2797773249975</v>
      </c>
      <c r="BK1773" s="2">
        <v>18.2952462645064</v>
      </c>
      <c r="BL1773" s="2">
        <v>18.762584994267399</v>
      </c>
      <c r="BM1773" s="2">
        <v>18.594769217166299</v>
      </c>
      <c r="BN1773" s="2">
        <v>18.788328189302199</v>
      </c>
      <c r="BO1773" s="2">
        <v>18.696462752686699</v>
      </c>
      <c r="BP1773" s="2">
        <v>18.432421763229801</v>
      </c>
      <c r="BQ1773" s="2">
        <v>18.8521945696281</v>
      </c>
      <c r="BR1773" s="2">
        <v>18.8698752006135</v>
      </c>
      <c r="BS1773" s="2">
        <v>18.9166765915067</v>
      </c>
      <c r="BT1773" s="2">
        <v>18.284771335362901</v>
      </c>
      <c r="BU1773" s="2">
        <v>18.765118010659901</v>
      </c>
      <c r="BV1773" s="2">
        <v>18.6275089839183</v>
      </c>
      <c r="BW1773" s="2">
        <v>18.858990937378898</v>
      </c>
      <c r="BX1773" s="2">
        <v>18.7525036428231</v>
      </c>
      <c r="BY1773" s="2">
        <v>18.0461681659574</v>
      </c>
      <c r="BZ1773" s="2">
        <v>19.119368133841501</v>
      </c>
      <c r="CA1773" s="2">
        <v>18.529475317384598</v>
      </c>
      <c r="CB1773" s="2">
        <v>18.319318115238801</v>
      </c>
      <c r="CC1773" s="2">
        <v>19.2950828688905</v>
      </c>
      <c r="CD1773" s="2">
        <v>18.376770553181299</v>
      </c>
      <c r="CE1773" s="2">
        <v>19.1286137183024</v>
      </c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</row>
    <row r="1774" spans="1:97">
      <c r="A1774" s="2" t="s">
        <v>15630</v>
      </c>
      <c r="B1774" s="2">
        <v>703.13095999999996</v>
      </c>
      <c r="C1774" s="2">
        <v>0.84299999999999997</v>
      </c>
      <c r="D1774" s="2" t="s">
        <v>146</v>
      </c>
      <c r="E1774" s="2" t="s">
        <v>15631</v>
      </c>
      <c r="F1774" s="2" t="s">
        <v>15632</v>
      </c>
      <c r="G1774" s="2">
        <v>32495</v>
      </c>
      <c r="H1774" s="3" t="str">
        <f>HYPERLINK("https://cloud.oebiotech.com/#/lm/network/32495", "https://cloud.oebiotech.com/#/lm/network/32495")</f>
        <v>https://cloud.oebiotech.com/#/lm/network/32495</v>
      </c>
      <c r="I1774" s="2"/>
      <c r="J1774" s="2"/>
      <c r="K1774" s="2" t="s">
        <v>15633</v>
      </c>
      <c r="L1774" s="2">
        <v>102273878</v>
      </c>
      <c r="M1774" s="2"/>
      <c r="N1774" s="2"/>
      <c r="O1774" s="2"/>
      <c r="P1774" s="2"/>
      <c r="Q1774" s="2"/>
      <c r="R1774" s="2"/>
      <c r="S1774" s="2"/>
      <c r="T1774" s="2" t="s">
        <v>15634</v>
      </c>
      <c r="U1774" s="2" t="s">
        <v>15635</v>
      </c>
      <c r="V1774" s="2" t="s">
        <v>845</v>
      </c>
      <c r="W1774" s="2" t="s">
        <v>1853</v>
      </c>
      <c r="X1774" s="2" t="s">
        <v>6175</v>
      </c>
      <c r="Y1774" s="2" t="s">
        <v>847</v>
      </c>
      <c r="Z1774" s="2" t="s">
        <v>1855</v>
      </c>
      <c r="AA1774" s="2" t="s">
        <v>6176</v>
      </c>
      <c r="AB1774" s="2" t="s">
        <v>5118</v>
      </c>
      <c r="AC1774" s="2">
        <v>40.299999999999997</v>
      </c>
      <c r="AD1774" s="2">
        <v>55.18</v>
      </c>
      <c r="AE1774" s="2">
        <v>75.680000000000007</v>
      </c>
      <c r="AF1774" s="2" t="s">
        <v>15636</v>
      </c>
      <c r="AG1774" s="2" t="s">
        <v>4062</v>
      </c>
      <c r="AH1774" s="2" t="s">
        <v>15637</v>
      </c>
      <c r="AI1774" s="2">
        <v>-3.84</v>
      </c>
      <c r="AJ1774" s="2">
        <v>20.747839119538899</v>
      </c>
      <c r="AK1774" s="2">
        <v>20.963526292866302</v>
      </c>
      <c r="AL1774" s="2">
        <v>21.0847575192664</v>
      </c>
      <c r="AM1774" s="2">
        <v>21.029704485523201</v>
      </c>
      <c r="AN1774" s="2">
        <v>21.1425221626499</v>
      </c>
      <c r="AO1774" s="2">
        <v>21.071135192518</v>
      </c>
      <c r="AP1774" s="2">
        <v>21.0086050908305</v>
      </c>
      <c r="AQ1774" s="2">
        <v>21.110644426948198</v>
      </c>
      <c r="AR1774" s="2">
        <v>20.852884924461399</v>
      </c>
      <c r="AS1774" s="2">
        <v>20.9469000222619</v>
      </c>
      <c r="AT1774" s="2">
        <v>20.9515941163638</v>
      </c>
      <c r="AU1774" s="2">
        <v>21.362349193183402</v>
      </c>
      <c r="AV1774" s="2">
        <v>20.734826145925702</v>
      </c>
      <c r="AW1774" s="2">
        <v>20.852585299742898</v>
      </c>
      <c r="AX1774" s="2">
        <v>19.540689608559699</v>
      </c>
      <c r="AY1774" s="2">
        <v>19.879644255001999</v>
      </c>
      <c r="AZ1774" s="2">
        <v>20.5874871329382</v>
      </c>
      <c r="BA1774" s="2">
        <v>21.162282498977099</v>
      </c>
      <c r="BB1774" s="2">
        <v>21.403222019095299</v>
      </c>
      <c r="BC1774" s="2">
        <v>21.0388344940827</v>
      </c>
      <c r="BD1774" s="2">
        <v>20.312105069395301</v>
      </c>
      <c r="BE1774" s="2">
        <v>20.6179440657368</v>
      </c>
      <c r="BF1774" s="2">
        <v>20.994301162250402</v>
      </c>
      <c r="BG1774" s="2">
        <v>20.1971329138089</v>
      </c>
      <c r="BH1774" s="2">
        <v>20.9000530155371</v>
      </c>
      <c r="BI1774" s="2">
        <v>20.745114428939001</v>
      </c>
      <c r="BJ1774" s="2">
        <v>20.592753802675301</v>
      </c>
      <c r="BK1774" s="2">
        <v>20.435329362801799</v>
      </c>
      <c r="BL1774" s="2">
        <v>19.5082474240278</v>
      </c>
      <c r="BM1774" s="2">
        <v>21.633290548575498</v>
      </c>
      <c r="BN1774" s="2">
        <v>20.779120864943899</v>
      </c>
      <c r="BO1774" s="2">
        <v>20.603982342532301</v>
      </c>
      <c r="BP1774" s="2">
        <v>20.303305841160601</v>
      </c>
      <c r="BQ1774" s="2">
        <v>21.1392947706954</v>
      </c>
      <c r="BR1774" s="2">
        <v>20.6114340356588</v>
      </c>
      <c r="BS1774" s="2">
        <v>20.086584768167398</v>
      </c>
      <c r="BT1774" s="2">
        <v>20.992136329533</v>
      </c>
      <c r="BU1774" s="2">
        <v>21.004242415625399</v>
      </c>
      <c r="BV1774" s="2">
        <v>20.4847000420041</v>
      </c>
      <c r="BW1774" s="2">
        <v>20.324621298862901</v>
      </c>
      <c r="BX1774" s="2">
        <v>21.2098636262876</v>
      </c>
      <c r="BY1774" s="2">
        <v>19.939083093562299</v>
      </c>
      <c r="BZ1774" s="2">
        <v>21.299940076615599</v>
      </c>
      <c r="CA1774" s="2">
        <v>19.964710838706001</v>
      </c>
      <c r="CB1774" s="2">
        <v>20.226581695546798</v>
      </c>
      <c r="CC1774" s="2">
        <v>20.386829119300799</v>
      </c>
      <c r="CD1774" s="2">
        <v>19.517864119754499</v>
      </c>
      <c r="CE1774" s="2">
        <v>20.767653190034501</v>
      </c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</row>
    <row r="1775" spans="1:97">
      <c r="A1775" s="2" t="s">
        <v>15638</v>
      </c>
      <c r="B1775" s="2">
        <v>599.31852000000003</v>
      </c>
      <c r="C1775" s="2">
        <v>4.26</v>
      </c>
      <c r="D1775" s="2" t="s">
        <v>84</v>
      </c>
      <c r="E1775" s="2" t="s">
        <v>15639</v>
      </c>
      <c r="F1775" s="2" t="s">
        <v>15640</v>
      </c>
      <c r="G1775" s="2">
        <v>8745</v>
      </c>
      <c r="H1775" s="3" t="str">
        <f>HYPERLINK("https://cloud.oebiotech.com/#/lm/network/8745", "https://cloud.oebiotech.com/#/lm/network/8745")</f>
        <v>https://cloud.oebiotech.com/#/lm/network/8745</v>
      </c>
      <c r="I1775" s="2" t="s">
        <v>15641</v>
      </c>
      <c r="J1775" s="2">
        <v>1946</v>
      </c>
      <c r="K1775" s="2" t="s">
        <v>15642</v>
      </c>
      <c r="L1775" s="2">
        <v>2973</v>
      </c>
      <c r="M1775" s="2" t="s">
        <v>15643</v>
      </c>
      <c r="N1775" s="2"/>
      <c r="O1775" s="2"/>
      <c r="P1775" s="2">
        <v>4356</v>
      </c>
      <c r="Q1775" s="2"/>
      <c r="R1775" s="2"/>
      <c r="S1775" s="2" t="s">
        <v>15644</v>
      </c>
      <c r="T1775" s="2" t="s">
        <v>15645</v>
      </c>
      <c r="U1775" s="2" t="s">
        <v>15646</v>
      </c>
      <c r="V1775" s="2" t="s">
        <v>115</v>
      </c>
      <c r="W1775" s="2" t="s">
        <v>116</v>
      </c>
      <c r="X1775" s="2" t="s">
        <v>5270</v>
      </c>
      <c r="Y1775" s="2" t="s">
        <v>118</v>
      </c>
      <c r="Z1775" s="2" t="s">
        <v>119</v>
      </c>
      <c r="AA1775" s="2" t="s">
        <v>5271</v>
      </c>
      <c r="AB1775" s="2" t="s">
        <v>8443</v>
      </c>
      <c r="AC1775" s="2">
        <v>40.299999999999997</v>
      </c>
      <c r="AD1775" s="2">
        <v>75.33</v>
      </c>
      <c r="AE1775" s="2">
        <v>0</v>
      </c>
      <c r="AF1775" s="2" t="s">
        <v>5614</v>
      </c>
      <c r="AG1775" s="2" t="s">
        <v>3544</v>
      </c>
      <c r="AH1775" s="2" t="s">
        <v>15647</v>
      </c>
      <c r="AI1775" s="2">
        <v>-3.34</v>
      </c>
      <c r="AJ1775" s="2">
        <v>18.246686932430599</v>
      </c>
      <c r="AK1775" s="2">
        <v>17.858185207818099</v>
      </c>
      <c r="AL1775" s="2">
        <v>18.021865730221901</v>
      </c>
      <c r="AM1775" s="2">
        <v>18.709542156568698</v>
      </c>
      <c r="AN1775" s="2">
        <v>17.827159762854599</v>
      </c>
      <c r="AO1775" s="2">
        <v>17.992678713532001</v>
      </c>
      <c r="AP1775" s="2">
        <v>17.663919121939799</v>
      </c>
      <c r="AQ1775" s="2">
        <v>18.327258908906899</v>
      </c>
      <c r="AR1775" s="2">
        <v>14.5462964275827</v>
      </c>
      <c r="AS1775" s="2">
        <v>14.0645667950649</v>
      </c>
      <c r="AT1775" s="2">
        <v>16.212008792867401</v>
      </c>
      <c r="AU1775" s="2">
        <v>16.152719574089399</v>
      </c>
      <c r="AV1775" s="2">
        <v>17.4719760884355</v>
      </c>
      <c r="AW1775" s="2">
        <v>15.691031645271</v>
      </c>
      <c r="AX1775" s="2">
        <v>16.454041876071202</v>
      </c>
      <c r="AY1775" s="2">
        <v>16.391235029107101</v>
      </c>
      <c r="AZ1775" s="2">
        <v>17.3594641530978</v>
      </c>
      <c r="BA1775" s="2">
        <v>16.115588094872098</v>
      </c>
      <c r="BB1775" s="2">
        <v>17.457097471582902</v>
      </c>
      <c r="BC1775" s="2">
        <v>17.5367982915803</v>
      </c>
      <c r="BD1775" s="2">
        <v>17.029833203563602</v>
      </c>
      <c r="BE1775" s="2">
        <v>17.850707312628298</v>
      </c>
      <c r="BF1775" s="2">
        <v>15.839660218225299</v>
      </c>
      <c r="BG1775" s="2">
        <v>18.197553249411499</v>
      </c>
      <c r="BH1775" s="2">
        <v>17.701735916615998</v>
      </c>
      <c r="BI1775" s="2">
        <v>16.691035599581401</v>
      </c>
      <c r="BJ1775" s="2">
        <v>18.4297621977483</v>
      </c>
      <c r="BK1775" s="2">
        <v>15.513644949461</v>
      </c>
      <c r="BL1775" s="2">
        <v>16.915158014348599</v>
      </c>
      <c r="BM1775" s="2">
        <v>17.482588977614501</v>
      </c>
      <c r="BN1775" s="2">
        <v>18.9166488956221</v>
      </c>
      <c r="BO1775" s="2">
        <v>18.067628518662001</v>
      </c>
      <c r="BP1775" s="2">
        <v>17.8244984427159</v>
      </c>
      <c r="BQ1775" s="2">
        <v>17.331153130885301</v>
      </c>
      <c r="BR1775" s="2">
        <v>16.7523481071402</v>
      </c>
      <c r="BS1775" s="2">
        <v>18.293983560274299</v>
      </c>
      <c r="BT1775" s="2">
        <v>16.8856384680258</v>
      </c>
      <c r="BU1775" s="2">
        <v>14.039230945222</v>
      </c>
      <c r="BV1775" s="2">
        <v>18.411486120308499</v>
      </c>
      <c r="BW1775" s="2">
        <v>16.376051264707701</v>
      </c>
      <c r="BX1775" s="2">
        <v>17.580875214916698</v>
      </c>
      <c r="BY1775" s="2">
        <v>18.829818597797502</v>
      </c>
      <c r="BZ1775" s="2">
        <v>17.3056114001661</v>
      </c>
      <c r="CA1775" s="2">
        <v>18.369958221960601</v>
      </c>
      <c r="CB1775" s="2">
        <v>17.415475727060901</v>
      </c>
      <c r="CC1775" s="2">
        <v>9.6233145402724691</v>
      </c>
      <c r="CD1775" s="2">
        <v>17.840179032191202</v>
      </c>
      <c r="CE1775" s="2">
        <v>9.6233145402724691</v>
      </c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</row>
    <row r="1776" spans="1:97">
      <c r="A1776" s="2" t="s">
        <v>15648</v>
      </c>
      <c r="B1776" s="2">
        <v>457.02064999999999</v>
      </c>
      <c r="C1776" s="2">
        <v>0.78300000000000003</v>
      </c>
      <c r="D1776" s="2" t="s">
        <v>84</v>
      </c>
      <c r="E1776" s="2" t="s">
        <v>15649</v>
      </c>
      <c r="F1776" s="2" t="s">
        <v>15650</v>
      </c>
      <c r="G1776" s="2">
        <v>58585</v>
      </c>
      <c r="H1776" s="3" t="str">
        <f>HYPERLINK("https://cloud.oebiotech.com/#/lm/network/58585", "https://cloud.oebiotech.com/#/lm/network/58585")</f>
        <v>https://cloud.oebiotech.com/#/lm/network/58585</v>
      </c>
      <c r="I1776" s="2" t="s">
        <v>15651</v>
      </c>
      <c r="J1776" s="2">
        <v>90053</v>
      </c>
      <c r="K1776" s="2"/>
      <c r="L1776" s="2">
        <v>10070618</v>
      </c>
      <c r="M1776" s="2"/>
      <c r="N1776" s="2"/>
      <c r="O1776" s="2"/>
      <c r="P1776" s="2"/>
      <c r="Q1776" s="2"/>
      <c r="R1776" s="2"/>
      <c r="S1776" s="2" t="s">
        <v>15652</v>
      </c>
      <c r="T1776" s="2" t="s">
        <v>15653</v>
      </c>
      <c r="U1776" s="2" t="s">
        <v>15654</v>
      </c>
      <c r="V1776" s="2" t="s">
        <v>845</v>
      </c>
      <c r="W1776" s="2" t="s">
        <v>3853</v>
      </c>
      <c r="X1776" s="2" t="s">
        <v>3854</v>
      </c>
      <c r="Y1776" s="2" t="s">
        <v>847</v>
      </c>
      <c r="Z1776" s="2" t="s">
        <v>3855</v>
      </c>
      <c r="AA1776" s="2" t="s">
        <v>3856</v>
      </c>
      <c r="AB1776" s="2" t="s">
        <v>5118</v>
      </c>
      <c r="AC1776" s="2">
        <v>40.29</v>
      </c>
      <c r="AD1776" s="2">
        <v>72.569999999999993</v>
      </c>
      <c r="AE1776" s="2">
        <v>85.91</v>
      </c>
      <c r="AF1776" s="2" t="s">
        <v>15655</v>
      </c>
      <c r="AG1776" s="2" t="s">
        <v>3544</v>
      </c>
      <c r="AH1776" s="2" t="s">
        <v>15656</v>
      </c>
      <c r="AI1776" s="2">
        <v>-8.31</v>
      </c>
      <c r="AJ1776" s="2">
        <v>22.400891008449701</v>
      </c>
      <c r="AK1776" s="2">
        <v>22.447951960113699</v>
      </c>
      <c r="AL1776" s="2">
        <v>22.5183853760403</v>
      </c>
      <c r="AM1776" s="2">
        <v>22.370231839864399</v>
      </c>
      <c r="AN1776" s="2">
        <v>21.7466658048901</v>
      </c>
      <c r="AO1776" s="2">
        <v>22.335783354123901</v>
      </c>
      <c r="AP1776" s="2">
        <v>22.3602164422615</v>
      </c>
      <c r="AQ1776" s="2">
        <v>22.3386384755607</v>
      </c>
      <c r="AR1776" s="2">
        <v>22.455448194433899</v>
      </c>
      <c r="AS1776" s="2">
        <v>22.509001598240101</v>
      </c>
      <c r="AT1776" s="2">
        <v>22.6704405552209</v>
      </c>
      <c r="AU1776" s="2">
        <v>20.820433699742701</v>
      </c>
      <c r="AV1776" s="2">
        <v>22.4377770068795</v>
      </c>
      <c r="AW1776" s="2">
        <v>22.263684093105301</v>
      </c>
      <c r="AX1776" s="2">
        <v>22.622111514674</v>
      </c>
      <c r="AY1776" s="2">
        <v>21.018041558797002</v>
      </c>
      <c r="AZ1776" s="2">
        <v>22.182198791104799</v>
      </c>
      <c r="BA1776" s="2">
        <v>21.384771431544799</v>
      </c>
      <c r="BB1776" s="2">
        <v>21.622303737901301</v>
      </c>
      <c r="BC1776" s="2">
        <v>21.316822175870499</v>
      </c>
      <c r="BD1776" s="2">
        <v>21.2985655985559</v>
      </c>
      <c r="BE1776" s="2">
        <v>21.979045717279799</v>
      </c>
      <c r="BF1776" s="2">
        <v>22.066245148011401</v>
      </c>
      <c r="BG1776" s="2">
        <v>21.548226565963901</v>
      </c>
      <c r="BH1776" s="2">
        <v>22.2568496190699</v>
      </c>
      <c r="BI1776" s="2">
        <v>22.536119450060699</v>
      </c>
      <c r="BJ1776" s="2">
        <v>21.7433058203437</v>
      </c>
      <c r="BK1776" s="2">
        <v>22.022428139682699</v>
      </c>
      <c r="BL1776" s="2">
        <v>21.08253398906</v>
      </c>
      <c r="BM1776" s="2">
        <v>21.4577573451134</v>
      </c>
      <c r="BN1776" s="2">
        <v>22.598074308124801</v>
      </c>
      <c r="BO1776" s="2">
        <v>21.480376187750402</v>
      </c>
      <c r="BP1776" s="2">
        <v>22.762406286361401</v>
      </c>
      <c r="BQ1776" s="2">
        <v>22.3105821492471</v>
      </c>
      <c r="BR1776" s="2">
        <v>21.176415244596001</v>
      </c>
      <c r="BS1776" s="2">
        <v>22.5568955284655</v>
      </c>
      <c r="BT1776" s="2">
        <v>22.505506826809601</v>
      </c>
      <c r="BU1776" s="2">
        <v>21.700414224266002</v>
      </c>
      <c r="BV1776" s="2">
        <v>22.241257055453801</v>
      </c>
      <c r="BW1776" s="2">
        <v>22.278587506725401</v>
      </c>
      <c r="BX1776" s="2">
        <v>22.576504550316699</v>
      </c>
      <c r="BY1776" s="2">
        <v>21.0059698004323</v>
      </c>
      <c r="BZ1776" s="2">
        <v>21.922629568248201</v>
      </c>
      <c r="CA1776" s="2">
        <v>21.784689430710699</v>
      </c>
      <c r="CB1776" s="2">
        <v>22.8639046941815</v>
      </c>
      <c r="CC1776" s="2">
        <v>22.5920747635436</v>
      </c>
      <c r="CD1776" s="2">
        <v>22.724090622716801</v>
      </c>
      <c r="CE1776" s="2">
        <v>22.255970103512201</v>
      </c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</row>
    <row r="1777" spans="1:97">
      <c r="A1777" s="2" t="s">
        <v>15657</v>
      </c>
      <c r="B1777" s="2">
        <v>293.1377</v>
      </c>
      <c r="C1777" s="2">
        <v>5.0670000000000002</v>
      </c>
      <c r="D1777" s="2" t="s">
        <v>84</v>
      </c>
      <c r="E1777" s="2" t="s">
        <v>15658</v>
      </c>
      <c r="F1777" s="2" t="s">
        <v>15659</v>
      </c>
      <c r="G1777" s="2">
        <v>212771</v>
      </c>
      <c r="H1777" s="3" t="str">
        <f>HYPERLINK("https://cloud.oebiotech.com/#/lm/network/212771", "https://cloud.oebiotech.com/#/lm/network/212771")</f>
        <v>https://cloud.oebiotech.com/#/lm/network/212771</v>
      </c>
      <c r="I1777" s="2" t="s">
        <v>15660</v>
      </c>
      <c r="J1777" s="2"/>
      <c r="K1777" s="2"/>
      <c r="L1777" s="2">
        <v>135410273</v>
      </c>
      <c r="M1777" s="2"/>
      <c r="N1777" s="2"/>
      <c r="O1777" s="2"/>
      <c r="P1777" s="2"/>
      <c r="Q1777" s="2"/>
      <c r="R1777" s="2"/>
      <c r="S1777" s="2"/>
      <c r="T1777" s="2" t="s">
        <v>15661</v>
      </c>
      <c r="U1777" s="2" t="s">
        <v>15662</v>
      </c>
      <c r="V1777" s="2" t="s">
        <v>553</v>
      </c>
      <c r="W1777" s="2" t="s">
        <v>10339</v>
      </c>
      <c r="X1777" s="2" t="s">
        <v>10340</v>
      </c>
      <c r="Y1777" s="2" t="s">
        <v>556</v>
      </c>
      <c r="Z1777" s="2" t="s">
        <v>10341</v>
      </c>
      <c r="AA1777" s="2" t="s">
        <v>10342</v>
      </c>
      <c r="AB1777" s="2" t="s">
        <v>8443</v>
      </c>
      <c r="AC1777" s="2">
        <v>40.28</v>
      </c>
      <c r="AD1777" s="2">
        <v>73.760000000000005</v>
      </c>
      <c r="AE1777" s="2">
        <v>36.78</v>
      </c>
      <c r="AF1777" s="2" t="s">
        <v>15663</v>
      </c>
      <c r="AG1777" s="2" t="s">
        <v>1578</v>
      </c>
      <c r="AH1777" s="2" t="s">
        <v>15664</v>
      </c>
      <c r="AI1777" s="2">
        <v>-1.36</v>
      </c>
      <c r="AJ1777" s="2">
        <v>20.135277665372602</v>
      </c>
      <c r="AK1777" s="2">
        <v>20.293726987484199</v>
      </c>
      <c r="AL1777" s="2">
        <v>20.131920685364701</v>
      </c>
      <c r="AM1777" s="2">
        <v>20.157391717865799</v>
      </c>
      <c r="AN1777" s="2">
        <v>20.1284429530218</v>
      </c>
      <c r="AO1777" s="2">
        <v>19.983186085836302</v>
      </c>
      <c r="AP1777" s="2">
        <v>19.821524346981899</v>
      </c>
      <c r="AQ1777" s="2">
        <v>20.000771899256801</v>
      </c>
      <c r="AR1777" s="2">
        <v>19.430851638822499</v>
      </c>
      <c r="AS1777" s="2">
        <v>19.300125959468701</v>
      </c>
      <c r="AT1777" s="2">
        <v>20.5261575997562</v>
      </c>
      <c r="AU1777" s="2">
        <v>19.029126295369998</v>
      </c>
      <c r="AV1777" s="2">
        <v>19.824285209248899</v>
      </c>
      <c r="AW1777" s="2">
        <v>20.087226147808899</v>
      </c>
      <c r="AX1777" s="2">
        <v>19.6390826879516</v>
      </c>
      <c r="AY1777" s="2">
        <v>19.980875481876101</v>
      </c>
      <c r="AZ1777" s="2">
        <v>19.547375207807601</v>
      </c>
      <c r="BA1777" s="2">
        <v>19.623243888124499</v>
      </c>
      <c r="BB1777" s="2">
        <v>20.2134535610572</v>
      </c>
      <c r="BC1777" s="2">
        <v>20.360074081312099</v>
      </c>
      <c r="BD1777" s="2">
        <v>19.3245768034134</v>
      </c>
      <c r="BE1777" s="2">
        <v>20.8513320802127</v>
      </c>
      <c r="BF1777" s="2">
        <v>19.2268251548102</v>
      </c>
      <c r="BG1777" s="2">
        <v>20.313509627604201</v>
      </c>
      <c r="BH1777" s="2">
        <v>19.962230416304902</v>
      </c>
      <c r="BI1777" s="2">
        <v>20.303335220813899</v>
      </c>
      <c r="BJ1777" s="2">
        <v>20.114080792008199</v>
      </c>
      <c r="BK1777" s="2">
        <v>19.817164735991199</v>
      </c>
      <c r="BL1777" s="2">
        <v>19.9910891935771</v>
      </c>
      <c r="BM1777" s="2">
        <v>19.510344996054599</v>
      </c>
      <c r="BN1777" s="2">
        <v>20.6040874989991</v>
      </c>
      <c r="BO1777" s="2">
        <v>19.958316102991201</v>
      </c>
      <c r="BP1777" s="2">
        <v>20.1276063163724</v>
      </c>
      <c r="BQ1777" s="2">
        <v>20.180082347790599</v>
      </c>
      <c r="BR1777" s="2">
        <v>19.931048355128599</v>
      </c>
      <c r="BS1777" s="2">
        <v>19.804444613029599</v>
      </c>
      <c r="BT1777" s="2">
        <v>20.027529894845902</v>
      </c>
      <c r="BU1777" s="2">
        <v>19.853576822192199</v>
      </c>
      <c r="BV1777" s="2">
        <v>20.565863166659501</v>
      </c>
      <c r="BW1777" s="2">
        <v>19.138032082821201</v>
      </c>
      <c r="BX1777" s="2">
        <v>19.350509052464499</v>
      </c>
      <c r="BY1777" s="2">
        <v>20.595637264917301</v>
      </c>
      <c r="BZ1777" s="2">
        <v>19.238853878794998</v>
      </c>
      <c r="CA1777" s="2">
        <v>19.819724199058498</v>
      </c>
      <c r="CB1777" s="2">
        <v>20.125361730670502</v>
      </c>
      <c r="CC1777" s="2">
        <v>19.7932313165099</v>
      </c>
      <c r="CD1777" s="2">
        <v>20.582204998567001</v>
      </c>
      <c r="CE1777" s="2">
        <v>19.853185568471002</v>
      </c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</row>
    <row r="1778" spans="1:97">
      <c r="A1778" s="2" t="s">
        <v>15665</v>
      </c>
      <c r="B1778" s="2">
        <v>388.25362999999999</v>
      </c>
      <c r="C1778" s="2">
        <v>4.28</v>
      </c>
      <c r="D1778" s="2" t="s">
        <v>84</v>
      </c>
      <c r="E1778" s="2" t="s">
        <v>15666</v>
      </c>
      <c r="F1778" s="2" t="s">
        <v>15667</v>
      </c>
      <c r="G1778" s="2">
        <v>8715</v>
      </c>
      <c r="H1778" s="3" t="str">
        <f>HYPERLINK("https://cloud.oebiotech.com/#/lm/network/8715", "https://cloud.oebiotech.com/#/lm/network/8715")</f>
        <v>https://cloud.oebiotech.com/#/lm/network/8715</v>
      </c>
      <c r="I1778" s="2"/>
      <c r="J1778" s="2">
        <v>75520</v>
      </c>
      <c r="K1778" s="2" t="s">
        <v>15668</v>
      </c>
      <c r="L1778" s="2">
        <v>52922081</v>
      </c>
      <c r="M1778" s="2"/>
      <c r="N1778" s="2"/>
      <c r="O1778" s="2"/>
      <c r="P1778" s="2"/>
      <c r="Q1778" s="2"/>
      <c r="R1778" s="2"/>
      <c r="S1778" s="2"/>
      <c r="T1778" s="2" t="s">
        <v>15669</v>
      </c>
      <c r="U1778" s="2" t="s">
        <v>15670</v>
      </c>
      <c r="V1778" s="2" t="s">
        <v>95</v>
      </c>
      <c r="W1778" s="2" t="s">
        <v>96</v>
      </c>
      <c r="X1778" s="2" t="s">
        <v>315</v>
      </c>
      <c r="Y1778" s="2" t="s">
        <v>98</v>
      </c>
      <c r="Z1778" s="2" t="s">
        <v>99</v>
      </c>
      <c r="AA1778" s="2" t="s">
        <v>316</v>
      </c>
      <c r="AB1778" s="2" t="s">
        <v>8443</v>
      </c>
      <c r="AC1778" s="2">
        <v>40.25</v>
      </c>
      <c r="AD1778" s="2">
        <v>91.7</v>
      </c>
      <c r="AE1778" s="2">
        <v>38.04</v>
      </c>
      <c r="AF1778" s="2" t="s">
        <v>15671</v>
      </c>
      <c r="AG1778" s="2" t="s">
        <v>103</v>
      </c>
      <c r="AH1778" s="2" t="s">
        <v>15672</v>
      </c>
      <c r="AI1778" s="2">
        <v>-5.15</v>
      </c>
      <c r="AJ1778" s="2">
        <v>21.452542720711701</v>
      </c>
      <c r="AK1778" s="2">
        <v>21.438805438886</v>
      </c>
      <c r="AL1778" s="2">
        <v>21.337739066340699</v>
      </c>
      <c r="AM1778" s="2">
        <v>21.7889281683543</v>
      </c>
      <c r="AN1778" s="2">
        <v>21.418693726350199</v>
      </c>
      <c r="AO1778" s="2">
        <v>21.681229646995799</v>
      </c>
      <c r="AP1778" s="2">
        <v>21.491318997002999</v>
      </c>
      <c r="AQ1778" s="2">
        <v>21.535486721902501</v>
      </c>
      <c r="AR1778" s="2">
        <v>20.122879383332702</v>
      </c>
      <c r="AS1778" s="2">
        <v>20.575495696401301</v>
      </c>
      <c r="AT1778" s="2">
        <v>21.753184232700399</v>
      </c>
      <c r="AU1778" s="2">
        <v>21.916312625169201</v>
      </c>
      <c r="AV1778" s="2">
        <v>21.688896755675099</v>
      </c>
      <c r="AW1778" s="2">
        <v>21.9766507233517</v>
      </c>
      <c r="AX1778" s="2">
        <v>21.540504441955701</v>
      </c>
      <c r="AY1778" s="2">
        <v>21.7937383452795</v>
      </c>
      <c r="AZ1778" s="2">
        <v>20.7791426000679</v>
      </c>
      <c r="BA1778" s="2">
        <v>21.095869403811601</v>
      </c>
      <c r="BB1778" s="2">
        <v>19.641829411023402</v>
      </c>
      <c r="BC1778" s="2">
        <v>19.724466756394399</v>
      </c>
      <c r="BD1778" s="2">
        <v>22.023563305877101</v>
      </c>
      <c r="BE1778" s="2">
        <v>22.081658633977302</v>
      </c>
      <c r="BF1778" s="2">
        <v>21.956990889398799</v>
      </c>
      <c r="BG1778" s="2">
        <v>19.249442679059602</v>
      </c>
      <c r="BH1778" s="2">
        <v>21.758953342408699</v>
      </c>
      <c r="BI1778" s="2">
        <v>21.7377420175781</v>
      </c>
      <c r="BJ1778" s="2">
        <v>19.5785319258468</v>
      </c>
      <c r="BK1778" s="2">
        <v>21.836217468981701</v>
      </c>
      <c r="BL1778" s="2">
        <v>21.970356735462101</v>
      </c>
      <c r="BM1778" s="2">
        <v>22.910823904961799</v>
      </c>
      <c r="BN1778" s="2">
        <v>21.853656818220099</v>
      </c>
      <c r="BO1778" s="2">
        <v>21.135614161525901</v>
      </c>
      <c r="BP1778" s="2">
        <v>21.7280911177149</v>
      </c>
      <c r="BQ1778" s="2">
        <v>21.960592021130299</v>
      </c>
      <c r="BR1778" s="2">
        <v>19.9355874652362</v>
      </c>
      <c r="BS1778" s="2">
        <v>22.609833162795798</v>
      </c>
      <c r="BT1778" s="2">
        <v>20.2237813487728</v>
      </c>
      <c r="BU1778" s="2">
        <v>21.8624229524813</v>
      </c>
      <c r="BV1778" s="2">
        <v>19.701779903964901</v>
      </c>
      <c r="BW1778" s="2">
        <v>19.636494930323799</v>
      </c>
      <c r="BX1778" s="2">
        <v>22.0190904512366</v>
      </c>
      <c r="BY1778" s="2">
        <v>22.376426271850899</v>
      </c>
      <c r="BZ1778" s="2">
        <v>19.667424720024201</v>
      </c>
      <c r="CA1778" s="2">
        <v>22.547644630972201</v>
      </c>
      <c r="CB1778" s="2">
        <v>20.271836903088399</v>
      </c>
      <c r="CC1778" s="2">
        <v>20.8449995771471</v>
      </c>
      <c r="CD1778" s="2">
        <v>22.044300984724099</v>
      </c>
      <c r="CE1778" s="2">
        <v>22.118019306856802</v>
      </c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</row>
    <row r="1779" spans="1:97">
      <c r="A1779" s="2" t="s">
        <v>15673</v>
      </c>
      <c r="B1779" s="2">
        <v>262.01306</v>
      </c>
      <c r="C1779" s="2">
        <v>4.3929999999999998</v>
      </c>
      <c r="D1779" s="2" t="s">
        <v>146</v>
      </c>
      <c r="E1779" s="2" t="s">
        <v>15674</v>
      </c>
      <c r="F1779" s="2" t="s">
        <v>15675</v>
      </c>
      <c r="G1779" s="2">
        <v>449686</v>
      </c>
      <c r="H1779" s="3" t="str">
        <f>HYPERLINK("https://cloud.oebiotech.com/#/lm/network/449686", "https://cloud.oebiotech.com/#/lm/network/449686")</f>
        <v>https://cloud.oebiotech.com/#/lm/network/449686</v>
      </c>
      <c r="I1779" s="2"/>
      <c r="J1779" s="2">
        <v>831782</v>
      </c>
      <c r="K1779" s="2"/>
      <c r="L1779" s="2">
        <v>53717071</v>
      </c>
      <c r="M1779" s="2"/>
      <c r="N1779" s="2"/>
      <c r="O1779" s="2"/>
      <c r="P1779" s="2"/>
      <c r="Q1779" s="2"/>
      <c r="R1779" s="2"/>
      <c r="S1779" s="2"/>
      <c r="T1779" s="2" t="s">
        <v>15676</v>
      </c>
      <c r="U1779" s="2" t="s">
        <v>15677</v>
      </c>
      <c r="V1779" s="2" t="s">
        <v>385</v>
      </c>
      <c r="W1779" s="2" t="s">
        <v>386</v>
      </c>
      <c r="X1779" s="2" t="s">
        <v>1059</v>
      </c>
      <c r="Y1779" s="2" t="s">
        <v>388</v>
      </c>
      <c r="Z1779" s="2" t="s">
        <v>389</v>
      </c>
      <c r="AA1779" s="2" t="s">
        <v>1060</v>
      </c>
      <c r="AB1779" s="2" t="s">
        <v>8443</v>
      </c>
      <c r="AC1779" s="2">
        <v>40.22</v>
      </c>
      <c r="AD1779" s="2">
        <v>75.47</v>
      </c>
      <c r="AE1779" s="2">
        <v>42.5</v>
      </c>
      <c r="AF1779" s="2" t="s">
        <v>15678</v>
      </c>
      <c r="AG1779" s="2" t="s">
        <v>4062</v>
      </c>
      <c r="AH1779" s="2" t="s">
        <v>15679</v>
      </c>
      <c r="AI1779" s="2">
        <v>-2.67</v>
      </c>
      <c r="AJ1779" s="2">
        <v>19.114071460961799</v>
      </c>
      <c r="AK1779" s="2">
        <v>19.291215494998301</v>
      </c>
      <c r="AL1779" s="2">
        <v>19.341799247635802</v>
      </c>
      <c r="AM1779" s="2">
        <v>19.131605926749199</v>
      </c>
      <c r="AN1779" s="2">
        <v>19.412587625689302</v>
      </c>
      <c r="AO1779" s="2">
        <v>19.3044307605815</v>
      </c>
      <c r="AP1779" s="2">
        <v>19.298390702519601</v>
      </c>
      <c r="AQ1779" s="2">
        <v>19.048782269914302</v>
      </c>
      <c r="AR1779" s="2">
        <v>9.6233145402724691</v>
      </c>
      <c r="AS1779" s="2">
        <v>16.474890546787002</v>
      </c>
      <c r="AT1779" s="2">
        <v>16.007402262783099</v>
      </c>
      <c r="AU1779" s="2">
        <v>9.6233145402724691</v>
      </c>
      <c r="AV1779" s="2">
        <v>15.6237546314977</v>
      </c>
      <c r="AW1779" s="2">
        <v>19.565140057223999</v>
      </c>
      <c r="AX1779" s="2">
        <v>9.6233145402724691</v>
      </c>
      <c r="AY1779" s="2">
        <v>17.8240106414511</v>
      </c>
      <c r="AZ1779" s="2">
        <v>9.6233145402724691</v>
      </c>
      <c r="BA1779" s="2">
        <v>18.475669159193</v>
      </c>
      <c r="BB1779" s="2">
        <v>9.6233145402724691</v>
      </c>
      <c r="BC1779" s="2">
        <v>14.902698723530399</v>
      </c>
      <c r="BD1779" s="2">
        <v>19.5259332638621</v>
      </c>
      <c r="BE1779" s="2">
        <v>12.328388828016701</v>
      </c>
      <c r="BF1779" s="2">
        <v>18.032242068912002</v>
      </c>
      <c r="BG1779" s="2">
        <v>18.887982489925601</v>
      </c>
      <c r="BH1779" s="2">
        <v>9.6233145402724691</v>
      </c>
      <c r="BI1779" s="2">
        <v>17.780742811587402</v>
      </c>
      <c r="BJ1779" s="2">
        <v>9.6233145402724691</v>
      </c>
      <c r="BK1779" s="2">
        <v>22.4046701614099</v>
      </c>
      <c r="BL1779" s="2">
        <v>9.6233145402724691</v>
      </c>
      <c r="BM1779" s="2">
        <v>19.332524295351799</v>
      </c>
      <c r="BN1779" s="2">
        <v>19.7507651065422</v>
      </c>
      <c r="BO1779" s="2">
        <v>9.6233145402724691</v>
      </c>
      <c r="BP1779" s="2">
        <v>20.9449562251286</v>
      </c>
      <c r="BQ1779" s="2">
        <v>11.5245123319456</v>
      </c>
      <c r="BR1779" s="2">
        <v>15.0707297675073</v>
      </c>
      <c r="BS1779" s="2">
        <v>15.8783426610168</v>
      </c>
      <c r="BT1779" s="2">
        <v>9.6233145402724691</v>
      </c>
      <c r="BU1779" s="2">
        <v>19.076785044862898</v>
      </c>
      <c r="BV1779" s="2">
        <v>15.301796963258401</v>
      </c>
      <c r="BW1779" s="2">
        <v>14.214404884528699</v>
      </c>
      <c r="BX1779" s="2">
        <v>17.6176633861166</v>
      </c>
      <c r="BY1779" s="2">
        <v>19.882589767569701</v>
      </c>
      <c r="BZ1779" s="2">
        <v>13.8938086984391</v>
      </c>
      <c r="CA1779" s="2">
        <v>22.828269847143499</v>
      </c>
      <c r="CB1779" s="2">
        <v>18.627783293782599</v>
      </c>
      <c r="CC1779" s="2">
        <v>21.053813981751901</v>
      </c>
      <c r="CD1779" s="2">
        <v>15.0715168313109</v>
      </c>
      <c r="CE1779" s="2">
        <v>22.106576179401099</v>
      </c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</row>
    <row r="1780" spans="1:97">
      <c r="A1780" s="2" t="s">
        <v>15680</v>
      </c>
      <c r="B1780" s="2">
        <v>664.45581000000004</v>
      </c>
      <c r="C1780" s="2">
        <v>11.581</v>
      </c>
      <c r="D1780" s="2" t="s">
        <v>84</v>
      </c>
      <c r="E1780" s="2" t="s">
        <v>15681</v>
      </c>
      <c r="F1780" s="2" t="s">
        <v>15682</v>
      </c>
      <c r="G1780" s="2">
        <v>219953</v>
      </c>
      <c r="H1780" s="3" t="str">
        <f>HYPERLINK("https://cloud.oebiotech.com/#/lm/network/219953", "https://cloud.oebiotech.com/#/lm/network/219953")</f>
        <v>https://cloud.oebiotech.com/#/lm/network/219953</v>
      </c>
      <c r="I1780" s="2" t="s">
        <v>15683</v>
      </c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 t="s">
        <v>15684</v>
      </c>
      <c r="U1780" s="2" t="s">
        <v>15685</v>
      </c>
      <c r="V1780" s="2" t="s">
        <v>95</v>
      </c>
      <c r="W1780" s="2" t="s">
        <v>202</v>
      </c>
      <c r="X1780" s="2" t="s">
        <v>6038</v>
      </c>
      <c r="Y1780" s="2" t="s">
        <v>98</v>
      </c>
      <c r="Z1780" s="2" t="s">
        <v>204</v>
      </c>
      <c r="AA1780" s="2" t="s">
        <v>6039</v>
      </c>
      <c r="AB1780" s="2" t="s">
        <v>8443</v>
      </c>
      <c r="AC1780" s="2">
        <v>40.22</v>
      </c>
      <c r="AD1780" s="2">
        <v>76.03</v>
      </c>
      <c r="AE1780" s="2">
        <v>34.44</v>
      </c>
      <c r="AF1780" s="2" t="s">
        <v>15686</v>
      </c>
      <c r="AG1780" s="2" t="s">
        <v>132</v>
      </c>
      <c r="AH1780" s="2" t="s">
        <v>15687</v>
      </c>
      <c r="AI1780" s="2">
        <v>-1.5</v>
      </c>
      <c r="AJ1780" s="2">
        <v>20.721929088539</v>
      </c>
      <c r="AK1780" s="2">
        <v>20.964233251434901</v>
      </c>
      <c r="AL1780" s="2">
        <v>21.1023249647046</v>
      </c>
      <c r="AM1780" s="2">
        <v>20.859858967192999</v>
      </c>
      <c r="AN1780" s="2">
        <v>20.484795994494199</v>
      </c>
      <c r="AO1780" s="2">
        <v>20.724756107171</v>
      </c>
      <c r="AP1780" s="2">
        <v>20.491321067062898</v>
      </c>
      <c r="AQ1780" s="2">
        <v>20.6656123230457</v>
      </c>
      <c r="AR1780" s="2">
        <v>20.255788808281299</v>
      </c>
      <c r="AS1780" s="2">
        <v>20.099244111942902</v>
      </c>
      <c r="AT1780" s="2">
        <v>20.120748579405099</v>
      </c>
      <c r="AU1780" s="2">
        <v>21.006231261837002</v>
      </c>
      <c r="AV1780" s="2">
        <v>20.622645448047599</v>
      </c>
      <c r="AW1780" s="2">
        <v>20.771387579885602</v>
      </c>
      <c r="AX1780" s="2">
        <v>20.988433326450998</v>
      </c>
      <c r="AY1780" s="2">
        <v>21.094570072236799</v>
      </c>
      <c r="AZ1780" s="2">
        <v>21.362725705352801</v>
      </c>
      <c r="BA1780" s="2">
        <v>19.977149693887799</v>
      </c>
      <c r="BB1780" s="2">
        <v>20.644916019228202</v>
      </c>
      <c r="BC1780" s="2">
        <v>21.041214864382301</v>
      </c>
      <c r="BD1780" s="2">
        <v>20.5644779435465</v>
      </c>
      <c r="BE1780" s="2">
        <v>20.681325876494501</v>
      </c>
      <c r="BF1780" s="2">
        <v>20.1132760789286</v>
      </c>
      <c r="BG1780" s="2">
        <v>20.9180764868319</v>
      </c>
      <c r="BH1780" s="2">
        <v>20.974953246503901</v>
      </c>
      <c r="BI1780" s="2">
        <v>21.0425779205213</v>
      </c>
      <c r="BJ1780" s="2">
        <v>21.009176633308002</v>
      </c>
      <c r="BK1780" s="2">
        <v>20.736748758656098</v>
      </c>
      <c r="BL1780" s="2">
        <v>21.037431671718899</v>
      </c>
      <c r="BM1780" s="2">
        <v>20.7132006463553</v>
      </c>
      <c r="BN1780" s="2">
        <v>19.556982245505999</v>
      </c>
      <c r="BO1780" s="2">
        <v>20.619007391343999</v>
      </c>
      <c r="BP1780" s="2">
        <v>20.580888837728999</v>
      </c>
      <c r="BQ1780" s="2">
        <v>21.215469651992301</v>
      </c>
      <c r="BR1780" s="2">
        <v>21.1916129771874</v>
      </c>
      <c r="BS1780" s="2">
        <v>20.779829585119899</v>
      </c>
      <c r="BT1780" s="2">
        <v>20.7117387012592</v>
      </c>
      <c r="BU1780" s="2">
        <v>20.5221301395603</v>
      </c>
      <c r="BV1780" s="2">
        <v>19.830029714815002</v>
      </c>
      <c r="BW1780" s="2">
        <v>20.7026441609123</v>
      </c>
      <c r="BX1780" s="2">
        <v>20.660356305220201</v>
      </c>
      <c r="BY1780" s="2">
        <v>21.0704716151483</v>
      </c>
      <c r="BZ1780" s="2">
        <v>20.5103013450357</v>
      </c>
      <c r="CA1780" s="2">
        <v>21.0731111343135</v>
      </c>
      <c r="CB1780" s="2">
        <v>20.769098346195701</v>
      </c>
      <c r="CC1780" s="2">
        <v>20.635537726125499</v>
      </c>
      <c r="CD1780" s="2">
        <v>20.0723131234497</v>
      </c>
      <c r="CE1780" s="2">
        <v>20.3830771826721</v>
      </c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</row>
    <row r="1781" spans="1:97">
      <c r="A1781" s="2" t="s">
        <v>15688</v>
      </c>
      <c r="B1781" s="2">
        <v>407.04421000000002</v>
      </c>
      <c r="C1781" s="2">
        <v>3.6619999999999999</v>
      </c>
      <c r="D1781" s="2" t="s">
        <v>146</v>
      </c>
      <c r="E1781" s="2" t="s">
        <v>15689</v>
      </c>
      <c r="F1781" s="2" t="s">
        <v>15690</v>
      </c>
      <c r="G1781" s="2">
        <v>209614</v>
      </c>
      <c r="H1781" s="3" t="str">
        <f>HYPERLINK("https://cloud.oebiotech.com/#/lm/network/209614", "https://cloud.oebiotech.com/#/lm/network/209614")</f>
        <v>https://cloud.oebiotech.com/#/lm/network/209614</v>
      </c>
      <c r="I1781" s="2" t="s">
        <v>15691</v>
      </c>
      <c r="J1781" s="2"/>
      <c r="K1781" s="2"/>
      <c r="L1781" s="2">
        <v>159929</v>
      </c>
      <c r="M1781" s="2"/>
      <c r="N1781" s="2"/>
      <c r="O1781" s="2"/>
      <c r="P1781" s="2"/>
      <c r="Q1781" s="2"/>
      <c r="R1781" s="2"/>
      <c r="S1781" s="2"/>
      <c r="T1781" s="2" t="s">
        <v>15692</v>
      </c>
      <c r="U1781" s="2" t="s">
        <v>15693</v>
      </c>
      <c r="V1781" s="2" t="s">
        <v>553</v>
      </c>
      <c r="W1781" s="2" t="s">
        <v>10339</v>
      </c>
      <c r="X1781" s="2" t="s">
        <v>10340</v>
      </c>
      <c r="Y1781" s="2" t="s">
        <v>556</v>
      </c>
      <c r="Z1781" s="2" t="s">
        <v>10341</v>
      </c>
      <c r="AA1781" s="2" t="s">
        <v>10342</v>
      </c>
      <c r="AB1781" s="2" t="s">
        <v>5118</v>
      </c>
      <c r="AC1781" s="2">
        <v>40.21</v>
      </c>
      <c r="AD1781" s="2">
        <v>50.58</v>
      </c>
      <c r="AE1781" s="2">
        <v>72.2</v>
      </c>
      <c r="AF1781" s="2" t="s">
        <v>15694</v>
      </c>
      <c r="AG1781" s="2" t="s">
        <v>157</v>
      </c>
      <c r="AH1781" s="2" t="s">
        <v>15695</v>
      </c>
      <c r="AI1781" s="2">
        <v>-2.46</v>
      </c>
      <c r="AJ1781" s="2">
        <v>21.9293978595277</v>
      </c>
      <c r="AK1781" s="2">
        <v>22.091598983616802</v>
      </c>
      <c r="AL1781" s="2">
        <v>21.966136138178602</v>
      </c>
      <c r="AM1781" s="2">
        <v>21.942520357771102</v>
      </c>
      <c r="AN1781" s="2">
        <v>22.0476864995752</v>
      </c>
      <c r="AO1781" s="2">
        <v>21.9334106665336</v>
      </c>
      <c r="AP1781" s="2">
        <v>22.046013454393201</v>
      </c>
      <c r="AQ1781" s="2">
        <v>22.0567432417978</v>
      </c>
      <c r="AR1781" s="2">
        <v>21.262668357387799</v>
      </c>
      <c r="AS1781" s="2">
        <v>21.400944772741799</v>
      </c>
      <c r="AT1781" s="2">
        <v>21.7716574616292</v>
      </c>
      <c r="AU1781" s="2">
        <v>21.594919884054999</v>
      </c>
      <c r="AV1781" s="2">
        <v>21.867242276511</v>
      </c>
      <c r="AW1781" s="2">
        <v>21.887737636021399</v>
      </c>
      <c r="AX1781" s="2">
        <v>21.8071822411422</v>
      </c>
      <c r="AY1781" s="2">
        <v>22.0400632485694</v>
      </c>
      <c r="AZ1781" s="2">
        <v>21.882734892403001</v>
      </c>
      <c r="BA1781" s="2">
        <v>21.6214516370006</v>
      </c>
      <c r="BB1781" s="2">
        <v>22.274344261759602</v>
      </c>
      <c r="BC1781" s="2">
        <v>21.956376533046001</v>
      </c>
      <c r="BD1781" s="2">
        <v>21.5917175224013</v>
      </c>
      <c r="BE1781" s="2">
        <v>22.412876432094102</v>
      </c>
      <c r="BF1781" s="2">
        <v>22.005426983840199</v>
      </c>
      <c r="BG1781" s="2">
        <v>22.161698622047901</v>
      </c>
      <c r="BH1781" s="2">
        <v>22.076393314229001</v>
      </c>
      <c r="BI1781" s="2">
        <v>21.770638452979401</v>
      </c>
      <c r="BJ1781" s="2">
        <v>22.077728729834401</v>
      </c>
      <c r="BK1781" s="2">
        <v>22.043106045286301</v>
      </c>
      <c r="BL1781" s="2">
        <v>21.686172446099398</v>
      </c>
      <c r="BM1781" s="2">
        <v>22.327936340680299</v>
      </c>
      <c r="BN1781" s="2">
        <v>22.057911178989801</v>
      </c>
      <c r="BO1781" s="2">
        <v>21.981395195741001</v>
      </c>
      <c r="BP1781" s="2">
        <v>21.854374391267498</v>
      </c>
      <c r="BQ1781" s="2">
        <v>22.080792055631701</v>
      </c>
      <c r="BR1781" s="2">
        <v>22.0908674893587</v>
      </c>
      <c r="BS1781" s="2">
        <v>21.847459502099699</v>
      </c>
      <c r="BT1781" s="2">
        <v>21.752287547084901</v>
      </c>
      <c r="BU1781" s="2">
        <v>21.452160099223899</v>
      </c>
      <c r="BV1781" s="2">
        <v>22.025992042205999</v>
      </c>
      <c r="BW1781" s="2">
        <v>21.578868179773</v>
      </c>
      <c r="BX1781" s="2">
        <v>22.080885911396699</v>
      </c>
      <c r="BY1781" s="2">
        <v>22.3293371470014</v>
      </c>
      <c r="BZ1781" s="2">
        <v>22.077746913003601</v>
      </c>
      <c r="CA1781" s="2">
        <v>22.242610800320399</v>
      </c>
      <c r="CB1781" s="2">
        <v>21.985512055590402</v>
      </c>
      <c r="CC1781" s="2">
        <v>21.467607132089299</v>
      </c>
      <c r="CD1781" s="2">
        <v>22.2104963078319</v>
      </c>
      <c r="CE1781" s="2">
        <v>22.084073899029701</v>
      </c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</row>
    <row r="1782" spans="1:97">
      <c r="A1782" s="2" t="s">
        <v>15696</v>
      </c>
      <c r="B1782" s="2">
        <v>397.16834999999998</v>
      </c>
      <c r="C1782" s="2">
        <v>6.859</v>
      </c>
      <c r="D1782" s="2" t="s">
        <v>146</v>
      </c>
      <c r="E1782" s="2" t="s">
        <v>15697</v>
      </c>
      <c r="F1782" s="2" t="s">
        <v>15698</v>
      </c>
      <c r="G1782" s="2">
        <v>206643</v>
      </c>
      <c r="H1782" s="3" t="str">
        <f>HYPERLINK("https://cloud.oebiotech.com/#/lm/network/206643", "https://cloud.oebiotech.com/#/lm/network/206643")</f>
        <v>https://cloud.oebiotech.com/#/lm/network/206643</v>
      </c>
      <c r="I1782" s="2" t="s">
        <v>15699</v>
      </c>
      <c r="J1782" s="2"/>
      <c r="K1782" s="2"/>
      <c r="L1782" s="2">
        <v>85122229</v>
      </c>
      <c r="M1782" s="2"/>
      <c r="N1782" s="2"/>
      <c r="O1782" s="2"/>
      <c r="P1782" s="2"/>
      <c r="Q1782" s="2"/>
      <c r="R1782" s="2"/>
      <c r="S1782" s="2"/>
      <c r="T1782" s="2" t="s">
        <v>15700</v>
      </c>
      <c r="U1782" s="2" t="s">
        <v>15701</v>
      </c>
      <c r="V1782" s="2" t="s">
        <v>553</v>
      </c>
      <c r="W1782" s="2" t="s">
        <v>10242</v>
      </c>
      <c r="X1782" s="2" t="s">
        <v>10243</v>
      </c>
      <c r="Y1782" s="2" t="s">
        <v>556</v>
      </c>
      <c r="Z1782" s="2" t="s">
        <v>10244</v>
      </c>
      <c r="AA1782" s="2" t="s">
        <v>10245</v>
      </c>
      <c r="AB1782" s="2" t="s">
        <v>8443</v>
      </c>
      <c r="AC1782" s="2">
        <v>40.15</v>
      </c>
      <c r="AD1782" s="2">
        <v>64.22</v>
      </c>
      <c r="AE1782" s="2">
        <v>0</v>
      </c>
      <c r="AF1782" s="2" t="s">
        <v>15702</v>
      </c>
      <c r="AG1782" s="2" t="s">
        <v>993</v>
      </c>
      <c r="AH1782" s="2" t="s">
        <v>15703</v>
      </c>
      <c r="AI1782" s="2">
        <v>0</v>
      </c>
      <c r="AJ1782" s="2">
        <v>18.949250250378899</v>
      </c>
      <c r="AK1782" s="2">
        <v>18.689887166962698</v>
      </c>
      <c r="AL1782" s="2">
        <v>18.996140173466198</v>
      </c>
      <c r="AM1782" s="2">
        <v>19.1600286451343</v>
      </c>
      <c r="AN1782" s="2">
        <v>19.0465196176077</v>
      </c>
      <c r="AO1782" s="2">
        <v>18.994607427614302</v>
      </c>
      <c r="AP1782" s="2">
        <v>19.089520309275699</v>
      </c>
      <c r="AQ1782" s="2">
        <v>19.052192167344899</v>
      </c>
      <c r="AR1782" s="2">
        <v>19.0768634721498</v>
      </c>
      <c r="AS1782" s="2">
        <v>15.3030336690446</v>
      </c>
      <c r="AT1782" s="2">
        <v>18.5271498334663</v>
      </c>
      <c r="AU1782" s="2">
        <v>18.481122063549901</v>
      </c>
      <c r="AV1782" s="2">
        <v>18.394320040884601</v>
      </c>
      <c r="AW1782" s="2">
        <v>19.180729457545201</v>
      </c>
      <c r="AX1782" s="2">
        <v>18.3526400991489</v>
      </c>
      <c r="AY1782" s="2">
        <v>17.165631508869101</v>
      </c>
      <c r="AZ1782" s="2">
        <v>18.6139329169396</v>
      </c>
      <c r="BA1782" s="2">
        <v>19.301555005112899</v>
      </c>
      <c r="BB1782" s="2">
        <v>19.214674902616199</v>
      </c>
      <c r="BC1782" s="2">
        <v>18.958375001294499</v>
      </c>
      <c r="BD1782" s="2">
        <v>17.977048669433401</v>
      </c>
      <c r="BE1782" s="2">
        <v>18.316054457368701</v>
      </c>
      <c r="BF1782" s="2">
        <v>18.9524706766889</v>
      </c>
      <c r="BG1782" s="2">
        <v>19.139508660647898</v>
      </c>
      <c r="BH1782" s="2">
        <v>17.852313215726902</v>
      </c>
      <c r="BI1782" s="2">
        <v>19.109388312314501</v>
      </c>
      <c r="BJ1782" s="2">
        <v>18.588242198567698</v>
      </c>
      <c r="BK1782" s="2">
        <v>18.006203828699299</v>
      </c>
      <c r="BL1782" s="2">
        <v>18.878887106003098</v>
      </c>
      <c r="BM1782" s="2">
        <v>16.796811133786399</v>
      </c>
      <c r="BN1782" s="2">
        <v>18.903855903252101</v>
      </c>
      <c r="BO1782" s="2">
        <v>18.884559884493498</v>
      </c>
      <c r="BP1782" s="2">
        <v>18.539372551438198</v>
      </c>
      <c r="BQ1782" s="2">
        <v>18.0933326034076</v>
      </c>
      <c r="BR1782" s="2">
        <v>18.972032959153999</v>
      </c>
      <c r="BS1782" s="2">
        <v>18.375664890224499</v>
      </c>
      <c r="BT1782" s="2">
        <v>18.731435449695901</v>
      </c>
      <c r="BU1782" s="2">
        <v>19.604314341840698</v>
      </c>
      <c r="BV1782" s="2">
        <v>19.077553792714301</v>
      </c>
      <c r="BW1782" s="2">
        <v>18.4887958338287</v>
      </c>
      <c r="BX1782" s="2">
        <v>17.980053703035601</v>
      </c>
      <c r="BY1782" s="2">
        <v>19.657502211905999</v>
      </c>
      <c r="BZ1782" s="2">
        <v>19.217979416484201</v>
      </c>
      <c r="CA1782" s="2">
        <v>18.818767114527901</v>
      </c>
      <c r="CB1782" s="2">
        <v>16.9158012027337</v>
      </c>
      <c r="CC1782" s="2">
        <v>19.028774653455599</v>
      </c>
      <c r="CD1782" s="2">
        <v>18.628107974202798</v>
      </c>
      <c r="CE1782" s="2">
        <v>18.853399142278199</v>
      </c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</row>
    <row r="1783" spans="1:97">
      <c r="A1783" s="2" t="s">
        <v>15704</v>
      </c>
      <c r="B1783" s="2">
        <v>294.97456</v>
      </c>
      <c r="C1783" s="2">
        <v>1.276</v>
      </c>
      <c r="D1783" s="2" t="s">
        <v>146</v>
      </c>
      <c r="E1783" s="2" t="s">
        <v>15705</v>
      </c>
      <c r="F1783" s="2" t="s">
        <v>15706</v>
      </c>
      <c r="G1783" s="2">
        <v>144392</v>
      </c>
      <c r="H1783" s="3" t="str">
        <f>HYPERLINK("https://cloud.oebiotech.com/#/lm/network/144392", "https://cloud.oebiotech.com/#/lm/network/144392")</f>
        <v>https://cloud.oebiotech.com/#/lm/network/144392</v>
      </c>
      <c r="I1783" s="2" t="s">
        <v>15707</v>
      </c>
      <c r="J1783" s="2"/>
      <c r="K1783" s="2"/>
      <c r="L1783" s="2">
        <v>69378631</v>
      </c>
      <c r="M1783" s="2"/>
      <c r="N1783" s="2"/>
      <c r="O1783" s="2"/>
      <c r="P1783" s="2"/>
      <c r="Q1783" s="2"/>
      <c r="R1783" s="2"/>
      <c r="S1783" s="2"/>
      <c r="T1783" s="2" t="s">
        <v>15708</v>
      </c>
      <c r="U1783" s="2" t="s">
        <v>15709</v>
      </c>
      <c r="V1783" s="2" t="s">
        <v>385</v>
      </c>
      <c r="W1783" s="2" t="s">
        <v>386</v>
      </c>
      <c r="X1783" s="2" t="s">
        <v>1059</v>
      </c>
      <c r="Y1783" s="2" t="s">
        <v>388</v>
      </c>
      <c r="Z1783" s="2" t="s">
        <v>389</v>
      </c>
      <c r="AA1783" s="2" t="s">
        <v>1060</v>
      </c>
      <c r="AB1783" s="2" t="s">
        <v>8443</v>
      </c>
      <c r="AC1783" s="2">
        <v>40.07</v>
      </c>
      <c r="AD1783" s="2">
        <v>91.14</v>
      </c>
      <c r="AE1783" s="2">
        <v>0</v>
      </c>
      <c r="AF1783" s="2" t="s">
        <v>5614</v>
      </c>
      <c r="AG1783" s="2" t="s">
        <v>157</v>
      </c>
      <c r="AH1783" s="2" t="s">
        <v>15710</v>
      </c>
      <c r="AI1783" s="2">
        <v>6.44</v>
      </c>
      <c r="AJ1783" s="2">
        <v>18.6790713971501</v>
      </c>
      <c r="AK1783" s="2">
        <v>18.365020973462499</v>
      </c>
      <c r="AL1783" s="2">
        <v>18.3082700066096</v>
      </c>
      <c r="AM1783" s="2">
        <v>18.7960194501091</v>
      </c>
      <c r="AN1783" s="2">
        <v>18.613448487354599</v>
      </c>
      <c r="AO1783" s="2">
        <v>18.6138481921631</v>
      </c>
      <c r="AP1783" s="2">
        <v>18.467640015538699</v>
      </c>
      <c r="AQ1783" s="2">
        <v>18.6955659757439</v>
      </c>
      <c r="AR1783" s="2">
        <v>18.4652648287292</v>
      </c>
      <c r="AS1783" s="2">
        <v>18.4491724691899</v>
      </c>
      <c r="AT1783" s="2">
        <v>18.2998140680922</v>
      </c>
      <c r="AU1783" s="2">
        <v>17.7813073277838</v>
      </c>
      <c r="AV1783" s="2">
        <v>18.410771394089501</v>
      </c>
      <c r="AW1783" s="2">
        <v>17.858785412411201</v>
      </c>
      <c r="AX1783" s="2">
        <v>18.376232583288701</v>
      </c>
      <c r="AY1783" s="2">
        <v>18.568910754925401</v>
      </c>
      <c r="AZ1783" s="2">
        <v>18.475616876900901</v>
      </c>
      <c r="BA1783" s="2">
        <v>17.0385801750244</v>
      </c>
      <c r="BB1783" s="2">
        <v>18.5170273102562</v>
      </c>
      <c r="BC1783" s="2">
        <v>18.279832040738398</v>
      </c>
      <c r="BD1783" s="2">
        <v>18.563545088938199</v>
      </c>
      <c r="BE1783" s="2">
        <v>18.458285566480399</v>
      </c>
      <c r="BF1783" s="2">
        <v>18.507786899068702</v>
      </c>
      <c r="BG1783" s="2">
        <v>18.289981441309099</v>
      </c>
      <c r="BH1783" s="2">
        <v>18.371330922230101</v>
      </c>
      <c r="BI1783" s="2">
        <v>17.957331923286901</v>
      </c>
      <c r="BJ1783" s="2">
        <v>17.8458299189749</v>
      </c>
      <c r="BK1783" s="2">
        <v>18.669958485079899</v>
      </c>
      <c r="BL1783" s="2">
        <v>18.207164307046799</v>
      </c>
      <c r="BM1783" s="2">
        <v>18.641955942208799</v>
      </c>
      <c r="BN1783" s="2">
        <v>18.612399261526001</v>
      </c>
      <c r="BO1783" s="2">
        <v>17.654048723393899</v>
      </c>
      <c r="BP1783" s="2">
        <v>18.354061274803499</v>
      </c>
      <c r="BQ1783" s="2">
        <v>18.4407773339702</v>
      </c>
      <c r="BR1783" s="2">
        <v>17.697823736497</v>
      </c>
      <c r="BS1783" s="2">
        <v>18.369482543928601</v>
      </c>
      <c r="BT1783" s="2">
        <v>18.7085122016267</v>
      </c>
      <c r="BU1783" s="2">
        <v>18.333690451430599</v>
      </c>
      <c r="BV1783" s="2">
        <v>18.7673619626269</v>
      </c>
      <c r="BW1783" s="2">
        <v>18.690604311344998</v>
      </c>
      <c r="BX1783" s="2">
        <v>18.675063993969601</v>
      </c>
      <c r="BY1783" s="2">
        <v>18.369065046423898</v>
      </c>
      <c r="BZ1783" s="2">
        <v>18.5188145294088</v>
      </c>
      <c r="CA1783" s="2">
        <v>18.412223528331701</v>
      </c>
      <c r="CB1783" s="2">
        <v>18.572720873905801</v>
      </c>
      <c r="CC1783" s="2">
        <v>18.4456524817091</v>
      </c>
      <c r="CD1783" s="2">
        <v>17.833484464547599</v>
      </c>
      <c r="CE1783" s="2">
        <v>16.959948744382299</v>
      </c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</row>
    <row r="1784" spans="1:97">
      <c r="A1784" s="2" t="s">
        <v>15711</v>
      </c>
      <c r="B1784" s="2">
        <v>554.17493999999999</v>
      </c>
      <c r="C1784" s="2">
        <v>13.474</v>
      </c>
      <c r="D1784" s="2" t="s">
        <v>84</v>
      </c>
      <c r="E1784" s="2" t="s">
        <v>15712</v>
      </c>
      <c r="F1784" s="2" t="s">
        <v>15713</v>
      </c>
      <c r="G1784" s="2">
        <v>207616</v>
      </c>
      <c r="H1784" s="3" t="str">
        <f>HYPERLINK("https://cloud.oebiotech.com/#/lm/network/207616", "https://cloud.oebiotech.com/#/lm/network/207616")</f>
        <v>https://cloud.oebiotech.com/#/lm/network/207616</v>
      </c>
      <c r="I1784" s="2" t="s">
        <v>15714</v>
      </c>
      <c r="J1784" s="2"/>
      <c r="K1784" s="2"/>
      <c r="L1784" s="2">
        <v>6426757</v>
      </c>
      <c r="M1784" s="2"/>
      <c r="N1784" s="2"/>
      <c r="O1784" s="2"/>
      <c r="P1784" s="2"/>
      <c r="Q1784" s="2"/>
      <c r="R1784" s="2"/>
      <c r="S1784" s="2"/>
      <c r="T1784" s="2" t="s">
        <v>15715</v>
      </c>
      <c r="U1784" s="2" t="s">
        <v>15716</v>
      </c>
      <c r="V1784" s="2" t="s">
        <v>553</v>
      </c>
      <c r="W1784" s="2" t="s">
        <v>6104</v>
      </c>
      <c r="X1784" s="2" t="s">
        <v>6105</v>
      </c>
      <c r="Y1784" s="2" t="s">
        <v>556</v>
      </c>
      <c r="Z1784" s="2" t="s">
        <v>6106</v>
      </c>
      <c r="AA1784" s="2" t="s">
        <v>6107</v>
      </c>
      <c r="AB1784" s="2" t="s">
        <v>5118</v>
      </c>
      <c r="AC1784" s="2">
        <v>40.049999999999997</v>
      </c>
      <c r="AD1784" s="2">
        <v>90.82</v>
      </c>
      <c r="AE1784" s="2">
        <v>60.16</v>
      </c>
      <c r="AF1784" s="2" t="s">
        <v>15717</v>
      </c>
      <c r="AG1784" s="2" t="s">
        <v>103</v>
      </c>
      <c r="AH1784" s="2" t="s">
        <v>15718</v>
      </c>
      <c r="AI1784" s="2">
        <v>-8.1199999999999992</v>
      </c>
      <c r="AJ1784" s="2">
        <v>20.940356393538799</v>
      </c>
      <c r="AK1784" s="2">
        <v>21.374951458419901</v>
      </c>
      <c r="AL1784" s="2">
        <v>20.473772546115299</v>
      </c>
      <c r="AM1784" s="2">
        <v>20.624504879287599</v>
      </c>
      <c r="AN1784" s="2">
        <v>20.883396410412601</v>
      </c>
      <c r="AO1784" s="2">
        <v>21.0673704869671</v>
      </c>
      <c r="AP1784" s="2">
        <v>20.802948730822699</v>
      </c>
      <c r="AQ1784" s="2">
        <v>20.881103054125202</v>
      </c>
      <c r="AR1784" s="2">
        <v>19.3672232969869</v>
      </c>
      <c r="AS1784" s="2">
        <v>18.4991239853527</v>
      </c>
      <c r="AT1784" s="2">
        <v>18.941205971450302</v>
      </c>
      <c r="AU1784" s="2">
        <v>18.524833064959701</v>
      </c>
      <c r="AV1784" s="2">
        <v>18.789366639023299</v>
      </c>
      <c r="AW1784" s="2">
        <v>18.5106562815789</v>
      </c>
      <c r="AX1784" s="2">
        <v>19.356691513985801</v>
      </c>
      <c r="AY1784" s="2">
        <v>18.619287478232302</v>
      </c>
      <c r="AZ1784" s="2">
        <v>17.1555947129667</v>
      </c>
      <c r="BA1784" s="2">
        <v>20.384010027516201</v>
      </c>
      <c r="BB1784" s="2">
        <v>17.8735184899483</v>
      </c>
      <c r="BC1784" s="2">
        <v>19.799163008083202</v>
      </c>
      <c r="BD1784" s="2">
        <v>17.828089861695101</v>
      </c>
      <c r="BE1784" s="2">
        <v>18.625065928686901</v>
      </c>
      <c r="BF1784" s="2">
        <v>16.183044668903101</v>
      </c>
      <c r="BG1784" s="2">
        <v>18.944878829851401</v>
      </c>
      <c r="BH1784" s="2">
        <v>18.4801703176642</v>
      </c>
      <c r="BI1784" s="2">
        <v>18.9863319057031</v>
      </c>
      <c r="BJ1784" s="2">
        <v>18.7300486881017</v>
      </c>
      <c r="BK1784" s="2">
        <v>18.415491778395499</v>
      </c>
      <c r="BL1784" s="2">
        <v>19.0663312560085</v>
      </c>
      <c r="BM1784" s="2">
        <v>15.769093736314201</v>
      </c>
      <c r="BN1784" s="2">
        <v>18.9248401881589</v>
      </c>
      <c r="BO1784" s="2">
        <v>19.262856266671999</v>
      </c>
      <c r="BP1784" s="2">
        <v>19.046103003824701</v>
      </c>
      <c r="BQ1784" s="2">
        <v>18.494680415569999</v>
      </c>
      <c r="BR1784" s="2">
        <v>19.224701539651999</v>
      </c>
      <c r="BS1784" s="2">
        <v>17.625387082768199</v>
      </c>
      <c r="BT1784" s="2">
        <v>19.478721300040799</v>
      </c>
      <c r="BU1784" s="2">
        <v>19.2615042331878</v>
      </c>
      <c r="BV1784" s="2">
        <v>18.6832281100899</v>
      </c>
      <c r="BW1784" s="2">
        <v>16.194702421508602</v>
      </c>
      <c r="BX1784" s="2">
        <v>19.3365814149331</v>
      </c>
      <c r="BY1784" s="2">
        <v>18.606587425014499</v>
      </c>
      <c r="BZ1784" s="2">
        <v>19.343541503725501</v>
      </c>
      <c r="CA1784" s="2">
        <v>16.064743817136002</v>
      </c>
      <c r="CB1784" s="2">
        <v>18.4316523383226</v>
      </c>
      <c r="CC1784" s="2">
        <v>18.5669198131957</v>
      </c>
      <c r="CD1784" s="2">
        <v>15.6881702482665</v>
      </c>
      <c r="CE1784" s="2">
        <v>19.232230744866602</v>
      </c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</row>
    <row r="1785" spans="1:97">
      <c r="A1785" s="2" t="s">
        <v>15719</v>
      </c>
      <c r="B1785" s="2">
        <v>429.14994000000002</v>
      </c>
      <c r="C1785" s="2">
        <v>9.1579999999999995</v>
      </c>
      <c r="D1785" s="2" t="s">
        <v>146</v>
      </c>
      <c r="E1785" s="2" t="s">
        <v>15720</v>
      </c>
      <c r="F1785" s="2"/>
      <c r="G1785" s="2">
        <v>595129</v>
      </c>
      <c r="H1785" s="3" t="str">
        <f>HYPERLINK("https://cloud.oebiotech.com/#/lm/network/595129", "https://cloud.oebiotech.com/#/lm/network/595129")</f>
        <v>https://cloud.oebiotech.com/#/lm/network/595129</v>
      </c>
      <c r="I1785" s="2"/>
      <c r="J1785" s="2"/>
      <c r="K1785" s="2"/>
      <c r="L1785" s="2">
        <v>166707777</v>
      </c>
      <c r="M1785" s="2"/>
      <c r="N1785" s="2"/>
      <c r="O1785" s="2"/>
      <c r="P1785" s="2"/>
      <c r="Q1785" s="2"/>
      <c r="R1785" s="2"/>
      <c r="S1785" s="2"/>
      <c r="T1785" s="2" t="s">
        <v>15721</v>
      </c>
      <c r="U1785" s="2" t="s">
        <v>15722</v>
      </c>
      <c r="V1785" s="2" t="s">
        <v>553</v>
      </c>
      <c r="W1785" s="2" t="s">
        <v>2193</v>
      </c>
      <c r="X1785" s="2" t="s">
        <v>4866</v>
      </c>
      <c r="Y1785" s="2" t="s">
        <v>556</v>
      </c>
      <c r="Z1785" s="2" t="s">
        <v>2194</v>
      </c>
      <c r="AA1785" s="2" t="s">
        <v>4867</v>
      </c>
      <c r="AB1785" s="2" t="s">
        <v>5118</v>
      </c>
      <c r="AC1785" s="2">
        <v>40.01</v>
      </c>
      <c r="AD1785" s="2">
        <v>62</v>
      </c>
      <c r="AE1785" s="2">
        <v>54.41</v>
      </c>
      <c r="AF1785" s="2" t="s">
        <v>15723</v>
      </c>
      <c r="AG1785" s="2" t="s">
        <v>4062</v>
      </c>
      <c r="AH1785" s="2" t="s">
        <v>15724</v>
      </c>
      <c r="AI1785" s="2">
        <v>2.1</v>
      </c>
      <c r="AJ1785" s="2">
        <v>18.4947121701769</v>
      </c>
      <c r="AK1785" s="2">
        <v>18.5194996577744</v>
      </c>
      <c r="AL1785" s="2">
        <v>18.409419444995201</v>
      </c>
      <c r="AM1785" s="2">
        <v>18.294841531605702</v>
      </c>
      <c r="AN1785" s="2">
        <v>18.644636217649101</v>
      </c>
      <c r="AO1785" s="2">
        <v>18.486756239842901</v>
      </c>
      <c r="AP1785" s="2">
        <v>18.4220689147695</v>
      </c>
      <c r="AQ1785" s="2">
        <v>18.4093719575453</v>
      </c>
      <c r="AR1785" s="2">
        <v>17.096386969918299</v>
      </c>
      <c r="AS1785" s="2">
        <v>17.919357600240701</v>
      </c>
      <c r="AT1785" s="2">
        <v>17.876971614020501</v>
      </c>
      <c r="AU1785" s="2">
        <v>17.092636684232001</v>
      </c>
      <c r="AV1785" s="2">
        <v>16.471768554757599</v>
      </c>
      <c r="AW1785" s="2">
        <v>18.035738001026701</v>
      </c>
      <c r="AX1785" s="2">
        <v>15.712869256003399</v>
      </c>
      <c r="AY1785" s="2">
        <v>17.8148795130477</v>
      </c>
      <c r="AZ1785" s="2">
        <v>17.535604356698599</v>
      </c>
      <c r="BA1785" s="2">
        <v>16.280009501293101</v>
      </c>
      <c r="BB1785" s="2">
        <v>17.781679110111899</v>
      </c>
      <c r="BC1785" s="2">
        <v>17.703656913566299</v>
      </c>
      <c r="BD1785" s="2">
        <v>17.355169629630801</v>
      </c>
      <c r="BE1785" s="2">
        <v>18.154479146633999</v>
      </c>
      <c r="BF1785" s="2">
        <v>17.829120846685001</v>
      </c>
      <c r="BG1785" s="2">
        <v>17.871807138855999</v>
      </c>
      <c r="BH1785" s="2">
        <v>17.602242949482701</v>
      </c>
      <c r="BI1785" s="2">
        <v>18.425445199814</v>
      </c>
      <c r="BJ1785" s="2">
        <v>16.310002950837202</v>
      </c>
      <c r="BK1785" s="2">
        <v>16.3247513715169</v>
      </c>
      <c r="BL1785" s="2">
        <v>15.7684908855808</v>
      </c>
      <c r="BM1785" s="2">
        <v>16.135048300230299</v>
      </c>
      <c r="BN1785" s="2">
        <v>15.0818582937024</v>
      </c>
      <c r="BO1785" s="2">
        <v>17.993393641480999</v>
      </c>
      <c r="BP1785" s="2">
        <v>15.8556009375381</v>
      </c>
      <c r="BQ1785" s="2">
        <v>17.620396828930801</v>
      </c>
      <c r="BR1785" s="2">
        <v>17.366649550024</v>
      </c>
      <c r="BS1785" s="2">
        <v>15.712366321864501</v>
      </c>
      <c r="BT1785" s="2">
        <v>15.9792697703319</v>
      </c>
      <c r="BU1785" s="2">
        <v>17.907218945124299</v>
      </c>
      <c r="BV1785" s="2">
        <v>16.6950807677329</v>
      </c>
      <c r="BW1785" s="2">
        <v>15.948187202895101</v>
      </c>
      <c r="BX1785" s="2">
        <v>16.315888980429701</v>
      </c>
      <c r="BY1785" s="2">
        <v>15.674176541006499</v>
      </c>
      <c r="BZ1785" s="2">
        <v>18.040567563774001</v>
      </c>
      <c r="CA1785" s="2">
        <v>16.123352534197</v>
      </c>
      <c r="CB1785" s="2">
        <v>17.654676301710801</v>
      </c>
      <c r="CC1785" s="2">
        <v>15.863469553306601</v>
      </c>
      <c r="CD1785" s="2">
        <v>17.572530891705199</v>
      </c>
      <c r="CE1785" s="2">
        <v>16.537980929332001</v>
      </c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</row>
    <row r="1786" spans="1:97">
      <c r="A1786" s="2" t="s">
        <v>15725</v>
      </c>
      <c r="B1786" s="2">
        <v>479.25988999999998</v>
      </c>
      <c r="C1786" s="2">
        <v>10.55</v>
      </c>
      <c r="D1786" s="2" t="s">
        <v>84</v>
      </c>
      <c r="E1786" s="2" t="s">
        <v>15726</v>
      </c>
      <c r="F1786" s="2" t="s">
        <v>15727</v>
      </c>
      <c r="G1786" s="2">
        <v>44134</v>
      </c>
      <c r="H1786" s="3" t="str">
        <f>HYPERLINK("https://cloud.oebiotech.com/#/lm/network/44134", "https://cloud.oebiotech.com/#/lm/network/44134")</f>
        <v>https://cloud.oebiotech.com/#/lm/network/44134</v>
      </c>
      <c r="I1786" s="2"/>
      <c r="J1786" s="2"/>
      <c r="K1786" s="2" t="s">
        <v>15728</v>
      </c>
      <c r="L1786" s="2">
        <v>11743978</v>
      </c>
      <c r="M1786" s="2"/>
      <c r="N1786" s="2"/>
      <c r="O1786" s="2"/>
      <c r="P1786" s="2"/>
      <c r="Q1786" s="2"/>
      <c r="R1786" s="2"/>
      <c r="S1786" s="2"/>
      <c r="T1786" s="2" t="s">
        <v>15729</v>
      </c>
      <c r="U1786" s="2" t="s">
        <v>15730</v>
      </c>
      <c r="V1786" s="2" t="s">
        <v>95</v>
      </c>
      <c r="W1786" s="2" t="s">
        <v>152</v>
      </c>
      <c r="X1786" s="2" t="s">
        <v>7803</v>
      </c>
      <c r="Y1786" s="2" t="s">
        <v>98</v>
      </c>
      <c r="Z1786" s="2" t="s">
        <v>154</v>
      </c>
      <c r="AA1786" s="2" t="s">
        <v>7804</v>
      </c>
      <c r="AB1786" s="2" t="s">
        <v>3086</v>
      </c>
      <c r="AC1786" s="2">
        <v>40.01</v>
      </c>
      <c r="AD1786" s="2">
        <v>74.95</v>
      </c>
      <c r="AE1786" s="2">
        <v>0</v>
      </c>
      <c r="AF1786" s="2" t="s">
        <v>5614</v>
      </c>
      <c r="AG1786" s="2" t="s">
        <v>3544</v>
      </c>
      <c r="AH1786" s="2" t="s">
        <v>15731</v>
      </c>
      <c r="AI1786" s="2">
        <v>-8.5500000000000007</v>
      </c>
      <c r="AJ1786" s="2">
        <v>17.9572858931841</v>
      </c>
      <c r="AK1786" s="2">
        <v>18.5587391153311</v>
      </c>
      <c r="AL1786" s="2">
        <v>18.1401186405486</v>
      </c>
      <c r="AM1786" s="2">
        <v>18.530430989939799</v>
      </c>
      <c r="AN1786" s="2">
        <v>18.533765298147799</v>
      </c>
      <c r="AO1786" s="2">
        <v>18.4281021340778</v>
      </c>
      <c r="AP1786" s="2">
        <v>18.5240425420881</v>
      </c>
      <c r="AQ1786" s="2">
        <v>18.076335244914699</v>
      </c>
      <c r="AR1786" s="2">
        <v>15.715310239380599</v>
      </c>
      <c r="AS1786" s="2">
        <v>15.923710952122001</v>
      </c>
      <c r="AT1786" s="2">
        <v>17.5231102008681</v>
      </c>
      <c r="AU1786" s="2">
        <v>16.9502049082163</v>
      </c>
      <c r="AV1786" s="2">
        <v>17.177346537081402</v>
      </c>
      <c r="AW1786" s="2">
        <v>18.122591232683099</v>
      </c>
      <c r="AX1786" s="2">
        <v>16.0317468569243</v>
      </c>
      <c r="AY1786" s="2">
        <v>17.842976377288199</v>
      </c>
      <c r="AZ1786" s="2">
        <v>17.641020989592199</v>
      </c>
      <c r="BA1786" s="2">
        <v>18.015987366879202</v>
      </c>
      <c r="BB1786" s="2">
        <v>17.075226965012799</v>
      </c>
      <c r="BC1786" s="2">
        <v>17.853925493676101</v>
      </c>
      <c r="BD1786" s="2">
        <v>17.012875033499501</v>
      </c>
      <c r="BE1786" s="2">
        <v>18.377860715255299</v>
      </c>
      <c r="BF1786" s="2">
        <v>19.117546289821899</v>
      </c>
      <c r="BG1786" s="2">
        <v>17.706580261847499</v>
      </c>
      <c r="BH1786" s="2">
        <v>9.6233145402724691</v>
      </c>
      <c r="BI1786" s="2">
        <v>17.854492348416802</v>
      </c>
      <c r="BJ1786" s="2">
        <v>18.005497031525699</v>
      </c>
      <c r="BK1786" s="2">
        <v>18.074062207702699</v>
      </c>
      <c r="BL1786" s="2">
        <v>17.223642765197599</v>
      </c>
      <c r="BM1786" s="2">
        <v>16.6559278456585</v>
      </c>
      <c r="BN1786" s="2">
        <v>18.220344740883</v>
      </c>
      <c r="BO1786" s="2">
        <v>18.062148142961</v>
      </c>
      <c r="BP1786" s="2">
        <v>18.481825678009599</v>
      </c>
      <c r="BQ1786" s="2">
        <v>18.315375761851001</v>
      </c>
      <c r="BR1786" s="2">
        <v>18.522988948028999</v>
      </c>
      <c r="BS1786" s="2">
        <v>18.391611635159901</v>
      </c>
      <c r="BT1786" s="2">
        <v>18.107490293608901</v>
      </c>
      <c r="BU1786" s="2">
        <v>18.930017762268299</v>
      </c>
      <c r="BV1786" s="2">
        <v>17.990715097957601</v>
      </c>
      <c r="BW1786" s="2">
        <v>15.827918486264799</v>
      </c>
      <c r="BX1786" s="2">
        <v>18.084153044044101</v>
      </c>
      <c r="BY1786" s="2">
        <v>18.1846452071808</v>
      </c>
      <c r="BZ1786" s="2">
        <v>18.575569307592001</v>
      </c>
      <c r="CA1786" s="2">
        <v>18.788874456070101</v>
      </c>
      <c r="CB1786" s="2">
        <v>16.2837572246147</v>
      </c>
      <c r="CC1786" s="2">
        <v>17.876457412583299</v>
      </c>
      <c r="CD1786" s="2">
        <v>18.733110413939698</v>
      </c>
      <c r="CE1786" s="2">
        <v>18.062603836428099</v>
      </c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</row>
    <row r="1787" spans="1:97">
      <c r="A1787" s="2" t="s">
        <v>15732</v>
      </c>
      <c r="B1787" s="2">
        <v>443.33348000000001</v>
      </c>
      <c r="C1787" s="2">
        <v>12.544</v>
      </c>
      <c r="D1787" s="2" t="s">
        <v>84</v>
      </c>
      <c r="E1787" s="2" t="s">
        <v>15733</v>
      </c>
      <c r="F1787" s="2" t="s">
        <v>15734</v>
      </c>
      <c r="G1787" s="2">
        <v>81950</v>
      </c>
      <c r="H1787" s="3" t="str">
        <f>HYPERLINK("https://cloud.oebiotech.com/#/lm/network/81950", "https://cloud.oebiotech.com/#/lm/network/81950")</f>
        <v>https://cloud.oebiotech.com/#/lm/network/81950</v>
      </c>
      <c r="I1787" s="2" t="s">
        <v>15735</v>
      </c>
      <c r="J1787" s="2"/>
      <c r="K1787" s="2"/>
      <c r="L1787" s="2">
        <v>256388</v>
      </c>
      <c r="M1787" s="2"/>
      <c r="N1787" s="2"/>
      <c r="O1787" s="2"/>
      <c r="P1787" s="2"/>
      <c r="Q1787" s="2"/>
      <c r="R1787" s="2"/>
      <c r="S1787" s="2"/>
      <c r="T1787" s="2" t="s">
        <v>15736</v>
      </c>
      <c r="U1787" s="2" t="s">
        <v>15737</v>
      </c>
      <c r="V1787" s="2" t="s">
        <v>95</v>
      </c>
      <c r="W1787" s="2" t="s">
        <v>7709</v>
      </c>
      <c r="X1787" s="2" t="s">
        <v>10776</v>
      </c>
      <c r="Y1787" s="2" t="s">
        <v>98</v>
      </c>
      <c r="Z1787" s="2" t="s">
        <v>7711</v>
      </c>
      <c r="AA1787" s="2" t="s">
        <v>10777</v>
      </c>
      <c r="AB1787" s="2" t="s">
        <v>8443</v>
      </c>
      <c r="AC1787" s="2">
        <v>39.94</v>
      </c>
      <c r="AD1787" s="2">
        <v>94.24</v>
      </c>
      <c r="AE1787" s="2">
        <v>0</v>
      </c>
      <c r="AF1787" s="2" t="s">
        <v>15738</v>
      </c>
      <c r="AG1787" s="2" t="s">
        <v>103</v>
      </c>
      <c r="AH1787" s="2" t="s">
        <v>15739</v>
      </c>
      <c r="AI1787" s="2">
        <v>7.22</v>
      </c>
      <c r="AJ1787" s="2">
        <v>22.834217990368799</v>
      </c>
      <c r="AK1787" s="2">
        <v>22.615544549307799</v>
      </c>
      <c r="AL1787" s="2">
        <v>22.2831935008535</v>
      </c>
      <c r="AM1787" s="2">
        <v>22.802785887208501</v>
      </c>
      <c r="AN1787" s="2">
        <v>22.789079577257301</v>
      </c>
      <c r="AO1787" s="2">
        <v>22.8385717696186</v>
      </c>
      <c r="AP1787" s="2">
        <v>22.364392522550499</v>
      </c>
      <c r="AQ1787" s="2">
        <v>22.3659381334115</v>
      </c>
      <c r="AR1787" s="2">
        <v>22.9112673410349</v>
      </c>
      <c r="AS1787" s="2">
        <v>21.512032429613299</v>
      </c>
      <c r="AT1787" s="2">
        <v>22.3382156414749</v>
      </c>
      <c r="AU1787" s="2">
        <v>21.481494834719999</v>
      </c>
      <c r="AV1787" s="2">
        <v>21.6427946647322</v>
      </c>
      <c r="AW1787" s="2">
        <v>22.829842125143699</v>
      </c>
      <c r="AX1787" s="2">
        <v>22.372974374473301</v>
      </c>
      <c r="AY1787" s="2">
        <v>22.810248014522099</v>
      </c>
      <c r="AZ1787" s="2">
        <v>22.962449650374101</v>
      </c>
      <c r="BA1787" s="2">
        <v>22.726761403896301</v>
      </c>
      <c r="BB1787" s="2">
        <v>22.6225059425282</v>
      </c>
      <c r="BC1787" s="2">
        <v>22.450426309705701</v>
      </c>
      <c r="BD1787" s="2">
        <v>22.904746218141099</v>
      </c>
      <c r="BE1787" s="2">
        <v>22.587615179102801</v>
      </c>
      <c r="BF1787" s="2">
        <v>22.780110040561102</v>
      </c>
      <c r="BG1787" s="2">
        <v>22.361917081279099</v>
      </c>
      <c r="BH1787" s="2">
        <v>22.550246597277699</v>
      </c>
      <c r="BI1787" s="2">
        <v>21.611596600837402</v>
      </c>
      <c r="BJ1787" s="2">
        <v>21.539646677046999</v>
      </c>
      <c r="BK1787" s="2">
        <v>22.7162771219569</v>
      </c>
      <c r="BL1787" s="2">
        <v>22.586877650020401</v>
      </c>
      <c r="BM1787" s="2">
        <v>22.587246673467501</v>
      </c>
      <c r="BN1787" s="2">
        <v>22.759339224239401</v>
      </c>
      <c r="BO1787" s="2">
        <v>22.490347833394999</v>
      </c>
      <c r="BP1787" s="2">
        <v>22.366081985223001</v>
      </c>
      <c r="BQ1787" s="2">
        <v>22.2301881339313</v>
      </c>
      <c r="BR1787" s="2">
        <v>22.163783983374199</v>
      </c>
      <c r="BS1787" s="2">
        <v>21.506484535303901</v>
      </c>
      <c r="BT1787" s="2">
        <v>22.557777809728801</v>
      </c>
      <c r="BU1787" s="2">
        <v>22.596725566447802</v>
      </c>
      <c r="BV1787" s="2">
        <v>22.643933486888599</v>
      </c>
      <c r="BW1787" s="2">
        <v>22.5485483685212</v>
      </c>
      <c r="BX1787" s="2">
        <v>22.547301570245398</v>
      </c>
      <c r="BY1787" s="2">
        <v>22.296479034487</v>
      </c>
      <c r="BZ1787" s="2">
        <v>22.138485957448701</v>
      </c>
      <c r="CA1787" s="2">
        <v>22.384142640175</v>
      </c>
      <c r="CB1787" s="2">
        <v>22.2095825807267</v>
      </c>
      <c r="CC1787" s="2">
        <v>22.6270342727599</v>
      </c>
      <c r="CD1787" s="2">
        <v>22.4453917483339</v>
      </c>
      <c r="CE1787" s="2">
        <v>22.568159056604301</v>
      </c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</row>
    <row r="1788" spans="1:97">
      <c r="A1788" s="2" t="s">
        <v>15740</v>
      </c>
      <c r="B1788" s="2">
        <v>750.54330000000004</v>
      </c>
      <c r="C1788" s="2">
        <v>13.494999999999999</v>
      </c>
      <c r="D1788" s="2" t="s">
        <v>146</v>
      </c>
      <c r="E1788" s="2" t="s">
        <v>15741</v>
      </c>
      <c r="F1788" s="2" t="s">
        <v>15742</v>
      </c>
      <c r="G1788" s="2">
        <v>21063</v>
      </c>
      <c r="H1788" s="3" t="str">
        <f>HYPERLINK("https://cloud.oebiotech.com/#/lm/network/21063", "https://cloud.oebiotech.com/#/lm/network/21063")</f>
        <v>https://cloud.oebiotech.com/#/lm/network/21063</v>
      </c>
      <c r="I1788" s="2" t="s">
        <v>15743</v>
      </c>
      <c r="J1788" s="2">
        <v>77583</v>
      </c>
      <c r="K1788" s="2" t="s">
        <v>15744</v>
      </c>
      <c r="L1788" s="2">
        <v>9547058</v>
      </c>
      <c r="M1788" s="2" t="s">
        <v>13837</v>
      </c>
      <c r="N1788" s="2" t="s">
        <v>13838</v>
      </c>
      <c r="O1788" s="2" t="s">
        <v>13839</v>
      </c>
      <c r="P1788" s="2">
        <v>78342</v>
      </c>
      <c r="Q1788" s="2"/>
      <c r="R1788" s="2"/>
      <c r="S1788" s="2" t="s">
        <v>15745</v>
      </c>
      <c r="T1788" s="2" t="s">
        <v>15746</v>
      </c>
      <c r="U1788" s="2" t="s">
        <v>15747</v>
      </c>
      <c r="V1788" s="2" t="s">
        <v>95</v>
      </c>
      <c r="W1788" s="2" t="s">
        <v>202</v>
      </c>
      <c r="X1788" s="2" t="s">
        <v>327</v>
      </c>
      <c r="Y1788" s="2" t="s">
        <v>98</v>
      </c>
      <c r="Z1788" s="2" t="s">
        <v>204</v>
      </c>
      <c r="AA1788" s="2" t="s">
        <v>328</v>
      </c>
      <c r="AB1788" s="2" t="s">
        <v>8443</v>
      </c>
      <c r="AC1788" s="2">
        <v>39.92</v>
      </c>
      <c r="AD1788" s="2">
        <v>68.58</v>
      </c>
      <c r="AE1788" s="2">
        <v>40.86</v>
      </c>
      <c r="AF1788" s="2" t="s">
        <v>15748</v>
      </c>
      <c r="AG1788" s="2" t="s">
        <v>194</v>
      </c>
      <c r="AH1788" s="2" t="s">
        <v>15515</v>
      </c>
      <c r="AI1788" s="2">
        <v>1.33</v>
      </c>
      <c r="AJ1788" s="2">
        <v>19.496813333623798</v>
      </c>
      <c r="AK1788" s="2">
        <v>19.530870212365699</v>
      </c>
      <c r="AL1788" s="2">
        <v>19.765858118435901</v>
      </c>
      <c r="AM1788" s="2">
        <v>19.587120053114599</v>
      </c>
      <c r="AN1788" s="2">
        <v>19.825427602975601</v>
      </c>
      <c r="AO1788" s="2">
        <v>19.271765951297901</v>
      </c>
      <c r="AP1788" s="2">
        <v>19.853444268683599</v>
      </c>
      <c r="AQ1788" s="2">
        <v>20.165000771355999</v>
      </c>
      <c r="AR1788" s="2">
        <v>17.940885124302699</v>
      </c>
      <c r="AS1788" s="2">
        <v>19.036034032570399</v>
      </c>
      <c r="AT1788" s="2">
        <v>19.456914750463898</v>
      </c>
      <c r="AU1788" s="2">
        <v>18.7214962584654</v>
      </c>
      <c r="AV1788" s="2">
        <v>16.2245632328511</v>
      </c>
      <c r="AW1788" s="2">
        <v>19.3302598264025</v>
      </c>
      <c r="AX1788" s="2">
        <v>19.5779939482081</v>
      </c>
      <c r="AY1788" s="2">
        <v>19.380071429688101</v>
      </c>
      <c r="AZ1788" s="2">
        <v>19.514048808386899</v>
      </c>
      <c r="BA1788" s="2">
        <v>19.6230256038288</v>
      </c>
      <c r="BB1788" s="2">
        <v>19.020854395151201</v>
      </c>
      <c r="BC1788" s="2">
        <v>19.342884970794</v>
      </c>
      <c r="BD1788" s="2">
        <v>19.034254835486099</v>
      </c>
      <c r="BE1788" s="2">
        <v>18.6153406121343</v>
      </c>
      <c r="BF1788" s="2">
        <v>19.555207989836799</v>
      </c>
      <c r="BG1788" s="2">
        <v>19.566821767417999</v>
      </c>
      <c r="BH1788" s="2">
        <v>19.429118745079698</v>
      </c>
      <c r="BI1788" s="2">
        <v>19.649516367342201</v>
      </c>
      <c r="BJ1788" s="2">
        <v>19.072465357692799</v>
      </c>
      <c r="BK1788" s="2">
        <v>19.2018841744088</v>
      </c>
      <c r="BL1788" s="2">
        <v>19.074782635965001</v>
      </c>
      <c r="BM1788" s="2">
        <v>18.727019618738701</v>
      </c>
      <c r="BN1788" s="2">
        <v>19.562356732938799</v>
      </c>
      <c r="BO1788" s="2">
        <v>19.679553101793701</v>
      </c>
      <c r="BP1788" s="2">
        <v>19.179213347581801</v>
      </c>
      <c r="BQ1788" s="2">
        <v>19.796435594503802</v>
      </c>
      <c r="BR1788" s="2">
        <v>19.6738885936897</v>
      </c>
      <c r="BS1788" s="2">
        <v>18.937085520218201</v>
      </c>
      <c r="BT1788" s="2">
        <v>19.1983582037535</v>
      </c>
      <c r="BU1788" s="2">
        <v>19.827082351629102</v>
      </c>
      <c r="BV1788" s="2">
        <v>19.793130736563601</v>
      </c>
      <c r="BW1788" s="2">
        <v>18.961559885384201</v>
      </c>
      <c r="BX1788" s="2">
        <v>19.129885816960801</v>
      </c>
      <c r="BY1788" s="2">
        <v>18.7360728133295</v>
      </c>
      <c r="BZ1788" s="2">
        <v>19.826647307349901</v>
      </c>
      <c r="CA1788" s="2">
        <v>19.402583072861301</v>
      </c>
      <c r="CB1788" s="2">
        <v>19.123396312989801</v>
      </c>
      <c r="CC1788" s="2">
        <v>19.174033008904601</v>
      </c>
      <c r="CD1788" s="2">
        <v>19.029066561664798</v>
      </c>
      <c r="CE1788" s="2">
        <v>19.808466425493901</v>
      </c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</row>
    <row r="1789" spans="1:97">
      <c r="A1789" s="2" t="s">
        <v>15749</v>
      </c>
      <c r="B1789" s="2">
        <v>175.06262000000001</v>
      </c>
      <c r="C1789" s="2">
        <v>5.5330000000000004</v>
      </c>
      <c r="D1789" s="2" t="s">
        <v>84</v>
      </c>
      <c r="E1789" s="2" t="s">
        <v>15750</v>
      </c>
      <c r="F1789" s="2" t="s">
        <v>15751</v>
      </c>
      <c r="G1789" s="2">
        <v>60786</v>
      </c>
      <c r="H1789" s="3" t="str">
        <f>HYPERLINK("https://cloud.oebiotech.com/#/lm/network/60786", "https://cloud.oebiotech.com/#/lm/network/60786")</f>
        <v>https://cloud.oebiotech.com/#/lm/network/60786</v>
      </c>
      <c r="I1789" s="2" t="s">
        <v>15752</v>
      </c>
      <c r="J1789" s="2">
        <v>92119</v>
      </c>
      <c r="K1789" s="2"/>
      <c r="L1789" s="2">
        <v>61700</v>
      </c>
      <c r="M1789" s="2"/>
      <c r="N1789" s="2"/>
      <c r="O1789" s="2"/>
      <c r="P1789" s="2"/>
      <c r="Q1789" s="2"/>
      <c r="R1789" s="2"/>
      <c r="S1789" s="2" t="s">
        <v>15753</v>
      </c>
      <c r="T1789" s="2" t="s">
        <v>15754</v>
      </c>
      <c r="U1789" s="2" t="s">
        <v>15755</v>
      </c>
      <c r="V1789" s="2" t="s">
        <v>553</v>
      </c>
      <c r="W1789" s="2" t="s">
        <v>6104</v>
      </c>
      <c r="X1789" s="2" t="s">
        <v>15756</v>
      </c>
      <c r="Y1789" s="2" t="s">
        <v>556</v>
      </c>
      <c r="Z1789" s="2" t="s">
        <v>6106</v>
      </c>
      <c r="AA1789" s="2" t="s">
        <v>15757</v>
      </c>
      <c r="AB1789" s="2" t="s">
        <v>8443</v>
      </c>
      <c r="AC1789" s="2">
        <v>39.909999999999997</v>
      </c>
      <c r="AD1789" s="2">
        <v>73.53</v>
      </c>
      <c r="AE1789" s="2">
        <v>0</v>
      </c>
      <c r="AF1789" s="2" t="s">
        <v>5614</v>
      </c>
      <c r="AG1789" s="2" t="s">
        <v>3544</v>
      </c>
      <c r="AH1789" s="2" t="s">
        <v>15758</v>
      </c>
      <c r="AI1789" s="2">
        <v>3.43</v>
      </c>
      <c r="AJ1789" s="2">
        <v>20.239939708673699</v>
      </c>
      <c r="AK1789" s="2">
        <v>20.4251062522601</v>
      </c>
      <c r="AL1789" s="2">
        <v>20.537180570711001</v>
      </c>
      <c r="AM1789" s="2">
        <v>20.4440363518883</v>
      </c>
      <c r="AN1789" s="2">
        <v>20.489851987210098</v>
      </c>
      <c r="AO1789" s="2">
        <v>20.5837118053993</v>
      </c>
      <c r="AP1789" s="2">
        <v>20.508584442870902</v>
      </c>
      <c r="AQ1789" s="2">
        <v>20.780815782595901</v>
      </c>
      <c r="AR1789" s="2">
        <v>19.9547222586164</v>
      </c>
      <c r="AS1789" s="2">
        <v>19.205654573444299</v>
      </c>
      <c r="AT1789" s="2">
        <v>19.214303229284699</v>
      </c>
      <c r="AU1789" s="2">
        <v>20.200875023730202</v>
      </c>
      <c r="AV1789" s="2">
        <v>20.004920717788099</v>
      </c>
      <c r="AW1789" s="2">
        <v>20.283423528468798</v>
      </c>
      <c r="AX1789" s="2">
        <v>20.613550905853799</v>
      </c>
      <c r="AY1789" s="2">
        <v>20.092437836439998</v>
      </c>
      <c r="AZ1789" s="2">
        <v>20.441382557950401</v>
      </c>
      <c r="BA1789" s="2">
        <v>20.6322969307686</v>
      </c>
      <c r="BB1789" s="2">
        <v>20.755061914131801</v>
      </c>
      <c r="BC1789" s="2">
        <v>20.582190469172598</v>
      </c>
      <c r="BD1789" s="2">
        <v>20.121355562307802</v>
      </c>
      <c r="BE1789" s="2">
        <v>20.2689012061795</v>
      </c>
      <c r="BF1789" s="2">
        <v>20.085067386060601</v>
      </c>
      <c r="BG1789" s="2">
        <v>20.873299244247999</v>
      </c>
      <c r="BH1789" s="2">
        <v>20.960092954847902</v>
      </c>
      <c r="BI1789" s="2">
        <v>20.1674545312787</v>
      </c>
      <c r="BJ1789" s="2">
        <v>19.856218984220799</v>
      </c>
      <c r="BK1789" s="2">
        <v>20.8026411475321</v>
      </c>
      <c r="BL1789" s="2">
        <v>20.169020416315</v>
      </c>
      <c r="BM1789" s="2">
        <v>19.3632472996884</v>
      </c>
      <c r="BN1789" s="2">
        <v>19.939534034696599</v>
      </c>
      <c r="BO1789" s="2">
        <v>20.766022333916901</v>
      </c>
      <c r="BP1789" s="2">
        <v>20.684900217048199</v>
      </c>
      <c r="BQ1789" s="2">
        <v>20.146389854119199</v>
      </c>
      <c r="BR1789" s="2">
        <v>20.756631626516601</v>
      </c>
      <c r="BS1789" s="2">
        <v>20.5219693949978</v>
      </c>
      <c r="BT1789" s="2">
        <v>20.693489994759599</v>
      </c>
      <c r="BU1789" s="2">
        <v>20.148258282070302</v>
      </c>
      <c r="BV1789" s="2">
        <v>19.9473457158612</v>
      </c>
      <c r="BW1789" s="2">
        <v>19.889315694207301</v>
      </c>
      <c r="BX1789" s="2">
        <v>20.609518245938698</v>
      </c>
      <c r="BY1789" s="2">
        <v>20.5789878886435</v>
      </c>
      <c r="BZ1789" s="2">
        <v>20.439916175108099</v>
      </c>
      <c r="CA1789" s="2">
        <v>19.554225925273599</v>
      </c>
      <c r="CB1789" s="2">
        <v>20.495612345111901</v>
      </c>
      <c r="CC1789" s="2">
        <v>19.951708242380299</v>
      </c>
      <c r="CD1789" s="2">
        <v>20.033123502392201</v>
      </c>
      <c r="CE1789" s="2">
        <v>21.034977801592301</v>
      </c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</row>
    <row r="1790" spans="1:97">
      <c r="A1790" s="2" t="s">
        <v>15759</v>
      </c>
      <c r="B1790" s="2">
        <v>214.07649000000001</v>
      </c>
      <c r="C1790" s="2">
        <v>1.385</v>
      </c>
      <c r="D1790" s="2" t="s">
        <v>146</v>
      </c>
      <c r="E1790" s="2" t="s">
        <v>15760</v>
      </c>
      <c r="F1790" s="2" t="s">
        <v>15761</v>
      </c>
      <c r="G1790" s="2">
        <v>204739</v>
      </c>
      <c r="H1790" s="3" t="str">
        <f>HYPERLINK("https://cloud.oebiotech.com/#/lm/network/204739", "https://cloud.oebiotech.com/#/lm/network/204739")</f>
        <v>https://cloud.oebiotech.com/#/lm/network/204739</v>
      </c>
      <c r="I1790" s="2" t="s">
        <v>15762</v>
      </c>
      <c r="J1790" s="2">
        <v>412338</v>
      </c>
      <c r="K1790" s="2"/>
      <c r="L1790" s="2">
        <v>130021</v>
      </c>
      <c r="M1790" s="2"/>
      <c r="N1790" s="2"/>
      <c r="O1790" s="2"/>
      <c r="P1790" s="2"/>
      <c r="Q1790" s="2"/>
      <c r="R1790" s="2"/>
      <c r="S1790" s="2"/>
      <c r="T1790" s="2" t="s">
        <v>15763</v>
      </c>
      <c r="U1790" s="2" t="s">
        <v>15764</v>
      </c>
      <c r="V1790" s="2" t="s">
        <v>9466</v>
      </c>
      <c r="W1790" s="2" t="s">
        <v>375</v>
      </c>
      <c r="X1790" s="2" t="s">
        <v>375</v>
      </c>
      <c r="Y1790" s="2" t="s">
        <v>9468</v>
      </c>
      <c r="Z1790" s="2"/>
      <c r="AA1790" s="2"/>
      <c r="AB1790" s="2" t="s">
        <v>8443</v>
      </c>
      <c r="AC1790" s="2">
        <v>39.9</v>
      </c>
      <c r="AD1790" s="2">
        <v>79.239999999999995</v>
      </c>
      <c r="AE1790" s="2">
        <v>30.75</v>
      </c>
      <c r="AF1790" s="2" t="s">
        <v>15765</v>
      </c>
      <c r="AG1790" s="2" t="s">
        <v>4062</v>
      </c>
      <c r="AH1790" s="2" t="s">
        <v>15766</v>
      </c>
      <c r="AI1790" s="2">
        <v>1.87</v>
      </c>
      <c r="AJ1790" s="2">
        <v>19.8993043433785</v>
      </c>
      <c r="AK1790" s="2">
        <v>20.073593450011</v>
      </c>
      <c r="AL1790" s="2">
        <v>20.535851317746499</v>
      </c>
      <c r="AM1790" s="2">
        <v>20.239046232747</v>
      </c>
      <c r="AN1790" s="2">
        <v>20.173394258763501</v>
      </c>
      <c r="AO1790" s="2">
        <v>20.421809563466699</v>
      </c>
      <c r="AP1790" s="2">
        <v>20.7613322385732</v>
      </c>
      <c r="AQ1790" s="2">
        <v>20.0816623881509</v>
      </c>
      <c r="AR1790" s="2">
        <v>19.030989257421801</v>
      </c>
      <c r="AS1790" s="2">
        <v>19.1740907881452</v>
      </c>
      <c r="AT1790" s="2">
        <v>22.594267021791701</v>
      </c>
      <c r="AU1790" s="2">
        <v>18.985341016164</v>
      </c>
      <c r="AV1790" s="2">
        <v>19.6741953204324</v>
      </c>
      <c r="AW1790" s="2">
        <v>18.538207919145201</v>
      </c>
      <c r="AX1790" s="2">
        <v>20.941992523275299</v>
      </c>
      <c r="AY1790" s="2">
        <v>19.474359215790599</v>
      </c>
      <c r="AZ1790" s="2">
        <v>17.9188731343447</v>
      </c>
      <c r="BA1790" s="2">
        <v>19.573271825107401</v>
      </c>
      <c r="BB1790" s="2">
        <v>20.526077324783699</v>
      </c>
      <c r="BC1790" s="2">
        <v>22.157205170453999</v>
      </c>
      <c r="BD1790" s="2">
        <v>18.7867292998504</v>
      </c>
      <c r="BE1790" s="2">
        <v>19.828848963775702</v>
      </c>
      <c r="BF1790" s="2">
        <v>20.931885162864699</v>
      </c>
      <c r="BG1790" s="2">
        <v>20.004949402514001</v>
      </c>
      <c r="BH1790" s="2">
        <v>21.337355703283599</v>
      </c>
      <c r="BI1790" s="2">
        <v>20.686244965179299</v>
      </c>
      <c r="BJ1790" s="2">
        <v>19.540255977171899</v>
      </c>
      <c r="BK1790" s="2">
        <v>17.7979014907188</v>
      </c>
      <c r="BL1790" s="2">
        <v>20.433320062043499</v>
      </c>
      <c r="BM1790" s="2">
        <v>19.984698177487601</v>
      </c>
      <c r="BN1790" s="2">
        <v>18.948204430947001</v>
      </c>
      <c r="BO1790" s="2">
        <v>18.383413923915199</v>
      </c>
      <c r="BP1790" s="2">
        <v>19.658065094590601</v>
      </c>
      <c r="BQ1790" s="2">
        <v>20.310645174485501</v>
      </c>
      <c r="BR1790" s="2">
        <v>20.936486778185401</v>
      </c>
      <c r="BS1790" s="2">
        <v>19.7035799166378</v>
      </c>
      <c r="BT1790" s="2">
        <v>18.629563952745801</v>
      </c>
      <c r="BU1790" s="2">
        <v>19.353570418825299</v>
      </c>
      <c r="BV1790" s="2">
        <v>19.545754058093401</v>
      </c>
      <c r="BW1790" s="2">
        <v>19.202614576619201</v>
      </c>
      <c r="BX1790" s="2">
        <v>19.096568829217201</v>
      </c>
      <c r="BY1790" s="2">
        <v>20.354969690727302</v>
      </c>
      <c r="BZ1790" s="2">
        <v>20.6858195636575</v>
      </c>
      <c r="CA1790" s="2">
        <v>22.1011551677983</v>
      </c>
      <c r="CB1790" s="2">
        <v>20.3353899621262</v>
      </c>
      <c r="CC1790" s="2">
        <v>19.261809644804899</v>
      </c>
      <c r="CD1790" s="2">
        <v>19.366370094088399</v>
      </c>
      <c r="CE1790" s="2">
        <v>20.604654978070901</v>
      </c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</row>
    <row r="1791" spans="1:97">
      <c r="A1791" s="2" t="s">
        <v>15767</v>
      </c>
      <c r="B1791" s="2">
        <v>194.11491000000001</v>
      </c>
      <c r="C1791" s="2">
        <v>10.166</v>
      </c>
      <c r="D1791" s="2" t="s">
        <v>84</v>
      </c>
      <c r="E1791" s="2" t="s">
        <v>15768</v>
      </c>
      <c r="F1791" s="2" t="s">
        <v>15769</v>
      </c>
      <c r="G1791" s="2">
        <v>202367</v>
      </c>
      <c r="H1791" s="3" t="str">
        <f>HYPERLINK("https://cloud.oebiotech.com/#/lm/network/202367", "https://cloud.oebiotech.com/#/lm/network/202367")</f>
        <v>https://cloud.oebiotech.com/#/lm/network/202367</v>
      </c>
      <c r="I1791" s="2" t="s">
        <v>15770</v>
      </c>
      <c r="J1791" s="2"/>
      <c r="K1791" s="2"/>
      <c r="L1791" s="2">
        <v>254916</v>
      </c>
      <c r="M1791" s="2"/>
      <c r="N1791" s="2"/>
      <c r="O1791" s="2"/>
      <c r="P1791" s="2"/>
      <c r="Q1791" s="2"/>
      <c r="R1791" s="2"/>
      <c r="S1791" s="2"/>
      <c r="T1791" s="2" t="s">
        <v>15771</v>
      </c>
      <c r="U1791" s="2" t="s">
        <v>15772</v>
      </c>
      <c r="V1791" s="2" t="s">
        <v>553</v>
      </c>
      <c r="W1791" s="2" t="s">
        <v>3468</v>
      </c>
      <c r="X1791" s="2" t="s">
        <v>375</v>
      </c>
      <c r="Y1791" s="2" t="s">
        <v>556</v>
      </c>
      <c r="Z1791" s="2" t="s">
        <v>3470</v>
      </c>
      <c r="AA1791" s="2"/>
      <c r="AB1791" s="2" t="s">
        <v>8443</v>
      </c>
      <c r="AC1791" s="2">
        <v>39.869999999999997</v>
      </c>
      <c r="AD1791" s="2">
        <v>99.37</v>
      </c>
      <c r="AE1791" s="2">
        <v>0</v>
      </c>
      <c r="AF1791" s="2" t="s">
        <v>15773</v>
      </c>
      <c r="AG1791" s="2" t="s">
        <v>132</v>
      </c>
      <c r="AH1791" s="2" t="s">
        <v>15774</v>
      </c>
      <c r="AI1791" s="2">
        <v>0</v>
      </c>
      <c r="AJ1791" s="2">
        <v>22.848906656297299</v>
      </c>
      <c r="AK1791" s="2">
        <v>22.4035203619129</v>
      </c>
      <c r="AL1791" s="2">
        <v>22.6126627822727</v>
      </c>
      <c r="AM1791" s="2">
        <v>22.0883296582371</v>
      </c>
      <c r="AN1791" s="2">
        <v>22.907866890005899</v>
      </c>
      <c r="AO1791" s="2">
        <v>23.032570154154101</v>
      </c>
      <c r="AP1791" s="2">
        <v>22.476702827027701</v>
      </c>
      <c r="AQ1791" s="2">
        <v>22.452110447826801</v>
      </c>
      <c r="AR1791" s="2">
        <v>22.269579008879699</v>
      </c>
      <c r="AS1791" s="2">
        <v>22.482910508064698</v>
      </c>
      <c r="AT1791" s="2">
        <v>22.530472874036001</v>
      </c>
      <c r="AU1791" s="2">
        <v>22.493414038725199</v>
      </c>
      <c r="AV1791" s="2">
        <v>22.369341744158898</v>
      </c>
      <c r="AW1791" s="2">
        <v>22.606958442934001</v>
      </c>
      <c r="AX1791" s="2">
        <v>22.319239431217301</v>
      </c>
      <c r="AY1791" s="2">
        <v>22.604775642440298</v>
      </c>
      <c r="AZ1791" s="2">
        <v>22.640772775319501</v>
      </c>
      <c r="BA1791" s="2">
        <v>22.184110597917901</v>
      </c>
      <c r="BB1791" s="2">
        <v>22.321541329739599</v>
      </c>
      <c r="BC1791" s="2">
        <v>22.293395337062499</v>
      </c>
      <c r="BD1791" s="2">
        <v>22.918332498421801</v>
      </c>
      <c r="BE1791" s="2">
        <v>22.370085657377299</v>
      </c>
      <c r="BF1791" s="2">
        <v>22.6115200031998</v>
      </c>
      <c r="BG1791" s="2">
        <v>22.587186784156</v>
      </c>
      <c r="BH1791" s="2">
        <v>22.739910011006</v>
      </c>
      <c r="BI1791" s="2">
        <v>22.703163422890999</v>
      </c>
      <c r="BJ1791" s="2">
        <v>22.328374665109099</v>
      </c>
      <c r="BK1791" s="2">
        <v>22.527817522020499</v>
      </c>
      <c r="BL1791" s="2">
        <v>22.499712584450599</v>
      </c>
      <c r="BM1791" s="2">
        <v>22.645001367444099</v>
      </c>
      <c r="BN1791" s="2">
        <v>22.590401676845001</v>
      </c>
      <c r="BO1791" s="2">
        <v>22.929201746991499</v>
      </c>
      <c r="BP1791" s="2">
        <v>22.797533590936801</v>
      </c>
      <c r="BQ1791" s="2">
        <v>22.447509695597901</v>
      </c>
      <c r="BR1791" s="2">
        <v>22.2920611655668</v>
      </c>
      <c r="BS1791" s="2">
        <v>22.5145928953214</v>
      </c>
      <c r="BT1791" s="2">
        <v>22.759408423462801</v>
      </c>
      <c r="BU1791" s="2">
        <v>22.809634622145499</v>
      </c>
      <c r="BV1791" s="2">
        <v>22.706850222789502</v>
      </c>
      <c r="BW1791" s="2">
        <v>22.776718220503099</v>
      </c>
      <c r="BX1791" s="2">
        <v>22.622533789304299</v>
      </c>
      <c r="BY1791" s="2">
        <v>21.890396262727901</v>
      </c>
      <c r="BZ1791" s="2">
        <v>22.997740047037698</v>
      </c>
      <c r="CA1791" s="2">
        <v>22.450068942210098</v>
      </c>
      <c r="CB1791" s="2">
        <v>22.2459857998861</v>
      </c>
      <c r="CC1791" s="2">
        <v>22.7115533049998</v>
      </c>
      <c r="CD1791" s="2">
        <v>22.672434592045601</v>
      </c>
      <c r="CE1791" s="2">
        <v>22.7674867353868</v>
      </c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</row>
    <row r="1792" spans="1:97">
      <c r="A1792" s="2" t="s">
        <v>15775</v>
      </c>
      <c r="B1792" s="2">
        <v>72.044910000000002</v>
      </c>
      <c r="C1792" s="2">
        <v>4.0629999999999997</v>
      </c>
      <c r="D1792" s="2" t="s">
        <v>84</v>
      </c>
      <c r="E1792" s="2" t="s">
        <v>15776</v>
      </c>
      <c r="F1792" s="2" t="s">
        <v>15777</v>
      </c>
      <c r="G1792" s="2">
        <v>209174</v>
      </c>
      <c r="H1792" s="3" t="str">
        <f>HYPERLINK("https://cloud.oebiotech.com/#/lm/network/209174", "https://cloud.oebiotech.com/#/lm/network/209174")</f>
        <v>https://cloud.oebiotech.com/#/lm/network/209174</v>
      </c>
      <c r="I1792" s="2" t="s">
        <v>15778</v>
      </c>
      <c r="J1792" s="2">
        <v>69064</v>
      </c>
      <c r="K1792" s="2"/>
      <c r="L1792" s="2">
        <v>107853</v>
      </c>
      <c r="M1792" s="2" t="s">
        <v>15779</v>
      </c>
      <c r="N1792" s="2"/>
      <c r="O1792" s="2"/>
      <c r="P1792" s="2">
        <v>5593</v>
      </c>
      <c r="Q1792" s="2"/>
      <c r="R1792" s="2"/>
      <c r="S1792" s="2" t="s">
        <v>15780</v>
      </c>
      <c r="T1792" s="2" t="s">
        <v>15781</v>
      </c>
      <c r="U1792" s="2" t="s">
        <v>15782</v>
      </c>
      <c r="V1792" s="2" t="s">
        <v>115</v>
      </c>
      <c r="W1792" s="2" t="s">
        <v>116</v>
      </c>
      <c r="X1792" s="2" t="s">
        <v>5270</v>
      </c>
      <c r="Y1792" s="2" t="s">
        <v>118</v>
      </c>
      <c r="Z1792" s="2" t="s">
        <v>119</v>
      </c>
      <c r="AA1792" s="2" t="s">
        <v>5271</v>
      </c>
      <c r="AB1792" s="2" t="s">
        <v>8443</v>
      </c>
      <c r="AC1792" s="2">
        <v>39.86</v>
      </c>
      <c r="AD1792" s="2">
        <v>99.28</v>
      </c>
      <c r="AE1792" s="2">
        <v>0</v>
      </c>
      <c r="AF1792" s="2" t="s">
        <v>15783</v>
      </c>
      <c r="AG1792" s="2" t="s">
        <v>1088</v>
      </c>
      <c r="AH1792" s="2" t="s">
        <v>7328</v>
      </c>
      <c r="AI1792" s="2">
        <v>0.83</v>
      </c>
      <c r="AJ1792" s="2">
        <v>24.383106814324101</v>
      </c>
      <c r="AK1792" s="2">
        <v>24.334722383120599</v>
      </c>
      <c r="AL1792" s="2">
        <v>24.761074745656298</v>
      </c>
      <c r="AM1792" s="2">
        <v>24.6567151660836</v>
      </c>
      <c r="AN1792" s="2">
        <v>24.6222385859033</v>
      </c>
      <c r="AO1792" s="2">
        <v>24.775620917155599</v>
      </c>
      <c r="AP1792" s="2">
        <v>24.567982995203099</v>
      </c>
      <c r="AQ1792" s="2">
        <v>24.624366165961298</v>
      </c>
      <c r="AR1792" s="2">
        <v>22.047428553982201</v>
      </c>
      <c r="AS1792" s="2">
        <v>21.491887628198199</v>
      </c>
      <c r="AT1792" s="2">
        <v>23.611231090517499</v>
      </c>
      <c r="AU1792" s="2">
        <v>24.3957492824577</v>
      </c>
      <c r="AV1792" s="2">
        <v>24.268909788944502</v>
      </c>
      <c r="AW1792" s="2">
        <v>25.0111008600765</v>
      </c>
      <c r="AX1792" s="2">
        <v>24.566078257190899</v>
      </c>
      <c r="AY1792" s="2">
        <v>24.701797739606899</v>
      </c>
      <c r="AZ1792" s="2">
        <v>24.565356742667401</v>
      </c>
      <c r="BA1792" s="2">
        <v>24.244837521464301</v>
      </c>
      <c r="BB1792" s="2">
        <v>22.372077940808001</v>
      </c>
      <c r="BC1792" s="2">
        <v>23.361171936835198</v>
      </c>
      <c r="BD1792" s="2">
        <v>24.7921199820791</v>
      </c>
      <c r="BE1792" s="2">
        <v>24.829204609933001</v>
      </c>
      <c r="BF1792" s="2">
        <v>24.925448898899301</v>
      </c>
      <c r="BG1792" s="2">
        <v>22.3189411306792</v>
      </c>
      <c r="BH1792" s="2">
        <v>24.640839109753902</v>
      </c>
      <c r="BI1792" s="2">
        <v>24.325856220837402</v>
      </c>
      <c r="BJ1792" s="2">
        <v>22.621937790278</v>
      </c>
      <c r="BK1792" s="2">
        <v>24.500357493281498</v>
      </c>
      <c r="BL1792" s="2">
        <v>24.3509160652074</v>
      </c>
      <c r="BM1792" s="2">
        <v>25.7827851627749</v>
      </c>
      <c r="BN1792" s="2">
        <v>25.0084229848223</v>
      </c>
      <c r="BO1792" s="2">
        <v>24.342679879943901</v>
      </c>
      <c r="BP1792" s="2">
        <v>24.8318487884105</v>
      </c>
      <c r="BQ1792" s="2">
        <v>24.753576311059899</v>
      </c>
      <c r="BR1792" s="2">
        <v>22.502079142502801</v>
      </c>
      <c r="BS1792" s="2">
        <v>25.1882758357985</v>
      </c>
      <c r="BT1792" s="2">
        <v>22.5296547519822</v>
      </c>
      <c r="BU1792" s="2">
        <v>25.265303071243601</v>
      </c>
      <c r="BV1792" s="2">
        <v>23.131872074303701</v>
      </c>
      <c r="BW1792" s="2">
        <v>22.1015306731999</v>
      </c>
      <c r="BX1792" s="2">
        <v>25.277100635271601</v>
      </c>
      <c r="BY1792" s="2">
        <v>26.090995119434002</v>
      </c>
      <c r="BZ1792" s="2">
        <v>22.5355013425322</v>
      </c>
      <c r="CA1792" s="2">
        <v>22.618082233656601</v>
      </c>
      <c r="CB1792" s="2">
        <v>22.185121776331801</v>
      </c>
      <c r="CC1792" s="2">
        <v>24.785725344865199</v>
      </c>
      <c r="CD1792" s="2">
        <v>25.549309874353</v>
      </c>
      <c r="CE1792" s="2">
        <v>24.866007501085299</v>
      </c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</row>
    <row r="1793" spans="1:97">
      <c r="A1793" s="2" t="s">
        <v>15784</v>
      </c>
      <c r="B1793" s="2">
        <v>173.12833000000001</v>
      </c>
      <c r="C1793" s="2">
        <v>2.7450000000000001</v>
      </c>
      <c r="D1793" s="2" t="s">
        <v>84</v>
      </c>
      <c r="E1793" s="2" t="s">
        <v>15785</v>
      </c>
      <c r="F1793" s="2" t="s">
        <v>15786</v>
      </c>
      <c r="G1793" s="2">
        <v>211258</v>
      </c>
      <c r="H1793" s="3" t="str">
        <f>HYPERLINK("https://cloud.oebiotech.com/#/lm/network/211258", "https://cloud.oebiotech.com/#/lm/network/211258")</f>
        <v>https://cloud.oebiotech.com/#/lm/network/211258</v>
      </c>
      <c r="I1793" s="2" t="s">
        <v>15787</v>
      </c>
      <c r="J1793" s="2"/>
      <c r="K1793" s="2"/>
      <c r="L1793" s="2">
        <v>54016676</v>
      </c>
      <c r="M1793" s="2"/>
      <c r="N1793" s="2"/>
      <c r="O1793" s="2"/>
      <c r="P1793" s="2"/>
      <c r="Q1793" s="2"/>
      <c r="R1793" s="2"/>
      <c r="S1793" s="2"/>
      <c r="T1793" s="2" t="s">
        <v>15788</v>
      </c>
      <c r="U1793" s="2" t="s">
        <v>15789</v>
      </c>
      <c r="V1793" s="2" t="s">
        <v>338</v>
      </c>
      <c r="W1793" s="2" t="s">
        <v>339</v>
      </c>
      <c r="X1793" s="2" t="s">
        <v>3877</v>
      </c>
      <c r="Y1793" s="2" t="s">
        <v>341</v>
      </c>
      <c r="Z1793" s="2" t="s">
        <v>341</v>
      </c>
      <c r="AA1793" s="2" t="s">
        <v>3878</v>
      </c>
      <c r="AB1793" s="2" t="s">
        <v>8443</v>
      </c>
      <c r="AC1793" s="2">
        <v>39.86</v>
      </c>
      <c r="AD1793" s="2">
        <v>99.31</v>
      </c>
      <c r="AE1793" s="2">
        <v>0</v>
      </c>
      <c r="AF1793" s="2" t="s">
        <v>15790</v>
      </c>
      <c r="AG1793" s="2" t="s">
        <v>132</v>
      </c>
      <c r="AH1793" s="2" t="s">
        <v>9035</v>
      </c>
      <c r="AI1793" s="2">
        <v>0.57999999999999996</v>
      </c>
      <c r="AJ1793" s="2">
        <v>22.116374264572201</v>
      </c>
      <c r="AK1793" s="2">
        <v>22.573277789434101</v>
      </c>
      <c r="AL1793" s="2">
        <v>22.234463354947302</v>
      </c>
      <c r="AM1793" s="2">
        <v>22.791292945865099</v>
      </c>
      <c r="AN1793" s="2">
        <v>22.292868178801498</v>
      </c>
      <c r="AO1793" s="2">
        <v>21.812615163900499</v>
      </c>
      <c r="AP1793" s="2">
        <v>23.009067408561702</v>
      </c>
      <c r="AQ1793" s="2">
        <v>22.889399810454499</v>
      </c>
      <c r="AR1793" s="2">
        <v>22.282479462635401</v>
      </c>
      <c r="AS1793" s="2">
        <v>21.3945776928885</v>
      </c>
      <c r="AT1793" s="2">
        <v>22.040971125086799</v>
      </c>
      <c r="AU1793" s="2">
        <v>21.619888516732999</v>
      </c>
      <c r="AV1793" s="2">
        <v>22.3623374281031</v>
      </c>
      <c r="AW1793" s="2">
        <v>23.036763570218199</v>
      </c>
      <c r="AX1793" s="2">
        <v>23.0600250496733</v>
      </c>
      <c r="AY1793" s="2">
        <v>22.438083522718799</v>
      </c>
      <c r="AZ1793" s="2">
        <v>22.6092132878053</v>
      </c>
      <c r="BA1793" s="2">
        <v>21.120124630693699</v>
      </c>
      <c r="BB1793" s="2">
        <v>22.395952448402799</v>
      </c>
      <c r="BC1793" s="2">
        <v>21.334248370472999</v>
      </c>
      <c r="BD1793" s="2">
        <v>22.103421988564701</v>
      </c>
      <c r="BE1793" s="2">
        <v>22.707594504431199</v>
      </c>
      <c r="BF1793" s="2">
        <v>22.463588816703101</v>
      </c>
      <c r="BG1793" s="2">
        <v>22.2395525184421</v>
      </c>
      <c r="BH1793" s="2">
        <v>23.4242382089584</v>
      </c>
      <c r="BI1793" s="2">
        <v>21.464344823605401</v>
      </c>
      <c r="BJ1793" s="2">
        <v>23.068058194434201</v>
      </c>
      <c r="BK1793" s="2">
        <v>22.566692779609099</v>
      </c>
      <c r="BL1793" s="2">
        <v>21.5055396014906</v>
      </c>
      <c r="BM1793" s="2">
        <v>23.161046073989102</v>
      </c>
      <c r="BN1793" s="2">
        <v>22.773011548323201</v>
      </c>
      <c r="BO1793" s="2">
        <v>22.776115237954301</v>
      </c>
      <c r="BP1793" s="2">
        <v>22.8509034492822</v>
      </c>
      <c r="BQ1793" s="2">
        <v>23.405954020664101</v>
      </c>
      <c r="BR1793" s="2">
        <v>23.1022001371479</v>
      </c>
      <c r="BS1793" s="2">
        <v>22.458509021395599</v>
      </c>
      <c r="BT1793" s="2">
        <v>21.996823784025</v>
      </c>
      <c r="BU1793" s="2">
        <v>22.201031108064502</v>
      </c>
      <c r="BV1793" s="2">
        <v>22.5002241534084</v>
      </c>
      <c r="BW1793" s="2">
        <v>21.031506274617399</v>
      </c>
      <c r="BX1793" s="2">
        <v>23.555506740304399</v>
      </c>
      <c r="BY1793" s="2">
        <v>22.812191339414198</v>
      </c>
      <c r="BZ1793" s="2">
        <v>23.827718738290301</v>
      </c>
      <c r="CA1793" s="2">
        <v>22.939066664016099</v>
      </c>
      <c r="CB1793" s="2">
        <v>21.915660945501799</v>
      </c>
      <c r="CC1793" s="2">
        <v>21.498334950896002</v>
      </c>
      <c r="CD1793" s="2">
        <v>23.853676014246499</v>
      </c>
      <c r="CE1793" s="2">
        <v>22.7654338618594</v>
      </c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</row>
    <row r="1794" spans="1:97">
      <c r="A1794" s="2" t="s">
        <v>15791</v>
      </c>
      <c r="B1794" s="2">
        <v>271.95733000000001</v>
      </c>
      <c r="C1794" s="2">
        <v>4.2480000000000002</v>
      </c>
      <c r="D1794" s="2" t="s">
        <v>146</v>
      </c>
      <c r="E1794" s="2" t="s">
        <v>15792</v>
      </c>
      <c r="F1794" s="2" t="s">
        <v>15793</v>
      </c>
      <c r="G1794" s="2">
        <v>208344</v>
      </c>
      <c r="H1794" s="3" t="str">
        <f>HYPERLINK("https://cloud.oebiotech.com/#/lm/network/208344", "https://cloud.oebiotech.com/#/lm/network/208344")</f>
        <v>https://cloud.oebiotech.com/#/lm/network/208344</v>
      </c>
      <c r="I1794" s="2" t="s">
        <v>15794</v>
      </c>
      <c r="J1794" s="2"/>
      <c r="K1794" s="2"/>
      <c r="L1794" s="2">
        <v>71333</v>
      </c>
      <c r="M1794" s="2"/>
      <c r="N1794" s="2"/>
      <c r="O1794" s="2"/>
      <c r="P1794" s="2">
        <v>92491</v>
      </c>
      <c r="Q1794" s="2"/>
      <c r="R1794" s="2"/>
      <c r="S1794" s="2"/>
      <c r="T1794" s="2" t="s">
        <v>15795</v>
      </c>
      <c r="U1794" s="2" t="s">
        <v>15796</v>
      </c>
      <c r="V1794" s="2" t="s">
        <v>385</v>
      </c>
      <c r="W1794" s="2" t="s">
        <v>386</v>
      </c>
      <c r="X1794" s="2" t="s">
        <v>15797</v>
      </c>
      <c r="Y1794" s="2" t="s">
        <v>388</v>
      </c>
      <c r="Z1794" s="2" t="s">
        <v>389</v>
      </c>
      <c r="AA1794" s="2" t="s">
        <v>15798</v>
      </c>
      <c r="AB1794" s="2" t="s">
        <v>5118</v>
      </c>
      <c r="AC1794" s="2">
        <v>39.85</v>
      </c>
      <c r="AD1794" s="2">
        <v>75.489999999999995</v>
      </c>
      <c r="AE1794" s="2">
        <v>69.61</v>
      </c>
      <c r="AF1794" s="2" t="s">
        <v>15799</v>
      </c>
      <c r="AG1794" s="2" t="s">
        <v>194</v>
      </c>
      <c r="AH1794" s="2" t="s">
        <v>15800</v>
      </c>
      <c r="AI1794" s="2">
        <v>-6.99</v>
      </c>
      <c r="AJ1794" s="2">
        <v>17.800403041359001</v>
      </c>
      <c r="AK1794" s="2">
        <v>17.6547034994569</v>
      </c>
      <c r="AL1794" s="2">
        <v>17.649490843412099</v>
      </c>
      <c r="AM1794" s="2">
        <v>17.6379758062257</v>
      </c>
      <c r="AN1794" s="2">
        <v>17.891867462521901</v>
      </c>
      <c r="AO1794" s="2">
        <v>17.780518557997102</v>
      </c>
      <c r="AP1794" s="2">
        <v>17.734124782650699</v>
      </c>
      <c r="AQ1794" s="2">
        <v>17.5864102074096</v>
      </c>
      <c r="AR1794" s="2">
        <v>14.1849419606644</v>
      </c>
      <c r="AS1794" s="2">
        <v>15.7473551408277</v>
      </c>
      <c r="AT1794" s="2">
        <v>16.5808763923154</v>
      </c>
      <c r="AU1794" s="2">
        <v>17.269793928380601</v>
      </c>
      <c r="AV1794" s="2">
        <v>16.6426245832394</v>
      </c>
      <c r="AW1794" s="2">
        <v>16.779186734751001</v>
      </c>
      <c r="AX1794" s="2">
        <v>17.319270875567501</v>
      </c>
      <c r="AY1794" s="2">
        <v>17.2051389790381</v>
      </c>
      <c r="AZ1794" s="2">
        <v>16.978867843152901</v>
      </c>
      <c r="BA1794" s="2">
        <v>16.004711611939701</v>
      </c>
      <c r="BB1794" s="2">
        <v>17.6538444602913</v>
      </c>
      <c r="BC1794" s="2">
        <v>15.6601605602511</v>
      </c>
      <c r="BD1794" s="2">
        <v>17.435117751388098</v>
      </c>
      <c r="BE1794" s="2">
        <v>19.881069945517901</v>
      </c>
      <c r="BF1794" s="2">
        <v>16.0414987387108</v>
      </c>
      <c r="BG1794" s="2">
        <v>17.610378873167502</v>
      </c>
      <c r="BH1794" s="2">
        <v>17.349306716988099</v>
      </c>
      <c r="BI1794" s="2">
        <v>19.792697181199902</v>
      </c>
      <c r="BJ1794" s="2">
        <v>17.188230580635501</v>
      </c>
      <c r="BK1794" s="2">
        <v>17.858484643203301</v>
      </c>
      <c r="BL1794" s="2">
        <v>17.2279750872082</v>
      </c>
      <c r="BM1794" s="2">
        <v>17.672096979878798</v>
      </c>
      <c r="BN1794" s="2">
        <v>17.350874971350901</v>
      </c>
      <c r="BO1794" s="2">
        <v>16.651925914324799</v>
      </c>
      <c r="BP1794" s="2">
        <v>17.493109506528299</v>
      </c>
      <c r="BQ1794" s="2">
        <v>17.490013176180099</v>
      </c>
      <c r="BR1794" s="2">
        <v>17.252547266304902</v>
      </c>
      <c r="BS1794" s="2">
        <v>16.732496574481601</v>
      </c>
      <c r="BT1794" s="2">
        <v>17.2363640568535</v>
      </c>
      <c r="BU1794" s="2">
        <v>16.116525911300101</v>
      </c>
      <c r="BV1794" s="2">
        <v>15.8866627867957</v>
      </c>
      <c r="BW1794" s="2">
        <v>12.021979342836399</v>
      </c>
      <c r="BX1794" s="2">
        <v>16.877614737222</v>
      </c>
      <c r="BY1794" s="2">
        <v>20.250395150945099</v>
      </c>
      <c r="BZ1794" s="2">
        <v>16.121812534968601</v>
      </c>
      <c r="CA1794" s="2">
        <v>16.1930236102484</v>
      </c>
      <c r="CB1794" s="2">
        <v>16.4074447039776</v>
      </c>
      <c r="CC1794" s="2">
        <v>17.485454815846701</v>
      </c>
      <c r="CD1794" s="2">
        <v>17.875998744693799</v>
      </c>
      <c r="CE1794" s="2">
        <v>13.543233657737501</v>
      </c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</row>
    <row r="1795" spans="1:97">
      <c r="A1795" s="2" t="s">
        <v>15801</v>
      </c>
      <c r="B1795" s="2">
        <v>543.25438999999994</v>
      </c>
      <c r="C1795" s="2">
        <v>8.8309999999999995</v>
      </c>
      <c r="D1795" s="2" t="s">
        <v>146</v>
      </c>
      <c r="E1795" s="2" t="s">
        <v>15802</v>
      </c>
      <c r="F1795" s="2" t="s">
        <v>15803</v>
      </c>
      <c r="G1795" s="2">
        <v>24875</v>
      </c>
      <c r="H1795" s="3" t="str">
        <f>HYPERLINK("https://cloud.oebiotech.com/#/lm/network/24875", "https://cloud.oebiotech.com/#/lm/network/24875")</f>
        <v>https://cloud.oebiotech.com/#/lm/network/24875</v>
      </c>
      <c r="I1795" s="2"/>
      <c r="J1795" s="2"/>
      <c r="K1795" s="2" t="s">
        <v>15804</v>
      </c>
      <c r="L1795" s="2">
        <v>52928603</v>
      </c>
      <c r="M1795" s="2"/>
      <c r="N1795" s="2"/>
      <c r="O1795" s="2"/>
      <c r="P1795" s="2"/>
      <c r="Q1795" s="2"/>
      <c r="R1795" s="2"/>
      <c r="S1795" s="2"/>
      <c r="T1795" s="2" t="s">
        <v>15805</v>
      </c>
      <c r="U1795" s="2" t="s">
        <v>15806</v>
      </c>
      <c r="V1795" s="2" t="s">
        <v>95</v>
      </c>
      <c r="W1795" s="2" t="s">
        <v>202</v>
      </c>
      <c r="X1795" s="2" t="s">
        <v>12415</v>
      </c>
      <c r="Y1795" s="2" t="s">
        <v>98</v>
      </c>
      <c r="Z1795" s="2" t="s">
        <v>204</v>
      </c>
      <c r="AA1795" s="2" t="s">
        <v>12416</v>
      </c>
      <c r="AB1795" s="2" t="s">
        <v>8443</v>
      </c>
      <c r="AC1795" s="2">
        <v>39.83</v>
      </c>
      <c r="AD1795" s="2">
        <v>83.35</v>
      </c>
      <c r="AE1795" s="2">
        <v>0</v>
      </c>
      <c r="AF1795" s="2" t="s">
        <v>15807</v>
      </c>
      <c r="AG1795" s="2" t="s">
        <v>194</v>
      </c>
      <c r="AH1795" s="2" t="s">
        <v>15808</v>
      </c>
      <c r="AI1795" s="2">
        <v>5.89</v>
      </c>
      <c r="AJ1795" s="2">
        <v>17.482812525001702</v>
      </c>
      <c r="AK1795" s="2">
        <v>17.892684157410901</v>
      </c>
      <c r="AL1795" s="2">
        <v>17.831744905100699</v>
      </c>
      <c r="AM1795" s="2">
        <v>17.9888952271411</v>
      </c>
      <c r="AN1795" s="2">
        <v>17.998360087403999</v>
      </c>
      <c r="AO1795" s="2">
        <v>17.202111481111299</v>
      </c>
      <c r="AP1795" s="2">
        <v>17.662625404415</v>
      </c>
      <c r="AQ1795" s="2">
        <v>17.720554429497501</v>
      </c>
      <c r="AR1795" s="2">
        <v>16.777558413718701</v>
      </c>
      <c r="AS1795" s="2">
        <v>16.1336658249827</v>
      </c>
      <c r="AT1795" s="2">
        <v>15.851870773432699</v>
      </c>
      <c r="AU1795" s="2">
        <v>16.902966223218002</v>
      </c>
      <c r="AV1795" s="2">
        <v>16.892926372842901</v>
      </c>
      <c r="AW1795" s="2">
        <v>17.4203941715875</v>
      </c>
      <c r="AX1795" s="2">
        <v>16.194871483806502</v>
      </c>
      <c r="AY1795" s="2">
        <v>16.761289169600499</v>
      </c>
      <c r="AZ1795" s="2">
        <v>15.4302238454658</v>
      </c>
      <c r="BA1795" s="2">
        <v>17.492376713997899</v>
      </c>
      <c r="BB1795" s="2">
        <v>16.2797076013529</v>
      </c>
      <c r="BC1795" s="2">
        <v>16.116373407837401</v>
      </c>
      <c r="BD1795" s="2">
        <v>16.133840587799501</v>
      </c>
      <c r="BE1795" s="2">
        <v>15.754828275728199</v>
      </c>
      <c r="BF1795" s="2">
        <v>14.5152784979863</v>
      </c>
      <c r="BG1795" s="2">
        <v>16.484265604828099</v>
      </c>
      <c r="BH1795" s="2">
        <v>15.1221497525615</v>
      </c>
      <c r="BI1795" s="2">
        <v>15.5654338481656</v>
      </c>
      <c r="BJ1795" s="2">
        <v>16.388448380840501</v>
      </c>
      <c r="BK1795" s="2">
        <v>15.763795386661499</v>
      </c>
      <c r="BL1795" s="2">
        <v>18.2175580926172</v>
      </c>
      <c r="BM1795" s="2">
        <v>16.7897018731692</v>
      </c>
      <c r="BN1795" s="2">
        <v>16.122466264845599</v>
      </c>
      <c r="BO1795" s="2">
        <v>15.187322686960201</v>
      </c>
      <c r="BP1795" s="2">
        <v>16.319513717769301</v>
      </c>
      <c r="BQ1795" s="2">
        <v>17.7686856832701</v>
      </c>
      <c r="BR1795" s="2">
        <v>16.1473746765244</v>
      </c>
      <c r="BS1795" s="2">
        <v>16.9024010247246</v>
      </c>
      <c r="BT1795" s="2">
        <v>16.330603914880399</v>
      </c>
      <c r="BU1795" s="2">
        <v>15.4320077720885</v>
      </c>
      <c r="BV1795" s="2">
        <v>17.089286914818199</v>
      </c>
      <c r="BW1795" s="2">
        <v>17.842094634783699</v>
      </c>
      <c r="BX1795" s="2">
        <v>16.0806907616976</v>
      </c>
      <c r="BY1795" s="2">
        <v>15.195222239303</v>
      </c>
      <c r="BZ1795" s="2">
        <v>17.724885044072899</v>
      </c>
      <c r="CA1795" s="2">
        <v>16.0997223676709</v>
      </c>
      <c r="CB1795" s="2">
        <v>19.3648638182861</v>
      </c>
      <c r="CC1795" s="2">
        <v>18.0655526641881</v>
      </c>
      <c r="CD1795" s="2">
        <v>16.532358665042999</v>
      </c>
      <c r="CE1795" s="2">
        <v>16.444802507499499</v>
      </c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</row>
    <row r="1796" spans="1:97">
      <c r="A1796" s="2" t="s">
        <v>15809</v>
      </c>
      <c r="B1796" s="2">
        <v>198.07435000000001</v>
      </c>
      <c r="C1796" s="2">
        <v>1.3839999999999999</v>
      </c>
      <c r="D1796" s="2" t="s">
        <v>146</v>
      </c>
      <c r="E1796" s="2" t="s">
        <v>15810</v>
      </c>
      <c r="F1796" s="2" t="s">
        <v>15811</v>
      </c>
      <c r="G1796" s="2">
        <v>205733</v>
      </c>
      <c r="H1796" s="3" t="str">
        <f>HYPERLINK("https://cloud.oebiotech.com/#/lm/network/205733", "https://cloud.oebiotech.com/#/lm/network/205733")</f>
        <v>https://cloud.oebiotech.com/#/lm/network/205733</v>
      </c>
      <c r="I1796" s="2" t="s">
        <v>15812</v>
      </c>
      <c r="J1796" s="2"/>
      <c r="K1796" s="2"/>
      <c r="L1796" s="2">
        <v>4518</v>
      </c>
      <c r="M1796" s="2"/>
      <c r="N1796" s="2"/>
      <c r="O1796" s="2"/>
      <c r="P1796" s="2"/>
      <c r="Q1796" s="2"/>
      <c r="R1796" s="2"/>
      <c r="S1796" s="2"/>
      <c r="T1796" s="2" t="s">
        <v>15813</v>
      </c>
      <c r="U1796" s="2" t="s">
        <v>15814</v>
      </c>
      <c r="V1796" s="2" t="s">
        <v>166</v>
      </c>
      <c r="W1796" s="2" t="s">
        <v>167</v>
      </c>
      <c r="X1796" s="2" t="s">
        <v>15815</v>
      </c>
      <c r="Y1796" s="2" t="s">
        <v>169</v>
      </c>
      <c r="Z1796" s="2" t="s">
        <v>169</v>
      </c>
      <c r="AA1796" s="2" t="s">
        <v>15816</v>
      </c>
      <c r="AB1796" s="2" t="s">
        <v>5118</v>
      </c>
      <c r="AC1796" s="2">
        <v>39.82</v>
      </c>
      <c r="AD1796" s="2">
        <v>81.67</v>
      </c>
      <c r="AE1796" s="2">
        <v>81.23</v>
      </c>
      <c r="AF1796" s="2" t="s">
        <v>15817</v>
      </c>
      <c r="AG1796" s="2" t="s">
        <v>4062</v>
      </c>
      <c r="AH1796" s="2" t="s">
        <v>15818</v>
      </c>
      <c r="AI1796" s="2">
        <v>9.59</v>
      </c>
      <c r="AJ1796" s="2">
        <v>21.2456939821056</v>
      </c>
      <c r="AK1796" s="2">
        <v>21.333649122586301</v>
      </c>
      <c r="AL1796" s="2">
        <v>20.9803367169613</v>
      </c>
      <c r="AM1796" s="2">
        <v>20.9927949106687</v>
      </c>
      <c r="AN1796" s="2">
        <v>19.925487999965501</v>
      </c>
      <c r="AO1796" s="2">
        <v>20.881134727713398</v>
      </c>
      <c r="AP1796" s="2">
        <v>20.7709854321531</v>
      </c>
      <c r="AQ1796" s="2">
        <v>20.984727468743198</v>
      </c>
      <c r="AR1796" s="2">
        <v>20.554027840884299</v>
      </c>
      <c r="AS1796" s="2">
        <v>20.422949102434998</v>
      </c>
      <c r="AT1796" s="2">
        <v>19.4273449912485</v>
      </c>
      <c r="AU1796" s="2">
        <v>21.027993988275998</v>
      </c>
      <c r="AV1796" s="2">
        <v>21.3420335623622</v>
      </c>
      <c r="AW1796" s="2">
        <v>21.454304048462902</v>
      </c>
      <c r="AX1796" s="2">
        <v>20.622095908918499</v>
      </c>
      <c r="AY1796" s="2">
        <v>20.018940487370699</v>
      </c>
      <c r="AZ1796" s="2">
        <v>21.3330848335033</v>
      </c>
      <c r="BA1796" s="2">
        <v>19.316516525153698</v>
      </c>
      <c r="BB1796" s="2">
        <v>21.448468039255701</v>
      </c>
      <c r="BC1796" s="2">
        <v>20.751889218372899</v>
      </c>
      <c r="BD1796" s="2">
        <v>18.9902283889442</v>
      </c>
      <c r="BE1796" s="2">
        <v>21.224324379250799</v>
      </c>
      <c r="BF1796" s="2">
        <v>19.701908610011799</v>
      </c>
      <c r="BG1796" s="2">
        <v>20.2354246074168</v>
      </c>
      <c r="BH1796" s="2">
        <v>20.368136598594401</v>
      </c>
      <c r="BI1796" s="2">
        <v>20.557261339434501</v>
      </c>
      <c r="BJ1796" s="2">
        <v>21.749586391919902</v>
      </c>
      <c r="BK1796" s="2">
        <v>20.730798686847201</v>
      </c>
      <c r="BL1796" s="2">
        <v>18.845467508658199</v>
      </c>
      <c r="BM1796" s="2">
        <v>21.1124838025186</v>
      </c>
      <c r="BN1796" s="2">
        <v>21.297232095575399</v>
      </c>
      <c r="BO1796" s="2">
        <v>19.726464052303399</v>
      </c>
      <c r="BP1796" s="2">
        <v>20.8071061527666</v>
      </c>
      <c r="BQ1796" s="2">
        <v>21.479189660832802</v>
      </c>
      <c r="BR1796" s="2">
        <v>20.934889161564499</v>
      </c>
      <c r="BS1796" s="2">
        <v>20.791137040270499</v>
      </c>
      <c r="BT1796" s="2">
        <v>20.039316421371002</v>
      </c>
      <c r="BU1796" s="2">
        <v>19.5986201587748</v>
      </c>
      <c r="BV1796" s="2">
        <v>20.960282309093099</v>
      </c>
      <c r="BW1796" s="2">
        <v>20.156605206519899</v>
      </c>
      <c r="BX1796" s="2">
        <v>21.120835806685498</v>
      </c>
      <c r="BY1796" s="2">
        <v>20.855712324392201</v>
      </c>
      <c r="BZ1796" s="2">
        <v>21.752859366435999</v>
      </c>
      <c r="CA1796" s="2">
        <v>20.690593118295499</v>
      </c>
      <c r="CB1796" s="2">
        <v>20.523501139316998</v>
      </c>
      <c r="CC1796" s="2">
        <v>20.203847490004499</v>
      </c>
      <c r="CD1796" s="2">
        <v>20.765696190595399</v>
      </c>
      <c r="CE1796" s="2">
        <v>20.427717188746001</v>
      </c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</row>
    <row r="1797" spans="1:97">
      <c r="A1797" s="2" t="s">
        <v>15819</v>
      </c>
      <c r="B1797" s="2">
        <v>811.60248000000001</v>
      </c>
      <c r="C1797" s="2">
        <v>13.492000000000001</v>
      </c>
      <c r="D1797" s="2" t="s">
        <v>84</v>
      </c>
      <c r="E1797" s="2" t="s">
        <v>15820</v>
      </c>
      <c r="F1797" s="2" t="s">
        <v>15821</v>
      </c>
      <c r="G1797" s="2">
        <v>26057</v>
      </c>
      <c r="H1797" s="3" t="str">
        <f>HYPERLINK("https://cloud.oebiotech.com/#/lm/network/26057", "https://cloud.oebiotech.com/#/lm/network/26057")</f>
        <v>https://cloud.oebiotech.com/#/lm/network/26057</v>
      </c>
      <c r="I1797" s="2"/>
      <c r="J1797" s="2">
        <v>82322</v>
      </c>
      <c r="K1797" s="2" t="s">
        <v>15822</v>
      </c>
      <c r="L1797" s="2">
        <v>52929737</v>
      </c>
      <c r="M1797" s="2"/>
      <c r="N1797" s="2"/>
      <c r="O1797" s="2"/>
      <c r="P1797" s="2"/>
      <c r="Q1797" s="2"/>
      <c r="R1797" s="2"/>
      <c r="S1797" s="2"/>
      <c r="T1797" s="2" t="s">
        <v>15823</v>
      </c>
      <c r="U1797" s="2" t="s">
        <v>15824</v>
      </c>
      <c r="V1797" s="2" t="s">
        <v>95</v>
      </c>
      <c r="W1797" s="2" t="s">
        <v>202</v>
      </c>
      <c r="X1797" s="2" t="s">
        <v>6038</v>
      </c>
      <c r="Y1797" s="2" t="s">
        <v>98</v>
      </c>
      <c r="Z1797" s="2" t="s">
        <v>204</v>
      </c>
      <c r="AA1797" s="2" t="s">
        <v>6039</v>
      </c>
      <c r="AB1797" s="2" t="s">
        <v>8443</v>
      </c>
      <c r="AC1797" s="2">
        <v>39.81</v>
      </c>
      <c r="AD1797" s="2">
        <v>91.22</v>
      </c>
      <c r="AE1797" s="2">
        <v>0</v>
      </c>
      <c r="AF1797" s="2" t="s">
        <v>5614</v>
      </c>
      <c r="AG1797" s="2" t="s">
        <v>3544</v>
      </c>
      <c r="AH1797" s="2" t="s">
        <v>15825</v>
      </c>
      <c r="AI1797" s="2">
        <v>-5.79</v>
      </c>
      <c r="AJ1797" s="2">
        <v>25.8822935541432</v>
      </c>
      <c r="AK1797" s="2">
        <v>25.403391157037401</v>
      </c>
      <c r="AL1797" s="2">
        <v>25.5216907502986</v>
      </c>
      <c r="AM1797" s="2">
        <v>24.670590173854499</v>
      </c>
      <c r="AN1797" s="2">
        <v>26.029465320300201</v>
      </c>
      <c r="AO1797" s="2">
        <v>25.2404522910414</v>
      </c>
      <c r="AP1797" s="2">
        <v>25.653865987540499</v>
      </c>
      <c r="AQ1797" s="2">
        <v>25.877411914517701</v>
      </c>
      <c r="AR1797" s="2">
        <v>25.357572011514801</v>
      </c>
      <c r="AS1797" s="2">
        <v>23.743961848895498</v>
      </c>
      <c r="AT1797" s="2">
        <v>25.311501033174</v>
      </c>
      <c r="AU1797" s="2">
        <v>25.8184024538862</v>
      </c>
      <c r="AV1797" s="2">
        <v>25.7771839328372</v>
      </c>
      <c r="AW1797" s="2">
        <v>25.7837666062394</v>
      </c>
      <c r="AX1797" s="2">
        <v>25.919696875607201</v>
      </c>
      <c r="AY1797" s="2">
        <v>25.324064388519901</v>
      </c>
      <c r="AZ1797" s="2">
        <v>25.131247007620399</v>
      </c>
      <c r="BA1797" s="2">
        <v>23.6624236886551</v>
      </c>
      <c r="BB1797" s="2">
        <v>25.565432063351899</v>
      </c>
      <c r="BC1797" s="2">
        <v>25.981895318942101</v>
      </c>
      <c r="BD1797" s="2">
        <v>25.962256880317</v>
      </c>
      <c r="BE1797" s="2">
        <v>24.856699728714101</v>
      </c>
      <c r="BF1797" s="2">
        <v>25.2811677747118</v>
      </c>
      <c r="BG1797" s="2">
        <v>25.855187111140499</v>
      </c>
      <c r="BH1797" s="2">
        <v>25.533210693156501</v>
      </c>
      <c r="BI1797" s="2">
        <v>24.592548224470899</v>
      </c>
      <c r="BJ1797" s="2">
        <v>25.1238566215617</v>
      </c>
      <c r="BK1797" s="2">
        <v>23.549922385687101</v>
      </c>
      <c r="BL1797" s="2">
        <v>26.002645095056</v>
      </c>
      <c r="BM1797" s="2">
        <v>25.885984378603201</v>
      </c>
      <c r="BN1797" s="2">
        <v>25.646006483238299</v>
      </c>
      <c r="BO1797" s="2">
        <v>24.056900276539999</v>
      </c>
      <c r="BP1797" s="2">
        <v>25.387185759452201</v>
      </c>
      <c r="BQ1797" s="2">
        <v>25.640366357519301</v>
      </c>
      <c r="BR1797" s="2">
        <v>25.799231845803501</v>
      </c>
      <c r="BS1797" s="2">
        <v>24.845636184409798</v>
      </c>
      <c r="BT1797" s="2">
        <v>25.019815209874</v>
      </c>
      <c r="BU1797" s="2">
        <v>25.464803064259499</v>
      </c>
      <c r="BV1797" s="2">
        <v>25.6516839767222</v>
      </c>
      <c r="BW1797" s="2">
        <v>25.764918330546099</v>
      </c>
      <c r="BX1797" s="2">
        <v>25.599315311299598</v>
      </c>
      <c r="BY1797" s="2">
        <v>25.933004632543899</v>
      </c>
      <c r="BZ1797" s="2">
        <v>25.524465890294302</v>
      </c>
      <c r="CA1797" s="2">
        <v>24.188436693985398</v>
      </c>
      <c r="CB1797" s="2">
        <v>25.478458062629102</v>
      </c>
      <c r="CC1797" s="2">
        <v>25.6155715617938</v>
      </c>
      <c r="CD1797" s="2">
        <v>24.2245149891124</v>
      </c>
      <c r="CE1797" s="2">
        <v>25.668471551691699</v>
      </c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</row>
    <row r="1798" spans="1:97">
      <c r="A1798" s="2" t="s">
        <v>15826</v>
      </c>
      <c r="B1798" s="2">
        <v>148.02266</v>
      </c>
      <c r="C1798" s="2">
        <v>0.89800000000000002</v>
      </c>
      <c r="D1798" s="2" t="s">
        <v>84</v>
      </c>
      <c r="E1798" s="2" t="s">
        <v>15827</v>
      </c>
      <c r="F1798" s="2" t="s">
        <v>15828</v>
      </c>
      <c r="G1798" s="2">
        <v>209234</v>
      </c>
      <c r="H1798" s="3" t="str">
        <f>HYPERLINK("https://cloud.oebiotech.com/#/lm/network/209234", "https://cloud.oebiotech.com/#/lm/network/209234")</f>
        <v>https://cloud.oebiotech.com/#/lm/network/209234</v>
      </c>
      <c r="I1798" s="2" t="s">
        <v>15829</v>
      </c>
      <c r="J1798" s="2"/>
      <c r="K1798" s="2"/>
      <c r="L1798" s="2">
        <v>3080614</v>
      </c>
      <c r="M1798" s="2"/>
      <c r="N1798" s="2"/>
      <c r="O1798" s="2"/>
      <c r="P1798" s="2">
        <v>44482</v>
      </c>
      <c r="Q1798" s="2"/>
      <c r="R1798" s="2"/>
      <c r="S1798" s="2"/>
      <c r="T1798" s="2" t="s">
        <v>15830</v>
      </c>
      <c r="U1798" s="2" t="s">
        <v>15831</v>
      </c>
      <c r="V1798" s="2" t="s">
        <v>115</v>
      </c>
      <c r="W1798" s="2" t="s">
        <v>116</v>
      </c>
      <c r="X1798" s="2" t="s">
        <v>117</v>
      </c>
      <c r="Y1798" s="2" t="s">
        <v>118</v>
      </c>
      <c r="Z1798" s="2" t="s">
        <v>119</v>
      </c>
      <c r="AA1798" s="2" t="s">
        <v>120</v>
      </c>
      <c r="AB1798" s="2" t="s">
        <v>8443</v>
      </c>
      <c r="AC1798" s="2">
        <v>39.81</v>
      </c>
      <c r="AD1798" s="2">
        <v>96.97</v>
      </c>
      <c r="AE1798" s="2">
        <v>0</v>
      </c>
      <c r="AF1798" s="2" t="s">
        <v>5614</v>
      </c>
      <c r="AG1798" s="2" t="s">
        <v>103</v>
      </c>
      <c r="AH1798" s="2" t="s">
        <v>15832</v>
      </c>
      <c r="AI1798" s="2">
        <v>8.7799999999999994</v>
      </c>
      <c r="AJ1798" s="2">
        <v>21.8354217011074</v>
      </c>
      <c r="AK1798" s="2">
        <v>22.177279841439699</v>
      </c>
      <c r="AL1798" s="2">
        <v>22.325546891214501</v>
      </c>
      <c r="AM1798" s="2">
        <v>22.2250203212947</v>
      </c>
      <c r="AN1798" s="2">
        <v>22.786615129313201</v>
      </c>
      <c r="AO1798" s="2">
        <v>22.958481837727899</v>
      </c>
      <c r="AP1798" s="2">
        <v>22.391120207327202</v>
      </c>
      <c r="AQ1798" s="2">
        <v>22.4633892609599</v>
      </c>
      <c r="AR1798" s="2">
        <v>22.666707018862201</v>
      </c>
      <c r="AS1798" s="2">
        <v>22.324344187979101</v>
      </c>
      <c r="AT1798" s="2">
        <v>22.5699482764139</v>
      </c>
      <c r="AU1798" s="2">
        <v>22.842592150508999</v>
      </c>
      <c r="AV1798" s="2">
        <v>22.710167112788199</v>
      </c>
      <c r="AW1798" s="2">
        <v>23.593999883219301</v>
      </c>
      <c r="AX1798" s="2">
        <v>23.0703843600411</v>
      </c>
      <c r="AY1798" s="2">
        <v>23.378911867932398</v>
      </c>
      <c r="AZ1798" s="2">
        <v>22.501730283244001</v>
      </c>
      <c r="BA1798" s="2">
        <v>22.881216534236898</v>
      </c>
      <c r="BB1798" s="2">
        <v>22.156881833769699</v>
      </c>
      <c r="BC1798" s="2">
        <v>22.201804834694201</v>
      </c>
      <c r="BD1798" s="2">
        <v>22.634173933192798</v>
      </c>
      <c r="BE1798" s="2">
        <v>22.282348780361101</v>
      </c>
      <c r="BF1798" s="2">
        <v>22.597019069753799</v>
      </c>
      <c r="BG1798" s="2">
        <v>21.881707141579099</v>
      </c>
      <c r="BH1798" s="2">
        <v>22.201562646630599</v>
      </c>
      <c r="BI1798" s="2">
        <v>22.359740947782399</v>
      </c>
      <c r="BJ1798" s="2">
        <v>22.238647497354702</v>
      </c>
      <c r="BK1798" s="2">
        <v>22.762214005364498</v>
      </c>
      <c r="BL1798" s="2">
        <v>23.320527683024402</v>
      </c>
      <c r="BM1798" s="2">
        <v>22.6892915260858</v>
      </c>
      <c r="BN1798" s="2">
        <v>22.706081282614399</v>
      </c>
      <c r="BO1798" s="2">
        <v>22.6925439512802</v>
      </c>
      <c r="BP1798" s="2">
        <v>22.2430515816677</v>
      </c>
      <c r="BQ1798" s="2">
        <v>22.727626281023198</v>
      </c>
      <c r="BR1798" s="2">
        <v>22.718566412921</v>
      </c>
      <c r="BS1798" s="2">
        <v>22.303453725683202</v>
      </c>
      <c r="BT1798" s="2">
        <v>23.259140661297501</v>
      </c>
      <c r="BU1798" s="2">
        <v>22.153519570778698</v>
      </c>
      <c r="BV1798" s="2">
        <v>22.389278618827699</v>
      </c>
      <c r="BW1798" s="2">
        <v>23.556248251160401</v>
      </c>
      <c r="BX1798" s="2">
        <v>23.404628474263198</v>
      </c>
      <c r="BY1798" s="2">
        <v>21.351729751093</v>
      </c>
      <c r="BZ1798" s="2">
        <v>22.635084389449201</v>
      </c>
      <c r="CA1798" s="2">
        <v>22.326058612199901</v>
      </c>
      <c r="CB1798" s="2">
        <v>21.8948855900524</v>
      </c>
      <c r="CC1798" s="2">
        <v>22.964819668902901</v>
      </c>
      <c r="CD1798" s="2">
        <v>22.482254581418399</v>
      </c>
      <c r="CE1798" s="2">
        <v>22.6683228364708</v>
      </c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</row>
    <row r="1799" spans="1:97">
      <c r="A1799" s="2" t="s">
        <v>15833</v>
      </c>
      <c r="B1799" s="2">
        <v>590.34586000000002</v>
      </c>
      <c r="C1799" s="2">
        <v>10.548999999999999</v>
      </c>
      <c r="D1799" s="2" t="s">
        <v>146</v>
      </c>
      <c r="E1799" s="2" t="s">
        <v>15834</v>
      </c>
      <c r="F1799" s="2" t="s">
        <v>15835</v>
      </c>
      <c r="G1799" s="2">
        <v>27825</v>
      </c>
      <c r="H1799" s="3" t="str">
        <f>HYPERLINK("https://cloud.oebiotech.com/#/lm/network/27825", "https://cloud.oebiotech.com/#/lm/network/27825")</f>
        <v>https://cloud.oebiotech.com/#/lm/network/27825</v>
      </c>
      <c r="I1799" s="2"/>
      <c r="J1799" s="2">
        <v>45374</v>
      </c>
      <c r="K1799" s="2" t="s">
        <v>15836</v>
      </c>
      <c r="L1799" s="2">
        <v>46907872</v>
      </c>
      <c r="M1799" s="2"/>
      <c r="N1799" s="2"/>
      <c r="O1799" s="2"/>
      <c r="P1799" s="2">
        <v>61822</v>
      </c>
      <c r="Q1799" s="2"/>
      <c r="R1799" s="2"/>
      <c r="S1799" s="2" t="s">
        <v>15837</v>
      </c>
      <c r="T1799" s="2" t="s">
        <v>15838</v>
      </c>
      <c r="U1799" s="2" t="s">
        <v>15839</v>
      </c>
      <c r="V1799" s="2" t="s">
        <v>95</v>
      </c>
      <c r="W1799" s="2" t="s">
        <v>202</v>
      </c>
      <c r="X1799" s="2" t="s">
        <v>203</v>
      </c>
      <c r="Y1799" s="2" t="s">
        <v>98</v>
      </c>
      <c r="Z1799" s="2" t="s">
        <v>204</v>
      </c>
      <c r="AA1799" s="2" t="s">
        <v>205</v>
      </c>
      <c r="AB1799" s="2" t="s">
        <v>8443</v>
      </c>
      <c r="AC1799" s="2">
        <v>39.81</v>
      </c>
      <c r="AD1799" s="2">
        <v>99.03</v>
      </c>
      <c r="AE1799" s="2">
        <v>0</v>
      </c>
      <c r="AF1799" s="2" t="s">
        <v>15840</v>
      </c>
      <c r="AG1799" s="2" t="s">
        <v>993</v>
      </c>
      <c r="AH1799" s="2" t="s">
        <v>15841</v>
      </c>
      <c r="AI1799" s="2">
        <v>-0.17</v>
      </c>
      <c r="AJ1799" s="2">
        <v>22.3270173944533</v>
      </c>
      <c r="AK1799" s="2">
        <v>22.300345610870298</v>
      </c>
      <c r="AL1799" s="2">
        <v>22.026412514135</v>
      </c>
      <c r="AM1799" s="2">
        <v>22.356179955688699</v>
      </c>
      <c r="AN1799" s="2">
        <v>22.345472949429599</v>
      </c>
      <c r="AO1799" s="2">
        <v>22.2374370915187</v>
      </c>
      <c r="AP1799" s="2">
        <v>22.259406566564301</v>
      </c>
      <c r="AQ1799" s="2">
        <v>22.511352601301802</v>
      </c>
      <c r="AR1799" s="2">
        <v>23.097490771853298</v>
      </c>
      <c r="AS1799" s="2">
        <v>20.198723709357999</v>
      </c>
      <c r="AT1799" s="2">
        <v>22.247583217407399</v>
      </c>
      <c r="AU1799" s="2">
        <v>22.114074028912501</v>
      </c>
      <c r="AV1799" s="2">
        <v>21.801987807446402</v>
      </c>
      <c r="AW1799" s="2">
        <v>22.383283688892298</v>
      </c>
      <c r="AX1799" s="2">
        <v>22.167369752990499</v>
      </c>
      <c r="AY1799" s="2">
        <v>21.5922610853568</v>
      </c>
      <c r="AZ1799" s="2">
        <v>21.943442250639599</v>
      </c>
      <c r="BA1799" s="2">
        <v>21.460460625905299</v>
      </c>
      <c r="BB1799" s="2">
        <v>21.620962349657901</v>
      </c>
      <c r="BC1799" s="2">
        <v>22.047392393649599</v>
      </c>
      <c r="BD1799" s="2">
        <v>22.129012461098402</v>
      </c>
      <c r="BE1799" s="2">
        <v>21.241165295253399</v>
      </c>
      <c r="BF1799" s="2">
        <v>21.540603767648999</v>
      </c>
      <c r="BG1799" s="2">
        <v>22.624077242565502</v>
      </c>
      <c r="BH1799" s="2">
        <v>21.604267429398099</v>
      </c>
      <c r="BI1799" s="2">
        <v>23.3511114841987</v>
      </c>
      <c r="BJ1799" s="2">
        <v>21.957679018503701</v>
      </c>
      <c r="BK1799" s="2">
        <v>22.064164754177298</v>
      </c>
      <c r="BL1799" s="2">
        <v>22.710740306783801</v>
      </c>
      <c r="BM1799" s="2">
        <v>21.1362448686139</v>
      </c>
      <c r="BN1799" s="2">
        <v>22.532676674244499</v>
      </c>
      <c r="BO1799" s="2">
        <v>22.334235236264298</v>
      </c>
      <c r="BP1799" s="2">
        <v>22.2314225418252</v>
      </c>
      <c r="BQ1799" s="2">
        <v>22.020524607694298</v>
      </c>
      <c r="BR1799" s="2">
        <v>22.3966531192346</v>
      </c>
      <c r="BS1799" s="2">
        <v>22.772319817949299</v>
      </c>
      <c r="BT1799" s="2">
        <v>21.4038173119087</v>
      </c>
      <c r="BU1799" s="2">
        <v>21.302705484391101</v>
      </c>
      <c r="BV1799" s="2">
        <v>22.045077351980702</v>
      </c>
      <c r="BW1799" s="2">
        <v>21.003909971314101</v>
      </c>
      <c r="BX1799" s="2">
        <v>22.393039870374</v>
      </c>
      <c r="BY1799" s="2">
        <v>22.167891516791801</v>
      </c>
      <c r="BZ1799" s="2">
        <v>21.523101718096701</v>
      </c>
      <c r="CA1799" s="2">
        <v>22.416246378958601</v>
      </c>
      <c r="CB1799" s="2">
        <v>22.407334435600902</v>
      </c>
      <c r="CC1799" s="2">
        <v>22.597792667584901</v>
      </c>
      <c r="CD1799" s="2">
        <v>22.720310422857398</v>
      </c>
      <c r="CE1799" s="2">
        <v>22.096553336295301</v>
      </c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</row>
    <row r="1800" spans="1:97">
      <c r="A1800" s="2" t="s">
        <v>15842</v>
      </c>
      <c r="B1800" s="2">
        <v>445.11934000000002</v>
      </c>
      <c r="C1800" s="2">
        <v>12.345000000000001</v>
      </c>
      <c r="D1800" s="2" t="s">
        <v>84</v>
      </c>
      <c r="E1800" s="2" t="s">
        <v>15843</v>
      </c>
      <c r="F1800" s="2" t="s">
        <v>15844</v>
      </c>
      <c r="G1800" s="2">
        <v>203244</v>
      </c>
      <c r="H1800" s="3" t="str">
        <f>HYPERLINK("https://cloud.oebiotech.com/#/lm/network/203244", "https://cloud.oebiotech.com/#/lm/network/203244")</f>
        <v>https://cloud.oebiotech.com/#/lm/network/203244</v>
      </c>
      <c r="I1800" s="2" t="s">
        <v>15845</v>
      </c>
      <c r="J1800" s="2"/>
      <c r="K1800" s="2"/>
      <c r="L1800" s="2">
        <v>2077</v>
      </c>
      <c r="M1800" s="2"/>
      <c r="N1800" s="2"/>
      <c r="O1800" s="2"/>
      <c r="P1800" s="2"/>
      <c r="Q1800" s="2"/>
      <c r="R1800" s="2"/>
      <c r="S1800" s="2"/>
      <c r="T1800" s="2" t="s">
        <v>15846</v>
      </c>
      <c r="U1800" s="2" t="s">
        <v>15847</v>
      </c>
      <c r="V1800" s="2" t="s">
        <v>115</v>
      </c>
      <c r="W1800" s="2" t="s">
        <v>116</v>
      </c>
      <c r="X1800" s="2" t="s">
        <v>117</v>
      </c>
      <c r="Y1800" s="2" t="s">
        <v>118</v>
      </c>
      <c r="Z1800" s="2" t="s">
        <v>119</v>
      </c>
      <c r="AA1800" s="2" t="s">
        <v>120</v>
      </c>
      <c r="AB1800" s="2" t="s">
        <v>8443</v>
      </c>
      <c r="AC1800" s="2">
        <v>39.770000000000003</v>
      </c>
      <c r="AD1800" s="2">
        <v>74.61</v>
      </c>
      <c r="AE1800" s="2">
        <v>30.31</v>
      </c>
      <c r="AF1800" s="2" t="s">
        <v>15848</v>
      </c>
      <c r="AG1800" s="2" t="s">
        <v>3544</v>
      </c>
      <c r="AH1800" s="2" t="s">
        <v>15849</v>
      </c>
      <c r="AI1800" s="2">
        <v>0.22</v>
      </c>
      <c r="AJ1800" s="2">
        <v>18.9041221886107</v>
      </c>
      <c r="AK1800" s="2">
        <v>20.265422894704699</v>
      </c>
      <c r="AL1800" s="2">
        <v>19.784310478737599</v>
      </c>
      <c r="AM1800" s="2">
        <v>19.913521762171602</v>
      </c>
      <c r="AN1800" s="2">
        <v>20.160802757709099</v>
      </c>
      <c r="AO1800" s="2">
        <v>20.423659668901902</v>
      </c>
      <c r="AP1800" s="2">
        <v>19.6340563655579</v>
      </c>
      <c r="AQ1800" s="2">
        <v>19.9409159709239</v>
      </c>
      <c r="AR1800" s="2">
        <v>19.657618654126001</v>
      </c>
      <c r="AS1800" s="2">
        <v>19.0140496831985</v>
      </c>
      <c r="AT1800" s="2">
        <v>18.114601226452301</v>
      </c>
      <c r="AU1800" s="2">
        <v>18.428247089654601</v>
      </c>
      <c r="AV1800" s="2">
        <v>18.730815756947699</v>
      </c>
      <c r="AW1800" s="2">
        <v>18.6761485454922</v>
      </c>
      <c r="AX1800" s="2">
        <v>18.888349064805901</v>
      </c>
      <c r="AY1800" s="2">
        <v>18.949133243177801</v>
      </c>
      <c r="AZ1800" s="2">
        <v>9.6233145402724691</v>
      </c>
      <c r="BA1800" s="2">
        <v>19.9157353039901</v>
      </c>
      <c r="BB1800" s="2">
        <v>18.245992479609299</v>
      </c>
      <c r="BC1800" s="2">
        <v>19.8220891634537</v>
      </c>
      <c r="BD1800" s="2">
        <v>18.183464706477999</v>
      </c>
      <c r="BE1800" s="2">
        <v>16.833346592657399</v>
      </c>
      <c r="BF1800" s="2">
        <v>9.6233145402724691</v>
      </c>
      <c r="BG1800" s="2">
        <v>18.512863968530301</v>
      </c>
      <c r="BH1800" s="2">
        <v>18.2825983950489</v>
      </c>
      <c r="BI1800" s="2">
        <v>18.5492449624317</v>
      </c>
      <c r="BJ1800" s="2">
        <v>19.052179720252099</v>
      </c>
      <c r="BK1800" s="2">
        <v>18.483020602469701</v>
      </c>
      <c r="BL1800" s="2">
        <v>19.521588325205599</v>
      </c>
      <c r="BM1800" s="2">
        <v>16.192634951568401</v>
      </c>
      <c r="BN1800" s="2">
        <v>18.5140877313614</v>
      </c>
      <c r="BO1800" s="2">
        <v>18.934405924539401</v>
      </c>
      <c r="BP1800" s="2">
        <v>17.618488816563499</v>
      </c>
      <c r="BQ1800" s="2">
        <v>18.346759822847101</v>
      </c>
      <c r="BR1800" s="2">
        <v>18.928835335245001</v>
      </c>
      <c r="BS1800" s="2">
        <v>17.815289846859301</v>
      </c>
      <c r="BT1800" s="2">
        <v>19.947251887307001</v>
      </c>
      <c r="BU1800" s="2">
        <v>18.6651518832658</v>
      </c>
      <c r="BV1800" s="2">
        <v>17.837619187298898</v>
      </c>
      <c r="BW1800" s="2">
        <v>17.284875869352</v>
      </c>
      <c r="BX1800" s="2">
        <v>19.056398436702398</v>
      </c>
      <c r="BY1800" s="2">
        <v>18.7986536706713</v>
      </c>
      <c r="BZ1800" s="2">
        <v>18.672245698348199</v>
      </c>
      <c r="CA1800" s="2">
        <v>9.6233145402724691</v>
      </c>
      <c r="CB1800" s="2">
        <v>18.393441909521101</v>
      </c>
      <c r="CC1800" s="2">
        <v>17.7767084851255</v>
      </c>
      <c r="CD1800" s="2">
        <v>9.6233145402724691</v>
      </c>
      <c r="CE1800" s="2">
        <v>18.584258511772902</v>
      </c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</row>
    <row r="1801" spans="1:97">
      <c r="A1801" s="2" t="s">
        <v>15850</v>
      </c>
      <c r="B1801" s="2">
        <v>364.06027999999998</v>
      </c>
      <c r="C1801" s="2">
        <v>5.484</v>
      </c>
      <c r="D1801" s="2" t="s">
        <v>146</v>
      </c>
      <c r="E1801" s="2" t="s">
        <v>15851</v>
      </c>
      <c r="F1801" s="2" t="s">
        <v>15852</v>
      </c>
      <c r="G1801" s="2">
        <v>61945</v>
      </c>
      <c r="H1801" s="3" t="str">
        <f>HYPERLINK("https://cloud.oebiotech.com/#/lm/network/61945", "https://cloud.oebiotech.com/#/lm/network/61945")</f>
        <v>https://cloud.oebiotech.com/#/lm/network/61945</v>
      </c>
      <c r="I1801" s="2" t="s">
        <v>15853</v>
      </c>
      <c r="J1801" s="2">
        <v>93245</v>
      </c>
      <c r="K1801" s="2"/>
      <c r="L1801" s="2">
        <v>10087955</v>
      </c>
      <c r="M1801" s="2"/>
      <c r="N1801" s="2"/>
      <c r="O1801" s="2"/>
      <c r="P1801" s="2">
        <v>167489</v>
      </c>
      <c r="Q1801" s="2"/>
      <c r="R1801" s="2"/>
      <c r="S1801" s="2" t="s">
        <v>15854</v>
      </c>
      <c r="T1801" s="2" t="s">
        <v>15855</v>
      </c>
      <c r="U1801" s="2" t="s">
        <v>15856</v>
      </c>
      <c r="V1801" s="2" t="s">
        <v>845</v>
      </c>
      <c r="W1801" s="2" t="s">
        <v>970</v>
      </c>
      <c r="X1801" s="2" t="s">
        <v>971</v>
      </c>
      <c r="Y1801" s="2" t="s">
        <v>847</v>
      </c>
      <c r="Z1801" s="2" t="s">
        <v>972</v>
      </c>
      <c r="AA1801" s="2" t="s">
        <v>973</v>
      </c>
      <c r="AB1801" s="2" t="s">
        <v>8443</v>
      </c>
      <c r="AC1801" s="2">
        <v>39.75</v>
      </c>
      <c r="AD1801" s="2">
        <v>69.34</v>
      </c>
      <c r="AE1801" s="2">
        <v>0</v>
      </c>
      <c r="AF1801" s="2" t="s">
        <v>5614</v>
      </c>
      <c r="AG1801" s="2" t="s">
        <v>4062</v>
      </c>
      <c r="AH1801" s="2" t="s">
        <v>15857</v>
      </c>
      <c r="AI1801" s="2">
        <v>-2.75</v>
      </c>
      <c r="AJ1801" s="2">
        <v>17.466989251538202</v>
      </c>
      <c r="AK1801" s="2">
        <v>17.379310332972899</v>
      </c>
      <c r="AL1801" s="2">
        <v>17.236660684088601</v>
      </c>
      <c r="AM1801" s="2">
        <v>17.190566347100301</v>
      </c>
      <c r="AN1801" s="2">
        <v>17.552256166623099</v>
      </c>
      <c r="AO1801" s="2">
        <v>17.3359092358785</v>
      </c>
      <c r="AP1801" s="2">
        <v>16.306571734685999</v>
      </c>
      <c r="AQ1801" s="2">
        <v>16.897586931078902</v>
      </c>
      <c r="AR1801" s="2">
        <v>17.459075351677399</v>
      </c>
      <c r="AS1801" s="2">
        <v>9.6233145402724691</v>
      </c>
      <c r="AT1801" s="2">
        <v>15.302778845856</v>
      </c>
      <c r="AU1801" s="2">
        <v>16.361114307715098</v>
      </c>
      <c r="AV1801" s="2">
        <v>17.378587314801599</v>
      </c>
      <c r="AW1801" s="2">
        <v>18.220485082271399</v>
      </c>
      <c r="AX1801" s="2">
        <v>17.7546922674976</v>
      </c>
      <c r="AY1801" s="2">
        <v>18.121579703643899</v>
      </c>
      <c r="AZ1801" s="2">
        <v>15.229822967573099</v>
      </c>
      <c r="BA1801" s="2">
        <v>17.734504358654601</v>
      </c>
      <c r="BB1801" s="2">
        <v>16.7948981056653</v>
      </c>
      <c r="BC1801" s="2">
        <v>17.842048829604099</v>
      </c>
      <c r="BD1801" s="2">
        <v>16.967773831346801</v>
      </c>
      <c r="BE1801" s="2">
        <v>17.1817455884084</v>
      </c>
      <c r="BF1801" s="2">
        <v>18.016507168959699</v>
      </c>
      <c r="BG1801" s="2">
        <v>17.430642513607602</v>
      </c>
      <c r="BH1801" s="2">
        <v>15.0080573954925</v>
      </c>
      <c r="BI1801" s="2">
        <v>15.631875606689301</v>
      </c>
      <c r="BJ1801" s="2">
        <v>15.5017215159217</v>
      </c>
      <c r="BK1801" s="2">
        <v>17.559832641097898</v>
      </c>
      <c r="BL1801" s="2">
        <v>16.846139215648801</v>
      </c>
      <c r="BM1801" s="2">
        <v>9.6233145402724691</v>
      </c>
      <c r="BN1801" s="2">
        <v>14.8295929263272</v>
      </c>
      <c r="BO1801" s="2">
        <v>16.826728589493801</v>
      </c>
      <c r="BP1801" s="2">
        <v>17.7193872833715</v>
      </c>
      <c r="BQ1801" s="2">
        <v>17.747121439506099</v>
      </c>
      <c r="BR1801" s="2">
        <v>17.815817810229699</v>
      </c>
      <c r="BS1801" s="2">
        <v>17.927719001919399</v>
      </c>
      <c r="BT1801" s="2">
        <v>16.590190242518698</v>
      </c>
      <c r="BU1801" s="2">
        <v>16.977056945121699</v>
      </c>
      <c r="BV1801" s="2">
        <v>12.8849069452561</v>
      </c>
      <c r="BW1801" s="2">
        <v>17.436021777370001</v>
      </c>
      <c r="BX1801" s="2">
        <v>17.1944964041482</v>
      </c>
      <c r="BY1801" s="2">
        <v>17.892477358852599</v>
      </c>
      <c r="BZ1801" s="2">
        <v>17.577976712651601</v>
      </c>
      <c r="CA1801" s="2">
        <v>16.593334073346501</v>
      </c>
      <c r="CB1801" s="2">
        <v>14.7395206270456</v>
      </c>
      <c r="CC1801" s="2">
        <v>16.159940892486599</v>
      </c>
      <c r="CD1801" s="2">
        <v>15.4640006803037</v>
      </c>
      <c r="CE1801" s="2">
        <v>18.311991628671301</v>
      </c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</row>
    <row r="1802" spans="1:97">
      <c r="A1802" s="2" t="s">
        <v>15858</v>
      </c>
      <c r="B1802" s="2">
        <v>466.99943999999999</v>
      </c>
      <c r="C1802" s="2">
        <v>3.6480000000000001</v>
      </c>
      <c r="D1802" s="2" t="s">
        <v>146</v>
      </c>
      <c r="E1802" s="2" t="s">
        <v>15859</v>
      </c>
      <c r="F1802" s="2" t="s">
        <v>15860</v>
      </c>
      <c r="G1802" s="2">
        <v>61233</v>
      </c>
      <c r="H1802" s="3" t="str">
        <f>HYPERLINK("https://cloud.oebiotech.com/#/lm/network/61233", "https://cloud.oebiotech.com/#/lm/network/61233")</f>
        <v>https://cloud.oebiotech.com/#/lm/network/61233</v>
      </c>
      <c r="I1802" s="2" t="s">
        <v>15861</v>
      </c>
      <c r="J1802" s="2"/>
      <c r="K1802" s="2"/>
      <c r="L1802" s="2"/>
      <c r="M1802" s="2"/>
      <c r="N1802" s="2"/>
      <c r="O1802" s="2"/>
      <c r="P1802" s="2"/>
      <c r="Q1802" s="2"/>
      <c r="R1802" s="2"/>
      <c r="S1802" s="2" t="s">
        <v>15862</v>
      </c>
      <c r="T1802" s="2" t="s">
        <v>15863</v>
      </c>
      <c r="U1802" s="2" t="s">
        <v>15864</v>
      </c>
      <c r="V1802" s="2" t="s">
        <v>553</v>
      </c>
      <c r="W1802" s="2" t="s">
        <v>554</v>
      </c>
      <c r="X1802" s="2" t="s">
        <v>15865</v>
      </c>
      <c r="Y1802" s="2" t="s">
        <v>556</v>
      </c>
      <c r="Z1802" s="2" t="s">
        <v>557</v>
      </c>
      <c r="AA1802" s="2" t="s">
        <v>15866</v>
      </c>
      <c r="AB1802" s="2" t="s">
        <v>8443</v>
      </c>
      <c r="AC1802" s="2">
        <v>39.75</v>
      </c>
      <c r="AD1802" s="2">
        <v>81.900000000000006</v>
      </c>
      <c r="AE1802" s="2">
        <v>0</v>
      </c>
      <c r="AF1802" s="2" t="s">
        <v>5614</v>
      </c>
      <c r="AG1802" s="2" t="s">
        <v>194</v>
      </c>
      <c r="AH1802" s="2" t="s">
        <v>15867</v>
      </c>
      <c r="AI1802" s="2">
        <v>-4.5</v>
      </c>
      <c r="AJ1802" s="2">
        <v>17.159106495456701</v>
      </c>
      <c r="AK1802" s="2">
        <v>17.355321498847001</v>
      </c>
      <c r="AL1802" s="2">
        <v>17.094035199459299</v>
      </c>
      <c r="AM1802" s="2">
        <v>16.911781330941</v>
      </c>
      <c r="AN1802" s="2">
        <v>17.088674178169398</v>
      </c>
      <c r="AO1802" s="2">
        <v>17.284155452024301</v>
      </c>
      <c r="AP1802" s="2">
        <v>17.139526471929798</v>
      </c>
      <c r="AQ1802" s="2">
        <v>17.171911233215599</v>
      </c>
      <c r="AR1802" s="2">
        <v>16.182806919778301</v>
      </c>
      <c r="AS1802" s="2">
        <v>15.324712878264</v>
      </c>
      <c r="AT1802" s="2">
        <v>17.073474664464499</v>
      </c>
      <c r="AU1802" s="2">
        <v>17.027927480509</v>
      </c>
      <c r="AV1802" s="2">
        <v>17.157931786529801</v>
      </c>
      <c r="AW1802" s="2">
        <v>16.9572132737426</v>
      </c>
      <c r="AX1802" s="2">
        <v>17.1304664953417</v>
      </c>
      <c r="AY1802" s="2">
        <v>17.1938313116943</v>
      </c>
      <c r="AZ1802" s="2">
        <v>16.955711993474299</v>
      </c>
      <c r="BA1802" s="2">
        <v>16.5497517341357</v>
      </c>
      <c r="BB1802" s="2">
        <v>17.261871242619598</v>
      </c>
      <c r="BC1802" s="2">
        <v>17.098388681392699</v>
      </c>
      <c r="BD1802" s="2">
        <v>16.698540406545799</v>
      </c>
      <c r="BE1802" s="2">
        <v>17.280949700622902</v>
      </c>
      <c r="BF1802" s="2">
        <v>17.431053222838901</v>
      </c>
      <c r="BG1802" s="2">
        <v>17.0156923916899</v>
      </c>
      <c r="BH1802" s="2">
        <v>16.9801046481053</v>
      </c>
      <c r="BI1802" s="2">
        <v>16.6348642145459</v>
      </c>
      <c r="BJ1802" s="2">
        <v>17.338376882518599</v>
      </c>
      <c r="BK1802" s="2">
        <v>17.158501509641301</v>
      </c>
      <c r="BL1802" s="2">
        <v>16.920474284581601</v>
      </c>
      <c r="BM1802" s="2">
        <v>17.369838933850399</v>
      </c>
      <c r="BN1802" s="2">
        <v>17.471450887083101</v>
      </c>
      <c r="BO1802" s="2">
        <v>16.818582177480899</v>
      </c>
      <c r="BP1802" s="2">
        <v>17.142676681703399</v>
      </c>
      <c r="BQ1802" s="2">
        <v>17.265743682766399</v>
      </c>
      <c r="BR1802" s="2">
        <v>17.317290799963601</v>
      </c>
      <c r="BS1802" s="2">
        <v>16.996087253066801</v>
      </c>
      <c r="BT1802" s="2">
        <v>17.1984993333426</v>
      </c>
      <c r="BU1802" s="2">
        <v>16.794687463055102</v>
      </c>
      <c r="BV1802" s="2">
        <v>17.089573893630899</v>
      </c>
      <c r="BW1802" s="2">
        <v>16.5696049538873</v>
      </c>
      <c r="BX1802" s="2">
        <v>17.377376027440398</v>
      </c>
      <c r="BY1802" s="2">
        <v>17.6403148489673</v>
      </c>
      <c r="BZ1802" s="2">
        <v>17.601754034039502</v>
      </c>
      <c r="CA1802" s="2">
        <v>17.528579864922701</v>
      </c>
      <c r="CB1802" s="2">
        <v>17.106863163976101</v>
      </c>
      <c r="CC1802" s="2">
        <v>16.537935140449299</v>
      </c>
      <c r="CD1802" s="2">
        <v>17.6497672847585</v>
      </c>
      <c r="CE1802" s="2">
        <v>17.169498360240699</v>
      </c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</row>
    <row r="1803" spans="1:97">
      <c r="A1803" s="2" t="s">
        <v>15868</v>
      </c>
      <c r="B1803" s="2">
        <v>454.16295000000002</v>
      </c>
      <c r="C1803" s="2">
        <v>7.5410000000000004</v>
      </c>
      <c r="D1803" s="2" t="s">
        <v>84</v>
      </c>
      <c r="E1803" s="2" t="s">
        <v>15869</v>
      </c>
      <c r="F1803" s="2" t="s">
        <v>15870</v>
      </c>
      <c r="G1803" s="2">
        <v>206476</v>
      </c>
      <c r="H1803" s="3" t="str">
        <f>HYPERLINK("https://cloud.oebiotech.com/#/lm/network/206476", "https://cloud.oebiotech.com/#/lm/network/206476")</f>
        <v>https://cloud.oebiotech.com/#/lm/network/206476</v>
      </c>
      <c r="I1803" s="2" t="s">
        <v>15871</v>
      </c>
      <c r="J1803" s="2"/>
      <c r="K1803" s="2"/>
      <c r="L1803" s="2">
        <v>75075340</v>
      </c>
      <c r="M1803" s="2"/>
      <c r="N1803" s="2"/>
      <c r="O1803" s="2"/>
      <c r="P1803" s="2"/>
      <c r="Q1803" s="2"/>
      <c r="R1803" s="2"/>
      <c r="S1803" s="2"/>
      <c r="T1803" s="2" t="s">
        <v>15872</v>
      </c>
      <c r="U1803" s="2" t="s">
        <v>15873</v>
      </c>
      <c r="V1803" s="2" t="s">
        <v>385</v>
      </c>
      <c r="W1803" s="2" t="s">
        <v>386</v>
      </c>
      <c r="X1803" s="2" t="s">
        <v>2011</v>
      </c>
      <c r="Y1803" s="2" t="s">
        <v>388</v>
      </c>
      <c r="Z1803" s="2" t="s">
        <v>389</v>
      </c>
      <c r="AA1803" s="2" t="s">
        <v>2012</v>
      </c>
      <c r="AB1803" s="2" t="s">
        <v>8443</v>
      </c>
      <c r="AC1803" s="2">
        <v>39.729999999999997</v>
      </c>
      <c r="AD1803" s="2">
        <v>74.41</v>
      </c>
      <c r="AE1803" s="2">
        <v>30.29</v>
      </c>
      <c r="AF1803" s="2" t="s">
        <v>15874</v>
      </c>
      <c r="AG1803" s="2" t="s">
        <v>132</v>
      </c>
      <c r="AH1803" s="2" t="s">
        <v>15875</v>
      </c>
      <c r="AI1803" s="2">
        <v>-0.66</v>
      </c>
      <c r="AJ1803" s="2">
        <v>20.8498404828341</v>
      </c>
      <c r="AK1803" s="2">
        <v>20.894331580151</v>
      </c>
      <c r="AL1803" s="2">
        <v>20.7475000048365</v>
      </c>
      <c r="AM1803" s="2">
        <v>21.002120644646201</v>
      </c>
      <c r="AN1803" s="2">
        <v>20.869759345364901</v>
      </c>
      <c r="AO1803" s="2">
        <v>20.913188765628099</v>
      </c>
      <c r="AP1803" s="2">
        <v>20.758632009118699</v>
      </c>
      <c r="AQ1803" s="2">
        <v>20.876718095393802</v>
      </c>
      <c r="AR1803" s="2">
        <v>19.5062098423608</v>
      </c>
      <c r="AS1803" s="2">
        <v>18.105800140773699</v>
      </c>
      <c r="AT1803" s="2">
        <v>19.388994234865901</v>
      </c>
      <c r="AU1803" s="2">
        <v>20.025286419246498</v>
      </c>
      <c r="AV1803" s="2">
        <v>21.594435104878102</v>
      </c>
      <c r="AW1803" s="2">
        <v>21.334260866140099</v>
      </c>
      <c r="AX1803" s="2">
        <v>21.199280032908899</v>
      </c>
      <c r="AY1803" s="2">
        <v>21.623247054593801</v>
      </c>
      <c r="AZ1803" s="2">
        <v>20.869735010665401</v>
      </c>
      <c r="BA1803" s="2">
        <v>20.3910187068008</v>
      </c>
      <c r="BB1803" s="2">
        <v>19.9154091352808</v>
      </c>
      <c r="BC1803" s="2">
        <v>22.2197202427799</v>
      </c>
      <c r="BD1803" s="2">
        <v>20.736191161729099</v>
      </c>
      <c r="BE1803" s="2">
        <v>21.713207846911502</v>
      </c>
      <c r="BF1803" s="2">
        <v>20.4707337543379</v>
      </c>
      <c r="BG1803" s="2">
        <v>20.945027763288898</v>
      </c>
      <c r="BH1803" s="2">
        <v>20.748243961607901</v>
      </c>
      <c r="BI1803" s="2">
        <v>18.001565155912701</v>
      </c>
      <c r="BJ1803" s="2">
        <v>20.421475513475499</v>
      </c>
      <c r="BK1803" s="2">
        <v>20.8283323116834</v>
      </c>
      <c r="BL1803" s="2">
        <v>20.055877353553001</v>
      </c>
      <c r="BM1803" s="2">
        <v>19.2943895660569</v>
      </c>
      <c r="BN1803" s="2">
        <v>18.863920669954201</v>
      </c>
      <c r="BO1803" s="2">
        <v>20.359025133845499</v>
      </c>
      <c r="BP1803" s="2">
        <v>21.832280536308101</v>
      </c>
      <c r="BQ1803" s="2">
        <v>20.7532207978721</v>
      </c>
      <c r="BR1803" s="2">
        <v>21.3332062930508</v>
      </c>
      <c r="BS1803" s="2">
        <v>21.311250226423699</v>
      </c>
      <c r="BT1803" s="2">
        <v>20.483568768895001</v>
      </c>
      <c r="BU1803" s="2">
        <v>19.790222543101098</v>
      </c>
      <c r="BV1803" s="2">
        <v>18.341450456921802</v>
      </c>
      <c r="BW1803" s="2">
        <v>21.2133645663035</v>
      </c>
      <c r="BX1803" s="2">
        <v>21.156669254552099</v>
      </c>
      <c r="BY1803" s="2">
        <v>22.345382358974</v>
      </c>
      <c r="BZ1803" s="2">
        <v>20.231869765224999</v>
      </c>
      <c r="CA1803" s="2">
        <v>19.405332875509199</v>
      </c>
      <c r="CB1803" s="2">
        <v>21.172443038005099</v>
      </c>
      <c r="CC1803" s="2">
        <v>19.175477868259101</v>
      </c>
      <c r="CD1803" s="2">
        <v>20.623331778514199</v>
      </c>
      <c r="CE1803" s="2">
        <v>21.223864967305499</v>
      </c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</row>
    <row r="1804" spans="1:97">
      <c r="A1804" s="2" t="s">
        <v>15876</v>
      </c>
      <c r="B1804" s="2">
        <v>92.024199999999993</v>
      </c>
      <c r="C1804" s="2">
        <v>0.58399999999999996</v>
      </c>
      <c r="D1804" s="2" t="s">
        <v>84</v>
      </c>
      <c r="E1804" s="2" t="s">
        <v>15877</v>
      </c>
      <c r="F1804" s="2" t="s">
        <v>15878</v>
      </c>
      <c r="G1804" s="2">
        <v>207761</v>
      </c>
      <c r="H1804" s="3" t="str">
        <f>HYPERLINK("https://cloud.oebiotech.com/#/lm/network/207761", "https://cloud.oebiotech.com/#/lm/network/207761")</f>
        <v>https://cloud.oebiotech.com/#/lm/network/207761</v>
      </c>
      <c r="I1804" s="2" t="s">
        <v>15879</v>
      </c>
      <c r="J1804" s="2"/>
      <c r="K1804" s="2"/>
      <c r="L1804" s="2">
        <v>66624294</v>
      </c>
      <c r="M1804" s="2"/>
      <c r="N1804" s="2"/>
      <c r="O1804" s="2"/>
      <c r="P1804" s="2"/>
      <c r="Q1804" s="2"/>
      <c r="R1804" s="2"/>
      <c r="S1804" s="2"/>
      <c r="T1804" s="2" t="s">
        <v>15880</v>
      </c>
      <c r="U1804" s="2" t="s">
        <v>15881</v>
      </c>
      <c r="V1804" s="2" t="s">
        <v>553</v>
      </c>
      <c r="W1804" s="2" t="s">
        <v>5114</v>
      </c>
      <c r="X1804" s="2" t="s">
        <v>5115</v>
      </c>
      <c r="Y1804" s="2" t="s">
        <v>556</v>
      </c>
      <c r="Z1804" s="2" t="s">
        <v>5116</v>
      </c>
      <c r="AA1804" s="2" t="s">
        <v>5117</v>
      </c>
      <c r="AB1804" s="2" t="s">
        <v>8443</v>
      </c>
      <c r="AC1804" s="2">
        <v>39.729999999999997</v>
      </c>
      <c r="AD1804" s="2">
        <v>97.04</v>
      </c>
      <c r="AE1804" s="2">
        <v>0</v>
      </c>
      <c r="AF1804" s="2" t="s">
        <v>5614</v>
      </c>
      <c r="AG1804" s="2" t="s">
        <v>1088</v>
      </c>
      <c r="AH1804" s="2" t="s">
        <v>15882</v>
      </c>
      <c r="AI1804" s="2">
        <v>7.72</v>
      </c>
      <c r="AJ1804" s="2">
        <v>21.240859783567402</v>
      </c>
      <c r="AK1804" s="2">
        <v>21.475049486257902</v>
      </c>
      <c r="AL1804" s="2">
        <v>21.694703149503201</v>
      </c>
      <c r="AM1804" s="2">
        <v>21.357232527832899</v>
      </c>
      <c r="AN1804" s="2">
        <v>21.582596428419698</v>
      </c>
      <c r="AO1804" s="2">
        <v>20.716318941013299</v>
      </c>
      <c r="AP1804" s="2">
        <v>21.379439956741301</v>
      </c>
      <c r="AQ1804" s="2">
        <v>21.251068730642601</v>
      </c>
      <c r="AR1804" s="2">
        <v>21.045757688680101</v>
      </c>
      <c r="AS1804" s="2">
        <v>20.8072738068626</v>
      </c>
      <c r="AT1804" s="2">
        <v>20.898895215257699</v>
      </c>
      <c r="AU1804" s="2">
        <v>21.285336413094999</v>
      </c>
      <c r="AV1804" s="2">
        <v>21.476093763898199</v>
      </c>
      <c r="AW1804" s="2">
        <v>21.250046723149001</v>
      </c>
      <c r="AX1804" s="2">
        <v>21.520553428380602</v>
      </c>
      <c r="AY1804" s="2">
        <v>20.9884414192021</v>
      </c>
      <c r="AZ1804" s="2">
        <v>21.0757709569939</v>
      </c>
      <c r="BA1804" s="2">
        <v>21.326422843197498</v>
      </c>
      <c r="BB1804" s="2">
        <v>21.729376558183901</v>
      </c>
      <c r="BC1804" s="2">
        <v>21.187434767121701</v>
      </c>
      <c r="BD1804" s="2">
        <v>21.276031626283299</v>
      </c>
      <c r="BE1804" s="2">
        <v>21.292148281606</v>
      </c>
      <c r="BF1804" s="2">
        <v>21.333357690875602</v>
      </c>
      <c r="BG1804" s="2">
        <v>21.330075766764701</v>
      </c>
      <c r="BH1804" s="2">
        <v>21.234520383686199</v>
      </c>
      <c r="BI1804" s="2">
        <v>20.966602514335399</v>
      </c>
      <c r="BJ1804" s="2">
        <v>21.424330356805399</v>
      </c>
      <c r="BK1804" s="2">
        <v>21.270583154571</v>
      </c>
      <c r="BL1804" s="2">
        <v>21.268451239639202</v>
      </c>
      <c r="BM1804" s="2">
        <v>21.470305979962699</v>
      </c>
      <c r="BN1804" s="2">
        <v>21.321649747825798</v>
      </c>
      <c r="BO1804" s="2">
        <v>21.183137056397499</v>
      </c>
      <c r="BP1804" s="2">
        <v>20.694232060165401</v>
      </c>
      <c r="BQ1804" s="2">
        <v>21.059955392702499</v>
      </c>
      <c r="BR1804" s="2">
        <v>21.0657509731668</v>
      </c>
      <c r="BS1804" s="2">
        <v>21.181563328472699</v>
      </c>
      <c r="BT1804" s="2">
        <v>21.169197617365601</v>
      </c>
      <c r="BU1804" s="2">
        <v>21.5317488320444</v>
      </c>
      <c r="BV1804" s="2">
        <v>21.429457905802</v>
      </c>
      <c r="BW1804" s="2">
        <v>21.387321303330101</v>
      </c>
      <c r="BX1804" s="2">
        <v>21.026136941072401</v>
      </c>
      <c r="BY1804" s="2">
        <v>21.657659594198599</v>
      </c>
      <c r="BZ1804" s="2">
        <v>21.343536738121699</v>
      </c>
      <c r="CA1804" s="2">
        <v>20.914061469115101</v>
      </c>
      <c r="CB1804" s="2">
        <v>21.097273182506601</v>
      </c>
      <c r="CC1804" s="2">
        <v>21.212552329722001</v>
      </c>
      <c r="CD1804" s="2">
        <v>20.4817909980545</v>
      </c>
      <c r="CE1804" s="2">
        <v>21.274928359737899</v>
      </c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</row>
    <row r="1805" spans="1:97">
      <c r="A1805" s="2" t="s">
        <v>15883</v>
      </c>
      <c r="B1805" s="2">
        <v>303.00322</v>
      </c>
      <c r="C1805" s="2">
        <v>3.5289999999999999</v>
      </c>
      <c r="D1805" s="2" t="s">
        <v>84</v>
      </c>
      <c r="E1805" s="2" t="s">
        <v>15884</v>
      </c>
      <c r="F1805" s="2" t="s">
        <v>15885</v>
      </c>
      <c r="G1805" s="2">
        <v>53596</v>
      </c>
      <c r="H1805" s="3" t="str">
        <f>HYPERLINK("https://cloud.oebiotech.com/#/lm/network/53596", "https://cloud.oebiotech.com/#/lm/network/53596")</f>
        <v>https://cloud.oebiotech.com/#/lm/network/53596</v>
      </c>
      <c r="I1805" s="2" t="s">
        <v>15886</v>
      </c>
      <c r="J1805" s="2">
        <v>85532</v>
      </c>
      <c r="K1805" s="2"/>
      <c r="L1805" s="2">
        <v>5284553</v>
      </c>
      <c r="M1805" s="2"/>
      <c r="N1805" s="2"/>
      <c r="O1805" s="2"/>
      <c r="P1805" s="2">
        <v>60072</v>
      </c>
      <c r="Q1805" s="2"/>
      <c r="R1805" s="2"/>
      <c r="S1805" s="2" t="s">
        <v>15887</v>
      </c>
      <c r="T1805" s="2" t="s">
        <v>15888</v>
      </c>
      <c r="U1805" s="2" t="s">
        <v>15889</v>
      </c>
      <c r="V1805" s="2" t="s">
        <v>338</v>
      </c>
      <c r="W1805" s="2" t="s">
        <v>11029</v>
      </c>
      <c r="X1805" s="2" t="s">
        <v>15890</v>
      </c>
      <c r="Y1805" s="2" t="s">
        <v>341</v>
      </c>
      <c r="Z1805" s="2" t="s">
        <v>11031</v>
      </c>
      <c r="AA1805" s="2" t="s">
        <v>15891</v>
      </c>
      <c r="AB1805" s="2" t="s">
        <v>8443</v>
      </c>
      <c r="AC1805" s="2">
        <v>39.72</v>
      </c>
      <c r="AD1805" s="2">
        <v>95.53</v>
      </c>
      <c r="AE1805" s="2">
        <v>0</v>
      </c>
      <c r="AF1805" s="2" t="s">
        <v>5614</v>
      </c>
      <c r="AG1805" s="2" t="s">
        <v>103</v>
      </c>
      <c r="AH1805" s="2" t="s">
        <v>15892</v>
      </c>
      <c r="AI1805" s="2">
        <v>7.59</v>
      </c>
      <c r="AJ1805" s="2">
        <v>16.952714974356901</v>
      </c>
      <c r="AK1805" s="2">
        <v>18.148302937898901</v>
      </c>
      <c r="AL1805" s="2">
        <v>18.055810404757501</v>
      </c>
      <c r="AM1805" s="2">
        <v>18.239475931506401</v>
      </c>
      <c r="AN1805" s="2">
        <v>18.3013884818306</v>
      </c>
      <c r="AO1805" s="2">
        <v>18.076287482782998</v>
      </c>
      <c r="AP1805" s="2">
        <v>17.920798045734202</v>
      </c>
      <c r="AQ1805" s="2">
        <v>17.965038229728101</v>
      </c>
      <c r="AR1805" s="2">
        <v>18.349689849290002</v>
      </c>
      <c r="AS1805" s="2">
        <v>16.835960701758399</v>
      </c>
      <c r="AT1805" s="2">
        <v>17.692228624494199</v>
      </c>
      <c r="AU1805" s="2">
        <v>16.327834699876501</v>
      </c>
      <c r="AV1805" s="2">
        <v>18.217802629718499</v>
      </c>
      <c r="AW1805" s="2">
        <v>17.7625788956354</v>
      </c>
      <c r="AX1805" s="2">
        <v>18.240338183221201</v>
      </c>
      <c r="AY1805" s="2">
        <v>16.994131203158702</v>
      </c>
      <c r="AZ1805" s="2">
        <v>17.416109062211699</v>
      </c>
      <c r="BA1805" s="2">
        <v>16.739176460204501</v>
      </c>
      <c r="BB1805" s="2">
        <v>17.309113485044801</v>
      </c>
      <c r="BC1805" s="2">
        <v>17.212765478502298</v>
      </c>
      <c r="BD1805" s="2">
        <v>18.2412494604031</v>
      </c>
      <c r="BE1805" s="2">
        <v>17.035336735561401</v>
      </c>
      <c r="BF1805" s="2">
        <v>16.630789694438398</v>
      </c>
      <c r="BG1805" s="2">
        <v>19.3339849759153</v>
      </c>
      <c r="BH1805" s="2">
        <v>16.303125201681201</v>
      </c>
      <c r="BI1805" s="2">
        <v>19.238726483668501</v>
      </c>
      <c r="BJ1805" s="2">
        <v>18.2482836292649</v>
      </c>
      <c r="BK1805" s="2">
        <v>17.827861625302099</v>
      </c>
      <c r="BL1805" s="2">
        <v>17.992955480455802</v>
      </c>
      <c r="BM1805" s="2">
        <v>17.712910353448098</v>
      </c>
      <c r="BN1805" s="2">
        <v>18.243582826765</v>
      </c>
      <c r="BO1805" s="2">
        <v>16.639968641802302</v>
      </c>
      <c r="BP1805" s="2">
        <v>17.692021725220702</v>
      </c>
      <c r="BQ1805" s="2">
        <v>17.418083025796498</v>
      </c>
      <c r="BR1805" s="2">
        <v>18.064496906412099</v>
      </c>
      <c r="BS1805" s="2">
        <v>17.602840996530102</v>
      </c>
      <c r="BT1805" s="2">
        <v>17.227695468432799</v>
      </c>
      <c r="BU1805" s="2">
        <v>17.4741434471883</v>
      </c>
      <c r="BV1805" s="2">
        <v>17.8332509640918</v>
      </c>
      <c r="BW1805" s="2">
        <v>17.072473365444399</v>
      </c>
      <c r="BX1805" s="2">
        <v>17.580720452210301</v>
      </c>
      <c r="BY1805" s="2">
        <v>18.222772219102101</v>
      </c>
      <c r="BZ1805" s="2">
        <v>16.0909627717466</v>
      </c>
      <c r="CA1805" s="2">
        <v>19.540029404017201</v>
      </c>
      <c r="CB1805" s="2">
        <v>17.4229623102452</v>
      </c>
      <c r="CC1805" s="2">
        <v>18.705956208247201</v>
      </c>
      <c r="CD1805" s="2">
        <v>17.431429045886102</v>
      </c>
      <c r="CE1805" s="2">
        <v>17.5994659250239</v>
      </c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</row>
    <row r="1806" spans="1:97">
      <c r="A1806" s="2" t="s">
        <v>15893</v>
      </c>
      <c r="B1806" s="2">
        <v>469.11022000000003</v>
      </c>
      <c r="C1806" s="2">
        <v>7.3540000000000001</v>
      </c>
      <c r="D1806" s="2" t="s">
        <v>84</v>
      </c>
      <c r="E1806" s="2" t="s">
        <v>15894</v>
      </c>
      <c r="F1806" s="2" t="s">
        <v>15895</v>
      </c>
      <c r="G1806" s="2">
        <v>255096</v>
      </c>
      <c r="H1806" s="3" t="str">
        <f>HYPERLINK("https://cloud.oebiotech.com/#/lm/network/255096", "https://cloud.oebiotech.com/#/lm/network/255096")</f>
        <v>https://cloud.oebiotech.com/#/lm/network/255096</v>
      </c>
      <c r="I1806" s="2" t="s">
        <v>15896</v>
      </c>
      <c r="J1806" s="2">
        <v>63747</v>
      </c>
      <c r="K1806" s="2"/>
      <c r="L1806" s="2">
        <v>129395</v>
      </c>
      <c r="M1806" s="2" t="s">
        <v>15897</v>
      </c>
      <c r="N1806" s="2"/>
      <c r="O1806" s="2"/>
      <c r="P1806" s="2"/>
      <c r="Q1806" s="2"/>
      <c r="R1806" s="2"/>
      <c r="S1806" s="2" t="s">
        <v>15898</v>
      </c>
      <c r="T1806" s="2" t="s">
        <v>15899</v>
      </c>
      <c r="U1806" s="2" t="s">
        <v>15900</v>
      </c>
      <c r="V1806" s="2" t="s">
        <v>385</v>
      </c>
      <c r="W1806" s="2" t="s">
        <v>15901</v>
      </c>
      <c r="X1806" s="2" t="s">
        <v>15902</v>
      </c>
      <c r="Y1806" s="2" t="s">
        <v>388</v>
      </c>
      <c r="Z1806" s="2" t="s">
        <v>15903</v>
      </c>
      <c r="AA1806" s="2" t="s">
        <v>15904</v>
      </c>
      <c r="AB1806" s="2" t="s">
        <v>8443</v>
      </c>
      <c r="AC1806" s="2">
        <v>39.67</v>
      </c>
      <c r="AD1806" s="2">
        <v>94.34</v>
      </c>
      <c r="AE1806" s="2">
        <v>0</v>
      </c>
      <c r="AF1806" s="2" t="s">
        <v>15905</v>
      </c>
      <c r="AG1806" s="2" t="s">
        <v>1088</v>
      </c>
      <c r="AH1806" s="2" t="s">
        <v>15906</v>
      </c>
      <c r="AI1806" s="2">
        <v>7.03</v>
      </c>
      <c r="AJ1806" s="2">
        <v>19.980979682204801</v>
      </c>
      <c r="AK1806" s="2">
        <v>19.949868691694199</v>
      </c>
      <c r="AL1806" s="2">
        <v>20.476032253148698</v>
      </c>
      <c r="AM1806" s="2">
        <v>20.535983934734901</v>
      </c>
      <c r="AN1806" s="2">
        <v>20.764934705644102</v>
      </c>
      <c r="AO1806" s="2">
        <v>20.721888088713499</v>
      </c>
      <c r="AP1806" s="2">
        <v>20.764186808816898</v>
      </c>
      <c r="AQ1806" s="2">
        <v>20.530756733668198</v>
      </c>
      <c r="AR1806" s="2">
        <v>20.524824946137301</v>
      </c>
      <c r="AS1806" s="2">
        <v>20.552694179520799</v>
      </c>
      <c r="AT1806" s="2">
        <v>20.8538745130212</v>
      </c>
      <c r="AU1806" s="2">
        <v>20.650797404142999</v>
      </c>
      <c r="AV1806" s="2">
        <v>20.6241960524336</v>
      </c>
      <c r="AW1806" s="2">
        <v>20.662257020714801</v>
      </c>
      <c r="AX1806" s="2">
        <v>20.626877999744799</v>
      </c>
      <c r="AY1806" s="2">
        <v>20.812037335164799</v>
      </c>
      <c r="AZ1806" s="2">
        <v>20.735983896964001</v>
      </c>
      <c r="BA1806" s="2">
        <v>20.880513051263399</v>
      </c>
      <c r="BB1806" s="2">
        <v>20.290039102280701</v>
      </c>
      <c r="BC1806" s="2">
        <v>20.6183650589868</v>
      </c>
      <c r="BD1806" s="2">
        <v>20.179663146291901</v>
      </c>
      <c r="BE1806" s="2">
        <v>20.809196276212301</v>
      </c>
      <c r="BF1806" s="2">
        <v>20.357990334384301</v>
      </c>
      <c r="BG1806" s="2">
        <v>20.6095733064023</v>
      </c>
      <c r="BH1806" s="2">
        <v>20.1677133560116</v>
      </c>
      <c r="BI1806" s="2">
        <v>20.701941951937702</v>
      </c>
      <c r="BJ1806" s="2">
        <v>21.3876155824363</v>
      </c>
      <c r="BK1806" s="2">
        <v>20.802817839074699</v>
      </c>
      <c r="BL1806" s="2">
        <v>20.7610793259262</v>
      </c>
      <c r="BM1806" s="2">
        <v>20.460925870341502</v>
      </c>
      <c r="BN1806" s="2">
        <v>20.897648575697598</v>
      </c>
      <c r="BO1806" s="2">
        <v>20.726586359466801</v>
      </c>
      <c r="BP1806" s="2">
        <v>20.6684503289312</v>
      </c>
      <c r="BQ1806" s="2">
        <v>20.789633441298101</v>
      </c>
      <c r="BR1806" s="2">
        <v>20.562010927847702</v>
      </c>
      <c r="BS1806" s="2">
        <v>20.803360997308499</v>
      </c>
      <c r="BT1806" s="2">
        <v>21.290667208872801</v>
      </c>
      <c r="BU1806" s="2">
        <v>20.926318329657501</v>
      </c>
      <c r="BV1806" s="2">
        <v>20.3697983561838</v>
      </c>
      <c r="BW1806" s="2">
        <v>20.627596116168199</v>
      </c>
      <c r="BX1806" s="2">
        <v>20.774399186996199</v>
      </c>
      <c r="BY1806" s="2">
        <v>19.978099288244199</v>
      </c>
      <c r="BZ1806" s="2">
        <v>20.426952086393499</v>
      </c>
      <c r="CA1806" s="2">
        <v>20.778188471837101</v>
      </c>
      <c r="CB1806" s="2">
        <v>20.454032525341798</v>
      </c>
      <c r="CC1806" s="2">
        <v>20.2766410542675</v>
      </c>
      <c r="CD1806" s="2">
        <v>19.698695443735598</v>
      </c>
      <c r="CE1806" s="2">
        <v>20.795902335365898</v>
      </c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</row>
    <row r="1807" spans="1:97">
      <c r="A1807" s="2" t="s">
        <v>15907</v>
      </c>
      <c r="B1807" s="2">
        <v>215.12521000000001</v>
      </c>
      <c r="C1807" s="2">
        <v>4.391</v>
      </c>
      <c r="D1807" s="2" t="s">
        <v>84</v>
      </c>
      <c r="E1807" s="2" t="s">
        <v>15908</v>
      </c>
      <c r="F1807" s="2" t="s">
        <v>15909</v>
      </c>
      <c r="G1807" s="2">
        <v>255257</v>
      </c>
      <c r="H1807" s="3" t="str">
        <f>HYPERLINK("https://cloud.oebiotech.com/#/lm/network/255257", "https://cloud.oebiotech.com/#/lm/network/255257")</f>
        <v>https://cloud.oebiotech.com/#/lm/network/255257</v>
      </c>
      <c r="I1807" s="2" t="s">
        <v>15910</v>
      </c>
      <c r="J1807" s="2"/>
      <c r="K1807" s="2"/>
      <c r="L1807" s="2">
        <v>21780519</v>
      </c>
      <c r="M1807" s="2"/>
      <c r="N1807" s="2"/>
      <c r="O1807" s="2"/>
      <c r="P1807" s="2"/>
      <c r="Q1807" s="2"/>
      <c r="R1807" s="2"/>
      <c r="S1807" s="2"/>
      <c r="T1807" s="2" t="s">
        <v>15911</v>
      </c>
      <c r="U1807" s="2" t="s">
        <v>15912</v>
      </c>
      <c r="V1807" s="2" t="s">
        <v>553</v>
      </c>
      <c r="W1807" s="2" t="s">
        <v>6104</v>
      </c>
      <c r="X1807" s="2" t="s">
        <v>15756</v>
      </c>
      <c r="Y1807" s="2" t="s">
        <v>556</v>
      </c>
      <c r="Z1807" s="2" t="s">
        <v>6106</v>
      </c>
      <c r="AA1807" s="2" t="s">
        <v>15757</v>
      </c>
      <c r="AB1807" s="2" t="s">
        <v>8443</v>
      </c>
      <c r="AC1807" s="2">
        <v>39.659999999999997</v>
      </c>
      <c r="AD1807" s="2">
        <v>98.28</v>
      </c>
      <c r="AE1807" s="2">
        <v>0</v>
      </c>
      <c r="AF1807" s="2" t="s">
        <v>15913</v>
      </c>
      <c r="AG1807" s="2" t="s">
        <v>132</v>
      </c>
      <c r="AH1807" s="2" t="s">
        <v>15914</v>
      </c>
      <c r="AI1807" s="2">
        <v>-0.46</v>
      </c>
      <c r="AJ1807" s="2">
        <v>21.683786652305098</v>
      </c>
      <c r="AK1807" s="2">
        <v>22.295105052063501</v>
      </c>
      <c r="AL1807" s="2">
        <v>21.762417337380001</v>
      </c>
      <c r="AM1807" s="2">
        <v>22.059175711933101</v>
      </c>
      <c r="AN1807" s="2">
        <v>22.207829813783299</v>
      </c>
      <c r="AO1807" s="2">
        <v>22.014779659900601</v>
      </c>
      <c r="AP1807" s="2">
        <v>22.1524929314084</v>
      </c>
      <c r="AQ1807" s="2">
        <v>21.963391788679701</v>
      </c>
      <c r="AR1807" s="2">
        <v>22.187450881855899</v>
      </c>
      <c r="AS1807" s="2">
        <v>20.994051497072601</v>
      </c>
      <c r="AT1807" s="2">
        <v>22.1273269748399</v>
      </c>
      <c r="AU1807" s="2">
        <v>23.228595090953402</v>
      </c>
      <c r="AV1807" s="2">
        <v>23.072776081792298</v>
      </c>
      <c r="AW1807" s="2">
        <v>22.182579754347099</v>
      </c>
      <c r="AX1807" s="2">
        <v>23.415587955004099</v>
      </c>
      <c r="AY1807" s="2">
        <v>22.837227526119602</v>
      </c>
      <c r="AZ1807" s="2">
        <v>22.202660360936601</v>
      </c>
      <c r="BA1807" s="2">
        <v>23.218580817545501</v>
      </c>
      <c r="BB1807" s="2">
        <v>21.5261074642506</v>
      </c>
      <c r="BC1807" s="2">
        <v>22.5239883190964</v>
      </c>
      <c r="BD1807" s="2">
        <v>22.7851204047811</v>
      </c>
      <c r="BE1807" s="2">
        <v>23.0736645679311</v>
      </c>
      <c r="BF1807" s="2">
        <v>22.784486248389001</v>
      </c>
      <c r="BG1807" s="2">
        <v>21.8633928976951</v>
      </c>
      <c r="BH1807" s="2">
        <v>23.2012307119094</v>
      </c>
      <c r="BI1807" s="2">
        <v>22.3319161025147</v>
      </c>
      <c r="BJ1807" s="2">
        <v>22.460641768750499</v>
      </c>
      <c r="BK1807" s="2">
        <v>23.429332346750499</v>
      </c>
      <c r="BL1807" s="2">
        <v>23.169871072789999</v>
      </c>
      <c r="BM1807" s="2">
        <v>23.881377138363501</v>
      </c>
      <c r="BN1807" s="2">
        <v>23.397239204207601</v>
      </c>
      <c r="BO1807" s="2">
        <v>22.371535391691101</v>
      </c>
      <c r="BP1807" s="2">
        <v>23.484486483265801</v>
      </c>
      <c r="BQ1807" s="2">
        <v>23.0681649347415</v>
      </c>
      <c r="BR1807" s="2">
        <v>21.823689081558999</v>
      </c>
      <c r="BS1807" s="2">
        <v>23.236987062684602</v>
      </c>
      <c r="BT1807" s="2">
        <v>22.870615154445801</v>
      </c>
      <c r="BU1807" s="2">
        <v>22.8705111338903</v>
      </c>
      <c r="BV1807" s="2">
        <v>23.3478168093066</v>
      </c>
      <c r="BW1807" s="2">
        <v>22.774554382332099</v>
      </c>
      <c r="BX1807" s="2">
        <v>23.194881511641299</v>
      </c>
      <c r="BY1807" s="2">
        <v>23.5920148210324</v>
      </c>
      <c r="BZ1807" s="2">
        <v>22.436760232110601</v>
      </c>
      <c r="CA1807" s="2">
        <v>22.7903404181322</v>
      </c>
      <c r="CB1807" s="2">
        <v>22.4865129873894</v>
      </c>
      <c r="CC1807" s="2">
        <v>22.848802416537499</v>
      </c>
      <c r="CD1807" s="2">
        <v>23.083499337211201</v>
      </c>
      <c r="CE1807" s="2">
        <v>23.418581764203299</v>
      </c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</row>
    <row r="1808" spans="1:97">
      <c r="A1808" s="2" t="s">
        <v>15915</v>
      </c>
      <c r="B1808" s="2">
        <v>646.27754000000004</v>
      </c>
      <c r="C1808" s="2">
        <v>11.584</v>
      </c>
      <c r="D1808" s="2" t="s">
        <v>84</v>
      </c>
      <c r="E1808" s="2" t="s">
        <v>15916</v>
      </c>
      <c r="F1808" s="2" t="s">
        <v>15917</v>
      </c>
      <c r="G1808" s="2">
        <v>27889</v>
      </c>
      <c r="H1808" s="3" t="str">
        <f>HYPERLINK("https://cloud.oebiotech.com/#/lm/network/27889", "https://cloud.oebiotech.com/#/lm/network/27889")</f>
        <v>https://cloud.oebiotech.com/#/lm/network/27889</v>
      </c>
      <c r="I1808" s="2"/>
      <c r="J1808" s="2"/>
      <c r="K1808" s="2" t="s">
        <v>15918</v>
      </c>
      <c r="L1808" s="2">
        <v>134812346</v>
      </c>
      <c r="M1808" s="2"/>
      <c r="N1808" s="2"/>
      <c r="O1808" s="2"/>
      <c r="P1808" s="2"/>
      <c r="Q1808" s="2"/>
      <c r="R1808" s="2"/>
      <c r="S1808" s="2"/>
      <c r="T1808" s="2" t="s">
        <v>15919</v>
      </c>
      <c r="U1808" s="2" t="s">
        <v>15920</v>
      </c>
      <c r="V1808" s="2" t="s">
        <v>95</v>
      </c>
      <c r="W1808" s="2" t="s">
        <v>202</v>
      </c>
      <c r="X1808" s="2" t="s">
        <v>327</v>
      </c>
      <c r="Y1808" s="2" t="s">
        <v>98</v>
      </c>
      <c r="Z1808" s="2" t="s">
        <v>204</v>
      </c>
      <c r="AA1808" s="2" t="s">
        <v>328</v>
      </c>
      <c r="AB1808" s="2" t="s">
        <v>8443</v>
      </c>
      <c r="AC1808" s="2">
        <v>39.65</v>
      </c>
      <c r="AD1808" s="2">
        <v>73.97</v>
      </c>
      <c r="AE1808" s="2">
        <v>0</v>
      </c>
      <c r="AF1808" s="2" t="s">
        <v>5614</v>
      </c>
      <c r="AG1808" s="2" t="s">
        <v>3544</v>
      </c>
      <c r="AH1808" s="2" t="s">
        <v>15921</v>
      </c>
      <c r="AI1808" s="2">
        <v>-3.4</v>
      </c>
      <c r="AJ1808" s="2">
        <v>20.276467631694999</v>
      </c>
      <c r="AK1808" s="2">
        <v>19.9870725996491</v>
      </c>
      <c r="AL1808" s="2">
        <v>19.785424034806201</v>
      </c>
      <c r="AM1808" s="2">
        <v>19.725793918724499</v>
      </c>
      <c r="AN1808" s="2">
        <v>19.3090360582597</v>
      </c>
      <c r="AO1808" s="2">
        <v>19.5525185400307</v>
      </c>
      <c r="AP1808" s="2">
        <v>19.429606341441101</v>
      </c>
      <c r="AQ1808" s="2">
        <v>19.6888064797119</v>
      </c>
      <c r="AR1808" s="2">
        <v>20.673923848592899</v>
      </c>
      <c r="AS1808" s="2">
        <v>19.1796884616768</v>
      </c>
      <c r="AT1808" s="2">
        <v>19.6802363333844</v>
      </c>
      <c r="AU1808" s="2">
        <v>19.603323675271199</v>
      </c>
      <c r="AV1808" s="2">
        <v>19.6016427684931</v>
      </c>
      <c r="AW1808" s="2">
        <v>19.124970758870699</v>
      </c>
      <c r="AX1808" s="2">
        <v>20.194897339070799</v>
      </c>
      <c r="AY1808" s="2">
        <v>20.111186101209899</v>
      </c>
      <c r="AZ1808" s="2">
        <v>20.1846914382119</v>
      </c>
      <c r="BA1808" s="2">
        <v>18.815575147436402</v>
      </c>
      <c r="BB1808" s="2">
        <v>19.9557862916303</v>
      </c>
      <c r="BC1808" s="2">
        <v>20.264018029050199</v>
      </c>
      <c r="BD1808" s="2">
        <v>19.747611306505299</v>
      </c>
      <c r="BE1808" s="2">
        <v>20.081325767339301</v>
      </c>
      <c r="BF1808" s="2">
        <v>18.4972357726759</v>
      </c>
      <c r="BG1808" s="2">
        <v>19.769155431615399</v>
      </c>
      <c r="BH1808" s="2">
        <v>19.195241779299199</v>
      </c>
      <c r="BI1808" s="2">
        <v>19.209921171831098</v>
      </c>
      <c r="BJ1808" s="2">
        <v>19.165240233549699</v>
      </c>
      <c r="BK1808" s="2">
        <v>19.432338383139701</v>
      </c>
      <c r="BL1808" s="2">
        <v>19.625870677063499</v>
      </c>
      <c r="BM1808" s="2">
        <v>18.973815676705801</v>
      </c>
      <c r="BN1808" s="2">
        <v>19.835371111036601</v>
      </c>
      <c r="BO1808" s="2">
        <v>19.950609218574801</v>
      </c>
      <c r="BP1808" s="2">
        <v>19.438626390823899</v>
      </c>
      <c r="BQ1808" s="2">
        <v>19.8080498083153</v>
      </c>
      <c r="BR1808" s="2">
        <v>19.446497331312099</v>
      </c>
      <c r="BS1808" s="2">
        <v>19.987397717789001</v>
      </c>
      <c r="BT1808" s="2">
        <v>19.057727843864701</v>
      </c>
      <c r="BU1808" s="2">
        <v>19.608739013401401</v>
      </c>
      <c r="BV1808" s="2">
        <v>20.201679263875</v>
      </c>
      <c r="BW1808" s="2">
        <v>18.683433875407299</v>
      </c>
      <c r="BX1808" s="2">
        <v>19.710526378636899</v>
      </c>
      <c r="BY1808" s="2">
        <v>18.599312054120599</v>
      </c>
      <c r="BZ1808" s="2">
        <v>19.508773983795798</v>
      </c>
      <c r="CA1808" s="2">
        <v>19.800146772895499</v>
      </c>
      <c r="CB1808" s="2">
        <v>18.969003226452301</v>
      </c>
      <c r="CC1808" s="2">
        <v>19.5959799012149</v>
      </c>
      <c r="CD1808" s="2">
        <v>19.380745772761401</v>
      </c>
      <c r="CE1808" s="2">
        <v>18.564349511289599</v>
      </c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</row>
    <row r="1809" spans="1:97">
      <c r="A1809" s="2" t="s">
        <v>15922</v>
      </c>
      <c r="B1809" s="2">
        <v>144.13818000000001</v>
      </c>
      <c r="C1809" s="2">
        <v>6.8639999999999999</v>
      </c>
      <c r="D1809" s="2" t="s">
        <v>84</v>
      </c>
      <c r="E1809" s="2" t="s">
        <v>15923</v>
      </c>
      <c r="F1809" s="2" t="s">
        <v>15924</v>
      </c>
      <c r="G1809" s="2">
        <v>56096</v>
      </c>
      <c r="H1809" s="3" t="str">
        <f>HYPERLINK("https://cloud.oebiotech.com/#/lm/network/56096", "https://cloud.oebiotech.com/#/lm/network/56096")</f>
        <v>https://cloud.oebiotech.com/#/lm/network/56096</v>
      </c>
      <c r="I1809" s="2" t="s">
        <v>15925</v>
      </c>
      <c r="J1809" s="2">
        <v>87790</v>
      </c>
      <c r="K1809" s="2"/>
      <c r="L1809" s="2">
        <v>5364798</v>
      </c>
      <c r="M1809" s="2"/>
      <c r="N1809" s="2"/>
      <c r="O1809" s="2"/>
      <c r="P1809" s="2">
        <v>172028</v>
      </c>
      <c r="Q1809" s="2"/>
      <c r="R1809" s="2"/>
      <c r="S1809" s="2" t="s">
        <v>15926</v>
      </c>
      <c r="T1809" s="2" t="s">
        <v>15927</v>
      </c>
      <c r="U1809" s="2" t="s">
        <v>15928</v>
      </c>
      <c r="V1809" s="2" t="s">
        <v>338</v>
      </c>
      <c r="W1809" s="2" t="s">
        <v>339</v>
      </c>
      <c r="X1809" s="2" t="s">
        <v>340</v>
      </c>
      <c r="Y1809" s="2" t="s">
        <v>341</v>
      </c>
      <c r="Z1809" s="2" t="s">
        <v>341</v>
      </c>
      <c r="AA1809" s="2" t="s">
        <v>342</v>
      </c>
      <c r="AB1809" s="2" t="s">
        <v>8443</v>
      </c>
      <c r="AC1809" s="2">
        <v>39.64</v>
      </c>
      <c r="AD1809" s="2">
        <v>98.21</v>
      </c>
      <c r="AE1809" s="2">
        <v>0</v>
      </c>
      <c r="AF1809" s="2" t="s">
        <v>15929</v>
      </c>
      <c r="AG1809" s="2" t="s">
        <v>132</v>
      </c>
      <c r="AH1809" s="2" t="s">
        <v>15930</v>
      </c>
      <c r="AI1809" s="2">
        <v>0.69</v>
      </c>
      <c r="AJ1809" s="2">
        <v>22.554006296313801</v>
      </c>
      <c r="AK1809" s="2">
        <v>22.6041139837873</v>
      </c>
      <c r="AL1809" s="2">
        <v>22.4704648667194</v>
      </c>
      <c r="AM1809" s="2">
        <v>22.762209111821399</v>
      </c>
      <c r="AN1809" s="2">
        <v>22.795194293596701</v>
      </c>
      <c r="AO1809" s="2">
        <v>21.982025169003698</v>
      </c>
      <c r="AP1809" s="2">
        <v>22.602955793199701</v>
      </c>
      <c r="AQ1809" s="2">
        <v>22.644238131116499</v>
      </c>
      <c r="AR1809" s="2">
        <v>22.614628422282401</v>
      </c>
      <c r="AS1809" s="2">
        <v>22.682696024519</v>
      </c>
      <c r="AT1809" s="2">
        <v>22.728693018550299</v>
      </c>
      <c r="AU1809" s="2">
        <v>22.667201374993301</v>
      </c>
      <c r="AV1809" s="2">
        <v>22.960398716097401</v>
      </c>
      <c r="AW1809" s="2">
        <v>22.144312403025999</v>
      </c>
      <c r="AX1809" s="2">
        <v>23.1285146006304</v>
      </c>
      <c r="AY1809" s="2">
        <v>22.583343731459902</v>
      </c>
      <c r="AZ1809" s="2">
        <v>22.560777102418999</v>
      </c>
      <c r="BA1809" s="2">
        <v>22.933301710434101</v>
      </c>
      <c r="BB1809" s="2">
        <v>22.476680583155801</v>
      </c>
      <c r="BC1809" s="2">
        <v>21.9273169027012</v>
      </c>
      <c r="BD1809" s="2">
        <v>22.684533951111799</v>
      </c>
      <c r="BE1809" s="2">
        <v>22.6429310921683</v>
      </c>
      <c r="BF1809" s="2">
        <v>21.9209798569605</v>
      </c>
      <c r="BG1809" s="2">
        <v>22.720773247799599</v>
      </c>
      <c r="BH1809" s="2">
        <v>22.660265772990801</v>
      </c>
      <c r="BI1809" s="2">
        <v>22.697845293859199</v>
      </c>
      <c r="BJ1809" s="2">
        <v>22.747819091165798</v>
      </c>
      <c r="BK1809" s="2">
        <v>22.965214328684599</v>
      </c>
      <c r="BL1809" s="2">
        <v>22.9164981058906</v>
      </c>
      <c r="BM1809" s="2">
        <v>22.879677495422399</v>
      </c>
      <c r="BN1809" s="2">
        <v>22.8581864203016</v>
      </c>
      <c r="BO1809" s="2">
        <v>22.419863427096701</v>
      </c>
      <c r="BP1809" s="2">
        <v>23.040335751459299</v>
      </c>
      <c r="BQ1809" s="2">
        <v>22.8912507471255</v>
      </c>
      <c r="BR1809" s="2">
        <v>22.683185965533202</v>
      </c>
      <c r="BS1809" s="2">
        <v>22.938618478585301</v>
      </c>
      <c r="BT1809" s="2">
        <v>22.861596170453101</v>
      </c>
      <c r="BU1809" s="2">
        <v>22.5463727755638</v>
      </c>
      <c r="BV1809" s="2">
        <v>23.271621304706901</v>
      </c>
      <c r="BW1809" s="2">
        <v>22.884366303131898</v>
      </c>
      <c r="BX1809" s="2">
        <v>22.731476924892601</v>
      </c>
      <c r="BY1809" s="2">
        <v>22.959298928915899</v>
      </c>
      <c r="BZ1809" s="2">
        <v>22.639128952299401</v>
      </c>
      <c r="CA1809" s="2">
        <v>22.838403799005398</v>
      </c>
      <c r="CB1809" s="2">
        <v>22.616948632646501</v>
      </c>
      <c r="CC1809" s="2">
        <v>22.653864964418599</v>
      </c>
      <c r="CD1809" s="2">
        <v>22.525316088526498</v>
      </c>
      <c r="CE1809" s="2">
        <v>23.067741204720299</v>
      </c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</row>
    <row r="1810" spans="1:97">
      <c r="A1810" s="2" t="s">
        <v>15931</v>
      </c>
      <c r="B1810" s="2">
        <v>250.97481999999999</v>
      </c>
      <c r="C1810" s="2">
        <v>1.0269999999999999</v>
      </c>
      <c r="D1810" s="2" t="s">
        <v>146</v>
      </c>
      <c r="E1810" s="2" t="s">
        <v>15932</v>
      </c>
      <c r="F1810" s="2" t="s">
        <v>15933</v>
      </c>
      <c r="G1810" s="2">
        <v>53308</v>
      </c>
      <c r="H1810" s="3" t="str">
        <f>HYPERLINK("https://cloud.oebiotech.com/#/lm/network/53308", "https://cloud.oebiotech.com/#/lm/network/53308")</f>
        <v>https://cloud.oebiotech.com/#/lm/network/53308</v>
      </c>
      <c r="I1810" s="2" t="s">
        <v>15934</v>
      </c>
      <c r="J1810" s="2">
        <v>2629</v>
      </c>
      <c r="K1810" s="2"/>
      <c r="L1810" s="2">
        <v>3305</v>
      </c>
      <c r="M1810" s="2" t="s">
        <v>15935</v>
      </c>
      <c r="N1810" s="2"/>
      <c r="O1810" s="2"/>
      <c r="P1810" s="2">
        <v>4907</v>
      </c>
      <c r="Q1810" s="2"/>
      <c r="R1810" s="2"/>
      <c r="S1810" s="2" t="s">
        <v>15936</v>
      </c>
      <c r="T1810" s="2" t="s">
        <v>15937</v>
      </c>
      <c r="U1810" s="2" t="s">
        <v>15938</v>
      </c>
      <c r="V1810" s="2" t="s">
        <v>115</v>
      </c>
      <c r="W1810" s="2" t="s">
        <v>5349</v>
      </c>
      <c r="X1810" s="2" t="s">
        <v>15939</v>
      </c>
      <c r="Y1810" s="2" t="s">
        <v>118</v>
      </c>
      <c r="Z1810" s="2" t="s">
        <v>5351</v>
      </c>
      <c r="AA1810" s="2" t="s">
        <v>15940</v>
      </c>
      <c r="AB1810" s="2" t="s">
        <v>8443</v>
      </c>
      <c r="AC1810" s="2">
        <v>39.630000000000003</v>
      </c>
      <c r="AD1810" s="2">
        <v>97.23</v>
      </c>
      <c r="AE1810" s="2">
        <v>0</v>
      </c>
      <c r="AF1810" s="2" t="s">
        <v>5614</v>
      </c>
      <c r="AG1810" s="2" t="s">
        <v>157</v>
      </c>
      <c r="AH1810" s="2" t="s">
        <v>15941</v>
      </c>
      <c r="AI1810" s="2">
        <v>-8.3699999999999992</v>
      </c>
      <c r="AJ1810" s="2">
        <v>19.833670867148001</v>
      </c>
      <c r="AK1810" s="2">
        <v>19.894253049307299</v>
      </c>
      <c r="AL1810" s="2">
        <v>20.1590206706495</v>
      </c>
      <c r="AM1810" s="2">
        <v>19.796248754782798</v>
      </c>
      <c r="AN1810" s="2">
        <v>19.4389608881994</v>
      </c>
      <c r="AO1810" s="2">
        <v>20.110010865152599</v>
      </c>
      <c r="AP1810" s="2">
        <v>19.995288148122999</v>
      </c>
      <c r="AQ1810" s="2">
        <v>20.027695539611202</v>
      </c>
      <c r="AR1810" s="2">
        <v>18.724118479350601</v>
      </c>
      <c r="AS1810" s="2">
        <v>18.5981407025603</v>
      </c>
      <c r="AT1810" s="2">
        <v>19.5821324971782</v>
      </c>
      <c r="AU1810" s="2">
        <v>19.023730479253398</v>
      </c>
      <c r="AV1810" s="2">
        <v>19.756474181558001</v>
      </c>
      <c r="AW1810" s="2">
        <v>19.5999385504212</v>
      </c>
      <c r="AX1810" s="2">
        <v>19.964327752015599</v>
      </c>
      <c r="AY1810" s="2">
        <v>19.1249451462173</v>
      </c>
      <c r="AZ1810" s="2">
        <v>19.9639415870381</v>
      </c>
      <c r="BA1810" s="2">
        <v>19.477545317894101</v>
      </c>
      <c r="BB1810" s="2">
        <v>19.957006223073801</v>
      </c>
      <c r="BC1810" s="2">
        <v>18.7425772057098</v>
      </c>
      <c r="BD1810" s="2">
        <v>19.805585486244901</v>
      </c>
      <c r="BE1810" s="2">
        <v>20.335322198968498</v>
      </c>
      <c r="BF1810" s="2">
        <v>18.5940359091795</v>
      </c>
      <c r="BG1810" s="2">
        <v>19.7252357827102</v>
      </c>
      <c r="BH1810" s="2">
        <v>20.0762955606973</v>
      </c>
      <c r="BI1810" s="2">
        <v>19.236435159521299</v>
      </c>
      <c r="BJ1810" s="2">
        <v>20.677055680163399</v>
      </c>
      <c r="BK1810" s="2">
        <v>19.231376946346298</v>
      </c>
      <c r="BL1810" s="2">
        <v>19.773919435754099</v>
      </c>
      <c r="BM1810" s="2">
        <v>20.007862496134798</v>
      </c>
      <c r="BN1810" s="2">
        <v>20.468605101932901</v>
      </c>
      <c r="BO1810" s="2">
        <v>19.578578821208101</v>
      </c>
      <c r="BP1810" s="2">
        <v>20.297006090295</v>
      </c>
      <c r="BQ1810" s="2">
        <v>20.307840624315801</v>
      </c>
      <c r="BR1810" s="2">
        <v>19.621729117235901</v>
      </c>
      <c r="BS1810" s="2">
        <v>19.909548950425101</v>
      </c>
      <c r="BT1810" s="2">
        <v>19.552799661750601</v>
      </c>
      <c r="BU1810" s="2">
        <v>19.740893312596501</v>
      </c>
      <c r="BV1810" s="2">
        <v>20.0570722335071</v>
      </c>
      <c r="BW1810" s="2">
        <v>17.8317765679244</v>
      </c>
      <c r="BX1810" s="2">
        <v>19.356257357301999</v>
      </c>
      <c r="BY1810" s="2">
        <v>19.860266036689701</v>
      </c>
      <c r="BZ1810" s="2">
        <v>19.612704892178101</v>
      </c>
      <c r="CA1810" s="2">
        <v>19.088859237371501</v>
      </c>
      <c r="CB1810" s="2">
        <v>19.474565268152901</v>
      </c>
      <c r="CC1810" s="2">
        <v>19.698861076392401</v>
      </c>
      <c r="CD1810" s="2">
        <v>20.6920957136835</v>
      </c>
      <c r="CE1810" s="2">
        <v>20.024847223474801</v>
      </c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</row>
    <row r="1811" spans="1:97">
      <c r="A1811" s="2" t="s">
        <v>15942</v>
      </c>
      <c r="B1811" s="2">
        <v>499.08573000000001</v>
      </c>
      <c r="C1811" s="2">
        <v>1.339</v>
      </c>
      <c r="D1811" s="2" t="s">
        <v>84</v>
      </c>
      <c r="E1811" s="2" t="s">
        <v>15943</v>
      </c>
      <c r="F1811" s="2" t="s">
        <v>15944</v>
      </c>
      <c r="G1811" s="2">
        <v>210514</v>
      </c>
      <c r="H1811" s="3" t="str">
        <f>HYPERLINK("https://cloud.oebiotech.com/#/lm/network/210514", "https://cloud.oebiotech.com/#/lm/network/210514")</f>
        <v>https://cloud.oebiotech.com/#/lm/network/210514</v>
      </c>
      <c r="I1811" s="2" t="s">
        <v>15945</v>
      </c>
      <c r="J1811" s="2"/>
      <c r="K1811" s="2"/>
      <c r="L1811" s="2">
        <v>72758394</v>
      </c>
      <c r="M1811" s="2"/>
      <c r="N1811" s="2"/>
      <c r="O1811" s="2"/>
      <c r="P1811" s="2"/>
      <c r="Q1811" s="2"/>
      <c r="R1811" s="2"/>
      <c r="S1811" s="2"/>
      <c r="T1811" s="2" t="s">
        <v>15946</v>
      </c>
      <c r="U1811" s="2" t="s">
        <v>15947</v>
      </c>
      <c r="V1811" s="2" t="s">
        <v>385</v>
      </c>
      <c r="W1811" s="2" t="s">
        <v>3055</v>
      </c>
      <c r="X1811" s="2" t="s">
        <v>375</v>
      </c>
      <c r="Y1811" s="2" t="s">
        <v>388</v>
      </c>
      <c r="Z1811" s="2" t="s">
        <v>3056</v>
      </c>
      <c r="AA1811" s="2"/>
      <c r="AB1811" s="2" t="s">
        <v>8443</v>
      </c>
      <c r="AC1811" s="2">
        <v>39.630000000000003</v>
      </c>
      <c r="AD1811" s="2">
        <v>73.06</v>
      </c>
      <c r="AE1811" s="2">
        <v>31.37</v>
      </c>
      <c r="AF1811" s="2" t="s">
        <v>15948</v>
      </c>
      <c r="AG1811" s="2" t="s">
        <v>3544</v>
      </c>
      <c r="AH1811" s="2" t="s">
        <v>15949</v>
      </c>
      <c r="AI1811" s="2">
        <v>-0.4</v>
      </c>
      <c r="AJ1811" s="2">
        <v>21.497341821211698</v>
      </c>
      <c r="AK1811" s="2">
        <v>21.518580856228802</v>
      </c>
      <c r="AL1811" s="2">
        <v>21.468048588334199</v>
      </c>
      <c r="AM1811" s="2">
        <v>21.515746477871801</v>
      </c>
      <c r="AN1811" s="2">
        <v>21.478894389477301</v>
      </c>
      <c r="AO1811" s="2">
        <v>21.5405694506644</v>
      </c>
      <c r="AP1811" s="2">
        <v>20.662352398505099</v>
      </c>
      <c r="AQ1811" s="2">
        <v>21.398454670008299</v>
      </c>
      <c r="AR1811" s="2">
        <v>20.793614024679201</v>
      </c>
      <c r="AS1811" s="2">
        <v>20.191135019785602</v>
      </c>
      <c r="AT1811" s="2">
        <v>20.8033064163177</v>
      </c>
      <c r="AU1811" s="2">
        <v>21.0621945239665</v>
      </c>
      <c r="AV1811" s="2">
        <v>21.6583360579274</v>
      </c>
      <c r="AW1811" s="2">
        <v>21.036228658530899</v>
      </c>
      <c r="AX1811" s="2">
        <v>20.396680574527402</v>
      </c>
      <c r="AY1811" s="2">
        <v>21.036256291423602</v>
      </c>
      <c r="AZ1811" s="2">
        <v>19.7762613699764</v>
      </c>
      <c r="BA1811" s="2">
        <v>20.646745737427299</v>
      </c>
      <c r="BB1811" s="2">
        <v>21.8123710881977</v>
      </c>
      <c r="BC1811" s="2">
        <v>21.656876512052101</v>
      </c>
      <c r="BD1811" s="2">
        <v>20.760699605828901</v>
      </c>
      <c r="BE1811" s="2">
        <v>21.1095875219814</v>
      </c>
      <c r="BF1811" s="2">
        <v>21.308918677459001</v>
      </c>
      <c r="BG1811" s="2">
        <v>21.771082976416</v>
      </c>
      <c r="BH1811" s="2">
        <v>21.702283852517802</v>
      </c>
      <c r="BI1811" s="2">
        <v>20.314373362583598</v>
      </c>
      <c r="BJ1811" s="2">
        <v>22.0665798303014</v>
      </c>
      <c r="BK1811" s="2">
        <v>21.1360725878619</v>
      </c>
      <c r="BL1811" s="2">
        <v>20.683436188558101</v>
      </c>
      <c r="BM1811" s="2">
        <v>22.362805268272901</v>
      </c>
      <c r="BN1811" s="2">
        <v>21.634603721408201</v>
      </c>
      <c r="BO1811" s="2">
        <v>21.0329791959871</v>
      </c>
      <c r="BP1811" s="2">
        <v>20.868165383983499</v>
      </c>
      <c r="BQ1811" s="2">
        <v>21.742981093479099</v>
      </c>
      <c r="BR1811" s="2">
        <v>21.540359075763099</v>
      </c>
      <c r="BS1811" s="2">
        <v>20.959351075642001</v>
      </c>
      <c r="BT1811" s="2">
        <v>20.8456135984691</v>
      </c>
      <c r="BU1811" s="2">
        <v>20.989146818911699</v>
      </c>
      <c r="BV1811" s="2">
        <v>21.360694113282701</v>
      </c>
      <c r="BW1811" s="2">
        <v>20.672528026123</v>
      </c>
      <c r="BX1811" s="2">
        <v>21.7511842017988</v>
      </c>
      <c r="BY1811" s="2">
        <v>21.685727653644399</v>
      </c>
      <c r="BZ1811" s="2">
        <v>21.9772047008044</v>
      </c>
      <c r="CA1811" s="2">
        <v>20.760757227541301</v>
      </c>
      <c r="CB1811" s="2">
        <v>18.6871368458023</v>
      </c>
      <c r="CC1811" s="2">
        <v>21.266043633125101</v>
      </c>
      <c r="CD1811" s="2">
        <v>20.590287937591299</v>
      </c>
      <c r="CE1811" s="2">
        <v>21.417523176906801</v>
      </c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</row>
    <row r="1812" spans="1:97">
      <c r="A1812" s="2" t="s">
        <v>15950</v>
      </c>
      <c r="B1812" s="2">
        <v>446.22829999999999</v>
      </c>
      <c r="C1812" s="2">
        <v>9.7330000000000005</v>
      </c>
      <c r="D1812" s="2" t="s">
        <v>146</v>
      </c>
      <c r="E1812" s="2" t="s">
        <v>15951</v>
      </c>
      <c r="F1812" s="2" t="s">
        <v>15952</v>
      </c>
      <c r="G1812" s="2">
        <v>209972</v>
      </c>
      <c r="H1812" s="3" t="str">
        <f>HYPERLINK("https://cloud.oebiotech.com/#/lm/network/209972", "https://cloud.oebiotech.com/#/lm/network/209972")</f>
        <v>https://cloud.oebiotech.com/#/lm/network/209972</v>
      </c>
      <c r="I1812" s="2" t="s">
        <v>15953</v>
      </c>
      <c r="J1812" s="2"/>
      <c r="K1812" s="2"/>
      <c r="L1812" s="2"/>
      <c r="M1812" s="2"/>
      <c r="N1812" s="2"/>
      <c r="O1812" s="2"/>
      <c r="P1812" s="2">
        <v>85993</v>
      </c>
      <c r="Q1812" s="2"/>
      <c r="R1812" s="2"/>
      <c r="S1812" s="2"/>
      <c r="T1812" s="2" t="s">
        <v>15954</v>
      </c>
      <c r="U1812" s="2" t="s">
        <v>15955</v>
      </c>
      <c r="V1812" s="2" t="s">
        <v>553</v>
      </c>
      <c r="W1812" s="2" t="s">
        <v>10242</v>
      </c>
      <c r="X1812" s="2" t="s">
        <v>10243</v>
      </c>
      <c r="Y1812" s="2" t="s">
        <v>556</v>
      </c>
      <c r="Z1812" s="2" t="s">
        <v>10244</v>
      </c>
      <c r="AA1812" s="2" t="s">
        <v>10245</v>
      </c>
      <c r="AB1812" s="2" t="s">
        <v>8443</v>
      </c>
      <c r="AC1812" s="2">
        <v>39.619999999999997</v>
      </c>
      <c r="AD1812" s="2">
        <v>91.21</v>
      </c>
      <c r="AE1812" s="2">
        <v>41.49</v>
      </c>
      <c r="AF1812" s="2" t="s">
        <v>15956</v>
      </c>
      <c r="AG1812" s="2" t="s">
        <v>194</v>
      </c>
      <c r="AH1812" s="2" t="s">
        <v>15957</v>
      </c>
      <c r="AI1812" s="2">
        <v>6.05</v>
      </c>
      <c r="AJ1812" s="2">
        <v>20.822874023765099</v>
      </c>
      <c r="AK1812" s="2">
        <v>20.7702264119159</v>
      </c>
      <c r="AL1812" s="2">
        <v>20.259578107080799</v>
      </c>
      <c r="AM1812" s="2">
        <v>20.635035133595402</v>
      </c>
      <c r="AN1812" s="2">
        <v>20.705407640542699</v>
      </c>
      <c r="AO1812" s="2">
        <v>20.5731220893088</v>
      </c>
      <c r="AP1812" s="2">
        <v>20.4119164035233</v>
      </c>
      <c r="AQ1812" s="2">
        <v>20.5278863064507</v>
      </c>
      <c r="AR1812" s="2">
        <v>20.511520787218402</v>
      </c>
      <c r="AS1812" s="2">
        <v>19.386190554874599</v>
      </c>
      <c r="AT1812" s="2">
        <v>20.857784337947901</v>
      </c>
      <c r="AU1812" s="2">
        <v>20.4413540962227</v>
      </c>
      <c r="AV1812" s="2">
        <v>20.0778101726114</v>
      </c>
      <c r="AW1812" s="2">
        <v>20.699699857009399</v>
      </c>
      <c r="AX1812" s="2">
        <v>20.395481910707101</v>
      </c>
      <c r="AY1812" s="2">
        <v>19.461504027569099</v>
      </c>
      <c r="AZ1812" s="2">
        <v>20.526149899208601</v>
      </c>
      <c r="BA1812" s="2">
        <v>19.791309398469998</v>
      </c>
      <c r="BB1812" s="2">
        <v>20.911882628348799</v>
      </c>
      <c r="BC1812" s="2">
        <v>21.576592799867999</v>
      </c>
      <c r="BD1812" s="2">
        <v>19.252580689180999</v>
      </c>
      <c r="BE1812" s="2">
        <v>20.177143234419599</v>
      </c>
      <c r="BF1812" s="2">
        <v>20.204115896126101</v>
      </c>
      <c r="BG1812" s="2">
        <v>20.662696014021201</v>
      </c>
      <c r="BH1812" s="2">
        <v>19.455947998230499</v>
      </c>
      <c r="BI1812" s="2">
        <v>20.5243712426917</v>
      </c>
      <c r="BJ1812" s="2">
        <v>21.014361409416399</v>
      </c>
      <c r="BK1812" s="2">
        <v>20.454289030737499</v>
      </c>
      <c r="BL1812" s="2">
        <v>19.857129691300599</v>
      </c>
      <c r="BM1812" s="2">
        <v>19.835573136865701</v>
      </c>
      <c r="BN1812" s="2">
        <v>20.252679752162202</v>
      </c>
      <c r="BO1812" s="2">
        <v>19.538505957224899</v>
      </c>
      <c r="BP1812" s="2">
        <v>20.512230552257002</v>
      </c>
      <c r="BQ1812" s="2">
        <v>20.291351211560102</v>
      </c>
      <c r="BR1812" s="2">
        <v>20.378447781881199</v>
      </c>
      <c r="BS1812" s="2">
        <v>20.082698049890599</v>
      </c>
      <c r="BT1812" s="2">
        <v>20.0808160315649</v>
      </c>
      <c r="BU1812" s="2">
        <v>21.468615159080102</v>
      </c>
      <c r="BV1812" s="2">
        <v>20.488652384561199</v>
      </c>
      <c r="BW1812" s="2">
        <v>20.1380698796433</v>
      </c>
      <c r="BX1812" s="2">
        <v>20.157999660089999</v>
      </c>
      <c r="BY1812" s="2">
        <v>21.353463487569499</v>
      </c>
      <c r="BZ1812" s="2">
        <v>20.338251351941</v>
      </c>
      <c r="CA1812" s="2">
        <v>20.067809024786499</v>
      </c>
      <c r="CB1812" s="2">
        <v>19.652405842579299</v>
      </c>
      <c r="CC1812" s="2">
        <v>20.2691061508866</v>
      </c>
      <c r="CD1812" s="2">
        <v>20.939427012610899</v>
      </c>
      <c r="CE1812" s="2">
        <v>20.173287524811101</v>
      </c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</row>
    <row r="1813" spans="1:97">
      <c r="A1813" s="2" t="s">
        <v>15958</v>
      </c>
      <c r="B1813" s="2">
        <v>222.14624000000001</v>
      </c>
      <c r="C1813" s="2">
        <v>6.3049999999999997</v>
      </c>
      <c r="D1813" s="2" t="s">
        <v>84</v>
      </c>
      <c r="E1813" s="2" t="s">
        <v>15959</v>
      </c>
      <c r="F1813" s="2" t="s">
        <v>15960</v>
      </c>
      <c r="G1813" s="2">
        <v>212597</v>
      </c>
      <c r="H1813" s="3" t="str">
        <f>HYPERLINK("https://cloud.oebiotech.com/#/lm/network/212597", "https://cloud.oebiotech.com/#/lm/network/212597")</f>
        <v>https://cloud.oebiotech.com/#/lm/network/212597</v>
      </c>
      <c r="I1813" s="2" t="s">
        <v>15961</v>
      </c>
      <c r="J1813" s="2">
        <v>66702</v>
      </c>
      <c r="K1813" s="2"/>
      <c r="L1813" s="2">
        <v>5799</v>
      </c>
      <c r="M1813" s="2" t="s">
        <v>15962</v>
      </c>
      <c r="N1813" s="2"/>
      <c r="O1813" s="2"/>
      <c r="P1813" s="2">
        <v>27919</v>
      </c>
      <c r="Q1813" s="2"/>
      <c r="R1813" s="2"/>
      <c r="S1813" s="2" t="s">
        <v>15963</v>
      </c>
      <c r="T1813" s="2" t="s">
        <v>15964</v>
      </c>
      <c r="U1813" s="2" t="s">
        <v>15965</v>
      </c>
      <c r="V1813" s="2" t="s">
        <v>166</v>
      </c>
      <c r="W1813" s="2" t="s">
        <v>167</v>
      </c>
      <c r="X1813" s="2" t="s">
        <v>482</v>
      </c>
      <c r="Y1813" s="2" t="s">
        <v>169</v>
      </c>
      <c r="Z1813" s="2" t="s">
        <v>169</v>
      </c>
      <c r="AA1813" s="2" t="s">
        <v>483</v>
      </c>
      <c r="AB1813" s="2" t="s">
        <v>8443</v>
      </c>
      <c r="AC1813" s="2">
        <v>39.619999999999997</v>
      </c>
      <c r="AD1813" s="2">
        <v>98.12</v>
      </c>
      <c r="AE1813" s="2">
        <v>0</v>
      </c>
      <c r="AF1813" s="2" t="s">
        <v>15966</v>
      </c>
      <c r="AG1813" s="2" t="s">
        <v>132</v>
      </c>
      <c r="AH1813" s="2" t="s">
        <v>15967</v>
      </c>
      <c r="AI1813" s="2">
        <v>0</v>
      </c>
      <c r="AJ1813" s="2">
        <v>23.015984764540701</v>
      </c>
      <c r="AK1813" s="2">
        <v>23.023901216007701</v>
      </c>
      <c r="AL1813" s="2">
        <v>23.240651793711901</v>
      </c>
      <c r="AM1813" s="2">
        <v>23.1387407537866</v>
      </c>
      <c r="AN1813" s="2">
        <v>23.279987567795501</v>
      </c>
      <c r="AO1813" s="2">
        <v>22.452449151172502</v>
      </c>
      <c r="AP1813" s="2">
        <v>23.343879882337198</v>
      </c>
      <c r="AQ1813" s="2">
        <v>22.362384918624901</v>
      </c>
      <c r="AR1813" s="2">
        <v>22.9473789165075</v>
      </c>
      <c r="AS1813" s="2">
        <v>22.856844894994499</v>
      </c>
      <c r="AT1813" s="2">
        <v>22.791196418679402</v>
      </c>
      <c r="AU1813" s="2">
        <v>22.897520475716998</v>
      </c>
      <c r="AV1813" s="2">
        <v>23.07147049372</v>
      </c>
      <c r="AW1813" s="2">
        <v>22.988718292928301</v>
      </c>
      <c r="AX1813" s="2">
        <v>22.928324386145199</v>
      </c>
      <c r="AY1813" s="2">
        <v>22.9587974772734</v>
      </c>
      <c r="AZ1813" s="2">
        <v>23.012560599033499</v>
      </c>
      <c r="BA1813" s="2">
        <v>23.0015554081651</v>
      </c>
      <c r="BB1813" s="2">
        <v>23.0645385693112</v>
      </c>
      <c r="BC1813" s="2">
        <v>22.934312895754601</v>
      </c>
      <c r="BD1813" s="2">
        <v>23.106859490780899</v>
      </c>
      <c r="BE1813" s="2">
        <v>23.0002032691728</v>
      </c>
      <c r="BF1813" s="2">
        <v>22.8029133177996</v>
      </c>
      <c r="BG1813" s="2">
        <v>23.059148474949001</v>
      </c>
      <c r="BH1813" s="2">
        <v>23.051946511478299</v>
      </c>
      <c r="BI1813" s="2">
        <v>23.027908815343</v>
      </c>
      <c r="BJ1813" s="2">
        <v>23.011339362637901</v>
      </c>
      <c r="BK1813" s="2">
        <v>23.0188583243111</v>
      </c>
      <c r="BL1813" s="2">
        <v>23.027321139766102</v>
      </c>
      <c r="BM1813" s="2">
        <v>23.159282748382999</v>
      </c>
      <c r="BN1813" s="2">
        <v>23.083806933079501</v>
      </c>
      <c r="BO1813" s="2">
        <v>23.157508255346599</v>
      </c>
      <c r="BP1813" s="2">
        <v>23.008427640640399</v>
      </c>
      <c r="BQ1813" s="2">
        <v>23.083273364290701</v>
      </c>
      <c r="BR1813" s="2">
        <v>23.1092844673306</v>
      </c>
      <c r="BS1813" s="2">
        <v>23.100226416361799</v>
      </c>
      <c r="BT1813" s="2">
        <v>22.976554248972501</v>
      </c>
      <c r="BU1813" s="2">
        <v>23.120264981923999</v>
      </c>
      <c r="BV1813" s="2">
        <v>23.119171358068002</v>
      </c>
      <c r="BW1813" s="2">
        <v>23.2608960722016</v>
      </c>
      <c r="BX1813" s="2">
        <v>23.1077447669166</v>
      </c>
      <c r="BY1813" s="2">
        <v>23.1907164518515</v>
      </c>
      <c r="BZ1813" s="2">
        <v>23.065465922966599</v>
      </c>
      <c r="CA1813" s="2">
        <v>22.375965367888401</v>
      </c>
      <c r="CB1813" s="2">
        <v>22.566877290512501</v>
      </c>
      <c r="CC1813" s="2">
        <v>22.320049779734699</v>
      </c>
      <c r="CD1813" s="2">
        <v>23.160005756196998</v>
      </c>
      <c r="CE1813" s="2">
        <v>23.161258169259099</v>
      </c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</row>
    <row r="1814" spans="1:97">
      <c r="A1814" s="2" t="s">
        <v>15968</v>
      </c>
      <c r="B1814" s="2">
        <v>202.15879000000001</v>
      </c>
      <c r="C1814" s="2">
        <v>5.1669999999999998</v>
      </c>
      <c r="D1814" s="2" t="s">
        <v>84</v>
      </c>
      <c r="E1814" s="2" t="s">
        <v>15969</v>
      </c>
      <c r="F1814" s="2" t="s">
        <v>15970</v>
      </c>
      <c r="G1814" s="2">
        <v>35657</v>
      </c>
      <c r="H1814" s="3" t="str">
        <f>HYPERLINK("https://cloud.oebiotech.com/#/lm/network/35657", "https://cloud.oebiotech.com/#/lm/network/35657")</f>
        <v>https://cloud.oebiotech.com/#/lm/network/35657</v>
      </c>
      <c r="I1814" s="2" t="s">
        <v>15971</v>
      </c>
      <c r="J1814" s="2">
        <v>41200</v>
      </c>
      <c r="K1814" s="2" t="s">
        <v>15972</v>
      </c>
      <c r="L1814" s="2">
        <v>10719</v>
      </c>
      <c r="M1814" s="2" t="s">
        <v>15973</v>
      </c>
      <c r="N1814" s="2"/>
      <c r="O1814" s="2"/>
      <c r="P1814" s="2"/>
      <c r="Q1814" s="2"/>
      <c r="R1814" s="2"/>
      <c r="S1814" s="2" t="s">
        <v>15974</v>
      </c>
      <c r="T1814" s="2" t="s">
        <v>15975</v>
      </c>
      <c r="U1814" s="2" t="s">
        <v>15976</v>
      </c>
      <c r="V1814" s="2" t="s">
        <v>95</v>
      </c>
      <c r="W1814" s="2" t="s">
        <v>180</v>
      </c>
      <c r="X1814" s="2" t="s">
        <v>181</v>
      </c>
      <c r="Y1814" s="2" t="s">
        <v>98</v>
      </c>
      <c r="Z1814" s="2" t="s">
        <v>182</v>
      </c>
      <c r="AA1814" s="2" t="s">
        <v>183</v>
      </c>
      <c r="AB1814" s="2" t="s">
        <v>8443</v>
      </c>
      <c r="AC1814" s="2">
        <v>39.61</v>
      </c>
      <c r="AD1814" s="2">
        <v>98.07</v>
      </c>
      <c r="AE1814" s="2">
        <v>0</v>
      </c>
      <c r="AF1814" s="2" t="s">
        <v>5614</v>
      </c>
      <c r="AG1814" s="2" t="s">
        <v>132</v>
      </c>
      <c r="AH1814" s="2" t="s">
        <v>15977</v>
      </c>
      <c r="AI1814" s="2">
        <v>0.99</v>
      </c>
      <c r="AJ1814" s="2">
        <v>20.601803471558501</v>
      </c>
      <c r="AK1814" s="2">
        <v>20.70774801364</v>
      </c>
      <c r="AL1814" s="2">
        <v>20.740028395161001</v>
      </c>
      <c r="AM1814" s="2">
        <v>20.776866290931199</v>
      </c>
      <c r="AN1814" s="2">
        <v>20.6675096219175</v>
      </c>
      <c r="AO1814" s="2">
        <v>20.779571783648699</v>
      </c>
      <c r="AP1814" s="2">
        <v>20.855305564873198</v>
      </c>
      <c r="AQ1814" s="2">
        <v>20.7296277049726</v>
      </c>
      <c r="AR1814" s="2">
        <v>20.923198939172099</v>
      </c>
      <c r="AS1814" s="2">
        <v>20.833618895484499</v>
      </c>
      <c r="AT1814" s="2">
        <v>20.836430941884402</v>
      </c>
      <c r="AU1814" s="2">
        <v>20.669132434702998</v>
      </c>
      <c r="AV1814" s="2">
        <v>20.6684652183324</v>
      </c>
      <c r="AW1814" s="2">
        <v>20.929327680612001</v>
      </c>
      <c r="AX1814" s="2">
        <v>20.8311584761456</v>
      </c>
      <c r="AY1814" s="2">
        <v>20.953520151406</v>
      </c>
      <c r="AZ1814" s="2">
        <v>20.595041196860599</v>
      </c>
      <c r="BA1814" s="2">
        <v>20.931505615952599</v>
      </c>
      <c r="BB1814" s="2">
        <v>20.7020872196874</v>
      </c>
      <c r="BC1814" s="2">
        <v>20.902690746050599</v>
      </c>
      <c r="BD1814" s="2">
        <v>20.783736331739799</v>
      </c>
      <c r="BE1814" s="2">
        <v>20.74722233604</v>
      </c>
      <c r="BF1814" s="2">
        <v>20.977282103910699</v>
      </c>
      <c r="BG1814" s="2">
        <v>20.966201521045399</v>
      </c>
      <c r="BH1814" s="2">
        <v>20.573819192102</v>
      </c>
      <c r="BI1814" s="2">
        <v>20.6686164755505</v>
      </c>
      <c r="BJ1814" s="2">
        <v>20.5032650842635</v>
      </c>
      <c r="BK1814" s="2">
        <v>20.716638865357801</v>
      </c>
      <c r="BL1814" s="2">
        <v>20.5584204797007</v>
      </c>
      <c r="BM1814" s="2">
        <v>20.796683929337298</v>
      </c>
      <c r="BN1814" s="2">
        <v>20.6063001798485</v>
      </c>
      <c r="BO1814" s="2">
        <v>20.860830368216501</v>
      </c>
      <c r="BP1814" s="2">
        <v>20.9751482752195</v>
      </c>
      <c r="BQ1814" s="2">
        <v>20.878377381541899</v>
      </c>
      <c r="BR1814" s="2">
        <v>20.757617064840101</v>
      </c>
      <c r="BS1814" s="2">
        <v>20.938319652211799</v>
      </c>
      <c r="BT1814" s="2">
        <v>20.633425321081099</v>
      </c>
      <c r="BU1814" s="2">
        <v>20.6462648980451</v>
      </c>
      <c r="BV1814" s="2">
        <v>20.680296633296301</v>
      </c>
      <c r="BW1814" s="2">
        <v>20.7791293714258</v>
      </c>
      <c r="BX1814" s="2">
        <v>20.6579294870151</v>
      </c>
      <c r="BY1814" s="2">
        <v>20.6254445643387</v>
      </c>
      <c r="BZ1814" s="2">
        <v>20.6963898878621</v>
      </c>
      <c r="CA1814" s="2">
        <v>20.335983457088901</v>
      </c>
      <c r="CB1814" s="2">
        <v>20.809796722057602</v>
      </c>
      <c r="CC1814" s="2">
        <v>20.668321936097001</v>
      </c>
      <c r="CD1814" s="2">
        <v>20.7154856140513</v>
      </c>
      <c r="CE1814" s="2">
        <v>20.777454006034599</v>
      </c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</row>
    <row r="1815" spans="1:97">
      <c r="A1815" s="2" t="s">
        <v>15978</v>
      </c>
      <c r="B1815" s="2">
        <v>521.27161999999998</v>
      </c>
      <c r="C1815" s="2">
        <v>7.8719999999999999</v>
      </c>
      <c r="D1815" s="2" t="s">
        <v>84</v>
      </c>
      <c r="E1815" s="2" t="s">
        <v>15979</v>
      </c>
      <c r="F1815" s="2" t="s">
        <v>15980</v>
      </c>
      <c r="G1815" s="2">
        <v>210562</v>
      </c>
      <c r="H1815" s="3" t="str">
        <f>HYPERLINK("https://cloud.oebiotech.com/#/lm/network/210562", "https://cloud.oebiotech.com/#/lm/network/210562")</f>
        <v>https://cloud.oebiotech.com/#/lm/network/210562</v>
      </c>
      <c r="I1815" s="2" t="s">
        <v>15981</v>
      </c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 t="s">
        <v>15982</v>
      </c>
      <c r="U1815" s="2" t="s">
        <v>15983</v>
      </c>
      <c r="V1815" s="2" t="s">
        <v>553</v>
      </c>
      <c r="W1815" s="2" t="s">
        <v>10242</v>
      </c>
      <c r="X1815" s="2" t="s">
        <v>10243</v>
      </c>
      <c r="Y1815" s="2" t="s">
        <v>556</v>
      </c>
      <c r="Z1815" s="2" t="s">
        <v>10244</v>
      </c>
      <c r="AA1815" s="2" t="s">
        <v>10245</v>
      </c>
      <c r="AB1815" s="2" t="s">
        <v>8443</v>
      </c>
      <c r="AC1815" s="2">
        <v>39.61</v>
      </c>
      <c r="AD1815" s="2">
        <v>82.14</v>
      </c>
      <c r="AE1815" s="2">
        <v>31.62</v>
      </c>
      <c r="AF1815" s="2" t="s">
        <v>15984</v>
      </c>
      <c r="AG1815" s="2" t="s">
        <v>132</v>
      </c>
      <c r="AH1815" s="2" t="s">
        <v>15985</v>
      </c>
      <c r="AI1815" s="2">
        <v>2.88</v>
      </c>
      <c r="AJ1815" s="2">
        <v>18.0218557019613</v>
      </c>
      <c r="AK1815" s="2">
        <v>17.799952479117</v>
      </c>
      <c r="AL1815" s="2">
        <v>17.784368890597701</v>
      </c>
      <c r="AM1815" s="2">
        <v>18.362344157515999</v>
      </c>
      <c r="AN1815" s="2">
        <v>18.157041390305999</v>
      </c>
      <c r="AO1815" s="2">
        <v>18.347691216278001</v>
      </c>
      <c r="AP1815" s="2">
        <v>18.243596214260901</v>
      </c>
      <c r="AQ1815" s="2">
        <v>17.677607408394501</v>
      </c>
      <c r="AR1815" s="2">
        <v>17.252974798976599</v>
      </c>
      <c r="AS1815" s="2">
        <v>15.4779115952292</v>
      </c>
      <c r="AT1815" s="2">
        <v>18.160477422749601</v>
      </c>
      <c r="AU1815" s="2">
        <v>17.024377212586501</v>
      </c>
      <c r="AV1815" s="2">
        <v>18.847954223651399</v>
      </c>
      <c r="AW1815" s="2">
        <v>18.7275988680185</v>
      </c>
      <c r="AX1815" s="2">
        <v>17.027314792825301</v>
      </c>
      <c r="AY1815" s="2">
        <v>18.441968163299499</v>
      </c>
      <c r="AZ1815" s="2">
        <v>16.2532981357148</v>
      </c>
      <c r="BA1815" s="2">
        <v>17.773239032610299</v>
      </c>
      <c r="BB1815" s="2">
        <v>17.833775113634601</v>
      </c>
      <c r="BC1815" s="2">
        <v>18.8743473465588</v>
      </c>
      <c r="BD1815" s="2">
        <v>16.8626109653733</v>
      </c>
      <c r="BE1815" s="2">
        <v>17.8470158592012</v>
      </c>
      <c r="BF1815" s="2">
        <v>16.406533049677101</v>
      </c>
      <c r="BG1815" s="2">
        <v>18.464579890139099</v>
      </c>
      <c r="BH1815" s="2">
        <v>17.1726036935823</v>
      </c>
      <c r="BI1815" s="2">
        <v>18.866121001023402</v>
      </c>
      <c r="BJ1815" s="2">
        <v>18.254482345996699</v>
      </c>
      <c r="BK1815" s="2">
        <v>17.240459216986402</v>
      </c>
      <c r="BL1815" s="2">
        <v>15.4794032500747</v>
      </c>
      <c r="BM1815" s="2">
        <v>17.0453317883591</v>
      </c>
      <c r="BN1815" s="2">
        <v>18.475775538506799</v>
      </c>
      <c r="BO1815" s="2">
        <v>17.44749243019</v>
      </c>
      <c r="BP1815" s="2">
        <v>18.321095778013799</v>
      </c>
      <c r="BQ1815" s="2">
        <v>18.611226638846301</v>
      </c>
      <c r="BR1815" s="2">
        <v>17.397746485178999</v>
      </c>
      <c r="BS1815" s="2">
        <v>19.4082289073311</v>
      </c>
      <c r="BT1815" s="2">
        <v>17.341437252379301</v>
      </c>
      <c r="BU1815" s="2">
        <v>16.4455666500942</v>
      </c>
      <c r="BV1815" s="2">
        <v>18.9570256707729</v>
      </c>
      <c r="BW1815" s="2">
        <v>16.4485744974413</v>
      </c>
      <c r="BX1815" s="2">
        <v>16.360081306353401</v>
      </c>
      <c r="BY1815" s="2">
        <v>18.5997664998693</v>
      </c>
      <c r="BZ1815" s="2">
        <v>16.194206660490401</v>
      </c>
      <c r="CA1815" s="2">
        <v>17.914005253432698</v>
      </c>
      <c r="CB1815" s="2">
        <v>19.277007799105199</v>
      </c>
      <c r="CC1815" s="2">
        <v>18.083802463971502</v>
      </c>
      <c r="CD1815" s="2">
        <v>18.7855009041456</v>
      </c>
      <c r="CE1815" s="2">
        <v>18.1830367187092</v>
      </c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</row>
    <row r="1816" spans="1:97">
      <c r="A1816" s="2" t="s">
        <v>15986</v>
      </c>
      <c r="B1816" s="2">
        <v>471.32592</v>
      </c>
      <c r="C1816" s="2">
        <v>10.298999999999999</v>
      </c>
      <c r="D1816" s="2" t="s">
        <v>146</v>
      </c>
      <c r="E1816" s="2" t="s">
        <v>15987</v>
      </c>
      <c r="F1816" s="2" t="s">
        <v>15988</v>
      </c>
      <c r="G1816" s="2">
        <v>46349</v>
      </c>
      <c r="H1816" s="3" t="str">
        <f>HYPERLINK("https://cloud.oebiotech.com/#/lm/network/46349", "https://cloud.oebiotech.com/#/lm/network/46349")</f>
        <v>https://cloud.oebiotech.com/#/lm/network/46349</v>
      </c>
      <c r="I1816" s="2"/>
      <c r="J1816" s="2">
        <v>84772</v>
      </c>
      <c r="K1816" s="2" t="s">
        <v>15989</v>
      </c>
      <c r="L1816" s="2">
        <v>147106</v>
      </c>
      <c r="M1816" s="2"/>
      <c r="N1816" s="2"/>
      <c r="O1816" s="2"/>
      <c r="P1816" s="2"/>
      <c r="Q1816" s="2"/>
      <c r="R1816" s="2"/>
      <c r="S1816" s="2"/>
      <c r="T1816" s="2" t="s">
        <v>15990</v>
      </c>
      <c r="U1816" s="2" t="s">
        <v>15991</v>
      </c>
      <c r="V1816" s="2" t="s">
        <v>95</v>
      </c>
      <c r="W1816" s="2" t="s">
        <v>152</v>
      </c>
      <c r="X1816" s="2" t="s">
        <v>278</v>
      </c>
      <c r="Y1816" s="2" t="s">
        <v>98</v>
      </c>
      <c r="Z1816" s="2" t="s">
        <v>154</v>
      </c>
      <c r="AA1816" s="2" t="s">
        <v>279</v>
      </c>
      <c r="AB1816" s="2" t="s">
        <v>8443</v>
      </c>
      <c r="AC1816" s="2">
        <v>39.6</v>
      </c>
      <c r="AD1816" s="2">
        <v>60.98</v>
      </c>
      <c r="AE1816" s="2">
        <v>0</v>
      </c>
      <c r="AF1816" s="2" t="s">
        <v>5614</v>
      </c>
      <c r="AG1816" s="2" t="s">
        <v>4062</v>
      </c>
      <c r="AH1816" s="2" t="s">
        <v>7617</v>
      </c>
      <c r="AI1816" s="2">
        <v>-2.5499999999999998</v>
      </c>
      <c r="AJ1816" s="2">
        <v>18.944283399917399</v>
      </c>
      <c r="AK1816" s="2">
        <v>18.692452692163901</v>
      </c>
      <c r="AL1816" s="2">
        <v>18.400323988150198</v>
      </c>
      <c r="AM1816" s="2">
        <v>18.740306792979901</v>
      </c>
      <c r="AN1816" s="2">
        <v>18.6035591227322</v>
      </c>
      <c r="AO1816" s="2">
        <v>18.8376077313576</v>
      </c>
      <c r="AP1816" s="2">
        <v>18.6207936114556</v>
      </c>
      <c r="AQ1816" s="2">
        <v>18.559778019959602</v>
      </c>
      <c r="AR1816" s="2">
        <v>18.6502742135077</v>
      </c>
      <c r="AS1816" s="2">
        <v>18.7095388584391</v>
      </c>
      <c r="AT1816" s="2">
        <v>18.831407238472799</v>
      </c>
      <c r="AU1816" s="2">
        <v>18.637738587606499</v>
      </c>
      <c r="AV1816" s="2">
        <v>18.511232315835802</v>
      </c>
      <c r="AW1816" s="2">
        <v>18.803550899097601</v>
      </c>
      <c r="AX1816" s="2">
        <v>18.532484688111602</v>
      </c>
      <c r="AY1816" s="2">
        <v>18.908021132458199</v>
      </c>
      <c r="AZ1816" s="2">
        <v>18.7848498357742</v>
      </c>
      <c r="BA1816" s="2">
        <v>18.8103919832723</v>
      </c>
      <c r="BB1816" s="2">
        <v>18.800017878789401</v>
      </c>
      <c r="BC1816" s="2">
        <v>18.574405196041301</v>
      </c>
      <c r="BD1816" s="2">
        <v>18.655141494332</v>
      </c>
      <c r="BE1816" s="2">
        <v>18.502607103408401</v>
      </c>
      <c r="BF1816" s="2">
        <v>18.790593212540401</v>
      </c>
      <c r="BG1816" s="2">
        <v>18.7490666486813</v>
      </c>
      <c r="BH1816" s="2">
        <v>18.4566505607614</v>
      </c>
      <c r="BI1816" s="2">
        <v>18.4699228906054</v>
      </c>
      <c r="BJ1816" s="2">
        <v>18.527568790458499</v>
      </c>
      <c r="BK1816" s="2">
        <v>18.863415316659399</v>
      </c>
      <c r="BL1816" s="2">
        <v>18.6318842725086</v>
      </c>
      <c r="BM1816" s="2">
        <v>18.636110180752599</v>
      </c>
      <c r="BN1816" s="2">
        <v>18.304670967062901</v>
      </c>
      <c r="BO1816" s="2">
        <v>18.7505055257643</v>
      </c>
      <c r="BP1816" s="2">
        <v>18.827835395335001</v>
      </c>
      <c r="BQ1816" s="2">
        <v>18.825158362327802</v>
      </c>
      <c r="BR1816" s="2">
        <v>18.395375143743301</v>
      </c>
      <c r="BS1816" s="2">
        <v>18.557728550818101</v>
      </c>
      <c r="BT1816" s="2">
        <v>18.576166109223799</v>
      </c>
      <c r="BU1816" s="2">
        <v>18.721936762842802</v>
      </c>
      <c r="BV1816" s="2">
        <v>18.611169930063198</v>
      </c>
      <c r="BW1816" s="2">
        <v>18.541489271186101</v>
      </c>
      <c r="BX1816" s="2">
        <v>18.541145821364601</v>
      </c>
      <c r="BY1816" s="2">
        <v>18.514892738985601</v>
      </c>
      <c r="BZ1816" s="2">
        <v>18.458154173992799</v>
      </c>
      <c r="CA1816" s="2">
        <v>18.807402188012301</v>
      </c>
      <c r="CB1816" s="2">
        <v>18.7681859081525</v>
      </c>
      <c r="CC1816" s="2">
        <v>18.678867036923702</v>
      </c>
      <c r="CD1816" s="2">
        <v>18.693468478568001</v>
      </c>
      <c r="CE1816" s="2">
        <v>18.914767771685099</v>
      </c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</row>
    <row r="1817" spans="1:97">
      <c r="A1817" s="2" t="s">
        <v>15992</v>
      </c>
      <c r="B1817" s="2">
        <v>274.27366000000001</v>
      </c>
      <c r="C1817" s="2">
        <v>7.8929999999999998</v>
      </c>
      <c r="D1817" s="2" t="s">
        <v>84</v>
      </c>
      <c r="E1817" s="2" t="s">
        <v>15993</v>
      </c>
      <c r="F1817" s="2" t="s">
        <v>15994</v>
      </c>
      <c r="G1817" s="2">
        <v>258</v>
      </c>
      <c r="H1817" s="3" t="str">
        <f>HYPERLINK("https://cloud.oebiotech.com/#/lm/network/258", "https://cloud.oebiotech.com/#/lm/network/258")</f>
        <v>https://cloud.oebiotech.com/#/lm/network/258</v>
      </c>
      <c r="I1817" s="2"/>
      <c r="J1817" s="2"/>
      <c r="K1817" s="2" t="s">
        <v>15995</v>
      </c>
      <c r="L1817" s="2">
        <v>5282693</v>
      </c>
      <c r="M1817" s="2"/>
      <c r="N1817" s="2"/>
      <c r="O1817" s="2"/>
      <c r="P1817" s="2"/>
      <c r="Q1817" s="2"/>
      <c r="R1817" s="2"/>
      <c r="S1817" s="2"/>
      <c r="T1817" s="2" t="s">
        <v>15996</v>
      </c>
      <c r="U1817" s="2" t="s">
        <v>15997</v>
      </c>
      <c r="V1817" s="2" t="s">
        <v>95</v>
      </c>
      <c r="W1817" s="2" t="s">
        <v>96</v>
      </c>
      <c r="X1817" s="2" t="s">
        <v>141</v>
      </c>
      <c r="Y1817" s="2" t="s">
        <v>98</v>
      </c>
      <c r="Z1817" s="2" t="s">
        <v>99</v>
      </c>
      <c r="AA1817" s="2" t="s">
        <v>142</v>
      </c>
      <c r="AB1817" s="2" t="s">
        <v>8443</v>
      </c>
      <c r="AC1817" s="2">
        <v>39.58</v>
      </c>
      <c r="AD1817" s="2">
        <v>98.34</v>
      </c>
      <c r="AE1817" s="2">
        <v>0</v>
      </c>
      <c r="AF1817" s="2" t="s">
        <v>15998</v>
      </c>
      <c r="AG1817" s="2" t="s">
        <v>132</v>
      </c>
      <c r="AH1817" s="2" t="s">
        <v>462</v>
      </c>
      <c r="AI1817" s="2">
        <v>1.0900000000000001</v>
      </c>
      <c r="AJ1817" s="2">
        <v>26.5882505509332</v>
      </c>
      <c r="AK1817" s="2">
        <v>26.6207704362306</v>
      </c>
      <c r="AL1817" s="2">
        <v>26.553199510095101</v>
      </c>
      <c r="AM1817" s="2">
        <v>26.640981226877599</v>
      </c>
      <c r="AN1817" s="2">
        <v>26.6107302952305</v>
      </c>
      <c r="AO1817" s="2">
        <v>26.610873826257201</v>
      </c>
      <c r="AP1817" s="2">
        <v>26.579445412215701</v>
      </c>
      <c r="AQ1817" s="2">
        <v>26.5702552134365</v>
      </c>
      <c r="AR1817" s="2">
        <v>25.8153978473125</v>
      </c>
      <c r="AS1817" s="2">
        <v>25.757687964286099</v>
      </c>
      <c r="AT1817" s="2">
        <v>25.965351611821301</v>
      </c>
      <c r="AU1817" s="2">
        <v>25.306877133096599</v>
      </c>
      <c r="AV1817" s="2">
        <v>25.288282633287899</v>
      </c>
      <c r="AW1817" s="2">
        <v>25.547091154017501</v>
      </c>
      <c r="AX1817" s="2">
        <v>25.608302455569</v>
      </c>
      <c r="AY1817" s="2">
        <v>25.301243237971999</v>
      </c>
      <c r="AZ1817" s="2">
        <v>24.8985292828064</v>
      </c>
      <c r="BA1817" s="2">
        <v>25.033513601778701</v>
      </c>
      <c r="BB1817" s="2">
        <v>25.892854944988599</v>
      </c>
      <c r="BC1817" s="2">
        <v>25.462438126669099</v>
      </c>
      <c r="BD1817" s="2">
        <v>25.9520386057488</v>
      </c>
      <c r="BE1817" s="2">
        <v>26.675509215689701</v>
      </c>
      <c r="BF1817" s="2">
        <v>26.380631475530699</v>
      </c>
      <c r="BG1817" s="2">
        <v>26.499660938350601</v>
      </c>
      <c r="BH1817" s="2">
        <v>25.8177124373954</v>
      </c>
      <c r="BI1817" s="2">
        <v>25.247019620350301</v>
      </c>
      <c r="BJ1817" s="2">
        <v>25.213312877746901</v>
      </c>
      <c r="BK1817" s="2">
        <v>26.069499647392401</v>
      </c>
      <c r="BL1817" s="2">
        <v>24.359039361081901</v>
      </c>
      <c r="BM1817" s="2">
        <v>24.531919753461398</v>
      </c>
      <c r="BN1817" s="2">
        <v>25.214532827638301</v>
      </c>
      <c r="BO1817" s="2">
        <v>24.9172793732182</v>
      </c>
      <c r="BP1817" s="2">
        <v>25.434570064595999</v>
      </c>
      <c r="BQ1817" s="2">
        <v>24.9765343609157</v>
      </c>
      <c r="BR1817" s="2">
        <v>25.2654960988603</v>
      </c>
      <c r="BS1817" s="2">
        <v>24.9204286935041</v>
      </c>
      <c r="BT1817" s="2">
        <v>25.229644767204</v>
      </c>
      <c r="BU1817" s="2">
        <v>25.009006805187401</v>
      </c>
      <c r="BV1817" s="2">
        <v>24.948121822134802</v>
      </c>
      <c r="BW1817" s="2">
        <v>24.5355542250926</v>
      </c>
      <c r="BX1817" s="2">
        <v>25.140654586219501</v>
      </c>
      <c r="BY1817" s="2">
        <v>26.732495306486801</v>
      </c>
      <c r="BZ1817" s="2">
        <v>25.457775199061</v>
      </c>
      <c r="CA1817" s="2">
        <v>25.174892847318301</v>
      </c>
      <c r="CB1817" s="2">
        <v>25.6338353027324</v>
      </c>
      <c r="CC1817" s="2">
        <v>25.257658624173899</v>
      </c>
      <c r="CD1817" s="2">
        <v>25.1299864427682</v>
      </c>
      <c r="CE1817" s="2">
        <v>25.3029120741136</v>
      </c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</row>
    <row r="1818" spans="1:97">
      <c r="A1818" s="2" t="s">
        <v>15999</v>
      </c>
      <c r="B1818" s="2">
        <v>156.01399000000001</v>
      </c>
      <c r="C1818" s="2">
        <v>0.58299999999999996</v>
      </c>
      <c r="D1818" s="2" t="s">
        <v>84</v>
      </c>
      <c r="E1818" s="2" t="s">
        <v>16000</v>
      </c>
      <c r="F1818" s="2" t="s">
        <v>16001</v>
      </c>
      <c r="G1818" s="2">
        <v>204166</v>
      </c>
      <c r="H1818" s="3" t="str">
        <f>HYPERLINK("https://cloud.oebiotech.com/#/lm/network/204166", "https://cloud.oebiotech.com/#/lm/network/204166")</f>
        <v>https://cloud.oebiotech.com/#/lm/network/204166</v>
      </c>
      <c r="I1818" s="2" t="s">
        <v>16002</v>
      </c>
      <c r="J1818" s="2"/>
      <c r="K1818" s="2"/>
      <c r="L1818" s="2">
        <v>18764585</v>
      </c>
      <c r="M1818" s="2"/>
      <c r="N1818" s="2"/>
      <c r="O1818" s="2"/>
      <c r="P1818" s="2"/>
      <c r="Q1818" s="2"/>
      <c r="R1818" s="2"/>
      <c r="S1818" s="2"/>
      <c r="T1818" s="2" t="s">
        <v>16003</v>
      </c>
      <c r="U1818" s="2" t="s">
        <v>16004</v>
      </c>
      <c r="V1818" s="2" t="s">
        <v>115</v>
      </c>
      <c r="W1818" s="2" t="s">
        <v>5480</v>
      </c>
      <c r="X1818" s="2" t="s">
        <v>375</v>
      </c>
      <c r="Y1818" s="2" t="s">
        <v>118</v>
      </c>
      <c r="Z1818" s="2" t="s">
        <v>5482</v>
      </c>
      <c r="AA1818" s="2"/>
      <c r="AB1818" s="2" t="s">
        <v>8443</v>
      </c>
      <c r="AC1818" s="2">
        <v>39.58</v>
      </c>
      <c r="AD1818" s="2">
        <v>97.91</v>
      </c>
      <c r="AE1818" s="2">
        <v>0</v>
      </c>
      <c r="AF1818" s="2" t="s">
        <v>16005</v>
      </c>
      <c r="AG1818" s="2" t="s">
        <v>132</v>
      </c>
      <c r="AH1818" s="2" t="s">
        <v>16006</v>
      </c>
      <c r="AI1818" s="2">
        <v>-0.64</v>
      </c>
      <c r="AJ1818" s="2">
        <v>22.814541569811801</v>
      </c>
      <c r="AK1818" s="2">
        <v>22.567690911173901</v>
      </c>
      <c r="AL1818" s="2">
        <v>22.881614663679301</v>
      </c>
      <c r="AM1818" s="2">
        <v>22.921432428774398</v>
      </c>
      <c r="AN1818" s="2">
        <v>23.099702490058601</v>
      </c>
      <c r="AO1818" s="2">
        <v>22.8595211846939</v>
      </c>
      <c r="AP1818" s="2">
        <v>22.5346674356405</v>
      </c>
      <c r="AQ1818" s="2">
        <v>22.587961659351901</v>
      </c>
      <c r="AR1818" s="2">
        <v>22.447856309492199</v>
      </c>
      <c r="AS1818" s="2">
        <v>22.594568538124001</v>
      </c>
      <c r="AT1818" s="2">
        <v>22.5910982226602</v>
      </c>
      <c r="AU1818" s="2">
        <v>22.4007692329176</v>
      </c>
      <c r="AV1818" s="2">
        <v>22.651814003249498</v>
      </c>
      <c r="AW1818" s="2">
        <v>22.755956529278698</v>
      </c>
      <c r="AX1818" s="2">
        <v>22.8134604999324</v>
      </c>
      <c r="AY1818" s="2">
        <v>22.766050875130102</v>
      </c>
      <c r="AZ1818" s="2">
        <v>22.664650878786802</v>
      </c>
      <c r="BA1818" s="2">
        <v>22.510044246677101</v>
      </c>
      <c r="BB1818" s="2">
        <v>22.8004108880526</v>
      </c>
      <c r="BC1818" s="2">
        <v>22.855453106679398</v>
      </c>
      <c r="BD1818" s="2">
        <v>22.691616810066101</v>
      </c>
      <c r="BE1818" s="2">
        <v>23.096993430068999</v>
      </c>
      <c r="BF1818" s="2">
        <v>22.922613171635</v>
      </c>
      <c r="BG1818" s="2">
        <v>22.706007451293999</v>
      </c>
      <c r="BH1818" s="2">
        <v>22.961422113540799</v>
      </c>
      <c r="BI1818" s="2">
        <v>22.479947038674201</v>
      </c>
      <c r="BJ1818" s="2">
        <v>22.9512913448795</v>
      </c>
      <c r="BK1818" s="2">
        <v>22.724927444713</v>
      </c>
      <c r="BL1818" s="2">
        <v>22.732754884742199</v>
      </c>
      <c r="BM1818" s="2">
        <v>22.986655993079101</v>
      </c>
      <c r="BN1818" s="2">
        <v>22.832589266870201</v>
      </c>
      <c r="BO1818" s="2">
        <v>22.396244460114399</v>
      </c>
      <c r="BP1818" s="2">
        <v>22.444107792687198</v>
      </c>
      <c r="BQ1818" s="2">
        <v>22.690692678401799</v>
      </c>
      <c r="BR1818" s="2">
        <v>22.3823394228341</v>
      </c>
      <c r="BS1818" s="2">
        <v>22.755965171408299</v>
      </c>
      <c r="BT1818" s="2">
        <v>22.963615691383101</v>
      </c>
      <c r="BU1818" s="2">
        <v>22.7757625010894</v>
      </c>
      <c r="BV1818" s="2">
        <v>23.0071432348443</v>
      </c>
      <c r="BW1818" s="2">
        <v>22.657074986900898</v>
      </c>
      <c r="BX1818" s="2">
        <v>22.799009897966801</v>
      </c>
      <c r="BY1818" s="2">
        <v>23.3871196088269</v>
      </c>
      <c r="BZ1818" s="2">
        <v>22.456489265374501</v>
      </c>
      <c r="CA1818" s="2">
        <v>22.695418577844801</v>
      </c>
      <c r="CB1818" s="2">
        <v>22.590805839440598</v>
      </c>
      <c r="CC1818" s="2">
        <v>22.647951288419002</v>
      </c>
      <c r="CD1818" s="2">
        <v>22.858617132785799</v>
      </c>
      <c r="CE1818" s="2">
        <v>22.094823655570298</v>
      </c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</row>
    <row r="1819" spans="1:97">
      <c r="A1819" s="2" t="s">
        <v>16007</v>
      </c>
      <c r="B1819" s="2">
        <v>281.03307000000001</v>
      </c>
      <c r="C1819" s="2">
        <v>5.492</v>
      </c>
      <c r="D1819" s="2" t="s">
        <v>84</v>
      </c>
      <c r="E1819" s="2" t="s">
        <v>16008</v>
      </c>
      <c r="F1819" s="2" t="s">
        <v>16009</v>
      </c>
      <c r="G1819" s="2">
        <v>197318</v>
      </c>
      <c r="H1819" s="3" t="str">
        <f>HYPERLINK("https://cloud.oebiotech.com/#/lm/network/197318", "https://cloud.oebiotech.com/#/lm/network/197318")</f>
        <v>https://cloud.oebiotech.com/#/lm/network/197318</v>
      </c>
      <c r="I1819" s="2" t="s">
        <v>16010</v>
      </c>
      <c r="J1819" s="2"/>
      <c r="K1819" s="2"/>
      <c r="L1819" s="2">
        <v>5251220</v>
      </c>
      <c r="M1819" s="2"/>
      <c r="N1819" s="2"/>
      <c r="O1819" s="2"/>
      <c r="P1819" s="2"/>
      <c r="Q1819" s="2"/>
      <c r="R1819" s="2"/>
      <c r="S1819" s="2"/>
      <c r="T1819" s="2" t="s">
        <v>16011</v>
      </c>
      <c r="U1819" s="2" t="s">
        <v>16012</v>
      </c>
      <c r="V1819" s="2" t="s">
        <v>553</v>
      </c>
      <c r="W1819" s="2" t="s">
        <v>16013</v>
      </c>
      <c r="X1819" s="2" t="s">
        <v>16014</v>
      </c>
      <c r="Y1819" s="2" t="s">
        <v>556</v>
      </c>
      <c r="Z1819" s="2" t="s">
        <v>16015</v>
      </c>
      <c r="AA1819" s="2" t="s">
        <v>16016</v>
      </c>
      <c r="AB1819" s="2" t="s">
        <v>8443</v>
      </c>
      <c r="AC1819" s="2">
        <v>39.58</v>
      </c>
      <c r="AD1819" s="2">
        <v>73.83</v>
      </c>
      <c r="AE1819" s="2">
        <v>0</v>
      </c>
      <c r="AF1819" s="2" t="s">
        <v>5614</v>
      </c>
      <c r="AG1819" s="2" t="s">
        <v>3544</v>
      </c>
      <c r="AH1819" s="2" t="s">
        <v>16017</v>
      </c>
      <c r="AI1819" s="2">
        <v>-2.85</v>
      </c>
      <c r="AJ1819" s="2">
        <v>19.093588116061099</v>
      </c>
      <c r="AK1819" s="2">
        <v>20.1537685429169</v>
      </c>
      <c r="AL1819" s="2">
        <v>19.640329131230001</v>
      </c>
      <c r="AM1819" s="2">
        <v>20.0086346734278</v>
      </c>
      <c r="AN1819" s="2">
        <v>19.622532511367101</v>
      </c>
      <c r="AO1819" s="2">
        <v>19.6123444708108</v>
      </c>
      <c r="AP1819" s="2">
        <v>19.721588458484401</v>
      </c>
      <c r="AQ1819" s="2">
        <v>20.386279350466499</v>
      </c>
      <c r="AR1819" s="2">
        <v>20.1197549665075</v>
      </c>
      <c r="AS1819" s="2">
        <v>19.8079748069594</v>
      </c>
      <c r="AT1819" s="2">
        <v>19.821384938011999</v>
      </c>
      <c r="AU1819" s="2">
        <v>20.193158342804001</v>
      </c>
      <c r="AV1819" s="2">
        <v>19.684510974005001</v>
      </c>
      <c r="AW1819" s="2">
        <v>20.1707910448146</v>
      </c>
      <c r="AX1819" s="2">
        <v>19.9429366785889</v>
      </c>
      <c r="AY1819" s="2">
        <v>19.725867526369001</v>
      </c>
      <c r="AZ1819" s="2">
        <v>19.299146786634299</v>
      </c>
      <c r="BA1819" s="2">
        <v>19.7461543963135</v>
      </c>
      <c r="BB1819" s="2">
        <v>19.728820147112799</v>
      </c>
      <c r="BC1819" s="2">
        <v>20.037827965683899</v>
      </c>
      <c r="BD1819" s="2">
        <v>20.036725761740101</v>
      </c>
      <c r="BE1819" s="2">
        <v>19.686530448514699</v>
      </c>
      <c r="BF1819" s="2">
        <v>19.905957775733999</v>
      </c>
      <c r="BG1819" s="2">
        <v>19.545509041060299</v>
      </c>
      <c r="BH1819" s="2">
        <v>19.376608314279601</v>
      </c>
      <c r="BI1819" s="2">
        <v>19.479827581162599</v>
      </c>
      <c r="BJ1819" s="2">
        <v>19.935890031436301</v>
      </c>
      <c r="BK1819" s="2">
        <v>19.892953683253101</v>
      </c>
      <c r="BL1819" s="2">
        <v>19.391137169286999</v>
      </c>
      <c r="BM1819" s="2">
        <v>19.831169395678099</v>
      </c>
      <c r="BN1819" s="2">
        <v>19.4624960219809</v>
      </c>
      <c r="BO1819" s="2">
        <v>20.069324201676601</v>
      </c>
      <c r="BP1819" s="2">
        <v>20.108283676129801</v>
      </c>
      <c r="BQ1819" s="2">
        <v>19.795712929952899</v>
      </c>
      <c r="BR1819" s="2">
        <v>19.699087709716999</v>
      </c>
      <c r="BS1819" s="2">
        <v>19.7444992467296</v>
      </c>
      <c r="BT1819" s="2">
        <v>19.6394065315252</v>
      </c>
      <c r="BU1819" s="2">
        <v>20.0228074391067</v>
      </c>
      <c r="BV1819" s="2">
        <v>20.279660338773901</v>
      </c>
      <c r="BW1819" s="2">
        <v>19.3227371165482</v>
      </c>
      <c r="BX1819" s="2">
        <v>19.110762484830499</v>
      </c>
      <c r="BY1819" s="2">
        <v>19.999926031805298</v>
      </c>
      <c r="BZ1819" s="2">
        <v>19.9651817350492</v>
      </c>
      <c r="CA1819" s="2">
        <v>18.9574374695298</v>
      </c>
      <c r="CB1819" s="2">
        <v>19.441059039957999</v>
      </c>
      <c r="CC1819" s="2">
        <v>20.113932962831399</v>
      </c>
      <c r="CD1819" s="2">
        <v>19.601351109039701</v>
      </c>
      <c r="CE1819" s="2">
        <v>19.970622182222701</v>
      </c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</row>
    <row r="1820" spans="1:97">
      <c r="A1820" s="2" t="s">
        <v>16018</v>
      </c>
      <c r="B1820" s="2">
        <v>561.20015999999998</v>
      </c>
      <c r="C1820" s="2">
        <v>5.53</v>
      </c>
      <c r="D1820" s="2" t="s">
        <v>146</v>
      </c>
      <c r="E1820" s="2" t="s">
        <v>16019</v>
      </c>
      <c r="F1820" s="2" t="s">
        <v>16020</v>
      </c>
      <c r="G1820" s="2">
        <v>58101</v>
      </c>
      <c r="H1820" s="3" t="str">
        <f>HYPERLINK("https://cloud.oebiotech.com/#/lm/network/58101", "https://cloud.oebiotech.com/#/lm/network/58101")</f>
        <v>https://cloud.oebiotech.com/#/lm/network/58101</v>
      </c>
      <c r="I1820" s="2" t="s">
        <v>16021</v>
      </c>
      <c r="J1820" s="2">
        <v>89638</v>
      </c>
      <c r="K1820" s="2"/>
      <c r="L1820" s="2">
        <v>3085285</v>
      </c>
      <c r="M1820" s="2"/>
      <c r="N1820" s="2"/>
      <c r="O1820" s="2"/>
      <c r="P1820" s="2"/>
      <c r="Q1820" s="2"/>
      <c r="R1820" s="2"/>
      <c r="S1820" s="2" t="s">
        <v>16022</v>
      </c>
      <c r="T1820" s="2" t="s">
        <v>16023</v>
      </c>
      <c r="U1820" s="2" t="s">
        <v>16024</v>
      </c>
      <c r="V1820" s="2" t="s">
        <v>553</v>
      </c>
      <c r="W1820" s="2" t="s">
        <v>9926</v>
      </c>
      <c r="X1820" s="2" t="s">
        <v>16025</v>
      </c>
      <c r="Y1820" s="2" t="s">
        <v>556</v>
      </c>
      <c r="Z1820" s="2" t="s">
        <v>9927</v>
      </c>
      <c r="AA1820" s="2" t="s">
        <v>16026</v>
      </c>
      <c r="AB1820" s="2" t="s">
        <v>8443</v>
      </c>
      <c r="AC1820" s="2">
        <v>39.57</v>
      </c>
      <c r="AD1820" s="2">
        <v>76.5</v>
      </c>
      <c r="AE1820" s="2">
        <v>0</v>
      </c>
      <c r="AF1820" s="2" t="s">
        <v>5614</v>
      </c>
      <c r="AG1820" s="2" t="s">
        <v>3880</v>
      </c>
      <c r="AH1820" s="2" t="s">
        <v>6493</v>
      </c>
      <c r="AI1820" s="2">
        <v>5.17</v>
      </c>
      <c r="AJ1820" s="2">
        <v>17.2651627599931</v>
      </c>
      <c r="AK1820" s="2">
        <v>17.2105886870144</v>
      </c>
      <c r="AL1820" s="2">
        <v>16.407300464873199</v>
      </c>
      <c r="AM1820" s="2">
        <v>16.874024971589701</v>
      </c>
      <c r="AN1820" s="2">
        <v>16.453600688634701</v>
      </c>
      <c r="AO1820" s="2">
        <v>16.954875254391599</v>
      </c>
      <c r="AP1820" s="2">
        <v>17.216225212005298</v>
      </c>
      <c r="AQ1820" s="2">
        <v>16.3086936514533</v>
      </c>
      <c r="AR1820" s="2">
        <v>16.128409648416099</v>
      </c>
      <c r="AS1820" s="2">
        <v>9.6233145402724691</v>
      </c>
      <c r="AT1820" s="2">
        <v>14.7860939774126</v>
      </c>
      <c r="AU1820" s="2">
        <v>15.4075728306497</v>
      </c>
      <c r="AV1820" s="2">
        <v>16.8287725571907</v>
      </c>
      <c r="AW1820" s="2">
        <v>15.8078542339503</v>
      </c>
      <c r="AX1820" s="2">
        <v>16.465007048000398</v>
      </c>
      <c r="AY1820" s="2">
        <v>16.537919220133102</v>
      </c>
      <c r="AZ1820" s="2">
        <v>17.104597115626301</v>
      </c>
      <c r="BA1820" s="2">
        <v>18.3716918750074</v>
      </c>
      <c r="BB1820" s="2">
        <v>17.6759661269184</v>
      </c>
      <c r="BC1820" s="2">
        <v>18.317412216274601</v>
      </c>
      <c r="BD1820" s="2">
        <v>15.667144814178499</v>
      </c>
      <c r="BE1820" s="2">
        <v>17.6033988777444</v>
      </c>
      <c r="BF1820" s="2">
        <v>16.254865490018901</v>
      </c>
      <c r="BG1820" s="2">
        <v>16.1386691826402</v>
      </c>
      <c r="BH1820" s="2">
        <v>16.145544918694199</v>
      </c>
      <c r="BI1820" s="2">
        <v>9.6233145402724691</v>
      </c>
      <c r="BJ1820" s="2">
        <v>16.5650327392467</v>
      </c>
      <c r="BK1820" s="2">
        <v>14.190386458212</v>
      </c>
      <c r="BL1820" s="2">
        <v>16.341752477833602</v>
      </c>
      <c r="BM1820" s="2">
        <v>14.887100163685499</v>
      </c>
      <c r="BN1820" s="2">
        <v>16.489029910835601</v>
      </c>
      <c r="BO1820" s="2">
        <v>16.1451430556905</v>
      </c>
      <c r="BP1820" s="2">
        <v>16.506946429798798</v>
      </c>
      <c r="BQ1820" s="2">
        <v>16.083099281710201</v>
      </c>
      <c r="BR1820" s="2">
        <v>17.3075448599899</v>
      </c>
      <c r="BS1820" s="2">
        <v>16.013850849496901</v>
      </c>
      <c r="BT1820" s="2">
        <v>17.806745955312898</v>
      </c>
      <c r="BU1820" s="2">
        <v>18.075485051372201</v>
      </c>
      <c r="BV1820" s="2">
        <v>17.917999194271001</v>
      </c>
      <c r="BW1820" s="2">
        <v>17.3375128456229</v>
      </c>
      <c r="BX1820" s="2">
        <v>15.7658965039412</v>
      </c>
      <c r="BY1820" s="2">
        <v>17.222228031936101</v>
      </c>
      <c r="BZ1820" s="2">
        <v>17.309984572020898</v>
      </c>
      <c r="CA1820" s="2">
        <v>16.861490062563</v>
      </c>
      <c r="CB1820" s="2">
        <v>15.360449671189199</v>
      </c>
      <c r="CC1820" s="2">
        <v>15.820931582773801</v>
      </c>
      <c r="CD1820" s="2">
        <v>16.972411859854301</v>
      </c>
      <c r="CE1820" s="2">
        <v>14.027411885646</v>
      </c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</row>
    <row r="1821" spans="1:97">
      <c r="A1821" s="2" t="s">
        <v>16027</v>
      </c>
      <c r="B1821" s="2">
        <v>215.07273000000001</v>
      </c>
      <c r="C1821" s="2">
        <v>1.3959999999999999</v>
      </c>
      <c r="D1821" s="2" t="s">
        <v>146</v>
      </c>
      <c r="E1821" s="2" t="s">
        <v>16028</v>
      </c>
      <c r="F1821" s="2" t="s">
        <v>16029</v>
      </c>
      <c r="G1821" s="2">
        <v>61483</v>
      </c>
      <c r="H1821" s="3" t="str">
        <f>HYPERLINK("https://cloud.oebiotech.com/#/lm/network/61483", "https://cloud.oebiotech.com/#/lm/network/61483")</f>
        <v>https://cloud.oebiotech.com/#/lm/network/61483</v>
      </c>
      <c r="I1821" s="2" t="s">
        <v>16030</v>
      </c>
      <c r="J1821" s="2">
        <v>92792</v>
      </c>
      <c r="K1821" s="2"/>
      <c r="L1821" s="2">
        <v>62007</v>
      </c>
      <c r="M1821" s="2"/>
      <c r="N1821" s="2"/>
      <c r="O1821" s="2"/>
      <c r="P1821" s="2"/>
      <c r="Q1821" s="2"/>
      <c r="R1821" s="2"/>
      <c r="S1821" s="2" t="s">
        <v>16031</v>
      </c>
      <c r="T1821" s="2" t="s">
        <v>16032</v>
      </c>
      <c r="U1821" s="2" t="s">
        <v>16033</v>
      </c>
      <c r="V1821" s="2" t="s">
        <v>553</v>
      </c>
      <c r="W1821" s="2" t="s">
        <v>14509</v>
      </c>
      <c r="X1821" s="2" t="s">
        <v>16034</v>
      </c>
      <c r="Y1821" s="2" t="s">
        <v>556</v>
      </c>
      <c r="Z1821" s="2" t="s">
        <v>14511</v>
      </c>
      <c r="AA1821" s="2" t="s">
        <v>16035</v>
      </c>
      <c r="AB1821" s="2" t="s">
        <v>8443</v>
      </c>
      <c r="AC1821" s="2">
        <v>39.56</v>
      </c>
      <c r="AD1821" s="2">
        <v>96.26</v>
      </c>
      <c r="AE1821" s="2">
        <v>34.71</v>
      </c>
      <c r="AF1821" s="2" t="s">
        <v>16036</v>
      </c>
      <c r="AG1821" s="2" t="s">
        <v>194</v>
      </c>
      <c r="AH1821" s="2" t="s">
        <v>16037</v>
      </c>
      <c r="AI1821" s="2">
        <v>-6.04</v>
      </c>
      <c r="AJ1821" s="2">
        <v>22.330159903253399</v>
      </c>
      <c r="AK1821" s="2">
        <v>22.211289258788501</v>
      </c>
      <c r="AL1821" s="2">
        <v>22.324289719843598</v>
      </c>
      <c r="AM1821" s="2">
        <v>22.374810774933099</v>
      </c>
      <c r="AN1821" s="2">
        <v>22.9302063848016</v>
      </c>
      <c r="AO1821" s="2">
        <v>22.351531348654301</v>
      </c>
      <c r="AP1821" s="2">
        <v>22.549623600919698</v>
      </c>
      <c r="AQ1821" s="2">
        <v>22.326174088218199</v>
      </c>
      <c r="AR1821" s="2">
        <v>21.7784373443228</v>
      </c>
      <c r="AS1821" s="2">
        <v>21.462069103706099</v>
      </c>
      <c r="AT1821" s="2">
        <v>24.625422868548</v>
      </c>
      <c r="AU1821" s="2">
        <v>21.180699056028502</v>
      </c>
      <c r="AV1821" s="2">
        <v>21.814091988387698</v>
      </c>
      <c r="AW1821" s="2">
        <v>21.3850950562157</v>
      </c>
      <c r="AX1821" s="2">
        <v>22.9876072976957</v>
      </c>
      <c r="AY1821" s="2">
        <v>21.585319620914198</v>
      </c>
      <c r="AZ1821" s="2">
        <v>20.296098958352701</v>
      </c>
      <c r="BA1821" s="2">
        <v>21.7850845234702</v>
      </c>
      <c r="BB1821" s="2">
        <v>23.203469394436301</v>
      </c>
      <c r="BC1821" s="2">
        <v>24.2018744268942</v>
      </c>
      <c r="BD1821" s="2">
        <v>21.600556744493701</v>
      </c>
      <c r="BE1821" s="2">
        <v>21.865778896460299</v>
      </c>
      <c r="BF1821" s="2">
        <v>23.392076896949298</v>
      </c>
      <c r="BG1821" s="2">
        <v>21.995677443986501</v>
      </c>
      <c r="BH1821" s="2">
        <v>23.420476656555799</v>
      </c>
      <c r="BI1821" s="2">
        <v>22.931175992859799</v>
      </c>
      <c r="BJ1821" s="2">
        <v>21.6867234988501</v>
      </c>
      <c r="BK1821" s="2">
        <v>20.535900038706501</v>
      </c>
      <c r="BL1821" s="2">
        <v>22.100557602543301</v>
      </c>
      <c r="BM1821" s="2">
        <v>22.491766591813501</v>
      </c>
      <c r="BN1821" s="2">
        <v>21.098221845326101</v>
      </c>
      <c r="BO1821" s="2">
        <v>20.613378690408801</v>
      </c>
      <c r="BP1821" s="2">
        <v>21.927623891754799</v>
      </c>
      <c r="BQ1821" s="2">
        <v>22.471417023607898</v>
      </c>
      <c r="BR1821" s="2">
        <v>22.873844133318801</v>
      </c>
      <c r="BS1821" s="2">
        <v>21.914503341991701</v>
      </c>
      <c r="BT1821" s="2">
        <v>21.3622438953787</v>
      </c>
      <c r="BU1821" s="2">
        <v>21.727653303001699</v>
      </c>
      <c r="BV1821" s="2">
        <v>21.304903075562301</v>
      </c>
      <c r="BW1821" s="2">
        <v>22.368106025583099</v>
      </c>
      <c r="BX1821" s="2">
        <v>21.383218926959</v>
      </c>
      <c r="BY1821" s="2">
        <v>23.511184713140899</v>
      </c>
      <c r="BZ1821" s="2">
        <v>21.714181110199799</v>
      </c>
      <c r="CA1821" s="2">
        <v>23.801515728817801</v>
      </c>
      <c r="CB1821" s="2">
        <v>21.673167382366099</v>
      </c>
      <c r="CC1821" s="2">
        <v>22.0435495670554</v>
      </c>
      <c r="CD1821" s="2">
        <v>21.2258967239604</v>
      </c>
      <c r="CE1821" s="2">
        <v>23.083732913520301</v>
      </c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</row>
    <row r="1822" spans="1:97">
      <c r="A1822" s="2" t="s">
        <v>16038</v>
      </c>
      <c r="B1822" s="2">
        <v>230.24761000000001</v>
      </c>
      <c r="C1822" s="2">
        <v>7.9569999999999999</v>
      </c>
      <c r="D1822" s="2" t="s">
        <v>84</v>
      </c>
      <c r="E1822" s="2" t="s">
        <v>16039</v>
      </c>
      <c r="F1822" s="2" t="s">
        <v>16040</v>
      </c>
      <c r="G1822" s="2">
        <v>6154</v>
      </c>
      <c r="H1822" s="3" t="str">
        <f>HYPERLINK("https://cloud.oebiotech.com/#/lm/network/6154", "https://cloud.oebiotech.com/#/lm/network/6154")</f>
        <v>https://cloud.oebiotech.com/#/lm/network/6154</v>
      </c>
      <c r="I1822" s="2"/>
      <c r="J1822" s="2">
        <v>46128</v>
      </c>
      <c r="K1822" s="2" t="s">
        <v>16041</v>
      </c>
      <c r="L1822" s="2">
        <v>5352284</v>
      </c>
      <c r="M1822" s="2"/>
      <c r="N1822" s="2"/>
      <c r="O1822" s="2"/>
      <c r="P1822" s="2"/>
      <c r="Q1822" s="2"/>
      <c r="R1822" s="2"/>
      <c r="S1822" s="2"/>
      <c r="T1822" s="2" t="s">
        <v>16042</v>
      </c>
      <c r="U1822" s="2" t="s">
        <v>16043</v>
      </c>
      <c r="V1822" s="2" t="s">
        <v>95</v>
      </c>
      <c r="W1822" s="2" t="s">
        <v>96</v>
      </c>
      <c r="X1822" s="2" t="s">
        <v>353</v>
      </c>
      <c r="Y1822" s="2" t="s">
        <v>98</v>
      </c>
      <c r="Z1822" s="2" t="s">
        <v>99</v>
      </c>
      <c r="AA1822" s="2" t="s">
        <v>354</v>
      </c>
      <c r="AB1822" s="2" t="s">
        <v>8443</v>
      </c>
      <c r="AC1822" s="2">
        <v>39.53</v>
      </c>
      <c r="AD1822" s="2">
        <v>97.67</v>
      </c>
      <c r="AE1822" s="2">
        <v>0</v>
      </c>
      <c r="AF1822" s="2" t="s">
        <v>16044</v>
      </c>
      <c r="AG1822" s="2" t="s">
        <v>132</v>
      </c>
      <c r="AH1822" s="2" t="s">
        <v>16045</v>
      </c>
      <c r="AI1822" s="2">
        <v>0.87</v>
      </c>
      <c r="AJ1822" s="2">
        <v>23.407201454234901</v>
      </c>
      <c r="AK1822" s="2">
        <v>23.362315157937498</v>
      </c>
      <c r="AL1822" s="2">
        <v>23.2699590550586</v>
      </c>
      <c r="AM1822" s="2">
        <v>23.369432502740299</v>
      </c>
      <c r="AN1822" s="2">
        <v>23.454585342089</v>
      </c>
      <c r="AO1822" s="2">
        <v>23.4054046550946</v>
      </c>
      <c r="AP1822" s="2">
        <v>23.4004907534501</v>
      </c>
      <c r="AQ1822" s="2">
        <v>23.347632815012201</v>
      </c>
      <c r="AR1822" s="2">
        <v>22.6003252692574</v>
      </c>
      <c r="AS1822" s="2">
        <v>22.225205797955098</v>
      </c>
      <c r="AT1822" s="2">
        <v>21.9295015972762</v>
      </c>
      <c r="AU1822" s="2">
        <v>21.755948050042601</v>
      </c>
      <c r="AV1822" s="2">
        <v>21.704997917785398</v>
      </c>
      <c r="AW1822" s="2">
        <v>21.8485253926906</v>
      </c>
      <c r="AX1822" s="2">
        <v>22.4255953549394</v>
      </c>
      <c r="AY1822" s="2">
        <v>21.908835276761</v>
      </c>
      <c r="AZ1822" s="2">
        <v>21.5324726789149</v>
      </c>
      <c r="BA1822" s="2">
        <v>21.932346794352799</v>
      </c>
      <c r="BB1822" s="2">
        <v>22.018431698491401</v>
      </c>
      <c r="BC1822" s="2">
        <v>22.3887661298475</v>
      </c>
      <c r="BD1822" s="2">
        <v>21.8703725278686</v>
      </c>
      <c r="BE1822" s="2">
        <v>22.244533201701099</v>
      </c>
      <c r="BF1822" s="2">
        <v>21.829941691226001</v>
      </c>
      <c r="BG1822" s="2">
        <v>22.0382396029791</v>
      </c>
      <c r="BH1822" s="2">
        <v>21.800175411393699</v>
      </c>
      <c r="BI1822" s="2">
        <v>21.679215029253001</v>
      </c>
      <c r="BJ1822" s="2">
        <v>21.6577349474092</v>
      </c>
      <c r="BK1822" s="2">
        <v>21.9516102260156</v>
      </c>
      <c r="BL1822" s="2">
        <v>21.324224021289002</v>
      </c>
      <c r="BM1822" s="2">
        <v>21.2189322947489</v>
      </c>
      <c r="BN1822" s="2">
        <v>21.827233672662</v>
      </c>
      <c r="BO1822" s="2">
        <v>21.404458996665198</v>
      </c>
      <c r="BP1822" s="2">
        <v>21.819655898133899</v>
      </c>
      <c r="BQ1822" s="2">
        <v>21.4454725941577</v>
      </c>
      <c r="BR1822" s="2">
        <v>22.373932217413699</v>
      </c>
      <c r="BS1822" s="2">
        <v>21.7712484080499</v>
      </c>
      <c r="BT1822" s="2">
        <v>22.0535274661665</v>
      </c>
      <c r="BU1822" s="2">
        <v>21.838782234738002</v>
      </c>
      <c r="BV1822" s="2">
        <v>21.888720573598501</v>
      </c>
      <c r="BW1822" s="2">
        <v>21.680816981290501</v>
      </c>
      <c r="BX1822" s="2">
        <v>22.125612970507301</v>
      </c>
      <c r="BY1822" s="2">
        <v>22.219606900373801</v>
      </c>
      <c r="BZ1822" s="2">
        <v>21.9228754479144</v>
      </c>
      <c r="CA1822" s="2">
        <v>21.8702463069326</v>
      </c>
      <c r="CB1822" s="2">
        <v>22.473505775097902</v>
      </c>
      <c r="CC1822" s="2">
        <v>21.654465204597599</v>
      </c>
      <c r="CD1822" s="2">
        <v>21.837229757466702</v>
      </c>
      <c r="CE1822" s="2">
        <v>22.0900880225356</v>
      </c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</row>
    <row r="1823" spans="1:97">
      <c r="A1823" s="2" t="s">
        <v>16046</v>
      </c>
      <c r="B1823" s="2">
        <v>332.99826000000002</v>
      </c>
      <c r="C1823" s="2">
        <v>5.49</v>
      </c>
      <c r="D1823" s="2" t="s">
        <v>146</v>
      </c>
      <c r="E1823" s="2" t="s">
        <v>16047</v>
      </c>
      <c r="F1823" s="2" t="s">
        <v>16048</v>
      </c>
      <c r="G1823" s="2">
        <v>212146</v>
      </c>
      <c r="H1823" s="3" t="str">
        <f>HYPERLINK("https://cloud.oebiotech.com/#/lm/network/212146", "https://cloud.oebiotech.com/#/lm/network/212146")</f>
        <v>https://cloud.oebiotech.com/#/lm/network/212146</v>
      </c>
      <c r="I1823" s="2" t="s">
        <v>16049</v>
      </c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 t="s">
        <v>16050</v>
      </c>
      <c r="U1823" s="2" t="s">
        <v>16051</v>
      </c>
      <c r="V1823" s="2" t="s">
        <v>374</v>
      </c>
      <c r="W1823" s="2" t="s">
        <v>16052</v>
      </c>
      <c r="X1823" s="2" t="s">
        <v>375</v>
      </c>
      <c r="Y1823" s="2" t="s">
        <v>376</v>
      </c>
      <c r="Z1823" s="2" t="s">
        <v>16053</v>
      </c>
      <c r="AA1823" s="2"/>
      <c r="AB1823" s="2" t="s">
        <v>8443</v>
      </c>
      <c r="AC1823" s="2">
        <v>39.520000000000003</v>
      </c>
      <c r="AD1823" s="2">
        <v>75.73</v>
      </c>
      <c r="AE1823" s="2">
        <v>0</v>
      </c>
      <c r="AF1823" s="2" t="s">
        <v>5614</v>
      </c>
      <c r="AG1823" s="2" t="s">
        <v>157</v>
      </c>
      <c r="AH1823" s="2" t="s">
        <v>16054</v>
      </c>
      <c r="AI1823" s="2">
        <v>-3.9</v>
      </c>
      <c r="AJ1823" s="2">
        <v>17.260289705232299</v>
      </c>
      <c r="AK1823" s="2">
        <v>17.130330341643699</v>
      </c>
      <c r="AL1823" s="2">
        <v>16.560166819188499</v>
      </c>
      <c r="AM1823" s="2">
        <v>16.909128159858099</v>
      </c>
      <c r="AN1823" s="2">
        <v>17.191592779577999</v>
      </c>
      <c r="AO1823" s="2">
        <v>16.823548734912698</v>
      </c>
      <c r="AP1823" s="2">
        <v>17.032233027434</v>
      </c>
      <c r="AQ1823" s="2">
        <v>17.471241928078701</v>
      </c>
      <c r="AR1823" s="2">
        <v>16.2438045411579</v>
      </c>
      <c r="AS1823" s="2">
        <v>16.331762134595699</v>
      </c>
      <c r="AT1823" s="2">
        <v>16.6304003804314</v>
      </c>
      <c r="AU1823" s="2">
        <v>16.772955509031501</v>
      </c>
      <c r="AV1823" s="2">
        <v>17.029329398433301</v>
      </c>
      <c r="AW1823" s="2">
        <v>16.4290382396624</v>
      </c>
      <c r="AX1823" s="2">
        <v>16.771029526830699</v>
      </c>
      <c r="AY1823" s="2">
        <v>17.0357691933587</v>
      </c>
      <c r="AZ1823" s="2">
        <v>16.719631335478098</v>
      </c>
      <c r="BA1823" s="2">
        <v>17.4449513740405</v>
      </c>
      <c r="BB1823" s="2">
        <v>17.1429884239137</v>
      </c>
      <c r="BC1823" s="2">
        <v>17.033831089366199</v>
      </c>
      <c r="BD1823" s="2">
        <v>17.021940967056999</v>
      </c>
      <c r="BE1823" s="2">
        <v>16.236186331574601</v>
      </c>
      <c r="BF1823" s="2">
        <v>16.633760545731501</v>
      </c>
      <c r="BG1823" s="2">
        <v>17.0066362868514</v>
      </c>
      <c r="BH1823" s="2">
        <v>17.3034221520941</v>
      </c>
      <c r="BI1823" s="2">
        <v>17.296385168998299</v>
      </c>
      <c r="BJ1823" s="2">
        <v>16.991836803358702</v>
      </c>
      <c r="BK1823" s="2">
        <v>17.349872352079199</v>
      </c>
      <c r="BL1823" s="2">
        <v>16.8282960556527</v>
      </c>
      <c r="BM1823" s="2">
        <v>16.898053494756301</v>
      </c>
      <c r="BN1823" s="2">
        <v>16.8515110366301</v>
      </c>
      <c r="BO1823" s="2">
        <v>17.161393603656201</v>
      </c>
      <c r="BP1823" s="2">
        <v>16.989613584091501</v>
      </c>
      <c r="BQ1823" s="2">
        <v>17.151825211142398</v>
      </c>
      <c r="BR1823" s="2">
        <v>17.0438100623062</v>
      </c>
      <c r="BS1823" s="2">
        <v>16.7649377904714</v>
      </c>
      <c r="BT1823" s="2">
        <v>16.749698976984099</v>
      </c>
      <c r="BU1823" s="2">
        <v>17.516993197041899</v>
      </c>
      <c r="BV1823" s="2">
        <v>16.606432829771599</v>
      </c>
      <c r="BW1823" s="2">
        <v>16.574677632824301</v>
      </c>
      <c r="BX1823" s="2">
        <v>16.9350395543606</v>
      </c>
      <c r="BY1823" s="2">
        <v>17.0086185760841</v>
      </c>
      <c r="BZ1823" s="2">
        <v>17.283223943052299</v>
      </c>
      <c r="CA1823" s="2">
        <v>16.819257409015499</v>
      </c>
      <c r="CB1823" s="2">
        <v>16.903266630284001</v>
      </c>
      <c r="CC1823" s="2">
        <v>16.7875640055186</v>
      </c>
      <c r="CD1823" s="2">
        <v>16.930034804278399</v>
      </c>
      <c r="CE1823" s="2">
        <v>17.217809302203399</v>
      </c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</row>
    <row r="1824" spans="1:97">
      <c r="A1824" s="2" t="s">
        <v>16055</v>
      </c>
      <c r="B1824" s="2">
        <v>381.02515</v>
      </c>
      <c r="C1824" s="2">
        <v>0.66700000000000004</v>
      </c>
      <c r="D1824" s="2" t="s">
        <v>84</v>
      </c>
      <c r="E1824" s="2" t="s">
        <v>16056</v>
      </c>
      <c r="F1824" s="2" t="s">
        <v>16057</v>
      </c>
      <c r="G1824" s="2">
        <v>31260</v>
      </c>
      <c r="H1824" s="3" t="str">
        <f>HYPERLINK("https://cloud.oebiotech.com/#/lm/network/31260", "https://cloud.oebiotech.com/#/lm/network/31260")</f>
        <v>https://cloud.oebiotech.com/#/lm/network/31260</v>
      </c>
      <c r="I1824" s="2"/>
      <c r="J1824" s="2">
        <v>49596</v>
      </c>
      <c r="K1824" s="2" t="s">
        <v>16058</v>
      </c>
      <c r="L1824" s="2">
        <v>13831736</v>
      </c>
      <c r="M1824" s="2"/>
      <c r="N1824" s="2"/>
      <c r="O1824" s="2"/>
      <c r="P1824" s="2"/>
      <c r="Q1824" s="2"/>
      <c r="R1824" s="2"/>
      <c r="S1824" s="2"/>
      <c r="T1824" s="2" t="s">
        <v>16059</v>
      </c>
      <c r="U1824" s="2" t="s">
        <v>16060</v>
      </c>
      <c r="V1824" s="2" t="s">
        <v>845</v>
      </c>
      <c r="W1824" s="2" t="s">
        <v>1853</v>
      </c>
      <c r="X1824" s="2" t="s">
        <v>1854</v>
      </c>
      <c r="Y1824" s="2" t="s">
        <v>847</v>
      </c>
      <c r="Z1824" s="2" t="s">
        <v>1855</v>
      </c>
      <c r="AA1824" s="2" t="s">
        <v>1856</v>
      </c>
      <c r="AB1824" s="2" t="s">
        <v>8443</v>
      </c>
      <c r="AC1824" s="2">
        <v>39.5</v>
      </c>
      <c r="AD1824" s="2">
        <v>91.56</v>
      </c>
      <c r="AE1824" s="2">
        <v>33.76</v>
      </c>
      <c r="AF1824" s="2" t="s">
        <v>16061</v>
      </c>
      <c r="AG1824" s="2" t="s">
        <v>103</v>
      </c>
      <c r="AH1824" s="2" t="s">
        <v>16062</v>
      </c>
      <c r="AI1824" s="2">
        <v>6.3</v>
      </c>
      <c r="AJ1824" s="2">
        <v>23.202143879028899</v>
      </c>
      <c r="AK1824" s="2">
        <v>24.272453083768202</v>
      </c>
      <c r="AL1824" s="2">
        <v>24.687929238860502</v>
      </c>
      <c r="AM1824" s="2">
        <v>24.841842202288099</v>
      </c>
      <c r="AN1824" s="2">
        <v>24.648793874948701</v>
      </c>
      <c r="AO1824" s="2">
        <v>24.8165613977147</v>
      </c>
      <c r="AP1824" s="2">
        <v>24.727446413273299</v>
      </c>
      <c r="AQ1824" s="2">
        <v>24.601402070837299</v>
      </c>
      <c r="AR1824" s="2">
        <v>24.335138138567299</v>
      </c>
      <c r="AS1824" s="2">
        <v>23.3973438785541</v>
      </c>
      <c r="AT1824" s="2">
        <v>24.246677702576999</v>
      </c>
      <c r="AU1824" s="2">
        <v>24.078250646238601</v>
      </c>
      <c r="AV1824" s="2">
        <v>24.447433772922899</v>
      </c>
      <c r="AW1824" s="2">
        <v>24.4055251006086</v>
      </c>
      <c r="AX1824" s="2">
        <v>24.4599321814155</v>
      </c>
      <c r="AY1824" s="2">
        <v>24.367669995185299</v>
      </c>
      <c r="AZ1824" s="2">
        <v>24.025370349632301</v>
      </c>
      <c r="BA1824" s="2">
        <v>23.891474208192399</v>
      </c>
      <c r="BB1824" s="2">
        <v>24.575230631420901</v>
      </c>
      <c r="BC1824" s="2">
        <v>25.528149259405101</v>
      </c>
      <c r="BD1824" s="2">
        <v>24.841692865527701</v>
      </c>
      <c r="BE1824" s="2">
        <v>23.830374887394399</v>
      </c>
      <c r="BF1824" s="2">
        <v>24.506690358489799</v>
      </c>
      <c r="BG1824" s="2">
        <v>24.784266580911801</v>
      </c>
      <c r="BH1824" s="2">
        <v>24.424878916396501</v>
      </c>
      <c r="BI1824" s="2">
        <v>24.061343993797099</v>
      </c>
      <c r="BJ1824" s="2">
        <v>24.699809400579699</v>
      </c>
      <c r="BK1824" s="2">
        <v>24.1376947448401</v>
      </c>
      <c r="BL1824" s="2">
        <v>23.986386940380299</v>
      </c>
      <c r="BM1824" s="2">
        <v>24.901439177033701</v>
      </c>
      <c r="BN1824" s="2">
        <v>24.776755863913898</v>
      </c>
      <c r="BO1824" s="2">
        <v>24.207428499703301</v>
      </c>
      <c r="BP1824" s="2">
        <v>23.337199943318801</v>
      </c>
      <c r="BQ1824" s="2">
        <v>24.295297647688798</v>
      </c>
      <c r="BR1824" s="2">
        <v>24.4084251118684</v>
      </c>
      <c r="BS1824" s="2">
        <v>24.478397700032499</v>
      </c>
      <c r="BT1824" s="2">
        <v>24.555989984535401</v>
      </c>
      <c r="BU1824" s="2">
        <v>24.588912479577299</v>
      </c>
      <c r="BV1824" s="2">
        <v>25.007165115771301</v>
      </c>
      <c r="BW1824" s="2">
        <v>23.9449775047073</v>
      </c>
      <c r="BX1824" s="2">
        <v>24.527339047043899</v>
      </c>
      <c r="BY1824" s="2">
        <v>24.967957229745601</v>
      </c>
      <c r="BZ1824" s="2">
        <v>24.8347768297199</v>
      </c>
      <c r="CA1824" s="2">
        <v>24.711112824564101</v>
      </c>
      <c r="CB1824" s="2">
        <v>23.216266065983302</v>
      </c>
      <c r="CC1824" s="2">
        <v>20.286553125487998</v>
      </c>
      <c r="CD1824" s="2">
        <v>23.4200655984673</v>
      </c>
      <c r="CE1824" s="2">
        <v>24.014231461857001</v>
      </c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</row>
    <row r="1825" spans="1:97">
      <c r="A1825" s="2" t="s">
        <v>16063</v>
      </c>
      <c r="B1825" s="2">
        <v>285.13046000000003</v>
      </c>
      <c r="C1825" s="2">
        <v>6.7830000000000004</v>
      </c>
      <c r="D1825" s="2" t="s">
        <v>84</v>
      </c>
      <c r="E1825" s="2" t="s">
        <v>16064</v>
      </c>
      <c r="F1825" s="2"/>
      <c r="G1825" s="2">
        <v>596197</v>
      </c>
      <c r="H1825" s="3" t="str">
        <f>HYPERLINK("https://cloud.oebiotech.com/#/lm/network/596197", "https://cloud.oebiotech.com/#/lm/network/596197")</f>
        <v>https://cloud.oebiotech.com/#/lm/network/596197</v>
      </c>
      <c r="I1825" s="2"/>
      <c r="J1825" s="2"/>
      <c r="K1825" s="2"/>
      <c r="L1825" s="2">
        <v>44278552</v>
      </c>
      <c r="M1825" s="2"/>
      <c r="N1825" s="2"/>
      <c r="O1825" s="2"/>
      <c r="P1825" s="2"/>
      <c r="Q1825" s="2"/>
      <c r="R1825" s="2"/>
      <c r="S1825" s="2"/>
      <c r="T1825" s="2" t="s">
        <v>16065</v>
      </c>
      <c r="U1825" s="2" t="s">
        <v>16066</v>
      </c>
      <c r="V1825" s="2" t="s">
        <v>553</v>
      </c>
      <c r="W1825" s="2" t="s">
        <v>949</v>
      </c>
      <c r="X1825" s="2" t="s">
        <v>950</v>
      </c>
      <c r="Y1825" s="2" t="s">
        <v>556</v>
      </c>
      <c r="Z1825" s="2" t="s">
        <v>951</v>
      </c>
      <c r="AA1825" s="2" t="s">
        <v>952</v>
      </c>
      <c r="AB1825" s="2" t="s">
        <v>8443</v>
      </c>
      <c r="AC1825" s="2">
        <v>39.49</v>
      </c>
      <c r="AD1825" s="2">
        <v>97.47</v>
      </c>
      <c r="AE1825" s="2">
        <v>0</v>
      </c>
      <c r="AF1825" s="2" t="s">
        <v>16067</v>
      </c>
      <c r="AG1825" s="2" t="s">
        <v>132</v>
      </c>
      <c r="AH1825" s="2" t="s">
        <v>16068</v>
      </c>
      <c r="AI1825" s="2">
        <v>0.35</v>
      </c>
      <c r="AJ1825" s="2">
        <v>22.3930893312031</v>
      </c>
      <c r="AK1825" s="2">
        <v>21.6759698127183</v>
      </c>
      <c r="AL1825" s="2">
        <v>22.160718436887201</v>
      </c>
      <c r="AM1825" s="2">
        <v>22.193224374612502</v>
      </c>
      <c r="AN1825" s="2">
        <v>22.1102374514067</v>
      </c>
      <c r="AO1825" s="2">
        <v>21.8799561587693</v>
      </c>
      <c r="AP1825" s="2">
        <v>22.227997078453399</v>
      </c>
      <c r="AQ1825" s="2">
        <v>22.167795398132501</v>
      </c>
      <c r="AR1825" s="2">
        <v>22.0517130459768</v>
      </c>
      <c r="AS1825" s="2">
        <v>22.127510249819601</v>
      </c>
      <c r="AT1825" s="2">
        <v>22.206803386678601</v>
      </c>
      <c r="AU1825" s="2">
        <v>22.125570952051898</v>
      </c>
      <c r="AV1825" s="2">
        <v>22.215284415545899</v>
      </c>
      <c r="AW1825" s="2">
        <v>22.152348178699</v>
      </c>
      <c r="AX1825" s="2">
        <v>22.205487694863599</v>
      </c>
      <c r="AY1825" s="2">
        <v>22.224570774952301</v>
      </c>
      <c r="AZ1825" s="2">
        <v>22.158720869116099</v>
      </c>
      <c r="BA1825" s="2">
        <v>21.775783418978801</v>
      </c>
      <c r="BB1825" s="2">
        <v>22.1905748225449</v>
      </c>
      <c r="BC1825" s="2">
        <v>22.140227257501699</v>
      </c>
      <c r="BD1825" s="2">
        <v>22.052810674485599</v>
      </c>
      <c r="BE1825" s="2">
        <v>22.295620969017399</v>
      </c>
      <c r="BF1825" s="2">
        <v>21.769728021706801</v>
      </c>
      <c r="BG1825" s="2">
        <v>21.763095225447199</v>
      </c>
      <c r="BH1825" s="2">
        <v>21.7707003887054</v>
      </c>
      <c r="BI1825" s="2">
        <v>22.114146981591801</v>
      </c>
      <c r="BJ1825" s="2">
        <v>21.5736022763733</v>
      </c>
      <c r="BK1825" s="2">
        <v>22.181315958802099</v>
      </c>
      <c r="BL1825" s="2">
        <v>21.688448269070602</v>
      </c>
      <c r="BM1825" s="2">
        <v>22.081177667923399</v>
      </c>
      <c r="BN1825" s="2">
        <v>22.154999809385298</v>
      </c>
      <c r="BO1825" s="2">
        <v>22.0062535915465</v>
      </c>
      <c r="BP1825" s="2">
        <v>21.9396884702583</v>
      </c>
      <c r="BQ1825" s="2">
        <v>22.155213650935298</v>
      </c>
      <c r="BR1825" s="2">
        <v>22.0622133915621</v>
      </c>
      <c r="BS1825" s="2">
        <v>21.929643332448201</v>
      </c>
      <c r="BT1825" s="2">
        <v>22.0989400760607</v>
      </c>
      <c r="BU1825" s="2">
        <v>22.138327838704299</v>
      </c>
      <c r="BV1825" s="2">
        <v>22.2026950314727</v>
      </c>
      <c r="BW1825" s="2">
        <v>22.121276092035401</v>
      </c>
      <c r="BX1825" s="2">
        <v>21.3110142072202</v>
      </c>
      <c r="BY1825" s="2">
        <v>22.0922695944503</v>
      </c>
      <c r="BZ1825" s="2">
        <v>22.195449642759499</v>
      </c>
      <c r="CA1825" s="2">
        <v>21.6861862729757</v>
      </c>
      <c r="CB1825" s="2">
        <v>21.863994281337899</v>
      </c>
      <c r="CC1825" s="2">
        <v>22.017693204752099</v>
      </c>
      <c r="CD1825" s="2">
        <v>22.1590263236609</v>
      </c>
      <c r="CE1825" s="2">
        <v>22.2627826241945</v>
      </c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</row>
    <row r="1826" spans="1:97">
      <c r="A1826" s="2" t="s">
        <v>16069</v>
      </c>
      <c r="B1826" s="2">
        <v>169.03728000000001</v>
      </c>
      <c r="C1826" s="2">
        <v>4.6779999999999999</v>
      </c>
      <c r="D1826" s="2" t="s">
        <v>84</v>
      </c>
      <c r="E1826" s="2" t="s">
        <v>16070</v>
      </c>
      <c r="F1826" s="2" t="s">
        <v>16071</v>
      </c>
      <c r="G1826" s="2">
        <v>200531</v>
      </c>
      <c r="H1826" s="3" t="str">
        <f>HYPERLINK("https://cloud.oebiotech.com/#/lm/network/200531", "https://cloud.oebiotech.com/#/lm/network/200531")</f>
        <v>https://cloud.oebiotech.com/#/lm/network/200531</v>
      </c>
      <c r="I1826" s="2" t="s">
        <v>16072</v>
      </c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 t="s">
        <v>16073</v>
      </c>
      <c r="U1826" s="2" t="s">
        <v>16074</v>
      </c>
      <c r="V1826" s="2" t="s">
        <v>115</v>
      </c>
      <c r="W1826" s="2" t="s">
        <v>4566</v>
      </c>
      <c r="X1826" s="2" t="s">
        <v>4567</v>
      </c>
      <c r="Y1826" s="2" t="s">
        <v>118</v>
      </c>
      <c r="Z1826" s="2" t="s">
        <v>4568</v>
      </c>
      <c r="AA1826" s="2" t="s">
        <v>4569</v>
      </c>
      <c r="AB1826" s="2" t="s">
        <v>8443</v>
      </c>
      <c r="AC1826" s="2">
        <v>39.49</v>
      </c>
      <c r="AD1826" s="2">
        <v>97.46</v>
      </c>
      <c r="AE1826" s="2">
        <v>0</v>
      </c>
      <c r="AF1826" s="2" t="s">
        <v>5614</v>
      </c>
      <c r="AG1826" s="2" t="s">
        <v>132</v>
      </c>
      <c r="AH1826" s="2" t="s">
        <v>16075</v>
      </c>
      <c r="AI1826" s="2">
        <v>0</v>
      </c>
      <c r="AJ1826" s="2">
        <v>18.3055698101053</v>
      </c>
      <c r="AK1826" s="2">
        <v>17.425107287226201</v>
      </c>
      <c r="AL1826" s="2">
        <v>18.1729572681581</v>
      </c>
      <c r="AM1826" s="2">
        <v>17.828504079582199</v>
      </c>
      <c r="AN1826" s="2">
        <v>17.824804578557501</v>
      </c>
      <c r="AO1826" s="2">
        <v>17.9227447203533</v>
      </c>
      <c r="AP1826" s="2">
        <v>17.609434731454201</v>
      </c>
      <c r="AQ1826" s="2">
        <v>17.3408087675251</v>
      </c>
      <c r="AR1826" s="2">
        <v>9.6233145402724691</v>
      </c>
      <c r="AS1826" s="2">
        <v>9.6233145402724691</v>
      </c>
      <c r="AT1826" s="2">
        <v>18.272951616513001</v>
      </c>
      <c r="AU1826" s="2">
        <v>18.338160094638901</v>
      </c>
      <c r="AV1826" s="2">
        <v>18.154727245668401</v>
      </c>
      <c r="AW1826" s="2">
        <v>18.146071211800098</v>
      </c>
      <c r="AX1826" s="2">
        <v>17.851950784073701</v>
      </c>
      <c r="AY1826" s="2">
        <v>17.6680416933999</v>
      </c>
      <c r="AZ1826" s="2">
        <v>18.197219861290701</v>
      </c>
      <c r="BA1826" s="2">
        <v>17.9636046202722</v>
      </c>
      <c r="BB1826" s="2">
        <v>16.845732848241099</v>
      </c>
      <c r="BC1826" s="2">
        <v>18.809750955162301</v>
      </c>
      <c r="BD1826" s="2">
        <v>18.1520860499873</v>
      </c>
      <c r="BE1826" s="2">
        <v>17.998446862634701</v>
      </c>
      <c r="BF1826" s="2">
        <v>18.606483941652201</v>
      </c>
      <c r="BG1826" s="2">
        <v>17.3054889420584</v>
      </c>
      <c r="BH1826" s="2">
        <v>18.310147753514499</v>
      </c>
      <c r="BI1826" s="2">
        <v>18.133611144552599</v>
      </c>
      <c r="BJ1826" s="2">
        <v>9.6233145402724691</v>
      </c>
      <c r="BK1826" s="2">
        <v>18.5571639441619</v>
      </c>
      <c r="BL1826" s="2">
        <v>18.027219205634399</v>
      </c>
      <c r="BM1826" s="2">
        <v>17.9939413214917</v>
      </c>
      <c r="BN1826" s="2">
        <v>18.460787350438402</v>
      </c>
      <c r="BO1826" s="2">
        <v>17.991772655070001</v>
      </c>
      <c r="BP1826" s="2">
        <v>17.626806140817202</v>
      </c>
      <c r="BQ1826" s="2">
        <v>17.7395119909127</v>
      </c>
      <c r="BR1826" s="2">
        <v>17.5105034191286</v>
      </c>
      <c r="BS1826" s="2">
        <v>17.943841336646699</v>
      </c>
      <c r="BT1826" s="2">
        <v>16.615102264976901</v>
      </c>
      <c r="BU1826" s="2">
        <v>18.386917475761699</v>
      </c>
      <c r="BV1826" s="2">
        <v>17.081859853663801</v>
      </c>
      <c r="BW1826" s="2">
        <v>17.394864996754698</v>
      </c>
      <c r="BX1826" s="2">
        <v>18.0412593694614</v>
      </c>
      <c r="BY1826" s="2">
        <v>18.0551531939313</v>
      </c>
      <c r="BZ1826" s="2">
        <v>16.817514839477798</v>
      </c>
      <c r="CA1826" s="2">
        <v>9.6233145402724691</v>
      </c>
      <c r="CB1826" s="2">
        <v>9.6233145402724691</v>
      </c>
      <c r="CC1826" s="2">
        <v>18.1347547879523</v>
      </c>
      <c r="CD1826" s="2">
        <v>17.2662233354548</v>
      </c>
      <c r="CE1826" s="2">
        <v>18.065059498191999</v>
      </c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</row>
    <row r="1827" spans="1:97">
      <c r="A1827" s="2" t="s">
        <v>16076</v>
      </c>
      <c r="B1827" s="2">
        <v>545.40170000000001</v>
      </c>
      <c r="C1827" s="2">
        <v>13.265000000000001</v>
      </c>
      <c r="D1827" s="2" t="s">
        <v>84</v>
      </c>
      <c r="E1827" s="2" t="s">
        <v>16077</v>
      </c>
      <c r="F1827" s="2" t="s">
        <v>16078</v>
      </c>
      <c r="G1827" s="2">
        <v>37441</v>
      </c>
      <c r="H1827" s="3" t="str">
        <f>HYPERLINK("https://cloud.oebiotech.com/#/lm/network/37441", "https://cloud.oebiotech.com/#/lm/network/37441")</f>
        <v>https://cloud.oebiotech.com/#/lm/network/37441</v>
      </c>
      <c r="I1827" s="2" t="s">
        <v>16079</v>
      </c>
      <c r="J1827" s="2">
        <v>5976</v>
      </c>
      <c r="K1827" s="2" t="s">
        <v>16080</v>
      </c>
      <c r="L1827" s="2">
        <v>5280760</v>
      </c>
      <c r="M1827" s="2" t="s">
        <v>16081</v>
      </c>
      <c r="N1827" s="2"/>
      <c r="O1827" s="2"/>
      <c r="P1827" s="2">
        <v>18081</v>
      </c>
      <c r="Q1827" s="2"/>
      <c r="R1827" s="2"/>
      <c r="S1827" s="2" t="s">
        <v>16082</v>
      </c>
      <c r="T1827" s="2" t="s">
        <v>16083</v>
      </c>
      <c r="U1827" s="2" t="s">
        <v>16084</v>
      </c>
      <c r="V1827" s="2" t="s">
        <v>95</v>
      </c>
      <c r="W1827" s="2" t="s">
        <v>180</v>
      </c>
      <c r="X1827" s="2" t="s">
        <v>16085</v>
      </c>
      <c r="Y1827" s="2" t="s">
        <v>98</v>
      </c>
      <c r="Z1827" s="2" t="s">
        <v>182</v>
      </c>
      <c r="AA1827" s="2" t="s">
        <v>16086</v>
      </c>
      <c r="AB1827" s="2" t="s">
        <v>8443</v>
      </c>
      <c r="AC1827" s="2">
        <v>39.479999999999997</v>
      </c>
      <c r="AD1827" s="2">
        <v>74.31</v>
      </c>
      <c r="AE1827" s="2">
        <v>0</v>
      </c>
      <c r="AF1827" s="2" t="s">
        <v>5614</v>
      </c>
      <c r="AG1827" s="2" t="s">
        <v>1088</v>
      </c>
      <c r="AH1827" s="2" t="s">
        <v>16087</v>
      </c>
      <c r="AI1827" s="2">
        <v>-4.03</v>
      </c>
      <c r="AJ1827" s="2">
        <v>19.613186891050699</v>
      </c>
      <c r="AK1827" s="2">
        <v>19.472203051655999</v>
      </c>
      <c r="AL1827" s="2">
        <v>18.553992314193302</v>
      </c>
      <c r="AM1827" s="2">
        <v>19.324920975672701</v>
      </c>
      <c r="AN1827" s="2">
        <v>18.5382216761043</v>
      </c>
      <c r="AO1827" s="2">
        <v>19.3857978307088</v>
      </c>
      <c r="AP1827" s="2">
        <v>19.0848743676328</v>
      </c>
      <c r="AQ1827" s="2">
        <v>19.223183418992299</v>
      </c>
      <c r="AR1827" s="2">
        <v>18.806990894018</v>
      </c>
      <c r="AS1827" s="2">
        <v>18.686624141012999</v>
      </c>
      <c r="AT1827" s="2">
        <v>19.099344882186301</v>
      </c>
      <c r="AU1827" s="2">
        <v>19.322287204998901</v>
      </c>
      <c r="AV1827" s="2">
        <v>19.153579541132299</v>
      </c>
      <c r="AW1827" s="2">
        <v>19.306858478064001</v>
      </c>
      <c r="AX1827" s="2">
        <v>18.996815303804301</v>
      </c>
      <c r="AY1827" s="2">
        <v>19.1826039245171</v>
      </c>
      <c r="AZ1827" s="2">
        <v>19.066523828123</v>
      </c>
      <c r="BA1827" s="2">
        <v>18.969910347593</v>
      </c>
      <c r="BB1827" s="2">
        <v>19.631963434488998</v>
      </c>
      <c r="BC1827" s="2">
        <v>19.643692186602902</v>
      </c>
      <c r="BD1827" s="2">
        <v>19.351910033979799</v>
      </c>
      <c r="BE1827" s="2">
        <v>18.494893818090102</v>
      </c>
      <c r="BF1827" s="2">
        <v>18.976275857662898</v>
      </c>
      <c r="BG1827" s="2">
        <v>20.4704419157536</v>
      </c>
      <c r="BH1827" s="2">
        <v>19.054032358852801</v>
      </c>
      <c r="BI1827" s="2">
        <v>18.795216422189501</v>
      </c>
      <c r="BJ1827" s="2">
        <v>18.7972267648878</v>
      </c>
      <c r="BK1827" s="2">
        <v>19.0106181950257</v>
      </c>
      <c r="BL1827" s="2">
        <v>19.7460881001196</v>
      </c>
      <c r="BM1827" s="2">
        <v>18.330382629209002</v>
      </c>
      <c r="BN1827" s="2">
        <v>19.483834076870899</v>
      </c>
      <c r="BO1827" s="2">
        <v>19.2490295656564</v>
      </c>
      <c r="BP1827" s="2">
        <v>18.7268308179911</v>
      </c>
      <c r="BQ1827" s="2">
        <v>18.600154946210701</v>
      </c>
      <c r="BR1827" s="2">
        <v>19.0953325012566</v>
      </c>
      <c r="BS1827" s="2">
        <v>18.385722305913799</v>
      </c>
      <c r="BT1827" s="2">
        <v>18.546252597799999</v>
      </c>
      <c r="BU1827" s="2">
        <v>18.108931545781601</v>
      </c>
      <c r="BV1827" s="2">
        <v>19.068110150627501</v>
      </c>
      <c r="BW1827" s="2">
        <v>18.395508530611199</v>
      </c>
      <c r="BX1827" s="2">
        <v>19.244494728595001</v>
      </c>
      <c r="BY1827" s="2">
        <v>19.113248744143899</v>
      </c>
      <c r="BZ1827" s="2">
        <v>19.023183541727501</v>
      </c>
      <c r="CA1827" s="2">
        <v>18.414159281237598</v>
      </c>
      <c r="CB1827" s="2">
        <v>19.084316103286401</v>
      </c>
      <c r="CC1827" s="2">
        <v>18.281374469736399</v>
      </c>
      <c r="CD1827" s="2">
        <v>18.960068244180999</v>
      </c>
      <c r="CE1827" s="2">
        <v>19.502426734933</v>
      </c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</row>
    <row r="1828" spans="1:97">
      <c r="A1828" s="2" t="s">
        <v>16088</v>
      </c>
      <c r="B1828" s="2">
        <v>246.24248</v>
      </c>
      <c r="C1828" s="2">
        <v>6.4720000000000004</v>
      </c>
      <c r="D1828" s="2" t="s">
        <v>84</v>
      </c>
      <c r="E1828" s="2" t="s">
        <v>16089</v>
      </c>
      <c r="F1828" s="2" t="s">
        <v>16090</v>
      </c>
      <c r="G1828" s="2">
        <v>7001</v>
      </c>
      <c r="H1828" s="3" t="str">
        <f>HYPERLINK("https://cloud.oebiotech.com/#/lm/network/7001", "https://cloud.oebiotech.com/#/lm/network/7001")</f>
        <v>https://cloud.oebiotech.com/#/lm/network/7001</v>
      </c>
      <c r="I1828" s="2" t="s">
        <v>16091</v>
      </c>
      <c r="J1828" s="2">
        <v>46261</v>
      </c>
      <c r="K1828" s="2" t="s">
        <v>16092</v>
      </c>
      <c r="L1828" s="2">
        <v>8205</v>
      </c>
      <c r="M1828" s="2"/>
      <c r="N1828" s="2"/>
      <c r="O1828" s="2"/>
      <c r="P1828" s="2"/>
      <c r="Q1828" s="2"/>
      <c r="R1828" s="2"/>
      <c r="S1828" s="2" t="s">
        <v>16093</v>
      </c>
      <c r="T1828" s="2" t="s">
        <v>16094</v>
      </c>
      <c r="U1828" s="2" t="s">
        <v>16095</v>
      </c>
      <c r="V1828" s="2" t="s">
        <v>95</v>
      </c>
      <c r="W1828" s="2" t="s">
        <v>96</v>
      </c>
      <c r="X1828" s="2" t="s">
        <v>16096</v>
      </c>
      <c r="Y1828" s="2" t="s">
        <v>98</v>
      </c>
      <c r="Z1828" s="2" t="s">
        <v>99</v>
      </c>
      <c r="AA1828" s="2" t="s">
        <v>16097</v>
      </c>
      <c r="AB1828" s="2" t="s">
        <v>8443</v>
      </c>
      <c r="AC1828" s="2">
        <v>39.450000000000003</v>
      </c>
      <c r="AD1828" s="2">
        <v>98.35</v>
      </c>
      <c r="AE1828" s="2">
        <v>0</v>
      </c>
      <c r="AF1828" s="2" t="s">
        <v>16098</v>
      </c>
      <c r="AG1828" s="2" t="s">
        <v>132</v>
      </c>
      <c r="AH1828" s="2" t="s">
        <v>3787</v>
      </c>
      <c r="AI1828" s="2">
        <v>1.22</v>
      </c>
      <c r="AJ1828" s="2">
        <v>23.457929463355502</v>
      </c>
      <c r="AK1828" s="2">
        <v>23.4549051563048</v>
      </c>
      <c r="AL1828" s="2">
        <v>23.2394203934562</v>
      </c>
      <c r="AM1828" s="2">
        <v>23.292671121533601</v>
      </c>
      <c r="AN1828" s="2">
        <v>23.419772320271299</v>
      </c>
      <c r="AO1828" s="2">
        <v>23.293556297141901</v>
      </c>
      <c r="AP1828" s="2">
        <v>23.4105600052273</v>
      </c>
      <c r="AQ1828" s="2">
        <v>23.286699961146599</v>
      </c>
      <c r="AR1828" s="2">
        <v>22.7564725058695</v>
      </c>
      <c r="AS1828" s="2">
        <v>22.596061874878799</v>
      </c>
      <c r="AT1828" s="2">
        <v>23.111949095637801</v>
      </c>
      <c r="AU1828" s="2">
        <v>22.420151721648001</v>
      </c>
      <c r="AV1828" s="2">
        <v>22.127297259698501</v>
      </c>
      <c r="AW1828" s="2">
        <v>22.739860804643499</v>
      </c>
      <c r="AX1828" s="2">
        <v>22.657632835884701</v>
      </c>
      <c r="AY1828" s="2">
        <v>22.423412029701201</v>
      </c>
      <c r="AZ1828" s="2">
        <v>22.220523067399501</v>
      </c>
      <c r="BA1828" s="2">
        <v>21.996029263958601</v>
      </c>
      <c r="BB1828" s="2">
        <v>22.9398965239623</v>
      </c>
      <c r="BC1828" s="2">
        <v>22.536685403901899</v>
      </c>
      <c r="BD1828" s="2">
        <v>23.2424637822145</v>
      </c>
      <c r="BE1828" s="2">
        <v>22.793031130258299</v>
      </c>
      <c r="BF1828" s="2">
        <v>23.715861704450798</v>
      </c>
      <c r="BG1828" s="2">
        <v>23.6211695179244</v>
      </c>
      <c r="BH1828" s="2">
        <v>23.070744940906</v>
      </c>
      <c r="BI1828" s="2">
        <v>22.412870869577599</v>
      </c>
      <c r="BJ1828" s="2">
        <v>22.214510000993499</v>
      </c>
      <c r="BK1828" s="2">
        <v>23.166819269723099</v>
      </c>
      <c r="BL1828" s="2">
        <v>21.367626217343201</v>
      </c>
      <c r="BM1828" s="2">
        <v>21.5253299761367</v>
      </c>
      <c r="BN1828" s="2">
        <v>21.996265341247199</v>
      </c>
      <c r="BO1828" s="2">
        <v>22.154534648777499</v>
      </c>
      <c r="BP1828" s="2">
        <v>22.467974443907799</v>
      </c>
      <c r="BQ1828" s="2">
        <v>21.8168183513203</v>
      </c>
      <c r="BR1828" s="2">
        <v>21.8759049348762</v>
      </c>
      <c r="BS1828" s="2">
        <v>21.920809797281301</v>
      </c>
      <c r="BT1828" s="2">
        <v>22.2144200693477</v>
      </c>
      <c r="BU1828" s="2">
        <v>21.853651663705602</v>
      </c>
      <c r="BV1828" s="2">
        <v>21.891736504903399</v>
      </c>
      <c r="BW1828" s="2">
        <v>21.644496164483201</v>
      </c>
      <c r="BX1828" s="2">
        <v>22.052082890012599</v>
      </c>
      <c r="BY1828" s="2">
        <v>23.054802947026499</v>
      </c>
      <c r="BZ1828" s="2">
        <v>22.434975102735201</v>
      </c>
      <c r="CA1828" s="2">
        <v>22.028437100571999</v>
      </c>
      <c r="CB1828" s="2">
        <v>21.894940724449199</v>
      </c>
      <c r="CC1828" s="2">
        <v>22.181961939497999</v>
      </c>
      <c r="CD1828" s="2">
        <v>22.245111974579199</v>
      </c>
      <c r="CE1828" s="2">
        <v>22.217982912015898</v>
      </c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</row>
    <row r="1829" spans="1:97">
      <c r="A1829" s="2" t="s">
        <v>16099</v>
      </c>
      <c r="B1829" s="2">
        <v>217.9983</v>
      </c>
      <c r="C1829" s="2">
        <v>5.8680000000000003</v>
      </c>
      <c r="D1829" s="2" t="s">
        <v>84</v>
      </c>
      <c r="E1829" s="2" t="s">
        <v>16100</v>
      </c>
      <c r="F1829" s="2" t="s">
        <v>16101</v>
      </c>
      <c r="G1829" s="2">
        <v>52672</v>
      </c>
      <c r="H1829" s="3" t="str">
        <f>HYPERLINK("https://cloud.oebiotech.com/#/lm/network/52672", "https://cloud.oebiotech.com/#/lm/network/52672")</f>
        <v>https://cloud.oebiotech.com/#/lm/network/52672</v>
      </c>
      <c r="I1829" s="2" t="s">
        <v>16102</v>
      </c>
      <c r="J1829" s="2">
        <v>1692</v>
      </c>
      <c r="K1829" s="2"/>
      <c r="L1829" s="2">
        <v>4674</v>
      </c>
      <c r="M1829" s="2" t="s">
        <v>16103</v>
      </c>
      <c r="N1829" s="2"/>
      <c r="O1829" s="2"/>
      <c r="P1829" s="2">
        <v>160401</v>
      </c>
      <c r="Q1829" s="2"/>
      <c r="R1829" s="2"/>
      <c r="S1829" s="2" t="s">
        <v>16104</v>
      </c>
      <c r="T1829" s="2" t="s">
        <v>16105</v>
      </c>
      <c r="U1829" s="2" t="s">
        <v>16106</v>
      </c>
      <c r="V1829" s="2" t="s">
        <v>115</v>
      </c>
      <c r="W1829" s="2" t="s">
        <v>5349</v>
      </c>
      <c r="X1829" s="2" t="s">
        <v>15939</v>
      </c>
      <c r="Y1829" s="2" t="s">
        <v>118</v>
      </c>
      <c r="Z1829" s="2" t="s">
        <v>5351</v>
      </c>
      <c r="AA1829" s="2" t="s">
        <v>15940</v>
      </c>
      <c r="AB1829" s="2" t="s">
        <v>8443</v>
      </c>
      <c r="AC1829" s="2">
        <v>39.450000000000003</v>
      </c>
      <c r="AD1829" s="2">
        <v>97.24</v>
      </c>
      <c r="AE1829" s="2">
        <v>0</v>
      </c>
      <c r="AF1829" s="2" t="s">
        <v>5614</v>
      </c>
      <c r="AG1829" s="2" t="s">
        <v>1088</v>
      </c>
      <c r="AH1829" s="2" t="s">
        <v>16107</v>
      </c>
      <c r="AI1829" s="2">
        <v>0.46</v>
      </c>
      <c r="AJ1829" s="2">
        <v>20.8693259576225</v>
      </c>
      <c r="AK1829" s="2">
        <v>21.186501660267499</v>
      </c>
      <c r="AL1829" s="2">
        <v>20.976885047091201</v>
      </c>
      <c r="AM1829" s="2">
        <v>21.143831414200299</v>
      </c>
      <c r="AN1829" s="2">
        <v>19.703964657485599</v>
      </c>
      <c r="AO1829" s="2">
        <v>21.043428865867298</v>
      </c>
      <c r="AP1829" s="2">
        <v>21.098344683321798</v>
      </c>
      <c r="AQ1829" s="2">
        <v>20.266449753460702</v>
      </c>
      <c r="AR1829" s="2">
        <v>21.0034717607099</v>
      </c>
      <c r="AS1829" s="2">
        <v>21.081715829622201</v>
      </c>
      <c r="AT1829" s="2">
        <v>21.004334146397198</v>
      </c>
      <c r="AU1829" s="2">
        <v>20.912556047480599</v>
      </c>
      <c r="AV1829" s="2">
        <v>20.954739643058399</v>
      </c>
      <c r="AW1829" s="2">
        <v>21.116909059687998</v>
      </c>
      <c r="AX1829" s="2">
        <v>21.113720695699499</v>
      </c>
      <c r="AY1829" s="2">
        <v>21.048228515938099</v>
      </c>
      <c r="AZ1829" s="2">
        <v>20.9320775705351</v>
      </c>
      <c r="BA1829" s="2">
        <v>21.018419313270201</v>
      </c>
      <c r="BB1829" s="2">
        <v>21.123817549664</v>
      </c>
      <c r="BC1829" s="2">
        <v>20.765238962537602</v>
      </c>
      <c r="BD1829" s="2">
        <v>20.927315235086901</v>
      </c>
      <c r="BE1829" s="2">
        <v>21.068509424106399</v>
      </c>
      <c r="BF1829" s="2">
        <v>21.048072584616701</v>
      </c>
      <c r="BG1829" s="2">
        <v>21.2259183880976</v>
      </c>
      <c r="BH1829" s="2">
        <v>21.055200389633502</v>
      </c>
      <c r="BI1829" s="2">
        <v>21.095726076374198</v>
      </c>
      <c r="BJ1829" s="2">
        <v>21.244303999955701</v>
      </c>
      <c r="BK1829" s="2">
        <v>20.992089833346199</v>
      </c>
      <c r="BL1829" s="2">
        <v>21.088686670153901</v>
      </c>
      <c r="BM1829" s="2">
        <v>21.015521551758098</v>
      </c>
      <c r="BN1829" s="2">
        <v>21.163669470240499</v>
      </c>
      <c r="BO1829" s="2">
        <v>21.1359759471435</v>
      </c>
      <c r="BP1829" s="2">
        <v>21.136183193692698</v>
      </c>
      <c r="BQ1829" s="2">
        <v>21.016509739751399</v>
      </c>
      <c r="BR1829" s="2">
        <v>21.064211040787999</v>
      </c>
      <c r="BS1829" s="2">
        <v>21.095662084589101</v>
      </c>
      <c r="BT1829" s="2">
        <v>20.998047494911699</v>
      </c>
      <c r="BU1829" s="2">
        <v>21.080984092581598</v>
      </c>
      <c r="BV1829" s="2">
        <v>20.940898798955001</v>
      </c>
      <c r="BW1829" s="2">
        <v>21.051513166238699</v>
      </c>
      <c r="BX1829" s="2">
        <v>21.064191860433699</v>
      </c>
      <c r="BY1829" s="2">
        <v>21.0307944485637</v>
      </c>
      <c r="BZ1829" s="2">
        <v>21.1387565266118</v>
      </c>
      <c r="CA1829" s="2">
        <v>20.8917722763995</v>
      </c>
      <c r="CB1829" s="2">
        <v>20.9586494577694</v>
      </c>
      <c r="CC1829" s="2">
        <v>21.1181599137477</v>
      </c>
      <c r="CD1829" s="2">
        <v>21.0175141538285</v>
      </c>
      <c r="CE1829" s="2">
        <v>21.144180774412099</v>
      </c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</row>
    <row r="1830" spans="1:97">
      <c r="A1830" s="2" t="s">
        <v>16108</v>
      </c>
      <c r="B1830" s="2">
        <v>275.04816</v>
      </c>
      <c r="C1830" s="2">
        <v>6.6219999999999999</v>
      </c>
      <c r="D1830" s="2" t="s">
        <v>84</v>
      </c>
      <c r="E1830" s="2" t="s">
        <v>16109</v>
      </c>
      <c r="F1830" s="2" t="s">
        <v>16110</v>
      </c>
      <c r="G1830" s="2">
        <v>53817</v>
      </c>
      <c r="H1830" s="3" t="str">
        <f>HYPERLINK("https://cloud.oebiotech.com/#/lm/network/53817", "https://cloud.oebiotech.com/#/lm/network/53817")</f>
        <v>https://cloud.oebiotech.com/#/lm/network/53817</v>
      </c>
      <c r="I1830" s="2" t="s">
        <v>16111</v>
      </c>
      <c r="J1830" s="2">
        <v>23930</v>
      </c>
      <c r="K1830" s="2"/>
      <c r="L1830" s="2">
        <v>16657136</v>
      </c>
      <c r="M1830" s="2"/>
      <c r="N1830" s="2"/>
      <c r="O1830" s="2"/>
      <c r="P1830" s="2">
        <v>174318</v>
      </c>
      <c r="Q1830" s="2"/>
      <c r="R1830" s="2"/>
      <c r="S1830" s="2"/>
      <c r="T1830" s="2" t="s">
        <v>16112</v>
      </c>
      <c r="U1830" s="2" t="s">
        <v>16113</v>
      </c>
      <c r="V1830" s="2" t="s">
        <v>115</v>
      </c>
      <c r="W1830" s="2" t="s">
        <v>116</v>
      </c>
      <c r="X1830" s="2" t="s">
        <v>117</v>
      </c>
      <c r="Y1830" s="2" t="s">
        <v>118</v>
      </c>
      <c r="Z1830" s="2" t="s">
        <v>119</v>
      </c>
      <c r="AA1830" s="2" t="s">
        <v>120</v>
      </c>
      <c r="AB1830" s="2" t="s">
        <v>5118</v>
      </c>
      <c r="AC1830" s="2">
        <v>39.450000000000003</v>
      </c>
      <c r="AD1830" s="2">
        <v>74.81</v>
      </c>
      <c r="AE1830" s="2">
        <v>49.02</v>
      </c>
      <c r="AF1830" s="2" t="s">
        <v>16114</v>
      </c>
      <c r="AG1830" s="2" t="s">
        <v>1578</v>
      </c>
      <c r="AH1830" s="2" t="s">
        <v>16115</v>
      </c>
      <c r="AI1830" s="2">
        <v>4.3600000000000003</v>
      </c>
      <c r="AJ1830" s="2">
        <v>18.7030662113884</v>
      </c>
      <c r="AK1830" s="2">
        <v>18.8247887948223</v>
      </c>
      <c r="AL1830" s="2">
        <v>18.857392211357801</v>
      </c>
      <c r="AM1830" s="2">
        <v>18.9825574236359</v>
      </c>
      <c r="AN1830" s="2">
        <v>19.061084878399001</v>
      </c>
      <c r="AO1830" s="2">
        <v>18.893668771176401</v>
      </c>
      <c r="AP1830" s="2">
        <v>18.992483357350402</v>
      </c>
      <c r="AQ1830" s="2">
        <v>19.2341312769578</v>
      </c>
      <c r="AR1830" s="2">
        <v>16.083049404979299</v>
      </c>
      <c r="AS1830" s="2">
        <v>16.814874444923898</v>
      </c>
      <c r="AT1830" s="2">
        <v>16.387387146241899</v>
      </c>
      <c r="AU1830" s="2">
        <v>15.281513888480299</v>
      </c>
      <c r="AV1830" s="2">
        <v>16.705843214925199</v>
      </c>
      <c r="AW1830" s="2">
        <v>17.215617648667799</v>
      </c>
      <c r="AX1830" s="2">
        <v>17.915871036364099</v>
      </c>
      <c r="AY1830" s="2">
        <v>17.649023930175598</v>
      </c>
      <c r="AZ1830" s="2">
        <v>17.880468270413601</v>
      </c>
      <c r="BA1830" s="2">
        <v>16.153204061482</v>
      </c>
      <c r="BB1830" s="2">
        <v>18.243924447952999</v>
      </c>
      <c r="BC1830" s="2">
        <v>18.154236148193402</v>
      </c>
      <c r="BD1830" s="2">
        <v>17.5067752405165</v>
      </c>
      <c r="BE1830" s="2">
        <v>19.984087020561301</v>
      </c>
      <c r="BF1830" s="2">
        <v>18.101478746197301</v>
      </c>
      <c r="BG1830" s="2">
        <v>18.799345691809201</v>
      </c>
      <c r="BH1830" s="2">
        <v>18.279495508331401</v>
      </c>
      <c r="BI1830" s="2">
        <v>18.1546061185486</v>
      </c>
      <c r="BJ1830" s="2">
        <v>18.6297312059449</v>
      </c>
      <c r="BK1830" s="2">
        <v>17.800067282182699</v>
      </c>
      <c r="BL1830" s="2">
        <v>17.944708000941901</v>
      </c>
      <c r="BM1830" s="2">
        <v>18.049572541698598</v>
      </c>
      <c r="BN1830" s="2">
        <v>17.676964324554401</v>
      </c>
      <c r="BO1830" s="2">
        <v>18.179371234130102</v>
      </c>
      <c r="BP1830" s="2">
        <v>18.259812396074899</v>
      </c>
      <c r="BQ1830" s="2">
        <v>18.4548809652273</v>
      </c>
      <c r="BR1830" s="2">
        <v>18.954747373353499</v>
      </c>
      <c r="BS1830" s="2">
        <v>18.544440241056702</v>
      </c>
      <c r="BT1830" s="2">
        <v>16.566887231082699</v>
      </c>
      <c r="BU1830" s="2">
        <v>17.461595910153601</v>
      </c>
      <c r="BV1830" s="2">
        <v>18.1176094197154</v>
      </c>
      <c r="BW1830" s="2">
        <v>14.6496261238669</v>
      </c>
      <c r="BX1830" s="2">
        <v>18.238069087825</v>
      </c>
      <c r="BY1830" s="2">
        <v>20.443909916062299</v>
      </c>
      <c r="BZ1830" s="2">
        <v>18.6788232736032</v>
      </c>
      <c r="CA1830" s="2">
        <v>18.760111572016299</v>
      </c>
      <c r="CB1830" s="2">
        <v>18.268539715933699</v>
      </c>
      <c r="CC1830" s="2">
        <v>16.523650161617098</v>
      </c>
      <c r="CD1830" s="2">
        <v>19.584779536268901</v>
      </c>
      <c r="CE1830" s="2">
        <v>18.689613291975199</v>
      </c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</row>
    <row r="1831" spans="1:97">
      <c r="A1831" s="2" t="s">
        <v>16116</v>
      </c>
      <c r="B1831" s="2">
        <v>251.12504999999999</v>
      </c>
      <c r="C1831" s="2">
        <v>6.82</v>
      </c>
      <c r="D1831" s="2" t="s">
        <v>84</v>
      </c>
      <c r="E1831" s="2" t="s">
        <v>16117</v>
      </c>
      <c r="F1831" s="2" t="s">
        <v>16118</v>
      </c>
      <c r="G1831" s="2">
        <v>205585</v>
      </c>
      <c r="H1831" s="3" t="str">
        <f>HYPERLINK("https://cloud.oebiotech.com/#/lm/network/205585", "https://cloud.oebiotech.com/#/lm/network/205585")</f>
        <v>https://cloud.oebiotech.com/#/lm/network/205585</v>
      </c>
      <c r="I1831" s="2" t="s">
        <v>16119</v>
      </c>
      <c r="J1831" s="2"/>
      <c r="K1831" s="2"/>
      <c r="L1831" s="2">
        <v>14607007</v>
      </c>
      <c r="M1831" s="2"/>
      <c r="N1831" s="2"/>
      <c r="O1831" s="2"/>
      <c r="P1831" s="2"/>
      <c r="Q1831" s="2"/>
      <c r="R1831" s="2"/>
      <c r="S1831" s="2"/>
      <c r="T1831" s="2" t="s">
        <v>16120</v>
      </c>
      <c r="U1831" s="2" t="s">
        <v>16121</v>
      </c>
      <c r="V1831" s="2" t="s">
        <v>818</v>
      </c>
      <c r="W1831" s="2" t="s">
        <v>819</v>
      </c>
      <c r="X1831" s="2" t="s">
        <v>16122</v>
      </c>
      <c r="Y1831" s="2" t="s">
        <v>820</v>
      </c>
      <c r="Z1831" s="2" t="s">
        <v>821</v>
      </c>
      <c r="AA1831" s="2" t="s">
        <v>16123</v>
      </c>
      <c r="AB1831" s="2" t="s">
        <v>8443</v>
      </c>
      <c r="AC1831" s="2">
        <v>39.44</v>
      </c>
      <c r="AD1831" s="2">
        <v>97.22</v>
      </c>
      <c r="AE1831" s="2">
        <v>0</v>
      </c>
      <c r="AF1831" s="2" t="s">
        <v>16124</v>
      </c>
      <c r="AG1831" s="2" t="s">
        <v>103</v>
      </c>
      <c r="AH1831" s="2" t="s">
        <v>16125</v>
      </c>
      <c r="AI1831" s="2">
        <v>0.4</v>
      </c>
      <c r="AJ1831" s="2">
        <v>22.409715719365298</v>
      </c>
      <c r="AK1831" s="2">
        <v>22.279226941272299</v>
      </c>
      <c r="AL1831" s="2">
        <v>22.4274539837646</v>
      </c>
      <c r="AM1831" s="2">
        <v>22.339604691455499</v>
      </c>
      <c r="AN1831" s="2">
        <v>22.356731083987</v>
      </c>
      <c r="AO1831" s="2">
        <v>22.344758840988099</v>
      </c>
      <c r="AP1831" s="2">
        <v>22.3842078086859</v>
      </c>
      <c r="AQ1831" s="2">
        <v>22.349203659927799</v>
      </c>
      <c r="AR1831" s="2">
        <v>21.871892892974401</v>
      </c>
      <c r="AS1831" s="2">
        <v>20.723163350841102</v>
      </c>
      <c r="AT1831" s="2">
        <v>20.5868381848769</v>
      </c>
      <c r="AU1831" s="2">
        <v>21.5134023022297</v>
      </c>
      <c r="AV1831" s="2">
        <v>21.2878481555598</v>
      </c>
      <c r="AW1831" s="2">
        <v>20.783421267215601</v>
      </c>
      <c r="AX1831" s="2">
        <v>21.964969981814999</v>
      </c>
      <c r="AY1831" s="2">
        <v>19.912223295829399</v>
      </c>
      <c r="AZ1831" s="2">
        <v>21.843663504931602</v>
      </c>
      <c r="BA1831" s="2">
        <v>20.975795872014899</v>
      </c>
      <c r="BB1831" s="2">
        <v>23.590100185151801</v>
      </c>
      <c r="BC1831" s="2">
        <v>23.7307743073012</v>
      </c>
      <c r="BD1831" s="2">
        <v>21.036325455192902</v>
      </c>
      <c r="BE1831" s="2">
        <v>21.716737286770499</v>
      </c>
      <c r="BF1831" s="2">
        <v>22.4625926189367</v>
      </c>
      <c r="BG1831" s="2">
        <v>22.791201087670999</v>
      </c>
      <c r="BH1831" s="2">
        <v>21.5710181717808</v>
      </c>
      <c r="BI1831" s="2">
        <v>22.1119839472981</v>
      </c>
      <c r="BJ1831" s="2">
        <v>21.423086136564098</v>
      </c>
      <c r="BK1831" s="2">
        <v>21.948805330175301</v>
      </c>
      <c r="BL1831" s="2">
        <v>20.999657665756899</v>
      </c>
      <c r="BM1831" s="2">
        <v>21.997796148511</v>
      </c>
      <c r="BN1831" s="2">
        <v>20.9725203543444</v>
      </c>
      <c r="BO1831" s="2">
        <v>21.4013431725343</v>
      </c>
      <c r="BP1831" s="2">
        <v>21.2583678854871</v>
      </c>
      <c r="BQ1831" s="2">
        <v>21.629075492294199</v>
      </c>
      <c r="BR1831" s="2">
        <v>22.458029272436701</v>
      </c>
      <c r="BS1831" s="2">
        <v>21.719922267377701</v>
      </c>
      <c r="BT1831" s="2">
        <v>20.384609731622501</v>
      </c>
      <c r="BU1831" s="2">
        <v>22.602657132517798</v>
      </c>
      <c r="BV1831" s="2">
        <v>21.580066193065701</v>
      </c>
      <c r="BW1831" s="2">
        <v>21.2297047518021</v>
      </c>
      <c r="BX1831" s="2">
        <v>21.8984628320894</v>
      </c>
      <c r="BY1831" s="2">
        <v>23.184929093352899</v>
      </c>
      <c r="BZ1831" s="2">
        <v>22.353131678322701</v>
      </c>
      <c r="CA1831" s="2">
        <v>21.3120949292482</v>
      </c>
      <c r="CB1831" s="2">
        <v>21.894703942029398</v>
      </c>
      <c r="CC1831" s="2">
        <v>22.2445465687676</v>
      </c>
      <c r="CD1831" s="2">
        <v>22.0666593627971</v>
      </c>
      <c r="CE1831" s="2">
        <v>22.598026746934501</v>
      </c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</row>
    <row r="1832" spans="1:97">
      <c r="A1832" s="2" t="s">
        <v>16126</v>
      </c>
      <c r="B1832" s="2">
        <v>118.04993</v>
      </c>
      <c r="C1832" s="2">
        <v>4.9039999999999999</v>
      </c>
      <c r="D1832" s="2" t="s">
        <v>84</v>
      </c>
      <c r="E1832" s="2" t="s">
        <v>16127</v>
      </c>
      <c r="F1832" s="2" t="s">
        <v>16128</v>
      </c>
      <c r="G1832" s="2">
        <v>256831</v>
      </c>
      <c r="H1832" s="3" t="str">
        <f>HYPERLINK("https://cloud.oebiotech.com/#/lm/network/256831", "https://cloud.oebiotech.com/#/lm/network/256831")</f>
        <v>https://cloud.oebiotech.com/#/lm/network/256831</v>
      </c>
      <c r="I1832" s="2" t="s">
        <v>16129</v>
      </c>
      <c r="J1832" s="2"/>
      <c r="K1832" s="2"/>
      <c r="L1832" s="2">
        <v>56927732</v>
      </c>
      <c r="M1832" s="2" t="s">
        <v>16130</v>
      </c>
      <c r="N1832" s="2"/>
      <c r="O1832" s="2"/>
      <c r="P1832" s="2">
        <v>63250</v>
      </c>
      <c r="Q1832" s="2"/>
      <c r="R1832" s="2"/>
      <c r="S1832" s="2"/>
      <c r="T1832" s="2" t="s">
        <v>16131</v>
      </c>
      <c r="U1832" s="2" t="s">
        <v>16132</v>
      </c>
      <c r="V1832" s="2" t="s">
        <v>115</v>
      </c>
      <c r="W1832" s="2" t="s">
        <v>116</v>
      </c>
      <c r="X1832" s="2" t="s">
        <v>16133</v>
      </c>
      <c r="Y1832" s="2" t="s">
        <v>118</v>
      </c>
      <c r="Z1832" s="2" t="s">
        <v>119</v>
      </c>
      <c r="AA1832" s="2" t="s">
        <v>16134</v>
      </c>
      <c r="AB1832" s="2" t="s">
        <v>8443</v>
      </c>
      <c r="AC1832" s="2">
        <v>39.43</v>
      </c>
      <c r="AD1832" s="2">
        <v>97.14</v>
      </c>
      <c r="AE1832" s="2">
        <v>0</v>
      </c>
      <c r="AF1832" s="2" t="s">
        <v>5614</v>
      </c>
      <c r="AG1832" s="2" t="s">
        <v>103</v>
      </c>
      <c r="AH1832" s="2" t="s">
        <v>8521</v>
      </c>
      <c r="AI1832" s="2">
        <v>0</v>
      </c>
      <c r="AJ1832" s="2">
        <v>20.978742392477901</v>
      </c>
      <c r="AK1832" s="2">
        <v>20.894125898593199</v>
      </c>
      <c r="AL1832" s="2">
        <v>19.850690466976801</v>
      </c>
      <c r="AM1832" s="2">
        <v>20.7596986867275</v>
      </c>
      <c r="AN1832" s="2">
        <v>21.124967566776601</v>
      </c>
      <c r="AO1832" s="2">
        <v>21.029620513741101</v>
      </c>
      <c r="AP1832" s="2">
        <v>21.127702833028099</v>
      </c>
      <c r="AQ1832" s="2">
        <v>20.9791872847203</v>
      </c>
      <c r="AR1832" s="2">
        <v>20.954418809930001</v>
      </c>
      <c r="AS1832" s="2">
        <v>21.026689486510701</v>
      </c>
      <c r="AT1832" s="2">
        <v>21.0813770821212</v>
      </c>
      <c r="AU1832" s="2">
        <v>20.9394937606592</v>
      </c>
      <c r="AV1832" s="2">
        <v>21.0673347508136</v>
      </c>
      <c r="AW1832" s="2">
        <v>21.040295601389701</v>
      </c>
      <c r="AX1832" s="2">
        <v>20.909918346763401</v>
      </c>
      <c r="AY1832" s="2">
        <v>21.0198637175044</v>
      </c>
      <c r="AZ1832" s="2">
        <v>20.967351849347601</v>
      </c>
      <c r="BA1832" s="2">
        <v>20.922707044986801</v>
      </c>
      <c r="BB1832" s="2">
        <v>20.982285347252201</v>
      </c>
      <c r="BC1832" s="2">
        <v>21.007956501007602</v>
      </c>
      <c r="BD1832" s="2">
        <v>21.020162908668201</v>
      </c>
      <c r="BE1832" s="2">
        <v>20.959505201557299</v>
      </c>
      <c r="BF1832" s="2">
        <v>21.0431363242601</v>
      </c>
      <c r="BG1832" s="2">
        <v>20.97434357677</v>
      </c>
      <c r="BH1832" s="2">
        <v>20.9541201620045</v>
      </c>
      <c r="BI1832" s="2">
        <v>21.0676540928301</v>
      </c>
      <c r="BJ1832" s="2">
        <v>21.069415603768501</v>
      </c>
      <c r="BK1832" s="2">
        <v>21.0496129877661</v>
      </c>
      <c r="BL1832" s="2">
        <v>21.101797581903799</v>
      </c>
      <c r="BM1832" s="2">
        <v>21.042882989514101</v>
      </c>
      <c r="BN1832" s="2">
        <v>20.956089644335901</v>
      </c>
      <c r="BO1832" s="2">
        <v>21.061003630070299</v>
      </c>
      <c r="BP1832" s="2">
        <v>18.872774182361599</v>
      </c>
      <c r="BQ1832" s="2">
        <v>21.0026476634158</v>
      </c>
      <c r="BR1832" s="2">
        <v>21.068280124699701</v>
      </c>
      <c r="BS1832" s="2">
        <v>21.133184133241102</v>
      </c>
      <c r="BT1832" s="2">
        <v>21.0838839897479</v>
      </c>
      <c r="BU1832" s="2">
        <v>21.104992655660801</v>
      </c>
      <c r="BV1832" s="2">
        <v>21.041830894006701</v>
      </c>
      <c r="BW1832" s="2">
        <v>21.061109151117201</v>
      </c>
      <c r="BX1832" s="2">
        <v>21.107178289305601</v>
      </c>
      <c r="BY1832" s="2">
        <v>19.264956968038099</v>
      </c>
      <c r="BZ1832" s="2">
        <v>20.9997677152916</v>
      </c>
      <c r="CA1832" s="2">
        <v>21.097607003359201</v>
      </c>
      <c r="CB1832" s="2">
        <v>21.025624841810899</v>
      </c>
      <c r="CC1832" s="2">
        <v>21.1215709331657</v>
      </c>
      <c r="CD1832" s="2">
        <v>21.149321583107898</v>
      </c>
      <c r="CE1832" s="2">
        <v>21.1320711713471</v>
      </c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</row>
    <row r="1833" spans="1:97">
      <c r="A1833" s="2" t="s">
        <v>16135</v>
      </c>
      <c r="B1833" s="2">
        <v>234.99994000000001</v>
      </c>
      <c r="C1833" s="2">
        <v>5.4889999999999999</v>
      </c>
      <c r="D1833" s="2" t="s">
        <v>146</v>
      </c>
      <c r="E1833" s="2" t="s">
        <v>16136</v>
      </c>
      <c r="F1833" s="2" t="s">
        <v>16137</v>
      </c>
      <c r="G1833" s="2">
        <v>211078</v>
      </c>
      <c r="H1833" s="3" t="str">
        <f>HYPERLINK("https://cloud.oebiotech.com/#/lm/network/211078", "https://cloud.oebiotech.com/#/lm/network/211078")</f>
        <v>https://cloud.oebiotech.com/#/lm/network/211078</v>
      </c>
      <c r="I1833" s="2" t="s">
        <v>16138</v>
      </c>
      <c r="J1833" s="2"/>
      <c r="K1833" s="2"/>
      <c r="L1833" s="2">
        <v>597477</v>
      </c>
      <c r="M1833" s="2"/>
      <c r="N1833" s="2"/>
      <c r="O1833" s="2"/>
      <c r="P1833" s="2"/>
      <c r="Q1833" s="2"/>
      <c r="R1833" s="2"/>
      <c r="S1833" s="2"/>
      <c r="T1833" s="2" t="s">
        <v>16139</v>
      </c>
      <c r="U1833" s="2" t="s">
        <v>16140</v>
      </c>
      <c r="V1833" s="2" t="s">
        <v>115</v>
      </c>
      <c r="W1833" s="2" t="s">
        <v>116</v>
      </c>
      <c r="X1833" s="2" t="s">
        <v>117</v>
      </c>
      <c r="Y1833" s="2" t="s">
        <v>118</v>
      </c>
      <c r="Z1833" s="2" t="s">
        <v>119</v>
      </c>
      <c r="AA1833" s="2" t="s">
        <v>120</v>
      </c>
      <c r="AB1833" s="2" t="s">
        <v>8443</v>
      </c>
      <c r="AC1833" s="2">
        <v>39.43</v>
      </c>
      <c r="AD1833" s="2">
        <v>97.17</v>
      </c>
      <c r="AE1833" s="2">
        <v>0</v>
      </c>
      <c r="AF1833" s="2" t="s">
        <v>16141</v>
      </c>
      <c r="AG1833" s="2" t="s">
        <v>993</v>
      </c>
      <c r="AH1833" s="2" t="s">
        <v>16142</v>
      </c>
      <c r="AI1833" s="2">
        <v>0.43</v>
      </c>
      <c r="AJ1833" s="2">
        <v>27.148545483177301</v>
      </c>
      <c r="AK1833" s="2">
        <v>27.2270822200419</v>
      </c>
      <c r="AL1833" s="2">
        <v>27.163603468986398</v>
      </c>
      <c r="AM1833" s="2">
        <v>27.267413686737001</v>
      </c>
      <c r="AN1833" s="2">
        <v>27.279808521291798</v>
      </c>
      <c r="AO1833" s="2">
        <v>27.315368754118701</v>
      </c>
      <c r="AP1833" s="2">
        <v>27.209460950415799</v>
      </c>
      <c r="AQ1833" s="2">
        <v>27.163654807597101</v>
      </c>
      <c r="AR1833" s="2">
        <v>27.015738915615099</v>
      </c>
      <c r="AS1833" s="2">
        <v>27.186238998327902</v>
      </c>
      <c r="AT1833" s="2">
        <v>27.247762443017599</v>
      </c>
      <c r="AU1833" s="2">
        <v>26.953109016350201</v>
      </c>
      <c r="AV1833" s="2">
        <v>27.212391650071901</v>
      </c>
      <c r="AW1833" s="2">
        <v>27.344266775263499</v>
      </c>
      <c r="AX1833" s="2">
        <v>27.0568545450862</v>
      </c>
      <c r="AY1833" s="2">
        <v>27.191721046422501</v>
      </c>
      <c r="AZ1833" s="2">
        <v>27.144006616174199</v>
      </c>
      <c r="BA1833" s="2">
        <v>27.1138133444977</v>
      </c>
      <c r="BB1833" s="2">
        <v>27.188984954371499</v>
      </c>
      <c r="BC1833" s="2">
        <v>27.038421081433398</v>
      </c>
      <c r="BD1833" s="2">
        <v>27.0472117681383</v>
      </c>
      <c r="BE1833" s="2">
        <v>27.092380255003501</v>
      </c>
      <c r="BF1833" s="2">
        <v>27.151246769260201</v>
      </c>
      <c r="BG1833" s="2">
        <v>27.218224631552602</v>
      </c>
      <c r="BH1833" s="2">
        <v>27.061890441858999</v>
      </c>
      <c r="BI1833" s="2">
        <v>27.058230595545002</v>
      </c>
      <c r="BJ1833" s="2">
        <v>27.191463097002298</v>
      </c>
      <c r="BK1833" s="2">
        <v>26.997634484509</v>
      </c>
      <c r="BL1833" s="2">
        <v>27.204434132189501</v>
      </c>
      <c r="BM1833" s="2">
        <v>26.994175784110499</v>
      </c>
      <c r="BN1833" s="2">
        <v>27.133994871813901</v>
      </c>
      <c r="BO1833" s="2">
        <v>27.2743117468017</v>
      </c>
      <c r="BP1833" s="2">
        <v>27.0828160931915</v>
      </c>
      <c r="BQ1833" s="2">
        <v>27.0572339405253</v>
      </c>
      <c r="BR1833" s="2">
        <v>27.043954823280998</v>
      </c>
      <c r="BS1833" s="2">
        <v>27.049855845338499</v>
      </c>
      <c r="BT1833" s="2">
        <v>27.062677849948699</v>
      </c>
      <c r="BU1833" s="2">
        <v>27.153276308964799</v>
      </c>
      <c r="BV1833" s="2">
        <v>26.924622028244102</v>
      </c>
      <c r="BW1833" s="2">
        <v>26.996216725524398</v>
      </c>
      <c r="BX1833" s="2">
        <v>26.910175919377899</v>
      </c>
      <c r="BY1833" s="2">
        <v>27.1703040991361</v>
      </c>
      <c r="BZ1833" s="2">
        <v>27.010116689832</v>
      </c>
      <c r="CA1833" s="2">
        <v>27.023184583828801</v>
      </c>
      <c r="CB1833" s="2">
        <v>27.1719151584659</v>
      </c>
      <c r="CC1833" s="2">
        <v>27.162250171746098</v>
      </c>
      <c r="CD1833" s="2">
        <v>27.0288532462015</v>
      </c>
      <c r="CE1833" s="2">
        <v>27.188153225816102</v>
      </c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</row>
    <row r="1834" spans="1:97">
      <c r="A1834" s="2" t="s">
        <v>16143</v>
      </c>
      <c r="B1834" s="2">
        <v>102.0466</v>
      </c>
      <c r="C1834" s="2">
        <v>3.7269999999999999</v>
      </c>
      <c r="D1834" s="2" t="s">
        <v>84</v>
      </c>
      <c r="E1834" s="2" t="s">
        <v>16144</v>
      </c>
      <c r="F1834" s="2" t="s">
        <v>16145</v>
      </c>
      <c r="G1834" s="2">
        <v>200348</v>
      </c>
      <c r="H1834" s="3" t="str">
        <f>HYPERLINK("https://cloud.oebiotech.com/#/lm/network/200348", "https://cloud.oebiotech.com/#/lm/network/200348")</f>
        <v>https://cloud.oebiotech.com/#/lm/network/200348</v>
      </c>
      <c r="I1834" s="2" t="s">
        <v>16146</v>
      </c>
      <c r="J1834" s="2"/>
      <c r="K1834" s="2"/>
      <c r="L1834" s="2">
        <v>164575</v>
      </c>
      <c r="M1834" s="2"/>
      <c r="N1834" s="2"/>
      <c r="O1834" s="2"/>
      <c r="P1834" s="2">
        <v>33134</v>
      </c>
      <c r="Q1834" s="2"/>
      <c r="R1834" s="2"/>
      <c r="S1834" s="2"/>
      <c r="T1834" s="2" t="s">
        <v>16147</v>
      </c>
      <c r="U1834" s="2" t="s">
        <v>16148</v>
      </c>
      <c r="V1834" s="2" t="s">
        <v>553</v>
      </c>
      <c r="W1834" s="2" t="s">
        <v>9726</v>
      </c>
      <c r="X1834" s="2" t="s">
        <v>375</v>
      </c>
      <c r="Y1834" s="2" t="s">
        <v>556</v>
      </c>
      <c r="Z1834" s="2" t="s">
        <v>9727</v>
      </c>
      <c r="AA1834" s="2"/>
      <c r="AB1834" s="2" t="s">
        <v>8443</v>
      </c>
      <c r="AC1834" s="2">
        <v>39.43</v>
      </c>
      <c r="AD1834" s="2">
        <v>97.56</v>
      </c>
      <c r="AE1834" s="2">
        <v>0</v>
      </c>
      <c r="AF1834" s="2" t="s">
        <v>5614</v>
      </c>
      <c r="AG1834" s="2" t="s">
        <v>132</v>
      </c>
      <c r="AH1834" s="2" t="s">
        <v>16149</v>
      </c>
      <c r="AI1834" s="2">
        <v>1.08</v>
      </c>
      <c r="AJ1834" s="2">
        <v>18.3727476697639</v>
      </c>
      <c r="AK1834" s="2">
        <v>19.237755177880299</v>
      </c>
      <c r="AL1834" s="2">
        <v>19.336360237882801</v>
      </c>
      <c r="AM1834" s="2">
        <v>18.621577298667301</v>
      </c>
      <c r="AN1834" s="2">
        <v>19.612929835429199</v>
      </c>
      <c r="AO1834" s="2">
        <v>19.315322289238601</v>
      </c>
      <c r="AP1834" s="2">
        <v>19.3783362432081</v>
      </c>
      <c r="AQ1834" s="2">
        <v>19.7144256588027</v>
      </c>
      <c r="AR1834" s="2">
        <v>18.640244618429399</v>
      </c>
      <c r="AS1834" s="2">
        <v>19.554815191778498</v>
      </c>
      <c r="AT1834" s="2">
        <v>19.190845516279001</v>
      </c>
      <c r="AU1834" s="2">
        <v>19.514200582782401</v>
      </c>
      <c r="AV1834" s="2">
        <v>19.544307144363302</v>
      </c>
      <c r="AW1834" s="2">
        <v>19.64040777824</v>
      </c>
      <c r="AX1834" s="2">
        <v>19.001679114119799</v>
      </c>
      <c r="AY1834" s="2">
        <v>19.276478377503398</v>
      </c>
      <c r="AZ1834" s="2">
        <v>19.487423352764502</v>
      </c>
      <c r="BA1834" s="2">
        <v>19.026211266442498</v>
      </c>
      <c r="BB1834" s="2">
        <v>19.331058700044199</v>
      </c>
      <c r="BC1834" s="2">
        <v>19.4491796444748</v>
      </c>
      <c r="BD1834" s="2">
        <v>19.1416472646386</v>
      </c>
      <c r="BE1834" s="2">
        <v>18.7625842157201</v>
      </c>
      <c r="BF1834" s="2">
        <v>19.790728629980801</v>
      </c>
      <c r="BG1834" s="2">
        <v>19.8123571422298</v>
      </c>
      <c r="BH1834" s="2">
        <v>19.5796114225937</v>
      </c>
      <c r="BI1834" s="2">
        <v>18.9895655513874</v>
      </c>
      <c r="BJ1834" s="2">
        <v>19.434398410926601</v>
      </c>
      <c r="BK1834" s="2">
        <v>19.1428213456436</v>
      </c>
      <c r="BL1834" s="2">
        <v>19.371606845472101</v>
      </c>
      <c r="BM1834" s="2">
        <v>19.550720767796701</v>
      </c>
      <c r="BN1834" s="2">
        <v>18.298409162500199</v>
      </c>
      <c r="BO1834" s="2">
        <v>18.683496791787402</v>
      </c>
      <c r="BP1834" s="2">
        <v>19.3222703465423</v>
      </c>
      <c r="BQ1834" s="2">
        <v>19.8501537445695</v>
      </c>
      <c r="BR1834" s="2">
        <v>19.456722101460901</v>
      </c>
      <c r="BS1834" s="2">
        <v>19.300655979900199</v>
      </c>
      <c r="BT1834" s="2">
        <v>19.4236684390142</v>
      </c>
      <c r="BU1834" s="2">
        <v>19.1989607798814</v>
      </c>
      <c r="BV1834" s="2">
        <v>19.6203783741874</v>
      </c>
      <c r="BW1834" s="2">
        <v>19.426905489828201</v>
      </c>
      <c r="BX1834" s="2">
        <v>19.606142607196698</v>
      </c>
      <c r="BY1834" s="2">
        <v>19.222091233536499</v>
      </c>
      <c r="BZ1834" s="2">
        <v>19.662178669023799</v>
      </c>
      <c r="CA1834" s="2">
        <v>19.378865239744499</v>
      </c>
      <c r="CB1834" s="2">
        <v>19.600608146634801</v>
      </c>
      <c r="CC1834" s="2">
        <v>19.323628097620301</v>
      </c>
      <c r="CD1834" s="2">
        <v>18.812327745568201</v>
      </c>
      <c r="CE1834" s="2">
        <v>19.3907198477024</v>
      </c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</row>
    <row r="1835" spans="1:97">
      <c r="A1835" s="2" t="s">
        <v>16150</v>
      </c>
      <c r="B1835" s="2">
        <v>297.05617000000001</v>
      </c>
      <c r="C1835" s="2">
        <v>1.6559999999999999</v>
      </c>
      <c r="D1835" s="2" t="s">
        <v>146</v>
      </c>
      <c r="E1835" s="2" t="s">
        <v>16151</v>
      </c>
      <c r="F1835" s="2" t="s">
        <v>16152</v>
      </c>
      <c r="G1835" s="2">
        <v>53991</v>
      </c>
      <c r="H1835" s="3" t="str">
        <f>HYPERLINK("https://cloud.oebiotech.com/#/lm/network/53991", "https://cloud.oebiotech.com/#/lm/network/53991")</f>
        <v>https://cloud.oebiotech.com/#/lm/network/53991</v>
      </c>
      <c r="I1835" s="2" t="s">
        <v>16153</v>
      </c>
      <c r="J1835" s="2">
        <v>85872</v>
      </c>
      <c r="K1835" s="2"/>
      <c r="L1835" s="2">
        <v>18218227</v>
      </c>
      <c r="M1835" s="2"/>
      <c r="N1835" s="2"/>
      <c r="O1835" s="2"/>
      <c r="P1835" s="2">
        <v>174319</v>
      </c>
      <c r="Q1835" s="2"/>
      <c r="R1835" s="2"/>
      <c r="S1835" s="2"/>
      <c r="T1835" s="2" t="s">
        <v>16154</v>
      </c>
      <c r="U1835" s="2" t="s">
        <v>16155</v>
      </c>
      <c r="V1835" s="2" t="s">
        <v>115</v>
      </c>
      <c r="W1835" s="2" t="s">
        <v>116</v>
      </c>
      <c r="X1835" s="2" t="s">
        <v>117</v>
      </c>
      <c r="Y1835" s="2" t="s">
        <v>118</v>
      </c>
      <c r="Z1835" s="2" t="s">
        <v>119</v>
      </c>
      <c r="AA1835" s="2" t="s">
        <v>120</v>
      </c>
      <c r="AB1835" s="2" t="s">
        <v>8443</v>
      </c>
      <c r="AC1835" s="2">
        <v>39.39</v>
      </c>
      <c r="AD1835" s="2">
        <v>87.47</v>
      </c>
      <c r="AE1835" s="2">
        <v>0</v>
      </c>
      <c r="AF1835" s="2" t="s">
        <v>5614</v>
      </c>
      <c r="AG1835" s="2" t="s">
        <v>157</v>
      </c>
      <c r="AH1835" s="2" t="s">
        <v>16115</v>
      </c>
      <c r="AI1835" s="2">
        <v>7.41</v>
      </c>
      <c r="AJ1835" s="2">
        <v>19.2522468183241</v>
      </c>
      <c r="AK1835" s="2">
        <v>20.251181313049699</v>
      </c>
      <c r="AL1835" s="2">
        <v>19.507353252049001</v>
      </c>
      <c r="AM1835" s="2">
        <v>19.227919661204702</v>
      </c>
      <c r="AN1835" s="2">
        <v>19.375360955829901</v>
      </c>
      <c r="AO1835" s="2">
        <v>19.530636540889901</v>
      </c>
      <c r="AP1835" s="2">
        <v>19.325452133869199</v>
      </c>
      <c r="AQ1835" s="2">
        <v>19.212066638939401</v>
      </c>
      <c r="AR1835" s="2">
        <v>17.371010945149202</v>
      </c>
      <c r="AS1835" s="2">
        <v>17.491943418484698</v>
      </c>
      <c r="AT1835" s="2">
        <v>19.0821456361187</v>
      </c>
      <c r="AU1835" s="2">
        <v>16.981358345339199</v>
      </c>
      <c r="AV1835" s="2">
        <v>18.329444983573602</v>
      </c>
      <c r="AW1835" s="2">
        <v>18.374180224398302</v>
      </c>
      <c r="AX1835" s="2">
        <v>19.834261245582699</v>
      </c>
      <c r="AY1835" s="2">
        <v>18.7760036531696</v>
      </c>
      <c r="AZ1835" s="2">
        <v>18.0201818489987</v>
      </c>
      <c r="BA1835" s="2">
        <v>18.701480526640399</v>
      </c>
      <c r="BB1835" s="2">
        <v>20.020073576422099</v>
      </c>
      <c r="BC1835" s="2">
        <v>20.345769257600999</v>
      </c>
      <c r="BD1835" s="2">
        <v>19.200517450350102</v>
      </c>
      <c r="BE1835" s="2">
        <v>17.848574774813301</v>
      </c>
      <c r="BF1835" s="2">
        <v>21.4092286207072</v>
      </c>
      <c r="BG1835" s="2">
        <v>18.844641838523799</v>
      </c>
      <c r="BH1835" s="2">
        <v>18.012443950641099</v>
      </c>
      <c r="BI1835" s="2">
        <v>19.331752820401899</v>
      </c>
      <c r="BJ1835" s="2">
        <v>18.854913844088699</v>
      </c>
      <c r="BK1835" s="2">
        <v>18.428813683677099</v>
      </c>
      <c r="BL1835" s="2">
        <v>18.736141107686201</v>
      </c>
      <c r="BM1835" s="2">
        <v>18.247316096009001</v>
      </c>
      <c r="BN1835" s="2">
        <v>18.206348583146401</v>
      </c>
      <c r="BO1835" s="2">
        <v>17.255469475548299</v>
      </c>
      <c r="BP1835" s="2">
        <v>18.3118759179231</v>
      </c>
      <c r="BQ1835" s="2">
        <v>18.782814674790298</v>
      </c>
      <c r="BR1835" s="2">
        <v>18.457012157832999</v>
      </c>
      <c r="BS1835" s="2">
        <v>19.598981553978199</v>
      </c>
      <c r="BT1835" s="2">
        <v>17.531863217672701</v>
      </c>
      <c r="BU1835" s="2">
        <v>19.4866881369231</v>
      </c>
      <c r="BV1835" s="2">
        <v>19.5166973935778</v>
      </c>
      <c r="BW1835" s="2">
        <v>19.507631138707701</v>
      </c>
      <c r="BX1835" s="2">
        <v>18.3351759095525</v>
      </c>
      <c r="BY1835" s="2">
        <v>19.398009383711699</v>
      </c>
      <c r="BZ1835" s="2">
        <v>18.458692727070499</v>
      </c>
      <c r="CA1835" s="2">
        <v>21.413555210707599</v>
      </c>
      <c r="CB1835" s="2">
        <v>18.882056990697599</v>
      </c>
      <c r="CC1835" s="2">
        <v>19.765599539877499</v>
      </c>
      <c r="CD1835" s="2">
        <v>19.501376241721498</v>
      </c>
      <c r="CE1835" s="2">
        <v>19.9625575516488</v>
      </c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</row>
    <row r="1836" spans="1:97">
      <c r="A1836" s="2" t="s">
        <v>16156</v>
      </c>
      <c r="B1836" s="2">
        <v>224.23702</v>
      </c>
      <c r="C1836" s="2">
        <v>6.9359999999999999</v>
      </c>
      <c r="D1836" s="2" t="s">
        <v>84</v>
      </c>
      <c r="E1836" s="2" t="s">
        <v>16157</v>
      </c>
      <c r="F1836" s="2" t="s">
        <v>16158</v>
      </c>
      <c r="G1836" s="2">
        <v>9100</v>
      </c>
      <c r="H1836" s="3" t="str">
        <f>HYPERLINK("https://cloud.oebiotech.com/#/lm/network/9100", "https://cloud.oebiotech.com/#/lm/network/9100")</f>
        <v>https://cloud.oebiotech.com/#/lm/network/9100</v>
      </c>
      <c r="I1836" s="2"/>
      <c r="J1836" s="2"/>
      <c r="K1836" s="2" t="s">
        <v>16159</v>
      </c>
      <c r="L1836" s="2">
        <v>139591511</v>
      </c>
      <c r="M1836" s="2"/>
      <c r="N1836" s="2"/>
      <c r="O1836" s="2"/>
      <c r="P1836" s="2"/>
      <c r="Q1836" s="2"/>
      <c r="R1836" s="2"/>
      <c r="S1836" s="2"/>
      <c r="T1836" s="2" t="s">
        <v>16160</v>
      </c>
      <c r="U1836" s="2" t="s">
        <v>16161</v>
      </c>
      <c r="V1836" s="2" t="s">
        <v>166</v>
      </c>
      <c r="W1836" s="2" t="s">
        <v>167</v>
      </c>
      <c r="X1836" s="2" t="s">
        <v>16162</v>
      </c>
      <c r="Y1836" s="2" t="s">
        <v>169</v>
      </c>
      <c r="Z1836" s="2" t="s">
        <v>169</v>
      </c>
      <c r="AA1836" s="2" t="s">
        <v>16163</v>
      </c>
      <c r="AB1836" s="2" t="s">
        <v>8443</v>
      </c>
      <c r="AC1836" s="2">
        <v>39.39</v>
      </c>
      <c r="AD1836" s="2">
        <v>98.67</v>
      </c>
      <c r="AE1836" s="2">
        <v>0</v>
      </c>
      <c r="AF1836" s="2" t="s">
        <v>16164</v>
      </c>
      <c r="AG1836" s="2" t="s">
        <v>103</v>
      </c>
      <c r="AH1836" s="2" t="s">
        <v>16165</v>
      </c>
      <c r="AI1836" s="2">
        <v>1.34</v>
      </c>
      <c r="AJ1836" s="2">
        <v>20.727917987356399</v>
      </c>
      <c r="AK1836" s="2">
        <v>20.830571762301702</v>
      </c>
      <c r="AL1836" s="2">
        <v>20.938151829017301</v>
      </c>
      <c r="AM1836" s="2">
        <v>20.7995373875995</v>
      </c>
      <c r="AN1836" s="2">
        <v>20.866188594010801</v>
      </c>
      <c r="AO1836" s="2">
        <v>20.931118284433499</v>
      </c>
      <c r="AP1836" s="2">
        <v>20.7901324944566</v>
      </c>
      <c r="AQ1836" s="2">
        <v>20.934498159053</v>
      </c>
      <c r="AR1836" s="2">
        <v>14.1770823402567</v>
      </c>
      <c r="AS1836" s="2">
        <v>9.6233145402724691</v>
      </c>
      <c r="AT1836" s="2">
        <v>21.234281588209001</v>
      </c>
      <c r="AU1836" s="2">
        <v>21.546932153577799</v>
      </c>
      <c r="AV1836" s="2">
        <v>22.032530929108699</v>
      </c>
      <c r="AW1836" s="2">
        <v>21.308955773000999</v>
      </c>
      <c r="AX1836" s="2">
        <v>21.556518342576702</v>
      </c>
      <c r="AY1836" s="2">
        <v>21.9170390451801</v>
      </c>
      <c r="AZ1836" s="2">
        <v>20.228882875378201</v>
      </c>
      <c r="BA1836" s="2">
        <v>21.241909434552898</v>
      </c>
      <c r="BB1836" s="2">
        <v>17.369258748931799</v>
      </c>
      <c r="BC1836" s="2">
        <v>19.091391685787599</v>
      </c>
      <c r="BD1836" s="2">
        <v>20.7530013439561</v>
      </c>
      <c r="BE1836" s="2">
        <v>21.495408164560001</v>
      </c>
      <c r="BF1836" s="2">
        <v>20.271831604046898</v>
      </c>
      <c r="BG1836" s="2">
        <v>19.9220167461052</v>
      </c>
      <c r="BH1836" s="2">
        <v>21.2535583525326</v>
      </c>
      <c r="BI1836" s="2">
        <v>21.788438121961601</v>
      </c>
      <c r="BJ1836" s="2">
        <v>15.824566499233899</v>
      </c>
      <c r="BK1836" s="2">
        <v>21.909759186181098</v>
      </c>
      <c r="BL1836" s="2">
        <v>21.689770933391799</v>
      </c>
      <c r="BM1836" s="2">
        <v>21.6360393601068</v>
      </c>
      <c r="BN1836" s="2">
        <v>22.005927310533298</v>
      </c>
      <c r="BO1836" s="2">
        <v>21.398386887620301</v>
      </c>
      <c r="BP1836" s="2">
        <v>20.846444283397702</v>
      </c>
      <c r="BQ1836" s="2">
        <v>21.748550718534698</v>
      </c>
      <c r="BR1836" s="2">
        <v>17.296073319426299</v>
      </c>
      <c r="BS1836" s="2">
        <v>20.9679188373958</v>
      </c>
      <c r="BT1836" s="2">
        <v>19.497648304443899</v>
      </c>
      <c r="BU1836" s="2">
        <v>20.976872750899801</v>
      </c>
      <c r="BV1836" s="2">
        <v>15.272584226233599</v>
      </c>
      <c r="BW1836" s="2">
        <v>14.410789195150301</v>
      </c>
      <c r="BX1836" s="2">
        <v>20.047849836275599</v>
      </c>
      <c r="BY1836" s="2">
        <v>21.502915426695999</v>
      </c>
      <c r="BZ1836" s="2">
        <v>19.027170761572101</v>
      </c>
      <c r="CA1836" s="2">
        <v>14.8779886271268</v>
      </c>
      <c r="CB1836" s="2">
        <v>15.730793040985199</v>
      </c>
      <c r="CC1836" s="2">
        <v>22.229936249331299</v>
      </c>
      <c r="CD1836" s="2">
        <v>21.2166164365266</v>
      </c>
      <c r="CE1836" s="2">
        <v>20.949422658373901</v>
      </c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</row>
    <row r="1837" spans="1:97">
      <c r="A1837" s="2" t="s">
        <v>16166</v>
      </c>
      <c r="B1837" s="2">
        <v>287.05081999999999</v>
      </c>
      <c r="C1837" s="2">
        <v>5.0780000000000003</v>
      </c>
      <c r="D1837" s="2" t="s">
        <v>146</v>
      </c>
      <c r="E1837" s="2" t="s">
        <v>16167</v>
      </c>
      <c r="F1837" s="2" t="s">
        <v>16168</v>
      </c>
      <c r="G1837" s="2">
        <v>208911</v>
      </c>
      <c r="H1837" s="3" t="str">
        <f>HYPERLINK("https://cloud.oebiotech.com/#/lm/network/208911", "https://cloud.oebiotech.com/#/lm/network/208911")</f>
        <v>https://cloud.oebiotech.com/#/lm/network/208911</v>
      </c>
      <c r="I1837" s="2" t="s">
        <v>16169</v>
      </c>
      <c r="J1837" s="2"/>
      <c r="K1837" s="2"/>
      <c r="L1837" s="2">
        <v>169449</v>
      </c>
      <c r="M1837" s="2"/>
      <c r="N1837" s="2"/>
      <c r="O1837" s="2"/>
      <c r="P1837" s="2"/>
      <c r="Q1837" s="2"/>
      <c r="R1837" s="2"/>
      <c r="S1837" s="2"/>
      <c r="T1837" s="2" t="s">
        <v>16170</v>
      </c>
      <c r="U1837" s="2" t="s">
        <v>16171</v>
      </c>
      <c r="V1837" s="2" t="s">
        <v>385</v>
      </c>
      <c r="W1837" s="2" t="s">
        <v>386</v>
      </c>
      <c r="X1837" s="2" t="s">
        <v>8386</v>
      </c>
      <c r="Y1837" s="2" t="s">
        <v>388</v>
      </c>
      <c r="Z1837" s="2" t="s">
        <v>389</v>
      </c>
      <c r="AA1837" s="2" t="s">
        <v>8387</v>
      </c>
      <c r="AB1837" s="2" t="s">
        <v>8443</v>
      </c>
      <c r="AC1837" s="2">
        <v>39.39</v>
      </c>
      <c r="AD1837" s="2">
        <v>87.42</v>
      </c>
      <c r="AE1837" s="2">
        <v>0</v>
      </c>
      <c r="AF1837" s="2" t="s">
        <v>16172</v>
      </c>
      <c r="AG1837" s="2" t="s">
        <v>993</v>
      </c>
      <c r="AH1837" s="2" t="s">
        <v>16173</v>
      </c>
      <c r="AI1837" s="2">
        <v>-6.27</v>
      </c>
      <c r="AJ1837" s="2">
        <v>16.4946695180716</v>
      </c>
      <c r="AK1837" s="2">
        <v>16.379971583214399</v>
      </c>
      <c r="AL1837" s="2">
        <v>15.758960200305699</v>
      </c>
      <c r="AM1837" s="2">
        <v>15.9947544980649</v>
      </c>
      <c r="AN1837" s="2">
        <v>16.0227496778503</v>
      </c>
      <c r="AO1837" s="2">
        <v>16.512179038067</v>
      </c>
      <c r="AP1837" s="2">
        <v>16.289171288355998</v>
      </c>
      <c r="AQ1837" s="2">
        <v>14.973198685870299</v>
      </c>
      <c r="AR1837" s="2">
        <v>9.6233145402724691</v>
      </c>
      <c r="AS1837" s="2">
        <v>11.5647401688678</v>
      </c>
      <c r="AT1837" s="2">
        <v>15.886554195829801</v>
      </c>
      <c r="AU1837" s="2">
        <v>9.6233145402724691</v>
      </c>
      <c r="AV1837" s="2">
        <v>9.6233145402724691</v>
      </c>
      <c r="AW1837" s="2">
        <v>14.8311127400384</v>
      </c>
      <c r="AX1837" s="2">
        <v>17.056331512084199</v>
      </c>
      <c r="AY1837" s="2">
        <v>15.6323849548188</v>
      </c>
      <c r="AZ1837" s="2">
        <v>9.6233145402724691</v>
      </c>
      <c r="BA1837" s="2">
        <v>13.6702058898128</v>
      </c>
      <c r="BB1837" s="2">
        <v>15.459993781045201</v>
      </c>
      <c r="BC1837" s="2">
        <v>17.648134531305601</v>
      </c>
      <c r="BD1837" s="2">
        <v>17.044776067902799</v>
      </c>
      <c r="BE1837" s="2">
        <v>16.413307941011102</v>
      </c>
      <c r="BF1837" s="2">
        <v>17.792086984421399</v>
      </c>
      <c r="BG1837" s="2">
        <v>16.3522965926973</v>
      </c>
      <c r="BH1837" s="2">
        <v>13.4199957182551</v>
      </c>
      <c r="BI1837" s="2">
        <v>17.813115544497698</v>
      </c>
      <c r="BJ1837" s="2">
        <v>14.0751431723446</v>
      </c>
      <c r="BK1837" s="2">
        <v>11.6319182249711</v>
      </c>
      <c r="BL1837" s="2">
        <v>14.056091521181299</v>
      </c>
      <c r="BM1837" s="2">
        <v>12.3890989010706</v>
      </c>
      <c r="BN1837" s="2">
        <v>12.6050257107711</v>
      </c>
      <c r="BO1837" s="2">
        <v>15.345131457989799</v>
      </c>
      <c r="BP1837" s="2">
        <v>14.153450697505599</v>
      </c>
      <c r="BQ1837" s="2">
        <v>16.862849203940399</v>
      </c>
      <c r="BR1837" s="2">
        <v>17.311328271828799</v>
      </c>
      <c r="BS1837" s="2">
        <v>14.188796674013799</v>
      </c>
      <c r="BT1837" s="2">
        <v>13.858559977966401</v>
      </c>
      <c r="BU1837" s="2">
        <v>13.796172471841601</v>
      </c>
      <c r="BV1837" s="2">
        <v>9.6233145402724691</v>
      </c>
      <c r="BW1837" s="2">
        <v>16.306894047266201</v>
      </c>
      <c r="BX1837" s="2">
        <v>17.694489093476498</v>
      </c>
      <c r="BY1837" s="2">
        <v>16.725967832368401</v>
      </c>
      <c r="BZ1837" s="2">
        <v>17.4964134760578</v>
      </c>
      <c r="CA1837" s="2">
        <v>15.395794843956599</v>
      </c>
      <c r="CB1837" s="2">
        <v>15.2485409881245</v>
      </c>
      <c r="CC1837" s="2">
        <v>18.1512899128995</v>
      </c>
      <c r="CD1837" s="2">
        <v>12.7975338660098</v>
      </c>
      <c r="CE1837" s="2">
        <v>15.3107423485996</v>
      </c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</row>
    <row r="1838" spans="1:97">
      <c r="A1838" s="2" t="s">
        <v>16174</v>
      </c>
      <c r="B1838" s="2">
        <v>128.03426999999999</v>
      </c>
      <c r="C1838" s="2">
        <v>3.4020000000000001</v>
      </c>
      <c r="D1838" s="2" t="s">
        <v>84</v>
      </c>
      <c r="E1838" s="2" t="s">
        <v>16175</v>
      </c>
      <c r="F1838" s="2" t="s">
        <v>16176</v>
      </c>
      <c r="G1838" s="2">
        <v>58406</v>
      </c>
      <c r="H1838" s="3" t="str">
        <f>HYPERLINK("https://cloud.oebiotech.com/#/lm/network/58406", "https://cloud.oebiotech.com/#/lm/network/58406")</f>
        <v>https://cloud.oebiotech.com/#/lm/network/58406</v>
      </c>
      <c r="I1838" s="2" t="s">
        <v>16177</v>
      </c>
      <c r="J1838" s="2">
        <v>89879</v>
      </c>
      <c r="K1838" s="2"/>
      <c r="L1838" s="2">
        <v>55287504</v>
      </c>
      <c r="M1838" s="2"/>
      <c r="N1838" s="2"/>
      <c r="O1838" s="2"/>
      <c r="P1838" s="2"/>
      <c r="Q1838" s="2"/>
      <c r="R1838" s="2"/>
      <c r="S1838" s="2"/>
      <c r="T1838" s="2" t="s">
        <v>16178</v>
      </c>
      <c r="U1838" s="2" t="s">
        <v>16179</v>
      </c>
      <c r="V1838" s="2" t="s">
        <v>553</v>
      </c>
      <c r="W1838" s="2" t="s">
        <v>16180</v>
      </c>
      <c r="X1838" s="2" t="s">
        <v>16181</v>
      </c>
      <c r="Y1838" s="2" t="s">
        <v>556</v>
      </c>
      <c r="Z1838" s="2" t="s">
        <v>16182</v>
      </c>
      <c r="AA1838" s="2" t="s">
        <v>16183</v>
      </c>
      <c r="AB1838" s="2" t="s">
        <v>8443</v>
      </c>
      <c r="AC1838" s="2">
        <v>39.36</v>
      </c>
      <c r="AD1838" s="2">
        <v>96.8</v>
      </c>
      <c r="AE1838" s="2">
        <v>0</v>
      </c>
      <c r="AF1838" s="2" t="s">
        <v>5614</v>
      </c>
      <c r="AG1838" s="2" t="s">
        <v>103</v>
      </c>
      <c r="AH1838" s="2" t="s">
        <v>16184</v>
      </c>
      <c r="AI1838" s="2">
        <v>-0.78</v>
      </c>
      <c r="AJ1838" s="2">
        <v>17.651087298301402</v>
      </c>
      <c r="AK1838" s="2">
        <v>19.316799575754001</v>
      </c>
      <c r="AL1838" s="2">
        <v>19.4605516850981</v>
      </c>
      <c r="AM1838" s="2">
        <v>19.481113290839801</v>
      </c>
      <c r="AN1838" s="2">
        <v>19.1377767439125</v>
      </c>
      <c r="AO1838" s="2">
        <v>19.142175280482601</v>
      </c>
      <c r="AP1838" s="2">
        <v>19.266831985568199</v>
      </c>
      <c r="AQ1838" s="2">
        <v>19.194666163816901</v>
      </c>
      <c r="AR1838" s="2">
        <v>19.147521975491799</v>
      </c>
      <c r="AS1838" s="2">
        <v>19.249232641280699</v>
      </c>
      <c r="AT1838" s="2">
        <v>19.359828665691499</v>
      </c>
      <c r="AU1838" s="2">
        <v>19.239239470238601</v>
      </c>
      <c r="AV1838" s="2">
        <v>19.279990963012299</v>
      </c>
      <c r="AW1838" s="2">
        <v>19.424894580972801</v>
      </c>
      <c r="AX1838" s="2">
        <v>19.073958401050099</v>
      </c>
      <c r="AY1838" s="2">
        <v>19.437378360416201</v>
      </c>
      <c r="AZ1838" s="2">
        <v>19.439221964349802</v>
      </c>
      <c r="BA1838" s="2">
        <v>19.357739034449502</v>
      </c>
      <c r="BB1838" s="2">
        <v>19.338971510693298</v>
      </c>
      <c r="BC1838" s="2">
        <v>19.248503695940499</v>
      </c>
      <c r="BD1838" s="2">
        <v>19.298194251319199</v>
      </c>
      <c r="BE1838" s="2">
        <v>19.423968847275901</v>
      </c>
      <c r="BF1838" s="2">
        <v>19.349605132684299</v>
      </c>
      <c r="BG1838" s="2">
        <v>19.382772104596899</v>
      </c>
      <c r="BH1838" s="2">
        <v>19.214142643994801</v>
      </c>
      <c r="BI1838" s="2">
        <v>19.415432936383901</v>
      </c>
      <c r="BJ1838" s="2">
        <v>19.522271486462898</v>
      </c>
      <c r="BK1838" s="2">
        <v>19.2802283165924</v>
      </c>
      <c r="BL1838" s="2">
        <v>19.335465006054498</v>
      </c>
      <c r="BM1838" s="2">
        <v>19.354760923092702</v>
      </c>
      <c r="BN1838" s="2">
        <v>19.366555557444901</v>
      </c>
      <c r="BO1838" s="2">
        <v>19.188194884485601</v>
      </c>
      <c r="BP1838" s="2">
        <v>19.448566593248898</v>
      </c>
      <c r="BQ1838" s="2">
        <v>19.102986762987999</v>
      </c>
      <c r="BR1838" s="2">
        <v>19.3571721793456</v>
      </c>
      <c r="BS1838" s="2">
        <v>19.225182672424602</v>
      </c>
      <c r="BT1838" s="2">
        <v>19.585973697764199</v>
      </c>
      <c r="BU1838" s="2">
        <v>19.450774956715499</v>
      </c>
      <c r="BV1838" s="2">
        <v>19.4873909269797</v>
      </c>
      <c r="BW1838" s="2">
        <v>19.4741492315468</v>
      </c>
      <c r="BX1838" s="2">
        <v>19.418913523513901</v>
      </c>
      <c r="BY1838" s="2">
        <v>19.343746924774099</v>
      </c>
      <c r="BZ1838" s="2">
        <v>19.268584945715698</v>
      </c>
      <c r="CA1838" s="2">
        <v>19.240090004295499</v>
      </c>
      <c r="CB1838" s="2">
        <v>19.279345532764701</v>
      </c>
      <c r="CC1838" s="2">
        <v>19.4189787481263</v>
      </c>
      <c r="CD1838" s="2">
        <v>19.354006891812599</v>
      </c>
      <c r="CE1838" s="2">
        <v>19.413364431657101</v>
      </c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</row>
    <row r="1839" spans="1:97">
      <c r="A1839" s="2" t="s">
        <v>16185</v>
      </c>
      <c r="B1839" s="2">
        <v>229.15436</v>
      </c>
      <c r="C1839" s="2">
        <v>1.444</v>
      </c>
      <c r="D1839" s="2" t="s">
        <v>84</v>
      </c>
      <c r="E1839" s="2" t="s">
        <v>16186</v>
      </c>
      <c r="F1839" s="2" t="s">
        <v>16187</v>
      </c>
      <c r="G1839" s="2">
        <v>197068</v>
      </c>
      <c r="H1839" s="3" t="str">
        <f>HYPERLINK("https://cloud.oebiotech.com/#/lm/network/197068", "https://cloud.oebiotech.com/#/lm/network/197068")</f>
        <v>https://cloud.oebiotech.com/#/lm/network/197068</v>
      </c>
      <c r="I1839" s="2" t="s">
        <v>16188</v>
      </c>
      <c r="J1839" s="2"/>
      <c r="K1839" s="2"/>
      <c r="L1839" s="2">
        <v>134218393</v>
      </c>
      <c r="M1839" s="2"/>
      <c r="N1839" s="2"/>
      <c r="O1839" s="2"/>
      <c r="P1839" s="2"/>
      <c r="Q1839" s="2"/>
      <c r="R1839" s="2"/>
      <c r="S1839" s="2" t="s">
        <v>16189</v>
      </c>
      <c r="T1839" s="2" t="s">
        <v>16190</v>
      </c>
      <c r="U1839" s="2" t="s">
        <v>16191</v>
      </c>
      <c r="V1839" s="2" t="s">
        <v>115</v>
      </c>
      <c r="W1839" s="2" t="s">
        <v>116</v>
      </c>
      <c r="X1839" s="2" t="s">
        <v>117</v>
      </c>
      <c r="Y1839" s="2" t="s">
        <v>118</v>
      </c>
      <c r="Z1839" s="2" t="s">
        <v>119</v>
      </c>
      <c r="AA1839" s="2" t="s">
        <v>120</v>
      </c>
      <c r="AB1839" s="2" t="s">
        <v>8443</v>
      </c>
      <c r="AC1839" s="2">
        <v>39.36</v>
      </c>
      <c r="AD1839" s="2">
        <v>98.34</v>
      </c>
      <c r="AE1839" s="2">
        <v>0</v>
      </c>
      <c r="AF1839" s="2" t="s">
        <v>16192</v>
      </c>
      <c r="AG1839" s="2" t="s">
        <v>103</v>
      </c>
      <c r="AH1839" s="2" t="s">
        <v>16193</v>
      </c>
      <c r="AI1839" s="2">
        <v>1.31</v>
      </c>
      <c r="AJ1839" s="2">
        <v>22.5820823993378</v>
      </c>
      <c r="AK1839" s="2">
        <v>22.937732023990201</v>
      </c>
      <c r="AL1839" s="2">
        <v>22.704146198736399</v>
      </c>
      <c r="AM1839" s="2">
        <v>22.7116272479253</v>
      </c>
      <c r="AN1839" s="2">
        <v>22.922399884368101</v>
      </c>
      <c r="AO1839" s="2">
        <v>22.756755248223399</v>
      </c>
      <c r="AP1839" s="2">
        <v>23.232217674621801</v>
      </c>
      <c r="AQ1839" s="2">
        <v>23.112740781320099</v>
      </c>
      <c r="AR1839" s="2">
        <v>22.190236426143802</v>
      </c>
      <c r="AS1839" s="2">
        <v>22.025084267337601</v>
      </c>
      <c r="AT1839" s="2">
        <v>21.571209825658901</v>
      </c>
      <c r="AU1839" s="2">
        <v>21.628393415906199</v>
      </c>
      <c r="AV1839" s="2">
        <v>21.696054345486601</v>
      </c>
      <c r="AW1839" s="2">
        <v>22.853620083336999</v>
      </c>
      <c r="AX1839" s="2">
        <v>22.725486731821999</v>
      </c>
      <c r="AY1839" s="2">
        <v>22.0084255786089</v>
      </c>
      <c r="AZ1839" s="2">
        <v>21.8129138459364</v>
      </c>
      <c r="BA1839" s="2">
        <v>21.481935653274299</v>
      </c>
      <c r="BB1839" s="2">
        <v>21.7656823120703</v>
      </c>
      <c r="BC1839" s="2">
        <v>22.175848948081399</v>
      </c>
      <c r="BD1839" s="2">
        <v>21.276362702506901</v>
      </c>
      <c r="BE1839" s="2">
        <v>22.482548863124102</v>
      </c>
      <c r="BF1839" s="2">
        <v>24.848139519941</v>
      </c>
      <c r="BG1839" s="2">
        <v>22.2509074803624</v>
      </c>
      <c r="BH1839" s="2">
        <v>22.0335559788011</v>
      </c>
      <c r="BI1839" s="2">
        <v>23.202450060303502</v>
      </c>
      <c r="BJ1839" s="2">
        <v>22.413471678248602</v>
      </c>
      <c r="BK1839" s="2">
        <v>22.118102297163599</v>
      </c>
      <c r="BL1839" s="2">
        <v>21.9029939696449</v>
      </c>
      <c r="BM1839" s="2">
        <v>21.2707210825041</v>
      </c>
      <c r="BN1839" s="2">
        <v>22.062934616158699</v>
      </c>
      <c r="BO1839" s="2">
        <v>22.095049271026699</v>
      </c>
      <c r="BP1839" s="2">
        <v>22.161915039465001</v>
      </c>
      <c r="BQ1839" s="2">
        <v>22.038123216990201</v>
      </c>
      <c r="BR1839" s="2">
        <v>21.594969633741201</v>
      </c>
      <c r="BS1839" s="2">
        <v>21.4432479876609</v>
      </c>
      <c r="BT1839" s="2">
        <v>22.234908318673298</v>
      </c>
      <c r="BU1839" s="2">
        <v>21.977315201023501</v>
      </c>
      <c r="BV1839" s="2">
        <v>21.998088612514099</v>
      </c>
      <c r="BW1839" s="2">
        <v>21.471268828682799</v>
      </c>
      <c r="BX1839" s="2">
        <v>21.548685711683</v>
      </c>
      <c r="BY1839" s="2">
        <v>22.614839384897898</v>
      </c>
      <c r="BZ1839" s="2">
        <v>22.070922951959801</v>
      </c>
      <c r="CA1839" s="2">
        <v>25.137742238980099</v>
      </c>
      <c r="CB1839" s="2">
        <v>21.551259902827901</v>
      </c>
      <c r="CC1839" s="2">
        <v>22.112457633135701</v>
      </c>
      <c r="CD1839" s="2">
        <v>22.767278844175198</v>
      </c>
      <c r="CE1839" s="2">
        <v>22.026279329368499</v>
      </c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</row>
    <row r="1840" spans="1:97">
      <c r="A1840" s="2" t="s">
        <v>16194</v>
      </c>
      <c r="B1840" s="2">
        <v>126.06605</v>
      </c>
      <c r="C1840" s="2">
        <v>14.853</v>
      </c>
      <c r="D1840" s="2" t="s">
        <v>84</v>
      </c>
      <c r="E1840" s="2" t="s">
        <v>16195</v>
      </c>
      <c r="F1840" s="2" t="s">
        <v>16196</v>
      </c>
      <c r="G1840" s="2">
        <v>199473</v>
      </c>
      <c r="H1840" s="3" t="str">
        <f>HYPERLINK("https://cloud.oebiotech.com/#/lm/network/199473", "https://cloud.oebiotech.com/#/lm/network/199473")</f>
        <v>https://cloud.oebiotech.com/#/lm/network/199473</v>
      </c>
      <c r="I1840" s="2" t="s">
        <v>16197</v>
      </c>
      <c r="J1840" s="2">
        <v>404611</v>
      </c>
      <c r="K1840" s="2"/>
      <c r="L1840" s="2">
        <v>79143</v>
      </c>
      <c r="M1840" s="2"/>
      <c r="N1840" s="2"/>
      <c r="O1840" s="2"/>
      <c r="P1840" s="2">
        <v>39624</v>
      </c>
      <c r="Q1840" s="2"/>
      <c r="R1840" s="2"/>
      <c r="S1840" s="2"/>
      <c r="T1840" s="2" t="s">
        <v>16198</v>
      </c>
      <c r="U1840" s="2" t="s">
        <v>16199</v>
      </c>
      <c r="V1840" s="2" t="s">
        <v>553</v>
      </c>
      <c r="W1840" s="2" t="s">
        <v>6104</v>
      </c>
      <c r="X1840" s="2" t="s">
        <v>6105</v>
      </c>
      <c r="Y1840" s="2" t="s">
        <v>556</v>
      </c>
      <c r="Z1840" s="2" t="s">
        <v>6106</v>
      </c>
      <c r="AA1840" s="2" t="s">
        <v>6107</v>
      </c>
      <c r="AB1840" s="2" t="s">
        <v>8443</v>
      </c>
      <c r="AC1840" s="2">
        <v>39.35</v>
      </c>
      <c r="AD1840" s="2">
        <v>96.74</v>
      </c>
      <c r="AE1840" s="2">
        <v>0</v>
      </c>
      <c r="AF1840" s="2" t="s">
        <v>5614</v>
      </c>
      <c r="AG1840" s="2" t="s">
        <v>103</v>
      </c>
      <c r="AH1840" s="2" t="s">
        <v>16200</v>
      </c>
      <c r="AI1840" s="2">
        <v>0.79</v>
      </c>
      <c r="AJ1840" s="2">
        <v>23.050535465019902</v>
      </c>
      <c r="AK1840" s="2">
        <v>21.7547980989896</v>
      </c>
      <c r="AL1840" s="2">
        <v>22.128051122097599</v>
      </c>
      <c r="AM1840" s="2">
        <v>23.038287383703299</v>
      </c>
      <c r="AN1840" s="2">
        <v>23.1929680211285</v>
      </c>
      <c r="AO1840" s="2">
        <v>23.0440179949324</v>
      </c>
      <c r="AP1840" s="2">
        <v>22.976705548296501</v>
      </c>
      <c r="AQ1840" s="2">
        <v>22.6693423872909</v>
      </c>
      <c r="AR1840" s="2">
        <v>23.024178743605901</v>
      </c>
      <c r="AS1840" s="2">
        <v>21.212085625486399</v>
      </c>
      <c r="AT1840" s="2">
        <v>21.3873978857305</v>
      </c>
      <c r="AU1840" s="2">
        <v>23.373424920918701</v>
      </c>
      <c r="AV1840" s="2">
        <v>23.224058156474399</v>
      </c>
      <c r="AW1840" s="2">
        <v>23.1612210166187</v>
      </c>
      <c r="AX1840" s="2">
        <v>22.5596654483432</v>
      </c>
      <c r="AY1840" s="2">
        <v>21.542687991335001</v>
      </c>
      <c r="AZ1840" s="2">
        <v>22.991439779486299</v>
      </c>
      <c r="BA1840" s="2">
        <v>23.457160480195601</v>
      </c>
      <c r="BB1840" s="2">
        <v>22.560008127377301</v>
      </c>
      <c r="BC1840" s="2">
        <v>23.460027304832401</v>
      </c>
      <c r="BD1840" s="2">
        <v>23.214256324572698</v>
      </c>
      <c r="BE1840" s="2">
        <v>23.398382598595301</v>
      </c>
      <c r="BF1840" s="2">
        <v>22.9709110339824</v>
      </c>
      <c r="BG1840" s="2">
        <v>21.485922617090399</v>
      </c>
      <c r="BH1840" s="2">
        <v>22.3715134837358</v>
      </c>
      <c r="BI1840" s="2">
        <v>23.2717316023578</v>
      </c>
      <c r="BJ1840" s="2">
        <v>22.138446205955901</v>
      </c>
      <c r="BK1840" s="2">
        <v>23.328755183979801</v>
      </c>
      <c r="BL1840" s="2">
        <v>21.394340019326901</v>
      </c>
      <c r="BM1840" s="2">
        <v>21.784348440324901</v>
      </c>
      <c r="BN1840" s="2">
        <v>22.124831839468101</v>
      </c>
      <c r="BO1840" s="2">
        <v>23.248243499673102</v>
      </c>
      <c r="BP1840" s="2">
        <v>23.357695515240401</v>
      </c>
      <c r="BQ1840" s="2">
        <v>21.350872074704601</v>
      </c>
      <c r="BR1840" s="2">
        <v>23.1992804867856</v>
      </c>
      <c r="BS1840" s="2">
        <v>21.590857818544599</v>
      </c>
      <c r="BT1840" s="2">
        <v>23.040804728949599</v>
      </c>
      <c r="BU1840" s="2">
        <v>23.144047390617398</v>
      </c>
      <c r="BV1840" s="2">
        <v>22.8201087133714</v>
      </c>
      <c r="BW1840" s="2">
        <v>21.279319713402302</v>
      </c>
      <c r="BX1840" s="2">
        <v>23.195326640319099</v>
      </c>
      <c r="BY1840" s="2">
        <v>23.226238674082399</v>
      </c>
      <c r="BZ1840" s="2">
        <v>22.9007638221875</v>
      </c>
      <c r="CA1840" s="2">
        <v>23.773409283214701</v>
      </c>
      <c r="CB1840" s="2">
        <v>22.183678495279501</v>
      </c>
      <c r="CC1840" s="2">
        <v>21.5690742366541</v>
      </c>
      <c r="CD1840" s="2">
        <v>21.453758535123001</v>
      </c>
      <c r="CE1840" s="2">
        <v>21.851514323034699</v>
      </c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</row>
    <row r="1841" spans="1:97">
      <c r="A1841" s="2" t="s">
        <v>16201</v>
      </c>
      <c r="B1841" s="2">
        <v>100.00635</v>
      </c>
      <c r="C1841" s="2">
        <v>0.58599999999999997</v>
      </c>
      <c r="D1841" s="2" t="s">
        <v>84</v>
      </c>
      <c r="E1841" s="2" t="s">
        <v>16202</v>
      </c>
      <c r="F1841" s="2" t="s">
        <v>16203</v>
      </c>
      <c r="G1841" s="2">
        <v>46951</v>
      </c>
      <c r="H1841" s="3" t="str">
        <f>HYPERLINK("https://cloud.oebiotech.com/#/lm/network/46951", "https://cloud.oebiotech.com/#/lm/network/46951")</f>
        <v>https://cloud.oebiotech.com/#/lm/network/46951</v>
      </c>
      <c r="I1841" s="2" t="s">
        <v>16204</v>
      </c>
      <c r="J1841" s="2">
        <v>3223</v>
      </c>
      <c r="K1841" s="2"/>
      <c r="L1841" s="2">
        <v>1100</v>
      </c>
      <c r="M1841" s="2" t="s">
        <v>16205</v>
      </c>
      <c r="N1841" s="2" t="s">
        <v>16206</v>
      </c>
      <c r="O1841" s="2" t="s">
        <v>16207</v>
      </c>
      <c r="P1841" s="2">
        <v>48854</v>
      </c>
      <c r="Q1841" s="2"/>
      <c r="R1841" s="2"/>
      <c r="S1841" s="2" t="s">
        <v>16208</v>
      </c>
      <c r="T1841" s="2" t="s">
        <v>16209</v>
      </c>
      <c r="U1841" s="2" t="s">
        <v>16210</v>
      </c>
      <c r="V1841" s="2" t="s">
        <v>2756</v>
      </c>
      <c r="W1841" s="2" t="s">
        <v>2757</v>
      </c>
      <c r="X1841" s="2" t="s">
        <v>16211</v>
      </c>
      <c r="Y1841" s="2" t="s">
        <v>2759</v>
      </c>
      <c r="Z1841" s="2" t="s">
        <v>2760</v>
      </c>
      <c r="AA1841" s="2" t="s">
        <v>16212</v>
      </c>
      <c r="AB1841" s="2" t="s">
        <v>8443</v>
      </c>
      <c r="AC1841" s="2">
        <v>39.340000000000003</v>
      </c>
      <c r="AD1841" s="2">
        <v>96.68</v>
      </c>
      <c r="AE1841" s="2">
        <v>0</v>
      </c>
      <c r="AF1841" s="2" t="s">
        <v>5614</v>
      </c>
      <c r="AG1841" s="2" t="s">
        <v>132</v>
      </c>
      <c r="AH1841" s="2" t="s">
        <v>16213</v>
      </c>
      <c r="AI1841" s="2">
        <v>-0.6</v>
      </c>
      <c r="AJ1841" s="2">
        <v>20.097453001148001</v>
      </c>
      <c r="AK1841" s="2">
        <v>20.542310995241401</v>
      </c>
      <c r="AL1841" s="2">
        <v>20.417663075808999</v>
      </c>
      <c r="AM1841" s="2">
        <v>20.202495395481101</v>
      </c>
      <c r="AN1841" s="2">
        <v>19.792157000314699</v>
      </c>
      <c r="AO1841" s="2">
        <v>20.1413579112014</v>
      </c>
      <c r="AP1841" s="2">
        <v>19.759704838177399</v>
      </c>
      <c r="AQ1841" s="2">
        <v>20.312637997274201</v>
      </c>
      <c r="AR1841" s="2">
        <v>19.1955596936657</v>
      </c>
      <c r="AS1841" s="2">
        <v>19.826211557605799</v>
      </c>
      <c r="AT1841" s="2">
        <v>17.616547407975101</v>
      </c>
      <c r="AU1841" s="2">
        <v>19.5945926128827</v>
      </c>
      <c r="AV1841" s="2">
        <v>19.1588842892725</v>
      </c>
      <c r="AW1841" s="2">
        <v>19.6029981511535</v>
      </c>
      <c r="AX1841" s="2">
        <v>19.725917738470802</v>
      </c>
      <c r="AY1841" s="2">
        <v>19.3188099539849</v>
      </c>
      <c r="AZ1841" s="2">
        <v>18.826448217345298</v>
      </c>
      <c r="BA1841" s="2">
        <v>19.576327894298998</v>
      </c>
      <c r="BB1841" s="2">
        <v>20.025037718968999</v>
      </c>
      <c r="BC1841" s="2">
        <v>20.173107969946901</v>
      </c>
      <c r="BD1841" s="2">
        <v>18.870883985740999</v>
      </c>
      <c r="BE1841" s="2">
        <v>20.514574873393201</v>
      </c>
      <c r="BF1841" s="2">
        <v>19.607627810026401</v>
      </c>
      <c r="BG1841" s="2">
        <v>20.2859048357059</v>
      </c>
      <c r="BH1841" s="2">
        <v>19.981006379365201</v>
      </c>
      <c r="BI1841" s="2">
        <v>19.532842359390798</v>
      </c>
      <c r="BJ1841" s="2">
        <v>20.338389864815099</v>
      </c>
      <c r="BK1841" s="2">
        <v>19.963736374562199</v>
      </c>
      <c r="BL1841" s="2">
        <v>17.6274485297109</v>
      </c>
      <c r="BM1841" s="2">
        <v>19.595488057004999</v>
      </c>
      <c r="BN1841" s="2">
        <v>20.256577669318901</v>
      </c>
      <c r="BO1841" s="2">
        <v>19.0866351188347</v>
      </c>
      <c r="BP1841" s="2">
        <v>19.6176327191979</v>
      </c>
      <c r="BQ1841" s="2">
        <v>19.714763306233099</v>
      </c>
      <c r="BR1841" s="2">
        <v>20.277702523471302</v>
      </c>
      <c r="BS1841" s="2">
        <v>19.524079455039299</v>
      </c>
      <c r="BT1841" s="2">
        <v>20.283507338424101</v>
      </c>
      <c r="BU1841" s="2">
        <v>20.1019451213491</v>
      </c>
      <c r="BV1841" s="2">
        <v>20.246675278235799</v>
      </c>
      <c r="BW1841" s="2">
        <v>18.9381859294447</v>
      </c>
      <c r="BX1841" s="2">
        <v>19.377945525236498</v>
      </c>
      <c r="BY1841" s="2">
        <v>20.829256172669901</v>
      </c>
      <c r="BZ1841" s="2">
        <v>20.452308042612302</v>
      </c>
      <c r="CA1841" s="2">
        <v>18.6774741415799</v>
      </c>
      <c r="CB1841" s="2">
        <v>20.1162178798394</v>
      </c>
      <c r="CC1841" s="2">
        <v>19.035861638959499</v>
      </c>
      <c r="CD1841" s="2">
        <v>19.9298031023575</v>
      </c>
      <c r="CE1841" s="2">
        <v>19.574160968096699</v>
      </c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</row>
    <row r="1842" spans="1:97">
      <c r="A1842" s="2" t="s">
        <v>16214</v>
      </c>
      <c r="B1842" s="2">
        <v>130.04984999999999</v>
      </c>
      <c r="C1842" s="2">
        <v>4.282</v>
      </c>
      <c r="D1842" s="2" t="s">
        <v>84</v>
      </c>
      <c r="E1842" s="2" t="s">
        <v>16215</v>
      </c>
      <c r="F1842" s="2" t="s">
        <v>16216</v>
      </c>
      <c r="G1842" s="2">
        <v>82920</v>
      </c>
      <c r="H1842" s="3" t="str">
        <f>HYPERLINK("https://cloud.oebiotech.com/#/lm/network/82920", "https://cloud.oebiotech.com/#/lm/network/82920")</f>
        <v>https://cloud.oebiotech.com/#/lm/network/82920</v>
      </c>
      <c r="I1842" s="2" t="s">
        <v>16217</v>
      </c>
      <c r="J1842" s="2"/>
      <c r="K1842" s="2"/>
      <c r="L1842" s="2">
        <v>3081</v>
      </c>
      <c r="M1842" s="2"/>
      <c r="N1842" s="2"/>
      <c r="O1842" s="2"/>
      <c r="P1842" s="2"/>
      <c r="Q1842" s="2"/>
      <c r="R1842" s="2"/>
      <c r="S1842" s="2"/>
      <c r="T1842" s="2" t="s">
        <v>16218</v>
      </c>
      <c r="U1842" s="2" t="s">
        <v>16219</v>
      </c>
      <c r="V1842" s="2" t="s">
        <v>553</v>
      </c>
      <c r="W1842" s="2" t="s">
        <v>4891</v>
      </c>
      <c r="X1842" s="2" t="s">
        <v>11222</v>
      </c>
      <c r="Y1842" s="2" t="s">
        <v>556</v>
      </c>
      <c r="Z1842" s="2" t="s">
        <v>4893</v>
      </c>
      <c r="AA1842" s="2" t="s">
        <v>11223</v>
      </c>
      <c r="AB1842" s="2" t="s">
        <v>8443</v>
      </c>
      <c r="AC1842" s="2">
        <v>39.33</v>
      </c>
      <c r="AD1842" s="2">
        <v>96.67</v>
      </c>
      <c r="AE1842" s="2">
        <v>0</v>
      </c>
      <c r="AF1842" s="2" t="s">
        <v>5614</v>
      </c>
      <c r="AG1842" s="2" t="s">
        <v>103</v>
      </c>
      <c r="AH1842" s="2" t="s">
        <v>881</v>
      </c>
      <c r="AI1842" s="2">
        <v>0.77</v>
      </c>
      <c r="AJ1842" s="2">
        <v>20.831466395372601</v>
      </c>
      <c r="AK1842" s="2">
        <v>21.163868748497698</v>
      </c>
      <c r="AL1842" s="2">
        <v>21.2180716696583</v>
      </c>
      <c r="AM1842" s="2">
        <v>21.159363760612599</v>
      </c>
      <c r="AN1842" s="2">
        <v>21.208787693883</v>
      </c>
      <c r="AO1842" s="2">
        <v>20.872099844197699</v>
      </c>
      <c r="AP1842" s="2">
        <v>21.177017749963799</v>
      </c>
      <c r="AQ1842" s="2">
        <v>20.342852350016901</v>
      </c>
      <c r="AR1842" s="2">
        <v>20.710110449688401</v>
      </c>
      <c r="AS1842" s="2">
        <v>19.9405230572217</v>
      </c>
      <c r="AT1842" s="2">
        <v>20.781037788126302</v>
      </c>
      <c r="AU1842" s="2">
        <v>20.5251367277429</v>
      </c>
      <c r="AV1842" s="2">
        <v>21.658933306157401</v>
      </c>
      <c r="AW1842" s="2">
        <v>21.0932251311751</v>
      </c>
      <c r="AX1842" s="2">
        <v>21.206670187749701</v>
      </c>
      <c r="AY1842" s="2">
        <v>21.130128098512198</v>
      </c>
      <c r="AZ1842" s="2">
        <v>20.799016162806801</v>
      </c>
      <c r="BA1842" s="2">
        <v>21.149288738410601</v>
      </c>
      <c r="BB1842" s="2">
        <v>21.209979702364599</v>
      </c>
      <c r="BC1842" s="2">
        <v>20.049155824686402</v>
      </c>
      <c r="BD1842" s="2">
        <v>20.960463486296899</v>
      </c>
      <c r="BE1842" s="2">
        <v>22.062031844549601</v>
      </c>
      <c r="BF1842" s="2">
        <v>20.8776611268183</v>
      </c>
      <c r="BG1842" s="2">
        <v>21.1624361700901</v>
      </c>
      <c r="BH1842" s="2">
        <v>21.541749980547301</v>
      </c>
      <c r="BI1842" s="2">
        <v>21.771977627341201</v>
      </c>
      <c r="BJ1842" s="2">
        <v>21.570102665200402</v>
      </c>
      <c r="BK1842" s="2">
        <v>21.298723975088901</v>
      </c>
      <c r="BL1842" s="2">
        <v>21.379178994394898</v>
      </c>
      <c r="BM1842" s="2">
        <v>21.038360772577501</v>
      </c>
      <c r="BN1842" s="2">
        <v>20.7024336939077</v>
      </c>
      <c r="BO1842" s="2">
        <v>20.9952608097921</v>
      </c>
      <c r="BP1842" s="2">
        <v>21.2872429708261</v>
      </c>
      <c r="BQ1842" s="2">
        <v>20.9983729318446</v>
      </c>
      <c r="BR1842" s="2">
        <v>20.902802331090701</v>
      </c>
      <c r="BS1842" s="2">
        <v>21.447859986151801</v>
      </c>
      <c r="BT1842" s="2">
        <v>21.3515986755386</v>
      </c>
      <c r="BU1842" s="2">
        <v>20.887954468152302</v>
      </c>
      <c r="BV1842" s="2">
        <v>21.039317907518701</v>
      </c>
      <c r="BW1842" s="2">
        <v>20.743641419294399</v>
      </c>
      <c r="BX1842" s="2">
        <v>20.823345601262201</v>
      </c>
      <c r="BY1842" s="2">
        <v>22.335827118288201</v>
      </c>
      <c r="BZ1842" s="2">
        <v>21.235426132575501</v>
      </c>
      <c r="CA1842" s="2">
        <v>20.977065898747899</v>
      </c>
      <c r="CB1842" s="2">
        <v>20.944809957499601</v>
      </c>
      <c r="CC1842" s="2">
        <v>20.350026496264</v>
      </c>
      <c r="CD1842" s="2">
        <v>21.372427677309201</v>
      </c>
      <c r="CE1842" s="2">
        <v>21.132596252066101</v>
      </c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</row>
    <row r="1843" spans="1:97">
      <c r="A1843" s="2" t="s">
        <v>16220</v>
      </c>
      <c r="B1843" s="2">
        <v>517.12478999999996</v>
      </c>
      <c r="C1843" s="2">
        <v>0.74399999999999999</v>
      </c>
      <c r="D1843" s="2" t="s">
        <v>84</v>
      </c>
      <c r="E1843" s="2" t="s">
        <v>16221</v>
      </c>
      <c r="F1843" s="2" t="s">
        <v>16222</v>
      </c>
      <c r="G1843" s="2">
        <v>58025</v>
      </c>
      <c r="H1843" s="3" t="str">
        <f>HYPERLINK("https://cloud.oebiotech.com/#/lm/network/58025", "https://cloud.oebiotech.com/#/lm/network/58025")</f>
        <v>https://cloud.oebiotech.com/#/lm/network/58025</v>
      </c>
      <c r="I1843" s="2" t="s">
        <v>16223</v>
      </c>
      <c r="J1843" s="2">
        <v>89576</v>
      </c>
      <c r="K1843" s="2"/>
      <c r="L1843" s="2">
        <v>5320386</v>
      </c>
      <c r="M1843" s="2"/>
      <c r="N1843" s="2"/>
      <c r="O1843" s="2"/>
      <c r="P1843" s="2">
        <v>169358</v>
      </c>
      <c r="Q1843" s="2"/>
      <c r="R1843" s="2"/>
      <c r="S1843" s="2" t="s">
        <v>16224</v>
      </c>
      <c r="T1843" s="2" t="s">
        <v>16225</v>
      </c>
      <c r="U1843" s="2" t="s">
        <v>16226</v>
      </c>
      <c r="V1843" s="2" t="s">
        <v>385</v>
      </c>
      <c r="W1843" s="2" t="s">
        <v>11163</v>
      </c>
      <c r="X1843" s="2" t="s">
        <v>375</v>
      </c>
      <c r="Y1843" s="2" t="s">
        <v>388</v>
      </c>
      <c r="Z1843" s="2" t="s">
        <v>11164</v>
      </c>
      <c r="AA1843" s="2"/>
      <c r="AB1843" s="2" t="s">
        <v>8443</v>
      </c>
      <c r="AC1843" s="2">
        <v>39.32</v>
      </c>
      <c r="AD1843" s="2">
        <v>72.84</v>
      </c>
      <c r="AE1843" s="2">
        <v>35.51</v>
      </c>
      <c r="AF1843" s="2" t="s">
        <v>16227</v>
      </c>
      <c r="AG1843" s="2" t="s">
        <v>1578</v>
      </c>
      <c r="AH1843" s="2" t="s">
        <v>16228</v>
      </c>
      <c r="AI1843" s="2">
        <v>1.93</v>
      </c>
      <c r="AJ1843" s="2">
        <v>21.380454686528601</v>
      </c>
      <c r="AK1843" s="2">
        <v>21.700285126560399</v>
      </c>
      <c r="AL1843" s="2">
        <v>21.803278182873001</v>
      </c>
      <c r="AM1843" s="2">
        <v>22.0402035264562</v>
      </c>
      <c r="AN1843" s="2">
        <v>21.341221097686802</v>
      </c>
      <c r="AO1843" s="2">
        <v>21.666664664093801</v>
      </c>
      <c r="AP1843" s="2">
        <v>21.790097660561099</v>
      </c>
      <c r="AQ1843" s="2">
        <v>21.246704970155601</v>
      </c>
      <c r="AR1843" s="2">
        <v>21.7722655763829</v>
      </c>
      <c r="AS1843" s="2">
        <v>21.1934883452946</v>
      </c>
      <c r="AT1843" s="2">
        <v>21.971068332382998</v>
      </c>
      <c r="AU1843" s="2">
        <v>21.414525027237399</v>
      </c>
      <c r="AV1843" s="2">
        <v>21.8342197093354</v>
      </c>
      <c r="AW1843" s="2">
        <v>21.720637572506199</v>
      </c>
      <c r="AX1843" s="2">
        <v>21.308489860392701</v>
      </c>
      <c r="AY1843" s="2">
        <v>21.7683054641439</v>
      </c>
      <c r="AZ1843" s="2">
        <v>22.0875771432713</v>
      </c>
      <c r="BA1843" s="2">
        <v>21.514804261167701</v>
      </c>
      <c r="BB1843" s="2">
        <v>21.829680413821301</v>
      </c>
      <c r="BC1843" s="2">
        <v>21.224544586441102</v>
      </c>
      <c r="BD1843" s="2">
        <v>22.576776791620901</v>
      </c>
      <c r="BE1843" s="2">
        <v>21.6758056218655</v>
      </c>
      <c r="BF1843" s="2">
        <v>22.3159585743498</v>
      </c>
      <c r="BG1843" s="2">
        <v>20.844064438903501</v>
      </c>
      <c r="BH1843" s="2">
        <v>21.635047182487</v>
      </c>
      <c r="BI1843" s="2">
        <v>21.144320644198601</v>
      </c>
      <c r="BJ1843" s="2">
        <v>21.0876237400552</v>
      </c>
      <c r="BK1843" s="2">
        <v>22.5460079457755</v>
      </c>
      <c r="BL1843" s="2">
        <v>21.9919288835458</v>
      </c>
      <c r="BM1843" s="2">
        <v>21.608820312677</v>
      </c>
      <c r="BN1843" s="2">
        <v>21.519190725935701</v>
      </c>
      <c r="BO1843" s="2">
        <v>21.968008201527699</v>
      </c>
      <c r="BP1843" s="2">
        <v>21.546172500425499</v>
      </c>
      <c r="BQ1843" s="2">
        <v>21.320114478411099</v>
      </c>
      <c r="BR1843" s="2">
        <v>20.554278864364299</v>
      </c>
      <c r="BS1843" s="2">
        <v>22.203507688333399</v>
      </c>
      <c r="BT1843" s="2">
        <v>21.7023793178512</v>
      </c>
      <c r="BU1843" s="2">
        <v>21.2505924660035</v>
      </c>
      <c r="BV1843" s="2">
        <v>21.5952162389618</v>
      </c>
      <c r="BW1843" s="2">
        <v>22.1497079313447</v>
      </c>
      <c r="BX1843" s="2">
        <v>21.541099310188201</v>
      </c>
      <c r="BY1843" s="2">
        <v>21.436690159705801</v>
      </c>
      <c r="BZ1843" s="2">
        <v>21.674707133797298</v>
      </c>
      <c r="CA1843" s="2">
        <v>22.5997189422289</v>
      </c>
      <c r="CB1843" s="2">
        <v>21.640760873426299</v>
      </c>
      <c r="CC1843" s="2">
        <v>21.473980391041898</v>
      </c>
      <c r="CD1843" s="2">
        <v>21.352425740501101</v>
      </c>
      <c r="CE1843" s="2">
        <v>22.0273090820736</v>
      </c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</row>
    <row r="1844" spans="1:97">
      <c r="A1844" s="2" t="s">
        <v>16229</v>
      </c>
      <c r="B1844" s="2">
        <v>137.08085</v>
      </c>
      <c r="C1844" s="2">
        <v>5.2290000000000001</v>
      </c>
      <c r="D1844" s="2" t="s">
        <v>84</v>
      </c>
      <c r="E1844" s="2" t="s">
        <v>16230</v>
      </c>
      <c r="F1844" s="2" t="s">
        <v>16231</v>
      </c>
      <c r="G1844" s="2">
        <v>55808</v>
      </c>
      <c r="H1844" s="3" t="str">
        <f>HYPERLINK("https://cloud.oebiotech.com/#/lm/network/55808", "https://cloud.oebiotech.com/#/lm/network/55808")</f>
        <v>https://cloud.oebiotech.com/#/lm/network/55808</v>
      </c>
      <c r="I1844" s="2" t="s">
        <v>16232</v>
      </c>
      <c r="J1844" s="2">
        <v>87490</v>
      </c>
      <c r="K1844" s="2"/>
      <c r="L1844" s="2">
        <v>14865845</v>
      </c>
      <c r="M1844" s="2"/>
      <c r="N1844" s="2"/>
      <c r="O1844" s="2"/>
      <c r="P1844" s="2">
        <v>111506</v>
      </c>
      <c r="Q1844" s="2"/>
      <c r="R1844" s="2"/>
      <c r="S1844" s="2" t="s">
        <v>16233</v>
      </c>
      <c r="T1844" s="2" t="s">
        <v>16234</v>
      </c>
      <c r="U1844" s="2" t="s">
        <v>16235</v>
      </c>
      <c r="V1844" s="2" t="s">
        <v>338</v>
      </c>
      <c r="W1844" s="2" t="s">
        <v>339</v>
      </c>
      <c r="X1844" s="2" t="s">
        <v>3877</v>
      </c>
      <c r="Y1844" s="2" t="s">
        <v>341</v>
      </c>
      <c r="Z1844" s="2" t="s">
        <v>341</v>
      </c>
      <c r="AA1844" s="2" t="s">
        <v>3878</v>
      </c>
      <c r="AB1844" s="2" t="s">
        <v>8443</v>
      </c>
      <c r="AC1844" s="2">
        <v>39.299999999999997</v>
      </c>
      <c r="AD1844" s="2">
        <v>96.52</v>
      </c>
      <c r="AE1844" s="2">
        <v>0</v>
      </c>
      <c r="AF1844" s="2" t="s">
        <v>5614</v>
      </c>
      <c r="AG1844" s="2" t="s">
        <v>103</v>
      </c>
      <c r="AH1844" s="2" t="s">
        <v>16236</v>
      </c>
      <c r="AI1844" s="2">
        <v>0</v>
      </c>
      <c r="AJ1844" s="2">
        <v>17.287719863510599</v>
      </c>
      <c r="AK1844" s="2">
        <v>16.932907461344598</v>
      </c>
      <c r="AL1844" s="2">
        <v>16.370438809252299</v>
      </c>
      <c r="AM1844" s="2">
        <v>17.039686759507401</v>
      </c>
      <c r="AN1844" s="2">
        <v>17.002113754820702</v>
      </c>
      <c r="AO1844" s="2">
        <v>17.2454990424092</v>
      </c>
      <c r="AP1844" s="2">
        <v>16.757389228010801</v>
      </c>
      <c r="AQ1844" s="2">
        <v>17.339715370112501</v>
      </c>
      <c r="AR1844" s="2">
        <v>14.1810411924103</v>
      </c>
      <c r="AS1844" s="2">
        <v>14.1216306434494</v>
      </c>
      <c r="AT1844" s="2">
        <v>9.6233145402724691</v>
      </c>
      <c r="AU1844" s="2">
        <v>15.574198210216499</v>
      </c>
      <c r="AV1844" s="2">
        <v>15.9348062653886</v>
      </c>
      <c r="AW1844" s="2">
        <v>9.6233145402724691</v>
      </c>
      <c r="AX1844" s="2">
        <v>9.6233145402724691</v>
      </c>
      <c r="AY1844" s="2">
        <v>18.314813647482602</v>
      </c>
      <c r="AZ1844" s="2">
        <v>9.6233145402724691</v>
      </c>
      <c r="BA1844" s="2">
        <v>14.760179355258099</v>
      </c>
      <c r="BB1844" s="2">
        <v>15.543913593882699</v>
      </c>
      <c r="BC1844" s="2">
        <v>18.691806380850402</v>
      </c>
      <c r="BD1844" s="2">
        <v>18.804460731204799</v>
      </c>
      <c r="BE1844" s="2">
        <v>14.2272413836771</v>
      </c>
      <c r="BF1844" s="2">
        <v>18.400819119871201</v>
      </c>
      <c r="BG1844" s="2">
        <v>15.950954970465199</v>
      </c>
      <c r="BH1844" s="2">
        <v>17.222326441386301</v>
      </c>
      <c r="BI1844" s="2">
        <v>17.0432519393596</v>
      </c>
      <c r="BJ1844" s="2">
        <v>17.547571844939402</v>
      </c>
      <c r="BK1844" s="2">
        <v>16.847779565263298</v>
      </c>
      <c r="BL1844" s="2">
        <v>9.6233145402724691</v>
      </c>
      <c r="BM1844" s="2">
        <v>18.132211171805601</v>
      </c>
      <c r="BN1844" s="2">
        <v>18.315894993282399</v>
      </c>
      <c r="BO1844" s="2">
        <v>16.4036971143919</v>
      </c>
      <c r="BP1844" s="2">
        <v>15.823288614208799</v>
      </c>
      <c r="BQ1844" s="2">
        <v>13.9984114920279</v>
      </c>
      <c r="BR1844" s="2">
        <v>18.616590912199001</v>
      </c>
      <c r="BS1844" s="2">
        <v>17.6068327842925</v>
      </c>
      <c r="BT1844" s="2">
        <v>17.016517016835401</v>
      </c>
      <c r="BU1844" s="2">
        <v>15.3192963701854</v>
      </c>
      <c r="BV1844" s="2">
        <v>9.6233145402724691</v>
      </c>
      <c r="BW1844" s="2">
        <v>9.6233145402724691</v>
      </c>
      <c r="BX1844" s="2">
        <v>16.4540516787042</v>
      </c>
      <c r="BY1844" s="2">
        <v>16.429194055169202</v>
      </c>
      <c r="BZ1844" s="2">
        <v>15.355007933727</v>
      </c>
      <c r="CA1844" s="2">
        <v>14.6200697279202</v>
      </c>
      <c r="CB1844" s="2">
        <v>9.6233145402724691</v>
      </c>
      <c r="CC1844" s="2">
        <v>14.966252182982799</v>
      </c>
      <c r="CD1844" s="2">
        <v>15.4738858216227</v>
      </c>
      <c r="CE1844" s="2">
        <v>15.247391297176801</v>
      </c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</row>
    <row r="1845" spans="1:97">
      <c r="A1845" s="2" t="s">
        <v>16237</v>
      </c>
      <c r="B1845" s="2">
        <v>218.21126000000001</v>
      </c>
      <c r="C1845" s="2">
        <v>5.1680000000000001</v>
      </c>
      <c r="D1845" s="2" t="s">
        <v>84</v>
      </c>
      <c r="E1845" s="2" t="s">
        <v>16238</v>
      </c>
      <c r="F1845" s="2" t="s">
        <v>16239</v>
      </c>
      <c r="G1845" s="2">
        <v>151</v>
      </c>
      <c r="H1845" s="3" t="str">
        <f>HYPERLINK("https://cloud.oebiotech.com/#/lm/network/151", "https://cloud.oebiotech.com/#/lm/network/151")</f>
        <v>https://cloud.oebiotech.com/#/lm/network/151</v>
      </c>
      <c r="I1845" s="2"/>
      <c r="J1845" s="2">
        <v>4457</v>
      </c>
      <c r="K1845" s="2" t="s">
        <v>16240</v>
      </c>
      <c r="L1845" s="2">
        <v>5282634</v>
      </c>
      <c r="M1845" s="2"/>
      <c r="N1845" s="2"/>
      <c r="O1845" s="2"/>
      <c r="P1845" s="2"/>
      <c r="Q1845" s="2"/>
      <c r="R1845" s="2"/>
      <c r="S1845" s="2"/>
      <c r="T1845" s="2" t="s">
        <v>16241</v>
      </c>
      <c r="U1845" s="2" t="s">
        <v>16242</v>
      </c>
      <c r="V1845" s="2" t="s">
        <v>95</v>
      </c>
      <c r="W1845" s="2" t="s">
        <v>96</v>
      </c>
      <c r="X1845" s="2" t="s">
        <v>141</v>
      </c>
      <c r="Y1845" s="2" t="s">
        <v>98</v>
      </c>
      <c r="Z1845" s="2" t="s">
        <v>99</v>
      </c>
      <c r="AA1845" s="2" t="s">
        <v>142</v>
      </c>
      <c r="AB1845" s="2" t="s">
        <v>8443</v>
      </c>
      <c r="AC1845" s="2">
        <v>39.29</v>
      </c>
      <c r="AD1845" s="2">
        <v>96.46</v>
      </c>
      <c r="AE1845" s="2">
        <v>0</v>
      </c>
      <c r="AF1845" s="2" t="s">
        <v>16243</v>
      </c>
      <c r="AG1845" s="2" t="s">
        <v>132</v>
      </c>
      <c r="AH1845" s="2" t="s">
        <v>16244</v>
      </c>
      <c r="AI1845" s="2">
        <v>0.92</v>
      </c>
      <c r="AJ1845" s="2">
        <v>20.853707856055699</v>
      </c>
      <c r="AK1845" s="2">
        <v>20.839731968270598</v>
      </c>
      <c r="AL1845" s="2">
        <v>20.8288982959264</v>
      </c>
      <c r="AM1845" s="2">
        <v>20.990119327099201</v>
      </c>
      <c r="AN1845" s="2">
        <v>20.766426166556698</v>
      </c>
      <c r="AO1845" s="2">
        <v>20.798252818450901</v>
      </c>
      <c r="AP1845" s="2">
        <v>20.860811299346899</v>
      </c>
      <c r="AQ1845" s="2">
        <v>20.80105009123</v>
      </c>
      <c r="AR1845" s="2">
        <v>20.555405284995398</v>
      </c>
      <c r="AS1845" s="2">
        <v>20.361882021420801</v>
      </c>
      <c r="AT1845" s="2">
        <v>20.378884465209701</v>
      </c>
      <c r="AU1845" s="2">
        <v>19.8270270398422</v>
      </c>
      <c r="AV1845" s="2">
        <v>18.6330430344549</v>
      </c>
      <c r="AW1845" s="2">
        <v>20.231046278874501</v>
      </c>
      <c r="AX1845" s="2">
        <v>19.847633893414098</v>
      </c>
      <c r="AY1845" s="2">
        <v>19.384935779088799</v>
      </c>
      <c r="AZ1845" s="2">
        <v>19.247773941780199</v>
      </c>
      <c r="BA1845" s="2">
        <v>19.303602464560999</v>
      </c>
      <c r="BB1845" s="2">
        <v>20.295044663581599</v>
      </c>
      <c r="BC1845" s="2">
        <v>19.756250196208601</v>
      </c>
      <c r="BD1845" s="2">
        <v>20.191852851120299</v>
      </c>
      <c r="BE1845" s="2">
        <v>21.613048213001498</v>
      </c>
      <c r="BF1845" s="2">
        <v>20.689197774134001</v>
      </c>
      <c r="BG1845" s="2">
        <v>21.182586661450099</v>
      </c>
      <c r="BH1845" s="2">
        <v>19.934875199527799</v>
      </c>
      <c r="BI1845" s="2">
        <v>19.6022111916899</v>
      </c>
      <c r="BJ1845" s="2">
        <v>20.118618108687599</v>
      </c>
      <c r="BK1845" s="2">
        <v>20.1210503569012</v>
      </c>
      <c r="BL1845" s="2">
        <v>18.5173206429163</v>
      </c>
      <c r="BM1845" s="2">
        <v>19.025321299297399</v>
      </c>
      <c r="BN1845" s="2">
        <v>19.1044498215606</v>
      </c>
      <c r="BO1845" s="2">
        <v>19.360355938291399</v>
      </c>
      <c r="BP1845" s="2">
        <v>19.758603806660201</v>
      </c>
      <c r="BQ1845" s="2">
        <v>18.9142821414042</v>
      </c>
      <c r="BR1845" s="2">
        <v>19.352068326247199</v>
      </c>
      <c r="BS1845" s="2">
        <v>18.804009953121799</v>
      </c>
      <c r="BT1845" s="2">
        <v>18.7942578344576</v>
      </c>
      <c r="BU1845" s="2">
        <v>18.760220199135102</v>
      </c>
      <c r="BV1845" s="2">
        <v>19.653645660740001</v>
      </c>
      <c r="BW1845" s="2">
        <v>18.9045798528261</v>
      </c>
      <c r="BX1845" s="2">
        <v>19.345246026699702</v>
      </c>
      <c r="BY1845" s="2">
        <v>21.7970266730342</v>
      </c>
      <c r="BZ1845" s="2">
        <v>19.207279384936999</v>
      </c>
      <c r="CA1845" s="2">
        <v>18.8272175820338</v>
      </c>
      <c r="CB1845" s="2">
        <v>19.161306967461101</v>
      </c>
      <c r="CC1845" s="2">
        <v>19.496670776889001</v>
      </c>
      <c r="CD1845" s="2">
        <v>19.637582483763101</v>
      </c>
      <c r="CE1845" s="2">
        <v>19.186899855165201</v>
      </c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</row>
    <row r="1846" spans="1:97">
      <c r="A1846" s="2" t="s">
        <v>16245</v>
      </c>
      <c r="B1846" s="2">
        <v>142.06119000000001</v>
      </c>
      <c r="C1846" s="2">
        <v>14.92</v>
      </c>
      <c r="D1846" s="2" t="s">
        <v>84</v>
      </c>
      <c r="E1846" s="2" t="s">
        <v>16246</v>
      </c>
      <c r="F1846" s="2" t="s">
        <v>16247</v>
      </c>
      <c r="G1846" s="2">
        <v>206033</v>
      </c>
      <c r="H1846" s="3" t="str">
        <f>HYPERLINK("https://cloud.oebiotech.com/#/lm/network/206033", "https://cloud.oebiotech.com/#/lm/network/206033")</f>
        <v>https://cloud.oebiotech.com/#/lm/network/206033</v>
      </c>
      <c r="I1846" s="2" t="s">
        <v>16248</v>
      </c>
      <c r="J1846" s="2"/>
      <c r="K1846" s="2"/>
      <c r="L1846" s="2"/>
      <c r="M1846" s="2"/>
      <c r="N1846" s="2"/>
      <c r="O1846" s="2"/>
      <c r="P1846" s="2">
        <v>141155</v>
      </c>
      <c r="Q1846" s="2"/>
      <c r="R1846" s="2"/>
      <c r="S1846" s="2"/>
      <c r="T1846" s="2" t="s">
        <v>16249</v>
      </c>
      <c r="U1846" s="2" t="s">
        <v>16250</v>
      </c>
      <c r="V1846" s="2" t="s">
        <v>553</v>
      </c>
      <c r="W1846" s="2" t="s">
        <v>554</v>
      </c>
      <c r="X1846" s="2" t="s">
        <v>555</v>
      </c>
      <c r="Y1846" s="2" t="s">
        <v>556</v>
      </c>
      <c r="Z1846" s="2" t="s">
        <v>557</v>
      </c>
      <c r="AA1846" s="2" t="s">
        <v>558</v>
      </c>
      <c r="AB1846" s="2" t="s">
        <v>8443</v>
      </c>
      <c r="AC1846" s="2">
        <v>39.29</v>
      </c>
      <c r="AD1846" s="2">
        <v>96.44</v>
      </c>
      <c r="AE1846" s="2">
        <v>0</v>
      </c>
      <c r="AF1846" s="2" t="s">
        <v>5614</v>
      </c>
      <c r="AG1846" s="2" t="s">
        <v>103</v>
      </c>
      <c r="AH1846" s="2" t="s">
        <v>16251</v>
      </c>
      <c r="AI1846" s="2">
        <v>-0.7</v>
      </c>
      <c r="AJ1846" s="2">
        <v>21.614781912733001</v>
      </c>
      <c r="AK1846" s="2">
        <v>21.4824745172787</v>
      </c>
      <c r="AL1846" s="2">
        <v>21.354947691130299</v>
      </c>
      <c r="AM1846" s="2">
        <v>21.5667801405307</v>
      </c>
      <c r="AN1846" s="2">
        <v>21.343537974252499</v>
      </c>
      <c r="AO1846" s="2">
        <v>19.875907791318902</v>
      </c>
      <c r="AP1846" s="2">
        <v>21.385920018337099</v>
      </c>
      <c r="AQ1846" s="2">
        <v>21.4359346029749</v>
      </c>
      <c r="AR1846" s="2">
        <v>21.6326470379916</v>
      </c>
      <c r="AS1846" s="2">
        <v>20.130177543089498</v>
      </c>
      <c r="AT1846" s="2">
        <v>21.477980953368601</v>
      </c>
      <c r="AU1846" s="2">
        <v>21.4536493946378</v>
      </c>
      <c r="AV1846" s="2">
        <v>21.603960526380401</v>
      </c>
      <c r="AW1846" s="2">
        <v>21.567997802960299</v>
      </c>
      <c r="AX1846" s="2">
        <v>19.240186107930899</v>
      </c>
      <c r="AY1846" s="2">
        <v>21.682080933629202</v>
      </c>
      <c r="AZ1846" s="2">
        <v>21.584286537707399</v>
      </c>
      <c r="BA1846" s="2">
        <v>20.172841311398301</v>
      </c>
      <c r="BB1846" s="2">
        <v>19.575037169143201</v>
      </c>
      <c r="BC1846" s="2">
        <v>19.188402624657101</v>
      </c>
      <c r="BD1846" s="2">
        <v>20.539351487455299</v>
      </c>
      <c r="BE1846" s="2">
        <v>21.729091486051299</v>
      </c>
      <c r="BF1846" s="2">
        <v>21.354425884996299</v>
      </c>
      <c r="BG1846" s="2">
        <v>19.4861052030911</v>
      </c>
      <c r="BH1846" s="2">
        <v>19.957765905882098</v>
      </c>
      <c r="BI1846" s="2">
        <v>21.612793737346699</v>
      </c>
      <c r="BJ1846" s="2">
        <v>21.610419269923799</v>
      </c>
      <c r="BK1846" s="2">
        <v>21.4200459885427</v>
      </c>
      <c r="BL1846" s="2">
        <v>21.633300332412599</v>
      </c>
      <c r="BM1846" s="2">
        <v>21.380298648753399</v>
      </c>
      <c r="BN1846" s="2">
        <v>20.017242677392399</v>
      </c>
      <c r="BO1846" s="2">
        <v>20.207852039804401</v>
      </c>
      <c r="BP1846" s="2">
        <v>19.2651993950732</v>
      </c>
      <c r="BQ1846" s="2">
        <v>20.760338662582601</v>
      </c>
      <c r="BR1846" s="2">
        <v>20.2019266506143</v>
      </c>
      <c r="BS1846" s="2">
        <v>21.598117275460201</v>
      </c>
      <c r="BT1846" s="2">
        <v>20.169268976215601</v>
      </c>
      <c r="BU1846" s="2">
        <v>19.826212069763901</v>
      </c>
      <c r="BV1846" s="2">
        <v>21.441960354495802</v>
      </c>
      <c r="BW1846" s="2">
        <v>21.454523843680398</v>
      </c>
      <c r="BX1846" s="2">
        <v>21.3728538718896</v>
      </c>
      <c r="BY1846" s="2">
        <v>21.521982339924101</v>
      </c>
      <c r="BZ1846" s="2">
        <v>21.621030899506898</v>
      </c>
      <c r="CA1846" s="2">
        <v>20.010202380429199</v>
      </c>
      <c r="CB1846" s="2">
        <v>21.5868230012839</v>
      </c>
      <c r="CC1846" s="2">
        <v>20.722667561552601</v>
      </c>
      <c r="CD1846" s="2">
        <v>20.426607217741601</v>
      </c>
      <c r="CE1846" s="2">
        <v>21.342780287704599</v>
      </c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</row>
    <row r="1847" spans="1:97">
      <c r="A1847" s="2" t="s">
        <v>16252</v>
      </c>
      <c r="B1847" s="2">
        <v>226.98731000000001</v>
      </c>
      <c r="C1847" s="2">
        <v>1.27</v>
      </c>
      <c r="D1847" s="2" t="s">
        <v>146</v>
      </c>
      <c r="E1847" s="2" t="s">
        <v>16253</v>
      </c>
      <c r="F1847" s="2" t="s">
        <v>16254</v>
      </c>
      <c r="G1847" s="2">
        <v>35237</v>
      </c>
      <c r="H1847" s="3" t="str">
        <f>HYPERLINK("https://cloud.oebiotech.com/#/lm/network/35237", "https://cloud.oebiotech.com/#/lm/network/35237")</f>
        <v>https://cloud.oebiotech.com/#/lm/network/35237</v>
      </c>
      <c r="I1847" s="2" t="s">
        <v>16255</v>
      </c>
      <c r="J1847" s="2">
        <v>6016</v>
      </c>
      <c r="K1847" s="2" t="s">
        <v>16256</v>
      </c>
      <c r="L1847" s="2">
        <v>647</v>
      </c>
      <c r="M1847" s="2" t="s">
        <v>16257</v>
      </c>
      <c r="N1847" s="2" t="s">
        <v>16258</v>
      </c>
      <c r="O1847" s="2" t="s">
        <v>16259</v>
      </c>
      <c r="P1847" s="2">
        <v>16057</v>
      </c>
      <c r="Q1847" s="2" t="s">
        <v>16260</v>
      </c>
      <c r="R1847" s="2" t="s">
        <v>16261</v>
      </c>
      <c r="S1847" s="2" t="s">
        <v>16262</v>
      </c>
      <c r="T1847" s="2" t="s">
        <v>16263</v>
      </c>
      <c r="U1847" s="2" t="s">
        <v>16264</v>
      </c>
      <c r="V1847" s="2" t="s">
        <v>95</v>
      </c>
      <c r="W1847" s="2" t="s">
        <v>180</v>
      </c>
      <c r="X1847" s="2" t="s">
        <v>16265</v>
      </c>
      <c r="Y1847" s="2" t="s">
        <v>98</v>
      </c>
      <c r="Z1847" s="2" t="s">
        <v>182</v>
      </c>
      <c r="AA1847" s="2" t="s">
        <v>16266</v>
      </c>
      <c r="AB1847" s="2" t="s">
        <v>8443</v>
      </c>
      <c r="AC1847" s="2">
        <v>39.28</v>
      </c>
      <c r="AD1847" s="2">
        <v>96.4</v>
      </c>
      <c r="AE1847" s="2">
        <v>0</v>
      </c>
      <c r="AF1847" s="2" t="s">
        <v>5614</v>
      </c>
      <c r="AG1847" s="2" t="s">
        <v>993</v>
      </c>
      <c r="AH1847" s="2" t="s">
        <v>16267</v>
      </c>
      <c r="AI1847" s="2">
        <v>0.44</v>
      </c>
      <c r="AJ1847" s="2">
        <v>19.057060820326601</v>
      </c>
      <c r="AK1847" s="2">
        <v>19.054206040242999</v>
      </c>
      <c r="AL1847" s="2">
        <v>19.308755367986802</v>
      </c>
      <c r="AM1847" s="2">
        <v>18.290956371442601</v>
      </c>
      <c r="AN1847" s="2">
        <v>19.139027797841901</v>
      </c>
      <c r="AO1847" s="2">
        <v>18.265877937514102</v>
      </c>
      <c r="AP1847" s="2">
        <v>19.1832513343359</v>
      </c>
      <c r="AQ1847" s="2">
        <v>19.260416290206798</v>
      </c>
      <c r="AR1847" s="2">
        <v>18.968442788896802</v>
      </c>
      <c r="AS1847" s="2">
        <v>17.320136381955901</v>
      </c>
      <c r="AT1847" s="2">
        <v>19.0113413812626</v>
      </c>
      <c r="AU1847" s="2">
        <v>18.118548610268899</v>
      </c>
      <c r="AV1847" s="2">
        <v>18.939184214214102</v>
      </c>
      <c r="AW1847" s="2">
        <v>18.9856895640788</v>
      </c>
      <c r="AX1847" s="2">
        <v>18.1698672752661</v>
      </c>
      <c r="AY1847" s="2">
        <v>19.002593339988199</v>
      </c>
      <c r="AZ1847" s="2">
        <v>19.086337783448499</v>
      </c>
      <c r="BA1847" s="2">
        <v>18.153206931886899</v>
      </c>
      <c r="BB1847" s="2">
        <v>19.264973021186801</v>
      </c>
      <c r="BC1847" s="2">
        <v>18.8301632607938</v>
      </c>
      <c r="BD1847" s="2">
        <v>18.653369366780399</v>
      </c>
      <c r="BE1847" s="2">
        <v>19.175932194355902</v>
      </c>
      <c r="BF1847" s="2">
        <v>19.056837431791799</v>
      </c>
      <c r="BG1847" s="2">
        <v>18.953042895501699</v>
      </c>
      <c r="BH1847" s="2">
        <v>17.2980020483148</v>
      </c>
      <c r="BI1847" s="2">
        <v>17.897093147351399</v>
      </c>
      <c r="BJ1847" s="2">
        <v>19.044091498218702</v>
      </c>
      <c r="BK1847" s="2">
        <v>18.2608131115045</v>
      </c>
      <c r="BL1847" s="2">
        <v>19.134500572902901</v>
      </c>
      <c r="BM1847" s="2">
        <v>19.3123278908351</v>
      </c>
      <c r="BN1847" s="2">
        <v>19.040237592792501</v>
      </c>
      <c r="BO1847" s="2">
        <v>18.651936246834499</v>
      </c>
      <c r="BP1847" s="2">
        <v>18.950712908708699</v>
      </c>
      <c r="BQ1847" s="2">
        <v>19.020357835652899</v>
      </c>
      <c r="BR1847" s="2">
        <v>18.963024097788299</v>
      </c>
      <c r="BS1847" s="2">
        <v>19.034551816275702</v>
      </c>
      <c r="BT1847" s="2">
        <v>19.1244059132428</v>
      </c>
      <c r="BU1847" s="2">
        <v>18.255452325072799</v>
      </c>
      <c r="BV1847" s="2">
        <v>18.642842847906099</v>
      </c>
      <c r="BW1847" s="2">
        <v>18.8029965671886</v>
      </c>
      <c r="BX1847" s="2">
        <v>19.246392382915801</v>
      </c>
      <c r="BY1847" s="2">
        <v>19.046016382936401</v>
      </c>
      <c r="BZ1847" s="2">
        <v>18.475585292887502</v>
      </c>
      <c r="CA1847" s="2">
        <v>18.948390475096399</v>
      </c>
      <c r="CB1847" s="2">
        <v>18.865466056868701</v>
      </c>
      <c r="CC1847" s="2">
        <v>17.585263397703699</v>
      </c>
      <c r="CD1847" s="2">
        <v>18.819098487875799</v>
      </c>
      <c r="CE1847" s="2">
        <v>19.005131438505199</v>
      </c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</row>
    <row r="1848" spans="1:97">
      <c r="A1848" s="2" t="s">
        <v>16268</v>
      </c>
      <c r="B1848" s="2">
        <v>111.09180000000001</v>
      </c>
      <c r="C1848" s="2">
        <v>14.808999999999999</v>
      </c>
      <c r="D1848" s="2" t="s">
        <v>84</v>
      </c>
      <c r="E1848" s="2" t="s">
        <v>16269</v>
      </c>
      <c r="F1848" s="2" t="s">
        <v>16270</v>
      </c>
      <c r="G1848" s="2">
        <v>201353</v>
      </c>
      <c r="H1848" s="3" t="str">
        <f>HYPERLINK("https://cloud.oebiotech.com/#/lm/network/201353", "https://cloud.oebiotech.com/#/lm/network/201353")</f>
        <v>https://cloud.oebiotech.com/#/lm/network/201353</v>
      </c>
      <c r="I1848" s="2" t="s">
        <v>16271</v>
      </c>
      <c r="J1848" s="2"/>
      <c r="K1848" s="2"/>
      <c r="L1848" s="2">
        <v>201990</v>
      </c>
      <c r="M1848" s="2"/>
      <c r="N1848" s="2"/>
      <c r="O1848" s="2"/>
      <c r="P1848" s="2"/>
      <c r="Q1848" s="2"/>
      <c r="R1848" s="2"/>
      <c r="S1848" s="2"/>
      <c r="T1848" s="2" t="s">
        <v>16272</v>
      </c>
      <c r="U1848" s="2" t="s">
        <v>16273</v>
      </c>
      <c r="V1848" s="2" t="s">
        <v>553</v>
      </c>
      <c r="W1848" s="2" t="s">
        <v>554</v>
      </c>
      <c r="X1848" s="2" t="s">
        <v>15865</v>
      </c>
      <c r="Y1848" s="2" t="s">
        <v>556</v>
      </c>
      <c r="Z1848" s="2" t="s">
        <v>557</v>
      </c>
      <c r="AA1848" s="2" t="s">
        <v>15866</v>
      </c>
      <c r="AB1848" s="2" t="s">
        <v>8443</v>
      </c>
      <c r="AC1848" s="2">
        <v>39.28</v>
      </c>
      <c r="AD1848" s="2">
        <v>96.41</v>
      </c>
      <c r="AE1848" s="2">
        <v>0</v>
      </c>
      <c r="AF1848" s="2" t="s">
        <v>5614</v>
      </c>
      <c r="AG1848" s="2" t="s">
        <v>103</v>
      </c>
      <c r="AH1848" s="2" t="s">
        <v>16274</v>
      </c>
      <c r="AI1848" s="2">
        <v>-0.9</v>
      </c>
      <c r="AJ1848" s="2">
        <v>23.529833619882002</v>
      </c>
      <c r="AK1848" s="2">
        <v>23.47227475259</v>
      </c>
      <c r="AL1848" s="2">
        <v>22.623159051849299</v>
      </c>
      <c r="AM1848" s="2">
        <v>23.3945311666333</v>
      </c>
      <c r="AN1848" s="2">
        <v>22.986171565892199</v>
      </c>
      <c r="AO1848" s="2">
        <v>23.163311412589099</v>
      </c>
      <c r="AP1848" s="2">
        <v>22.560812299200599</v>
      </c>
      <c r="AQ1848" s="2">
        <v>23.067877468444401</v>
      </c>
      <c r="AR1848" s="2">
        <v>23.694154872148101</v>
      </c>
      <c r="AS1848" s="2">
        <v>22.5557694405415</v>
      </c>
      <c r="AT1848" s="2">
        <v>22.096440084288702</v>
      </c>
      <c r="AU1848" s="2">
        <v>23.3085412066327</v>
      </c>
      <c r="AV1848" s="2">
        <v>23.347939380760302</v>
      </c>
      <c r="AW1848" s="2">
        <v>23.5067900908779</v>
      </c>
      <c r="AX1848" s="2">
        <v>23.6893743104641</v>
      </c>
      <c r="AY1848" s="2">
        <v>22.1762100632887</v>
      </c>
      <c r="AZ1848" s="2">
        <v>22.882378449320498</v>
      </c>
      <c r="BA1848" s="2">
        <v>23.468601322405998</v>
      </c>
      <c r="BB1848" s="2">
        <v>23.559294910412401</v>
      </c>
      <c r="BC1848" s="2">
        <v>22.955089301641099</v>
      </c>
      <c r="BD1848" s="2">
        <v>21.3289916444832</v>
      </c>
      <c r="BE1848" s="2">
        <v>23.3674900260763</v>
      </c>
      <c r="BF1848" s="2">
        <v>23.287748684569699</v>
      </c>
      <c r="BG1848" s="2">
        <v>23.334291252258801</v>
      </c>
      <c r="BH1848" s="2">
        <v>22.6603950175111</v>
      </c>
      <c r="BI1848" s="2">
        <v>23.299472110646299</v>
      </c>
      <c r="BJ1848" s="2">
        <v>23.6199506874073</v>
      </c>
      <c r="BK1848" s="2">
        <v>23.0381011506968</v>
      </c>
      <c r="BL1848" s="2">
        <v>23.0161346958043</v>
      </c>
      <c r="BM1848" s="2">
        <v>23.152984310084999</v>
      </c>
      <c r="BN1848" s="2">
        <v>23.297580743947801</v>
      </c>
      <c r="BO1848" s="2">
        <v>23.784563791714401</v>
      </c>
      <c r="BP1848" s="2">
        <v>23.143976114938798</v>
      </c>
      <c r="BQ1848" s="2">
        <v>22.6977766446484</v>
      </c>
      <c r="BR1848" s="2">
        <v>23.321264027130599</v>
      </c>
      <c r="BS1848" s="2">
        <v>23.601406034324999</v>
      </c>
      <c r="BT1848" s="2">
        <v>22.455096763413099</v>
      </c>
      <c r="BU1848" s="2">
        <v>23.365171162984002</v>
      </c>
      <c r="BV1848" s="2">
        <v>23.389905950568501</v>
      </c>
      <c r="BW1848" s="2">
        <v>22.9543024572808</v>
      </c>
      <c r="BX1848" s="2">
        <v>21.970954029049299</v>
      </c>
      <c r="BY1848" s="2">
        <v>22.985763734297901</v>
      </c>
      <c r="BZ1848" s="2">
        <v>22.885455164066698</v>
      </c>
      <c r="CA1848" s="2">
        <v>23.098211344328899</v>
      </c>
      <c r="CB1848" s="2">
        <v>22.4221796902101</v>
      </c>
      <c r="CC1848" s="2">
        <v>21.8199881663095</v>
      </c>
      <c r="CD1848" s="2">
        <v>23.116533318082801</v>
      </c>
      <c r="CE1848" s="2">
        <v>23.189330061245201</v>
      </c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</row>
    <row r="1849" spans="1:97">
      <c r="A1849" s="2" t="s">
        <v>16275</v>
      </c>
      <c r="B1849" s="2">
        <v>504.30531000000002</v>
      </c>
      <c r="C1849" s="2">
        <v>11.332000000000001</v>
      </c>
      <c r="D1849" s="2" t="s">
        <v>84</v>
      </c>
      <c r="E1849" s="2" t="s">
        <v>16276</v>
      </c>
      <c r="F1849" s="2"/>
      <c r="G1849" s="2">
        <v>594707</v>
      </c>
      <c r="H1849" s="3" t="str">
        <f>HYPERLINK("https://cloud.oebiotech.com/#/lm/network/594707", "https://cloud.oebiotech.com/#/lm/network/594707")</f>
        <v>https://cloud.oebiotech.com/#/lm/network/594707</v>
      </c>
      <c r="I1849" s="2"/>
      <c r="J1849" s="2"/>
      <c r="K1849" s="2"/>
      <c r="L1849" s="2">
        <v>165415602</v>
      </c>
      <c r="M1849" s="2"/>
      <c r="N1849" s="2"/>
      <c r="O1849" s="2"/>
      <c r="P1849" s="2"/>
      <c r="Q1849" s="2"/>
      <c r="R1849" s="2"/>
      <c r="S1849" s="2"/>
      <c r="T1849" s="2" t="s">
        <v>16277</v>
      </c>
      <c r="U1849" s="2" t="s">
        <v>16278</v>
      </c>
      <c r="V1849" s="2" t="s">
        <v>95</v>
      </c>
      <c r="W1849" s="2" t="s">
        <v>202</v>
      </c>
      <c r="X1849" s="2" t="s">
        <v>203</v>
      </c>
      <c r="Y1849" s="2" t="s">
        <v>98</v>
      </c>
      <c r="Z1849" s="2" t="s">
        <v>204</v>
      </c>
      <c r="AA1849" s="2" t="s">
        <v>205</v>
      </c>
      <c r="AB1849" s="2" t="s">
        <v>8443</v>
      </c>
      <c r="AC1849" s="2">
        <v>39.28</v>
      </c>
      <c r="AD1849" s="2">
        <v>73.78</v>
      </c>
      <c r="AE1849" s="2">
        <v>31.99</v>
      </c>
      <c r="AF1849" s="2" t="s">
        <v>16279</v>
      </c>
      <c r="AG1849" s="2" t="s">
        <v>1578</v>
      </c>
      <c r="AH1849" s="2" t="s">
        <v>1367</v>
      </c>
      <c r="AI1849" s="2">
        <v>1.59</v>
      </c>
      <c r="AJ1849" s="2">
        <v>19.779073817821999</v>
      </c>
      <c r="AK1849" s="2">
        <v>20.221627511006499</v>
      </c>
      <c r="AL1849" s="2">
        <v>19.978285190577399</v>
      </c>
      <c r="AM1849" s="2">
        <v>19.532912293040201</v>
      </c>
      <c r="AN1849" s="2">
        <v>19.872256077253301</v>
      </c>
      <c r="AO1849" s="2">
        <v>20.183340128121699</v>
      </c>
      <c r="AP1849" s="2">
        <v>20.227427429988801</v>
      </c>
      <c r="AQ1849" s="2">
        <v>19.8089963730867</v>
      </c>
      <c r="AR1849" s="2">
        <v>20.398840671932401</v>
      </c>
      <c r="AS1849" s="2">
        <v>18.536302545260799</v>
      </c>
      <c r="AT1849" s="2">
        <v>18.402826338892002</v>
      </c>
      <c r="AU1849" s="2">
        <v>19.971064229972999</v>
      </c>
      <c r="AV1849" s="2">
        <v>19.508330593094499</v>
      </c>
      <c r="AW1849" s="2">
        <v>19.496977207710199</v>
      </c>
      <c r="AX1849" s="2">
        <v>19.940929903289401</v>
      </c>
      <c r="AY1849" s="2">
        <v>19.480626331630202</v>
      </c>
      <c r="AZ1849" s="2">
        <v>20.191984067721201</v>
      </c>
      <c r="BA1849" s="2">
        <v>19.121879372822701</v>
      </c>
      <c r="BB1849" s="2">
        <v>19.4354141573953</v>
      </c>
      <c r="BC1849" s="2">
        <v>20.120418172575501</v>
      </c>
      <c r="BD1849" s="2">
        <v>20.221467101720201</v>
      </c>
      <c r="BE1849" s="2">
        <v>20.176950089823801</v>
      </c>
      <c r="BF1849" s="2">
        <v>19.7301619580054</v>
      </c>
      <c r="BG1849" s="2">
        <v>19.849047376238001</v>
      </c>
      <c r="BH1849" s="2">
        <v>19.879184908804</v>
      </c>
      <c r="BI1849" s="2">
        <v>19.690355929691801</v>
      </c>
      <c r="BJ1849" s="2">
        <v>19.545491827789299</v>
      </c>
      <c r="BK1849" s="2">
        <v>19.271892376616002</v>
      </c>
      <c r="BL1849" s="2">
        <v>19.674000185269399</v>
      </c>
      <c r="BM1849" s="2">
        <v>20.037363626809</v>
      </c>
      <c r="BN1849" s="2">
        <v>20.011110895108501</v>
      </c>
      <c r="BO1849" s="2">
        <v>20.025377146181199</v>
      </c>
      <c r="BP1849" s="2">
        <v>19.8713463581493</v>
      </c>
      <c r="BQ1849" s="2">
        <v>19.872571889207901</v>
      </c>
      <c r="BR1849" s="2">
        <v>19.916710671291799</v>
      </c>
      <c r="BS1849" s="2">
        <v>20.3991397421015</v>
      </c>
      <c r="BT1849" s="2">
        <v>20.2260106643844</v>
      </c>
      <c r="BU1849" s="2">
        <v>19.9986841180366</v>
      </c>
      <c r="BV1849" s="2">
        <v>19.648773216899599</v>
      </c>
      <c r="BW1849" s="2">
        <v>19.3776798129892</v>
      </c>
      <c r="BX1849" s="2">
        <v>19.988080821246001</v>
      </c>
      <c r="BY1849" s="2">
        <v>20.3933265378332</v>
      </c>
      <c r="BZ1849" s="2">
        <v>19.9353839205728</v>
      </c>
      <c r="CA1849" s="2">
        <v>20.131738029501399</v>
      </c>
      <c r="CB1849" s="2">
        <v>19.4355170356244</v>
      </c>
      <c r="CC1849" s="2">
        <v>19.273042208365499</v>
      </c>
      <c r="CD1849" s="2">
        <v>20.210116066144298</v>
      </c>
      <c r="CE1849" s="2">
        <v>19.1066674942209</v>
      </c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</row>
    <row r="1850" spans="1:97">
      <c r="A1850" s="2" t="s">
        <v>16280</v>
      </c>
      <c r="B1850" s="2">
        <v>194.08180999999999</v>
      </c>
      <c r="C1850" s="2">
        <v>9.8290000000000006</v>
      </c>
      <c r="D1850" s="2" t="s">
        <v>146</v>
      </c>
      <c r="E1850" s="2" t="s">
        <v>16281</v>
      </c>
      <c r="F1850" s="2" t="s">
        <v>16282</v>
      </c>
      <c r="G1850" s="2">
        <v>208054</v>
      </c>
      <c r="H1850" s="3" t="str">
        <f>HYPERLINK("https://cloud.oebiotech.com/#/lm/network/208054", "https://cloud.oebiotech.com/#/lm/network/208054")</f>
        <v>https://cloud.oebiotech.com/#/lm/network/208054</v>
      </c>
      <c r="I1850" s="2" t="s">
        <v>16283</v>
      </c>
      <c r="J1850" s="2"/>
      <c r="K1850" s="2"/>
      <c r="L1850" s="2">
        <v>3816</v>
      </c>
      <c r="M1850" s="2"/>
      <c r="N1850" s="2"/>
      <c r="O1850" s="2"/>
      <c r="P1850" s="2"/>
      <c r="Q1850" s="2"/>
      <c r="R1850" s="2"/>
      <c r="S1850" s="2"/>
      <c r="T1850" s="2" t="s">
        <v>16284</v>
      </c>
      <c r="U1850" s="2" t="s">
        <v>16285</v>
      </c>
      <c r="V1850" s="2" t="s">
        <v>115</v>
      </c>
      <c r="W1850" s="2" t="s">
        <v>116</v>
      </c>
      <c r="X1850" s="2" t="s">
        <v>117</v>
      </c>
      <c r="Y1850" s="2" t="s">
        <v>118</v>
      </c>
      <c r="Z1850" s="2" t="s">
        <v>119</v>
      </c>
      <c r="AA1850" s="2" t="s">
        <v>120</v>
      </c>
      <c r="AB1850" s="2" t="s">
        <v>8443</v>
      </c>
      <c r="AC1850" s="2">
        <v>39.28</v>
      </c>
      <c r="AD1850" s="2">
        <v>96.38</v>
      </c>
      <c r="AE1850" s="2">
        <v>0</v>
      </c>
      <c r="AF1850" s="2" t="s">
        <v>16286</v>
      </c>
      <c r="AG1850" s="2" t="s">
        <v>993</v>
      </c>
      <c r="AH1850" s="2" t="s">
        <v>16287</v>
      </c>
      <c r="AI1850" s="2">
        <v>-0.52</v>
      </c>
      <c r="AJ1850" s="2">
        <v>21.521964383718299</v>
      </c>
      <c r="AK1850" s="2">
        <v>22.1121978543936</v>
      </c>
      <c r="AL1850" s="2">
        <v>22.3121893129771</v>
      </c>
      <c r="AM1850" s="2">
        <v>22.2088650196463</v>
      </c>
      <c r="AN1850" s="2">
        <v>22.219824452867499</v>
      </c>
      <c r="AO1850" s="2">
        <v>22.3429628910019</v>
      </c>
      <c r="AP1850" s="2">
        <v>22.483496682377702</v>
      </c>
      <c r="AQ1850" s="2">
        <v>22.555444849388898</v>
      </c>
      <c r="AR1850" s="2">
        <v>20.965921700455699</v>
      </c>
      <c r="AS1850" s="2">
        <v>21.673362125502798</v>
      </c>
      <c r="AT1850" s="2">
        <v>21.8765779918254</v>
      </c>
      <c r="AU1850" s="2">
        <v>21.748716391744299</v>
      </c>
      <c r="AV1850" s="2">
        <v>21.6627624702875</v>
      </c>
      <c r="AW1850" s="2">
        <v>21.191670930046701</v>
      </c>
      <c r="AX1850" s="2">
        <v>21.732930219233999</v>
      </c>
      <c r="AY1850" s="2">
        <v>22.009832187396601</v>
      </c>
      <c r="AZ1850" s="2">
        <v>21.739876352890299</v>
      </c>
      <c r="BA1850" s="2">
        <v>22.015083280412199</v>
      </c>
      <c r="BB1850" s="2">
        <v>21.9366569551885</v>
      </c>
      <c r="BC1850" s="2">
        <v>21.765189501479998</v>
      </c>
      <c r="BD1850" s="2">
        <v>21.352207006355599</v>
      </c>
      <c r="BE1850" s="2">
        <v>22.211018047569901</v>
      </c>
      <c r="BF1850" s="2">
        <v>22.065061313158399</v>
      </c>
      <c r="BG1850" s="2">
        <v>21.0620589217183</v>
      </c>
      <c r="BH1850" s="2">
        <v>22.017819051061899</v>
      </c>
      <c r="BI1850" s="2">
        <v>22.1091114863009</v>
      </c>
      <c r="BJ1850" s="2">
        <v>21.859076868813499</v>
      </c>
      <c r="BK1850" s="2">
        <v>22.092761398523599</v>
      </c>
      <c r="BL1850" s="2">
        <v>21.914480286943199</v>
      </c>
      <c r="BM1850" s="2">
        <v>22.0545369921049</v>
      </c>
      <c r="BN1850" s="2">
        <v>21.974256621130799</v>
      </c>
      <c r="BO1850" s="2">
        <v>22.3952252152372</v>
      </c>
      <c r="BP1850" s="2">
        <v>22.263990223819501</v>
      </c>
      <c r="BQ1850" s="2">
        <v>22.363315790671201</v>
      </c>
      <c r="BR1850" s="2">
        <v>22.258871286169899</v>
      </c>
      <c r="BS1850" s="2">
        <v>22.1675588893285</v>
      </c>
      <c r="BT1850" s="2">
        <v>22.4175758742848</v>
      </c>
      <c r="BU1850" s="2">
        <v>22.1777707119771</v>
      </c>
      <c r="BV1850" s="2">
        <v>22.012360942719098</v>
      </c>
      <c r="BW1850" s="2">
        <v>22.1321159261433</v>
      </c>
      <c r="BX1850" s="2">
        <v>22.185524628990699</v>
      </c>
      <c r="BY1850" s="2">
        <v>22.413187325355501</v>
      </c>
      <c r="BZ1850" s="2">
        <v>22.2897874853644</v>
      </c>
      <c r="CA1850" s="2">
        <v>22.282068761200499</v>
      </c>
      <c r="CB1850" s="2">
        <v>22.3994435512084</v>
      </c>
      <c r="CC1850" s="2">
        <v>22.149417820898599</v>
      </c>
      <c r="CD1850" s="2">
        <v>22.345384324507801</v>
      </c>
      <c r="CE1850" s="2">
        <v>22.4362472250933</v>
      </c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</row>
    <row r="1851" spans="1:97">
      <c r="A1851" s="2" t="s">
        <v>16288</v>
      </c>
      <c r="B1851" s="2">
        <v>167.06769</v>
      </c>
      <c r="C1851" s="2">
        <v>0.66200000000000003</v>
      </c>
      <c r="D1851" s="2" t="s">
        <v>84</v>
      </c>
      <c r="E1851" s="2" t="s">
        <v>16289</v>
      </c>
      <c r="F1851" s="2" t="s">
        <v>16290</v>
      </c>
      <c r="G1851" s="2">
        <v>201271</v>
      </c>
      <c r="H1851" s="3" t="str">
        <f>HYPERLINK("https://cloud.oebiotech.com/#/lm/network/201271", "https://cloud.oebiotech.com/#/lm/network/201271")</f>
        <v>https://cloud.oebiotech.com/#/lm/network/201271</v>
      </c>
      <c r="I1851" s="2" t="s">
        <v>16291</v>
      </c>
      <c r="J1851" s="2">
        <v>44611</v>
      </c>
      <c r="K1851" s="2"/>
      <c r="L1851" s="2">
        <v>5425</v>
      </c>
      <c r="M1851" s="2"/>
      <c r="N1851" s="2"/>
      <c r="O1851" s="2"/>
      <c r="P1851" s="2">
        <v>83981</v>
      </c>
      <c r="Q1851" s="2"/>
      <c r="R1851" s="2"/>
      <c r="S1851" s="2"/>
      <c r="T1851" s="2" t="s">
        <v>16292</v>
      </c>
      <c r="U1851" s="2" t="s">
        <v>16293</v>
      </c>
      <c r="V1851" s="2" t="s">
        <v>115</v>
      </c>
      <c r="W1851" s="2" t="s">
        <v>116</v>
      </c>
      <c r="X1851" s="2" t="s">
        <v>117</v>
      </c>
      <c r="Y1851" s="2" t="s">
        <v>118</v>
      </c>
      <c r="Z1851" s="2" t="s">
        <v>119</v>
      </c>
      <c r="AA1851" s="2" t="s">
        <v>120</v>
      </c>
      <c r="AB1851" s="2" t="s">
        <v>8443</v>
      </c>
      <c r="AC1851" s="2">
        <v>39.28</v>
      </c>
      <c r="AD1851" s="2">
        <v>96.89</v>
      </c>
      <c r="AE1851" s="2">
        <v>0</v>
      </c>
      <c r="AF1851" s="2" t="s">
        <v>5614</v>
      </c>
      <c r="AG1851" s="2" t="s">
        <v>132</v>
      </c>
      <c r="AH1851" s="2" t="s">
        <v>16294</v>
      </c>
      <c r="AI1851" s="2">
        <v>-8.98</v>
      </c>
      <c r="AJ1851" s="2">
        <v>19.919589720088702</v>
      </c>
      <c r="AK1851" s="2">
        <v>20.009490131713601</v>
      </c>
      <c r="AL1851" s="2">
        <v>20.410805629888099</v>
      </c>
      <c r="AM1851" s="2">
        <v>20.853511338869801</v>
      </c>
      <c r="AN1851" s="2">
        <v>20.5209384967769</v>
      </c>
      <c r="AO1851" s="2">
        <v>20.099525251823302</v>
      </c>
      <c r="AP1851" s="2">
        <v>20.1645009692241</v>
      </c>
      <c r="AQ1851" s="2">
        <v>19.868270076898298</v>
      </c>
      <c r="AR1851" s="2">
        <v>20.204625635905501</v>
      </c>
      <c r="AS1851" s="2">
        <v>19.955472573309901</v>
      </c>
      <c r="AT1851" s="2">
        <v>20.119811136953398</v>
      </c>
      <c r="AU1851" s="2">
        <v>20.066215537447</v>
      </c>
      <c r="AV1851" s="2">
        <v>20.1578365189247</v>
      </c>
      <c r="AW1851" s="2">
        <v>20.9563627136036</v>
      </c>
      <c r="AX1851" s="2">
        <v>20.326460923279601</v>
      </c>
      <c r="AY1851" s="2">
        <v>20.132273726019299</v>
      </c>
      <c r="AZ1851" s="2">
        <v>19.568441102161</v>
      </c>
      <c r="BA1851" s="2">
        <v>19.9626476226459</v>
      </c>
      <c r="BB1851" s="2">
        <v>19.8845250366976</v>
      </c>
      <c r="BC1851" s="2">
        <v>19.5991311367425</v>
      </c>
      <c r="BD1851" s="2">
        <v>20.066621851857398</v>
      </c>
      <c r="BE1851" s="2">
        <v>19.8583343868643</v>
      </c>
      <c r="BF1851" s="2">
        <v>20.058178407353498</v>
      </c>
      <c r="BG1851" s="2">
        <v>19.972577925402899</v>
      </c>
      <c r="BH1851" s="2">
        <v>20.665324240075101</v>
      </c>
      <c r="BI1851" s="2">
        <v>20.731279871864999</v>
      </c>
      <c r="BJ1851" s="2">
        <v>20.533571094838901</v>
      </c>
      <c r="BK1851" s="2">
        <v>19.8966802803916</v>
      </c>
      <c r="BL1851" s="2">
        <v>20.267266395579899</v>
      </c>
      <c r="BM1851" s="2">
        <v>19.892555060009901</v>
      </c>
      <c r="BN1851" s="2">
        <v>20.398020169715299</v>
      </c>
      <c r="BO1851" s="2">
        <v>19.8609038457829</v>
      </c>
      <c r="BP1851" s="2">
        <v>20.1021505719422</v>
      </c>
      <c r="BQ1851" s="2">
        <v>20.115539049414199</v>
      </c>
      <c r="BR1851" s="2">
        <v>19.671153559201301</v>
      </c>
      <c r="BS1851" s="2">
        <v>20.595189840783299</v>
      </c>
      <c r="BT1851" s="2">
        <v>20.815324758007701</v>
      </c>
      <c r="BU1851" s="2">
        <v>20.5181686379238</v>
      </c>
      <c r="BV1851" s="2">
        <v>20.354323171457199</v>
      </c>
      <c r="BW1851" s="2">
        <v>19.992682903595</v>
      </c>
      <c r="BX1851" s="2">
        <v>20.024860571284599</v>
      </c>
      <c r="BY1851" s="2">
        <v>20.065194759537199</v>
      </c>
      <c r="BZ1851" s="2">
        <v>20.248844015073601</v>
      </c>
      <c r="CA1851" s="2">
        <v>19.9732644782822</v>
      </c>
      <c r="CB1851" s="2">
        <v>20.4748974666016</v>
      </c>
      <c r="CC1851" s="2">
        <v>20.0402104441552</v>
      </c>
      <c r="CD1851" s="2">
        <v>19.956904260110299</v>
      </c>
      <c r="CE1851" s="2">
        <v>20.2323014424869</v>
      </c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</row>
    <row r="1852" spans="1:97">
      <c r="A1852" s="2" t="s">
        <v>16295</v>
      </c>
      <c r="B1852" s="2">
        <v>130.06496000000001</v>
      </c>
      <c r="C1852" s="2">
        <v>3.6819999999999999</v>
      </c>
      <c r="D1852" s="2" t="s">
        <v>84</v>
      </c>
      <c r="E1852" s="2" t="s">
        <v>16296</v>
      </c>
      <c r="F1852" s="2" t="s">
        <v>16297</v>
      </c>
      <c r="G1852" s="2">
        <v>57925</v>
      </c>
      <c r="H1852" s="3" t="str">
        <f>HYPERLINK("https://cloud.oebiotech.com/#/lm/network/57925", "https://cloud.oebiotech.com/#/lm/network/57925")</f>
        <v>https://cloud.oebiotech.com/#/lm/network/57925</v>
      </c>
      <c r="I1852" s="2" t="s">
        <v>16298</v>
      </c>
      <c r="J1852" s="2">
        <v>66396</v>
      </c>
      <c r="K1852" s="2"/>
      <c r="L1852" s="2">
        <v>7047</v>
      </c>
      <c r="M1852" s="2" t="s">
        <v>16299</v>
      </c>
      <c r="N1852" s="2"/>
      <c r="O1852" s="2"/>
      <c r="P1852" s="2">
        <v>17362</v>
      </c>
      <c r="Q1852" s="2" t="s">
        <v>6574</v>
      </c>
      <c r="R1852" s="2" t="s">
        <v>6575</v>
      </c>
      <c r="S1852" s="2" t="s">
        <v>16300</v>
      </c>
      <c r="T1852" s="2" t="s">
        <v>16301</v>
      </c>
      <c r="U1852" s="2" t="s">
        <v>16302</v>
      </c>
      <c r="V1852" s="2" t="s">
        <v>553</v>
      </c>
      <c r="W1852" s="2" t="s">
        <v>1599</v>
      </c>
      <c r="X1852" s="2" t="s">
        <v>375</v>
      </c>
      <c r="Y1852" s="2" t="s">
        <v>556</v>
      </c>
      <c r="Z1852" s="2" t="s">
        <v>1601</v>
      </c>
      <c r="AA1852" s="2"/>
      <c r="AB1852" s="2" t="s">
        <v>8443</v>
      </c>
      <c r="AC1852" s="2">
        <v>39.270000000000003</v>
      </c>
      <c r="AD1852" s="2">
        <v>96.36</v>
      </c>
      <c r="AE1852" s="2">
        <v>0</v>
      </c>
      <c r="AF1852" s="2" t="s">
        <v>5614</v>
      </c>
      <c r="AG1852" s="2" t="s">
        <v>103</v>
      </c>
      <c r="AH1852" s="2" t="s">
        <v>10876</v>
      </c>
      <c r="AI1852" s="2">
        <v>0.77</v>
      </c>
      <c r="AJ1852" s="2">
        <v>23.448779298214401</v>
      </c>
      <c r="AK1852" s="2">
        <v>23.547216909236401</v>
      </c>
      <c r="AL1852" s="2">
        <v>23.491706307096798</v>
      </c>
      <c r="AM1852" s="2">
        <v>23.786264071090599</v>
      </c>
      <c r="AN1852" s="2">
        <v>23.735231756652201</v>
      </c>
      <c r="AO1852" s="2">
        <v>23.706468548397201</v>
      </c>
      <c r="AP1852" s="2">
        <v>23.757324004670998</v>
      </c>
      <c r="AQ1852" s="2">
        <v>24.092744047096801</v>
      </c>
      <c r="AR1852" s="2">
        <v>22.555461193023898</v>
      </c>
      <c r="AS1852" s="2">
        <v>22.588894698203301</v>
      </c>
      <c r="AT1852" s="2">
        <v>23.382268432681599</v>
      </c>
      <c r="AU1852" s="2">
        <v>23.2967298483766</v>
      </c>
      <c r="AV1852" s="2">
        <v>23.253516506902699</v>
      </c>
      <c r="AW1852" s="2">
        <v>23.537684538554501</v>
      </c>
      <c r="AX1852" s="2">
        <v>23.018161274400001</v>
      </c>
      <c r="AY1852" s="2">
        <v>23.543640284986299</v>
      </c>
      <c r="AZ1852" s="2">
        <v>23.471061205639799</v>
      </c>
      <c r="BA1852" s="2">
        <v>23.237544808562699</v>
      </c>
      <c r="BB1852" s="2">
        <v>24.0946682695979</v>
      </c>
      <c r="BC1852" s="2">
        <v>23.584939723159099</v>
      </c>
      <c r="BD1852" s="2">
        <v>23.4386997559129</v>
      </c>
      <c r="BE1852" s="2">
        <v>24.0968998831015</v>
      </c>
      <c r="BF1852" s="2">
        <v>23.499383792508301</v>
      </c>
      <c r="BG1852" s="2">
        <v>24.121196624500801</v>
      </c>
      <c r="BH1852" s="2">
        <v>23.620335003045</v>
      </c>
      <c r="BI1852" s="2">
        <v>23.6531604208555</v>
      </c>
      <c r="BJ1852" s="2">
        <v>23.972858740687101</v>
      </c>
      <c r="BK1852" s="2">
        <v>23.666692660589799</v>
      </c>
      <c r="BL1852" s="2">
        <v>23.070831286722498</v>
      </c>
      <c r="BM1852" s="2">
        <v>24.025853956029199</v>
      </c>
      <c r="BN1852" s="2">
        <v>23.955763983610101</v>
      </c>
      <c r="BO1852" s="2">
        <v>23.6452370034912</v>
      </c>
      <c r="BP1852" s="2">
        <v>22.920168649434402</v>
      </c>
      <c r="BQ1852" s="2">
        <v>23.621017089154901</v>
      </c>
      <c r="BR1852" s="2">
        <v>24.000266341283101</v>
      </c>
      <c r="BS1852" s="2">
        <v>23.4827154694295</v>
      </c>
      <c r="BT1852" s="2">
        <v>23.448838375822</v>
      </c>
      <c r="BU1852" s="2">
        <v>22.999678058994601</v>
      </c>
      <c r="BV1852" s="2">
        <v>23.762784351406399</v>
      </c>
      <c r="BW1852" s="2">
        <v>23.187615093873401</v>
      </c>
      <c r="BX1852" s="2">
        <v>23.326924872569801</v>
      </c>
      <c r="BY1852" s="2">
        <v>23.827942201569101</v>
      </c>
      <c r="BZ1852" s="2">
        <v>23.383815548724701</v>
      </c>
      <c r="CA1852" s="2">
        <v>24.1831570409968</v>
      </c>
      <c r="CB1852" s="2">
        <v>23.563384300996699</v>
      </c>
      <c r="CC1852" s="2">
        <v>22.9443228504982</v>
      </c>
      <c r="CD1852" s="2">
        <v>24.2846842019182</v>
      </c>
      <c r="CE1852" s="2">
        <v>23.748191623984599</v>
      </c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</row>
    <row r="1853" spans="1:97">
      <c r="A1853" s="2" t="s">
        <v>16303</v>
      </c>
      <c r="B1853" s="2">
        <v>216.05981</v>
      </c>
      <c r="C1853" s="2">
        <v>4.4169999999999998</v>
      </c>
      <c r="D1853" s="2" t="s">
        <v>84</v>
      </c>
      <c r="E1853" s="2" t="s">
        <v>16304</v>
      </c>
      <c r="F1853" s="2" t="s">
        <v>16305</v>
      </c>
      <c r="G1853" s="2">
        <v>200887</v>
      </c>
      <c r="H1853" s="3" t="str">
        <f>HYPERLINK("https://cloud.oebiotech.com/#/lm/network/200887", "https://cloud.oebiotech.com/#/lm/network/200887")</f>
        <v>https://cloud.oebiotech.com/#/lm/network/200887</v>
      </c>
      <c r="I1853" s="2" t="s">
        <v>16306</v>
      </c>
      <c r="J1853" s="2"/>
      <c r="K1853" s="2"/>
      <c r="L1853" s="2">
        <v>8385</v>
      </c>
      <c r="M1853" s="2"/>
      <c r="N1853" s="2"/>
      <c r="O1853" s="2"/>
      <c r="P1853" s="2">
        <v>84559</v>
      </c>
      <c r="Q1853" s="2"/>
      <c r="R1853" s="2"/>
      <c r="S1853" s="2"/>
      <c r="T1853" s="2" t="s">
        <v>16307</v>
      </c>
      <c r="U1853" s="2" t="s">
        <v>16308</v>
      </c>
      <c r="V1853" s="2" t="s">
        <v>385</v>
      </c>
      <c r="W1853" s="2" t="s">
        <v>386</v>
      </c>
      <c r="X1853" s="2" t="s">
        <v>12519</v>
      </c>
      <c r="Y1853" s="2" t="s">
        <v>388</v>
      </c>
      <c r="Z1853" s="2" t="s">
        <v>389</v>
      </c>
      <c r="AA1853" s="2" t="s">
        <v>12520</v>
      </c>
      <c r="AB1853" s="2" t="s">
        <v>8443</v>
      </c>
      <c r="AC1853" s="2">
        <v>39.26</v>
      </c>
      <c r="AD1853" s="2">
        <v>94.55</v>
      </c>
      <c r="AE1853" s="2">
        <v>0</v>
      </c>
      <c r="AF1853" s="2" t="s">
        <v>5614</v>
      </c>
      <c r="AG1853" s="2" t="s">
        <v>132</v>
      </c>
      <c r="AH1853" s="2" t="s">
        <v>16309</v>
      </c>
      <c r="AI1853" s="2">
        <v>7.87</v>
      </c>
      <c r="AJ1853" s="2">
        <v>18.543025474607099</v>
      </c>
      <c r="AK1853" s="2">
        <v>18.5202881836572</v>
      </c>
      <c r="AL1853" s="2">
        <v>18.255521294563302</v>
      </c>
      <c r="AM1853" s="2">
        <v>18.804136536929601</v>
      </c>
      <c r="AN1853" s="2">
        <v>18.6859186647531</v>
      </c>
      <c r="AO1853" s="2">
        <v>18.849144804676801</v>
      </c>
      <c r="AP1853" s="2">
        <v>18.774922569660198</v>
      </c>
      <c r="AQ1853" s="2">
        <v>18.753865537858601</v>
      </c>
      <c r="AR1853" s="2">
        <v>18.4954242193783</v>
      </c>
      <c r="AS1853" s="2">
        <v>18.087584300402099</v>
      </c>
      <c r="AT1853" s="2">
        <v>18.450591433025</v>
      </c>
      <c r="AU1853" s="2">
        <v>18.605284829643299</v>
      </c>
      <c r="AV1853" s="2">
        <v>18.5987095984358</v>
      </c>
      <c r="AW1853" s="2">
        <v>18.6074680524715</v>
      </c>
      <c r="AX1853" s="2">
        <v>18.499115263019799</v>
      </c>
      <c r="AY1853" s="2">
        <v>18.327740468152399</v>
      </c>
      <c r="AZ1853" s="2">
        <v>18.421305577553198</v>
      </c>
      <c r="BA1853" s="2">
        <v>18.3917635336405</v>
      </c>
      <c r="BB1853" s="2">
        <v>18.295364662063399</v>
      </c>
      <c r="BC1853" s="2">
        <v>18.591879426083601</v>
      </c>
      <c r="BD1853" s="2">
        <v>18.318049075965899</v>
      </c>
      <c r="BE1853" s="2">
        <v>18.596893661281101</v>
      </c>
      <c r="BF1853" s="2">
        <v>18.3450935480186</v>
      </c>
      <c r="BG1853" s="2">
        <v>18.124735281972701</v>
      </c>
      <c r="BH1853" s="2">
        <v>18.286638028417698</v>
      </c>
      <c r="BI1853" s="2">
        <v>18.658259432761401</v>
      </c>
      <c r="BJ1853" s="2">
        <v>17.922519945472299</v>
      </c>
      <c r="BK1853" s="2">
        <v>18.384223671437201</v>
      </c>
      <c r="BL1853" s="2">
        <v>18.280691716553999</v>
      </c>
      <c r="BM1853" s="2">
        <v>18.207238960941101</v>
      </c>
      <c r="BN1853" s="2">
        <v>18.400400461992199</v>
      </c>
      <c r="BO1853" s="2">
        <v>18.548177064534801</v>
      </c>
      <c r="BP1853" s="2">
        <v>18.5634224205386</v>
      </c>
      <c r="BQ1853" s="2">
        <v>18.574506386516699</v>
      </c>
      <c r="BR1853" s="2">
        <v>18.1603216653332</v>
      </c>
      <c r="BS1853" s="2">
        <v>18.4042001560172</v>
      </c>
      <c r="BT1853" s="2">
        <v>18.358779872317399</v>
      </c>
      <c r="BU1853" s="2">
        <v>18.281315782143501</v>
      </c>
      <c r="BV1853" s="2">
        <v>18.68478049538</v>
      </c>
      <c r="BW1853" s="2">
        <v>18.324517144398101</v>
      </c>
      <c r="BX1853" s="2">
        <v>18.457120202355899</v>
      </c>
      <c r="BY1853" s="2">
        <v>18.119292794202199</v>
      </c>
      <c r="BZ1853" s="2">
        <v>18.514370835499399</v>
      </c>
      <c r="CA1853" s="2">
        <v>18.637345625033099</v>
      </c>
      <c r="CB1853" s="2">
        <v>18.408147518017401</v>
      </c>
      <c r="CC1853" s="2">
        <v>18.5067409614885</v>
      </c>
      <c r="CD1853" s="2">
        <v>18.598417345340899</v>
      </c>
      <c r="CE1853" s="2">
        <v>18.4796542879144</v>
      </c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</row>
    <row r="1854" spans="1:97">
      <c r="A1854" s="2" t="s">
        <v>16310</v>
      </c>
      <c r="B1854" s="2">
        <v>568.42589999999996</v>
      </c>
      <c r="C1854" s="2">
        <v>14.946999999999999</v>
      </c>
      <c r="D1854" s="2" t="s">
        <v>84</v>
      </c>
      <c r="E1854" s="2" t="s">
        <v>16311</v>
      </c>
      <c r="F1854" s="2" t="s">
        <v>16312</v>
      </c>
      <c r="G1854" s="2">
        <v>44419</v>
      </c>
      <c r="H1854" s="3" t="str">
        <f>HYPERLINK("https://cloud.oebiotech.com/#/lm/network/44419", "https://cloud.oebiotech.com/#/lm/network/44419")</f>
        <v>https://cloud.oebiotech.com/#/lm/network/44419</v>
      </c>
      <c r="I1854" s="2"/>
      <c r="J1854" s="2"/>
      <c r="K1854" s="2" t="s">
        <v>16313</v>
      </c>
      <c r="L1854" s="2">
        <v>11028032</v>
      </c>
      <c r="M1854" s="2"/>
      <c r="N1854" s="2"/>
      <c r="O1854" s="2"/>
      <c r="P1854" s="2"/>
      <c r="Q1854" s="2"/>
      <c r="R1854" s="2"/>
      <c r="S1854" s="2"/>
      <c r="T1854" s="2" t="s">
        <v>16314</v>
      </c>
      <c r="U1854" s="2" t="s">
        <v>16315</v>
      </c>
      <c r="V1854" s="2" t="s">
        <v>95</v>
      </c>
      <c r="W1854" s="2" t="s">
        <v>152</v>
      </c>
      <c r="X1854" s="2" t="s">
        <v>16316</v>
      </c>
      <c r="Y1854" s="2" t="s">
        <v>98</v>
      </c>
      <c r="Z1854" s="2" t="s">
        <v>154</v>
      </c>
      <c r="AA1854" s="2" t="s">
        <v>16317</v>
      </c>
      <c r="AB1854" s="2" t="s">
        <v>5118</v>
      </c>
      <c r="AC1854" s="2">
        <v>39.26</v>
      </c>
      <c r="AD1854" s="2">
        <v>97.97</v>
      </c>
      <c r="AE1854" s="2">
        <v>52.68</v>
      </c>
      <c r="AF1854" s="2" t="s">
        <v>16318</v>
      </c>
      <c r="AG1854" s="2" t="s">
        <v>132</v>
      </c>
      <c r="AH1854" s="2" t="s">
        <v>16319</v>
      </c>
      <c r="AI1854" s="2">
        <v>-8.9700000000000006</v>
      </c>
      <c r="AJ1854" s="2">
        <v>23.634160522894799</v>
      </c>
      <c r="AK1854" s="2">
        <v>22.882714780784301</v>
      </c>
      <c r="AL1854" s="2">
        <v>22.996590068480899</v>
      </c>
      <c r="AM1854" s="2">
        <v>22.626663490464001</v>
      </c>
      <c r="AN1854" s="2">
        <v>22.536044056746601</v>
      </c>
      <c r="AO1854" s="2">
        <v>23.298159457267101</v>
      </c>
      <c r="AP1854" s="2">
        <v>23.262425724004402</v>
      </c>
      <c r="AQ1854" s="2">
        <v>23.277521018899801</v>
      </c>
      <c r="AR1854" s="2">
        <v>23.803040790363699</v>
      </c>
      <c r="AS1854" s="2">
        <v>22.792656382758899</v>
      </c>
      <c r="AT1854" s="2">
        <v>23.178600788916601</v>
      </c>
      <c r="AU1854" s="2">
        <v>23.1126103999493</v>
      </c>
      <c r="AV1854" s="2">
        <v>23.293030696852799</v>
      </c>
      <c r="AW1854" s="2">
        <v>23.039342438775201</v>
      </c>
      <c r="AX1854" s="2">
        <v>23.632470505063701</v>
      </c>
      <c r="AY1854" s="2">
        <v>23.739259189098799</v>
      </c>
      <c r="AZ1854" s="2">
        <v>23.633006925948202</v>
      </c>
      <c r="BA1854" s="2">
        <v>21.5937383544263</v>
      </c>
      <c r="BB1854" s="2">
        <v>22.733738231362398</v>
      </c>
      <c r="BC1854" s="2">
        <v>24.068600345663899</v>
      </c>
      <c r="BD1854" s="2">
        <v>23.0490393119908</v>
      </c>
      <c r="BE1854" s="2">
        <v>24.319867593509301</v>
      </c>
      <c r="BF1854" s="2">
        <v>22.714696503218299</v>
      </c>
      <c r="BG1854" s="2">
        <v>23.618032369226199</v>
      </c>
      <c r="BH1854" s="2">
        <v>23.788123279950799</v>
      </c>
      <c r="BI1854" s="2">
        <v>21.930870619426599</v>
      </c>
      <c r="BJ1854" s="2">
        <v>22.850416844462099</v>
      </c>
      <c r="BK1854" s="2">
        <v>22.345115990841901</v>
      </c>
      <c r="BL1854" s="2">
        <v>22.871186777131399</v>
      </c>
      <c r="BM1854" s="2">
        <v>23.484170963376599</v>
      </c>
      <c r="BN1854" s="2">
        <v>21.929911934821899</v>
      </c>
      <c r="BO1854" s="2">
        <v>23.067637368911502</v>
      </c>
      <c r="BP1854" s="2">
        <v>22.033547362267299</v>
      </c>
      <c r="BQ1854" s="2">
        <v>22.8163587222373</v>
      </c>
      <c r="BR1854" s="2">
        <v>22.056534757231098</v>
      </c>
      <c r="BS1854" s="2">
        <v>22.883356596911501</v>
      </c>
      <c r="BT1854" s="2">
        <v>22.489111776372901</v>
      </c>
      <c r="BU1854" s="2">
        <v>21.369608059278701</v>
      </c>
      <c r="BV1854" s="2">
        <v>22.375412543177301</v>
      </c>
      <c r="BW1854" s="2">
        <v>22.278568530482701</v>
      </c>
      <c r="BX1854" s="2">
        <v>23.033407075908599</v>
      </c>
      <c r="BY1854" s="2">
        <v>23.801125684397402</v>
      </c>
      <c r="BZ1854" s="2">
        <v>22.426663358935901</v>
      </c>
      <c r="CA1854" s="2">
        <v>23.563824029714301</v>
      </c>
      <c r="CB1854" s="2">
        <v>23.550140925860202</v>
      </c>
      <c r="CC1854" s="2">
        <v>21.401113487596898</v>
      </c>
      <c r="CD1854" s="2">
        <v>22.425305889620699</v>
      </c>
      <c r="CE1854" s="2">
        <v>21.814927753187</v>
      </c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</row>
    <row r="1855" spans="1:97">
      <c r="A1855" s="2" t="s">
        <v>16320</v>
      </c>
      <c r="B1855" s="2">
        <v>345.18637999999999</v>
      </c>
      <c r="C1855" s="2">
        <v>5.15</v>
      </c>
      <c r="D1855" s="2" t="s">
        <v>84</v>
      </c>
      <c r="E1855" s="2" t="s">
        <v>16321</v>
      </c>
      <c r="F1855" s="2" t="s">
        <v>16322</v>
      </c>
      <c r="G1855" s="2">
        <v>1163</v>
      </c>
      <c r="H1855" s="3" t="str">
        <f>HYPERLINK("https://cloud.oebiotech.com/#/lm/network/1163", "https://cloud.oebiotech.com/#/lm/network/1163")</f>
        <v>https://cloud.oebiotech.com/#/lm/network/1163</v>
      </c>
      <c r="I1855" s="2"/>
      <c r="J1855" s="2">
        <v>74336</v>
      </c>
      <c r="K1855" s="2" t="s">
        <v>16323</v>
      </c>
      <c r="L1855" s="2">
        <v>9543643</v>
      </c>
      <c r="M1855" s="2"/>
      <c r="N1855" s="2"/>
      <c r="O1855" s="2"/>
      <c r="P1855" s="2">
        <v>138497</v>
      </c>
      <c r="Q1855" s="2"/>
      <c r="R1855" s="2"/>
      <c r="S1855" s="2"/>
      <c r="T1855" s="2" t="s">
        <v>16324</v>
      </c>
      <c r="U1855" s="2" t="s">
        <v>16325</v>
      </c>
      <c r="V1855" s="2" t="s">
        <v>95</v>
      </c>
      <c r="W1855" s="2" t="s">
        <v>96</v>
      </c>
      <c r="X1855" s="2" t="s">
        <v>141</v>
      </c>
      <c r="Y1855" s="2" t="s">
        <v>98</v>
      </c>
      <c r="Z1855" s="2" t="s">
        <v>99</v>
      </c>
      <c r="AA1855" s="2" t="s">
        <v>142</v>
      </c>
      <c r="AB1855" s="2" t="s">
        <v>8443</v>
      </c>
      <c r="AC1855" s="2">
        <v>39.25</v>
      </c>
      <c r="AD1855" s="2">
        <v>84.36</v>
      </c>
      <c r="AE1855" s="2">
        <v>35.79</v>
      </c>
      <c r="AF1855" s="2" t="s">
        <v>16326</v>
      </c>
      <c r="AG1855" s="2" t="s">
        <v>103</v>
      </c>
      <c r="AH1855" s="2" t="s">
        <v>16327</v>
      </c>
      <c r="AI1855" s="2">
        <v>-4.3499999999999996</v>
      </c>
      <c r="AJ1855" s="2">
        <v>19.698718602935301</v>
      </c>
      <c r="AK1855" s="2">
        <v>19.814577130763499</v>
      </c>
      <c r="AL1855" s="2">
        <v>19.5519242051801</v>
      </c>
      <c r="AM1855" s="2">
        <v>19.687111038853999</v>
      </c>
      <c r="AN1855" s="2">
        <v>19.664315904454501</v>
      </c>
      <c r="AO1855" s="2">
        <v>19.6693103381116</v>
      </c>
      <c r="AP1855" s="2">
        <v>19.870394146249801</v>
      </c>
      <c r="AQ1855" s="2">
        <v>19.579965921061</v>
      </c>
      <c r="AR1855" s="2">
        <v>9.6233145402724691</v>
      </c>
      <c r="AS1855" s="2">
        <v>9.6233145402724691</v>
      </c>
      <c r="AT1855" s="2">
        <v>20.127921092513901</v>
      </c>
      <c r="AU1855" s="2">
        <v>20.7411152579743</v>
      </c>
      <c r="AV1855" s="2">
        <v>19.902878455350201</v>
      </c>
      <c r="AW1855" s="2">
        <v>20.678067003598802</v>
      </c>
      <c r="AX1855" s="2">
        <v>19.987944126534401</v>
      </c>
      <c r="AY1855" s="2">
        <v>20.404703916111998</v>
      </c>
      <c r="AZ1855" s="2">
        <v>19.1436949032183</v>
      </c>
      <c r="BA1855" s="2">
        <v>19.460432598074899</v>
      </c>
      <c r="BB1855" s="2">
        <v>9.6233145402724691</v>
      </c>
      <c r="BC1855" s="2">
        <v>9.6233145402724691</v>
      </c>
      <c r="BD1855" s="2">
        <v>20.666111305191599</v>
      </c>
      <c r="BE1855" s="2">
        <v>19.761404314942599</v>
      </c>
      <c r="BF1855" s="2">
        <v>19.9695345552602</v>
      </c>
      <c r="BG1855" s="2">
        <v>9.6233145402724691</v>
      </c>
      <c r="BH1855" s="2">
        <v>20.5873628390055</v>
      </c>
      <c r="BI1855" s="2">
        <v>20.920564106801201</v>
      </c>
      <c r="BJ1855" s="2">
        <v>9.6233145402724691</v>
      </c>
      <c r="BK1855" s="2">
        <v>20.532934430698798</v>
      </c>
      <c r="BL1855" s="2">
        <v>19.359248709169002</v>
      </c>
      <c r="BM1855" s="2">
        <v>20.946357177098101</v>
      </c>
      <c r="BN1855" s="2">
        <v>20.316546653428301</v>
      </c>
      <c r="BO1855" s="2">
        <v>18.453344231640202</v>
      </c>
      <c r="BP1855" s="2">
        <v>20.385403072049701</v>
      </c>
      <c r="BQ1855" s="2">
        <v>19.950740499308299</v>
      </c>
      <c r="BR1855" s="2">
        <v>9.6233145402724691</v>
      </c>
      <c r="BS1855" s="2">
        <v>19.714147110619901</v>
      </c>
      <c r="BT1855" s="2">
        <v>9.6233145402724691</v>
      </c>
      <c r="BU1855" s="2">
        <v>20.8701995879732</v>
      </c>
      <c r="BV1855" s="2">
        <v>9.6233145402724691</v>
      </c>
      <c r="BW1855" s="2">
        <v>9.6233145402724691</v>
      </c>
      <c r="BX1855" s="2">
        <v>21.043263729349299</v>
      </c>
      <c r="BY1855" s="2">
        <v>21.225963615273699</v>
      </c>
      <c r="BZ1855" s="2">
        <v>9.6233145402724691</v>
      </c>
      <c r="CA1855" s="2">
        <v>9.6233145402724691</v>
      </c>
      <c r="CB1855" s="2">
        <v>9.6233145402724691</v>
      </c>
      <c r="CC1855" s="2">
        <v>18.962621289568801</v>
      </c>
      <c r="CD1855" s="2">
        <v>20.560907039894602</v>
      </c>
      <c r="CE1855" s="2">
        <v>20.073306844416098</v>
      </c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</row>
    <row r="1856" spans="1:97">
      <c r="A1856" s="2" t="s">
        <v>16328</v>
      </c>
      <c r="B1856" s="2">
        <v>110.07137</v>
      </c>
      <c r="C1856" s="2">
        <v>14.667</v>
      </c>
      <c r="D1856" s="2" t="s">
        <v>84</v>
      </c>
      <c r="E1856" s="2" t="s">
        <v>16329</v>
      </c>
      <c r="F1856" s="2" t="s">
        <v>16330</v>
      </c>
      <c r="G1856" s="2">
        <v>201395</v>
      </c>
      <c r="H1856" s="3" t="str">
        <f>HYPERLINK("https://cloud.oebiotech.com/#/lm/network/201395", "https://cloud.oebiotech.com/#/lm/network/201395")</f>
        <v>https://cloud.oebiotech.com/#/lm/network/201395</v>
      </c>
      <c r="I1856" s="2" t="s">
        <v>16331</v>
      </c>
      <c r="J1856" s="2">
        <v>315851</v>
      </c>
      <c r="K1856" s="2"/>
      <c r="L1856" s="2">
        <v>5918</v>
      </c>
      <c r="M1856" s="2"/>
      <c r="N1856" s="2"/>
      <c r="O1856" s="2"/>
      <c r="P1856" s="2"/>
      <c r="Q1856" s="2"/>
      <c r="R1856" s="2"/>
      <c r="S1856" s="2"/>
      <c r="T1856" s="2" t="s">
        <v>16332</v>
      </c>
      <c r="U1856" s="2" t="s">
        <v>16333</v>
      </c>
      <c r="V1856" s="2" t="s">
        <v>553</v>
      </c>
      <c r="W1856" s="2" t="s">
        <v>2447</v>
      </c>
      <c r="X1856" s="2" t="s">
        <v>6124</v>
      </c>
      <c r="Y1856" s="2" t="s">
        <v>556</v>
      </c>
      <c r="Z1856" s="2" t="s">
        <v>2449</v>
      </c>
      <c r="AA1856" s="2" t="s">
        <v>6125</v>
      </c>
      <c r="AB1856" s="2" t="s">
        <v>8443</v>
      </c>
      <c r="AC1856" s="2">
        <v>39.25</v>
      </c>
      <c r="AD1856" s="2">
        <v>96.26</v>
      </c>
      <c r="AE1856" s="2">
        <v>0</v>
      </c>
      <c r="AF1856" s="2" t="s">
        <v>5614</v>
      </c>
      <c r="AG1856" s="2" t="s">
        <v>103</v>
      </c>
      <c r="AH1856" s="2" t="s">
        <v>16334</v>
      </c>
      <c r="AI1856" s="2">
        <v>-0.91</v>
      </c>
      <c r="AJ1856" s="2">
        <v>24.005110619224801</v>
      </c>
      <c r="AK1856" s="2">
        <v>22.511949953699801</v>
      </c>
      <c r="AL1856" s="2">
        <v>23.2547508567392</v>
      </c>
      <c r="AM1856" s="2">
        <v>23.588554273727301</v>
      </c>
      <c r="AN1856" s="2">
        <v>23.801964041412599</v>
      </c>
      <c r="AO1856" s="2">
        <v>23.769513408267599</v>
      </c>
      <c r="AP1856" s="2">
        <v>23.800444773705301</v>
      </c>
      <c r="AQ1856" s="2">
        <v>23.889680774864299</v>
      </c>
      <c r="AR1856" s="2">
        <v>23.920712539809202</v>
      </c>
      <c r="AS1856" s="2">
        <v>24.044316549553699</v>
      </c>
      <c r="AT1856" s="2">
        <v>24.148065403944798</v>
      </c>
      <c r="AU1856" s="2">
        <v>23.9575571606861</v>
      </c>
      <c r="AV1856" s="2">
        <v>23.111594756053901</v>
      </c>
      <c r="AW1856" s="2">
        <v>24.117628276984298</v>
      </c>
      <c r="AX1856" s="2">
        <v>24.220223298073702</v>
      </c>
      <c r="AY1856" s="2">
        <v>22.3553251770674</v>
      </c>
      <c r="AZ1856" s="2">
        <v>23.467750781480099</v>
      </c>
      <c r="BA1856" s="2">
        <v>24.100736254490599</v>
      </c>
      <c r="BB1856" s="2">
        <v>23.813320649135601</v>
      </c>
      <c r="BC1856" s="2">
        <v>24.098236160362799</v>
      </c>
      <c r="BD1856" s="2">
        <v>22.580447537163899</v>
      </c>
      <c r="BE1856" s="2">
        <v>24.066455578892999</v>
      </c>
      <c r="BF1856" s="2">
        <v>23.688431123521301</v>
      </c>
      <c r="BG1856" s="2">
        <v>22.32350201925</v>
      </c>
      <c r="BH1856" s="2">
        <v>23.2678404570064</v>
      </c>
      <c r="BI1856" s="2">
        <v>23.358498348426799</v>
      </c>
      <c r="BJ1856" s="2">
        <v>23.4505557184435</v>
      </c>
      <c r="BK1856" s="2">
        <v>23.831370047674898</v>
      </c>
      <c r="BL1856" s="2">
        <v>22.570595496343</v>
      </c>
      <c r="BM1856" s="2">
        <v>22.662154104996901</v>
      </c>
      <c r="BN1856" s="2">
        <v>23.455162954292199</v>
      </c>
      <c r="BO1856" s="2">
        <v>23.133646197956701</v>
      </c>
      <c r="BP1856" s="2">
        <v>23.756085278003699</v>
      </c>
      <c r="BQ1856" s="2">
        <v>22.177060629965599</v>
      </c>
      <c r="BR1856" s="2">
        <v>23.717871753113499</v>
      </c>
      <c r="BS1856" s="2">
        <v>23.8876405335578</v>
      </c>
      <c r="BT1856" s="2">
        <v>23.251698039248001</v>
      </c>
      <c r="BU1856" s="2">
        <v>23.5962815865179</v>
      </c>
      <c r="BV1856" s="2">
        <v>23.816897994434399</v>
      </c>
      <c r="BW1856" s="2">
        <v>23.586194708161599</v>
      </c>
      <c r="BX1856" s="2">
        <v>22.504040785069101</v>
      </c>
      <c r="BY1856" s="2">
        <v>23.711022922712299</v>
      </c>
      <c r="BZ1856" s="2">
        <v>22.953653392828699</v>
      </c>
      <c r="CA1856" s="2">
        <v>23.432857533896499</v>
      </c>
      <c r="CB1856" s="2">
        <v>23.478528472694901</v>
      </c>
      <c r="CC1856" s="2">
        <v>22.2420169810771</v>
      </c>
      <c r="CD1856" s="2">
        <v>22.602875689242399</v>
      </c>
      <c r="CE1856" s="2">
        <v>22.9338949463665</v>
      </c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</row>
    <row r="1857" spans="1:97">
      <c r="A1857" s="2" t="s">
        <v>16335</v>
      </c>
      <c r="B1857" s="2">
        <v>427.17887000000002</v>
      </c>
      <c r="C1857" s="2">
        <v>6.2350000000000003</v>
      </c>
      <c r="D1857" s="2" t="s">
        <v>146</v>
      </c>
      <c r="E1857" s="2" t="s">
        <v>16336</v>
      </c>
      <c r="F1857" s="2" t="s">
        <v>16337</v>
      </c>
      <c r="G1857" s="2">
        <v>209422</v>
      </c>
      <c r="H1857" s="3" t="str">
        <f>HYPERLINK("https://cloud.oebiotech.com/#/lm/network/209422", "https://cloud.oebiotech.com/#/lm/network/209422")</f>
        <v>https://cloud.oebiotech.com/#/lm/network/209422</v>
      </c>
      <c r="I1857" s="2" t="s">
        <v>16338</v>
      </c>
      <c r="J1857" s="2"/>
      <c r="K1857" s="2"/>
      <c r="L1857" s="2">
        <v>4418</v>
      </c>
      <c r="M1857" s="2"/>
      <c r="N1857" s="2"/>
      <c r="O1857" s="2"/>
      <c r="P1857" s="2"/>
      <c r="Q1857" s="2"/>
      <c r="R1857" s="2"/>
      <c r="S1857" s="2"/>
      <c r="T1857" s="2" t="s">
        <v>16339</v>
      </c>
      <c r="U1857" s="2" t="s">
        <v>16340</v>
      </c>
      <c r="V1857" s="2" t="s">
        <v>553</v>
      </c>
      <c r="W1857" s="2" t="s">
        <v>10242</v>
      </c>
      <c r="X1857" s="2" t="s">
        <v>10243</v>
      </c>
      <c r="Y1857" s="2" t="s">
        <v>556</v>
      </c>
      <c r="Z1857" s="2" t="s">
        <v>10244</v>
      </c>
      <c r="AA1857" s="2" t="s">
        <v>10245</v>
      </c>
      <c r="AB1857" s="2" t="s">
        <v>8443</v>
      </c>
      <c r="AC1857" s="2">
        <v>39.229999999999997</v>
      </c>
      <c r="AD1857" s="2">
        <v>61.85</v>
      </c>
      <c r="AE1857" s="2">
        <v>0</v>
      </c>
      <c r="AF1857" s="2" t="s">
        <v>16341</v>
      </c>
      <c r="AG1857" s="2" t="s">
        <v>4062</v>
      </c>
      <c r="AH1857" s="2" t="s">
        <v>16342</v>
      </c>
      <c r="AI1857" s="2">
        <v>1.17</v>
      </c>
      <c r="AJ1857" s="2">
        <v>18.717596171458201</v>
      </c>
      <c r="AK1857" s="2">
        <v>18.888998222095999</v>
      </c>
      <c r="AL1857" s="2">
        <v>18.796114219002501</v>
      </c>
      <c r="AM1857" s="2">
        <v>18.7293097935456</v>
      </c>
      <c r="AN1857" s="2">
        <v>18.892524703398099</v>
      </c>
      <c r="AO1857" s="2">
        <v>18.733319382970802</v>
      </c>
      <c r="AP1857" s="2">
        <v>18.952452873844901</v>
      </c>
      <c r="AQ1857" s="2">
        <v>18.7304664885155</v>
      </c>
      <c r="AR1857" s="2">
        <v>18.633777499998899</v>
      </c>
      <c r="AS1857" s="2">
        <v>16.433055612437201</v>
      </c>
      <c r="AT1857" s="2">
        <v>18.365442035032899</v>
      </c>
      <c r="AU1857" s="2">
        <v>17.587008404229898</v>
      </c>
      <c r="AV1857" s="2">
        <v>18.486140093823401</v>
      </c>
      <c r="AW1857" s="2">
        <v>18.574096406650401</v>
      </c>
      <c r="AX1857" s="2">
        <v>17.991126862215101</v>
      </c>
      <c r="AY1857" s="2">
        <v>18.5692050031363</v>
      </c>
      <c r="AZ1857" s="2">
        <v>17.804315519329698</v>
      </c>
      <c r="BA1857" s="2">
        <v>19.259236114987601</v>
      </c>
      <c r="BB1857" s="2">
        <v>18.783158502307199</v>
      </c>
      <c r="BC1857" s="2">
        <v>19.187493993548401</v>
      </c>
      <c r="BD1857" s="2">
        <v>17.641683679198302</v>
      </c>
      <c r="BE1857" s="2">
        <v>19.746512156149599</v>
      </c>
      <c r="BF1857" s="2">
        <v>18.4067696104952</v>
      </c>
      <c r="BG1857" s="2">
        <v>18.566995414237901</v>
      </c>
      <c r="BH1857" s="2">
        <v>18.018028113778701</v>
      </c>
      <c r="BI1857" s="2">
        <v>17.937500779218201</v>
      </c>
      <c r="BJ1857" s="2">
        <v>17.805008043552199</v>
      </c>
      <c r="BK1857" s="2">
        <v>17.8604432215384</v>
      </c>
      <c r="BL1857" s="2">
        <v>18.659123654576401</v>
      </c>
      <c r="BM1857" s="2">
        <v>17.000121510944499</v>
      </c>
      <c r="BN1857" s="2">
        <v>18.563900857676099</v>
      </c>
      <c r="BO1857" s="2">
        <v>18.5925871157303</v>
      </c>
      <c r="BP1857" s="2">
        <v>18.735284270039401</v>
      </c>
      <c r="BQ1857" s="2">
        <v>18.364378398773901</v>
      </c>
      <c r="BR1857" s="2">
        <v>18.574714880084901</v>
      </c>
      <c r="BS1857" s="2">
        <v>18.658240427311899</v>
      </c>
      <c r="BT1857" s="2">
        <v>18.071771236006999</v>
      </c>
      <c r="BU1857" s="2">
        <v>19.298439570607702</v>
      </c>
      <c r="BV1857" s="2">
        <v>18.419099618887898</v>
      </c>
      <c r="BW1857" s="2">
        <v>18.343373076978502</v>
      </c>
      <c r="BX1857" s="2">
        <v>18.090482300678701</v>
      </c>
      <c r="BY1857" s="2">
        <v>19.930502803183</v>
      </c>
      <c r="BZ1857" s="2">
        <v>18.629941187611202</v>
      </c>
      <c r="CA1857" s="2">
        <v>17.934259857698901</v>
      </c>
      <c r="CB1857" s="2">
        <v>18.140126980622899</v>
      </c>
      <c r="CC1857" s="2">
        <v>17.680854581986701</v>
      </c>
      <c r="CD1857" s="2">
        <v>18.7286624188487</v>
      </c>
      <c r="CE1857" s="2">
        <v>17.817816341343701</v>
      </c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</row>
    <row r="1858" spans="1:97">
      <c r="A1858" s="2" t="s">
        <v>16343</v>
      </c>
      <c r="B1858" s="2">
        <v>469.07449000000003</v>
      </c>
      <c r="C1858" s="2">
        <v>7.2450000000000001</v>
      </c>
      <c r="D1858" s="2" t="s">
        <v>146</v>
      </c>
      <c r="E1858" s="2" t="s">
        <v>16344</v>
      </c>
      <c r="F1858" s="2" t="s">
        <v>16345</v>
      </c>
      <c r="G1858" s="2">
        <v>202515</v>
      </c>
      <c r="H1858" s="3" t="str">
        <f>HYPERLINK("https://cloud.oebiotech.com/#/lm/network/202515", "https://cloud.oebiotech.com/#/lm/network/202515")</f>
        <v>https://cloud.oebiotech.com/#/lm/network/202515</v>
      </c>
      <c r="I1858" s="2" t="s">
        <v>16346</v>
      </c>
      <c r="J1858" s="2"/>
      <c r="K1858" s="2"/>
      <c r="L1858" s="2">
        <v>54692989</v>
      </c>
      <c r="M1858" s="2"/>
      <c r="N1858" s="2"/>
      <c r="O1858" s="2"/>
      <c r="P1858" s="2"/>
      <c r="Q1858" s="2"/>
      <c r="R1858" s="2"/>
      <c r="S1858" s="2"/>
      <c r="T1858" s="2" t="s">
        <v>16347</v>
      </c>
      <c r="U1858" s="2" t="s">
        <v>16348</v>
      </c>
      <c r="V1858" s="2" t="s">
        <v>845</v>
      </c>
      <c r="W1858" s="2" t="s">
        <v>846</v>
      </c>
      <c r="X1858" s="2" t="s">
        <v>16349</v>
      </c>
      <c r="Y1858" s="2" t="s">
        <v>847</v>
      </c>
      <c r="Z1858" s="2" t="s">
        <v>848</v>
      </c>
      <c r="AA1858" s="2" t="s">
        <v>16350</v>
      </c>
      <c r="AB1858" s="2" t="s">
        <v>8443</v>
      </c>
      <c r="AC1858" s="2">
        <v>39.229999999999997</v>
      </c>
      <c r="AD1858" s="2">
        <v>84.24</v>
      </c>
      <c r="AE1858" s="2">
        <v>0</v>
      </c>
      <c r="AF1858" s="2" t="s">
        <v>5614</v>
      </c>
      <c r="AG1858" s="2" t="s">
        <v>157</v>
      </c>
      <c r="AH1858" s="2" t="s">
        <v>16351</v>
      </c>
      <c r="AI1858" s="2">
        <v>6.61</v>
      </c>
      <c r="AJ1858" s="2">
        <v>17.4079141696207</v>
      </c>
      <c r="AK1858" s="2">
        <v>17.868477028442602</v>
      </c>
      <c r="AL1858" s="2">
        <v>17.456787142672901</v>
      </c>
      <c r="AM1858" s="2">
        <v>17.452324262515699</v>
      </c>
      <c r="AN1858" s="2">
        <v>17.6563270238508</v>
      </c>
      <c r="AO1858" s="2">
        <v>17.759752976226501</v>
      </c>
      <c r="AP1858" s="2">
        <v>17.809585394185099</v>
      </c>
      <c r="AQ1858" s="2">
        <v>17.763774837143199</v>
      </c>
      <c r="AR1858" s="2">
        <v>17.419481201914401</v>
      </c>
      <c r="AS1858" s="2">
        <v>17.173546073840601</v>
      </c>
      <c r="AT1858" s="2">
        <v>17.807660378079198</v>
      </c>
      <c r="AU1858" s="2">
        <v>17.572909351194902</v>
      </c>
      <c r="AV1858" s="2">
        <v>17.777958701574001</v>
      </c>
      <c r="AW1858" s="2">
        <v>17.5646387375647</v>
      </c>
      <c r="AX1858" s="2">
        <v>17.585966346628499</v>
      </c>
      <c r="AY1858" s="2">
        <v>17.766475981548801</v>
      </c>
      <c r="AZ1858" s="2">
        <v>17.593268850372901</v>
      </c>
      <c r="BA1858" s="2">
        <v>17.742567732644702</v>
      </c>
      <c r="BB1858" s="2">
        <v>17.7735635800267</v>
      </c>
      <c r="BC1858" s="2">
        <v>17.905598600913599</v>
      </c>
      <c r="BD1858" s="2">
        <v>17.521166093696898</v>
      </c>
      <c r="BE1858" s="2">
        <v>17.8030756443362</v>
      </c>
      <c r="BF1858" s="2">
        <v>17.428981828010802</v>
      </c>
      <c r="BG1858" s="2">
        <v>17.457990397334399</v>
      </c>
      <c r="BH1858" s="2">
        <v>17.364429998250099</v>
      </c>
      <c r="BI1858" s="2">
        <v>17.049639700824802</v>
      </c>
      <c r="BJ1858" s="2">
        <v>17.2204249038932</v>
      </c>
      <c r="BK1858" s="2">
        <v>17.419352893949799</v>
      </c>
      <c r="BL1858" s="2">
        <v>17.7407194928732</v>
      </c>
      <c r="BM1858" s="2">
        <v>17.578415887824899</v>
      </c>
      <c r="BN1858" s="2">
        <v>17.809835313936301</v>
      </c>
      <c r="BO1858" s="2">
        <v>17.905954853347399</v>
      </c>
      <c r="BP1858" s="2">
        <v>17.760219516788599</v>
      </c>
      <c r="BQ1858" s="2">
        <v>17.579826875254401</v>
      </c>
      <c r="BR1858" s="2">
        <v>17.681649451563501</v>
      </c>
      <c r="BS1858" s="2">
        <v>17.065187960606501</v>
      </c>
      <c r="BT1858" s="2">
        <v>17.707919744647899</v>
      </c>
      <c r="BU1858" s="2">
        <v>17.001057044552901</v>
      </c>
      <c r="BV1858" s="2">
        <v>17.110251752872401</v>
      </c>
      <c r="BW1858" s="2">
        <v>17.637404179988</v>
      </c>
      <c r="BX1858" s="2">
        <v>17.285460017986502</v>
      </c>
      <c r="BY1858" s="2">
        <v>17.654479889397699</v>
      </c>
      <c r="BZ1858" s="2">
        <v>17.7729891328677</v>
      </c>
      <c r="CA1858" s="2">
        <v>17.735807865387098</v>
      </c>
      <c r="CB1858" s="2">
        <v>17.763231432799898</v>
      </c>
      <c r="CC1858" s="2">
        <v>17.4415004518149</v>
      </c>
      <c r="CD1858" s="2">
        <v>17.488614671606701</v>
      </c>
      <c r="CE1858" s="2">
        <v>17.276630968432599</v>
      </c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</row>
    <row r="1859" spans="1:97">
      <c r="A1859" s="2" t="s">
        <v>16352</v>
      </c>
      <c r="B1859" s="2">
        <v>329.06126</v>
      </c>
      <c r="C1859" s="2">
        <v>7.4089999999999998</v>
      </c>
      <c r="D1859" s="2" t="s">
        <v>146</v>
      </c>
      <c r="E1859" s="2" t="s">
        <v>16353</v>
      </c>
      <c r="F1859" s="2" t="s">
        <v>16354</v>
      </c>
      <c r="G1859" s="2">
        <v>10213</v>
      </c>
      <c r="H1859" s="3" t="str">
        <f>HYPERLINK("https://cloud.oebiotech.com/#/lm/network/10213", "https://cloud.oebiotech.com/#/lm/network/10213")</f>
        <v>https://cloud.oebiotech.com/#/lm/network/10213</v>
      </c>
      <c r="I1859" s="2"/>
      <c r="J1859" s="2"/>
      <c r="K1859" s="2" t="s">
        <v>16355</v>
      </c>
      <c r="L1859" s="2">
        <v>441643</v>
      </c>
      <c r="M1859" s="2"/>
      <c r="N1859" s="2"/>
      <c r="O1859" s="2"/>
      <c r="P1859" s="2">
        <v>9778</v>
      </c>
      <c r="Q1859" s="2"/>
      <c r="R1859" s="2"/>
      <c r="S1859" s="2"/>
      <c r="T1859" s="2" t="s">
        <v>16356</v>
      </c>
      <c r="U1859" s="2" t="s">
        <v>16357</v>
      </c>
      <c r="V1859" s="2" t="s">
        <v>338</v>
      </c>
      <c r="W1859" s="2" t="s">
        <v>339</v>
      </c>
      <c r="X1859" s="2" t="s">
        <v>663</v>
      </c>
      <c r="Y1859" s="2" t="s">
        <v>341</v>
      </c>
      <c r="Z1859" s="2" t="s">
        <v>341</v>
      </c>
      <c r="AA1859" s="2" t="s">
        <v>664</v>
      </c>
      <c r="AB1859" s="2" t="s">
        <v>5118</v>
      </c>
      <c r="AC1859" s="2">
        <v>39.229999999999997</v>
      </c>
      <c r="AD1859" s="2">
        <v>80.59</v>
      </c>
      <c r="AE1859" s="2">
        <v>79.819999999999993</v>
      </c>
      <c r="AF1859" s="2" t="s">
        <v>16358</v>
      </c>
      <c r="AG1859" s="2" t="s">
        <v>4062</v>
      </c>
      <c r="AH1859" s="2" t="s">
        <v>16359</v>
      </c>
      <c r="AI1859" s="2">
        <v>9.7200000000000006</v>
      </c>
      <c r="AJ1859" s="2">
        <v>23.385790766222598</v>
      </c>
      <c r="AK1859" s="2">
        <v>23.274399671666298</v>
      </c>
      <c r="AL1859" s="2">
        <v>23.101454739305399</v>
      </c>
      <c r="AM1859" s="2">
        <v>23.414182701278701</v>
      </c>
      <c r="AN1859" s="2">
        <v>23.187939583266001</v>
      </c>
      <c r="AO1859" s="2">
        <v>23.334914863222998</v>
      </c>
      <c r="AP1859" s="2">
        <v>23.324358205080301</v>
      </c>
      <c r="AQ1859" s="2">
        <v>23.273840018709599</v>
      </c>
      <c r="AR1859" s="2">
        <v>23.217069370459001</v>
      </c>
      <c r="AS1859" s="2">
        <v>22.179698246367</v>
      </c>
      <c r="AT1859" s="2">
        <v>23.5302320345934</v>
      </c>
      <c r="AU1859" s="2">
        <v>23.386970046971701</v>
      </c>
      <c r="AV1859" s="2">
        <v>22.380342943528799</v>
      </c>
      <c r="AW1859" s="2">
        <v>24.005464550684</v>
      </c>
      <c r="AX1859" s="2">
        <v>21.917751433327499</v>
      </c>
      <c r="AY1859" s="2">
        <v>22.4799915561719</v>
      </c>
      <c r="AZ1859" s="2">
        <v>21.979046579303802</v>
      </c>
      <c r="BA1859" s="2">
        <v>23.8256664553032</v>
      </c>
      <c r="BB1859" s="2">
        <v>22.924815360864699</v>
      </c>
      <c r="BC1859" s="2">
        <v>23.620012796093999</v>
      </c>
      <c r="BD1859" s="2">
        <v>23.502809936374501</v>
      </c>
      <c r="BE1859" s="2">
        <v>22.479906305600299</v>
      </c>
      <c r="BF1859" s="2">
        <v>22.572582867311699</v>
      </c>
      <c r="BG1859" s="2">
        <v>22.8392320500521</v>
      </c>
      <c r="BH1859" s="2">
        <v>23.015452914739502</v>
      </c>
      <c r="BI1859" s="2">
        <v>22.6089754799861</v>
      </c>
      <c r="BJ1859" s="2">
        <v>24.992414035141</v>
      </c>
      <c r="BK1859" s="2">
        <v>23.850466107517502</v>
      </c>
      <c r="BL1859" s="2">
        <v>23.119850973149202</v>
      </c>
      <c r="BM1859" s="2">
        <v>22.7623070423925</v>
      </c>
      <c r="BN1859" s="2">
        <v>23.8889736358188</v>
      </c>
      <c r="BO1859" s="2">
        <v>23.792943906067801</v>
      </c>
      <c r="BP1859" s="2">
        <v>20.287219682698101</v>
      </c>
      <c r="BQ1859" s="2">
        <v>23.369981597452099</v>
      </c>
      <c r="BR1859" s="2">
        <v>22.477049239904701</v>
      </c>
      <c r="BS1859" s="2">
        <v>22.7083576158958</v>
      </c>
      <c r="BT1859" s="2">
        <v>24.991521969768002</v>
      </c>
      <c r="BU1859" s="2">
        <v>23.692143146740101</v>
      </c>
      <c r="BV1859" s="2">
        <v>23.165989185917301</v>
      </c>
      <c r="BW1859" s="2">
        <v>21.6718008399315</v>
      </c>
      <c r="BX1859" s="2">
        <v>23.381565329156299</v>
      </c>
      <c r="BY1859" s="2">
        <v>22.7018159028055</v>
      </c>
      <c r="BZ1859" s="2">
        <v>21.3630781894582</v>
      </c>
      <c r="CA1859" s="2">
        <v>22.771411513428301</v>
      </c>
      <c r="CB1859" s="2">
        <v>21.432802841062902</v>
      </c>
      <c r="CC1859" s="2">
        <v>23.3868416557358</v>
      </c>
      <c r="CD1859" s="2">
        <v>23.589946330095</v>
      </c>
      <c r="CE1859" s="2">
        <v>23.692506178321601</v>
      </c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</row>
    <row r="1860" spans="1:97">
      <c r="A1860" s="2" t="s">
        <v>16360</v>
      </c>
      <c r="B1860" s="2">
        <v>165.07569000000001</v>
      </c>
      <c r="C1860" s="2">
        <v>9.8079999999999998</v>
      </c>
      <c r="D1860" s="2" t="s">
        <v>84</v>
      </c>
      <c r="E1860" s="2" t="s">
        <v>16361</v>
      </c>
      <c r="F1860" s="2" t="s">
        <v>16362</v>
      </c>
      <c r="G1860" s="2">
        <v>54187</v>
      </c>
      <c r="H1860" s="3" t="str">
        <f>HYPERLINK("https://cloud.oebiotech.com/#/lm/network/54187", "https://cloud.oebiotech.com/#/lm/network/54187")</f>
        <v>https://cloud.oebiotech.com/#/lm/network/54187</v>
      </c>
      <c r="I1860" s="2" t="s">
        <v>16363</v>
      </c>
      <c r="J1860" s="2">
        <v>24062</v>
      </c>
      <c r="K1860" s="2"/>
      <c r="L1860" s="2">
        <v>444200</v>
      </c>
      <c r="M1860" s="2" t="s">
        <v>16364</v>
      </c>
      <c r="N1860" s="2"/>
      <c r="O1860" s="2"/>
      <c r="P1860" s="2">
        <v>42564</v>
      </c>
      <c r="Q1860" s="2"/>
      <c r="R1860" s="2"/>
      <c r="S1860" s="2" t="s">
        <v>16365</v>
      </c>
      <c r="T1860" s="2" t="s">
        <v>16366</v>
      </c>
      <c r="U1860" s="2" t="s">
        <v>16367</v>
      </c>
      <c r="V1860" s="2" t="s">
        <v>338</v>
      </c>
      <c r="W1860" s="2" t="s">
        <v>339</v>
      </c>
      <c r="X1860" s="2" t="s">
        <v>663</v>
      </c>
      <c r="Y1860" s="2" t="s">
        <v>341</v>
      </c>
      <c r="Z1860" s="2" t="s">
        <v>341</v>
      </c>
      <c r="AA1860" s="2" t="s">
        <v>664</v>
      </c>
      <c r="AB1860" s="2" t="s">
        <v>8443</v>
      </c>
      <c r="AC1860" s="2">
        <v>39.22</v>
      </c>
      <c r="AD1860" s="2">
        <v>96.08</v>
      </c>
      <c r="AE1860" s="2">
        <v>0</v>
      </c>
      <c r="AF1860" s="2" t="s">
        <v>5614</v>
      </c>
      <c r="AG1860" s="2" t="s">
        <v>103</v>
      </c>
      <c r="AH1860" s="2" t="s">
        <v>6896</v>
      </c>
      <c r="AI1860" s="2">
        <v>0</v>
      </c>
      <c r="AJ1860" s="2">
        <v>18.304813320826302</v>
      </c>
      <c r="AK1860" s="2">
        <v>18.4807165311577</v>
      </c>
      <c r="AL1860" s="2">
        <v>18.646793604286199</v>
      </c>
      <c r="AM1860" s="2">
        <v>18.709476596414699</v>
      </c>
      <c r="AN1860" s="2">
        <v>18.983982404468399</v>
      </c>
      <c r="AO1860" s="2">
        <v>18.774671803313399</v>
      </c>
      <c r="AP1860" s="2">
        <v>18.5144573316724</v>
      </c>
      <c r="AQ1860" s="2">
        <v>18.475278322004499</v>
      </c>
      <c r="AR1860" s="2">
        <v>18.746987817995201</v>
      </c>
      <c r="AS1860" s="2">
        <v>17.3777610968652</v>
      </c>
      <c r="AT1860" s="2">
        <v>17.758323817749201</v>
      </c>
      <c r="AU1860" s="2">
        <v>17.957210779333099</v>
      </c>
      <c r="AV1860" s="2">
        <v>17.345070194980501</v>
      </c>
      <c r="AW1860" s="2">
        <v>17.708780997413399</v>
      </c>
      <c r="AX1860" s="2">
        <v>18.184932181215501</v>
      </c>
      <c r="AY1860" s="2">
        <v>17.716323128086099</v>
      </c>
      <c r="AZ1860" s="2">
        <v>17.587932182944201</v>
      </c>
      <c r="BA1860" s="2">
        <v>18.143518141442101</v>
      </c>
      <c r="BB1860" s="2">
        <v>18.102137805041</v>
      </c>
      <c r="BC1860" s="2">
        <v>17.819382786844201</v>
      </c>
      <c r="BD1860" s="2">
        <v>17.827135133165701</v>
      </c>
      <c r="BE1860" s="2">
        <v>18.642059028264299</v>
      </c>
      <c r="BF1860" s="2">
        <v>17.471944424615</v>
      </c>
      <c r="BG1860" s="2">
        <v>18.2602524398079</v>
      </c>
      <c r="BH1860" s="2">
        <v>17.773611225683702</v>
      </c>
      <c r="BI1860" s="2">
        <v>17.857987978792401</v>
      </c>
      <c r="BJ1860" s="2">
        <v>16.1367574640105</v>
      </c>
      <c r="BK1860" s="2">
        <v>16.996997831267599</v>
      </c>
      <c r="BL1860" s="2">
        <v>17.4659640253529</v>
      </c>
      <c r="BM1860" s="2">
        <v>17.560478454865098</v>
      </c>
      <c r="BN1860" s="2">
        <v>17.859800341482501</v>
      </c>
      <c r="BO1860" s="2">
        <v>17.820526527861102</v>
      </c>
      <c r="BP1860" s="2">
        <v>19.111333486107501</v>
      </c>
      <c r="BQ1860" s="2">
        <v>17.792921805126799</v>
      </c>
      <c r="BR1860" s="2">
        <v>17.615588833591602</v>
      </c>
      <c r="BS1860" s="2">
        <v>17.5893949833807</v>
      </c>
      <c r="BT1860" s="2">
        <v>17.767121972862</v>
      </c>
      <c r="BU1860" s="2">
        <v>17.8339110921018</v>
      </c>
      <c r="BV1860" s="2">
        <v>17.462945857404399</v>
      </c>
      <c r="BW1860" s="2">
        <v>17.204581460093198</v>
      </c>
      <c r="BX1860" s="2">
        <v>17.403899034260998</v>
      </c>
      <c r="BY1860" s="2">
        <v>19.827863408054402</v>
      </c>
      <c r="BZ1860" s="2">
        <v>19.013456562111301</v>
      </c>
      <c r="CA1860" s="2">
        <v>18.161265160744801</v>
      </c>
      <c r="CB1860" s="2">
        <v>18.156378306231701</v>
      </c>
      <c r="CC1860" s="2">
        <v>17.362897986279599</v>
      </c>
      <c r="CD1860" s="2">
        <v>17.767786680931099</v>
      </c>
      <c r="CE1860" s="2">
        <v>17.763296929673999</v>
      </c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</row>
    <row r="1861" spans="1:97">
      <c r="A1861" s="2" t="s">
        <v>16368</v>
      </c>
      <c r="B1861" s="2">
        <v>330.24561</v>
      </c>
      <c r="C1861" s="2">
        <v>9.1959999999999997</v>
      </c>
      <c r="D1861" s="2" t="s">
        <v>84</v>
      </c>
      <c r="E1861" s="2" t="s">
        <v>16369</v>
      </c>
      <c r="F1861" s="2" t="s">
        <v>16370</v>
      </c>
      <c r="G1861" s="2">
        <v>44996</v>
      </c>
      <c r="H1861" s="3" t="str">
        <f>HYPERLINK("https://cloud.oebiotech.com/#/lm/network/44996", "https://cloud.oebiotech.com/#/lm/network/44996")</f>
        <v>https://cloud.oebiotech.com/#/lm/network/44996</v>
      </c>
      <c r="I1861" s="2" t="s">
        <v>16371</v>
      </c>
      <c r="J1861" s="2">
        <v>977</v>
      </c>
      <c r="K1861" s="2" t="s">
        <v>16372</v>
      </c>
      <c r="L1861" s="2">
        <v>13109</v>
      </c>
      <c r="M1861" s="2" t="s">
        <v>16373</v>
      </c>
      <c r="N1861" s="2"/>
      <c r="O1861" s="2"/>
      <c r="P1861" s="2">
        <v>6443</v>
      </c>
      <c r="Q1861" s="2"/>
      <c r="R1861" s="2"/>
      <c r="S1861" s="2" t="s">
        <v>16374</v>
      </c>
      <c r="T1861" s="2" t="s">
        <v>16375</v>
      </c>
      <c r="U1861" s="2" t="s">
        <v>16376</v>
      </c>
      <c r="V1861" s="2" t="s">
        <v>95</v>
      </c>
      <c r="W1861" s="2" t="s">
        <v>152</v>
      </c>
      <c r="X1861" s="2" t="s">
        <v>5492</v>
      </c>
      <c r="Y1861" s="2" t="s">
        <v>98</v>
      </c>
      <c r="Z1861" s="2" t="s">
        <v>154</v>
      </c>
      <c r="AA1861" s="2" t="s">
        <v>5493</v>
      </c>
      <c r="AB1861" s="2" t="s">
        <v>5118</v>
      </c>
      <c r="AC1861" s="2">
        <v>39.22</v>
      </c>
      <c r="AD1861" s="2">
        <v>96.99</v>
      </c>
      <c r="AE1861" s="2">
        <v>50</v>
      </c>
      <c r="AF1861" s="2" t="s">
        <v>16377</v>
      </c>
      <c r="AG1861" s="2" t="s">
        <v>132</v>
      </c>
      <c r="AH1861" s="2" t="s">
        <v>16378</v>
      </c>
      <c r="AI1861" s="2">
        <v>-8.48</v>
      </c>
      <c r="AJ1861" s="2">
        <v>21.5136207839119</v>
      </c>
      <c r="AK1861" s="2">
        <v>21.345735976584699</v>
      </c>
      <c r="AL1861" s="2">
        <v>21.572627088585399</v>
      </c>
      <c r="AM1861" s="2">
        <v>21.584629283692902</v>
      </c>
      <c r="AN1861" s="2">
        <v>21.4832107363512</v>
      </c>
      <c r="AO1861" s="2">
        <v>21.644631166008601</v>
      </c>
      <c r="AP1861" s="2">
        <v>21.562564963410001</v>
      </c>
      <c r="AQ1861" s="2">
        <v>21.4971039419184</v>
      </c>
      <c r="AR1861" s="2">
        <v>19.8902377470415</v>
      </c>
      <c r="AS1861" s="2">
        <v>20.7983772660649</v>
      </c>
      <c r="AT1861" s="2">
        <v>21.030779970342198</v>
      </c>
      <c r="AU1861" s="2">
        <v>19.448099322080601</v>
      </c>
      <c r="AV1861" s="2">
        <v>21.182133765534601</v>
      </c>
      <c r="AW1861" s="2">
        <v>21.4292337472159</v>
      </c>
      <c r="AX1861" s="2">
        <v>21.295087987898899</v>
      </c>
      <c r="AY1861" s="2">
        <v>21.818957444348602</v>
      </c>
      <c r="AZ1861" s="2">
        <v>20.063948441887501</v>
      </c>
      <c r="BA1861" s="2">
        <v>21.804064062281899</v>
      </c>
      <c r="BB1861" s="2">
        <v>21.7167913922457</v>
      </c>
      <c r="BC1861" s="2">
        <v>22.788705850612001</v>
      </c>
      <c r="BD1861" s="2">
        <v>20.7215427680621</v>
      </c>
      <c r="BE1861" s="2">
        <v>21.7837239882986</v>
      </c>
      <c r="BF1861" s="2">
        <v>21.6165269790229</v>
      </c>
      <c r="BG1861" s="2">
        <v>20.8903016141346</v>
      </c>
      <c r="BH1861" s="2">
        <v>22.288517885728201</v>
      </c>
      <c r="BI1861" s="2">
        <v>21.545667509453398</v>
      </c>
      <c r="BJ1861" s="2">
        <v>21.467933649917398</v>
      </c>
      <c r="BK1861" s="2">
        <v>21.119095990732699</v>
      </c>
      <c r="BL1861" s="2">
        <v>20.953506602969199</v>
      </c>
      <c r="BM1861" s="2">
        <v>21.103034328295799</v>
      </c>
      <c r="BN1861" s="2">
        <v>21.689152168408601</v>
      </c>
      <c r="BO1861" s="2">
        <v>20.704447284177601</v>
      </c>
      <c r="BP1861" s="2">
        <v>20.4686713097826</v>
      </c>
      <c r="BQ1861" s="2">
        <v>20.819870666434198</v>
      </c>
      <c r="BR1861" s="2">
        <v>21.671582796999498</v>
      </c>
      <c r="BS1861" s="2">
        <v>21.2540763149489</v>
      </c>
      <c r="BT1861" s="2">
        <v>20.938991761716</v>
      </c>
      <c r="BU1861" s="2">
        <v>21.666100007199699</v>
      </c>
      <c r="BV1861" s="2">
        <v>21.337735707722</v>
      </c>
      <c r="BW1861" s="2">
        <v>21.862381413204499</v>
      </c>
      <c r="BX1861" s="2">
        <v>20.9802727805736</v>
      </c>
      <c r="BY1861" s="2">
        <v>22.240315820213201</v>
      </c>
      <c r="BZ1861" s="2">
        <v>21.141680938525202</v>
      </c>
      <c r="CA1861" s="2">
        <v>21.648208272306199</v>
      </c>
      <c r="CB1861" s="2">
        <v>20.557829824191099</v>
      </c>
      <c r="CC1861" s="2">
        <v>21.705918205994202</v>
      </c>
      <c r="CD1861" s="2">
        <v>21.5341909940846</v>
      </c>
      <c r="CE1861" s="2">
        <v>20.8768485127916</v>
      </c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</row>
    <row r="1862" spans="1:97">
      <c r="A1862" s="2" t="s">
        <v>16379</v>
      </c>
      <c r="B1862" s="2">
        <v>419.30887000000001</v>
      </c>
      <c r="C1862" s="2">
        <v>10.048</v>
      </c>
      <c r="D1862" s="2" t="s">
        <v>84</v>
      </c>
      <c r="E1862" s="2" t="s">
        <v>16380</v>
      </c>
      <c r="F1862" s="2" t="s">
        <v>16381</v>
      </c>
      <c r="G1862" s="2">
        <v>39008</v>
      </c>
      <c r="H1862" s="3" t="str">
        <f>HYPERLINK("https://cloud.oebiotech.com/#/lm/network/39008", "https://cloud.oebiotech.com/#/lm/network/39008")</f>
        <v>https://cloud.oebiotech.com/#/lm/network/39008</v>
      </c>
      <c r="I1862" s="2"/>
      <c r="J1862" s="2">
        <v>53966</v>
      </c>
      <c r="K1862" s="2" t="s">
        <v>16382</v>
      </c>
      <c r="L1862" s="2">
        <v>10938259</v>
      </c>
      <c r="M1862" s="2"/>
      <c r="N1862" s="2"/>
      <c r="O1862" s="2"/>
      <c r="P1862" s="2"/>
      <c r="Q1862" s="2"/>
      <c r="R1862" s="2"/>
      <c r="S1862" s="2"/>
      <c r="T1862" s="2" t="s">
        <v>16383</v>
      </c>
      <c r="U1862" s="2" t="s">
        <v>16384</v>
      </c>
      <c r="V1862" s="2" t="s">
        <v>95</v>
      </c>
      <c r="W1862" s="2" t="s">
        <v>96</v>
      </c>
      <c r="X1862" s="2" t="s">
        <v>141</v>
      </c>
      <c r="Y1862" s="2" t="s">
        <v>98</v>
      </c>
      <c r="Z1862" s="2" t="s">
        <v>99</v>
      </c>
      <c r="AA1862" s="2" t="s">
        <v>142</v>
      </c>
      <c r="AB1862" s="2" t="s">
        <v>5118</v>
      </c>
      <c r="AC1862" s="2">
        <v>39.22</v>
      </c>
      <c r="AD1862" s="2">
        <v>85.61</v>
      </c>
      <c r="AE1862" s="2">
        <v>48.9</v>
      </c>
      <c r="AF1862" s="2" t="s">
        <v>16385</v>
      </c>
      <c r="AG1862" s="2" t="s">
        <v>132</v>
      </c>
      <c r="AH1862" s="2" t="s">
        <v>16386</v>
      </c>
      <c r="AI1862" s="2">
        <v>6.44</v>
      </c>
      <c r="AJ1862" s="2">
        <v>19.8030913993171</v>
      </c>
      <c r="AK1862" s="2">
        <v>20.0634272087044</v>
      </c>
      <c r="AL1862" s="2">
        <v>20.3596953806131</v>
      </c>
      <c r="AM1862" s="2">
        <v>20.514442440829999</v>
      </c>
      <c r="AN1862" s="2">
        <v>20.304567144662698</v>
      </c>
      <c r="AO1862" s="2">
        <v>20.026733557290001</v>
      </c>
      <c r="AP1862" s="2">
        <v>20.5328569378979</v>
      </c>
      <c r="AQ1862" s="2">
        <v>20.501090371694801</v>
      </c>
      <c r="AR1862" s="2">
        <v>20.541562397817302</v>
      </c>
      <c r="AS1862" s="2">
        <v>19.9381624778581</v>
      </c>
      <c r="AT1862" s="2">
        <v>20.098281777950898</v>
      </c>
      <c r="AU1862" s="2">
        <v>19.8421817588527</v>
      </c>
      <c r="AV1862" s="2">
        <v>19.514600395362798</v>
      </c>
      <c r="AW1862" s="2">
        <v>20.623141190710101</v>
      </c>
      <c r="AX1862" s="2">
        <v>20.093485550202502</v>
      </c>
      <c r="AY1862" s="2">
        <v>20.570085163661101</v>
      </c>
      <c r="AZ1862" s="2">
        <v>20.0035230864633</v>
      </c>
      <c r="BA1862" s="2">
        <v>19.600198330386501</v>
      </c>
      <c r="BB1862" s="2">
        <v>20.1870046924588</v>
      </c>
      <c r="BC1862" s="2">
        <v>19.841348108466502</v>
      </c>
      <c r="BD1862" s="2">
        <v>20.312082317687</v>
      </c>
      <c r="BE1862" s="2">
        <v>20.099110387208199</v>
      </c>
      <c r="BF1862" s="2">
        <v>20.220341741178899</v>
      </c>
      <c r="BG1862" s="2">
        <v>19.914425938053402</v>
      </c>
      <c r="BH1862" s="2">
        <v>20.354688726893698</v>
      </c>
      <c r="BI1862" s="2">
        <v>20.073115411055799</v>
      </c>
      <c r="BJ1862" s="2">
        <v>19.695374763588301</v>
      </c>
      <c r="BK1862" s="2">
        <v>20.390918523864698</v>
      </c>
      <c r="BL1862" s="2">
        <v>20.189580770356699</v>
      </c>
      <c r="BM1862" s="2">
        <v>19.3886946302712</v>
      </c>
      <c r="BN1862" s="2">
        <v>20.038668743740601</v>
      </c>
      <c r="BO1862" s="2">
        <v>20.3669596671585</v>
      </c>
      <c r="BP1862" s="2">
        <v>19.612056173292899</v>
      </c>
      <c r="BQ1862" s="2">
        <v>19.525000155287799</v>
      </c>
      <c r="BR1862" s="2">
        <v>19.812409023682299</v>
      </c>
      <c r="BS1862" s="2">
        <v>20.041624290078101</v>
      </c>
      <c r="BT1862" s="2">
        <v>20.1944721408303</v>
      </c>
      <c r="BU1862" s="2">
        <v>20.186078466801199</v>
      </c>
      <c r="BV1862" s="2">
        <v>20.645817366988101</v>
      </c>
      <c r="BW1862" s="2">
        <v>20.391062573992301</v>
      </c>
      <c r="BX1862" s="2">
        <v>19.830976590361999</v>
      </c>
      <c r="BY1862" s="2">
        <v>20.070170077576499</v>
      </c>
      <c r="BZ1862" s="2">
        <v>20.3884329927971</v>
      </c>
      <c r="CA1862" s="2">
        <v>20.2444581446581</v>
      </c>
      <c r="CB1862" s="2">
        <v>20.3449592303892</v>
      </c>
      <c r="CC1862" s="2">
        <v>20.057372025289698</v>
      </c>
      <c r="CD1862" s="2">
        <v>20.479013314723701</v>
      </c>
      <c r="CE1862" s="2">
        <v>19.985843048546801</v>
      </c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</row>
    <row r="1863" spans="1:97">
      <c r="A1863" s="2" t="s">
        <v>16387</v>
      </c>
      <c r="B1863" s="2">
        <v>133.05162999999999</v>
      </c>
      <c r="C1863" s="2">
        <v>4.6760000000000002</v>
      </c>
      <c r="D1863" s="2" t="s">
        <v>84</v>
      </c>
      <c r="E1863" s="2" t="s">
        <v>16388</v>
      </c>
      <c r="F1863" s="2" t="s">
        <v>16389</v>
      </c>
      <c r="G1863" s="2">
        <v>48036</v>
      </c>
      <c r="H1863" s="3" t="str">
        <f>HYPERLINK("https://cloud.oebiotech.com/#/lm/network/48036", "https://cloud.oebiotech.com/#/lm/network/48036")</f>
        <v>https://cloud.oebiotech.com/#/lm/network/48036</v>
      </c>
      <c r="I1863" s="2" t="s">
        <v>16390</v>
      </c>
      <c r="J1863" s="2"/>
      <c r="K1863" s="2"/>
      <c r="L1863" s="2">
        <v>66089</v>
      </c>
      <c r="M1863" s="2"/>
      <c r="N1863" s="2"/>
      <c r="O1863" s="2"/>
      <c r="P1863" s="2">
        <v>145737</v>
      </c>
      <c r="Q1863" s="2"/>
      <c r="R1863" s="2"/>
      <c r="S1863" s="2" t="s">
        <v>16391</v>
      </c>
      <c r="T1863" s="2" t="s">
        <v>16392</v>
      </c>
      <c r="U1863" s="2" t="s">
        <v>16393</v>
      </c>
      <c r="V1863" s="2" t="s">
        <v>553</v>
      </c>
      <c r="W1863" s="2" t="s">
        <v>949</v>
      </c>
      <c r="X1863" s="2" t="s">
        <v>950</v>
      </c>
      <c r="Y1863" s="2" t="s">
        <v>556</v>
      </c>
      <c r="Z1863" s="2" t="s">
        <v>951</v>
      </c>
      <c r="AA1863" s="2" t="s">
        <v>952</v>
      </c>
      <c r="AB1863" s="2" t="s">
        <v>8443</v>
      </c>
      <c r="AC1863" s="2">
        <v>39.22</v>
      </c>
      <c r="AD1863" s="2">
        <v>96.12</v>
      </c>
      <c r="AE1863" s="2">
        <v>0</v>
      </c>
      <c r="AF1863" s="2" t="s">
        <v>5614</v>
      </c>
      <c r="AG1863" s="2" t="s">
        <v>1088</v>
      </c>
      <c r="AH1863" s="2" t="s">
        <v>16394</v>
      </c>
      <c r="AI1863" s="2">
        <v>-0.75</v>
      </c>
      <c r="AJ1863" s="2">
        <v>18.323125543646199</v>
      </c>
      <c r="AK1863" s="2">
        <v>18.165335320244001</v>
      </c>
      <c r="AL1863" s="2">
        <v>18.974123849080399</v>
      </c>
      <c r="AM1863" s="2">
        <v>18.061915655388098</v>
      </c>
      <c r="AN1863" s="2">
        <v>17.9564201176651</v>
      </c>
      <c r="AO1863" s="2">
        <v>18.375682663176299</v>
      </c>
      <c r="AP1863" s="2">
        <v>18.7475804785565</v>
      </c>
      <c r="AQ1863" s="2">
        <v>18.7233978069332</v>
      </c>
      <c r="AR1863" s="2">
        <v>9.6233145402724691</v>
      </c>
      <c r="AS1863" s="2">
        <v>9.6233145402724691</v>
      </c>
      <c r="AT1863" s="2">
        <v>18.7811401674082</v>
      </c>
      <c r="AU1863" s="2">
        <v>19.250526157599602</v>
      </c>
      <c r="AV1863" s="2">
        <v>17.959226952086802</v>
      </c>
      <c r="AW1863" s="2">
        <v>18.8983346124703</v>
      </c>
      <c r="AX1863" s="2">
        <v>18.366292968977099</v>
      </c>
      <c r="AY1863" s="2">
        <v>18.755617033698201</v>
      </c>
      <c r="AZ1863" s="2">
        <v>18.297114063939102</v>
      </c>
      <c r="BA1863" s="2">
        <v>18.504726908009701</v>
      </c>
      <c r="BB1863" s="2">
        <v>17.690217985831101</v>
      </c>
      <c r="BC1863" s="2">
        <v>19.628195942643501</v>
      </c>
      <c r="BD1863" s="2">
        <v>19.049919736103</v>
      </c>
      <c r="BE1863" s="2">
        <v>19.687491909374501</v>
      </c>
      <c r="BF1863" s="2">
        <v>19.507956110700299</v>
      </c>
      <c r="BG1863" s="2">
        <v>17.8838823329842</v>
      </c>
      <c r="BH1863" s="2">
        <v>19.303403823040998</v>
      </c>
      <c r="BI1863" s="2">
        <v>19.406509694561802</v>
      </c>
      <c r="BJ1863" s="2">
        <v>15.2065267789818</v>
      </c>
      <c r="BK1863" s="2">
        <v>19.0882217802978</v>
      </c>
      <c r="BL1863" s="2">
        <v>19.4156273617205</v>
      </c>
      <c r="BM1863" s="2">
        <v>18.8058619930097</v>
      </c>
      <c r="BN1863" s="2">
        <v>19.058351484654899</v>
      </c>
      <c r="BO1863" s="2">
        <v>18.545106294749601</v>
      </c>
      <c r="BP1863" s="2">
        <v>18.4955587409993</v>
      </c>
      <c r="BQ1863" s="2">
        <v>18.193619154575199</v>
      </c>
      <c r="BR1863" s="2">
        <v>16.705861164888599</v>
      </c>
      <c r="BS1863" s="2">
        <v>19.1098029353772</v>
      </c>
      <c r="BT1863" s="2">
        <v>16.933355941856199</v>
      </c>
      <c r="BU1863" s="2">
        <v>18.7859512458474</v>
      </c>
      <c r="BV1863" s="2">
        <v>18.0009717461203</v>
      </c>
      <c r="BW1863" s="2">
        <v>17.620920265370401</v>
      </c>
      <c r="BX1863" s="2">
        <v>19.414895716694101</v>
      </c>
      <c r="BY1863" s="2">
        <v>19.6453193110965</v>
      </c>
      <c r="BZ1863" s="2">
        <v>17.517354363889801</v>
      </c>
      <c r="CA1863" s="2">
        <v>15.8253565899457</v>
      </c>
      <c r="CB1863" s="2">
        <v>13.588001308873</v>
      </c>
      <c r="CC1863" s="2">
        <v>19.5984431165861</v>
      </c>
      <c r="CD1863" s="2">
        <v>18.507955181870901</v>
      </c>
      <c r="CE1863" s="2">
        <v>19.399422070804501</v>
      </c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</row>
    <row r="1864" spans="1:97">
      <c r="A1864" s="2" t="s">
        <v>16395</v>
      </c>
      <c r="B1864" s="2">
        <v>237.01472999999999</v>
      </c>
      <c r="C1864" s="2">
        <v>6.6310000000000002</v>
      </c>
      <c r="D1864" s="2" t="s">
        <v>84</v>
      </c>
      <c r="E1864" s="2" t="s">
        <v>16396</v>
      </c>
      <c r="F1864" s="2" t="s">
        <v>16397</v>
      </c>
      <c r="G1864" s="2">
        <v>207755</v>
      </c>
      <c r="H1864" s="3" t="str">
        <f>HYPERLINK("https://cloud.oebiotech.com/#/lm/network/207755", "https://cloud.oebiotech.com/#/lm/network/207755")</f>
        <v>https://cloud.oebiotech.com/#/lm/network/207755</v>
      </c>
      <c r="I1864" s="2" t="s">
        <v>16398</v>
      </c>
      <c r="J1864" s="2"/>
      <c r="K1864" s="2"/>
      <c r="L1864" s="2">
        <v>129668652</v>
      </c>
      <c r="M1864" s="2"/>
      <c r="N1864" s="2"/>
      <c r="O1864" s="2"/>
      <c r="P1864" s="2"/>
      <c r="Q1864" s="2"/>
      <c r="R1864" s="2"/>
      <c r="S1864" s="2"/>
      <c r="T1864" s="2" t="s">
        <v>16399</v>
      </c>
      <c r="U1864" s="2" t="s">
        <v>16400</v>
      </c>
      <c r="V1864" s="2" t="s">
        <v>115</v>
      </c>
      <c r="W1864" s="2" t="s">
        <v>116</v>
      </c>
      <c r="X1864" s="2" t="s">
        <v>1642</v>
      </c>
      <c r="Y1864" s="2" t="s">
        <v>118</v>
      </c>
      <c r="Z1864" s="2" t="s">
        <v>119</v>
      </c>
      <c r="AA1864" s="2" t="s">
        <v>1643</v>
      </c>
      <c r="AB1864" s="2" t="s">
        <v>8443</v>
      </c>
      <c r="AC1864" s="2">
        <v>39.22</v>
      </c>
      <c r="AD1864" s="2">
        <v>96.12</v>
      </c>
      <c r="AE1864" s="2">
        <v>0</v>
      </c>
      <c r="AF1864" s="2" t="s">
        <v>16401</v>
      </c>
      <c r="AG1864" s="2" t="s">
        <v>1088</v>
      </c>
      <c r="AH1864" s="2" t="s">
        <v>16402</v>
      </c>
      <c r="AI1864" s="2">
        <v>0.42</v>
      </c>
      <c r="AJ1864" s="2">
        <v>21.025901529612799</v>
      </c>
      <c r="AK1864" s="2">
        <v>21.288012654288099</v>
      </c>
      <c r="AL1864" s="2">
        <v>21.507600349466401</v>
      </c>
      <c r="AM1864" s="2">
        <v>21.404623720446299</v>
      </c>
      <c r="AN1864" s="2">
        <v>21.386943465020899</v>
      </c>
      <c r="AO1864" s="2">
        <v>21.226350620514399</v>
      </c>
      <c r="AP1864" s="2">
        <v>21.250503182851201</v>
      </c>
      <c r="AQ1864" s="2">
        <v>21.351551947375199</v>
      </c>
      <c r="AR1864" s="2">
        <v>21.248692972757301</v>
      </c>
      <c r="AS1864" s="2">
        <v>21.262755898912101</v>
      </c>
      <c r="AT1864" s="2">
        <v>21.099229655986001</v>
      </c>
      <c r="AU1864" s="2">
        <v>21.183257162807401</v>
      </c>
      <c r="AV1864" s="2">
        <v>21.273280411830701</v>
      </c>
      <c r="AW1864" s="2">
        <v>21.302716655607501</v>
      </c>
      <c r="AX1864" s="2">
        <v>21.2468353905175</v>
      </c>
      <c r="AY1864" s="2">
        <v>21.281491435908901</v>
      </c>
      <c r="AZ1864" s="2">
        <v>21.176106654926201</v>
      </c>
      <c r="BA1864" s="2">
        <v>21.130446504228502</v>
      </c>
      <c r="BB1864" s="2">
        <v>21.2925570395542</v>
      </c>
      <c r="BC1864" s="2">
        <v>21.188461503484302</v>
      </c>
      <c r="BD1864" s="2">
        <v>21.277564869817599</v>
      </c>
      <c r="BE1864" s="2">
        <v>21.172091859045899</v>
      </c>
      <c r="BF1864" s="2">
        <v>21.2256913837839</v>
      </c>
      <c r="BG1864" s="2">
        <v>21.3251299271599</v>
      </c>
      <c r="BH1864" s="2">
        <v>21.258349854960699</v>
      </c>
      <c r="BI1864" s="2">
        <v>21.308516834963701</v>
      </c>
      <c r="BJ1864" s="2">
        <v>21.176457789444999</v>
      </c>
      <c r="BK1864" s="2">
        <v>21.310272579779799</v>
      </c>
      <c r="BL1864" s="2">
        <v>20.909020770553301</v>
      </c>
      <c r="BM1864" s="2">
        <v>21.200563247389699</v>
      </c>
      <c r="BN1864" s="2">
        <v>21.1180510804903</v>
      </c>
      <c r="BO1864" s="2">
        <v>21.2233099547236</v>
      </c>
      <c r="BP1864" s="2">
        <v>21.285784417753501</v>
      </c>
      <c r="BQ1864" s="2">
        <v>21.383829356956099</v>
      </c>
      <c r="BR1864" s="2">
        <v>21.0930781419064</v>
      </c>
      <c r="BS1864" s="2">
        <v>21.296181256452101</v>
      </c>
      <c r="BT1864" s="2">
        <v>21.148404559828599</v>
      </c>
      <c r="BU1864" s="2">
        <v>21.282267061158599</v>
      </c>
      <c r="BV1864" s="2">
        <v>20.976229015331501</v>
      </c>
      <c r="BW1864" s="2">
        <v>21.178954214102699</v>
      </c>
      <c r="BX1864" s="2">
        <v>21.1527045240619</v>
      </c>
      <c r="BY1864" s="2">
        <v>21.023385337404999</v>
      </c>
      <c r="BZ1864" s="2">
        <v>21.076527438886099</v>
      </c>
      <c r="CA1864" s="2">
        <v>21.109632141278102</v>
      </c>
      <c r="CB1864" s="2">
        <v>21.3749546360207</v>
      </c>
      <c r="CC1864" s="2">
        <v>21.284086024399201</v>
      </c>
      <c r="CD1864" s="2">
        <v>21.2121624183828</v>
      </c>
      <c r="CE1864" s="2">
        <v>21.2147847534523</v>
      </c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</row>
    <row r="1865" spans="1:97">
      <c r="A1865" s="2" t="s">
        <v>16403</v>
      </c>
      <c r="B1865" s="2">
        <v>505.27670000000001</v>
      </c>
      <c r="C1865" s="2">
        <v>9.34</v>
      </c>
      <c r="D1865" s="2" t="s">
        <v>84</v>
      </c>
      <c r="E1865" s="2" t="s">
        <v>16404</v>
      </c>
      <c r="F1865" s="2"/>
      <c r="G1865" s="2">
        <v>594787</v>
      </c>
      <c r="H1865" s="3" t="str">
        <f>HYPERLINK("https://cloud.oebiotech.com/#/lm/network/594787", "https://cloud.oebiotech.com/#/lm/network/594787")</f>
        <v>https://cloud.oebiotech.com/#/lm/network/594787</v>
      </c>
      <c r="I1865" s="2"/>
      <c r="J1865" s="2"/>
      <c r="K1865" s="2"/>
      <c r="L1865" s="2">
        <v>18631913</v>
      </c>
      <c r="M1865" s="2"/>
      <c r="N1865" s="2"/>
      <c r="O1865" s="2"/>
      <c r="P1865" s="2"/>
      <c r="Q1865" s="2"/>
      <c r="R1865" s="2"/>
      <c r="S1865" s="2"/>
      <c r="T1865" s="2" t="s">
        <v>16405</v>
      </c>
      <c r="U1865" s="2" t="s">
        <v>16406</v>
      </c>
      <c r="V1865" s="2" t="s">
        <v>95</v>
      </c>
      <c r="W1865" s="2" t="s">
        <v>152</v>
      </c>
      <c r="X1865" s="2" t="s">
        <v>1420</v>
      </c>
      <c r="Y1865" s="2" t="s">
        <v>98</v>
      </c>
      <c r="Z1865" s="2" t="s">
        <v>154</v>
      </c>
      <c r="AA1865" s="2" t="s">
        <v>1421</v>
      </c>
      <c r="AB1865" s="2" t="s">
        <v>8443</v>
      </c>
      <c r="AC1865" s="2">
        <v>39.22</v>
      </c>
      <c r="AD1865" s="2">
        <v>74.92</v>
      </c>
      <c r="AE1865" s="2">
        <v>43.7</v>
      </c>
      <c r="AF1865" s="2" t="s">
        <v>16407</v>
      </c>
      <c r="AG1865" s="2" t="s">
        <v>3544</v>
      </c>
      <c r="AH1865" s="2" t="s">
        <v>16408</v>
      </c>
      <c r="AI1865" s="2">
        <v>-3.76</v>
      </c>
      <c r="AJ1865" s="2">
        <v>19.238276814643601</v>
      </c>
      <c r="AK1865" s="2">
        <v>18.814301663520801</v>
      </c>
      <c r="AL1865" s="2">
        <v>19.0504113012808</v>
      </c>
      <c r="AM1865" s="2">
        <v>18.917908083487401</v>
      </c>
      <c r="AN1865" s="2">
        <v>19.161886157399199</v>
      </c>
      <c r="AO1865" s="2">
        <v>18.901358329697501</v>
      </c>
      <c r="AP1865" s="2">
        <v>18.959217243095502</v>
      </c>
      <c r="AQ1865" s="2">
        <v>18.658019771408899</v>
      </c>
      <c r="AR1865" s="2">
        <v>9.6233145402724691</v>
      </c>
      <c r="AS1865" s="2">
        <v>18.677692083029001</v>
      </c>
      <c r="AT1865" s="2">
        <v>9.6233145402724691</v>
      </c>
      <c r="AU1865" s="2">
        <v>9.6233145402724691</v>
      </c>
      <c r="AV1865" s="2">
        <v>16.256447913653901</v>
      </c>
      <c r="AW1865" s="2">
        <v>19.1551975427207</v>
      </c>
      <c r="AX1865" s="2">
        <v>9.6233145402724691</v>
      </c>
      <c r="AY1865" s="2">
        <v>19.264566301624502</v>
      </c>
      <c r="AZ1865" s="2">
        <v>13.9869717123476</v>
      </c>
      <c r="BA1865" s="2">
        <v>16.601628043661101</v>
      </c>
      <c r="BB1865" s="2">
        <v>9.6233145402724691</v>
      </c>
      <c r="BC1865" s="2">
        <v>16.492528731773099</v>
      </c>
      <c r="BD1865" s="2">
        <v>9.6233145402724691</v>
      </c>
      <c r="BE1865" s="2">
        <v>13.886836848682499</v>
      </c>
      <c r="BF1865" s="2">
        <v>9.6233145402724691</v>
      </c>
      <c r="BG1865" s="2">
        <v>9.6233145402724691</v>
      </c>
      <c r="BH1865" s="2">
        <v>9.6233145402724691</v>
      </c>
      <c r="BI1865" s="2">
        <v>21.7941719171857</v>
      </c>
      <c r="BJ1865" s="2">
        <v>18.034356594497101</v>
      </c>
      <c r="BK1865" s="2">
        <v>16.358934108394699</v>
      </c>
      <c r="BL1865" s="2">
        <v>9.6233145402724691</v>
      </c>
      <c r="BM1865" s="2">
        <v>16.040927095914501</v>
      </c>
      <c r="BN1865" s="2">
        <v>15.4031089147676</v>
      </c>
      <c r="BO1865" s="2">
        <v>9.6233145402724691</v>
      </c>
      <c r="BP1865" s="2">
        <v>22.489349933210001</v>
      </c>
      <c r="BQ1865" s="2">
        <v>21.303041112979301</v>
      </c>
      <c r="BR1865" s="2">
        <v>13.969180535837101</v>
      </c>
      <c r="BS1865" s="2">
        <v>21.260522741640099</v>
      </c>
      <c r="BT1865" s="2">
        <v>9.6233145402724691</v>
      </c>
      <c r="BU1865" s="2">
        <v>19.570818091124</v>
      </c>
      <c r="BV1865" s="2">
        <v>17.923205367482002</v>
      </c>
      <c r="BW1865" s="2">
        <v>9.6233145402724691</v>
      </c>
      <c r="BX1865" s="2">
        <v>15.0865484358172</v>
      </c>
      <c r="BY1865" s="2">
        <v>19.348253983243701</v>
      </c>
      <c r="BZ1865" s="2">
        <v>9.6233145402724691</v>
      </c>
      <c r="CA1865" s="2">
        <v>9.6233145402724691</v>
      </c>
      <c r="CB1865" s="2">
        <v>22.4191158254608</v>
      </c>
      <c r="CC1865" s="2">
        <v>20.5019328205207</v>
      </c>
      <c r="CD1865" s="2">
        <v>17.2215217967535</v>
      </c>
      <c r="CE1865" s="2">
        <v>17.769811634638</v>
      </c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</row>
    <row r="1866" spans="1:97">
      <c r="A1866" s="2" t="s">
        <v>16409</v>
      </c>
      <c r="B1866" s="2">
        <v>112.11218</v>
      </c>
      <c r="C1866" s="2">
        <v>3.8410000000000002</v>
      </c>
      <c r="D1866" s="2" t="s">
        <v>84</v>
      </c>
      <c r="E1866" s="2" t="s">
        <v>16410</v>
      </c>
      <c r="F1866" s="2" t="s">
        <v>16411</v>
      </c>
      <c r="G1866" s="2">
        <v>83395</v>
      </c>
      <c r="H1866" s="3" t="str">
        <f>HYPERLINK("https://cloud.oebiotech.com/#/lm/network/83395", "https://cloud.oebiotech.com/#/lm/network/83395")</f>
        <v>https://cloud.oebiotech.com/#/lm/network/83395</v>
      </c>
      <c r="I1866" s="2" t="s">
        <v>16412</v>
      </c>
      <c r="J1866" s="2"/>
      <c r="K1866" s="2"/>
      <c r="L1866" s="2">
        <v>5367390</v>
      </c>
      <c r="M1866" s="2"/>
      <c r="N1866" s="2"/>
      <c r="O1866" s="2"/>
      <c r="P1866" s="2"/>
      <c r="Q1866" s="2"/>
      <c r="R1866" s="2"/>
      <c r="S1866" s="2"/>
      <c r="T1866" s="2" t="s">
        <v>16413</v>
      </c>
      <c r="U1866" s="2" t="s">
        <v>16414</v>
      </c>
      <c r="V1866" s="2" t="s">
        <v>10755</v>
      </c>
      <c r="W1866" s="2" t="s">
        <v>10756</v>
      </c>
      <c r="X1866" s="2" t="s">
        <v>12793</v>
      </c>
      <c r="Y1866" s="2" t="s">
        <v>10758</v>
      </c>
      <c r="Z1866" s="2" t="s">
        <v>10759</v>
      </c>
      <c r="AA1866" s="2" t="s">
        <v>12794</v>
      </c>
      <c r="AB1866" s="2" t="s">
        <v>8443</v>
      </c>
      <c r="AC1866" s="2">
        <v>39.19</v>
      </c>
      <c r="AD1866" s="2">
        <v>95.96</v>
      </c>
      <c r="AE1866" s="2">
        <v>0</v>
      </c>
      <c r="AF1866" s="2" t="s">
        <v>5614</v>
      </c>
      <c r="AG1866" s="2" t="s">
        <v>132</v>
      </c>
      <c r="AH1866" s="2" t="s">
        <v>16415</v>
      </c>
      <c r="AI1866" s="2">
        <v>-0.89</v>
      </c>
      <c r="AJ1866" s="2">
        <v>18.186803012288799</v>
      </c>
      <c r="AK1866" s="2">
        <v>18.134295604155199</v>
      </c>
      <c r="AL1866" s="2">
        <v>18.218274927567901</v>
      </c>
      <c r="AM1866" s="2">
        <v>18.186692188600201</v>
      </c>
      <c r="AN1866" s="2">
        <v>18.131177825199099</v>
      </c>
      <c r="AO1866" s="2">
        <v>18.1479296089007</v>
      </c>
      <c r="AP1866" s="2">
        <v>18.535816118818499</v>
      </c>
      <c r="AQ1866" s="2">
        <v>18.288594137715101</v>
      </c>
      <c r="AR1866" s="2">
        <v>18.241435780770999</v>
      </c>
      <c r="AS1866" s="2">
        <v>17.618400558932901</v>
      </c>
      <c r="AT1866" s="2">
        <v>18.359672187687401</v>
      </c>
      <c r="AU1866" s="2">
        <v>18.091704120684501</v>
      </c>
      <c r="AV1866" s="2">
        <v>18.156584951000099</v>
      </c>
      <c r="AW1866" s="2">
        <v>18.2752360817829</v>
      </c>
      <c r="AX1866" s="2">
        <v>17.7405624509103</v>
      </c>
      <c r="AY1866" s="2">
        <v>18.0970805168533</v>
      </c>
      <c r="AZ1866" s="2">
        <v>18.208900321101201</v>
      </c>
      <c r="BA1866" s="2">
        <v>16.7855524673678</v>
      </c>
      <c r="BB1866" s="2">
        <v>17.490482621060998</v>
      </c>
      <c r="BC1866" s="2">
        <v>18.161328743875799</v>
      </c>
      <c r="BD1866" s="2">
        <v>16.563074095660799</v>
      </c>
      <c r="BE1866" s="2">
        <v>18.682804012108999</v>
      </c>
      <c r="BF1866" s="2">
        <v>17.813095435033301</v>
      </c>
      <c r="BG1866" s="2">
        <v>18.531060770977302</v>
      </c>
      <c r="BH1866" s="2">
        <v>17.281698069008598</v>
      </c>
      <c r="BI1866" s="2">
        <v>17.956534408476699</v>
      </c>
      <c r="BJ1866" s="2">
        <v>18.20996575541</v>
      </c>
      <c r="BK1866" s="2">
        <v>18.5340911261241</v>
      </c>
      <c r="BL1866" s="2">
        <v>17.649937333017601</v>
      </c>
      <c r="BM1866" s="2">
        <v>17.785276015866899</v>
      </c>
      <c r="BN1866" s="2">
        <v>18.476884336958399</v>
      </c>
      <c r="BO1866" s="2">
        <v>17.696546361854701</v>
      </c>
      <c r="BP1866" s="2">
        <v>17.439311542993199</v>
      </c>
      <c r="BQ1866" s="2">
        <v>19.4419298177176</v>
      </c>
      <c r="BR1866" s="2">
        <v>17.356965309397701</v>
      </c>
      <c r="BS1866" s="2">
        <v>17.204765031573199</v>
      </c>
      <c r="BT1866" s="2">
        <v>18.751302404168602</v>
      </c>
      <c r="BU1866" s="2">
        <v>18.467805088083502</v>
      </c>
      <c r="BV1866" s="2">
        <v>18.156831256597101</v>
      </c>
      <c r="BW1866" s="2">
        <v>16.802911239756401</v>
      </c>
      <c r="BX1866" s="2">
        <v>17.575870545310899</v>
      </c>
      <c r="BY1866" s="2">
        <v>19.260173517559299</v>
      </c>
      <c r="BZ1866" s="2">
        <v>17.2480210342158</v>
      </c>
      <c r="CA1866" s="2">
        <v>17.111617004612899</v>
      </c>
      <c r="CB1866" s="2">
        <v>18.759634887251298</v>
      </c>
      <c r="CC1866" s="2">
        <v>18.465643562443699</v>
      </c>
      <c r="CD1866" s="2">
        <v>18.4049285774312</v>
      </c>
      <c r="CE1866" s="2">
        <v>18.290451439340899</v>
      </c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</row>
    <row r="1867" spans="1:97">
      <c r="A1867" s="2" t="s">
        <v>16416</v>
      </c>
      <c r="B1867" s="2">
        <v>208.98444000000001</v>
      </c>
      <c r="C1867" s="2">
        <v>5.9909999999999997</v>
      </c>
      <c r="D1867" s="2" t="s">
        <v>146</v>
      </c>
      <c r="E1867" s="2" t="s">
        <v>16417</v>
      </c>
      <c r="F1867" s="2" t="s">
        <v>16418</v>
      </c>
      <c r="G1867" s="2">
        <v>58294</v>
      </c>
      <c r="H1867" s="3" t="str">
        <f>HYPERLINK("https://cloud.oebiotech.com/#/lm/network/58294", "https://cloud.oebiotech.com/#/lm/network/58294")</f>
        <v>https://cloud.oebiotech.com/#/lm/network/58294</v>
      </c>
      <c r="I1867" s="2" t="s">
        <v>16419</v>
      </c>
      <c r="J1867" s="2">
        <v>89788</v>
      </c>
      <c r="K1867" s="2"/>
      <c r="L1867" s="2">
        <v>6870</v>
      </c>
      <c r="M1867" s="2"/>
      <c r="N1867" s="2"/>
      <c r="O1867" s="2"/>
      <c r="P1867" s="2">
        <v>156450</v>
      </c>
      <c r="Q1867" s="2"/>
      <c r="R1867" s="2"/>
      <c r="S1867" s="2" t="s">
        <v>16420</v>
      </c>
      <c r="T1867" s="2" t="s">
        <v>16421</v>
      </c>
      <c r="U1867" s="2" t="s">
        <v>16422</v>
      </c>
      <c r="V1867" s="2" t="s">
        <v>166</v>
      </c>
      <c r="W1867" s="2" t="s">
        <v>167</v>
      </c>
      <c r="X1867" s="2" t="s">
        <v>10889</v>
      </c>
      <c r="Y1867" s="2" t="s">
        <v>169</v>
      </c>
      <c r="Z1867" s="2" t="s">
        <v>169</v>
      </c>
      <c r="AA1867" s="2" t="s">
        <v>10890</v>
      </c>
      <c r="AB1867" s="2" t="s">
        <v>8443</v>
      </c>
      <c r="AC1867" s="2">
        <v>39.19</v>
      </c>
      <c r="AD1867" s="2">
        <v>95.93</v>
      </c>
      <c r="AE1867" s="2">
        <v>0</v>
      </c>
      <c r="AF1867" s="2" t="s">
        <v>16423</v>
      </c>
      <c r="AG1867" s="2" t="s">
        <v>993</v>
      </c>
      <c r="AH1867" s="2" t="s">
        <v>16424</v>
      </c>
      <c r="AI1867" s="2">
        <v>-0.48</v>
      </c>
      <c r="AJ1867" s="2">
        <v>23.0681035868934</v>
      </c>
      <c r="AK1867" s="2">
        <v>23.088167467810901</v>
      </c>
      <c r="AL1867" s="2">
        <v>23.1236327851813</v>
      </c>
      <c r="AM1867" s="2">
        <v>23.2171560878745</v>
      </c>
      <c r="AN1867" s="2">
        <v>23.006202522101798</v>
      </c>
      <c r="AO1867" s="2">
        <v>23.013069166585499</v>
      </c>
      <c r="AP1867" s="2">
        <v>23.0122746712801</v>
      </c>
      <c r="AQ1867" s="2">
        <v>23.1058914040429</v>
      </c>
      <c r="AR1867" s="2">
        <v>22.935841098715301</v>
      </c>
      <c r="AS1867" s="2">
        <v>23.298501229525002</v>
      </c>
      <c r="AT1867" s="2">
        <v>22.992510084511999</v>
      </c>
      <c r="AU1867" s="2">
        <v>23.278202009211</v>
      </c>
      <c r="AV1867" s="2">
        <v>22.851469054248799</v>
      </c>
      <c r="AW1867" s="2">
        <v>23.243745147585201</v>
      </c>
      <c r="AX1867" s="2">
        <v>22.6824319324698</v>
      </c>
      <c r="AY1867" s="2">
        <v>22.964374647420101</v>
      </c>
      <c r="AZ1867" s="2">
        <v>22.641092576286599</v>
      </c>
      <c r="BA1867" s="2">
        <v>22.831866663253699</v>
      </c>
      <c r="BB1867" s="2">
        <v>22.924874740562299</v>
      </c>
      <c r="BC1867" s="2">
        <v>22.440973175326398</v>
      </c>
      <c r="BD1867" s="2">
        <v>22.730589356502801</v>
      </c>
      <c r="BE1867" s="2">
        <v>22.444022352050499</v>
      </c>
      <c r="BF1867" s="2">
        <v>22.7381442813159</v>
      </c>
      <c r="BG1867" s="2">
        <v>23.081563877674999</v>
      </c>
      <c r="BH1867" s="2">
        <v>22.889174914465901</v>
      </c>
      <c r="BI1867" s="2">
        <v>22.907943671412198</v>
      </c>
      <c r="BJ1867" s="2">
        <v>23.3452453971815</v>
      </c>
      <c r="BK1867" s="2">
        <v>23.281330134446598</v>
      </c>
      <c r="BL1867" s="2">
        <v>23.020950393101199</v>
      </c>
      <c r="BM1867" s="2">
        <v>22.925770297748301</v>
      </c>
      <c r="BN1867" s="2">
        <v>22.797051382659401</v>
      </c>
      <c r="BO1867" s="2">
        <v>22.9392934354996</v>
      </c>
      <c r="BP1867" s="2">
        <v>22.763680006561898</v>
      </c>
      <c r="BQ1867" s="2">
        <v>23.294236992074499</v>
      </c>
      <c r="BR1867" s="2">
        <v>22.979031359445099</v>
      </c>
      <c r="BS1867" s="2">
        <v>22.8200321288796</v>
      </c>
      <c r="BT1867" s="2">
        <v>22.976000502535602</v>
      </c>
      <c r="BU1867" s="2">
        <v>22.705105696322001</v>
      </c>
      <c r="BV1867" s="2">
        <v>23.064578088171999</v>
      </c>
      <c r="BW1867" s="2">
        <v>23.1394107852282</v>
      </c>
      <c r="BX1867" s="2">
        <v>23.0043304598573</v>
      </c>
      <c r="BY1867" s="2">
        <v>22.476513806223299</v>
      </c>
      <c r="BZ1867" s="2">
        <v>23.064034905876099</v>
      </c>
      <c r="CA1867" s="2">
        <v>22.822370879952601</v>
      </c>
      <c r="CB1867" s="2">
        <v>23.299854708146999</v>
      </c>
      <c r="CC1867" s="2">
        <v>22.847395222099099</v>
      </c>
      <c r="CD1867" s="2">
        <v>22.847566570451001</v>
      </c>
      <c r="CE1867" s="2">
        <v>22.7276002369154</v>
      </c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</row>
    <row r="1868" spans="1:97">
      <c r="A1868" s="2" t="s">
        <v>16425</v>
      </c>
      <c r="B1868" s="2">
        <v>270.98892000000001</v>
      </c>
      <c r="C1868" s="2">
        <v>4.665</v>
      </c>
      <c r="D1868" s="2" t="s">
        <v>146</v>
      </c>
      <c r="E1868" s="2" t="s">
        <v>16426</v>
      </c>
      <c r="F1868" s="2" t="s">
        <v>16427</v>
      </c>
      <c r="G1868" s="2">
        <v>52761</v>
      </c>
      <c r="H1868" s="3" t="str">
        <f>HYPERLINK("https://cloud.oebiotech.com/#/lm/network/52761", "https://cloud.oebiotech.com/#/lm/network/52761")</f>
        <v>https://cloud.oebiotech.com/#/lm/network/52761</v>
      </c>
      <c r="I1868" s="2" t="s">
        <v>16428</v>
      </c>
      <c r="J1868" s="2">
        <v>85373</v>
      </c>
      <c r="K1868" s="2"/>
      <c r="L1868" s="2">
        <v>68740</v>
      </c>
      <c r="M1868" s="2"/>
      <c r="N1868" s="2"/>
      <c r="O1868" s="2"/>
      <c r="P1868" s="2">
        <v>46557</v>
      </c>
      <c r="Q1868" s="2" t="s">
        <v>16429</v>
      </c>
      <c r="R1868" s="2" t="s">
        <v>16430</v>
      </c>
      <c r="S1868" s="2" t="s">
        <v>16431</v>
      </c>
      <c r="T1868" s="2" t="s">
        <v>16432</v>
      </c>
      <c r="U1868" s="2" t="s">
        <v>16433</v>
      </c>
      <c r="V1868" s="2" t="s">
        <v>115</v>
      </c>
      <c r="W1868" s="2" t="s">
        <v>5349</v>
      </c>
      <c r="X1868" s="2" t="s">
        <v>15939</v>
      </c>
      <c r="Y1868" s="2" t="s">
        <v>118</v>
      </c>
      <c r="Z1868" s="2" t="s">
        <v>5351</v>
      </c>
      <c r="AA1868" s="2" t="s">
        <v>15940</v>
      </c>
      <c r="AB1868" s="2" t="s">
        <v>8443</v>
      </c>
      <c r="AC1868" s="2">
        <v>39.17</v>
      </c>
      <c r="AD1868" s="2">
        <v>95.87</v>
      </c>
      <c r="AE1868" s="2">
        <v>0</v>
      </c>
      <c r="AF1868" s="2" t="s">
        <v>16434</v>
      </c>
      <c r="AG1868" s="2" t="s">
        <v>194</v>
      </c>
      <c r="AH1868" s="2" t="s">
        <v>16435</v>
      </c>
      <c r="AI1868" s="2">
        <v>0.37</v>
      </c>
      <c r="AJ1868" s="2">
        <v>16.342297814156701</v>
      </c>
      <c r="AK1868" s="2">
        <v>16.953909847173598</v>
      </c>
      <c r="AL1868" s="2">
        <v>17.109184846604698</v>
      </c>
      <c r="AM1868" s="2">
        <v>17.201220995880998</v>
      </c>
      <c r="AN1868" s="2">
        <v>16.886363546523299</v>
      </c>
      <c r="AO1868" s="2">
        <v>16.446256714596601</v>
      </c>
      <c r="AP1868" s="2">
        <v>16.9109248012984</v>
      </c>
      <c r="AQ1868" s="2">
        <v>16.0599810768541</v>
      </c>
      <c r="AR1868" s="2">
        <v>16.194827825702099</v>
      </c>
      <c r="AS1868" s="2">
        <v>15.278208771172901</v>
      </c>
      <c r="AT1868" s="2">
        <v>9.6233145402724691</v>
      </c>
      <c r="AU1868" s="2">
        <v>11.927966803539601</v>
      </c>
      <c r="AV1868" s="2">
        <v>18.3588437745737</v>
      </c>
      <c r="AW1868" s="2">
        <v>9.6233145402724691</v>
      </c>
      <c r="AX1868" s="2">
        <v>17.239672455780301</v>
      </c>
      <c r="AY1868" s="2">
        <v>17.287342370995798</v>
      </c>
      <c r="AZ1868" s="2">
        <v>15.298523362995899</v>
      </c>
      <c r="BA1868" s="2">
        <v>9.6233145402724691</v>
      </c>
      <c r="BB1868" s="2">
        <v>16.8182569902444</v>
      </c>
      <c r="BC1868" s="2">
        <v>11.9923648252382</v>
      </c>
      <c r="BD1868" s="2">
        <v>17.0518015853071</v>
      </c>
      <c r="BE1868" s="2">
        <v>18.2575111376091</v>
      </c>
      <c r="BF1868" s="2">
        <v>17.677586901315401</v>
      </c>
      <c r="BG1868" s="2">
        <v>9.6233145402724691</v>
      </c>
      <c r="BH1868" s="2">
        <v>16.462993610114001</v>
      </c>
      <c r="BI1868" s="2">
        <v>16.7454839441756</v>
      </c>
      <c r="BJ1868" s="2">
        <v>16.380449734801601</v>
      </c>
      <c r="BK1868" s="2">
        <v>12.0961122586865</v>
      </c>
      <c r="BL1868" s="2">
        <v>17.711405235522601</v>
      </c>
      <c r="BM1868" s="2">
        <v>13.061772823015399</v>
      </c>
      <c r="BN1868" s="2">
        <v>12.967638758755299</v>
      </c>
      <c r="BO1868" s="2">
        <v>12.4242424115481</v>
      </c>
      <c r="BP1868" s="2">
        <v>16.014104183265701</v>
      </c>
      <c r="BQ1868" s="2">
        <v>15.020522949462499</v>
      </c>
      <c r="BR1868" s="2">
        <v>15.8192265930949</v>
      </c>
      <c r="BS1868" s="2">
        <v>17.9305307830037</v>
      </c>
      <c r="BT1868" s="2">
        <v>17.872383185936702</v>
      </c>
      <c r="BU1868" s="2">
        <v>14.0819934840905</v>
      </c>
      <c r="BV1868" s="2">
        <v>9.6233145402724691</v>
      </c>
      <c r="BW1868" s="2">
        <v>9.6233145402724691</v>
      </c>
      <c r="BX1868" s="2">
        <v>18.5836124612688</v>
      </c>
      <c r="BY1868" s="2">
        <v>17.958717637221099</v>
      </c>
      <c r="BZ1868" s="2">
        <v>12.9899656457556</v>
      </c>
      <c r="CA1868" s="2">
        <v>9.6233145402724691</v>
      </c>
      <c r="CB1868" s="2">
        <v>17.070945330734599</v>
      </c>
      <c r="CC1868" s="2">
        <v>9.6233145402724691</v>
      </c>
      <c r="CD1868" s="2">
        <v>17.704185997896801</v>
      </c>
      <c r="CE1868" s="2">
        <v>9.6233145402724691</v>
      </c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</row>
    <row r="1869" spans="1:97">
      <c r="A1869" s="2" t="s">
        <v>16436</v>
      </c>
      <c r="B1869" s="2">
        <v>122.07129999999999</v>
      </c>
      <c r="C1869" s="2">
        <v>14.805999999999999</v>
      </c>
      <c r="D1869" s="2" t="s">
        <v>84</v>
      </c>
      <c r="E1869" s="2" t="s">
        <v>16437</v>
      </c>
      <c r="F1869" s="2" t="s">
        <v>16438</v>
      </c>
      <c r="G1869" s="2">
        <v>211332</v>
      </c>
      <c r="H1869" s="3" t="str">
        <f>HYPERLINK("https://cloud.oebiotech.com/#/lm/network/211332", "https://cloud.oebiotech.com/#/lm/network/211332")</f>
        <v>https://cloud.oebiotech.com/#/lm/network/211332</v>
      </c>
      <c r="I1869" s="2" t="s">
        <v>16439</v>
      </c>
      <c r="J1869" s="2"/>
      <c r="K1869" s="2"/>
      <c r="L1869" s="2">
        <v>54252693</v>
      </c>
      <c r="M1869" s="2"/>
      <c r="N1869" s="2"/>
      <c r="O1869" s="2"/>
      <c r="P1869" s="2"/>
      <c r="Q1869" s="2"/>
      <c r="R1869" s="2"/>
      <c r="S1869" s="2"/>
      <c r="T1869" s="2" t="s">
        <v>16440</v>
      </c>
      <c r="U1869" s="2" t="s">
        <v>16441</v>
      </c>
      <c r="V1869" s="2" t="s">
        <v>553</v>
      </c>
      <c r="W1869" s="2" t="s">
        <v>2447</v>
      </c>
      <c r="X1869" s="2" t="s">
        <v>375</v>
      </c>
      <c r="Y1869" s="2" t="s">
        <v>556</v>
      </c>
      <c r="Z1869" s="2" t="s">
        <v>2449</v>
      </c>
      <c r="AA1869" s="2"/>
      <c r="AB1869" s="2" t="s">
        <v>8443</v>
      </c>
      <c r="AC1869" s="2">
        <v>39.17</v>
      </c>
      <c r="AD1869" s="2">
        <v>95.83</v>
      </c>
      <c r="AE1869" s="2">
        <v>0</v>
      </c>
      <c r="AF1869" s="2" t="s">
        <v>5614</v>
      </c>
      <c r="AG1869" s="2" t="s">
        <v>103</v>
      </c>
      <c r="AH1869" s="2" t="s">
        <v>16442</v>
      </c>
      <c r="AI1869" s="2">
        <v>0</v>
      </c>
      <c r="AJ1869" s="2">
        <v>24.012274640585499</v>
      </c>
      <c r="AK1869" s="2">
        <v>23.988325715244699</v>
      </c>
      <c r="AL1869" s="2">
        <v>22.769391332068899</v>
      </c>
      <c r="AM1869" s="2">
        <v>23.7506184019995</v>
      </c>
      <c r="AN1869" s="2">
        <v>23.989973394808501</v>
      </c>
      <c r="AO1869" s="2">
        <v>23.729185680495199</v>
      </c>
      <c r="AP1869" s="2">
        <v>23.969005541531601</v>
      </c>
      <c r="AQ1869" s="2">
        <v>23.942572138231</v>
      </c>
      <c r="AR1869" s="2">
        <v>24.018305023428798</v>
      </c>
      <c r="AS1869" s="2">
        <v>24.199166045407299</v>
      </c>
      <c r="AT1869" s="2">
        <v>23.1190596651055</v>
      </c>
      <c r="AU1869" s="2">
        <v>23.0784051513767</v>
      </c>
      <c r="AV1869" s="2">
        <v>23.303178201363099</v>
      </c>
      <c r="AW1869" s="2">
        <v>23.983584848909398</v>
      </c>
      <c r="AX1869" s="2">
        <v>22.926297039134301</v>
      </c>
      <c r="AY1869" s="2">
        <v>22.407189744523201</v>
      </c>
      <c r="AZ1869" s="2">
        <v>22.489102081657599</v>
      </c>
      <c r="BA1869" s="2">
        <v>24.135497327738001</v>
      </c>
      <c r="BB1869" s="2">
        <v>23.941350209202199</v>
      </c>
      <c r="BC1869" s="2">
        <v>24.0792231900259</v>
      </c>
      <c r="BD1869" s="2">
        <v>23.995822043272799</v>
      </c>
      <c r="BE1869" s="2">
        <v>24.0542079177789</v>
      </c>
      <c r="BF1869" s="2">
        <v>24.061344192408999</v>
      </c>
      <c r="BG1869" s="2">
        <v>21.651294076478202</v>
      </c>
      <c r="BH1869" s="2">
        <v>23.985777872443801</v>
      </c>
      <c r="BI1869" s="2">
        <v>23.941805381802801</v>
      </c>
      <c r="BJ1869" s="2">
        <v>23.118731837959501</v>
      </c>
      <c r="BK1869" s="2">
        <v>22.487725064579202</v>
      </c>
      <c r="BL1869" s="2">
        <v>23.951892892854801</v>
      </c>
      <c r="BM1869" s="2">
        <v>22.912178452187899</v>
      </c>
      <c r="BN1869" s="2">
        <v>23.733065561894801</v>
      </c>
      <c r="BO1869" s="2">
        <v>24.0172000806038</v>
      </c>
      <c r="BP1869" s="2">
        <v>23.589365071019301</v>
      </c>
      <c r="BQ1869" s="2">
        <v>22.526337361467299</v>
      </c>
      <c r="BR1869" s="2">
        <v>23.734756760982201</v>
      </c>
      <c r="BS1869" s="2">
        <v>23.973882141485401</v>
      </c>
      <c r="BT1869" s="2">
        <v>23.1080015842305</v>
      </c>
      <c r="BU1869" s="2">
        <v>22.362674154562601</v>
      </c>
      <c r="BV1869" s="2">
        <v>23.718166425135401</v>
      </c>
      <c r="BW1869" s="2">
        <v>23.656757847773001</v>
      </c>
      <c r="BX1869" s="2">
        <v>23.898850089153399</v>
      </c>
      <c r="BY1869" s="2">
        <v>23.833901793006302</v>
      </c>
      <c r="BZ1869" s="2">
        <v>22.565233830698102</v>
      </c>
      <c r="CA1869" s="2">
        <v>23.124813612401201</v>
      </c>
      <c r="CB1869" s="2">
        <v>23.995887055231201</v>
      </c>
      <c r="CC1869" s="2">
        <v>23.662134361745601</v>
      </c>
      <c r="CD1869" s="2">
        <v>23.086567630594299</v>
      </c>
      <c r="CE1869" s="2">
        <v>23.875365272203599</v>
      </c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</row>
    <row r="1870" spans="1:97">
      <c r="A1870" s="2" t="s">
        <v>16443</v>
      </c>
      <c r="B1870" s="2">
        <v>345.05613</v>
      </c>
      <c r="C1870" s="2">
        <v>4.952</v>
      </c>
      <c r="D1870" s="2" t="s">
        <v>146</v>
      </c>
      <c r="E1870" s="2" t="s">
        <v>16444</v>
      </c>
      <c r="F1870" s="2" t="s">
        <v>16445</v>
      </c>
      <c r="G1870" s="2">
        <v>63540</v>
      </c>
      <c r="H1870" s="3" t="str">
        <f>HYPERLINK("https://cloud.oebiotech.com/#/lm/network/63540", "https://cloud.oebiotech.com/#/lm/network/63540")</f>
        <v>https://cloud.oebiotech.com/#/lm/network/63540</v>
      </c>
      <c r="I1870" s="2" t="s">
        <v>16446</v>
      </c>
      <c r="J1870" s="2">
        <v>94871</v>
      </c>
      <c r="K1870" s="2"/>
      <c r="L1870" s="2">
        <v>15127378</v>
      </c>
      <c r="M1870" s="2"/>
      <c r="N1870" s="2"/>
      <c r="O1870" s="2"/>
      <c r="P1870" s="2"/>
      <c r="Q1870" s="2"/>
      <c r="R1870" s="2"/>
      <c r="S1870" s="2" t="s">
        <v>16447</v>
      </c>
      <c r="T1870" s="2" t="s">
        <v>16448</v>
      </c>
      <c r="U1870" s="2" t="s">
        <v>16449</v>
      </c>
      <c r="V1870" s="2" t="s">
        <v>553</v>
      </c>
      <c r="W1870" s="2" t="s">
        <v>2193</v>
      </c>
      <c r="X1870" s="2" t="s">
        <v>4866</v>
      </c>
      <c r="Y1870" s="2" t="s">
        <v>556</v>
      </c>
      <c r="Z1870" s="2" t="s">
        <v>2194</v>
      </c>
      <c r="AA1870" s="2" t="s">
        <v>4867</v>
      </c>
      <c r="AB1870" s="2" t="s">
        <v>5118</v>
      </c>
      <c r="AC1870" s="2">
        <v>39.17</v>
      </c>
      <c r="AD1870" s="2">
        <v>75.69</v>
      </c>
      <c r="AE1870" s="2">
        <v>69.23</v>
      </c>
      <c r="AF1870" s="2" t="s">
        <v>16450</v>
      </c>
      <c r="AG1870" s="2" t="s">
        <v>4062</v>
      </c>
      <c r="AH1870" s="2" t="s">
        <v>16451</v>
      </c>
      <c r="AI1870" s="2">
        <v>-7.54</v>
      </c>
      <c r="AJ1870" s="2">
        <v>21.711015800545901</v>
      </c>
      <c r="AK1870" s="2">
        <v>21.734311725727199</v>
      </c>
      <c r="AL1870" s="2">
        <v>21.756505748479</v>
      </c>
      <c r="AM1870" s="2">
        <v>21.873917850112399</v>
      </c>
      <c r="AN1870" s="2">
        <v>21.9338470748574</v>
      </c>
      <c r="AO1870" s="2">
        <v>21.855155593124699</v>
      </c>
      <c r="AP1870" s="2">
        <v>21.527397525179101</v>
      </c>
      <c r="AQ1870" s="2">
        <v>21.854153278385699</v>
      </c>
      <c r="AR1870" s="2">
        <v>20.761198977090501</v>
      </c>
      <c r="AS1870" s="2">
        <v>20.336469392308501</v>
      </c>
      <c r="AT1870" s="2">
        <v>20.8158068207794</v>
      </c>
      <c r="AU1870" s="2">
        <v>22.3174898766109</v>
      </c>
      <c r="AV1870" s="2">
        <v>21.156600071692299</v>
      </c>
      <c r="AW1870" s="2">
        <v>21.254148355472399</v>
      </c>
      <c r="AX1870" s="2">
        <v>20.330254365582299</v>
      </c>
      <c r="AY1870" s="2">
        <v>20.045059422467599</v>
      </c>
      <c r="AZ1870" s="2">
        <v>20.854518630826099</v>
      </c>
      <c r="BA1870" s="2">
        <v>22.618206201488</v>
      </c>
      <c r="BB1870" s="2">
        <v>22.658710688504499</v>
      </c>
      <c r="BC1870" s="2">
        <v>22.376043806454302</v>
      </c>
      <c r="BD1870" s="2">
        <v>22.376235872021802</v>
      </c>
      <c r="BE1870" s="2">
        <v>21.105224213983</v>
      </c>
      <c r="BF1870" s="2">
        <v>21.4175400038114</v>
      </c>
      <c r="BG1870" s="2">
        <v>21.605625553303799</v>
      </c>
      <c r="BH1870" s="2">
        <v>22.413561377445699</v>
      </c>
      <c r="BI1870" s="2">
        <v>20.391482093518299</v>
      </c>
      <c r="BJ1870" s="2">
        <v>22.777332406265401</v>
      </c>
      <c r="BK1870" s="2">
        <v>22.942135976177799</v>
      </c>
      <c r="BL1870" s="2">
        <v>21.797406990473299</v>
      </c>
      <c r="BM1870" s="2">
        <v>21.649128863719501</v>
      </c>
      <c r="BN1870" s="2">
        <v>22.0536290248954</v>
      </c>
      <c r="BO1870" s="2">
        <v>22.346457347031201</v>
      </c>
      <c r="BP1870" s="2">
        <v>20.548315835488999</v>
      </c>
      <c r="BQ1870" s="2">
        <v>20.820111423338599</v>
      </c>
      <c r="BR1870" s="2">
        <v>20.426413959454202</v>
      </c>
      <c r="BS1870" s="2">
        <v>20.738637438428</v>
      </c>
      <c r="BT1870" s="2">
        <v>23.224728063817398</v>
      </c>
      <c r="BU1870" s="2">
        <v>22.530467718366602</v>
      </c>
      <c r="BV1870" s="2">
        <v>22.161326049523598</v>
      </c>
      <c r="BW1870" s="2">
        <v>21.428705736787101</v>
      </c>
      <c r="BX1870" s="2">
        <v>22.235751679072301</v>
      </c>
      <c r="BY1870" s="2">
        <v>21.4243653744943</v>
      </c>
      <c r="BZ1870" s="2">
        <v>20.807537664161998</v>
      </c>
      <c r="CA1870" s="2">
        <v>21.2690528650948</v>
      </c>
      <c r="CB1870" s="2">
        <v>21.442490482366502</v>
      </c>
      <c r="CC1870" s="2">
        <v>20.529991119206699</v>
      </c>
      <c r="CD1870" s="2">
        <v>22.3820258269402</v>
      </c>
      <c r="CE1870" s="2">
        <v>22.774073065550802</v>
      </c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</row>
    <row r="1871" spans="1:97">
      <c r="A1871" s="2" t="s">
        <v>16452</v>
      </c>
      <c r="B1871" s="2">
        <v>130.12258</v>
      </c>
      <c r="C1871" s="2">
        <v>5.3479999999999999</v>
      </c>
      <c r="D1871" s="2" t="s">
        <v>84</v>
      </c>
      <c r="E1871" s="2" t="s">
        <v>16453</v>
      </c>
      <c r="F1871" s="2" t="s">
        <v>16454</v>
      </c>
      <c r="G1871" s="2">
        <v>47528</v>
      </c>
      <c r="H1871" s="3" t="str">
        <f>HYPERLINK("https://cloud.oebiotech.com/#/lm/network/47528", "https://cloud.oebiotech.com/#/lm/network/47528")</f>
        <v>https://cloud.oebiotech.com/#/lm/network/47528</v>
      </c>
      <c r="I1871" s="2" t="s">
        <v>16455</v>
      </c>
      <c r="J1871" s="2">
        <v>350092</v>
      </c>
      <c r="K1871" s="2"/>
      <c r="L1871" s="2">
        <v>133</v>
      </c>
      <c r="M1871" s="2" t="s">
        <v>16456</v>
      </c>
      <c r="N1871" s="2" t="s">
        <v>1030</v>
      </c>
      <c r="O1871" s="2" t="s">
        <v>1031</v>
      </c>
      <c r="P1871" s="2">
        <v>18020</v>
      </c>
      <c r="Q1871" s="2" t="s">
        <v>1032</v>
      </c>
      <c r="R1871" s="2" t="s">
        <v>1033</v>
      </c>
      <c r="S1871" s="2" t="s">
        <v>16457</v>
      </c>
      <c r="T1871" s="2" t="s">
        <v>16458</v>
      </c>
      <c r="U1871" s="2" t="s">
        <v>16459</v>
      </c>
      <c r="V1871" s="2" t="s">
        <v>338</v>
      </c>
      <c r="W1871" s="2" t="s">
        <v>339</v>
      </c>
      <c r="X1871" s="2" t="s">
        <v>340</v>
      </c>
      <c r="Y1871" s="2" t="s">
        <v>341</v>
      </c>
      <c r="Z1871" s="2" t="s">
        <v>341</v>
      </c>
      <c r="AA1871" s="2" t="s">
        <v>342</v>
      </c>
      <c r="AB1871" s="2" t="s">
        <v>8443</v>
      </c>
      <c r="AC1871" s="2">
        <v>39.15</v>
      </c>
      <c r="AD1871" s="2">
        <v>95.75</v>
      </c>
      <c r="AE1871" s="2">
        <v>0</v>
      </c>
      <c r="AF1871" s="2" t="s">
        <v>5614</v>
      </c>
      <c r="AG1871" s="2" t="s">
        <v>4104</v>
      </c>
      <c r="AH1871" s="2" t="s">
        <v>16460</v>
      </c>
      <c r="AI1871" s="2">
        <v>0</v>
      </c>
      <c r="AJ1871" s="2">
        <v>20.671433284518098</v>
      </c>
      <c r="AK1871" s="2">
        <v>20.505614587702901</v>
      </c>
      <c r="AL1871" s="2">
        <v>20.822752667164899</v>
      </c>
      <c r="AM1871" s="2">
        <v>20.494424312357701</v>
      </c>
      <c r="AN1871" s="2">
        <v>20.4705304009508</v>
      </c>
      <c r="AO1871" s="2">
        <v>20.611431991376801</v>
      </c>
      <c r="AP1871" s="2">
        <v>20.473574475883598</v>
      </c>
      <c r="AQ1871" s="2">
        <v>20.625454713678302</v>
      </c>
      <c r="AR1871" s="2">
        <v>19.554486572970301</v>
      </c>
      <c r="AS1871" s="2">
        <v>19.122338252585099</v>
      </c>
      <c r="AT1871" s="2">
        <v>20.625813248133898</v>
      </c>
      <c r="AU1871" s="2">
        <v>20.5792632462773</v>
      </c>
      <c r="AV1871" s="2">
        <v>20.692491353003199</v>
      </c>
      <c r="AW1871" s="2">
        <v>20.564540434302</v>
      </c>
      <c r="AX1871" s="2">
        <v>20.573834804339</v>
      </c>
      <c r="AY1871" s="2">
        <v>20.707895165968999</v>
      </c>
      <c r="AZ1871" s="2">
        <v>20.654060291025299</v>
      </c>
      <c r="BA1871" s="2">
        <v>20.433436130656698</v>
      </c>
      <c r="BB1871" s="2">
        <v>19.982353686278199</v>
      </c>
      <c r="BC1871" s="2">
        <v>20.756486927314899</v>
      </c>
      <c r="BD1871" s="2">
        <v>20.583331669925599</v>
      </c>
      <c r="BE1871" s="2">
        <v>21.172310672934501</v>
      </c>
      <c r="BF1871" s="2">
        <v>20.851772049920399</v>
      </c>
      <c r="BG1871" s="2">
        <v>19.6076893352637</v>
      </c>
      <c r="BH1871" s="2">
        <v>20.816874555743599</v>
      </c>
      <c r="BI1871" s="2">
        <v>20.931154723394599</v>
      </c>
      <c r="BJ1871" s="2">
        <v>20.016185675075</v>
      </c>
      <c r="BK1871" s="2">
        <v>20.748014623214999</v>
      </c>
      <c r="BL1871" s="2">
        <v>20.507074237239401</v>
      </c>
      <c r="BM1871" s="2">
        <v>21.440638163440902</v>
      </c>
      <c r="BN1871" s="2">
        <v>20.6907272160574</v>
      </c>
      <c r="BO1871" s="2">
        <v>20.777439967248</v>
      </c>
      <c r="BP1871" s="2">
        <v>20.871226830113599</v>
      </c>
      <c r="BQ1871" s="2">
        <v>20.3368692713297</v>
      </c>
      <c r="BR1871" s="2">
        <v>20.0621416591217</v>
      </c>
      <c r="BS1871" s="2">
        <v>20.765911440352099</v>
      </c>
      <c r="BT1871" s="2">
        <v>19.1838581929273</v>
      </c>
      <c r="BU1871" s="2">
        <v>21.127935704507902</v>
      </c>
      <c r="BV1871" s="2">
        <v>19.222449821124101</v>
      </c>
      <c r="BW1871" s="2">
        <v>19.780456834088</v>
      </c>
      <c r="BX1871" s="2">
        <v>20.929069353202699</v>
      </c>
      <c r="BY1871" s="2">
        <v>21.599833109252501</v>
      </c>
      <c r="BZ1871" s="2">
        <v>19.994841269502899</v>
      </c>
      <c r="CA1871" s="2">
        <v>19.5669853838608</v>
      </c>
      <c r="CB1871" s="2">
        <v>19.432274208387302</v>
      </c>
      <c r="CC1871" s="2">
        <v>20.909475953430601</v>
      </c>
      <c r="CD1871" s="2">
        <v>20.718879828992598</v>
      </c>
      <c r="CE1871" s="2">
        <v>20.630166499796299</v>
      </c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</row>
    <row r="1872" spans="1:97">
      <c r="A1872" s="2" t="s">
        <v>16461</v>
      </c>
      <c r="B1872" s="2">
        <v>114.12779999999999</v>
      </c>
      <c r="C1872" s="2">
        <v>4.3070000000000004</v>
      </c>
      <c r="D1872" s="2" t="s">
        <v>84</v>
      </c>
      <c r="E1872" s="2" t="s">
        <v>16462</v>
      </c>
      <c r="F1872" s="2" t="s">
        <v>16463</v>
      </c>
      <c r="G1872" s="2">
        <v>205401</v>
      </c>
      <c r="H1872" s="3" t="str">
        <f>HYPERLINK("https://cloud.oebiotech.com/#/lm/network/205401", "https://cloud.oebiotech.com/#/lm/network/205401")</f>
        <v>https://cloud.oebiotech.com/#/lm/network/205401</v>
      </c>
      <c r="I1872" s="2" t="s">
        <v>16464</v>
      </c>
      <c r="J1872" s="2"/>
      <c r="K1872" s="2"/>
      <c r="L1872" s="2">
        <v>76688</v>
      </c>
      <c r="M1872" s="2"/>
      <c r="N1872" s="2"/>
      <c r="O1872" s="2"/>
      <c r="P1872" s="2"/>
      <c r="Q1872" s="2"/>
      <c r="R1872" s="2"/>
      <c r="S1872" s="2"/>
      <c r="T1872" s="2" t="s">
        <v>16465</v>
      </c>
      <c r="U1872" s="2" t="s">
        <v>16466</v>
      </c>
      <c r="V1872" s="2" t="s">
        <v>166</v>
      </c>
      <c r="W1872" s="2" t="s">
        <v>167</v>
      </c>
      <c r="X1872" s="2" t="s">
        <v>482</v>
      </c>
      <c r="Y1872" s="2" t="s">
        <v>169</v>
      </c>
      <c r="Z1872" s="2" t="s">
        <v>169</v>
      </c>
      <c r="AA1872" s="2" t="s">
        <v>483</v>
      </c>
      <c r="AB1872" s="2" t="s">
        <v>8443</v>
      </c>
      <c r="AC1872" s="2">
        <v>39.15</v>
      </c>
      <c r="AD1872" s="2">
        <v>95.74</v>
      </c>
      <c r="AE1872" s="2">
        <v>0</v>
      </c>
      <c r="AF1872" s="2" t="s">
        <v>5614</v>
      </c>
      <c r="AG1872" s="2" t="s">
        <v>103</v>
      </c>
      <c r="AH1872" s="2" t="s">
        <v>16467</v>
      </c>
      <c r="AI1872" s="2">
        <v>-0.88</v>
      </c>
      <c r="AJ1872" s="2">
        <v>20.633603319106701</v>
      </c>
      <c r="AK1872" s="2">
        <v>20.467973553634302</v>
      </c>
      <c r="AL1872" s="2">
        <v>20.640083797393601</v>
      </c>
      <c r="AM1872" s="2">
        <v>20.590851597594099</v>
      </c>
      <c r="AN1872" s="2">
        <v>20.426496218701899</v>
      </c>
      <c r="AO1872" s="2">
        <v>20.629625607832299</v>
      </c>
      <c r="AP1872" s="2">
        <v>20.4694141525808</v>
      </c>
      <c r="AQ1872" s="2">
        <v>20.621937879681099</v>
      </c>
      <c r="AR1872" s="2">
        <v>20.918859351200499</v>
      </c>
      <c r="AS1872" s="2">
        <v>19.786870343617601</v>
      </c>
      <c r="AT1872" s="2">
        <v>20.3030650169501</v>
      </c>
      <c r="AU1872" s="2">
        <v>19.812624348591601</v>
      </c>
      <c r="AV1872" s="2">
        <v>19.954385162049899</v>
      </c>
      <c r="AW1872" s="2">
        <v>20.5791245379502</v>
      </c>
      <c r="AX1872" s="2">
        <v>20.256272714624799</v>
      </c>
      <c r="AY1872" s="2">
        <v>20.329664716157701</v>
      </c>
      <c r="AZ1872" s="2">
        <v>20.345914271155699</v>
      </c>
      <c r="BA1872" s="2">
        <v>19.881972062603101</v>
      </c>
      <c r="BB1872" s="2">
        <v>20.693877231346701</v>
      </c>
      <c r="BC1872" s="2">
        <v>21.601761853675502</v>
      </c>
      <c r="BD1872" s="2">
        <v>19.494582315589401</v>
      </c>
      <c r="BE1872" s="2">
        <v>20.778366394690099</v>
      </c>
      <c r="BF1872" s="2">
        <v>19.333877543667999</v>
      </c>
      <c r="BG1872" s="2">
        <v>18.8384351890655</v>
      </c>
      <c r="BH1872" s="2">
        <v>21.3603311643956</v>
      </c>
      <c r="BI1872" s="2">
        <v>19.880014075797</v>
      </c>
      <c r="BJ1872" s="2">
        <v>20.791083139820302</v>
      </c>
      <c r="BK1872" s="2">
        <v>19.584726181791201</v>
      </c>
      <c r="BL1872" s="2">
        <v>20.603862159500199</v>
      </c>
      <c r="BM1872" s="2">
        <v>20.877524057914901</v>
      </c>
      <c r="BN1872" s="2">
        <v>20.929629539857899</v>
      </c>
      <c r="BO1872" s="2">
        <v>19.807413461798799</v>
      </c>
      <c r="BP1872" s="2">
        <v>19.407105246065498</v>
      </c>
      <c r="BQ1872" s="2">
        <v>20.8663974593501</v>
      </c>
      <c r="BR1872" s="2">
        <v>20.276018042133799</v>
      </c>
      <c r="BS1872" s="2">
        <v>19.849503543687401</v>
      </c>
      <c r="BT1872" s="2">
        <v>19.812515099854298</v>
      </c>
      <c r="BU1872" s="2">
        <v>20.397772363637898</v>
      </c>
      <c r="BV1872" s="2">
        <v>19.521976437588702</v>
      </c>
      <c r="BW1872" s="2">
        <v>20.005648861794899</v>
      </c>
      <c r="BX1872" s="2">
        <v>19.714315591065201</v>
      </c>
      <c r="BY1872" s="2">
        <v>21.9446018016375</v>
      </c>
      <c r="BZ1872" s="2">
        <v>19.189778817743299</v>
      </c>
      <c r="CA1872" s="2">
        <v>17.8786171691061</v>
      </c>
      <c r="CB1872" s="2">
        <v>22.319258552639798</v>
      </c>
      <c r="CC1872" s="2">
        <v>20.791631679047502</v>
      </c>
      <c r="CD1872" s="2">
        <v>21.26325060049</v>
      </c>
      <c r="CE1872" s="2">
        <v>20.247967265146901</v>
      </c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</row>
    <row r="1873" spans="1:97">
      <c r="A1873" s="2" t="s">
        <v>16468</v>
      </c>
      <c r="B1873" s="2">
        <v>123.09182</v>
      </c>
      <c r="C1873" s="2">
        <v>14.646000000000001</v>
      </c>
      <c r="D1873" s="2" t="s">
        <v>84</v>
      </c>
      <c r="E1873" s="2" t="s">
        <v>16469</v>
      </c>
      <c r="F1873" s="2" t="s">
        <v>16470</v>
      </c>
      <c r="G1873" s="2">
        <v>200817</v>
      </c>
      <c r="H1873" s="3" t="str">
        <f>HYPERLINK("https://cloud.oebiotech.com/#/lm/network/200817", "https://cloud.oebiotech.com/#/lm/network/200817")</f>
        <v>https://cloud.oebiotech.com/#/lm/network/200817</v>
      </c>
      <c r="I1873" s="2" t="s">
        <v>16471</v>
      </c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 t="s">
        <v>16472</v>
      </c>
      <c r="U1873" s="2" t="s">
        <v>16473</v>
      </c>
      <c r="V1873" s="2" t="s">
        <v>385</v>
      </c>
      <c r="W1873" s="2" t="s">
        <v>386</v>
      </c>
      <c r="X1873" s="2" t="s">
        <v>11666</v>
      </c>
      <c r="Y1873" s="2" t="s">
        <v>388</v>
      </c>
      <c r="Z1873" s="2" t="s">
        <v>389</v>
      </c>
      <c r="AA1873" s="2" t="s">
        <v>11667</v>
      </c>
      <c r="AB1873" s="2" t="s">
        <v>8443</v>
      </c>
      <c r="AC1873" s="2">
        <v>39.15</v>
      </c>
      <c r="AD1873" s="2">
        <v>95.76</v>
      </c>
      <c r="AE1873" s="2">
        <v>0</v>
      </c>
      <c r="AF1873" s="2" t="s">
        <v>5614</v>
      </c>
      <c r="AG1873" s="2" t="s">
        <v>103</v>
      </c>
      <c r="AH1873" s="2" t="s">
        <v>16474</v>
      </c>
      <c r="AI1873" s="2">
        <v>-0.81</v>
      </c>
      <c r="AJ1873" s="2">
        <v>22.164706591977399</v>
      </c>
      <c r="AK1873" s="2">
        <v>21.7825729149856</v>
      </c>
      <c r="AL1873" s="2">
        <v>21.7829798061831</v>
      </c>
      <c r="AM1873" s="2">
        <v>21.9327606084431</v>
      </c>
      <c r="AN1873" s="2">
        <v>21.8183805786114</v>
      </c>
      <c r="AO1873" s="2">
        <v>21.9452891440001</v>
      </c>
      <c r="AP1873" s="2">
        <v>22.052648903367299</v>
      </c>
      <c r="AQ1873" s="2">
        <v>22.049630624821098</v>
      </c>
      <c r="AR1873" s="2">
        <v>20.059316454568901</v>
      </c>
      <c r="AS1873" s="2">
        <v>20.8402973334079</v>
      </c>
      <c r="AT1873" s="2">
        <v>21.928179961756999</v>
      </c>
      <c r="AU1873" s="2">
        <v>21.657255633018998</v>
      </c>
      <c r="AV1873" s="2">
        <v>19.0226900587659</v>
      </c>
      <c r="AW1873" s="2">
        <v>21.922318679526501</v>
      </c>
      <c r="AX1873" s="2">
        <v>21.749322801228899</v>
      </c>
      <c r="AY1873" s="2">
        <v>21.970851411544601</v>
      </c>
      <c r="AZ1873" s="2">
        <v>21.8409658058088</v>
      </c>
      <c r="BA1873" s="2">
        <v>21.8973887450225</v>
      </c>
      <c r="BB1873" s="2">
        <v>21.648511694921499</v>
      </c>
      <c r="BC1873" s="2">
        <v>21.7866663177521</v>
      </c>
      <c r="BD1873" s="2">
        <v>21.766739218628601</v>
      </c>
      <c r="BE1873" s="2">
        <v>21.8761922227031</v>
      </c>
      <c r="BF1873" s="2">
        <v>19.7928027788147</v>
      </c>
      <c r="BG1873" s="2">
        <v>21.6934532111508</v>
      </c>
      <c r="BH1873" s="2">
        <v>20.632654177262602</v>
      </c>
      <c r="BI1873" s="2">
        <v>20.306713789793498</v>
      </c>
      <c r="BJ1873" s="2">
        <v>19.512520251550601</v>
      </c>
      <c r="BK1873" s="2">
        <v>21.713791111058001</v>
      </c>
      <c r="BL1873" s="2">
        <v>21.671496886229399</v>
      </c>
      <c r="BM1873" s="2">
        <v>21.9763770761034</v>
      </c>
      <c r="BN1873" s="2">
        <v>21.8911946258543</v>
      </c>
      <c r="BO1873" s="2">
        <v>21.8880333314378</v>
      </c>
      <c r="BP1873" s="2">
        <v>21.785803504443301</v>
      </c>
      <c r="BQ1873" s="2">
        <v>21.883954668222</v>
      </c>
      <c r="BR1873" s="2">
        <v>21.826178131138398</v>
      </c>
      <c r="BS1873" s="2">
        <v>21.971154473280301</v>
      </c>
      <c r="BT1873" s="2">
        <v>21.623404967294</v>
      </c>
      <c r="BU1873" s="2">
        <v>21.8876042244217</v>
      </c>
      <c r="BV1873" s="2">
        <v>21.763756556253199</v>
      </c>
      <c r="BW1873" s="2">
        <v>21.8347795358982</v>
      </c>
      <c r="BX1873" s="2">
        <v>21.914523104732702</v>
      </c>
      <c r="BY1873" s="2">
        <v>21.349183829617399</v>
      </c>
      <c r="BZ1873" s="2">
        <v>21.801803177102599</v>
      </c>
      <c r="CA1873" s="2">
        <v>21.927337756760299</v>
      </c>
      <c r="CB1873" s="2">
        <v>21.719209428040699</v>
      </c>
      <c r="CC1873" s="2">
        <v>21.7637151438323</v>
      </c>
      <c r="CD1873" s="2">
        <v>21.747391104126098</v>
      </c>
      <c r="CE1873" s="2">
        <v>21.6182167402456</v>
      </c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</row>
    <row r="1874" spans="1:97">
      <c r="A1874" s="2" t="s">
        <v>16475</v>
      </c>
      <c r="B1874" s="2">
        <v>147.04388</v>
      </c>
      <c r="C1874" s="2">
        <v>1.129</v>
      </c>
      <c r="D1874" s="2" t="s">
        <v>84</v>
      </c>
      <c r="E1874" s="2" t="s">
        <v>16476</v>
      </c>
      <c r="F1874" s="2"/>
      <c r="G1874" s="2">
        <v>595887</v>
      </c>
      <c r="H1874" s="3" t="str">
        <f>HYPERLINK("https://cloud.oebiotech.com/#/lm/network/595887", "https://cloud.oebiotech.com/#/lm/network/595887")</f>
        <v>https://cloud.oebiotech.com/#/lm/network/595887</v>
      </c>
      <c r="I1874" s="2"/>
      <c r="J1874" s="2"/>
      <c r="K1874" s="2"/>
      <c r="L1874" s="2">
        <v>55302135</v>
      </c>
      <c r="M1874" s="2"/>
      <c r="N1874" s="2"/>
      <c r="O1874" s="2"/>
      <c r="P1874" s="2"/>
      <c r="Q1874" s="2"/>
      <c r="R1874" s="2"/>
      <c r="S1874" s="2"/>
      <c r="T1874" s="2" t="s">
        <v>16477</v>
      </c>
      <c r="U1874" s="2" t="s">
        <v>16478</v>
      </c>
      <c r="V1874" s="2" t="s">
        <v>95</v>
      </c>
      <c r="W1874" s="2" t="s">
        <v>96</v>
      </c>
      <c r="X1874" s="2" t="s">
        <v>141</v>
      </c>
      <c r="Y1874" s="2" t="s">
        <v>98</v>
      </c>
      <c r="Z1874" s="2" t="s">
        <v>99</v>
      </c>
      <c r="AA1874" s="2" t="s">
        <v>142</v>
      </c>
      <c r="AB1874" s="2" t="s">
        <v>8443</v>
      </c>
      <c r="AC1874" s="2">
        <v>39.15</v>
      </c>
      <c r="AD1874" s="2">
        <v>97.53</v>
      </c>
      <c r="AE1874" s="2">
        <v>0</v>
      </c>
      <c r="AF1874" s="2" t="s">
        <v>5614</v>
      </c>
      <c r="AG1874" s="2" t="s">
        <v>103</v>
      </c>
      <c r="AH1874" s="2" t="s">
        <v>16479</v>
      </c>
      <c r="AI1874" s="2">
        <v>1.36</v>
      </c>
      <c r="AJ1874" s="2">
        <v>23.281909821524099</v>
      </c>
      <c r="AK1874" s="2">
        <v>23.170413291437001</v>
      </c>
      <c r="AL1874" s="2">
        <v>23.522784467564701</v>
      </c>
      <c r="AM1874" s="2">
        <v>23.4177894176376</v>
      </c>
      <c r="AN1874" s="2">
        <v>23.377775482024699</v>
      </c>
      <c r="AO1874" s="2">
        <v>23.318400651261801</v>
      </c>
      <c r="AP1874" s="2">
        <v>23.3319438887229</v>
      </c>
      <c r="AQ1874" s="2">
        <v>23.3241326059239</v>
      </c>
      <c r="AR1874" s="2">
        <v>22.487251526569999</v>
      </c>
      <c r="AS1874" s="2">
        <v>22.558794607103</v>
      </c>
      <c r="AT1874" s="2">
        <v>22.842759908469901</v>
      </c>
      <c r="AU1874" s="2">
        <v>23.402776457555898</v>
      </c>
      <c r="AV1874" s="2">
        <v>23.328440540624801</v>
      </c>
      <c r="AW1874" s="2">
        <v>23.170497646568599</v>
      </c>
      <c r="AX1874" s="2">
        <v>22.873820411758</v>
      </c>
      <c r="AY1874" s="2">
        <v>23.347212810667902</v>
      </c>
      <c r="AZ1874" s="2">
        <v>23.209246892840699</v>
      </c>
      <c r="BA1874" s="2">
        <v>23.042592870264802</v>
      </c>
      <c r="BB1874" s="2">
        <v>23.5452022857699</v>
      </c>
      <c r="BC1874" s="2">
        <v>23.521356398586999</v>
      </c>
      <c r="BD1874" s="2">
        <v>22.584417912341401</v>
      </c>
      <c r="BE1874" s="2">
        <v>23.315926871206901</v>
      </c>
      <c r="BF1874" s="2">
        <v>23.139672547995101</v>
      </c>
      <c r="BG1874" s="2">
        <v>23.342080863050001</v>
      </c>
      <c r="BH1874" s="2">
        <v>23.540844423545799</v>
      </c>
      <c r="BI1874" s="2">
        <v>23.014441441793402</v>
      </c>
      <c r="BJ1874" s="2">
        <v>23.2884216631318</v>
      </c>
      <c r="BK1874" s="2">
        <v>22.978772534446801</v>
      </c>
      <c r="BL1874" s="2">
        <v>23.028054272417901</v>
      </c>
      <c r="BM1874" s="2">
        <v>24.256449892584499</v>
      </c>
      <c r="BN1874" s="2">
        <v>23.437007392242101</v>
      </c>
      <c r="BO1874" s="2">
        <v>23.0592981779163</v>
      </c>
      <c r="BP1874" s="2">
        <v>23.3081530843602</v>
      </c>
      <c r="BQ1874" s="2">
        <v>23.309842618019999</v>
      </c>
      <c r="BR1874" s="2">
        <v>23.006001612229301</v>
      </c>
      <c r="BS1874" s="2">
        <v>23.555870674871699</v>
      </c>
      <c r="BT1874" s="2">
        <v>22.594006472303501</v>
      </c>
      <c r="BU1874" s="2">
        <v>23.159382988510298</v>
      </c>
      <c r="BV1874" s="2">
        <v>23.2577207979317</v>
      </c>
      <c r="BW1874" s="2">
        <v>22.681332382082299</v>
      </c>
      <c r="BX1874" s="2">
        <v>23.196696223497302</v>
      </c>
      <c r="BY1874" s="2">
        <v>23.604835440464701</v>
      </c>
      <c r="BZ1874" s="2">
        <v>23.748997126606799</v>
      </c>
      <c r="CA1874" s="2">
        <v>24.021485839982901</v>
      </c>
      <c r="CB1874" s="2">
        <v>22.900275332163002</v>
      </c>
      <c r="CC1874" s="2">
        <v>23.148217254783798</v>
      </c>
      <c r="CD1874" s="2">
        <v>23.6923560600119</v>
      </c>
      <c r="CE1874" s="2">
        <v>23.207553140701599</v>
      </c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</row>
    <row r="1875" spans="1:97">
      <c r="A1875" s="2" t="s">
        <v>16480</v>
      </c>
      <c r="B1875" s="2">
        <v>113.0962</v>
      </c>
      <c r="C1875" s="2">
        <v>4.2329999999999997</v>
      </c>
      <c r="D1875" s="2" t="s">
        <v>84</v>
      </c>
      <c r="E1875" s="2" t="s">
        <v>16481</v>
      </c>
      <c r="F1875" s="2" t="s">
        <v>16482</v>
      </c>
      <c r="G1875" s="2">
        <v>6484</v>
      </c>
      <c r="H1875" s="3" t="str">
        <f>HYPERLINK("https://cloud.oebiotech.com/#/lm/network/6484", "https://cloud.oebiotech.com/#/lm/network/6484")</f>
        <v>https://cloud.oebiotech.com/#/lm/network/6484</v>
      </c>
      <c r="I1875" s="2" t="s">
        <v>16483</v>
      </c>
      <c r="J1875" s="2">
        <v>75301</v>
      </c>
      <c r="K1875" s="2" t="s">
        <v>16484</v>
      </c>
      <c r="L1875" s="2">
        <v>5283316</v>
      </c>
      <c r="M1875" s="2"/>
      <c r="N1875" s="2"/>
      <c r="O1875" s="2"/>
      <c r="P1875" s="2">
        <v>143912</v>
      </c>
      <c r="Q1875" s="2"/>
      <c r="R1875" s="2"/>
      <c r="S1875" s="2" t="s">
        <v>16485</v>
      </c>
      <c r="T1875" s="2" t="s">
        <v>16486</v>
      </c>
      <c r="U1875" s="2" t="s">
        <v>16487</v>
      </c>
      <c r="V1875" s="2" t="s">
        <v>338</v>
      </c>
      <c r="W1875" s="2" t="s">
        <v>339</v>
      </c>
      <c r="X1875" s="2" t="s">
        <v>340</v>
      </c>
      <c r="Y1875" s="2" t="s">
        <v>341</v>
      </c>
      <c r="Z1875" s="2" t="s">
        <v>341</v>
      </c>
      <c r="AA1875" s="2" t="s">
        <v>342</v>
      </c>
      <c r="AB1875" s="2" t="s">
        <v>8443</v>
      </c>
      <c r="AC1875" s="2">
        <v>39.14</v>
      </c>
      <c r="AD1875" s="2">
        <v>95.69</v>
      </c>
      <c r="AE1875" s="2">
        <v>0</v>
      </c>
      <c r="AF1875" s="2" t="s">
        <v>5614</v>
      </c>
      <c r="AG1875" s="2" t="s">
        <v>103</v>
      </c>
      <c r="AH1875" s="2" t="s">
        <v>7668</v>
      </c>
      <c r="AI1875" s="2">
        <v>-0.88</v>
      </c>
      <c r="AJ1875" s="2">
        <v>21.3444166440404</v>
      </c>
      <c r="AK1875" s="2">
        <v>22.081605144880299</v>
      </c>
      <c r="AL1875" s="2">
        <v>22.362905782944001</v>
      </c>
      <c r="AM1875" s="2">
        <v>22.236554895011501</v>
      </c>
      <c r="AN1875" s="2">
        <v>22.0922753118898</v>
      </c>
      <c r="AO1875" s="2">
        <v>22.374964306706001</v>
      </c>
      <c r="AP1875" s="2">
        <v>22.139134654130899</v>
      </c>
      <c r="AQ1875" s="2">
        <v>21.650884157686502</v>
      </c>
      <c r="AR1875" s="2">
        <v>23.138658222091699</v>
      </c>
      <c r="AS1875" s="2">
        <v>22.876394539138701</v>
      </c>
      <c r="AT1875" s="2">
        <v>22.8143972419827</v>
      </c>
      <c r="AU1875" s="2">
        <v>23.088894850199399</v>
      </c>
      <c r="AV1875" s="2">
        <v>22.442254760701299</v>
      </c>
      <c r="AW1875" s="2">
        <v>23.050479902710599</v>
      </c>
      <c r="AX1875" s="2">
        <v>22.732466945550701</v>
      </c>
      <c r="AY1875" s="2">
        <v>22.656930955031399</v>
      </c>
      <c r="AZ1875" s="2">
        <v>22.9373224680125</v>
      </c>
      <c r="BA1875" s="2">
        <v>22.888959857513399</v>
      </c>
      <c r="BB1875" s="2">
        <v>22.985548430038001</v>
      </c>
      <c r="BC1875" s="2">
        <v>23.057503218318001</v>
      </c>
      <c r="BD1875" s="2">
        <v>22.864763793387599</v>
      </c>
      <c r="BE1875" s="2">
        <v>22.9888678263247</v>
      </c>
      <c r="BF1875" s="2">
        <v>23.2702022502802</v>
      </c>
      <c r="BG1875" s="2">
        <v>23.2081298525578</v>
      </c>
      <c r="BH1875" s="2">
        <v>23.093371039908</v>
      </c>
      <c r="BI1875" s="2">
        <v>23.084134655894701</v>
      </c>
      <c r="BJ1875" s="2">
        <v>23.163014756427099</v>
      </c>
      <c r="BK1875" s="2">
        <v>22.966063538526701</v>
      </c>
      <c r="BL1875" s="2">
        <v>22.929703136735601</v>
      </c>
      <c r="BM1875" s="2">
        <v>23.1538120066716</v>
      </c>
      <c r="BN1875" s="2">
        <v>22.782440265381201</v>
      </c>
      <c r="BO1875" s="2">
        <v>22.973401407703701</v>
      </c>
      <c r="BP1875" s="2">
        <v>22.981715152921399</v>
      </c>
      <c r="BQ1875" s="2">
        <v>22.982179641023901</v>
      </c>
      <c r="BR1875" s="2">
        <v>22.946510370010198</v>
      </c>
      <c r="BS1875" s="2">
        <v>22.948262376232599</v>
      </c>
      <c r="BT1875" s="2">
        <v>22.876233339996201</v>
      </c>
      <c r="BU1875" s="2">
        <v>23.1707647538957</v>
      </c>
      <c r="BV1875" s="2">
        <v>23.233154966371501</v>
      </c>
      <c r="BW1875" s="2">
        <v>23.182491854859599</v>
      </c>
      <c r="BX1875" s="2">
        <v>23.094713904312101</v>
      </c>
      <c r="BY1875" s="2">
        <v>22.926448833354801</v>
      </c>
      <c r="BZ1875" s="2">
        <v>23.100494182425798</v>
      </c>
      <c r="CA1875" s="2">
        <v>22.8820234280496</v>
      </c>
      <c r="CB1875" s="2">
        <v>22.202980395119599</v>
      </c>
      <c r="CC1875" s="2">
        <v>22.699649564846698</v>
      </c>
      <c r="CD1875" s="2">
        <v>22.5299126343414</v>
      </c>
      <c r="CE1875" s="2">
        <v>22.8155844931015</v>
      </c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</row>
    <row r="1876" spans="1:97">
      <c r="A1876" s="2" t="s">
        <v>16488</v>
      </c>
      <c r="B1876" s="2">
        <v>263.00765999999999</v>
      </c>
      <c r="C1876" s="2">
        <v>0.71699999999999997</v>
      </c>
      <c r="D1876" s="2" t="s">
        <v>84</v>
      </c>
      <c r="E1876" s="2" t="s">
        <v>16489</v>
      </c>
      <c r="F1876" s="2" t="s">
        <v>16490</v>
      </c>
      <c r="G1876" s="2">
        <v>35239</v>
      </c>
      <c r="H1876" s="3" t="str">
        <f>HYPERLINK("https://cloud.oebiotech.com/#/lm/network/35239", "https://cloud.oebiotech.com/#/lm/network/35239")</f>
        <v>https://cloud.oebiotech.com/#/lm/network/35239</v>
      </c>
      <c r="I1876" s="2"/>
      <c r="J1876" s="2">
        <v>53272</v>
      </c>
      <c r="K1876" s="2" t="s">
        <v>16491</v>
      </c>
      <c r="L1876" s="2">
        <v>5281976</v>
      </c>
      <c r="M1876" s="2" t="s">
        <v>16492</v>
      </c>
      <c r="N1876" s="2" t="s">
        <v>12253</v>
      </c>
      <c r="O1876" s="2" t="s">
        <v>12254</v>
      </c>
      <c r="P1876" s="2">
        <v>15664</v>
      </c>
      <c r="Q1876" s="2"/>
      <c r="R1876" s="2"/>
      <c r="S1876" s="2"/>
      <c r="T1876" s="2" t="s">
        <v>16493</v>
      </c>
      <c r="U1876" s="2" t="s">
        <v>16494</v>
      </c>
      <c r="V1876" s="2" t="s">
        <v>95</v>
      </c>
      <c r="W1876" s="2" t="s">
        <v>180</v>
      </c>
      <c r="X1876" s="2" t="s">
        <v>16265</v>
      </c>
      <c r="Y1876" s="2" t="s">
        <v>98</v>
      </c>
      <c r="Z1876" s="2" t="s">
        <v>182</v>
      </c>
      <c r="AA1876" s="2" t="s">
        <v>16266</v>
      </c>
      <c r="AB1876" s="2" t="s">
        <v>8443</v>
      </c>
      <c r="AC1876" s="2">
        <v>39.119999999999997</v>
      </c>
      <c r="AD1876" s="2">
        <v>96.3</v>
      </c>
      <c r="AE1876" s="2">
        <v>0</v>
      </c>
      <c r="AF1876" s="2" t="s">
        <v>5614</v>
      </c>
      <c r="AG1876" s="2" t="s">
        <v>103</v>
      </c>
      <c r="AH1876" s="2" t="s">
        <v>16495</v>
      </c>
      <c r="AI1876" s="2">
        <v>1.1399999999999999</v>
      </c>
      <c r="AJ1876" s="2">
        <v>20.566681616146699</v>
      </c>
      <c r="AK1876" s="2">
        <v>20.178827999784101</v>
      </c>
      <c r="AL1876" s="2">
        <v>20.232265309361299</v>
      </c>
      <c r="AM1876" s="2">
        <v>20.6530118852206</v>
      </c>
      <c r="AN1876" s="2">
        <v>20.404595272571399</v>
      </c>
      <c r="AO1876" s="2">
        <v>20.740445959393</v>
      </c>
      <c r="AP1876" s="2">
        <v>20.416705818539601</v>
      </c>
      <c r="AQ1876" s="2">
        <v>20.545385545903802</v>
      </c>
      <c r="AR1876" s="2">
        <v>20.179370347175301</v>
      </c>
      <c r="AS1876" s="2">
        <v>19.614962809679099</v>
      </c>
      <c r="AT1876" s="2">
        <v>20.072277476803599</v>
      </c>
      <c r="AU1876" s="2">
        <v>18.4462460913978</v>
      </c>
      <c r="AV1876" s="2">
        <v>20.4433714814426</v>
      </c>
      <c r="AW1876" s="2">
        <v>19.753971258684899</v>
      </c>
      <c r="AX1876" s="2">
        <v>19.7649341469739</v>
      </c>
      <c r="AY1876" s="2">
        <v>20.195042509397901</v>
      </c>
      <c r="AZ1876" s="2">
        <v>20.513118227050999</v>
      </c>
      <c r="BA1876" s="2">
        <v>20.0758821848673</v>
      </c>
      <c r="BB1876" s="2">
        <v>20.0177343030694</v>
      </c>
      <c r="BC1876" s="2">
        <v>18.943947788618601</v>
      </c>
      <c r="BD1876" s="2">
        <v>20.692407474439602</v>
      </c>
      <c r="BE1876" s="2">
        <v>20.4603939801721</v>
      </c>
      <c r="BF1876" s="2">
        <v>20.3728799563584</v>
      </c>
      <c r="BG1876" s="2">
        <v>18.819409981790901</v>
      </c>
      <c r="BH1876" s="2">
        <v>20.357471668194499</v>
      </c>
      <c r="BI1876" s="2">
        <v>20.329284977838199</v>
      </c>
      <c r="BJ1876" s="2">
        <v>20.372598856755399</v>
      </c>
      <c r="BK1876" s="2">
        <v>20.984800016444101</v>
      </c>
      <c r="BL1876" s="2">
        <v>20.360861280067901</v>
      </c>
      <c r="BM1876" s="2">
        <v>19.268612334172101</v>
      </c>
      <c r="BN1876" s="2">
        <v>20.138390906404702</v>
      </c>
      <c r="BO1876" s="2">
        <v>20.604821724129501</v>
      </c>
      <c r="BP1876" s="2">
        <v>20.8272553152432</v>
      </c>
      <c r="BQ1876" s="2">
        <v>20.260121647092699</v>
      </c>
      <c r="BR1876" s="2">
        <v>19.742854775081501</v>
      </c>
      <c r="BS1876" s="2">
        <v>21.4362669846332</v>
      </c>
      <c r="BT1876" s="2">
        <v>20.3520736620024</v>
      </c>
      <c r="BU1876" s="2">
        <v>18.955904987657</v>
      </c>
      <c r="BV1876" s="2">
        <v>20.302939576630202</v>
      </c>
      <c r="BW1876" s="2">
        <v>20.0328908488435</v>
      </c>
      <c r="BX1876" s="2">
        <v>19.959707493806601</v>
      </c>
      <c r="BY1876" s="2">
        <v>20.741353769412299</v>
      </c>
      <c r="BZ1876" s="2">
        <v>20.212271207755599</v>
      </c>
      <c r="CA1876" s="2">
        <v>21.584620113724199</v>
      </c>
      <c r="CB1876" s="2">
        <v>20.3239418191989</v>
      </c>
      <c r="CC1876" s="2">
        <v>20.496256395060101</v>
      </c>
      <c r="CD1876" s="2">
        <v>20.9918397989975</v>
      </c>
      <c r="CE1876" s="2">
        <v>20.7197544738742</v>
      </c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</row>
    <row r="1877" spans="1:97">
      <c r="A1877" s="2" t="s">
        <v>16496</v>
      </c>
      <c r="B1877" s="2">
        <v>449.25373000000002</v>
      </c>
      <c r="C1877" s="2">
        <v>10.337999999999999</v>
      </c>
      <c r="D1877" s="2" t="s">
        <v>146</v>
      </c>
      <c r="E1877" s="2" t="s">
        <v>16497</v>
      </c>
      <c r="F1877" s="2" t="s">
        <v>16498</v>
      </c>
      <c r="G1877" s="2">
        <v>46625</v>
      </c>
      <c r="H1877" s="3" t="str">
        <f>HYPERLINK("https://cloud.oebiotech.com/#/lm/network/46625", "https://cloud.oebiotech.com/#/lm/network/46625")</f>
        <v>https://cloud.oebiotech.com/#/lm/network/46625</v>
      </c>
      <c r="I1877" s="2" t="s">
        <v>16499</v>
      </c>
      <c r="J1877" s="2"/>
      <c r="K1877" s="2" t="s">
        <v>16500</v>
      </c>
      <c r="L1877" s="2">
        <v>16186349</v>
      </c>
      <c r="M1877" s="2"/>
      <c r="N1877" s="2"/>
      <c r="O1877" s="2"/>
      <c r="P1877" s="2"/>
      <c r="Q1877" s="2"/>
      <c r="R1877" s="2"/>
      <c r="S1877" s="2"/>
      <c r="T1877" s="2" t="s">
        <v>16501</v>
      </c>
      <c r="U1877" s="2" t="s">
        <v>16502</v>
      </c>
      <c r="V1877" s="2" t="s">
        <v>95</v>
      </c>
      <c r="W1877" s="2" t="s">
        <v>152</v>
      </c>
      <c r="X1877" s="2" t="s">
        <v>2791</v>
      </c>
      <c r="Y1877" s="2" t="s">
        <v>98</v>
      </c>
      <c r="Z1877" s="2" t="s">
        <v>154</v>
      </c>
      <c r="AA1877" s="2" t="s">
        <v>2792</v>
      </c>
      <c r="AB1877" s="2" t="s">
        <v>8443</v>
      </c>
      <c r="AC1877" s="2">
        <v>39.119999999999997</v>
      </c>
      <c r="AD1877" s="2">
        <v>95.61</v>
      </c>
      <c r="AE1877" s="2">
        <v>0</v>
      </c>
      <c r="AF1877" s="2" t="s">
        <v>16503</v>
      </c>
      <c r="AG1877" s="2" t="s">
        <v>993</v>
      </c>
      <c r="AH1877" s="2" t="s">
        <v>16504</v>
      </c>
      <c r="AI1877" s="2">
        <v>0.45</v>
      </c>
      <c r="AJ1877" s="2">
        <v>21.3596082256065</v>
      </c>
      <c r="AK1877" s="2">
        <v>21.258466327612101</v>
      </c>
      <c r="AL1877" s="2">
        <v>21.213226562848401</v>
      </c>
      <c r="AM1877" s="2">
        <v>21.140638841542401</v>
      </c>
      <c r="AN1877" s="2">
        <v>21.2007258660189</v>
      </c>
      <c r="AO1877" s="2">
        <v>21.120900785588699</v>
      </c>
      <c r="AP1877" s="2">
        <v>21.113430035705299</v>
      </c>
      <c r="AQ1877" s="2">
        <v>21.285672550966002</v>
      </c>
      <c r="AR1877" s="2">
        <v>20.4970867067202</v>
      </c>
      <c r="AS1877" s="2">
        <v>19.344668844929799</v>
      </c>
      <c r="AT1877" s="2">
        <v>19.990761943104701</v>
      </c>
      <c r="AU1877" s="2">
        <v>20.952396271570201</v>
      </c>
      <c r="AV1877" s="2">
        <v>21.5636990660282</v>
      </c>
      <c r="AW1877" s="2">
        <v>23.1133631597876</v>
      </c>
      <c r="AX1877" s="2">
        <v>20.960838623232</v>
      </c>
      <c r="AY1877" s="2">
        <v>21.749767165293399</v>
      </c>
      <c r="AZ1877" s="2">
        <v>20.540770152776901</v>
      </c>
      <c r="BA1877" s="2">
        <v>20.595693067097201</v>
      </c>
      <c r="BB1877" s="2">
        <v>20.771222869588001</v>
      </c>
      <c r="BC1877" s="2">
        <v>21.3781160089192</v>
      </c>
      <c r="BD1877" s="2">
        <v>21.028061835589</v>
      </c>
      <c r="BE1877" s="2">
        <v>22.243494628300802</v>
      </c>
      <c r="BF1877" s="2">
        <v>20.2532936800526</v>
      </c>
      <c r="BG1877" s="2">
        <v>21.655393191212099</v>
      </c>
      <c r="BH1877" s="2">
        <v>20.3526276862355</v>
      </c>
      <c r="BI1877" s="2">
        <v>20.250091269638499</v>
      </c>
      <c r="BJ1877" s="2">
        <v>21.110648339004801</v>
      </c>
      <c r="BK1877" s="2">
        <v>20.020319172524999</v>
      </c>
      <c r="BL1877" s="2">
        <v>20.864865007018199</v>
      </c>
      <c r="BM1877" s="2">
        <v>19.245836938161599</v>
      </c>
      <c r="BN1877" s="2">
        <v>20.1502355194879</v>
      </c>
      <c r="BO1877" s="2">
        <v>20.860251932204498</v>
      </c>
      <c r="BP1877" s="2">
        <v>21.461619329485099</v>
      </c>
      <c r="BQ1877" s="2">
        <v>22.1133739723861</v>
      </c>
      <c r="BR1877" s="2">
        <v>21.046452792693199</v>
      </c>
      <c r="BS1877" s="2">
        <v>20.7324946533396</v>
      </c>
      <c r="BT1877" s="2">
        <v>20.3014881681292</v>
      </c>
      <c r="BU1877" s="2">
        <v>20.4035079916789</v>
      </c>
      <c r="BV1877" s="2">
        <v>19.4265691066113</v>
      </c>
      <c r="BW1877" s="2">
        <v>20.463510952910401</v>
      </c>
      <c r="BX1877" s="2">
        <v>20.7275414687298</v>
      </c>
      <c r="BY1877" s="2">
        <v>22.493550245524801</v>
      </c>
      <c r="BZ1877" s="2">
        <v>20.965534799422201</v>
      </c>
      <c r="CA1877" s="2">
        <v>19.7312784049298</v>
      </c>
      <c r="CB1877" s="2">
        <v>20.9811447157199</v>
      </c>
      <c r="CC1877" s="2">
        <v>20.497116400265</v>
      </c>
      <c r="CD1877" s="2">
        <v>20.110744786320499</v>
      </c>
      <c r="CE1877" s="2">
        <v>20.9167537873344</v>
      </c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</row>
    <row r="1878" spans="1:97">
      <c r="A1878" s="2" t="s">
        <v>16505</v>
      </c>
      <c r="B1878" s="2">
        <v>464.21764000000002</v>
      </c>
      <c r="C1878" s="2">
        <v>5.7530000000000001</v>
      </c>
      <c r="D1878" s="2" t="s">
        <v>84</v>
      </c>
      <c r="E1878" s="2" t="s">
        <v>16506</v>
      </c>
      <c r="F1878" s="2" t="s">
        <v>16507</v>
      </c>
      <c r="G1878" s="2">
        <v>53604</v>
      </c>
      <c r="H1878" s="3" t="str">
        <f>HYPERLINK("https://cloud.oebiotech.com/#/lm/network/53604", "https://cloud.oebiotech.com/#/lm/network/53604")</f>
        <v>https://cloud.oebiotech.com/#/lm/network/53604</v>
      </c>
      <c r="I1878" s="2" t="s">
        <v>16508</v>
      </c>
      <c r="J1878" s="2">
        <v>85535</v>
      </c>
      <c r="K1878" s="2"/>
      <c r="L1878" s="2">
        <v>9429</v>
      </c>
      <c r="M1878" s="2"/>
      <c r="N1878" s="2"/>
      <c r="O1878" s="2"/>
      <c r="P1878" s="2">
        <v>59120</v>
      </c>
      <c r="Q1878" s="2"/>
      <c r="R1878" s="2"/>
      <c r="S1878" s="2" t="s">
        <v>16509</v>
      </c>
      <c r="T1878" s="2" t="s">
        <v>16510</v>
      </c>
      <c r="U1878" s="2" t="s">
        <v>16511</v>
      </c>
      <c r="V1878" s="2" t="s">
        <v>553</v>
      </c>
      <c r="W1878" s="2" t="s">
        <v>13779</v>
      </c>
      <c r="X1878" s="2" t="s">
        <v>16512</v>
      </c>
      <c r="Y1878" s="2" t="s">
        <v>556</v>
      </c>
      <c r="Z1878" s="2" t="s">
        <v>13780</v>
      </c>
      <c r="AA1878" s="2" t="s">
        <v>16513</v>
      </c>
      <c r="AB1878" s="2" t="s">
        <v>8443</v>
      </c>
      <c r="AC1878" s="2">
        <v>39.119999999999997</v>
      </c>
      <c r="AD1878" s="2">
        <v>77.48</v>
      </c>
      <c r="AE1878" s="2">
        <v>0</v>
      </c>
      <c r="AF1878" s="2" t="s">
        <v>16514</v>
      </c>
      <c r="AG1878" s="2" t="s">
        <v>132</v>
      </c>
      <c r="AH1878" s="2" t="s">
        <v>16515</v>
      </c>
      <c r="AI1878" s="2">
        <v>-6.03</v>
      </c>
      <c r="AJ1878" s="2">
        <v>17.873959929404201</v>
      </c>
      <c r="AK1878" s="2">
        <v>18.051261364709202</v>
      </c>
      <c r="AL1878" s="2">
        <v>17.829706757348202</v>
      </c>
      <c r="AM1878" s="2">
        <v>17.938136096162701</v>
      </c>
      <c r="AN1878" s="2">
        <v>17.6130308604411</v>
      </c>
      <c r="AO1878" s="2">
        <v>18.085123237247899</v>
      </c>
      <c r="AP1878" s="2">
        <v>17.954407343184101</v>
      </c>
      <c r="AQ1878" s="2">
        <v>17.809277895816201</v>
      </c>
      <c r="AR1878" s="2">
        <v>16.705600126136702</v>
      </c>
      <c r="AS1878" s="2">
        <v>15.981400045875001</v>
      </c>
      <c r="AT1878" s="2">
        <v>16.921862084672199</v>
      </c>
      <c r="AU1878" s="2">
        <v>16.091393235474701</v>
      </c>
      <c r="AV1878" s="2">
        <v>17.501033762535702</v>
      </c>
      <c r="AW1878" s="2">
        <v>16.6119917372665</v>
      </c>
      <c r="AX1878" s="2">
        <v>17.666341008949399</v>
      </c>
      <c r="AY1878" s="2">
        <v>17.704319015525002</v>
      </c>
      <c r="AZ1878" s="2">
        <v>17.7190466376634</v>
      </c>
      <c r="BA1878" s="2">
        <v>17.363137189620701</v>
      </c>
      <c r="BB1878" s="2">
        <v>17.866580284156999</v>
      </c>
      <c r="BC1878" s="2">
        <v>20.0704404697115</v>
      </c>
      <c r="BD1878" s="2">
        <v>17.586474128535301</v>
      </c>
      <c r="BE1878" s="2">
        <v>19.077510269446901</v>
      </c>
      <c r="BF1878" s="2">
        <v>17.1517320783678</v>
      </c>
      <c r="BG1878" s="2">
        <v>17.797656396881401</v>
      </c>
      <c r="BH1878" s="2">
        <v>17.8775228971469</v>
      </c>
      <c r="BI1878" s="2">
        <v>16.0948947861859</v>
      </c>
      <c r="BJ1878" s="2">
        <v>16.333088421408299</v>
      </c>
      <c r="BK1878" s="2">
        <v>16.445003041128398</v>
      </c>
      <c r="BL1878" s="2">
        <v>16.313391658023999</v>
      </c>
      <c r="BM1878" s="2">
        <v>16.859610733580901</v>
      </c>
      <c r="BN1878" s="2">
        <v>17.829360281791001</v>
      </c>
      <c r="BO1878" s="2">
        <v>17.412018013627801</v>
      </c>
      <c r="BP1878" s="2">
        <v>17.664630193216901</v>
      </c>
      <c r="BQ1878" s="2">
        <v>17.170537050339</v>
      </c>
      <c r="BR1878" s="2">
        <v>18.233300841050699</v>
      </c>
      <c r="BS1878" s="2">
        <v>17.659865969907699</v>
      </c>
      <c r="BT1878" s="2">
        <v>17.003700499331199</v>
      </c>
      <c r="BU1878" s="2">
        <v>17.838146739540001</v>
      </c>
      <c r="BV1878" s="2">
        <v>16.942329849816399</v>
      </c>
      <c r="BW1878" s="2">
        <v>17.732372754963301</v>
      </c>
      <c r="BX1878" s="2">
        <v>16.087305369388101</v>
      </c>
      <c r="BY1878" s="2">
        <v>18.683900474208102</v>
      </c>
      <c r="BZ1878" s="2">
        <v>17.556891883285001</v>
      </c>
      <c r="CA1878" s="2">
        <v>17.703586286739299</v>
      </c>
      <c r="CB1878" s="2">
        <v>17.365516962993901</v>
      </c>
      <c r="CC1878" s="2">
        <v>15.579443523227599</v>
      </c>
      <c r="CD1878" s="2">
        <v>18.6064329743622</v>
      </c>
      <c r="CE1878" s="2">
        <v>18.3387117078911</v>
      </c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</row>
    <row r="1879" spans="1:97">
      <c r="A1879" s="2" t="s">
        <v>16516</v>
      </c>
      <c r="B1879" s="2">
        <v>150.07748000000001</v>
      </c>
      <c r="C1879" s="2">
        <v>4.6980000000000004</v>
      </c>
      <c r="D1879" s="2" t="s">
        <v>84</v>
      </c>
      <c r="E1879" s="2" t="s">
        <v>16517</v>
      </c>
      <c r="F1879" s="2" t="s">
        <v>16518</v>
      </c>
      <c r="G1879" s="2">
        <v>197311</v>
      </c>
      <c r="H1879" s="3" t="str">
        <f>HYPERLINK("https://cloud.oebiotech.com/#/lm/network/197311", "https://cloud.oebiotech.com/#/lm/network/197311")</f>
        <v>https://cloud.oebiotech.com/#/lm/network/197311</v>
      </c>
      <c r="I1879" s="2" t="s">
        <v>16519</v>
      </c>
      <c r="J1879" s="2"/>
      <c r="K1879" s="2"/>
      <c r="L1879" s="2">
        <v>69689</v>
      </c>
      <c r="M1879" s="2"/>
      <c r="N1879" s="2"/>
      <c r="O1879" s="2"/>
      <c r="P1879" s="2">
        <v>40526</v>
      </c>
      <c r="Q1879" s="2"/>
      <c r="R1879" s="2"/>
      <c r="S1879" s="2"/>
      <c r="T1879" s="2" t="s">
        <v>16520</v>
      </c>
      <c r="U1879" s="2" t="s">
        <v>16521</v>
      </c>
      <c r="V1879" s="2" t="s">
        <v>553</v>
      </c>
      <c r="W1879" s="2" t="s">
        <v>949</v>
      </c>
      <c r="X1879" s="2" t="s">
        <v>950</v>
      </c>
      <c r="Y1879" s="2" t="s">
        <v>556</v>
      </c>
      <c r="Z1879" s="2" t="s">
        <v>951</v>
      </c>
      <c r="AA1879" s="2" t="s">
        <v>952</v>
      </c>
      <c r="AB1879" s="2" t="s">
        <v>8443</v>
      </c>
      <c r="AC1879" s="2">
        <v>39.11</v>
      </c>
      <c r="AD1879" s="2">
        <v>95.54</v>
      </c>
      <c r="AE1879" s="2">
        <v>0</v>
      </c>
      <c r="AF1879" s="2" t="s">
        <v>5614</v>
      </c>
      <c r="AG1879" s="2" t="s">
        <v>103</v>
      </c>
      <c r="AH1879" s="2" t="s">
        <v>16522</v>
      </c>
      <c r="AI1879" s="2">
        <v>-0.67</v>
      </c>
      <c r="AJ1879" s="2">
        <v>21.830295865848001</v>
      </c>
      <c r="AK1879" s="2">
        <v>21.149628655704198</v>
      </c>
      <c r="AL1879" s="2">
        <v>22.468483329322801</v>
      </c>
      <c r="AM1879" s="2">
        <v>22.4168105754216</v>
      </c>
      <c r="AN1879" s="2">
        <v>22.175797959649898</v>
      </c>
      <c r="AO1879" s="2">
        <v>22.1457925285704</v>
      </c>
      <c r="AP1879" s="2">
        <v>21.893329560078399</v>
      </c>
      <c r="AQ1879" s="2">
        <v>21.8529174978901</v>
      </c>
      <c r="AR1879" s="2">
        <v>20.511136522394899</v>
      </c>
      <c r="AS1879" s="2">
        <v>9.6233145402724691</v>
      </c>
      <c r="AT1879" s="2">
        <v>21.482455904983599</v>
      </c>
      <c r="AU1879" s="2">
        <v>22.0722391890476</v>
      </c>
      <c r="AV1879" s="2">
        <v>21.397080341523299</v>
      </c>
      <c r="AW1879" s="2">
        <v>22.007533523221699</v>
      </c>
      <c r="AX1879" s="2">
        <v>22.422472154822099</v>
      </c>
      <c r="AY1879" s="2">
        <v>22.220462205690598</v>
      </c>
      <c r="AZ1879" s="2">
        <v>22.161404066820602</v>
      </c>
      <c r="BA1879" s="2">
        <v>21.929127080418901</v>
      </c>
      <c r="BB1879" s="2">
        <v>21.8840247781988</v>
      </c>
      <c r="BC1879" s="2">
        <v>22.5344283083402</v>
      </c>
      <c r="BD1879" s="2">
        <v>22.225610224412598</v>
      </c>
      <c r="BE1879" s="2">
        <v>21.9325171900439</v>
      </c>
      <c r="BF1879" s="2">
        <v>22.568957152527599</v>
      </c>
      <c r="BG1879" s="2">
        <v>22.0237363090774</v>
      </c>
      <c r="BH1879" s="2">
        <v>22.340696249683599</v>
      </c>
      <c r="BI1879" s="2">
        <v>22.460696363604999</v>
      </c>
      <c r="BJ1879" s="2">
        <v>21.538657003779001</v>
      </c>
      <c r="BK1879" s="2">
        <v>22.313559264947202</v>
      </c>
      <c r="BL1879" s="2">
        <v>22.219387176069301</v>
      </c>
      <c r="BM1879" s="2">
        <v>22.387800934785901</v>
      </c>
      <c r="BN1879" s="2">
        <v>22.547066943429702</v>
      </c>
      <c r="BO1879" s="2">
        <v>21.551028003669501</v>
      </c>
      <c r="BP1879" s="2">
        <v>20.9203634474345</v>
      </c>
      <c r="BQ1879" s="2">
        <v>22.325385346253199</v>
      </c>
      <c r="BR1879" s="2">
        <v>22.022590758131599</v>
      </c>
      <c r="BS1879" s="2">
        <v>22.417627279606801</v>
      </c>
      <c r="BT1879" s="2">
        <v>21.7456499658125</v>
      </c>
      <c r="BU1879" s="2">
        <v>22.368398023084001</v>
      </c>
      <c r="BV1879" s="2">
        <v>22.000749034180298</v>
      </c>
      <c r="BW1879" s="2">
        <v>20.7406260289447</v>
      </c>
      <c r="BX1879" s="2">
        <v>22.112353253142</v>
      </c>
      <c r="BY1879" s="2">
        <v>22.7028645840217</v>
      </c>
      <c r="BZ1879" s="2">
        <v>21.6434534443049</v>
      </c>
      <c r="CA1879" s="2">
        <v>21.374539356061799</v>
      </c>
      <c r="CB1879" s="2">
        <v>21.295719919741899</v>
      </c>
      <c r="CC1879" s="2">
        <v>20.770178912494099</v>
      </c>
      <c r="CD1879" s="2">
        <v>21.130167479564498</v>
      </c>
      <c r="CE1879" s="2">
        <v>21.850744379235401</v>
      </c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</row>
    <row r="1880" spans="1:97">
      <c r="A1880" s="2" t="s">
        <v>16523</v>
      </c>
      <c r="B1880" s="2">
        <v>191.11125000000001</v>
      </c>
      <c r="C1880" s="2">
        <v>10.031000000000001</v>
      </c>
      <c r="D1880" s="2" t="s">
        <v>146</v>
      </c>
      <c r="E1880" s="2" t="s">
        <v>16524</v>
      </c>
      <c r="F1880" s="2" t="s">
        <v>16525</v>
      </c>
      <c r="G1880" s="2">
        <v>64565</v>
      </c>
      <c r="H1880" s="3" t="str">
        <f>HYPERLINK("https://cloud.oebiotech.com/#/lm/network/64565", "https://cloud.oebiotech.com/#/lm/network/64565")</f>
        <v>https://cloud.oebiotech.com/#/lm/network/64565</v>
      </c>
      <c r="I1880" s="2" t="s">
        <v>16526</v>
      </c>
      <c r="J1880" s="2">
        <v>95866</v>
      </c>
      <c r="K1880" s="2"/>
      <c r="L1880" s="2">
        <v>110968</v>
      </c>
      <c r="M1880" s="2"/>
      <c r="N1880" s="2"/>
      <c r="O1880" s="2"/>
      <c r="P1880" s="2"/>
      <c r="Q1880" s="2"/>
      <c r="R1880" s="2"/>
      <c r="S1880" s="2" t="s">
        <v>16527</v>
      </c>
      <c r="T1880" s="2" t="s">
        <v>16528</v>
      </c>
      <c r="U1880" s="2" t="s">
        <v>16529</v>
      </c>
      <c r="V1880" s="2" t="s">
        <v>9746</v>
      </c>
      <c r="W1880" s="2" t="s">
        <v>12529</v>
      </c>
      <c r="X1880" s="2" t="s">
        <v>12530</v>
      </c>
      <c r="Y1880" s="2" t="s">
        <v>9748</v>
      </c>
      <c r="Z1880" s="2" t="s">
        <v>12531</v>
      </c>
      <c r="AA1880" s="2" t="s">
        <v>12532</v>
      </c>
      <c r="AB1880" s="2" t="s">
        <v>8443</v>
      </c>
      <c r="AC1880" s="2">
        <v>39.1</v>
      </c>
      <c r="AD1880" s="2">
        <v>95.76</v>
      </c>
      <c r="AE1880" s="2">
        <v>0</v>
      </c>
      <c r="AF1880" s="2" t="s">
        <v>16530</v>
      </c>
      <c r="AG1880" s="2" t="s">
        <v>157</v>
      </c>
      <c r="AH1880" s="2" t="s">
        <v>16531</v>
      </c>
      <c r="AI1880" s="2">
        <v>-1.05</v>
      </c>
      <c r="AJ1880" s="2">
        <v>23.4087784928894</v>
      </c>
      <c r="AK1880" s="2">
        <v>23.5825957657737</v>
      </c>
      <c r="AL1880" s="2">
        <v>23.430426975893798</v>
      </c>
      <c r="AM1880" s="2">
        <v>23.396405262448699</v>
      </c>
      <c r="AN1880" s="2">
        <v>23.369365073724101</v>
      </c>
      <c r="AO1880" s="2">
        <v>23.3354838781921</v>
      </c>
      <c r="AP1880" s="2">
        <v>23.3095309011856</v>
      </c>
      <c r="AQ1880" s="2">
        <v>23.276894186481801</v>
      </c>
      <c r="AR1880" s="2">
        <v>23.414538130460301</v>
      </c>
      <c r="AS1880" s="2">
        <v>23.623697328113099</v>
      </c>
      <c r="AT1880" s="2">
        <v>23.337100492907201</v>
      </c>
      <c r="AU1880" s="2">
        <v>23.368173826596799</v>
      </c>
      <c r="AV1880" s="2">
        <v>23.383874903675299</v>
      </c>
      <c r="AW1880" s="2">
        <v>23.423070623581001</v>
      </c>
      <c r="AX1880" s="2">
        <v>23.3743213382314</v>
      </c>
      <c r="AY1880" s="2">
        <v>23.334011394759401</v>
      </c>
      <c r="AZ1880" s="2">
        <v>23.363356433427501</v>
      </c>
      <c r="BA1880" s="2">
        <v>23.464496530859101</v>
      </c>
      <c r="BB1880" s="2">
        <v>23.336268157954098</v>
      </c>
      <c r="BC1880" s="2">
        <v>23.543868871770801</v>
      </c>
      <c r="BD1880" s="2">
        <v>23.336239520383099</v>
      </c>
      <c r="BE1880" s="2">
        <v>23.3658452529118</v>
      </c>
      <c r="BF1880" s="2">
        <v>23.290923560217902</v>
      </c>
      <c r="BG1880" s="2">
        <v>23.350331301934698</v>
      </c>
      <c r="BH1880" s="2">
        <v>23.387570475753801</v>
      </c>
      <c r="BI1880" s="2">
        <v>23.252908278128299</v>
      </c>
      <c r="BJ1880" s="2">
        <v>23.2501119025093</v>
      </c>
      <c r="BK1880" s="2">
        <v>23.3292405055317</v>
      </c>
      <c r="BL1880" s="2">
        <v>23.433507506128201</v>
      </c>
      <c r="BM1880" s="2">
        <v>23.331788579144401</v>
      </c>
      <c r="BN1880" s="2">
        <v>23.2067124204526</v>
      </c>
      <c r="BO1880" s="2">
        <v>23.273471148619901</v>
      </c>
      <c r="BP1880" s="2">
        <v>23.330004779113199</v>
      </c>
      <c r="BQ1880" s="2">
        <v>23.363676197162</v>
      </c>
      <c r="BR1880" s="2">
        <v>23.313429507879199</v>
      </c>
      <c r="BS1880" s="2">
        <v>23.343102961600401</v>
      </c>
      <c r="BT1880" s="2">
        <v>23.244231245461499</v>
      </c>
      <c r="BU1880" s="2">
        <v>23.269096286255898</v>
      </c>
      <c r="BV1880" s="2">
        <v>23.2188067591667</v>
      </c>
      <c r="BW1880" s="2">
        <v>23.396119423093499</v>
      </c>
      <c r="BX1880" s="2">
        <v>23.278022709222299</v>
      </c>
      <c r="BY1880" s="2">
        <v>23.332404851818101</v>
      </c>
      <c r="BZ1880" s="2">
        <v>23.289915731549399</v>
      </c>
      <c r="CA1880" s="2">
        <v>23.31775604029</v>
      </c>
      <c r="CB1880" s="2">
        <v>23.3308168131299</v>
      </c>
      <c r="CC1880" s="2">
        <v>23.35740956575</v>
      </c>
      <c r="CD1880" s="2">
        <v>23.2186620880676</v>
      </c>
      <c r="CE1880" s="2">
        <v>23.320136198739</v>
      </c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</row>
    <row r="1881" spans="1:97">
      <c r="A1881" s="2" t="s">
        <v>16532</v>
      </c>
      <c r="B1881" s="2">
        <v>185.1146</v>
      </c>
      <c r="C1881" s="2">
        <v>0.65700000000000003</v>
      </c>
      <c r="D1881" s="2" t="s">
        <v>84</v>
      </c>
      <c r="E1881" s="2" t="s">
        <v>16533</v>
      </c>
      <c r="F1881" s="2" t="s">
        <v>16534</v>
      </c>
      <c r="G1881" s="2">
        <v>209367</v>
      </c>
      <c r="H1881" s="3" t="str">
        <f>HYPERLINK("https://cloud.oebiotech.com/#/lm/network/209367", "https://cloud.oebiotech.com/#/lm/network/209367")</f>
        <v>https://cloud.oebiotech.com/#/lm/network/209367</v>
      </c>
      <c r="I1881" s="2" t="s">
        <v>16535</v>
      </c>
      <c r="J1881" s="2"/>
      <c r="K1881" s="2"/>
      <c r="L1881" s="2">
        <v>73188274</v>
      </c>
      <c r="M1881" s="2"/>
      <c r="N1881" s="2"/>
      <c r="O1881" s="2"/>
      <c r="P1881" s="2"/>
      <c r="Q1881" s="2"/>
      <c r="R1881" s="2"/>
      <c r="S1881" s="2"/>
      <c r="T1881" s="2" t="s">
        <v>16536</v>
      </c>
      <c r="U1881" s="2" t="s">
        <v>16537</v>
      </c>
      <c r="V1881" s="2" t="s">
        <v>553</v>
      </c>
      <c r="W1881" s="2" t="s">
        <v>3468</v>
      </c>
      <c r="X1881" s="2" t="s">
        <v>6622</v>
      </c>
      <c r="Y1881" s="2" t="s">
        <v>556</v>
      </c>
      <c r="Z1881" s="2" t="s">
        <v>3470</v>
      </c>
      <c r="AA1881" s="2" t="s">
        <v>6623</v>
      </c>
      <c r="AB1881" s="2" t="s">
        <v>8443</v>
      </c>
      <c r="AC1881" s="2">
        <v>39.090000000000003</v>
      </c>
      <c r="AD1881" s="2">
        <v>95.47</v>
      </c>
      <c r="AE1881" s="2">
        <v>0</v>
      </c>
      <c r="AF1881" s="2" t="s">
        <v>16538</v>
      </c>
      <c r="AG1881" s="2" t="s">
        <v>132</v>
      </c>
      <c r="AH1881" s="2" t="s">
        <v>16539</v>
      </c>
      <c r="AI1881" s="2">
        <v>-0.54</v>
      </c>
      <c r="AJ1881" s="2">
        <v>21.257382553620701</v>
      </c>
      <c r="AK1881" s="2">
        <v>21.680461459942599</v>
      </c>
      <c r="AL1881" s="2">
        <v>21.6268623808675</v>
      </c>
      <c r="AM1881" s="2">
        <v>21.978975109837599</v>
      </c>
      <c r="AN1881" s="2">
        <v>21.577668124478699</v>
      </c>
      <c r="AO1881" s="2">
        <v>21.8578421384302</v>
      </c>
      <c r="AP1881" s="2">
        <v>22.017256741508501</v>
      </c>
      <c r="AQ1881" s="2">
        <v>21.877009139413399</v>
      </c>
      <c r="AR1881" s="2">
        <v>21.482751866188</v>
      </c>
      <c r="AS1881" s="2">
        <v>20.961280731729101</v>
      </c>
      <c r="AT1881" s="2">
        <v>20.979393974897</v>
      </c>
      <c r="AU1881" s="2">
        <v>20.923633852048699</v>
      </c>
      <c r="AV1881" s="2">
        <v>21.381535790582799</v>
      </c>
      <c r="AW1881" s="2">
        <v>20.9301400631145</v>
      </c>
      <c r="AX1881" s="2">
        <v>21.699967682432</v>
      </c>
      <c r="AY1881" s="2">
        <v>21.569965404249601</v>
      </c>
      <c r="AZ1881" s="2">
        <v>20.914381365398999</v>
      </c>
      <c r="BA1881" s="2">
        <v>21.009472752233101</v>
      </c>
      <c r="BB1881" s="2">
        <v>21.742154792112501</v>
      </c>
      <c r="BC1881" s="2">
        <v>21.555004037380598</v>
      </c>
      <c r="BD1881" s="2">
        <v>21.642861259833399</v>
      </c>
      <c r="BE1881" s="2">
        <v>21.809104655748801</v>
      </c>
      <c r="BF1881" s="2">
        <v>21.248689492946902</v>
      </c>
      <c r="BG1881" s="2">
        <v>21.081335390625501</v>
      </c>
      <c r="BH1881" s="2">
        <v>21.4342644327002</v>
      </c>
      <c r="BI1881" s="2">
        <v>21.702097021519801</v>
      </c>
      <c r="BJ1881" s="2">
        <v>21.8673406673371</v>
      </c>
      <c r="BK1881" s="2">
        <v>21.560618426419701</v>
      </c>
      <c r="BL1881" s="2">
        <v>21.6894658028999</v>
      </c>
      <c r="BM1881" s="2">
        <v>21.7458815796804</v>
      </c>
      <c r="BN1881" s="2">
        <v>21.883179969987498</v>
      </c>
      <c r="BO1881" s="2">
        <v>21.441245619367301</v>
      </c>
      <c r="BP1881" s="2">
        <v>21.623271845709201</v>
      </c>
      <c r="BQ1881" s="2">
        <v>21.597121660723001</v>
      </c>
      <c r="BR1881" s="2">
        <v>21.581355978192502</v>
      </c>
      <c r="BS1881" s="2">
        <v>21.823104170352298</v>
      </c>
      <c r="BT1881" s="2">
        <v>20.839856240469999</v>
      </c>
      <c r="BU1881" s="2">
        <v>21.619931016096199</v>
      </c>
      <c r="BV1881" s="2">
        <v>21.8370813798076</v>
      </c>
      <c r="BW1881" s="2">
        <v>21.708736658986901</v>
      </c>
      <c r="BX1881" s="2">
        <v>21.812643011547099</v>
      </c>
      <c r="BY1881" s="2">
        <v>21.817971099641401</v>
      </c>
      <c r="BZ1881" s="2">
        <v>21.543759911337698</v>
      </c>
      <c r="CA1881" s="2">
        <v>21.197231501894699</v>
      </c>
      <c r="CB1881" s="2">
        <v>21.521628573957901</v>
      </c>
      <c r="CC1881" s="2">
        <v>21.1603433519787</v>
      </c>
      <c r="CD1881" s="2">
        <v>20.912561434326498</v>
      </c>
      <c r="CE1881" s="2">
        <v>21.881257306910801</v>
      </c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</row>
    <row r="1882" spans="1:97">
      <c r="A1882" s="2" t="s">
        <v>16540</v>
      </c>
      <c r="B1882" s="2">
        <v>232.98442</v>
      </c>
      <c r="C1882" s="2">
        <v>5.4880000000000004</v>
      </c>
      <c r="D1882" s="2" t="s">
        <v>146</v>
      </c>
      <c r="E1882" s="2" t="s">
        <v>16541</v>
      </c>
      <c r="F1882" s="2" t="s">
        <v>16542</v>
      </c>
      <c r="G1882" s="2">
        <v>82277</v>
      </c>
      <c r="H1882" s="3" t="str">
        <f>HYPERLINK("https://cloud.oebiotech.com/#/lm/network/82277", "https://cloud.oebiotech.com/#/lm/network/82277")</f>
        <v>https://cloud.oebiotech.com/#/lm/network/82277</v>
      </c>
      <c r="I1882" s="2" t="s">
        <v>16543</v>
      </c>
      <c r="J1882" s="2">
        <v>72145</v>
      </c>
      <c r="K1882" s="2"/>
      <c r="L1882" s="2">
        <v>49787040</v>
      </c>
      <c r="M1882" s="2" t="s">
        <v>16544</v>
      </c>
      <c r="N1882" s="2"/>
      <c r="O1882" s="2"/>
      <c r="P1882" s="2">
        <v>81660</v>
      </c>
      <c r="Q1882" s="2"/>
      <c r="R1882" s="2"/>
      <c r="S1882" s="2"/>
      <c r="T1882" s="2" t="s">
        <v>16545</v>
      </c>
      <c r="U1882" s="2" t="s">
        <v>16546</v>
      </c>
      <c r="V1882" s="2" t="s">
        <v>95</v>
      </c>
      <c r="W1882" s="2" t="s">
        <v>96</v>
      </c>
      <c r="X1882" s="2" t="s">
        <v>141</v>
      </c>
      <c r="Y1882" s="2" t="s">
        <v>98</v>
      </c>
      <c r="Z1882" s="2" t="s">
        <v>99</v>
      </c>
      <c r="AA1882" s="2" t="s">
        <v>142</v>
      </c>
      <c r="AB1882" s="2" t="s">
        <v>8443</v>
      </c>
      <c r="AC1882" s="2">
        <v>39.08</v>
      </c>
      <c r="AD1882" s="2">
        <v>87.16</v>
      </c>
      <c r="AE1882" s="2">
        <v>0</v>
      </c>
      <c r="AF1882" s="2" t="s">
        <v>16547</v>
      </c>
      <c r="AG1882" s="2" t="s">
        <v>157</v>
      </c>
      <c r="AH1882" s="2" t="s">
        <v>16548</v>
      </c>
      <c r="AI1882" s="2">
        <v>6.01</v>
      </c>
      <c r="AJ1882" s="2">
        <v>23.273718528301298</v>
      </c>
      <c r="AK1882" s="2">
        <v>23.187928163362699</v>
      </c>
      <c r="AL1882" s="2">
        <v>23.1723608171799</v>
      </c>
      <c r="AM1882" s="2">
        <v>23.149569041844401</v>
      </c>
      <c r="AN1882" s="2">
        <v>23.1992400567425</v>
      </c>
      <c r="AO1882" s="2">
        <v>23.249052070407</v>
      </c>
      <c r="AP1882" s="2">
        <v>23.265592498189601</v>
      </c>
      <c r="AQ1882" s="2">
        <v>23.2545662467362</v>
      </c>
      <c r="AR1882" s="2">
        <v>22.999837064755098</v>
      </c>
      <c r="AS1882" s="2">
        <v>23.210473568096699</v>
      </c>
      <c r="AT1882" s="2">
        <v>23.342927821734001</v>
      </c>
      <c r="AU1882" s="2">
        <v>23.005844531450801</v>
      </c>
      <c r="AV1882" s="2">
        <v>23.3275344682941</v>
      </c>
      <c r="AW1882" s="2">
        <v>23.391480183240098</v>
      </c>
      <c r="AX1882" s="2">
        <v>23.2115194494042</v>
      </c>
      <c r="AY1882" s="2">
        <v>23.115077380673501</v>
      </c>
      <c r="AZ1882" s="2">
        <v>23.162066774569499</v>
      </c>
      <c r="BA1882" s="2">
        <v>23.176629134051101</v>
      </c>
      <c r="BB1882" s="2">
        <v>23.184591276671799</v>
      </c>
      <c r="BC1882" s="2">
        <v>23.131077394745201</v>
      </c>
      <c r="BD1882" s="2">
        <v>23.2145285403979</v>
      </c>
      <c r="BE1882" s="2">
        <v>23.088690019552899</v>
      </c>
      <c r="BF1882" s="2">
        <v>23.089588634151799</v>
      </c>
      <c r="BG1882" s="2">
        <v>23.289237099585399</v>
      </c>
      <c r="BH1882" s="2">
        <v>23.0453628472854</v>
      </c>
      <c r="BI1882" s="2">
        <v>23.034425720092901</v>
      </c>
      <c r="BJ1882" s="2">
        <v>23.067078797486001</v>
      </c>
      <c r="BK1882" s="2">
        <v>22.996912354537798</v>
      </c>
      <c r="BL1882" s="2">
        <v>23.181109243461101</v>
      </c>
      <c r="BM1882" s="2">
        <v>22.910137777525001</v>
      </c>
      <c r="BN1882" s="2">
        <v>23.134981468284298</v>
      </c>
      <c r="BO1882" s="2">
        <v>23.225369762605901</v>
      </c>
      <c r="BP1882" s="2">
        <v>22.986064829490001</v>
      </c>
      <c r="BQ1882" s="2">
        <v>22.994205220397198</v>
      </c>
      <c r="BR1882" s="2">
        <v>22.987095918508398</v>
      </c>
      <c r="BS1882" s="2">
        <v>23.129533571746901</v>
      </c>
      <c r="BT1882" s="2">
        <v>23.016916785190201</v>
      </c>
      <c r="BU1882" s="2">
        <v>23.1860860797694</v>
      </c>
      <c r="BV1882" s="2">
        <v>22.943655384457902</v>
      </c>
      <c r="BW1882" s="2">
        <v>23.014510201864201</v>
      </c>
      <c r="BX1882" s="2">
        <v>23.015706161307701</v>
      </c>
      <c r="BY1882" s="2">
        <v>23.1252961182742</v>
      </c>
      <c r="BZ1882" s="2">
        <v>23.017677926792899</v>
      </c>
      <c r="CA1882" s="2">
        <v>22.929879530406801</v>
      </c>
      <c r="CB1882" s="2">
        <v>23.2195941435895</v>
      </c>
      <c r="CC1882" s="2">
        <v>23.147132542441302</v>
      </c>
      <c r="CD1882" s="2">
        <v>23.076850300133501</v>
      </c>
      <c r="CE1882" s="2">
        <v>23.1569019601713</v>
      </c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</row>
    <row r="1883" spans="1:97">
      <c r="A1883" s="2" t="s">
        <v>16549</v>
      </c>
      <c r="B1883" s="2">
        <v>293.00555000000003</v>
      </c>
      <c r="C1883" s="2">
        <v>6.9569999999999999</v>
      </c>
      <c r="D1883" s="2" t="s">
        <v>146</v>
      </c>
      <c r="E1883" s="2" t="s">
        <v>16550</v>
      </c>
      <c r="F1883" s="2" t="s">
        <v>16551</v>
      </c>
      <c r="G1883" s="2">
        <v>211932</v>
      </c>
      <c r="H1883" s="3" t="str">
        <f>HYPERLINK("https://cloud.oebiotech.com/#/lm/network/211932", "https://cloud.oebiotech.com/#/lm/network/211932")</f>
        <v>https://cloud.oebiotech.com/#/lm/network/211932</v>
      </c>
      <c r="I1883" s="2" t="s">
        <v>16552</v>
      </c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 t="s">
        <v>16553</v>
      </c>
      <c r="U1883" s="2" t="s">
        <v>16554</v>
      </c>
      <c r="V1883" s="2" t="s">
        <v>553</v>
      </c>
      <c r="W1883" s="2" t="s">
        <v>2447</v>
      </c>
      <c r="X1883" s="2" t="s">
        <v>375</v>
      </c>
      <c r="Y1883" s="2" t="s">
        <v>556</v>
      </c>
      <c r="Z1883" s="2" t="s">
        <v>2449</v>
      </c>
      <c r="AA1883" s="2"/>
      <c r="AB1883" s="2" t="s">
        <v>8443</v>
      </c>
      <c r="AC1883" s="2">
        <v>39.08</v>
      </c>
      <c r="AD1883" s="2">
        <v>95.39</v>
      </c>
      <c r="AE1883" s="2">
        <v>0</v>
      </c>
      <c r="AF1883" s="2" t="s">
        <v>16555</v>
      </c>
      <c r="AG1883" s="2" t="s">
        <v>993</v>
      </c>
      <c r="AH1883" s="2" t="s">
        <v>16556</v>
      </c>
      <c r="AI1883" s="2">
        <v>-0.34</v>
      </c>
      <c r="AJ1883" s="2">
        <v>20.999195467890701</v>
      </c>
      <c r="AK1883" s="2">
        <v>20.964145176482599</v>
      </c>
      <c r="AL1883" s="2">
        <v>21.019856796545501</v>
      </c>
      <c r="AM1883" s="2">
        <v>20.942862545949001</v>
      </c>
      <c r="AN1883" s="2">
        <v>20.886726834666099</v>
      </c>
      <c r="AO1883" s="2">
        <v>20.795482366891498</v>
      </c>
      <c r="AP1883" s="2">
        <v>20.7843699610337</v>
      </c>
      <c r="AQ1883" s="2">
        <v>20.766089718670599</v>
      </c>
      <c r="AR1883" s="2">
        <v>20.896739909416201</v>
      </c>
      <c r="AS1883" s="2">
        <v>21.132630614779298</v>
      </c>
      <c r="AT1883" s="2">
        <v>20.827828388194501</v>
      </c>
      <c r="AU1883" s="2">
        <v>21.101596210058499</v>
      </c>
      <c r="AV1883" s="2">
        <v>20.963265217840799</v>
      </c>
      <c r="AW1883" s="2">
        <v>20.9926251404992</v>
      </c>
      <c r="AX1883" s="2">
        <v>20.980799243846999</v>
      </c>
      <c r="AY1883" s="2">
        <v>20.766326919677098</v>
      </c>
      <c r="AZ1883" s="2">
        <v>20.892410304518599</v>
      </c>
      <c r="BA1883" s="2">
        <v>21.0961818616938</v>
      </c>
      <c r="BB1883" s="2">
        <v>21.0257272518785</v>
      </c>
      <c r="BC1883" s="2">
        <v>21.125971693404701</v>
      </c>
      <c r="BD1883" s="2">
        <v>21.0087687448768</v>
      </c>
      <c r="BE1883" s="2">
        <v>20.877381156607399</v>
      </c>
      <c r="BF1883" s="2">
        <v>20.9389929960657</v>
      </c>
      <c r="BG1883" s="2">
        <v>20.8893245036267</v>
      </c>
      <c r="BH1883" s="2">
        <v>21.000394687465999</v>
      </c>
      <c r="BI1883" s="2">
        <v>21.004089655240101</v>
      </c>
      <c r="BJ1883" s="2">
        <v>20.821816022081901</v>
      </c>
      <c r="BK1883" s="2">
        <v>21.084912486927202</v>
      </c>
      <c r="BL1883" s="2">
        <v>20.9201948164485</v>
      </c>
      <c r="BM1883" s="2">
        <v>21.034231631707001</v>
      </c>
      <c r="BN1883" s="2">
        <v>20.5455780900419</v>
      </c>
      <c r="BO1883" s="2">
        <v>20.715924816067702</v>
      </c>
      <c r="BP1883" s="2">
        <v>20.641494521569001</v>
      </c>
      <c r="BQ1883" s="2">
        <v>20.9118271906183</v>
      </c>
      <c r="BR1883" s="2">
        <v>20.939163433824199</v>
      </c>
      <c r="BS1883" s="2">
        <v>20.8187725589999</v>
      </c>
      <c r="BT1883" s="2">
        <v>20.765573650337402</v>
      </c>
      <c r="BU1883" s="2">
        <v>20.840100610213799</v>
      </c>
      <c r="BV1883" s="2">
        <v>20.874100062238899</v>
      </c>
      <c r="BW1883" s="2">
        <v>21.0437461817348</v>
      </c>
      <c r="BX1883" s="2">
        <v>20.770465571299098</v>
      </c>
      <c r="BY1883" s="2">
        <v>20.441829492508202</v>
      </c>
      <c r="BZ1883" s="2">
        <v>20.902020318234101</v>
      </c>
      <c r="CA1883" s="2">
        <v>20.857304626440001</v>
      </c>
      <c r="CB1883" s="2">
        <v>20.5303861801357</v>
      </c>
      <c r="CC1883" s="2">
        <v>20.912877688062</v>
      </c>
      <c r="CD1883" s="2">
        <v>20.713264199673301</v>
      </c>
      <c r="CE1883" s="2">
        <v>20.756855902771399</v>
      </c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</row>
    <row r="1884" spans="1:97">
      <c r="A1884" s="2" t="s">
        <v>16557</v>
      </c>
      <c r="B1884" s="2">
        <v>459.27229999999997</v>
      </c>
      <c r="C1884" s="2">
        <v>9.5250000000000004</v>
      </c>
      <c r="D1884" s="2" t="s">
        <v>146</v>
      </c>
      <c r="E1884" s="2" t="s">
        <v>16558</v>
      </c>
      <c r="F1884" s="2" t="s">
        <v>16559</v>
      </c>
      <c r="G1884" s="2">
        <v>205507</v>
      </c>
      <c r="H1884" s="3" t="str">
        <f>HYPERLINK("https://cloud.oebiotech.com/#/lm/network/205507", "https://cloud.oebiotech.com/#/lm/network/205507")</f>
        <v>https://cloud.oebiotech.com/#/lm/network/205507</v>
      </c>
      <c r="I1884" s="2" t="s">
        <v>16560</v>
      </c>
      <c r="J1884" s="2"/>
      <c r="K1884" s="2"/>
      <c r="L1884" s="2">
        <v>3612797</v>
      </c>
      <c r="M1884" s="2"/>
      <c r="N1884" s="2"/>
      <c r="O1884" s="2"/>
      <c r="P1884" s="2"/>
      <c r="Q1884" s="2"/>
      <c r="R1884" s="2"/>
      <c r="S1884" s="2"/>
      <c r="T1884" s="2" t="s">
        <v>16561</v>
      </c>
      <c r="U1884" s="2" t="s">
        <v>16562</v>
      </c>
      <c r="V1884" s="2" t="s">
        <v>115</v>
      </c>
      <c r="W1884" s="2" t="s">
        <v>116</v>
      </c>
      <c r="X1884" s="2" t="s">
        <v>117</v>
      </c>
      <c r="Y1884" s="2" t="s">
        <v>118</v>
      </c>
      <c r="Z1884" s="2" t="s">
        <v>119</v>
      </c>
      <c r="AA1884" s="2" t="s">
        <v>120</v>
      </c>
      <c r="AB1884" s="2" t="s">
        <v>8443</v>
      </c>
      <c r="AC1884" s="2">
        <v>39.08</v>
      </c>
      <c r="AD1884" s="2">
        <v>95.41</v>
      </c>
      <c r="AE1884" s="2">
        <v>0</v>
      </c>
      <c r="AF1884" s="2" t="s">
        <v>16563</v>
      </c>
      <c r="AG1884" s="2" t="s">
        <v>993</v>
      </c>
      <c r="AH1884" s="2" t="s">
        <v>16564</v>
      </c>
      <c r="AI1884" s="2">
        <v>-0.65</v>
      </c>
      <c r="AJ1884" s="2">
        <v>20.354423485130201</v>
      </c>
      <c r="AK1884" s="2">
        <v>20.146159861852301</v>
      </c>
      <c r="AL1884" s="2">
        <v>19.523082684337901</v>
      </c>
      <c r="AM1884" s="2">
        <v>20.3121943771872</v>
      </c>
      <c r="AN1884" s="2">
        <v>19.379186886048501</v>
      </c>
      <c r="AO1884" s="2">
        <v>20.181864919224001</v>
      </c>
      <c r="AP1884" s="2">
        <v>20.175112920013898</v>
      </c>
      <c r="AQ1884" s="2">
        <v>20.080753508572901</v>
      </c>
      <c r="AR1884" s="2">
        <v>16.671844959289</v>
      </c>
      <c r="AS1884" s="2">
        <v>14.146474805232801</v>
      </c>
      <c r="AT1884" s="2">
        <v>17.387051352267701</v>
      </c>
      <c r="AU1884" s="2">
        <v>18.490985903769602</v>
      </c>
      <c r="AV1884" s="2">
        <v>17.7804778682525</v>
      </c>
      <c r="AW1884" s="2">
        <v>20.539799738377202</v>
      </c>
      <c r="AX1884" s="2">
        <v>13.896221699689001</v>
      </c>
      <c r="AY1884" s="2">
        <v>20.021971578327801</v>
      </c>
      <c r="AZ1884" s="2">
        <v>17.6363751773297</v>
      </c>
      <c r="BA1884" s="2">
        <v>18.311380517810701</v>
      </c>
      <c r="BB1884" s="2">
        <v>19.062869248691801</v>
      </c>
      <c r="BC1884" s="2">
        <v>21.711762895320401</v>
      </c>
      <c r="BD1884" s="2">
        <v>16.7329591639852</v>
      </c>
      <c r="BE1884" s="2">
        <v>20.303093330961602</v>
      </c>
      <c r="BF1884" s="2">
        <v>17.320644032231499</v>
      </c>
      <c r="BG1884" s="2">
        <v>20.959334609948201</v>
      </c>
      <c r="BH1884" s="2">
        <v>16.412118437833001</v>
      </c>
      <c r="BI1884" s="2">
        <v>20.043859699267799</v>
      </c>
      <c r="BJ1884" s="2">
        <v>20.554123114821</v>
      </c>
      <c r="BK1884" s="2">
        <v>21.220611087380998</v>
      </c>
      <c r="BL1884" s="2">
        <v>18.201107540138</v>
      </c>
      <c r="BM1884" s="2">
        <v>18.031422777855699</v>
      </c>
      <c r="BN1884" s="2">
        <v>19.680302239866599</v>
      </c>
      <c r="BO1884" s="2">
        <v>18.119915406092801</v>
      </c>
      <c r="BP1884" s="2">
        <v>17.3986521847674</v>
      </c>
      <c r="BQ1884" s="2">
        <v>20.514868242867902</v>
      </c>
      <c r="BR1884" s="2">
        <v>16.560982676887001</v>
      </c>
      <c r="BS1884" s="2">
        <v>20.476545011466399</v>
      </c>
      <c r="BT1884" s="2">
        <v>16.106497919560301</v>
      </c>
      <c r="BU1884" s="2">
        <v>18.0592183821745</v>
      </c>
      <c r="BV1884" s="2">
        <v>20.583131958133201</v>
      </c>
      <c r="BW1884" s="2">
        <v>19.077750661074099</v>
      </c>
      <c r="BX1884" s="2">
        <v>16.113854465331201</v>
      </c>
      <c r="BY1884" s="2">
        <v>20.4269848044089</v>
      </c>
      <c r="BZ1884" s="2">
        <v>17.1735135747534</v>
      </c>
      <c r="CA1884" s="2">
        <v>20.292794598029602</v>
      </c>
      <c r="CB1884" s="2">
        <v>19.601351308553301</v>
      </c>
      <c r="CC1884" s="2">
        <v>20.176598758609899</v>
      </c>
      <c r="CD1884" s="2">
        <v>19.006872048778199</v>
      </c>
      <c r="CE1884" s="2">
        <v>21.595949807612602</v>
      </c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</row>
    <row r="1885" spans="1:97">
      <c r="A1885" s="2" t="s">
        <v>16565</v>
      </c>
      <c r="B1885" s="2">
        <v>124.11203</v>
      </c>
      <c r="C1885" s="2">
        <v>0.80300000000000005</v>
      </c>
      <c r="D1885" s="2" t="s">
        <v>84</v>
      </c>
      <c r="E1885" s="2" t="s">
        <v>16566</v>
      </c>
      <c r="F1885" s="2" t="s">
        <v>16567</v>
      </c>
      <c r="G1885" s="2">
        <v>57609</v>
      </c>
      <c r="H1885" s="3" t="str">
        <f>HYPERLINK("https://cloud.oebiotech.com/#/lm/network/57609", "https://cloud.oebiotech.com/#/lm/network/57609")</f>
        <v>https://cloud.oebiotech.com/#/lm/network/57609</v>
      </c>
      <c r="I1885" s="2" t="s">
        <v>16568</v>
      </c>
      <c r="J1885" s="2">
        <v>89209</v>
      </c>
      <c r="K1885" s="2"/>
      <c r="L1885" s="2">
        <v>56972723</v>
      </c>
      <c r="M1885" s="2"/>
      <c r="N1885" s="2"/>
      <c r="O1885" s="2"/>
      <c r="P1885" s="2"/>
      <c r="Q1885" s="2"/>
      <c r="R1885" s="2"/>
      <c r="S1885" s="2" t="s">
        <v>16569</v>
      </c>
      <c r="T1885" s="2" t="s">
        <v>16570</v>
      </c>
      <c r="U1885" s="2" t="s">
        <v>16571</v>
      </c>
      <c r="V1885" s="2" t="s">
        <v>553</v>
      </c>
      <c r="W1885" s="2" t="s">
        <v>2447</v>
      </c>
      <c r="X1885" s="2" t="s">
        <v>6211</v>
      </c>
      <c r="Y1885" s="2" t="s">
        <v>556</v>
      </c>
      <c r="Z1885" s="2" t="s">
        <v>2449</v>
      </c>
      <c r="AA1885" s="2" t="s">
        <v>6212</v>
      </c>
      <c r="AB1885" s="2" t="s">
        <v>8443</v>
      </c>
      <c r="AC1885" s="2">
        <v>39.07</v>
      </c>
      <c r="AD1885" s="2">
        <v>95.34</v>
      </c>
      <c r="AE1885" s="2">
        <v>0</v>
      </c>
      <c r="AF1885" s="2" t="s">
        <v>5614</v>
      </c>
      <c r="AG1885" s="2" t="s">
        <v>103</v>
      </c>
      <c r="AH1885" s="2" t="s">
        <v>16572</v>
      </c>
      <c r="AI1885" s="2">
        <v>0.81</v>
      </c>
      <c r="AJ1885" s="2">
        <v>21.069240694925899</v>
      </c>
      <c r="AK1885" s="2">
        <v>20.804208389417099</v>
      </c>
      <c r="AL1885" s="2">
        <v>20.418512108036001</v>
      </c>
      <c r="AM1885" s="2">
        <v>20.492235244057099</v>
      </c>
      <c r="AN1885" s="2">
        <v>20.127381572769799</v>
      </c>
      <c r="AO1885" s="2">
        <v>20.506579209650901</v>
      </c>
      <c r="AP1885" s="2">
        <v>20.6424583775072</v>
      </c>
      <c r="AQ1885" s="2">
        <v>20.2873990440096</v>
      </c>
      <c r="AR1885" s="2">
        <v>20.660106987805399</v>
      </c>
      <c r="AS1885" s="2">
        <v>21.054639556136699</v>
      </c>
      <c r="AT1885" s="2">
        <v>20.929032796495999</v>
      </c>
      <c r="AU1885" s="2">
        <v>20.899769223811699</v>
      </c>
      <c r="AV1885" s="2">
        <v>20.721850583071301</v>
      </c>
      <c r="AW1885" s="2">
        <v>20.602543671277001</v>
      </c>
      <c r="AX1885" s="2">
        <v>20.4515970435247</v>
      </c>
      <c r="AY1885" s="2">
        <v>20.851103578831101</v>
      </c>
      <c r="AZ1885" s="2">
        <v>21.126248927565399</v>
      </c>
      <c r="BA1885" s="2">
        <v>21.003571535091499</v>
      </c>
      <c r="BB1885" s="2">
        <v>21.005798819274698</v>
      </c>
      <c r="BC1885" s="2">
        <v>19.960565417197799</v>
      </c>
      <c r="BD1885" s="2">
        <v>20.206027956466801</v>
      </c>
      <c r="BE1885" s="2">
        <v>20.447713563126801</v>
      </c>
      <c r="BF1885" s="2">
        <v>20.4453537260421</v>
      </c>
      <c r="BG1885" s="2">
        <v>20.308878648744301</v>
      </c>
      <c r="BH1885" s="2">
        <v>20.8503772149394</v>
      </c>
      <c r="BI1885" s="2">
        <v>20.5858846475078</v>
      </c>
      <c r="BJ1885" s="2">
        <v>20.5224092945029</v>
      </c>
      <c r="BK1885" s="2">
        <v>20.4896257750041</v>
      </c>
      <c r="BL1885" s="2">
        <v>20.591957445576799</v>
      </c>
      <c r="BM1885" s="2">
        <v>20.0130827277737</v>
      </c>
      <c r="BN1885" s="2">
        <v>20.4568525017261</v>
      </c>
      <c r="BO1885" s="2">
        <v>20.7911643435508</v>
      </c>
      <c r="BP1885" s="2">
        <v>20.628596112648601</v>
      </c>
      <c r="BQ1885" s="2">
        <v>20.3950580807767</v>
      </c>
      <c r="BR1885" s="2">
        <v>20.494469462089501</v>
      </c>
      <c r="BS1885" s="2">
        <v>20.215862349015801</v>
      </c>
      <c r="BT1885" s="2">
        <v>20.606375624971299</v>
      </c>
      <c r="BU1885" s="2">
        <v>20.428137811925001</v>
      </c>
      <c r="BV1885" s="2">
        <v>19.138670682366701</v>
      </c>
      <c r="BW1885" s="2">
        <v>20.6226926915263</v>
      </c>
      <c r="BX1885" s="2">
        <v>20.385763270076001</v>
      </c>
      <c r="BY1885" s="2">
        <v>19.938612299840301</v>
      </c>
      <c r="BZ1885" s="2">
        <v>20.0252348276715</v>
      </c>
      <c r="CA1885" s="2">
        <v>20.581271796755001</v>
      </c>
      <c r="CB1885" s="2">
        <v>20.374585823144201</v>
      </c>
      <c r="CC1885" s="2">
        <v>20.842919776890898</v>
      </c>
      <c r="CD1885" s="2">
        <v>20.215379709045799</v>
      </c>
      <c r="CE1885" s="2">
        <v>20.503048081808199</v>
      </c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</row>
    <row r="1886" spans="1:97">
      <c r="A1886" s="2" t="s">
        <v>16573</v>
      </c>
      <c r="B1886" s="2">
        <v>458.34696000000002</v>
      </c>
      <c r="C1886" s="2">
        <v>8.8989999999999991</v>
      </c>
      <c r="D1886" s="2" t="s">
        <v>84</v>
      </c>
      <c r="E1886" s="2" t="s">
        <v>16574</v>
      </c>
      <c r="F1886" s="2" t="s">
        <v>16575</v>
      </c>
      <c r="G1886" s="2">
        <v>198330</v>
      </c>
      <c r="H1886" s="3" t="str">
        <f>HYPERLINK("https://cloud.oebiotech.com/#/lm/network/198330", "https://cloud.oebiotech.com/#/lm/network/198330")</f>
        <v>https://cloud.oebiotech.com/#/lm/network/198330</v>
      </c>
      <c r="I1886" s="2" t="s">
        <v>16576</v>
      </c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 t="s">
        <v>16577</v>
      </c>
      <c r="U1886" s="2" t="s">
        <v>16578</v>
      </c>
      <c r="V1886" s="2" t="s">
        <v>95</v>
      </c>
      <c r="W1886" s="2" t="s">
        <v>96</v>
      </c>
      <c r="X1886" s="2" t="s">
        <v>97</v>
      </c>
      <c r="Y1886" s="2" t="s">
        <v>98</v>
      </c>
      <c r="Z1886" s="2" t="s">
        <v>99</v>
      </c>
      <c r="AA1886" s="2" t="s">
        <v>100</v>
      </c>
      <c r="AB1886" s="2" t="s">
        <v>8443</v>
      </c>
      <c r="AC1886" s="2">
        <v>39.07</v>
      </c>
      <c r="AD1886" s="2">
        <v>96.91</v>
      </c>
      <c r="AE1886" s="2">
        <v>0</v>
      </c>
      <c r="AF1886" s="2" t="s">
        <v>16579</v>
      </c>
      <c r="AG1886" s="2" t="s">
        <v>103</v>
      </c>
      <c r="AH1886" s="2" t="s">
        <v>16580</v>
      </c>
      <c r="AI1886" s="2">
        <v>1.31</v>
      </c>
      <c r="AJ1886" s="2">
        <v>20.1663205402069</v>
      </c>
      <c r="AK1886" s="2">
        <v>20.371088392920502</v>
      </c>
      <c r="AL1886" s="2">
        <v>20.232527848330498</v>
      </c>
      <c r="AM1886" s="2">
        <v>19.953401692412399</v>
      </c>
      <c r="AN1886" s="2">
        <v>19.960585467403401</v>
      </c>
      <c r="AO1886" s="2">
        <v>20.1723380406514</v>
      </c>
      <c r="AP1886" s="2">
        <v>20.241545690123399</v>
      </c>
      <c r="AQ1886" s="2">
        <v>19.9171367755586</v>
      </c>
      <c r="AR1886" s="2">
        <v>19.356493816952899</v>
      </c>
      <c r="AS1886" s="2">
        <v>17.930436244256299</v>
      </c>
      <c r="AT1886" s="2">
        <v>19.7450048800697</v>
      </c>
      <c r="AU1886" s="2">
        <v>19.034145571583501</v>
      </c>
      <c r="AV1886" s="2">
        <v>19.7618505076431</v>
      </c>
      <c r="AW1886" s="2">
        <v>19.9242406190452</v>
      </c>
      <c r="AX1886" s="2">
        <v>19.872933294903</v>
      </c>
      <c r="AY1886" s="2">
        <v>20.144822134277</v>
      </c>
      <c r="AZ1886" s="2">
        <v>18.384144817162301</v>
      </c>
      <c r="BA1886" s="2">
        <v>19.427472447196401</v>
      </c>
      <c r="BB1886" s="2">
        <v>20.743751342883201</v>
      </c>
      <c r="BC1886" s="2">
        <v>20.0677290141311</v>
      </c>
      <c r="BD1886" s="2">
        <v>19.004080723710299</v>
      </c>
      <c r="BE1886" s="2">
        <v>20.1399516915845</v>
      </c>
      <c r="BF1886" s="2">
        <v>19.5435049645532</v>
      </c>
      <c r="BG1886" s="2">
        <v>18.096243031051401</v>
      </c>
      <c r="BH1886" s="2">
        <v>19.6222086473764</v>
      </c>
      <c r="BI1886" s="2">
        <v>19.456831831744399</v>
      </c>
      <c r="BJ1886" s="2">
        <v>20.3712427973262</v>
      </c>
      <c r="BK1886" s="2">
        <v>19.348695676113099</v>
      </c>
      <c r="BL1886" s="2">
        <v>20.3386910365357</v>
      </c>
      <c r="BM1886" s="2">
        <v>19.704089858171901</v>
      </c>
      <c r="BN1886" s="2">
        <v>20.595165978636501</v>
      </c>
      <c r="BO1886" s="2">
        <v>19.891623408047099</v>
      </c>
      <c r="BP1886" s="2">
        <v>20.187905080207099</v>
      </c>
      <c r="BQ1886" s="2">
        <v>20.4030299726601</v>
      </c>
      <c r="BR1886" s="2">
        <v>19.754954993201501</v>
      </c>
      <c r="BS1886" s="2">
        <v>20.231586951339398</v>
      </c>
      <c r="BT1886" s="2">
        <v>19.7521647488587</v>
      </c>
      <c r="BU1886" s="2">
        <v>20.5171727919444</v>
      </c>
      <c r="BV1886" s="2">
        <v>20.6009512645836</v>
      </c>
      <c r="BW1886" s="2">
        <v>20.177358193140801</v>
      </c>
      <c r="BX1886" s="2">
        <v>19.514487112896202</v>
      </c>
      <c r="BY1886" s="2">
        <v>20.323764888572502</v>
      </c>
      <c r="BZ1886" s="2">
        <v>19.833900069801501</v>
      </c>
      <c r="CA1886" s="2">
        <v>19.962395440750001</v>
      </c>
      <c r="CB1886" s="2">
        <v>18.995946196096501</v>
      </c>
      <c r="CC1886" s="2">
        <v>19.106281647807599</v>
      </c>
      <c r="CD1886" s="2">
        <v>20.1025725467344</v>
      </c>
      <c r="CE1886" s="2">
        <v>18.971613014084301</v>
      </c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</row>
    <row r="1887" spans="1:97">
      <c r="A1887" s="2" t="s">
        <v>16581</v>
      </c>
      <c r="B1887" s="2">
        <v>258.27882</v>
      </c>
      <c r="C1887" s="2">
        <v>9.2110000000000003</v>
      </c>
      <c r="D1887" s="2" t="s">
        <v>84</v>
      </c>
      <c r="E1887" s="2" t="s">
        <v>16582</v>
      </c>
      <c r="F1887" s="2" t="s">
        <v>16583</v>
      </c>
      <c r="G1887" s="2">
        <v>6036</v>
      </c>
      <c r="H1887" s="3" t="str">
        <f>HYPERLINK("https://cloud.oebiotech.com/#/lm/network/6036", "https://cloud.oebiotech.com/#/lm/network/6036")</f>
        <v>https://cloud.oebiotech.com/#/lm/network/6036</v>
      </c>
      <c r="I1887" s="2"/>
      <c r="J1887" s="2">
        <v>36513</v>
      </c>
      <c r="K1887" s="2" t="s">
        <v>16584</v>
      </c>
      <c r="L1887" s="2">
        <v>5283305</v>
      </c>
      <c r="M1887" s="2"/>
      <c r="N1887" s="2"/>
      <c r="O1887" s="2"/>
      <c r="P1887" s="2"/>
      <c r="Q1887" s="2"/>
      <c r="R1887" s="2"/>
      <c r="S1887" s="2"/>
      <c r="T1887" s="2" t="s">
        <v>16585</v>
      </c>
      <c r="U1887" s="2" t="s">
        <v>16586</v>
      </c>
      <c r="V1887" s="2" t="s">
        <v>95</v>
      </c>
      <c r="W1887" s="2" t="s">
        <v>96</v>
      </c>
      <c r="X1887" s="2" t="s">
        <v>353</v>
      </c>
      <c r="Y1887" s="2" t="s">
        <v>98</v>
      </c>
      <c r="Z1887" s="2" t="s">
        <v>99</v>
      </c>
      <c r="AA1887" s="2" t="s">
        <v>354</v>
      </c>
      <c r="AB1887" s="2" t="s">
        <v>8443</v>
      </c>
      <c r="AC1887" s="2">
        <v>39.06</v>
      </c>
      <c r="AD1887" s="2">
        <v>96.09</v>
      </c>
      <c r="AE1887" s="2">
        <v>0</v>
      </c>
      <c r="AF1887" s="2" t="s">
        <v>16587</v>
      </c>
      <c r="AG1887" s="2" t="s">
        <v>132</v>
      </c>
      <c r="AH1887" s="2" t="s">
        <v>3755</v>
      </c>
      <c r="AI1887" s="2">
        <v>1.1599999999999999</v>
      </c>
      <c r="AJ1887" s="2">
        <v>21.678904430649599</v>
      </c>
      <c r="AK1887" s="2">
        <v>21.583969700061399</v>
      </c>
      <c r="AL1887" s="2">
        <v>21.7457969538751</v>
      </c>
      <c r="AM1887" s="2">
        <v>21.701108138684301</v>
      </c>
      <c r="AN1887" s="2">
        <v>21.6101154621883</v>
      </c>
      <c r="AO1887" s="2">
        <v>21.6714797475179</v>
      </c>
      <c r="AP1887" s="2">
        <v>21.7332423225422</v>
      </c>
      <c r="AQ1887" s="2">
        <v>21.685827406807501</v>
      </c>
      <c r="AR1887" s="2">
        <v>20.6455799919651</v>
      </c>
      <c r="AS1887" s="2">
        <v>20.6208301790391</v>
      </c>
      <c r="AT1887" s="2">
        <v>20.156541612366901</v>
      </c>
      <c r="AU1887" s="2">
        <v>20.2333188655032</v>
      </c>
      <c r="AV1887" s="2">
        <v>20.034711593138599</v>
      </c>
      <c r="AW1887" s="2">
        <v>20.3695197012735</v>
      </c>
      <c r="AX1887" s="2">
        <v>20.230159721766</v>
      </c>
      <c r="AY1887" s="2">
        <v>20.042457502060099</v>
      </c>
      <c r="AZ1887" s="2">
        <v>20.012101207324399</v>
      </c>
      <c r="BA1887" s="2">
        <v>20.037139513748599</v>
      </c>
      <c r="BB1887" s="2">
        <v>20.012181962057198</v>
      </c>
      <c r="BC1887" s="2">
        <v>20.028808329887099</v>
      </c>
      <c r="BD1887" s="2">
        <v>20.172132150401701</v>
      </c>
      <c r="BE1887" s="2">
        <v>20.367605838859699</v>
      </c>
      <c r="BF1887" s="2">
        <v>20.382465885428299</v>
      </c>
      <c r="BG1887" s="2">
        <v>20.203131695314799</v>
      </c>
      <c r="BH1887" s="2">
        <v>20.1423743086606</v>
      </c>
      <c r="BI1887" s="2">
        <v>20.1585421638441</v>
      </c>
      <c r="BJ1887" s="2">
        <v>20.2581545932197</v>
      </c>
      <c r="BK1887" s="2">
        <v>20.3599985163601</v>
      </c>
      <c r="BL1887" s="2">
        <v>19.555120962411699</v>
      </c>
      <c r="BM1887" s="2">
        <v>19.083936226135801</v>
      </c>
      <c r="BN1887" s="2">
        <v>20.059327731080401</v>
      </c>
      <c r="BO1887" s="2">
        <v>19.9037822499387</v>
      </c>
      <c r="BP1887" s="2">
        <v>19.932756413661799</v>
      </c>
      <c r="BQ1887" s="2">
        <v>19.759064751758501</v>
      </c>
      <c r="BR1887" s="2">
        <v>20.139354207877702</v>
      </c>
      <c r="BS1887" s="2">
        <v>19.934508856492702</v>
      </c>
      <c r="BT1887" s="2">
        <v>20.254844700170398</v>
      </c>
      <c r="BU1887" s="2">
        <v>19.995791961336501</v>
      </c>
      <c r="BV1887" s="2">
        <v>19.8185284423807</v>
      </c>
      <c r="BW1887" s="2">
        <v>19.864186734207699</v>
      </c>
      <c r="BX1887" s="2">
        <v>20.2540950277183</v>
      </c>
      <c r="BY1887" s="2">
        <v>20.3274624837881</v>
      </c>
      <c r="BZ1887" s="2">
        <v>20.489645304315999</v>
      </c>
      <c r="CA1887" s="2">
        <v>20.124792533321902</v>
      </c>
      <c r="CB1887" s="2">
        <v>20.059938406067399</v>
      </c>
      <c r="CC1887" s="2">
        <v>19.802567339554798</v>
      </c>
      <c r="CD1887" s="2">
        <v>19.8103846869103</v>
      </c>
      <c r="CE1887" s="2">
        <v>19.980730935724299</v>
      </c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</row>
    <row r="1888" spans="1:97">
      <c r="A1888" s="2" t="s">
        <v>16588</v>
      </c>
      <c r="B1888" s="2">
        <v>640.29178999999999</v>
      </c>
      <c r="C1888" s="2">
        <v>11.583</v>
      </c>
      <c r="D1888" s="2" t="s">
        <v>146</v>
      </c>
      <c r="E1888" s="2" t="s">
        <v>16589</v>
      </c>
      <c r="F1888" s="2" t="s">
        <v>16590</v>
      </c>
      <c r="G1888" s="2">
        <v>52163</v>
      </c>
      <c r="H1888" s="3" t="str">
        <f>HYPERLINK("https://cloud.oebiotech.com/#/lm/network/52163", "https://cloud.oebiotech.com/#/lm/network/52163")</f>
        <v>https://cloud.oebiotech.com/#/lm/network/52163</v>
      </c>
      <c r="I1888" s="2" t="s">
        <v>16591</v>
      </c>
      <c r="J1888" s="2"/>
      <c r="K1888" s="2"/>
      <c r="L1888" s="2">
        <v>53481598</v>
      </c>
      <c r="M1888" s="2"/>
      <c r="N1888" s="2"/>
      <c r="O1888" s="2"/>
      <c r="P1888" s="2"/>
      <c r="Q1888" s="2"/>
      <c r="R1888" s="2"/>
      <c r="S1888" s="2"/>
      <c r="T1888" s="2" t="s">
        <v>16592</v>
      </c>
      <c r="U1888" s="2" t="s">
        <v>16593</v>
      </c>
      <c r="V1888" s="2" t="s">
        <v>115</v>
      </c>
      <c r="W1888" s="2" t="s">
        <v>116</v>
      </c>
      <c r="X1888" s="2" t="s">
        <v>117</v>
      </c>
      <c r="Y1888" s="2" t="s">
        <v>118</v>
      </c>
      <c r="Z1888" s="2" t="s">
        <v>119</v>
      </c>
      <c r="AA1888" s="2" t="s">
        <v>120</v>
      </c>
      <c r="AB1888" s="2" t="s">
        <v>8443</v>
      </c>
      <c r="AC1888" s="2">
        <v>39.049999999999997</v>
      </c>
      <c r="AD1888" s="2">
        <v>96.52</v>
      </c>
      <c r="AE1888" s="2">
        <v>0</v>
      </c>
      <c r="AF1888" s="2" t="s">
        <v>16594</v>
      </c>
      <c r="AG1888" s="2" t="s">
        <v>194</v>
      </c>
      <c r="AH1888" s="2" t="s">
        <v>16595</v>
      </c>
      <c r="AI1888" s="2">
        <v>-1.25</v>
      </c>
      <c r="AJ1888" s="2">
        <v>21.290672720379401</v>
      </c>
      <c r="AK1888" s="2">
        <v>20.998345665681299</v>
      </c>
      <c r="AL1888" s="2">
        <v>20.833143652398299</v>
      </c>
      <c r="AM1888" s="2">
        <v>21.243435678144301</v>
      </c>
      <c r="AN1888" s="2">
        <v>21.1730394305918</v>
      </c>
      <c r="AO1888" s="2">
        <v>21.031688456458699</v>
      </c>
      <c r="AP1888" s="2">
        <v>20.697350894857301</v>
      </c>
      <c r="AQ1888" s="2">
        <v>21.305190011562399</v>
      </c>
      <c r="AR1888" s="2">
        <v>20.575302995115798</v>
      </c>
      <c r="AS1888" s="2">
        <v>20.135158164018598</v>
      </c>
      <c r="AT1888" s="2">
        <v>20.901892642676501</v>
      </c>
      <c r="AU1888" s="2">
        <v>20.5038248162064</v>
      </c>
      <c r="AV1888" s="2">
        <v>20.8140195856414</v>
      </c>
      <c r="AW1888" s="2">
        <v>20.4951723870285</v>
      </c>
      <c r="AX1888" s="2">
        <v>20.096980218660299</v>
      </c>
      <c r="AY1888" s="2">
        <v>20.8510382043501</v>
      </c>
      <c r="AZ1888" s="2">
        <v>21.166153990485899</v>
      </c>
      <c r="BA1888" s="2">
        <v>19.718441032442399</v>
      </c>
      <c r="BB1888" s="2">
        <v>20.821224787146601</v>
      </c>
      <c r="BC1888" s="2">
        <v>21.8107953676022</v>
      </c>
      <c r="BD1888" s="2">
        <v>21.284374000961801</v>
      </c>
      <c r="BE1888" s="2">
        <v>21.541176394625701</v>
      </c>
      <c r="BF1888" s="2">
        <v>20.7341611434362</v>
      </c>
      <c r="BG1888" s="2">
        <v>21.2720082111816</v>
      </c>
      <c r="BH1888" s="2">
        <v>20.512758582395701</v>
      </c>
      <c r="BI1888" s="2">
        <v>19.5957666654969</v>
      </c>
      <c r="BJ1888" s="2">
        <v>21.133055167722599</v>
      </c>
      <c r="BK1888" s="2">
        <v>19.534749513419801</v>
      </c>
      <c r="BL1888" s="2">
        <v>20.430412867613601</v>
      </c>
      <c r="BM1888" s="2">
        <v>20.989559134895298</v>
      </c>
      <c r="BN1888" s="2">
        <v>20.953156352678501</v>
      </c>
      <c r="BO1888" s="2">
        <v>20.823013708892901</v>
      </c>
      <c r="BP1888" s="2">
        <v>21.0384356899899</v>
      </c>
      <c r="BQ1888" s="2">
        <v>20.7624931552239</v>
      </c>
      <c r="BR1888" s="2">
        <v>21.199240067228398</v>
      </c>
      <c r="BS1888" s="2">
        <v>21.346054713092101</v>
      </c>
      <c r="BT1888" s="2">
        <v>20.176108487651899</v>
      </c>
      <c r="BU1888" s="2">
        <v>20.9487052879748</v>
      </c>
      <c r="BV1888" s="2">
        <v>21.484959685979401</v>
      </c>
      <c r="BW1888" s="2">
        <v>19.786187693176501</v>
      </c>
      <c r="BX1888" s="2">
        <v>20.250567248698999</v>
      </c>
      <c r="BY1888" s="2">
        <v>20.946456982445699</v>
      </c>
      <c r="BZ1888" s="2">
        <v>21.1496611019734</v>
      </c>
      <c r="CA1888" s="2">
        <v>20.108202968736499</v>
      </c>
      <c r="CB1888" s="2">
        <v>20.7960312965612</v>
      </c>
      <c r="CC1888" s="2">
        <v>20.984288023544298</v>
      </c>
      <c r="CD1888" s="2">
        <v>20.432242527805801</v>
      </c>
      <c r="CE1888" s="2">
        <v>19.925275577454201</v>
      </c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</row>
    <row r="1889" spans="1:97">
      <c r="A1889" s="2" t="s">
        <v>16596</v>
      </c>
      <c r="B1889" s="2">
        <v>339.05673999999999</v>
      </c>
      <c r="C1889" s="2">
        <v>3.6680000000000001</v>
      </c>
      <c r="D1889" s="2" t="s">
        <v>146</v>
      </c>
      <c r="E1889" s="2" t="s">
        <v>16597</v>
      </c>
      <c r="F1889" s="2" t="s">
        <v>16598</v>
      </c>
      <c r="G1889" s="2">
        <v>210617</v>
      </c>
      <c r="H1889" s="3" t="str">
        <f>HYPERLINK("https://cloud.oebiotech.com/#/lm/network/210617", "https://cloud.oebiotech.com/#/lm/network/210617")</f>
        <v>https://cloud.oebiotech.com/#/lm/network/210617</v>
      </c>
      <c r="I1889" s="2" t="s">
        <v>16599</v>
      </c>
      <c r="J1889" s="2">
        <v>72764</v>
      </c>
      <c r="K1889" s="2"/>
      <c r="L1889" s="2">
        <v>23717</v>
      </c>
      <c r="M1889" s="2" t="s">
        <v>16600</v>
      </c>
      <c r="N1889" s="2"/>
      <c r="O1889" s="2"/>
      <c r="P1889" s="2">
        <v>38858</v>
      </c>
      <c r="Q1889" s="2"/>
      <c r="R1889" s="2"/>
      <c r="S1889" s="2" t="s">
        <v>16601</v>
      </c>
      <c r="T1889" s="2" t="s">
        <v>16602</v>
      </c>
      <c r="U1889" s="2" t="s">
        <v>16603</v>
      </c>
      <c r="V1889" s="2" t="s">
        <v>385</v>
      </c>
      <c r="W1889" s="2" t="s">
        <v>386</v>
      </c>
      <c r="X1889" s="2" t="s">
        <v>16604</v>
      </c>
      <c r="Y1889" s="2" t="s">
        <v>388</v>
      </c>
      <c r="Z1889" s="2" t="s">
        <v>389</v>
      </c>
      <c r="AA1889" s="2" t="s">
        <v>16605</v>
      </c>
      <c r="AB1889" s="2" t="s">
        <v>5118</v>
      </c>
      <c r="AC1889" s="2">
        <v>39.04</v>
      </c>
      <c r="AD1889" s="2">
        <v>78.25</v>
      </c>
      <c r="AE1889" s="2">
        <v>63.94</v>
      </c>
      <c r="AF1889" s="2" t="s">
        <v>16606</v>
      </c>
      <c r="AG1889" s="2" t="s">
        <v>4062</v>
      </c>
      <c r="AH1889" s="2" t="s">
        <v>16607</v>
      </c>
      <c r="AI1889" s="2">
        <v>7.37</v>
      </c>
      <c r="AJ1889" s="2">
        <v>23.4357747598206</v>
      </c>
      <c r="AK1889" s="2">
        <v>23.488837056921401</v>
      </c>
      <c r="AL1889" s="2">
        <v>23.323328953454102</v>
      </c>
      <c r="AM1889" s="2">
        <v>23.304939386301701</v>
      </c>
      <c r="AN1889" s="2">
        <v>23.3457696514145</v>
      </c>
      <c r="AO1889" s="2">
        <v>23.423571172408899</v>
      </c>
      <c r="AP1889" s="2">
        <v>23.445085975468199</v>
      </c>
      <c r="AQ1889" s="2">
        <v>23.478003881027401</v>
      </c>
      <c r="AR1889" s="2">
        <v>22.744351313296701</v>
      </c>
      <c r="AS1889" s="2">
        <v>22.737854711901601</v>
      </c>
      <c r="AT1889" s="2">
        <v>23.202207934197901</v>
      </c>
      <c r="AU1889" s="2">
        <v>22.9897135558633</v>
      </c>
      <c r="AV1889" s="2">
        <v>23.2501146746493</v>
      </c>
      <c r="AW1889" s="2">
        <v>23.281558751542502</v>
      </c>
      <c r="AX1889" s="2">
        <v>23.225451863715499</v>
      </c>
      <c r="AY1889" s="2">
        <v>23.459126925765101</v>
      </c>
      <c r="AZ1889" s="2">
        <v>23.291920996614799</v>
      </c>
      <c r="BA1889" s="2">
        <v>22.9838555838021</v>
      </c>
      <c r="BB1889" s="2">
        <v>23.6738515731737</v>
      </c>
      <c r="BC1889" s="2">
        <v>23.503400369077099</v>
      </c>
      <c r="BD1889" s="2">
        <v>23.042071230829901</v>
      </c>
      <c r="BE1889" s="2">
        <v>23.806618094891402</v>
      </c>
      <c r="BF1889" s="2">
        <v>23.446898200199399</v>
      </c>
      <c r="BG1889" s="2">
        <v>23.679330951125898</v>
      </c>
      <c r="BH1889" s="2">
        <v>23.460486124708499</v>
      </c>
      <c r="BI1889" s="2">
        <v>23.1396040190142</v>
      </c>
      <c r="BJ1889" s="2">
        <v>23.521390906042601</v>
      </c>
      <c r="BK1889" s="2">
        <v>23.350348429228301</v>
      </c>
      <c r="BL1889" s="2">
        <v>23.101388245374899</v>
      </c>
      <c r="BM1889" s="2">
        <v>23.766610583221201</v>
      </c>
      <c r="BN1889" s="2">
        <v>23.4654235666092</v>
      </c>
      <c r="BO1889" s="2">
        <v>23.379950421514</v>
      </c>
      <c r="BP1889" s="2">
        <v>23.244542846673401</v>
      </c>
      <c r="BQ1889" s="2">
        <v>23.522700966403001</v>
      </c>
      <c r="BR1889" s="2">
        <v>23.4158807172149</v>
      </c>
      <c r="BS1889" s="2">
        <v>23.257566005177999</v>
      </c>
      <c r="BT1889" s="2">
        <v>23.166284077105299</v>
      </c>
      <c r="BU1889" s="2">
        <v>22.859237658390601</v>
      </c>
      <c r="BV1889" s="2">
        <v>23.541256079672301</v>
      </c>
      <c r="BW1889" s="2">
        <v>23.044978771908902</v>
      </c>
      <c r="BX1889" s="2">
        <v>23.463037972601999</v>
      </c>
      <c r="BY1889" s="2">
        <v>23.697552680208599</v>
      </c>
      <c r="BZ1889" s="2">
        <v>23.535252639945799</v>
      </c>
      <c r="CA1889" s="2">
        <v>23.7145172175927</v>
      </c>
      <c r="CB1889" s="2">
        <v>23.364659874308199</v>
      </c>
      <c r="CC1889" s="2">
        <v>22.9128140982952</v>
      </c>
      <c r="CD1889" s="2">
        <v>23.679201085995601</v>
      </c>
      <c r="CE1889" s="2">
        <v>23.550613100955001</v>
      </c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</row>
    <row r="1890" spans="1:97">
      <c r="A1890" s="2" t="s">
        <v>16608</v>
      </c>
      <c r="B1890" s="2">
        <v>144.08059</v>
      </c>
      <c r="C1890" s="2">
        <v>3.6819999999999999</v>
      </c>
      <c r="D1890" s="2" t="s">
        <v>84</v>
      </c>
      <c r="E1890" s="2" t="s">
        <v>16609</v>
      </c>
      <c r="F1890" s="2" t="s">
        <v>16610</v>
      </c>
      <c r="G1890" s="2">
        <v>64854</v>
      </c>
      <c r="H1890" s="3" t="str">
        <f>HYPERLINK("https://cloud.oebiotech.com/#/lm/network/64854", "https://cloud.oebiotech.com/#/lm/network/64854")</f>
        <v>https://cloud.oebiotech.com/#/lm/network/64854</v>
      </c>
      <c r="I1890" s="2" t="s">
        <v>16611</v>
      </c>
      <c r="J1890" s="2">
        <v>65732</v>
      </c>
      <c r="K1890" s="2"/>
      <c r="L1890" s="2">
        <v>7057</v>
      </c>
      <c r="M1890" s="2" t="s">
        <v>16612</v>
      </c>
      <c r="N1890" s="2"/>
      <c r="O1890" s="2"/>
      <c r="P1890" s="2">
        <v>27878</v>
      </c>
      <c r="Q1890" s="2"/>
      <c r="R1890" s="2"/>
      <c r="S1890" s="2" t="s">
        <v>16613</v>
      </c>
      <c r="T1890" s="2" t="s">
        <v>16614</v>
      </c>
      <c r="U1890" s="2" t="s">
        <v>16615</v>
      </c>
      <c r="V1890" s="2" t="s">
        <v>385</v>
      </c>
      <c r="W1890" s="2" t="s">
        <v>4381</v>
      </c>
      <c r="X1890" s="2" t="s">
        <v>375</v>
      </c>
      <c r="Y1890" s="2" t="s">
        <v>388</v>
      </c>
      <c r="Z1890" s="2" t="s">
        <v>4382</v>
      </c>
      <c r="AA1890" s="2"/>
      <c r="AB1890" s="2" t="s">
        <v>8443</v>
      </c>
      <c r="AC1890" s="2">
        <v>39.03</v>
      </c>
      <c r="AD1890" s="2">
        <v>97.11</v>
      </c>
      <c r="AE1890" s="2">
        <v>0</v>
      </c>
      <c r="AF1890" s="2" t="s">
        <v>5614</v>
      </c>
      <c r="AG1890" s="2" t="s">
        <v>103</v>
      </c>
      <c r="AH1890" s="2" t="s">
        <v>6319</v>
      </c>
      <c r="AI1890" s="2">
        <v>1.39</v>
      </c>
      <c r="AJ1890" s="2">
        <v>24.066922121408702</v>
      </c>
      <c r="AK1890" s="2">
        <v>24.322314401499799</v>
      </c>
      <c r="AL1890" s="2">
        <v>24.446465528637699</v>
      </c>
      <c r="AM1890" s="2">
        <v>24.492010952785101</v>
      </c>
      <c r="AN1890" s="2">
        <v>24.422087664172398</v>
      </c>
      <c r="AO1890" s="2">
        <v>24.4290045730556</v>
      </c>
      <c r="AP1890" s="2">
        <v>24.212076812986201</v>
      </c>
      <c r="AQ1890" s="2">
        <v>24.626207020266499</v>
      </c>
      <c r="AR1890" s="2">
        <v>23.526680350278902</v>
      </c>
      <c r="AS1890" s="2">
        <v>23.3605868635332</v>
      </c>
      <c r="AT1890" s="2">
        <v>24.109343919837301</v>
      </c>
      <c r="AU1890" s="2">
        <v>23.775219036953199</v>
      </c>
      <c r="AV1890" s="2">
        <v>24.206708370703101</v>
      </c>
      <c r="AW1890" s="2">
        <v>24.4043580086216</v>
      </c>
      <c r="AX1890" s="2">
        <v>23.876881757751701</v>
      </c>
      <c r="AY1890" s="2">
        <v>24.339514490863699</v>
      </c>
      <c r="AZ1890" s="2">
        <v>24.160769161049199</v>
      </c>
      <c r="BA1890" s="2">
        <v>23.764152388837299</v>
      </c>
      <c r="BB1890" s="2">
        <v>24.8977417410713</v>
      </c>
      <c r="BC1890" s="2">
        <v>24.5861335103993</v>
      </c>
      <c r="BD1890" s="2">
        <v>23.930056336678799</v>
      </c>
      <c r="BE1890" s="2">
        <v>24.826096560420002</v>
      </c>
      <c r="BF1890" s="2">
        <v>24.382992834730999</v>
      </c>
      <c r="BG1890" s="2">
        <v>24.649557803845301</v>
      </c>
      <c r="BH1890" s="2">
        <v>24.4371474933107</v>
      </c>
      <c r="BI1890" s="2">
        <v>24.0358422868396</v>
      </c>
      <c r="BJ1890" s="2">
        <v>24.5979495089247</v>
      </c>
      <c r="BK1890" s="2">
        <v>24.349177975519499</v>
      </c>
      <c r="BL1890" s="2">
        <v>23.876229179973301</v>
      </c>
      <c r="BM1890" s="2">
        <v>24.654711928185201</v>
      </c>
      <c r="BN1890" s="2">
        <v>24.589953730105801</v>
      </c>
      <c r="BO1890" s="2">
        <v>24.093121004574598</v>
      </c>
      <c r="BP1890" s="2">
        <v>24.142492248572498</v>
      </c>
      <c r="BQ1890" s="2">
        <v>24.305822895627301</v>
      </c>
      <c r="BR1890" s="2">
        <v>24.5895551689587</v>
      </c>
      <c r="BS1890" s="2">
        <v>24.080475995944301</v>
      </c>
      <c r="BT1890" s="2">
        <v>23.973148255020501</v>
      </c>
      <c r="BU1890" s="2">
        <v>23.589978964582698</v>
      </c>
      <c r="BV1890" s="2">
        <v>24.6044924561951</v>
      </c>
      <c r="BW1890" s="2">
        <v>23.6957901383646</v>
      </c>
      <c r="BX1890" s="2">
        <v>23.877016172974798</v>
      </c>
      <c r="BY1890" s="2">
        <v>24.599121090031701</v>
      </c>
      <c r="BZ1890" s="2">
        <v>24.6894801319945</v>
      </c>
      <c r="CA1890" s="2">
        <v>24.6905921192924</v>
      </c>
      <c r="CB1890" s="2">
        <v>23.841613500363401</v>
      </c>
      <c r="CC1890" s="2">
        <v>24.027186814417401</v>
      </c>
      <c r="CD1890" s="2">
        <v>24.803955097706901</v>
      </c>
      <c r="CE1890" s="2">
        <v>24.401743134516298</v>
      </c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</row>
    <row r="1891" spans="1:97">
      <c r="A1891" s="2" t="s">
        <v>16616</v>
      </c>
      <c r="B1891" s="2">
        <v>183.09896000000001</v>
      </c>
      <c r="C1891" s="2">
        <v>3.774</v>
      </c>
      <c r="D1891" s="2" t="s">
        <v>84</v>
      </c>
      <c r="E1891" s="2" t="s">
        <v>16617</v>
      </c>
      <c r="F1891" s="2" t="s">
        <v>16618</v>
      </c>
      <c r="G1891" s="2">
        <v>47285</v>
      </c>
      <c r="H1891" s="3" t="str">
        <f>HYPERLINK("https://cloud.oebiotech.com/#/lm/network/47285", "https://cloud.oebiotech.com/#/lm/network/47285")</f>
        <v>https://cloud.oebiotech.com/#/lm/network/47285</v>
      </c>
      <c r="I1891" s="2" t="s">
        <v>16619</v>
      </c>
      <c r="J1891" s="2">
        <v>58012</v>
      </c>
      <c r="K1891" s="2"/>
      <c r="L1891" s="2">
        <v>11361</v>
      </c>
      <c r="M1891" s="2" t="s">
        <v>16620</v>
      </c>
      <c r="N1891" s="2"/>
      <c r="O1891" s="2"/>
      <c r="P1891" s="2">
        <v>28664</v>
      </c>
      <c r="Q1891" s="2"/>
      <c r="R1891" s="2"/>
      <c r="S1891" s="2" t="s">
        <v>16621</v>
      </c>
      <c r="T1891" s="2" t="s">
        <v>16622</v>
      </c>
      <c r="U1891" s="2" t="s">
        <v>16623</v>
      </c>
      <c r="V1891" s="2" t="s">
        <v>553</v>
      </c>
      <c r="W1891" s="2" t="s">
        <v>949</v>
      </c>
      <c r="X1891" s="2" t="s">
        <v>950</v>
      </c>
      <c r="Y1891" s="2" t="s">
        <v>556</v>
      </c>
      <c r="Z1891" s="2" t="s">
        <v>951</v>
      </c>
      <c r="AA1891" s="2" t="s">
        <v>952</v>
      </c>
      <c r="AB1891" s="2" t="s">
        <v>8443</v>
      </c>
      <c r="AC1891" s="2">
        <v>39.03</v>
      </c>
      <c r="AD1891" s="2">
        <v>95.17</v>
      </c>
      <c r="AE1891" s="2">
        <v>0</v>
      </c>
      <c r="AF1891" s="2" t="s">
        <v>5614</v>
      </c>
      <c r="AG1891" s="2" t="s">
        <v>132</v>
      </c>
      <c r="AH1891" s="2" t="s">
        <v>16624</v>
      </c>
      <c r="AI1891" s="2">
        <v>-0.55000000000000004</v>
      </c>
      <c r="AJ1891" s="2">
        <v>19.743092456601499</v>
      </c>
      <c r="AK1891" s="2">
        <v>19.701411976160099</v>
      </c>
      <c r="AL1891" s="2">
        <v>19.491085168771502</v>
      </c>
      <c r="AM1891" s="2">
        <v>19.2902571893515</v>
      </c>
      <c r="AN1891" s="2">
        <v>19.603525148224701</v>
      </c>
      <c r="AO1891" s="2">
        <v>20.0393271724767</v>
      </c>
      <c r="AP1891" s="2">
        <v>19.666678900219001</v>
      </c>
      <c r="AQ1891" s="2">
        <v>19.875334650164</v>
      </c>
      <c r="AR1891" s="2">
        <v>19.418650475184801</v>
      </c>
      <c r="AS1891" s="2">
        <v>17.1384344062295</v>
      </c>
      <c r="AT1891" s="2">
        <v>18.776478977005802</v>
      </c>
      <c r="AU1891" s="2">
        <v>19.463545825633201</v>
      </c>
      <c r="AV1891" s="2">
        <v>21.0779568486176</v>
      </c>
      <c r="AW1891" s="2">
        <v>17.414920381219201</v>
      </c>
      <c r="AX1891" s="2">
        <v>20.331535308133599</v>
      </c>
      <c r="AY1891" s="2">
        <v>18.922185970200101</v>
      </c>
      <c r="AZ1891" s="2">
        <v>19.4094172488387</v>
      </c>
      <c r="BA1891" s="2">
        <v>19.007402372288698</v>
      </c>
      <c r="BB1891" s="2">
        <v>16.802851050125501</v>
      </c>
      <c r="BC1891" s="2">
        <v>21.675912117673999</v>
      </c>
      <c r="BD1891" s="2">
        <v>19.9701272694988</v>
      </c>
      <c r="BE1891" s="2">
        <v>19.256622653779701</v>
      </c>
      <c r="BF1891" s="2">
        <v>19.638881295855001</v>
      </c>
      <c r="BG1891" s="2">
        <v>19.9141518228924</v>
      </c>
      <c r="BH1891" s="2">
        <v>9.6233145402724691</v>
      </c>
      <c r="BI1891" s="2">
        <v>19.8189717127111</v>
      </c>
      <c r="BJ1891" s="2">
        <v>20.665866605403998</v>
      </c>
      <c r="BK1891" s="2">
        <v>21.077529364822801</v>
      </c>
      <c r="BL1891" s="2">
        <v>21.8681379394651</v>
      </c>
      <c r="BM1891" s="2">
        <v>20.672744161227001</v>
      </c>
      <c r="BN1891" s="2">
        <v>20.497535057078998</v>
      </c>
      <c r="BO1891" s="2">
        <v>20.500436679181</v>
      </c>
      <c r="BP1891" s="2">
        <v>21.284494169563299</v>
      </c>
      <c r="BQ1891" s="2">
        <v>19.439098708520401</v>
      </c>
      <c r="BR1891" s="2">
        <v>19.651074261149802</v>
      </c>
      <c r="BS1891" s="2">
        <v>20.203014266108301</v>
      </c>
      <c r="BT1891" s="2">
        <v>21.251733739494998</v>
      </c>
      <c r="BU1891" s="2">
        <v>20.0110912755318</v>
      </c>
      <c r="BV1891" s="2">
        <v>21.188545667117499</v>
      </c>
      <c r="BW1891" s="2">
        <v>20.234271722338502</v>
      </c>
      <c r="BX1891" s="2">
        <v>20.390279037956699</v>
      </c>
      <c r="BY1891" s="2">
        <v>21.1423233730265</v>
      </c>
      <c r="BZ1891" s="2">
        <v>19.833287257979201</v>
      </c>
      <c r="CA1891" s="2">
        <v>20.0849049176324</v>
      </c>
      <c r="CB1891" s="2">
        <v>19.5133787832488</v>
      </c>
      <c r="CC1891" s="2">
        <v>19.454944784628999</v>
      </c>
      <c r="CD1891" s="2">
        <v>20.623369451840599</v>
      </c>
      <c r="CE1891" s="2">
        <v>22.100992333124399</v>
      </c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</row>
    <row r="1892" spans="1:97">
      <c r="A1892" s="2" t="s">
        <v>16625</v>
      </c>
      <c r="B1892" s="2">
        <v>383.20330000000001</v>
      </c>
      <c r="C1892" s="2">
        <v>11.319000000000001</v>
      </c>
      <c r="D1892" s="2" t="s">
        <v>84</v>
      </c>
      <c r="E1892" s="2" t="s">
        <v>16626</v>
      </c>
      <c r="F1892" s="2" t="s">
        <v>16627</v>
      </c>
      <c r="G1892" s="2">
        <v>51934</v>
      </c>
      <c r="H1892" s="3" t="str">
        <f>HYPERLINK("https://cloud.oebiotech.com/#/lm/network/51934", "https://cloud.oebiotech.com/#/lm/network/51934")</f>
        <v>https://cloud.oebiotech.com/#/lm/network/51934</v>
      </c>
      <c r="I1892" s="2" t="s">
        <v>16628</v>
      </c>
      <c r="J1892" s="2"/>
      <c r="K1892" s="2"/>
      <c r="L1892" s="2">
        <v>11675006</v>
      </c>
      <c r="M1892" s="2"/>
      <c r="N1892" s="2"/>
      <c r="O1892" s="2"/>
      <c r="P1892" s="2"/>
      <c r="Q1892" s="2"/>
      <c r="R1892" s="2"/>
      <c r="S1892" s="2" t="s">
        <v>16629</v>
      </c>
      <c r="T1892" s="2" t="s">
        <v>16630</v>
      </c>
      <c r="U1892" s="2" t="s">
        <v>16631</v>
      </c>
      <c r="V1892" s="2" t="s">
        <v>338</v>
      </c>
      <c r="W1892" s="2" t="s">
        <v>339</v>
      </c>
      <c r="X1892" s="2" t="s">
        <v>663</v>
      </c>
      <c r="Y1892" s="2" t="s">
        <v>341</v>
      </c>
      <c r="Z1892" s="2" t="s">
        <v>341</v>
      </c>
      <c r="AA1892" s="2" t="s">
        <v>664</v>
      </c>
      <c r="AB1892" s="2" t="s">
        <v>8443</v>
      </c>
      <c r="AC1892" s="2">
        <v>39.03</v>
      </c>
      <c r="AD1892" s="2">
        <v>95.34</v>
      </c>
      <c r="AE1892" s="2">
        <v>0</v>
      </c>
      <c r="AF1892" s="2" t="s">
        <v>16632</v>
      </c>
      <c r="AG1892" s="2" t="s">
        <v>132</v>
      </c>
      <c r="AH1892" s="2" t="s">
        <v>16633</v>
      </c>
      <c r="AI1892" s="2">
        <v>1.04</v>
      </c>
      <c r="AJ1892" s="2">
        <v>21.7141566169966</v>
      </c>
      <c r="AK1892" s="2">
        <v>21.736779447398501</v>
      </c>
      <c r="AL1892" s="2">
        <v>21.240582587135702</v>
      </c>
      <c r="AM1892" s="2">
        <v>21.733994013552898</v>
      </c>
      <c r="AN1892" s="2">
        <v>20.9999426460856</v>
      </c>
      <c r="AO1892" s="2">
        <v>21.702991955143599</v>
      </c>
      <c r="AP1892" s="2">
        <v>21.609584600481</v>
      </c>
      <c r="AQ1892" s="2">
        <v>21.758166484152898</v>
      </c>
      <c r="AR1892" s="2">
        <v>21.082683511634698</v>
      </c>
      <c r="AS1892" s="2">
        <v>21.6816451240392</v>
      </c>
      <c r="AT1892" s="2">
        <v>21.640386558975301</v>
      </c>
      <c r="AU1892" s="2">
        <v>21.6129695805745</v>
      </c>
      <c r="AV1892" s="2">
        <v>21.715009336140401</v>
      </c>
      <c r="AW1892" s="2">
        <v>21.639725891465002</v>
      </c>
      <c r="AX1892" s="2">
        <v>21.8082517204999</v>
      </c>
      <c r="AY1892" s="2">
        <v>21.393078552800102</v>
      </c>
      <c r="AZ1892" s="2">
        <v>21.6493613222421</v>
      </c>
      <c r="BA1892" s="2">
        <v>21.827470017495902</v>
      </c>
      <c r="BB1892" s="2">
        <v>20.9484867320459</v>
      </c>
      <c r="BC1892" s="2">
        <v>21.772926151947502</v>
      </c>
      <c r="BD1892" s="2">
        <v>21.863295314990602</v>
      </c>
      <c r="BE1892" s="2">
        <v>21.716291971786099</v>
      </c>
      <c r="BF1892" s="2">
        <v>21.7566127784923</v>
      </c>
      <c r="BG1892" s="2">
        <v>21.609123982829999</v>
      </c>
      <c r="BH1892" s="2">
        <v>21.5605612882459</v>
      </c>
      <c r="BI1892" s="2">
        <v>21.546316674382201</v>
      </c>
      <c r="BJ1892" s="2">
        <v>21.1609233472436</v>
      </c>
      <c r="BK1892" s="2">
        <v>21.452931563125102</v>
      </c>
      <c r="BL1892" s="2">
        <v>21.310652335198601</v>
      </c>
      <c r="BM1892" s="2">
        <v>21.631818971259701</v>
      </c>
      <c r="BN1892" s="2">
        <v>21.598338120414599</v>
      </c>
      <c r="BO1892" s="2">
        <v>21.687848905543699</v>
      </c>
      <c r="BP1892" s="2">
        <v>21.653206708387</v>
      </c>
      <c r="BQ1892" s="2">
        <v>21.522241745749401</v>
      </c>
      <c r="BR1892" s="2">
        <v>21.583691902234602</v>
      </c>
      <c r="BS1892" s="2">
        <v>21.2921186901042</v>
      </c>
      <c r="BT1892" s="2">
        <v>21.580012452298</v>
      </c>
      <c r="BU1892" s="2">
        <v>20.941657617804101</v>
      </c>
      <c r="BV1892" s="2">
        <v>21.182644674961502</v>
      </c>
      <c r="BW1892" s="2">
        <v>21.720260806499901</v>
      </c>
      <c r="BX1892" s="2">
        <v>21.7485802114285</v>
      </c>
      <c r="BY1892" s="2">
        <v>21.5928254484223</v>
      </c>
      <c r="BZ1892" s="2">
        <v>21.6556172449496</v>
      </c>
      <c r="CA1892" s="2">
        <v>21.514325052074099</v>
      </c>
      <c r="CB1892" s="2">
        <v>21.584785049574698</v>
      </c>
      <c r="CC1892" s="2">
        <v>21.756056050155099</v>
      </c>
      <c r="CD1892" s="2">
        <v>21.271798265222699</v>
      </c>
      <c r="CE1892" s="2">
        <v>21.287533744810901</v>
      </c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</row>
    <row r="1893" spans="1:97">
      <c r="A1893" s="2" t="s">
        <v>16634</v>
      </c>
      <c r="B1893" s="2">
        <v>652.26859999999999</v>
      </c>
      <c r="C1893" s="2">
        <v>8.9629999999999992</v>
      </c>
      <c r="D1893" s="2" t="s">
        <v>146</v>
      </c>
      <c r="E1893" s="2" t="s">
        <v>16635</v>
      </c>
      <c r="F1893" s="2" t="s">
        <v>16636</v>
      </c>
      <c r="G1893" s="2">
        <v>212833</v>
      </c>
      <c r="H1893" s="3" t="str">
        <f>HYPERLINK("https://cloud.oebiotech.com/#/lm/network/212833", "https://cloud.oebiotech.com/#/lm/network/212833")</f>
        <v>https://cloud.oebiotech.com/#/lm/network/212833</v>
      </c>
      <c r="I1893" s="2" t="s">
        <v>16637</v>
      </c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 t="s">
        <v>16638</v>
      </c>
      <c r="U1893" s="2" t="s">
        <v>16639</v>
      </c>
      <c r="V1893" s="2" t="s">
        <v>115</v>
      </c>
      <c r="W1893" s="2" t="s">
        <v>116</v>
      </c>
      <c r="X1893" s="2" t="s">
        <v>117</v>
      </c>
      <c r="Y1893" s="2" t="s">
        <v>118</v>
      </c>
      <c r="Z1893" s="2" t="s">
        <v>119</v>
      </c>
      <c r="AA1893" s="2" t="s">
        <v>120</v>
      </c>
      <c r="AB1893" s="2" t="s">
        <v>8443</v>
      </c>
      <c r="AC1893" s="2">
        <v>39.020000000000003</v>
      </c>
      <c r="AD1893" s="2">
        <v>95.11</v>
      </c>
      <c r="AE1893" s="2">
        <v>0</v>
      </c>
      <c r="AF1893" s="2" t="s">
        <v>16640</v>
      </c>
      <c r="AG1893" s="2" t="s">
        <v>194</v>
      </c>
      <c r="AH1893" s="2" t="s">
        <v>16641</v>
      </c>
      <c r="AI1893" s="2">
        <v>-0.46</v>
      </c>
      <c r="AJ1893" s="2">
        <v>19.704494827905702</v>
      </c>
      <c r="AK1893" s="2">
        <v>19.405262563710998</v>
      </c>
      <c r="AL1893" s="2">
        <v>19.512028285789299</v>
      </c>
      <c r="AM1893" s="2">
        <v>19.701680659837798</v>
      </c>
      <c r="AN1893" s="2">
        <v>19.5267010342181</v>
      </c>
      <c r="AO1893" s="2">
        <v>19.7136237145587</v>
      </c>
      <c r="AP1893" s="2">
        <v>19.540550981772999</v>
      </c>
      <c r="AQ1893" s="2">
        <v>19.526000857810999</v>
      </c>
      <c r="AR1893" s="2">
        <v>19.087085398007499</v>
      </c>
      <c r="AS1893" s="2">
        <v>9.6233145402724691</v>
      </c>
      <c r="AT1893" s="2">
        <v>18.975999705139401</v>
      </c>
      <c r="AU1893" s="2">
        <v>19.377614706341902</v>
      </c>
      <c r="AV1893" s="2">
        <v>18.797012661091099</v>
      </c>
      <c r="AW1893" s="2">
        <v>21.224247088556599</v>
      </c>
      <c r="AX1893" s="2">
        <v>17.883630063236499</v>
      </c>
      <c r="AY1893" s="2">
        <v>19.269999031575999</v>
      </c>
      <c r="AZ1893" s="2">
        <v>17.0799455526356</v>
      </c>
      <c r="BA1893" s="2">
        <v>14.665852183479201</v>
      </c>
      <c r="BB1893" s="2">
        <v>21.167148129793102</v>
      </c>
      <c r="BC1893" s="2">
        <v>18.434573948016201</v>
      </c>
      <c r="BD1893" s="2">
        <v>17.421905796106799</v>
      </c>
      <c r="BE1893" s="2">
        <v>17.6499937307367</v>
      </c>
      <c r="BF1893" s="2">
        <v>17.283667710021099</v>
      </c>
      <c r="BG1893" s="2">
        <v>16.476091464154599</v>
      </c>
      <c r="BH1893" s="2">
        <v>18.696385965181499</v>
      </c>
      <c r="BI1893" s="2">
        <v>15.094141206413299</v>
      </c>
      <c r="BJ1893" s="2">
        <v>18.354835116793101</v>
      </c>
      <c r="BK1893" s="2">
        <v>20.2954883076243</v>
      </c>
      <c r="BL1893" s="2">
        <v>12.7773621775334</v>
      </c>
      <c r="BM1893" s="2">
        <v>20.0886050077509</v>
      </c>
      <c r="BN1893" s="2">
        <v>19.875985220502798</v>
      </c>
      <c r="BO1893" s="2">
        <v>17.157020807736</v>
      </c>
      <c r="BP1893" s="2">
        <v>9.6233145402724691</v>
      </c>
      <c r="BQ1893" s="2">
        <v>20.181000111443801</v>
      </c>
      <c r="BR1893" s="2">
        <v>19.371571921935001</v>
      </c>
      <c r="BS1893" s="2">
        <v>18.690073666985199</v>
      </c>
      <c r="BT1893" s="2">
        <v>17.431344812568799</v>
      </c>
      <c r="BU1893" s="2">
        <v>11.913514019618299</v>
      </c>
      <c r="BV1893" s="2">
        <v>20.875247232725801</v>
      </c>
      <c r="BW1893" s="2">
        <v>16.919100166134001</v>
      </c>
      <c r="BX1893" s="2">
        <v>17.7047408887302</v>
      </c>
      <c r="BY1893" s="2">
        <v>17.471009195326801</v>
      </c>
      <c r="BZ1893" s="2">
        <v>17.405916763207799</v>
      </c>
      <c r="CA1893" s="2">
        <v>19.468071977752601</v>
      </c>
      <c r="CB1893" s="2">
        <v>17.737462381635599</v>
      </c>
      <c r="CC1893" s="2">
        <v>17.021842963259299</v>
      </c>
      <c r="CD1893" s="2">
        <v>18.9032842560677</v>
      </c>
      <c r="CE1893" s="2">
        <v>18.6513590890698</v>
      </c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</row>
    <row r="1894" spans="1:97">
      <c r="A1894" s="2" t="s">
        <v>16642</v>
      </c>
      <c r="B1894" s="2">
        <v>102.03773</v>
      </c>
      <c r="C1894" s="2">
        <v>0.58199999999999996</v>
      </c>
      <c r="D1894" s="2" t="s">
        <v>84</v>
      </c>
      <c r="E1894" s="2" t="s">
        <v>16643</v>
      </c>
      <c r="F1894" s="2" t="s">
        <v>16644</v>
      </c>
      <c r="G1894" s="2">
        <v>209095</v>
      </c>
      <c r="H1894" s="3" t="str">
        <f>HYPERLINK("https://cloud.oebiotech.com/#/lm/network/209095", "https://cloud.oebiotech.com/#/lm/network/209095")</f>
        <v>https://cloud.oebiotech.com/#/lm/network/209095</v>
      </c>
      <c r="I1894" s="2" t="s">
        <v>16645</v>
      </c>
      <c r="J1894" s="2">
        <v>409032</v>
      </c>
      <c r="K1894" s="2"/>
      <c r="L1894" s="2">
        <v>14484</v>
      </c>
      <c r="M1894" s="2"/>
      <c r="N1894" s="2"/>
      <c r="O1894" s="2"/>
      <c r="P1894" s="2">
        <v>74410</v>
      </c>
      <c r="Q1894" s="2"/>
      <c r="R1894" s="2"/>
      <c r="S1894" s="2"/>
      <c r="T1894" s="2" t="s">
        <v>16646</v>
      </c>
      <c r="U1894" s="2" t="s">
        <v>16647</v>
      </c>
      <c r="V1894" s="2" t="s">
        <v>115</v>
      </c>
      <c r="W1894" s="2" t="s">
        <v>116</v>
      </c>
      <c r="X1894" s="2" t="s">
        <v>5270</v>
      </c>
      <c r="Y1894" s="2" t="s">
        <v>118</v>
      </c>
      <c r="Z1894" s="2" t="s">
        <v>119</v>
      </c>
      <c r="AA1894" s="2" t="s">
        <v>5271</v>
      </c>
      <c r="AB1894" s="2" t="s">
        <v>8443</v>
      </c>
      <c r="AC1894" s="2">
        <v>39.01</v>
      </c>
      <c r="AD1894" s="2">
        <v>95.04</v>
      </c>
      <c r="AE1894" s="2">
        <v>0</v>
      </c>
      <c r="AF1894" s="2" t="s">
        <v>5614</v>
      </c>
      <c r="AG1894" s="2" t="s">
        <v>1088</v>
      </c>
      <c r="AH1894" s="2" t="s">
        <v>16648</v>
      </c>
      <c r="AI1894" s="2">
        <v>0.59</v>
      </c>
      <c r="AJ1894" s="2">
        <v>23.1299814064188</v>
      </c>
      <c r="AK1894" s="2">
        <v>22.830265990921699</v>
      </c>
      <c r="AL1894" s="2">
        <v>23.641239166176199</v>
      </c>
      <c r="AM1894" s="2">
        <v>23.668639537333899</v>
      </c>
      <c r="AN1894" s="2">
        <v>23.627481245254302</v>
      </c>
      <c r="AO1894" s="2">
        <v>23.361154565325599</v>
      </c>
      <c r="AP1894" s="2">
        <v>23.426717503254402</v>
      </c>
      <c r="AQ1894" s="2">
        <v>22.772251043952799</v>
      </c>
      <c r="AR1894" s="2">
        <v>23.4491827622358</v>
      </c>
      <c r="AS1894" s="2">
        <v>22.353020413742499</v>
      </c>
      <c r="AT1894" s="2">
        <v>23.1657451994502</v>
      </c>
      <c r="AU1894" s="2">
        <v>23.0084671264352</v>
      </c>
      <c r="AV1894" s="2">
        <v>22.449454175615301</v>
      </c>
      <c r="AW1894" s="2">
        <v>22.807122380808</v>
      </c>
      <c r="AX1894" s="2">
        <v>23.3800684998888</v>
      </c>
      <c r="AY1894" s="2">
        <v>23.0878942565264</v>
      </c>
      <c r="AZ1894" s="2">
        <v>21.019864524947401</v>
      </c>
      <c r="BA1894" s="2">
        <v>22.035335570880701</v>
      </c>
      <c r="BB1894" s="2">
        <v>22.727660749587599</v>
      </c>
      <c r="BC1894" s="2">
        <v>23.0327386324957</v>
      </c>
      <c r="BD1894" s="2">
        <v>23.080486729298499</v>
      </c>
      <c r="BE1894" s="2">
        <v>23.166400603458499</v>
      </c>
      <c r="BF1894" s="2">
        <v>22.138086477174099</v>
      </c>
      <c r="BG1894" s="2">
        <v>22.872710362993899</v>
      </c>
      <c r="BH1894" s="2">
        <v>23.492751554730901</v>
      </c>
      <c r="BI1894" s="2">
        <v>22.534246780219501</v>
      </c>
      <c r="BJ1894" s="2">
        <v>22.1306710882407</v>
      </c>
      <c r="BK1894" s="2">
        <v>23.2776546801575</v>
      </c>
      <c r="BL1894" s="2">
        <v>23.509852908656299</v>
      </c>
      <c r="BM1894" s="2">
        <v>23.045419593596598</v>
      </c>
      <c r="BN1894" s="2">
        <v>23.6226932946816</v>
      </c>
      <c r="BO1894" s="2">
        <v>22.990541759071402</v>
      </c>
      <c r="BP1894" s="2">
        <v>21.8158079971079</v>
      </c>
      <c r="BQ1894" s="2">
        <v>23.168757488523401</v>
      </c>
      <c r="BR1894" s="2">
        <v>22.5050956226514</v>
      </c>
      <c r="BS1894" s="2">
        <v>23.224086858382901</v>
      </c>
      <c r="BT1894" s="2">
        <v>23.481992876404401</v>
      </c>
      <c r="BU1894" s="2">
        <v>23.533672376936799</v>
      </c>
      <c r="BV1894" s="2">
        <v>23.639808809892099</v>
      </c>
      <c r="BW1894" s="2">
        <v>23.308995855105799</v>
      </c>
      <c r="BX1894" s="2">
        <v>22.9929777003276</v>
      </c>
      <c r="BY1894" s="2">
        <v>23.2091879487445</v>
      </c>
      <c r="BZ1894" s="2">
        <v>23.641630896722098</v>
      </c>
      <c r="CA1894" s="2">
        <v>23.0045720386208</v>
      </c>
      <c r="CB1894" s="2">
        <v>23.528914324166099</v>
      </c>
      <c r="CC1894" s="2">
        <v>23.308230323807301</v>
      </c>
      <c r="CD1894" s="2">
        <v>23.151230251496202</v>
      </c>
      <c r="CE1894" s="2">
        <v>23.2071783943321</v>
      </c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</row>
    <row r="1895" spans="1:97">
      <c r="A1895" s="2" t="s">
        <v>16649</v>
      </c>
      <c r="B1895" s="2">
        <v>133.03162</v>
      </c>
      <c r="C1895" s="2">
        <v>0.98399999999999999</v>
      </c>
      <c r="D1895" s="2" t="s">
        <v>84</v>
      </c>
      <c r="E1895" s="2" t="s">
        <v>16650</v>
      </c>
      <c r="F1895" s="2" t="s">
        <v>16651</v>
      </c>
      <c r="G1895" s="2">
        <v>81751</v>
      </c>
      <c r="H1895" s="3" t="str">
        <f>HYPERLINK("https://cloud.oebiotech.com/#/lm/network/81751", "https://cloud.oebiotech.com/#/lm/network/81751")</f>
        <v>https://cloud.oebiotech.com/#/lm/network/81751</v>
      </c>
      <c r="I1895" s="2" t="s">
        <v>16652</v>
      </c>
      <c r="J1895" s="2">
        <v>96259</v>
      </c>
      <c r="K1895" s="2"/>
      <c r="L1895" s="2">
        <v>70941</v>
      </c>
      <c r="M1895" s="2"/>
      <c r="N1895" s="2"/>
      <c r="O1895" s="2"/>
      <c r="P1895" s="2"/>
      <c r="Q1895" s="2"/>
      <c r="R1895" s="2"/>
      <c r="S1895" s="2"/>
      <c r="T1895" s="2" t="s">
        <v>16653</v>
      </c>
      <c r="U1895" s="2" t="s">
        <v>16654</v>
      </c>
      <c r="V1895" s="2" t="s">
        <v>553</v>
      </c>
      <c r="W1895" s="2" t="s">
        <v>16655</v>
      </c>
      <c r="X1895" s="2" t="s">
        <v>375</v>
      </c>
      <c r="Y1895" s="2" t="s">
        <v>556</v>
      </c>
      <c r="Z1895" s="2" t="s">
        <v>16656</v>
      </c>
      <c r="AA1895" s="2"/>
      <c r="AB1895" s="2" t="s">
        <v>8443</v>
      </c>
      <c r="AC1895" s="2">
        <v>39.01</v>
      </c>
      <c r="AD1895" s="2">
        <v>97.53</v>
      </c>
      <c r="AE1895" s="2">
        <v>0</v>
      </c>
      <c r="AF1895" s="2" t="s">
        <v>5614</v>
      </c>
      <c r="AG1895" s="2" t="s">
        <v>103</v>
      </c>
      <c r="AH1895" s="2" t="s">
        <v>16657</v>
      </c>
      <c r="AI1895" s="2">
        <v>1.5</v>
      </c>
      <c r="AJ1895" s="2">
        <v>23.3302452632573</v>
      </c>
      <c r="AK1895" s="2">
        <v>22.7512513574796</v>
      </c>
      <c r="AL1895" s="2">
        <v>23.3199200843436</v>
      </c>
      <c r="AM1895" s="2">
        <v>23.074708607554399</v>
      </c>
      <c r="AN1895" s="2">
        <v>23.115845859316099</v>
      </c>
      <c r="AO1895" s="2">
        <v>23.242713797396899</v>
      </c>
      <c r="AP1895" s="2">
        <v>23.2716461182108</v>
      </c>
      <c r="AQ1895" s="2">
        <v>23.3784020357154</v>
      </c>
      <c r="AR1895" s="2">
        <v>21.906282990098902</v>
      </c>
      <c r="AS1895" s="2">
        <v>22.179137232292099</v>
      </c>
      <c r="AT1895" s="2">
        <v>21.0983716400908</v>
      </c>
      <c r="AU1895" s="2">
        <v>22.406046235318001</v>
      </c>
      <c r="AV1895" s="2">
        <v>22.999025148219999</v>
      </c>
      <c r="AW1895" s="2">
        <v>22.9192178356775</v>
      </c>
      <c r="AX1895" s="2">
        <v>21.734865849656</v>
      </c>
      <c r="AY1895" s="2">
        <v>23.417818911940898</v>
      </c>
      <c r="AZ1895" s="2">
        <v>21.240486224578898</v>
      </c>
      <c r="BA1895" s="2">
        <v>20.940140111412699</v>
      </c>
      <c r="BB1895" s="2">
        <v>23.440095335727701</v>
      </c>
      <c r="BC1895" s="2">
        <v>21.298943364726</v>
      </c>
      <c r="BD1895" s="2">
        <v>20.589539702488398</v>
      </c>
      <c r="BE1895" s="2">
        <v>23.210570481854401</v>
      </c>
      <c r="BF1895" s="2">
        <v>22.7548231674973</v>
      </c>
      <c r="BG1895" s="2">
        <v>21.953182926591602</v>
      </c>
      <c r="BH1895" s="2">
        <v>24.519613050013302</v>
      </c>
      <c r="BI1895" s="2">
        <v>21.648004519537398</v>
      </c>
      <c r="BJ1895" s="2">
        <v>22.757404590528498</v>
      </c>
      <c r="BK1895" s="2">
        <v>21.574922512245202</v>
      </c>
      <c r="BL1895" s="2">
        <v>22.277343132763299</v>
      </c>
      <c r="BM1895" s="2">
        <v>23.9609053077426</v>
      </c>
      <c r="BN1895" s="2">
        <v>22.350120249629001</v>
      </c>
      <c r="BO1895" s="2">
        <v>22.0543733441888</v>
      </c>
      <c r="BP1895" s="2">
        <v>23.463434364663399</v>
      </c>
      <c r="BQ1895" s="2">
        <v>22.934306739941</v>
      </c>
      <c r="BR1895" s="2">
        <v>22.667870665532799</v>
      </c>
      <c r="BS1895" s="2">
        <v>22.683129368130999</v>
      </c>
      <c r="BT1895" s="2">
        <v>20.193010118247098</v>
      </c>
      <c r="BU1895" s="2">
        <v>21.2857813309944</v>
      </c>
      <c r="BV1895" s="2">
        <v>22.439872794819099</v>
      </c>
      <c r="BW1895" s="2">
        <v>20.875458788074901</v>
      </c>
      <c r="BX1895" s="2">
        <v>22.581924002067499</v>
      </c>
      <c r="BY1895" s="2">
        <v>23.769057527847501</v>
      </c>
      <c r="BZ1895" s="2">
        <v>24.482194454413399</v>
      </c>
      <c r="CA1895" s="2">
        <v>24.1074747698656</v>
      </c>
      <c r="CB1895" s="2">
        <v>22.071930029639098</v>
      </c>
      <c r="CC1895" s="2">
        <v>21.809122932407099</v>
      </c>
      <c r="CD1895" s="2">
        <v>23.540800176006101</v>
      </c>
      <c r="CE1895" s="2">
        <v>21.820265997987299</v>
      </c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</row>
    <row r="1896" spans="1:97">
      <c r="A1896" s="2" t="s">
        <v>16658</v>
      </c>
      <c r="B1896" s="2">
        <v>153.05450999999999</v>
      </c>
      <c r="C1896" s="2">
        <v>9.7249999999999996</v>
      </c>
      <c r="D1896" s="2" t="s">
        <v>84</v>
      </c>
      <c r="E1896" s="2" t="s">
        <v>16659</v>
      </c>
      <c r="F1896" s="2" t="s">
        <v>16660</v>
      </c>
      <c r="G1896" s="2">
        <v>57265</v>
      </c>
      <c r="H1896" s="3" t="str">
        <f>HYPERLINK("https://cloud.oebiotech.com/#/lm/network/57265", "https://cloud.oebiotech.com/#/lm/network/57265")</f>
        <v>https://cloud.oebiotech.com/#/lm/network/57265</v>
      </c>
      <c r="I1896" s="2" t="s">
        <v>16661</v>
      </c>
      <c r="J1896" s="2">
        <v>88896</v>
      </c>
      <c r="K1896" s="2"/>
      <c r="L1896" s="2">
        <v>70968</v>
      </c>
      <c r="M1896" s="2"/>
      <c r="N1896" s="2"/>
      <c r="O1896" s="2"/>
      <c r="P1896" s="2"/>
      <c r="Q1896" s="2"/>
      <c r="R1896" s="2"/>
      <c r="S1896" s="2" t="s">
        <v>16662</v>
      </c>
      <c r="T1896" s="2" t="s">
        <v>16663</v>
      </c>
      <c r="U1896" s="2" t="s">
        <v>16664</v>
      </c>
      <c r="V1896" s="2" t="s">
        <v>338</v>
      </c>
      <c r="W1896" s="2" t="s">
        <v>339</v>
      </c>
      <c r="X1896" s="2" t="s">
        <v>340</v>
      </c>
      <c r="Y1896" s="2" t="s">
        <v>341</v>
      </c>
      <c r="Z1896" s="2" t="s">
        <v>341</v>
      </c>
      <c r="AA1896" s="2" t="s">
        <v>342</v>
      </c>
      <c r="AB1896" s="2" t="s">
        <v>8443</v>
      </c>
      <c r="AC1896" s="2">
        <v>38.99</v>
      </c>
      <c r="AD1896" s="2">
        <v>94.95</v>
      </c>
      <c r="AE1896" s="2">
        <v>0</v>
      </c>
      <c r="AF1896" s="2" t="s">
        <v>5614</v>
      </c>
      <c r="AG1896" s="2" t="s">
        <v>103</v>
      </c>
      <c r="AH1896" s="2" t="s">
        <v>8348</v>
      </c>
      <c r="AI1896" s="2">
        <v>0.65</v>
      </c>
      <c r="AJ1896" s="2">
        <v>20.984767709355999</v>
      </c>
      <c r="AK1896" s="2">
        <v>19.933955955571601</v>
      </c>
      <c r="AL1896" s="2">
        <v>20.817896663038599</v>
      </c>
      <c r="AM1896" s="2">
        <v>20.720569316773201</v>
      </c>
      <c r="AN1896" s="2">
        <v>20.783331168762299</v>
      </c>
      <c r="AO1896" s="2">
        <v>20.384145006923799</v>
      </c>
      <c r="AP1896" s="2">
        <v>20.7378123533002</v>
      </c>
      <c r="AQ1896" s="2">
        <v>20.638196366507898</v>
      </c>
      <c r="AR1896" s="2">
        <v>20.372131787717802</v>
      </c>
      <c r="AS1896" s="2">
        <v>20.943639718659899</v>
      </c>
      <c r="AT1896" s="2">
        <v>20.873961100549799</v>
      </c>
      <c r="AU1896" s="2">
        <v>20.959094155443701</v>
      </c>
      <c r="AV1896" s="2">
        <v>20.954275039455201</v>
      </c>
      <c r="AW1896" s="2">
        <v>20.9977197039013</v>
      </c>
      <c r="AX1896" s="2">
        <v>21.0378415692029</v>
      </c>
      <c r="AY1896" s="2">
        <v>20.932562445763999</v>
      </c>
      <c r="AZ1896" s="2">
        <v>20.917384813265102</v>
      </c>
      <c r="BA1896" s="2">
        <v>20.867550564947699</v>
      </c>
      <c r="BB1896" s="2">
        <v>20.9744643269599</v>
      </c>
      <c r="BC1896" s="2">
        <v>20.975686070420799</v>
      </c>
      <c r="BD1896" s="2">
        <v>20.9784751817831</v>
      </c>
      <c r="BE1896" s="2">
        <v>20.9323689708662</v>
      </c>
      <c r="BF1896" s="2">
        <v>20.7800341233566</v>
      </c>
      <c r="BG1896" s="2">
        <v>20.977672288468799</v>
      </c>
      <c r="BH1896" s="2">
        <v>20.5472929602</v>
      </c>
      <c r="BI1896" s="2">
        <v>20.968319346680399</v>
      </c>
      <c r="BJ1896" s="2">
        <v>20.834944598839499</v>
      </c>
      <c r="BK1896" s="2">
        <v>20.993235394386598</v>
      </c>
      <c r="BL1896" s="2">
        <v>20.7707666642455</v>
      </c>
      <c r="BM1896" s="2">
        <v>20.864676683199299</v>
      </c>
      <c r="BN1896" s="2">
        <v>20.862834489188199</v>
      </c>
      <c r="BO1896" s="2">
        <v>20.9594327361967</v>
      </c>
      <c r="BP1896" s="2">
        <v>20.7873489570499</v>
      </c>
      <c r="BQ1896" s="2">
        <v>20.794838143857799</v>
      </c>
      <c r="BR1896" s="2">
        <v>20.717367774645201</v>
      </c>
      <c r="BS1896" s="2">
        <v>20.629937524575102</v>
      </c>
      <c r="BT1896" s="2">
        <v>20.037400495201101</v>
      </c>
      <c r="BU1896" s="2">
        <v>20.6939484286249</v>
      </c>
      <c r="BV1896" s="2">
        <v>20.801717577789098</v>
      </c>
      <c r="BW1896" s="2">
        <v>19.159830252015599</v>
      </c>
      <c r="BX1896" s="2">
        <v>20.736864789549099</v>
      </c>
      <c r="BY1896" s="2">
        <v>20.656293518781698</v>
      </c>
      <c r="BZ1896" s="2">
        <v>20.791015091502199</v>
      </c>
      <c r="CA1896" s="2">
        <v>20.680960401101199</v>
      </c>
      <c r="CB1896" s="2">
        <v>20.551842094497999</v>
      </c>
      <c r="CC1896" s="2">
        <v>20.743790082830699</v>
      </c>
      <c r="CD1896" s="2">
        <v>20.744516204764501</v>
      </c>
      <c r="CE1896" s="2">
        <v>20.712016933666501</v>
      </c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</row>
    <row r="1897" spans="1:97">
      <c r="A1897" s="2" t="s">
        <v>16665</v>
      </c>
      <c r="B1897" s="2">
        <v>482.30507999999998</v>
      </c>
      <c r="C1897" s="2">
        <v>9.5289999999999999</v>
      </c>
      <c r="D1897" s="2" t="s">
        <v>146</v>
      </c>
      <c r="E1897" s="2" t="s">
        <v>16666</v>
      </c>
      <c r="F1897" s="2" t="s">
        <v>16667</v>
      </c>
      <c r="G1897" s="2">
        <v>8890</v>
      </c>
      <c r="H1897" s="3" t="str">
        <f>HYPERLINK("https://cloud.oebiotech.com/#/lm/network/8890", "https://cloud.oebiotech.com/#/lm/network/8890")</f>
        <v>https://cloud.oebiotech.com/#/lm/network/8890</v>
      </c>
      <c r="I1897" s="2"/>
      <c r="J1897" s="2"/>
      <c r="K1897" s="2" t="s">
        <v>16668</v>
      </c>
      <c r="L1897" s="2">
        <v>146683250</v>
      </c>
      <c r="M1897" s="2"/>
      <c r="N1897" s="2"/>
      <c r="O1897" s="2"/>
      <c r="P1897" s="2"/>
      <c r="Q1897" s="2"/>
      <c r="R1897" s="2"/>
      <c r="S1897" s="2"/>
      <c r="T1897" s="2" t="s">
        <v>16669</v>
      </c>
      <c r="U1897" s="2" t="s">
        <v>16670</v>
      </c>
      <c r="V1897" s="2" t="s">
        <v>115</v>
      </c>
      <c r="W1897" s="2" t="s">
        <v>116</v>
      </c>
      <c r="X1897" s="2" t="s">
        <v>117</v>
      </c>
      <c r="Y1897" s="2" t="s">
        <v>118</v>
      </c>
      <c r="Z1897" s="2" t="s">
        <v>119</v>
      </c>
      <c r="AA1897" s="2" t="s">
        <v>120</v>
      </c>
      <c r="AB1897" s="2" t="s">
        <v>5118</v>
      </c>
      <c r="AC1897" s="2">
        <v>38.99</v>
      </c>
      <c r="AD1897" s="2">
        <v>60.2</v>
      </c>
      <c r="AE1897" s="2">
        <v>47.58</v>
      </c>
      <c r="AF1897" s="2" t="s">
        <v>16671</v>
      </c>
      <c r="AG1897" s="2" t="s">
        <v>4062</v>
      </c>
      <c r="AH1897" s="2" t="s">
        <v>16672</v>
      </c>
      <c r="AI1897" s="2">
        <v>-1.66</v>
      </c>
      <c r="AJ1897" s="2">
        <v>17.3003197568055</v>
      </c>
      <c r="AK1897" s="2">
        <v>17.400593963570099</v>
      </c>
      <c r="AL1897" s="2">
        <v>16.7845025771142</v>
      </c>
      <c r="AM1897" s="2">
        <v>17.309428479929</v>
      </c>
      <c r="AN1897" s="2">
        <v>17.0951731297117</v>
      </c>
      <c r="AO1897" s="2">
        <v>17.377155953721498</v>
      </c>
      <c r="AP1897" s="2">
        <v>16.957095124701102</v>
      </c>
      <c r="AQ1897" s="2">
        <v>17.266065818255299</v>
      </c>
      <c r="AR1897" s="2">
        <v>12.44007494781</v>
      </c>
      <c r="AS1897" s="2">
        <v>14.474383438966299</v>
      </c>
      <c r="AT1897" s="2">
        <v>15.8770389178038</v>
      </c>
      <c r="AU1897" s="2">
        <v>13.231132659892999</v>
      </c>
      <c r="AV1897" s="2">
        <v>16.6327911964983</v>
      </c>
      <c r="AW1897" s="2">
        <v>16.360193815087801</v>
      </c>
      <c r="AX1897" s="2">
        <v>15.801036864535501</v>
      </c>
      <c r="AY1897" s="2">
        <v>16.862438920075999</v>
      </c>
      <c r="AZ1897" s="2">
        <v>13.818481321104599</v>
      </c>
      <c r="BA1897" s="2">
        <v>17.445183255031299</v>
      </c>
      <c r="BB1897" s="2">
        <v>16.367142035905498</v>
      </c>
      <c r="BC1897" s="2">
        <v>17.370139328535899</v>
      </c>
      <c r="BD1897" s="2">
        <v>14.693367708076</v>
      </c>
      <c r="BE1897" s="2">
        <v>16.110915531570299</v>
      </c>
      <c r="BF1897" s="2">
        <v>14.758863414353799</v>
      </c>
      <c r="BG1897" s="2">
        <v>16.4628006730712</v>
      </c>
      <c r="BH1897" s="2">
        <v>15.9974051049627</v>
      </c>
      <c r="BI1897" s="2">
        <v>16.374491900466801</v>
      </c>
      <c r="BJ1897" s="2">
        <v>16.529427351271799</v>
      </c>
      <c r="BK1897" s="2">
        <v>15.576742664812199</v>
      </c>
      <c r="BL1897" s="2">
        <v>12.6403511457634</v>
      </c>
      <c r="BM1897" s="2">
        <v>17.8736504734166</v>
      </c>
      <c r="BN1897" s="2">
        <v>17.915718879886001</v>
      </c>
      <c r="BO1897" s="2">
        <v>17.125711814831199</v>
      </c>
      <c r="BP1897" s="2">
        <v>17.566577348442099</v>
      </c>
      <c r="BQ1897" s="2">
        <v>17.495108868087101</v>
      </c>
      <c r="BR1897" s="2">
        <v>18.117745054674799</v>
      </c>
      <c r="BS1897" s="2">
        <v>18.258732697864001</v>
      </c>
      <c r="BT1897" s="2">
        <v>17.873411308325601</v>
      </c>
      <c r="BU1897" s="2">
        <v>18.033378099450701</v>
      </c>
      <c r="BV1897" s="2">
        <v>17.842249723025098</v>
      </c>
      <c r="BW1897" s="2">
        <v>17.362892594119302</v>
      </c>
      <c r="BX1897" s="2">
        <v>16.580802214320201</v>
      </c>
      <c r="BY1897" s="2">
        <v>17.777027499871799</v>
      </c>
      <c r="BZ1897" s="2">
        <v>16.976079526511199</v>
      </c>
      <c r="CA1897" s="2">
        <v>17.002063526105498</v>
      </c>
      <c r="CB1897" s="2">
        <v>15.078932583969801</v>
      </c>
      <c r="CC1897" s="2">
        <v>17.603288753329402</v>
      </c>
      <c r="CD1897" s="2">
        <v>18.748131971502101</v>
      </c>
      <c r="CE1897" s="2">
        <v>17.986851699054402</v>
      </c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</row>
    <row r="1898" spans="1:97">
      <c r="A1898" s="2" t="s">
        <v>16673</v>
      </c>
      <c r="B1898" s="2">
        <v>870.54688999999996</v>
      </c>
      <c r="C1898" s="2">
        <v>10.811</v>
      </c>
      <c r="D1898" s="2" t="s">
        <v>146</v>
      </c>
      <c r="E1898" s="2" t="s">
        <v>16674</v>
      </c>
      <c r="F1898" s="2" t="s">
        <v>16675</v>
      </c>
      <c r="G1898" s="2">
        <v>239648</v>
      </c>
      <c r="H1898" s="3" t="str">
        <f>HYPERLINK("https://cloud.oebiotech.com/#/lm/network/239648", "https://cloud.oebiotech.com/#/lm/network/239648")</f>
        <v>https://cloud.oebiotech.com/#/lm/network/239648</v>
      </c>
      <c r="I1898" s="2" t="s">
        <v>16676</v>
      </c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 t="s">
        <v>16677</v>
      </c>
      <c r="U1898" s="2" t="s">
        <v>16678</v>
      </c>
      <c r="V1898" s="2" t="s">
        <v>95</v>
      </c>
      <c r="W1898" s="2" t="s">
        <v>96</v>
      </c>
      <c r="X1898" s="2" t="s">
        <v>3216</v>
      </c>
      <c r="Y1898" s="2" t="s">
        <v>98</v>
      </c>
      <c r="Z1898" s="2" t="s">
        <v>99</v>
      </c>
      <c r="AA1898" s="2" t="s">
        <v>3217</v>
      </c>
      <c r="AB1898" s="2" t="s">
        <v>8443</v>
      </c>
      <c r="AC1898" s="2">
        <v>38.99</v>
      </c>
      <c r="AD1898" s="2">
        <v>64</v>
      </c>
      <c r="AE1898" s="2">
        <v>0</v>
      </c>
      <c r="AF1898" s="2" t="s">
        <v>16679</v>
      </c>
      <c r="AG1898" s="2" t="s">
        <v>194</v>
      </c>
      <c r="AH1898" s="2" t="s">
        <v>16680</v>
      </c>
      <c r="AI1898" s="2">
        <v>3.79</v>
      </c>
      <c r="AJ1898" s="2">
        <v>18.746273200133501</v>
      </c>
      <c r="AK1898" s="2">
        <v>20.429383385966201</v>
      </c>
      <c r="AL1898" s="2">
        <v>20.3936891094876</v>
      </c>
      <c r="AM1898" s="2">
        <v>20.314368195369301</v>
      </c>
      <c r="AN1898" s="2">
        <v>20.524116797584998</v>
      </c>
      <c r="AO1898" s="2">
        <v>20.123526315290899</v>
      </c>
      <c r="AP1898" s="2">
        <v>19.935262200178801</v>
      </c>
      <c r="AQ1898" s="2">
        <v>20.203400557259901</v>
      </c>
      <c r="AR1898" s="2">
        <v>15.1678015067814</v>
      </c>
      <c r="AS1898" s="2">
        <v>21.3291846421671</v>
      </c>
      <c r="AT1898" s="2">
        <v>20.895858916777598</v>
      </c>
      <c r="AU1898" s="2">
        <v>20.830055920396099</v>
      </c>
      <c r="AV1898" s="2">
        <v>20.676351233489399</v>
      </c>
      <c r="AW1898" s="2">
        <v>20.301536004835601</v>
      </c>
      <c r="AX1898" s="2">
        <v>20.443578405577899</v>
      </c>
      <c r="AY1898" s="2">
        <v>20.438282362503202</v>
      </c>
      <c r="AZ1898" s="2">
        <v>20.700978692572299</v>
      </c>
      <c r="BA1898" s="2">
        <v>20.988389415376901</v>
      </c>
      <c r="BB1898" s="2">
        <v>20.183744720131301</v>
      </c>
      <c r="BC1898" s="2">
        <v>19.9377655238244</v>
      </c>
      <c r="BD1898" s="2">
        <v>20.572872103537598</v>
      </c>
      <c r="BE1898" s="2">
        <v>19.7239332136751</v>
      </c>
      <c r="BF1898" s="2">
        <v>20.451319380341801</v>
      </c>
      <c r="BG1898" s="2">
        <v>20.200952469525198</v>
      </c>
      <c r="BH1898" s="2">
        <v>20.681126803766801</v>
      </c>
      <c r="BI1898" s="2">
        <v>19.624637516821402</v>
      </c>
      <c r="BJ1898" s="2">
        <v>20.291202508443099</v>
      </c>
      <c r="BK1898" s="2">
        <v>20.5020426629778</v>
      </c>
      <c r="BL1898" s="2">
        <v>19.987408793446399</v>
      </c>
      <c r="BM1898" s="2">
        <v>20.142184319313198</v>
      </c>
      <c r="BN1898" s="2">
        <v>20.688563072621001</v>
      </c>
      <c r="BO1898" s="2">
        <v>19.533632828720499</v>
      </c>
      <c r="BP1898" s="2">
        <v>20.2469515211003</v>
      </c>
      <c r="BQ1898" s="2">
        <v>20.7753517964968</v>
      </c>
      <c r="BR1898" s="2">
        <v>19.688324576643101</v>
      </c>
      <c r="BS1898" s="2">
        <v>19.882101483378602</v>
      </c>
      <c r="BT1898" s="2">
        <v>20.245845211077601</v>
      </c>
      <c r="BU1898" s="2">
        <v>20.250325265069002</v>
      </c>
      <c r="BV1898" s="2">
        <v>19.809091801092499</v>
      </c>
      <c r="BW1898" s="2">
        <v>20.028224525250099</v>
      </c>
      <c r="BX1898" s="2">
        <v>20.0530820153989</v>
      </c>
      <c r="BY1898" s="2">
        <v>19.2160302292083</v>
      </c>
      <c r="BZ1898" s="2">
        <v>20.359252795695799</v>
      </c>
      <c r="CA1898" s="2">
        <v>19.998617202384199</v>
      </c>
      <c r="CB1898" s="2">
        <v>20.8412208467761</v>
      </c>
      <c r="CC1898" s="2">
        <v>20.720800179301101</v>
      </c>
      <c r="CD1898" s="2">
        <v>19.9590749125394</v>
      </c>
      <c r="CE1898" s="2">
        <v>20.333833354622001</v>
      </c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</row>
    <row r="1899" spans="1:97">
      <c r="A1899" s="2" t="s">
        <v>16681</v>
      </c>
      <c r="B1899" s="2">
        <v>570.34173999999996</v>
      </c>
      <c r="C1899" s="2">
        <v>10.673999999999999</v>
      </c>
      <c r="D1899" s="2" t="s">
        <v>146</v>
      </c>
      <c r="E1899" s="2" t="s">
        <v>16682</v>
      </c>
      <c r="F1899" s="2"/>
      <c r="G1899" s="2">
        <v>595872</v>
      </c>
      <c r="H1899" s="3" t="str">
        <f>HYPERLINK("https://cloud.oebiotech.com/#/lm/network/595872", "https://cloud.oebiotech.com/#/lm/network/595872")</f>
        <v>https://cloud.oebiotech.com/#/lm/network/595872</v>
      </c>
      <c r="I1899" s="2"/>
      <c r="J1899" s="2"/>
      <c r="K1899" s="2"/>
      <c r="L1899" s="2">
        <v>71677525</v>
      </c>
      <c r="M1899" s="2"/>
      <c r="N1899" s="2"/>
      <c r="O1899" s="2"/>
      <c r="P1899" s="2"/>
      <c r="Q1899" s="2"/>
      <c r="R1899" s="2"/>
      <c r="S1899" s="2"/>
      <c r="T1899" s="2" t="s">
        <v>16683</v>
      </c>
      <c r="U1899" s="2" t="s">
        <v>16684</v>
      </c>
      <c r="V1899" s="2" t="s">
        <v>95</v>
      </c>
      <c r="W1899" s="2" t="s">
        <v>180</v>
      </c>
      <c r="X1899" s="2" t="s">
        <v>1790</v>
      </c>
      <c r="Y1899" s="2" t="s">
        <v>98</v>
      </c>
      <c r="Z1899" s="2" t="s">
        <v>182</v>
      </c>
      <c r="AA1899" s="2" t="s">
        <v>1791</v>
      </c>
      <c r="AB1899" s="2" t="s">
        <v>8443</v>
      </c>
      <c r="AC1899" s="2">
        <v>38.979999999999997</v>
      </c>
      <c r="AD1899" s="2">
        <v>76.5</v>
      </c>
      <c r="AE1899" s="2">
        <v>37.54</v>
      </c>
      <c r="AF1899" s="2" t="s">
        <v>16685</v>
      </c>
      <c r="AG1899" s="2" t="s">
        <v>157</v>
      </c>
      <c r="AH1899" s="2" t="s">
        <v>16686</v>
      </c>
      <c r="AI1899" s="2">
        <v>3.33</v>
      </c>
      <c r="AJ1899" s="2">
        <v>19.452310586725702</v>
      </c>
      <c r="AK1899" s="2">
        <v>19.3944550954206</v>
      </c>
      <c r="AL1899" s="2">
        <v>19.382946081074302</v>
      </c>
      <c r="AM1899" s="2">
        <v>19.476907588510802</v>
      </c>
      <c r="AN1899" s="2">
        <v>18.537645097801601</v>
      </c>
      <c r="AO1899" s="2">
        <v>19.403867504342799</v>
      </c>
      <c r="AP1899" s="2">
        <v>19.381505922674499</v>
      </c>
      <c r="AQ1899" s="2">
        <v>19.433261922340701</v>
      </c>
      <c r="AR1899" s="2">
        <v>19.147415546104298</v>
      </c>
      <c r="AS1899" s="2">
        <v>18.8371083240418</v>
      </c>
      <c r="AT1899" s="2">
        <v>19.0885433907542</v>
      </c>
      <c r="AU1899" s="2">
        <v>18.953886408306499</v>
      </c>
      <c r="AV1899" s="2">
        <v>18.991142865204999</v>
      </c>
      <c r="AW1899" s="2">
        <v>19.1989708722252</v>
      </c>
      <c r="AX1899" s="2">
        <v>18.5684036925703</v>
      </c>
      <c r="AY1899" s="2">
        <v>19.177461828158702</v>
      </c>
      <c r="AZ1899" s="2">
        <v>19.3587152805251</v>
      </c>
      <c r="BA1899" s="2">
        <v>18.512068015839699</v>
      </c>
      <c r="BB1899" s="2">
        <v>19.341279005646602</v>
      </c>
      <c r="BC1899" s="2">
        <v>19.409765608623001</v>
      </c>
      <c r="BD1899" s="2">
        <v>18.7468486417227</v>
      </c>
      <c r="BE1899" s="2">
        <v>19.934499800388</v>
      </c>
      <c r="BF1899" s="2">
        <v>19.070184978375199</v>
      </c>
      <c r="BG1899" s="2">
        <v>19.360213558951202</v>
      </c>
      <c r="BH1899" s="2">
        <v>19.347168920039</v>
      </c>
      <c r="BI1899" s="2">
        <v>18.6650537662061</v>
      </c>
      <c r="BJ1899" s="2">
        <v>19.3301600619453</v>
      </c>
      <c r="BK1899" s="2">
        <v>18.917654440142599</v>
      </c>
      <c r="BL1899" s="2">
        <v>19.3085983388765</v>
      </c>
      <c r="BM1899" s="2">
        <v>17.968301731307601</v>
      </c>
      <c r="BN1899" s="2">
        <v>19.081507831633601</v>
      </c>
      <c r="BO1899" s="2">
        <v>19.3609832946632</v>
      </c>
      <c r="BP1899" s="2">
        <v>18.7538572808974</v>
      </c>
      <c r="BQ1899" s="2">
        <v>18.7206602986526</v>
      </c>
      <c r="BR1899" s="2">
        <v>19.490876645635201</v>
      </c>
      <c r="BS1899" s="2">
        <v>19.4705010388851</v>
      </c>
      <c r="BT1899" s="2">
        <v>19.412392748890401</v>
      </c>
      <c r="BU1899" s="2">
        <v>19.2580088371584</v>
      </c>
      <c r="BV1899" s="2">
        <v>19.3769491962084</v>
      </c>
      <c r="BW1899" s="2">
        <v>18.350506095733</v>
      </c>
      <c r="BX1899" s="2">
        <v>19.1820021410993</v>
      </c>
      <c r="BY1899" s="2">
        <v>18.566867391670598</v>
      </c>
      <c r="BZ1899" s="2">
        <v>19.2428789018145</v>
      </c>
      <c r="CA1899" s="2">
        <v>19.262637415260102</v>
      </c>
      <c r="CB1899" s="2">
        <v>19.164067514187199</v>
      </c>
      <c r="CC1899" s="2">
        <v>18.404017702036899</v>
      </c>
      <c r="CD1899" s="2">
        <v>19.257824230795599</v>
      </c>
      <c r="CE1899" s="2">
        <v>19.2389359112912</v>
      </c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</row>
    <row r="1900" spans="1:97">
      <c r="A1900" s="2" t="s">
        <v>16687</v>
      </c>
      <c r="B1900" s="2">
        <v>119.01613999999999</v>
      </c>
      <c r="C1900" s="2">
        <v>0.77500000000000002</v>
      </c>
      <c r="D1900" s="2" t="s">
        <v>84</v>
      </c>
      <c r="E1900" s="2" t="s">
        <v>16688</v>
      </c>
      <c r="F1900" s="2" t="s">
        <v>16689</v>
      </c>
      <c r="G1900" s="2">
        <v>63037</v>
      </c>
      <c r="H1900" s="3" t="str">
        <f>HYPERLINK("https://cloud.oebiotech.com/#/lm/network/63037", "https://cloud.oebiotech.com/#/lm/network/63037")</f>
        <v>https://cloud.oebiotech.com/#/lm/network/63037</v>
      </c>
      <c r="I1900" s="2" t="s">
        <v>16690</v>
      </c>
      <c r="J1900" s="2">
        <v>94335</v>
      </c>
      <c r="K1900" s="2"/>
      <c r="L1900" s="2">
        <v>131752727</v>
      </c>
      <c r="M1900" s="2"/>
      <c r="N1900" s="2"/>
      <c r="O1900" s="2"/>
      <c r="P1900" s="2"/>
      <c r="Q1900" s="2"/>
      <c r="R1900" s="2"/>
      <c r="S1900" s="2" t="s">
        <v>16691</v>
      </c>
      <c r="T1900" s="2" t="s">
        <v>16692</v>
      </c>
      <c r="U1900" s="2" t="s">
        <v>16693</v>
      </c>
      <c r="V1900" s="2" t="s">
        <v>553</v>
      </c>
      <c r="W1900" s="2" t="s">
        <v>2261</v>
      </c>
      <c r="X1900" s="2" t="s">
        <v>2262</v>
      </c>
      <c r="Y1900" s="2" t="s">
        <v>556</v>
      </c>
      <c r="Z1900" s="2" t="s">
        <v>2263</v>
      </c>
      <c r="AA1900" s="2" t="s">
        <v>2264</v>
      </c>
      <c r="AB1900" s="2" t="s">
        <v>8443</v>
      </c>
      <c r="AC1900" s="2">
        <v>38.97</v>
      </c>
      <c r="AD1900" s="2">
        <v>94.84</v>
      </c>
      <c r="AE1900" s="2">
        <v>0</v>
      </c>
      <c r="AF1900" s="2" t="s">
        <v>5614</v>
      </c>
      <c r="AG1900" s="2" t="s">
        <v>103</v>
      </c>
      <c r="AH1900" s="2" t="s">
        <v>16694</v>
      </c>
      <c r="AI1900" s="2">
        <v>0</v>
      </c>
      <c r="AJ1900" s="2">
        <v>22.254173412202601</v>
      </c>
      <c r="AK1900" s="2">
        <v>22.0468577713537</v>
      </c>
      <c r="AL1900" s="2">
        <v>22.158914161926401</v>
      </c>
      <c r="AM1900" s="2">
        <v>22.196195552491599</v>
      </c>
      <c r="AN1900" s="2">
        <v>22.2753837796045</v>
      </c>
      <c r="AO1900" s="2">
        <v>22.1952221702035</v>
      </c>
      <c r="AP1900" s="2">
        <v>21.996659362275199</v>
      </c>
      <c r="AQ1900" s="2">
        <v>22.1998408018117</v>
      </c>
      <c r="AR1900" s="2">
        <v>21.717672716798699</v>
      </c>
      <c r="AS1900" s="2">
        <v>22.233087801882</v>
      </c>
      <c r="AT1900" s="2">
        <v>21.854624402410298</v>
      </c>
      <c r="AU1900" s="2">
        <v>22.250799553888299</v>
      </c>
      <c r="AV1900" s="2">
        <v>20.397279130977701</v>
      </c>
      <c r="AW1900" s="2">
        <v>21.696547983390001</v>
      </c>
      <c r="AX1900" s="2">
        <v>22.4449570492229</v>
      </c>
      <c r="AY1900" s="2">
        <v>22.9007369779481</v>
      </c>
      <c r="AZ1900" s="2">
        <v>21.453564941722199</v>
      </c>
      <c r="BA1900" s="2">
        <v>21.688864301532</v>
      </c>
      <c r="BB1900" s="2">
        <v>21.770473741817199</v>
      </c>
      <c r="BC1900" s="2">
        <v>22.211693597930001</v>
      </c>
      <c r="BD1900" s="2">
        <v>21.727869439842902</v>
      </c>
      <c r="BE1900" s="2">
        <v>22.5168849221449</v>
      </c>
      <c r="BF1900" s="2">
        <v>21.989124860534499</v>
      </c>
      <c r="BG1900" s="2">
        <v>21.525159797688399</v>
      </c>
      <c r="BH1900" s="2">
        <v>22.4034017806508</v>
      </c>
      <c r="BI1900" s="2">
        <v>21.269171348233701</v>
      </c>
      <c r="BJ1900" s="2">
        <v>21.915749193589399</v>
      </c>
      <c r="BK1900" s="2">
        <v>20.525153678882599</v>
      </c>
      <c r="BL1900" s="2">
        <v>22.764280318138599</v>
      </c>
      <c r="BM1900" s="2">
        <v>23.0779403707967</v>
      </c>
      <c r="BN1900" s="2">
        <v>21.010401574140602</v>
      </c>
      <c r="BO1900" s="2">
        <v>22.2426426575501</v>
      </c>
      <c r="BP1900" s="2">
        <v>21.4140976640373</v>
      </c>
      <c r="BQ1900" s="2">
        <v>21.575246334009801</v>
      </c>
      <c r="BR1900" s="2">
        <v>22.119326442931801</v>
      </c>
      <c r="BS1900" s="2">
        <v>21.9466863679217</v>
      </c>
      <c r="BT1900" s="2">
        <v>21.465212765996402</v>
      </c>
      <c r="BU1900" s="2">
        <v>21.944238496085799</v>
      </c>
      <c r="BV1900" s="2">
        <v>20.132447703609198</v>
      </c>
      <c r="BW1900" s="2">
        <v>22.481741131842501</v>
      </c>
      <c r="BX1900" s="2">
        <v>22.718735498351599</v>
      </c>
      <c r="BY1900" s="2">
        <v>22.9613526909624</v>
      </c>
      <c r="BZ1900" s="2">
        <v>21.949996578577998</v>
      </c>
      <c r="CA1900" s="2">
        <v>21.653928661115799</v>
      </c>
      <c r="CB1900" s="2">
        <v>21.879160156587801</v>
      </c>
      <c r="CC1900" s="2">
        <v>21.5679913666395</v>
      </c>
      <c r="CD1900" s="2">
        <v>22.501219685591</v>
      </c>
      <c r="CE1900" s="2">
        <v>21.111230409971601</v>
      </c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</row>
    <row r="1901" spans="1:97">
      <c r="A1901" s="2" t="s">
        <v>16695</v>
      </c>
      <c r="B1901" s="2">
        <v>101.03471</v>
      </c>
      <c r="C1901" s="2">
        <v>15.019</v>
      </c>
      <c r="D1901" s="2" t="s">
        <v>84</v>
      </c>
      <c r="E1901" s="2" t="s">
        <v>16696</v>
      </c>
      <c r="F1901" s="2" t="s">
        <v>16697</v>
      </c>
      <c r="G1901" s="2">
        <v>207600</v>
      </c>
      <c r="H1901" s="3" t="str">
        <f>HYPERLINK("https://cloud.oebiotech.com/#/lm/network/207600", "https://cloud.oebiotech.com/#/lm/network/207600")</f>
        <v>https://cloud.oebiotech.com/#/lm/network/207600</v>
      </c>
      <c r="I1901" s="2" t="s">
        <v>16698</v>
      </c>
      <c r="J1901" s="2">
        <v>66294</v>
      </c>
      <c r="K1901" s="2"/>
      <c r="L1901" s="2">
        <v>10006</v>
      </c>
      <c r="M1901" s="2" t="s">
        <v>16699</v>
      </c>
      <c r="N1901" s="2"/>
      <c r="O1901" s="2"/>
      <c r="P1901" s="2">
        <v>27612</v>
      </c>
      <c r="Q1901" s="2"/>
      <c r="R1901" s="2"/>
      <c r="S1901" s="2" t="s">
        <v>16700</v>
      </c>
      <c r="T1901" s="2" t="s">
        <v>16701</v>
      </c>
      <c r="U1901" s="2" t="s">
        <v>16702</v>
      </c>
      <c r="V1901" s="2" t="s">
        <v>553</v>
      </c>
      <c r="W1901" s="2" t="s">
        <v>554</v>
      </c>
      <c r="X1901" s="2" t="s">
        <v>555</v>
      </c>
      <c r="Y1901" s="2" t="s">
        <v>556</v>
      </c>
      <c r="Z1901" s="2" t="s">
        <v>557</v>
      </c>
      <c r="AA1901" s="2" t="s">
        <v>558</v>
      </c>
      <c r="AB1901" s="2" t="s">
        <v>8443</v>
      </c>
      <c r="AC1901" s="2">
        <v>38.950000000000003</v>
      </c>
      <c r="AD1901" s="2">
        <v>97.67</v>
      </c>
      <c r="AE1901" s="2">
        <v>0</v>
      </c>
      <c r="AF1901" s="2" t="s">
        <v>5614</v>
      </c>
      <c r="AG1901" s="2" t="s">
        <v>103</v>
      </c>
      <c r="AH1901" s="2" t="s">
        <v>16703</v>
      </c>
      <c r="AI1901" s="2">
        <v>-1.58</v>
      </c>
      <c r="AJ1901" s="2">
        <v>23.5018031721496</v>
      </c>
      <c r="AK1901" s="2">
        <v>23.806345288178601</v>
      </c>
      <c r="AL1901" s="2">
        <v>23.025579686217601</v>
      </c>
      <c r="AM1901" s="2">
        <v>23.645833985602302</v>
      </c>
      <c r="AN1901" s="2">
        <v>22.680499252330101</v>
      </c>
      <c r="AO1901" s="2">
        <v>23.8714414688252</v>
      </c>
      <c r="AP1901" s="2">
        <v>23.791660733464202</v>
      </c>
      <c r="AQ1901" s="2">
        <v>24.005474033904299</v>
      </c>
      <c r="AR1901" s="2">
        <v>23.455381971485998</v>
      </c>
      <c r="AS1901" s="2">
        <v>23.890347563252298</v>
      </c>
      <c r="AT1901" s="2">
        <v>23.474072295948201</v>
      </c>
      <c r="AU1901" s="2">
        <v>23.8829916495391</v>
      </c>
      <c r="AV1901" s="2">
        <v>23.924067264309699</v>
      </c>
      <c r="AW1901" s="2">
        <v>23.745828173781799</v>
      </c>
      <c r="AX1901" s="2">
        <v>23.830124336311901</v>
      </c>
      <c r="AY1901" s="2">
        <v>23.809257592438801</v>
      </c>
      <c r="AZ1901" s="2">
        <v>23.902084986489498</v>
      </c>
      <c r="BA1901" s="2">
        <v>22.510027083258201</v>
      </c>
      <c r="BB1901" s="2">
        <v>23.880030133025102</v>
      </c>
      <c r="BC1901" s="2">
        <v>23.909168072542901</v>
      </c>
      <c r="BD1901" s="2">
        <v>23.699696555362699</v>
      </c>
      <c r="BE1901" s="2">
        <v>23.771732457987799</v>
      </c>
      <c r="BF1901" s="2">
        <v>23.659063574089899</v>
      </c>
      <c r="BG1901" s="2">
        <v>23.1847818017389</v>
      </c>
      <c r="BH1901" s="2">
        <v>22.735132629970899</v>
      </c>
      <c r="BI1901" s="2">
        <v>23.843089261756699</v>
      </c>
      <c r="BJ1901" s="2">
        <v>23.838679402449699</v>
      </c>
      <c r="BK1901" s="2">
        <v>22.8791252940653</v>
      </c>
      <c r="BL1901" s="2">
        <v>22.584188547799599</v>
      </c>
      <c r="BM1901" s="2">
        <v>22.506555031989102</v>
      </c>
      <c r="BN1901" s="2">
        <v>23.832435042164999</v>
      </c>
      <c r="BO1901" s="2">
        <v>23.945683279986699</v>
      </c>
      <c r="BP1901" s="2">
        <v>23.185711353427902</v>
      </c>
      <c r="BQ1901" s="2">
        <v>23.498741234868799</v>
      </c>
      <c r="BR1901" s="2">
        <v>24.007069271739599</v>
      </c>
      <c r="BS1901" s="2">
        <v>23.845646983426999</v>
      </c>
      <c r="BT1901" s="2">
        <v>22.435757349587199</v>
      </c>
      <c r="BU1901" s="2">
        <v>23.876734225876</v>
      </c>
      <c r="BV1901" s="2">
        <v>23.770226421999698</v>
      </c>
      <c r="BW1901" s="2">
        <v>23.794499635272899</v>
      </c>
      <c r="BX1901" s="2">
        <v>23.765680333459098</v>
      </c>
      <c r="BY1901" s="2">
        <v>23.8591819881939</v>
      </c>
      <c r="BZ1901" s="2">
        <v>23.5849716180659</v>
      </c>
      <c r="CA1901" s="2">
        <v>23.788739382140101</v>
      </c>
      <c r="CB1901" s="2">
        <v>23.995180135919799</v>
      </c>
      <c r="CC1901" s="2">
        <v>23.878501952978901</v>
      </c>
      <c r="CD1901" s="2">
        <v>22.551140633858299</v>
      </c>
      <c r="CE1901" s="2">
        <v>22.7351430322692</v>
      </c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</row>
    <row r="1902" spans="1:97">
      <c r="A1902" s="2" t="s">
        <v>16704</v>
      </c>
      <c r="B1902" s="2">
        <v>233.02081000000001</v>
      </c>
      <c r="C1902" s="2">
        <v>0.67200000000000004</v>
      </c>
      <c r="D1902" s="2" t="s">
        <v>84</v>
      </c>
      <c r="E1902" s="2" t="s">
        <v>16705</v>
      </c>
      <c r="F1902" s="2" t="s">
        <v>16706</v>
      </c>
      <c r="G1902" s="2">
        <v>210342</v>
      </c>
      <c r="H1902" s="3" t="str">
        <f>HYPERLINK("https://cloud.oebiotech.com/#/lm/network/210342", "https://cloud.oebiotech.com/#/lm/network/210342")</f>
        <v>https://cloud.oebiotech.com/#/lm/network/210342</v>
      </c>
      <c r="I1902" s="2" t="s">
        <v>16707</v>
      </c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 t="s">
        <v>16708</v>
      </c>
      <c r="U1902" s="2" t="s">
        <v>16709</v>
      </c>
      <c r="V1902" s="2" t="s">
        <v>115</v>
      </c>
      <c r="W1902" s="2" t="s">
        <v>4566</v>
      </c>
      <c r="X1902" s="2" t="s">
        <v>4567</v>
      </c>
      <c r="Y1902" s="2" t="s">
        <v>118</v>
      </c>
      <c r="Z1902" s="2" t="s">
        <v>4568</v>
      </c>
      <c r="AA1902" s="2" t="s">
        <v>4569</v>
      </c>
      <c r="AB1902" s="2" t="s">
        <v>8443</v>
      </c>
      <c r="AC1902" s="2">
        <v>38.950000000000003</v>
      </c>
      <c r="AD1902" s="2">
        <v>94.76</v>
      </c>
      <c r="AE1902" s="2">
        <v>0</v>
      </c>
      <c r="AF1902" s="2" t="s">
        <v>5614</v>
      </c>
      <c r="AG1902" s="2" t="s">
        <v>103</v>
      </c>
      <c r="AH1902" s="2" t="s">
        <v>16710</v>
      </c>
      <c r="AI1902" s="2">
        <v>0.43</v>
      </c>
      <c r="AJ1902" s="2">
        <v>20.762080861816401</v>
      </c>
      <c r="AK1902" s="2">
        <v>21.3832440440795</v>
      </c>
      <c r="AL1902" s="2">
        <v>21.3090574087886</v>
      </c>
      <c r="AM1902" s="2">
        <v>21.3055166407655</v>
      </c>
      <c r="AN1902" s="2">
        <v>21.2919588225731</v>
      </c>
      <c r="AO1902" s="2">
        <v>21.143087025655401</v>
      </c>
      <c r="AP1902" s="2">
        <v>21.096011101478101</v>
      </c>
      <c r="AQ1902" s="2">
        <v>21.1237362228695</v>
      </c>
      <c r="AR1902" s="2">
        <v>20.574719591351499</v>
      </c>
      <c r="AS1902" s="2">
        <v>20.506164574197498</v>
      </c>
      <c r="AT1902" s="2">
        <v>21.0911480155359</v>
      </c>
      <c r="AU1902" s="2">
        <v>21.322414456881699</v>
      </c>
      <c r="AV1902" s="2">
        <v>20.561101431088499</v>
      </c>
      <c r="AW1902" s="2">
        <v>21.070633352272001</v>
      </c>
      <c r="AX1902" s="2">
        <v>21.065886399727699</v>
      </c>
      <c r="AY1902" s="2">
        <v>21.040240489598201</v>
      </c>
      <c r="AZ1902" s="2">
        <v>20.3528204191512</v>
      </c>
      <c r="BA1902" s="2">
        <v>20.654975492411399</v>
      </c>
      <c r="BB1902" s="2">
        <v>21.489313608195602</v>
      </c>
      <c r="BC1902" s="2">
        <v>21.974445830652598</v>
      </c>
      <c r="BD1902" s="2">
        <v>20.841931424165299</v>
      </c>
      <c r="BE1902" s="2">
        <v>21.4300763362602</v>
      </c>
      <c r="BF1902" s="2">
        <v>20.878618994993801</v>
      </c>
      <c r="BG1902" s="2">
        <v>21.226123837120799</v>
      </c>
      <c r="BH1902" s="2">
        <v>20.669974197735399</v>
      </c>
      <c r="BI1902" s="2">
        <v>20.731575416456099</v>
      </c>
      <c r="BJ1902" s="2">
        <v>21.176304094899301</v>
      </c>
      <c r="BK1902" s="2">
        <v>21.0880331508558</v>
      </c>
      <c r="BL1902" s="2">
        <v>20.930482590384599</v>
      </c>
      <c r="BM1902" s="2">
        <v>21.078119892807599</v>
      </c>
      <c r="BN1902" s="2">
        <v>21.1836882892872</v>
      </c>
      <c r="BO1902" s="2">
        <v>20.335878113938101</v>
      </c>
      <c r="BP1902" s="2">
        <v>20.5256069261021</v>
      </c>
      <c r="BQ1902" s="2">
        <v>21.236450826630499</v>
      </c>
      <c r="BR1902" s="2">
        <v>20.786941003864499</v>
      </c>
      <c r="BS1902" s="2">
        <v>20.630469447609901</v>
      </c>
      <c r="BT1902" s="2">
        <v>21.274008105086001</v>
      </c>
      <c r="BU1902" s="2">
        <v>21.176211956766501</v>
      </c>
      <c r="BV1902" s="2">
        <v>21.329409007920201</v>
      </c>
      <c r="BW1902" s="2">
        <v>21.2939357137688</v>
      </c>
      <c r="BX1902" s="2">
        <v>21.2451968848905</v>
      </c>
      <c r="BY1902" s="2">
        <v>20.7787757609469</v>
      </c>
      <c r="BZ1902" s="2">
        <v>21.003083790400598</v>
      </c>
      <c r="CA1902" s="2">
        <v>20.976160210714198</v>
      </c>
      <c r="CB1902" s="2">
        <v>20.736521763884799</v>
      </c>
      <c r="CC1902" s="2">
        <v>21.087150587323901</v>
      </c>
      <c r="CD1902" s="2">
        <v>20.9829107448193</v>
      </c>
      <c r="CE1902" s="2">
        <v>20.565044550195001</v>
      </c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</row>
    <row r="1903" spans="1:97">
      <c r="A1903" s="2" t="s">
        <v>16711</v>
      </c>
      <c r="B1903" s="2">
        <v>145.02834999999999</v>
      </c>
      <c r="C1903" s="2">
        <v>6.0869999999999997</v>
      </c>
      <c r="D1903" s="2" t="s">
        <v>84</v>
      </c>
      <c r="E1903" s="2" t="s">
        <v>16712</v>
      </c>
      <c r="F1903" s="2" t="s">
        <v>16713</v>
      </c>
      <c r="G1903" s="2">
        <v>204043</v>
      </c>
      <c r="H1903" s="3" t="str">
        <f>HYPERLINK("https://cloud.oebiotech.com/#/lm/network/204043", "https://cloud.oebiotech.com/#/lm/network/204043")</f>
        <v>https://cloud.oebiotech.com/#/lm/network/204043</v>
      </c>
      <c r="I1903" s="2" t="s">
        <v>16714</v>
      </c>
      <c r="J1903" s="2"/>
      <c r="K1903" s="2"/>
      <c r="L1903" s="2">
        <v>129724604</v>
      </c>
      <c r="M1903" s="2"/>
      <c r="N1903" s="2"/>
      <c r="O1903" s="2"/>
      <c r="P1903" s="2"/>
      <c r="Q1903" s="2"/>
      <c r="R1903" s="2"/>
      <c r="S1903" s="2"/>
      <c r="T1903" s="2" t="s">
        <v>16715</v>
      </c>
      <c r="U1903" s="2" t="s">
        <v>16716</v>
      </c>
      <c r="V1903" s="2" t="s">
        <v>553</v>
      </c>
      <c r="W1903" s="2" t="s">
        <v>2193</v>
      </c>
      <c r="X1903" s="2" t="s">
        <v>4866</v>
      </c>
      <c r="Y1903" s="2" t="s">
        <v>556</v>
      </c>
      <c r="Z1903" s="2" t="s">
        <v>2194</v>
      </c>
      <c r="AA1903" s="2" t="s">
        <v>4867</v>
      </c>
      <c r="AB1903" s="2" t="s">
        <v>8443</v>
      </c>
      <c r="AC1903" s="2">
        <v>38.94</v>
      </c>
      <c r="AD1903" s="2">
        <v>94.69</v>
      </c>
      <c r="AE1903" s="2">
        <v>0</v>
      </c>
      <c r="AF1903" s="2" t="s">
        <v>16717</v>
      </c>
      <c r="AG1903" s="2" t="s">
        <v>103</v>
      </c>
      <c r="AH1903" s="2" t="s">
        <v>16718</v>
      </c>
      <c r="AI1903" s="2">
        <v>0.69</v>
      </c>
      <c r="AJ1903" s="2">
        <v>19.9721851541502</v>
      </c>
      <c r="AK1903" s="2">
        <v>19.752535002744199</v>
      </c>
      <c r="AL1903" s="2">
        <v>20.039516903589099</v>
      </c>
      <c r="AM1903" s="2">
        <v>20.172868894842502</v>
      </c>
      <c r="AN1903" s="2">
        <v>19.7435378231486</v>
      </c>
      <c r="AO1903" s="2">
        <v>20.157084553518899</v>
      </c>
      <c r="AP1903" s="2">
        <v>19.960793376416699</v>
      </c>
      <c r="AQ1903" s="2">
        <v>20.183617900571601</v>
      </c>
      <c r="AR1903" s="2">
        <v>9.6233145402724691</v>
      </c>
      <c r="AS1903" s="2">
        <v>18.665182007716702</v>
      </c>
      <c r="AT1903" s="2">
        <v>20.112664592146501</v>
      </c>
      <c r="AU1903" s="2">
        <v>19.120562225487799</v>
      </c>
      <c r="AV1903" s="2">
        <v>19.711056883584401</v>
      </c>
      <c r="AW1903" s="2">
        <v>14.3500068175923</v>
      </c>
      <c r="AX1903" s="2">
        <v>20.004238121818499</v>
      </c>
      <c r="AY1903" s="2">
        <v>19.845065333059601</v>
      </c>
      <c r="AZ1903" s="2">
        <v>18.491559705984301</v>
      </c>
      <c r="BA1903" s="2">
        <v>21.302466378426502</v>
      </c>
      <c r="BB1903" s="2">
        <v>18.040483017908201</v>
      </c>
      <c r="BC1903" s="2">
        <v>18.082497684490999</v>
      </c>
      <c r="BD1903" s="2">
        <v>18.189309115192099</v>
      </c>
      <c r="BE1903" s="2">
        <v>21.438834996402999</v>
      </c>
      <c r="BF1903" s="2">
        <v>21.2620680270315</v>
      </c>
      <c r="BG1903" s="2">
        <v>17.7236980031096</v>
      </c>
      <c r="BH1903" s="2">
        <v>9.6233145402724691</v>
      </c>
      <c r="BI1903" s="2">
        <v>23.4169505782192</v>
      </c>
      <c r="BJ1903" s="2">
        <v>17.2927117526968</v>
      </c>
      <c r="BK1903" s="2">
        <v>9.6233145402724691</v>
      </c>
      <c r="BL1903" s="2">
        <v>9.6233145402724691</v>
      </c>
      <c r="BM1903" s="2">
        <v>19.1350737592049</v>
      </c>
      <c r="BN1903" s="2">
        <v>17.0123853500879</v>
      </c>
      <c r="BO1903" s="2">
        <v>21.109715038457001</v>
      </c>
      <c r="BP1903" s="2">
        <v>17.862966371892099</v>
      </c>
      <c r="BQ1903" s="2">
        <v>19.741384129917201</v>
      </c>
      <c r="BR1903" s="2">
        <v>21.390130248173602</v>
      </c>
      <c r="BS1903" s="2">
        <v>19.584986422162999</v>
      </c>
      <c r="BT1903" s="2">
        <v>9.6233145402724691</v>
      </c>
      <c r="BU1903" s="2">
        <v>20.508497497146301</v>
      </c>
      <c r="BV1903" s="2">
        <v>21.541838857851801</v>
      </c>
      <c r="BW1903" s="2">
        <v>17.150692050661601</v>
      </c>
      <c r="BX1903" s="2">
        <v>19.101124424443999</v>
      </c>
      <c r="BY1903" s="2">
        <v>22.093157168557401</v>
      </c>
      <c r="BZ1903" s="2">
        <v>18.721347157314501</v>
      </c>
      <c r="CA1903" s="2">
        <v>20.600240560633399</v>
      </c>
      <c r="CB1903" s="2">
        <v>16.164067047561101</v>
      </c>
      <c r="CC1903" s="2">
        <v>20.6961965770221</v>
      </c>
      <c r="CD1903" s="2">
        <v>9.6233145402724691</v>
      </c>
      <c r="CE1903" s="2">
        <v>9.6233145402724691</v>
      </c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</row>
    <row r="1904" spans="1:97">
      <c r="A1904" s="2" t="s">
        <v>16719</v>
      </c>
      <c r="B1904" s="2">
        <v>264.01877000000002</v>
      </c>
      <c r="C1904" s="2">
        <v>3.6720000000000002</v>
      </c>
      <c r="D1904" s="2" t="s">
        <v>84</v>
      </c>
      <c r="E1904" s="2" t="s">
        <v>16720</v>
      </c>
      <c r="F1904" s="2" t="s">
        <v>16721</v>
      </c>
      <c r="G1904" s="2">
        <v>596620</v>
      </c>
      <c r="H1904" s="3" t="str">
        <f>HYPERLINK("https://cloud.oebiotech.com/#/lm/network/596620", "https://cloud.oebiotech.com/#/lm/network/596620")</f>
        <v>https://cloud.oebiotech.com/#/lm/network/596620</v>
      </c>
      <c r="I1904" s="2"/>
      <c r="J1904" s="2"/>
      <c r="K1904" s="2"/>
      <c r="L1904" s="2">
        <v>19366670</v>
      </c>
      <c r="M1904" s="2"/>
      <c r="N1904" s="2"/>
      <c r="O1904" s="2"/>
      <c r="P1904" s="2"/>
      <c r="Q1904" s="2"/>
      <c r="R1904" s="2"/>
      <c r="S1904" s="2"/>
      <c r="T1904" s="2" t="s">
        <v>16722</v>
      </c>
      <c r="U1904" s="2" t="s">
        <v>16723</v>
      </c>
      <c r="V1904" s="2" t="s">
        <v>115</v>
      </c>
      <c r="W1904" s="2" t="s">
        <v>116</v>
      </c>
      <c r="X1904" s="2" t="s">
        <v>117</v>
      </c>
      <c r="Y1904" s="2" t="s">
        <v>118</v>
      </c>
      <c r="Z1904" s="2" t="s">
        <v>119</v>
      </c>
      <c r="AA1904" s="2" t="s">
        <v>120</v>
      </c>
      <c r="AB1904" s="2" t="s">
        <v>8443</v>
      </c>
      <c r="AC1904" s="2">
        <v>38.94</v>
      </c>
      <c r="AD1904" s="2">
        <v>50.27</v>
      </c>
      <c r="AE1904" s="2">
        <v>0</v>
      </c>
      <c r="AF1904" s="2" t="s">
        <v>5614</v>
      </c>
      <c r="AG1904" s="2" t="s">
        <v>103</v>
      </c>
      <c r="AH1904" s="2" t="s">
        <v>16724</v>
      </c>
      <c r="AI1904" s="2">
        <v>0.38</v>
      </c>
      <c r="AJ1904" s="2">
        <v>18.4527928213401</v>
      </c>
      <c r="AK1904" s="2">
        <v>18.3853289064953</v>
      </c>
      <c r="AL1904" s="2">
        <v>18.4179660860685</v>
      </c>
      <c r="AM1904" s="2">
        <v>18.6239259521404</v>
      </c>
      <c r="AN1904" s="2">
        <v>18.707036266515601</v>
      </c>
      <c r="AO1904" s="2">
        <v>18.829785127077098</v>
      </c>
      <c r="AP1904" s="2">
        <v>18.681957603111702</v>
      </c>
      <c r="AQ1904" s="2">
        <v>18.304869411925701</v>
      </c>
      <c r="AR1904" s="2">
        <v>17.702877867251502</v>
      </c>
      <c r="AS1904" s="2">
        <v>16.896025699268499</v>
      </c>
      <c r="AT1904" s="2">
        <v>17.8815668234502</v>
      </c>
      <c r="AU1904" s="2">
        <v>17.247595368386001</v>
      </c>
      <c r="AV1904" s="2">
        <v>17.628370991182699</v>
      </c>
      <c r="AW1904" s="2">
        <v>18.3591602399983</v>
      </c>
      <c r="AX1904" s="2">
        <v>18.112636151398601</v>
      </c>
      <c r="AY1904" s="2">
        <v>18.7404130343822</v>
      </c>
      <c r="AZ1904" s="2">
        <v>18.437814195871098</v>
      </c>
      <c r="BA1904" s="2">
        <v>17.9388895869143</v>
      </c>
      <c r="BB1904" s="2">
        <v>18.655211527625699</v>
      </c>
      <c r="BC1904" s="2">
        <v>18.624743061277599</v>
      </c>
      <c r="BD1904" s="2">
        <v>18.005193487552699</v>
      </c>
      <c r="BE1904" s="2">
        <v>18.6373117292964</v>
      </c>
      <c r="BF1904" s="2">
        <v>18.276125086991101</v>
      </c>
      <c r="BG1904" s="2">
        <v>18.679955673378601</v>
      </c>
      <c r="BH1904" s="2">
        <v>19.019573110440302</v>
      </c>
      <c r="BI1904" s="2">
        <v>17.6470724606529</v>
      </c>
      <c r="BJ1904" s="2">
        <v>18.5931176734858</v>
      </c>
      <c r="BK1904" s="2">
        <v>18.188940262794201</v>
      </c>
      <c r="BL1904" s="2">
        <v>17.976394795942799</v>
      </c>
      <c r="BM1904" s="2">
        <v>18.5759041066392</v>
      </c>
      <c r="BN1904" s="2">
        <v>18.8987352876999</v>
      </c>
      <c r="BO1904" s="2">
        <v>18.5270226560258</v>
      </c>
      <c r="BP1904" s="2">
        <v>18.152375760605999</v>
      </c>
      <c r="BQ1904" s="2">
        <v>18.2280794956507</v>
      </c>
      <c r="BR1904" s="2">
        <v>18.2136370038187</v>
      </c>
      <c r="BS1904" s="2">
        <v>17.7686084780455</v>
      </c>
      <c r="BT1904" s="2">
        <v>18.642044498619601</v>
      </c>
      <c r="BU1904" s="2">
        <v>17.712085763190998</v>
      </c>
      <c r="BV1904" s="2">
        <v>18.754983739935401</v>
      </c>
      <c r="BW1904" s="2">
        <v>17.741184655717401</v>
      </c>
      <c r="BX1904" s="2">
        <v>18.589902510832701</v>
      </c>
      <c r="BY1904" s="2">
        <v>19.0598242459393</v>
      </c>
      <c r="BZ1904" s="2">
        <v>18.534197464218298</v>
      </c>
      <c r="CA1904" s="2">
        <v>18.762144334186502</v>
      </c>
      <c r="CB1904" s="2">
        <v>18.742159015914901</v>
      </c>
      <c r="CC1904" s="2">
        <v>18.088149352408202</v>
      </c>
      <c r="CD1904" s="2">
        <v>18.688158703287002</v>
      </c>
      <c r="CE1904" s="2">
        <v>18.4402956082826</v>
      </c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</row>
    <row r="1905" spans="1:97">
      <c r="A1905" s="2" t="s">
        <v>16725</v>
      </c>
      <c r="B1905" s="2">
        <v>505.14843000000002</v>
      </c>
      <c r="C1905" s="2">
        <v>8.2360000000000007</v>
      </c>
      <c r="D1905" s="2" t="s">
        <v>146</v>
      </c>
      <c r="E1905" s="2" t="s">
        <v>16726</v>
      </c>
      <c r="F1905" s="2" t="s">
        <v>16727</v>
      </c>
      <c r="G1905" s="2">
        <v>211686</v>
      </c>
      <c r="H1905" s="3" t="str">
        <f>HYPERLINK("https://cloud.oebiotech.com/#/lm/network/211686", "https://cloud.oebiotech.com/#/lm/network/211686")</f>
        <v>https://cloud.oebiotech.com/#/lm/network/211686</v>
      </c>
      <c r="I1905" s="2" t="s">
        <v>16728</v>
      </c>
      <c r="J1905" s="2"/>
      <c r="K1905" s="2"/>
      <c r="L1905" s="2">
        <v>16038217</v>
      </c>
      <c r="M1905" s="2"/>
      <c r="N1905" s="2"/>
      <c r="O1905" s="2"/>
      <c r="P1905" s="2"/>
      <c r="Q1905" s="2"/>
      <c r="R1905" s="2"/>
      <c r="S1905" s="2"/>
      <c r="T1905" s="2" t="s">
        <v>16729</v>
      </c>
      <c r="U1905" s="2" t="s">
        <v>16730</v>
      </c>
      <c r="V1905" s="2" t="s">
        <v>385</v>
      </c>
      <c r="W1905" s="2" t="s">
        <v>386</v>
      </c>
      <c r="X1905" s="2" t="s">
        <v>8386</v>
      </c>
      <c r="Y1905" s="2" t="s">
        <v>388</v>
      </c>
      <c r="Z1905" s="2" t="s">
        <v>389</v>
      </c>
      <c r="AA1905" s="2" t="s">
        <v>8387</v>
      </c>
      <c r="AB1905" s="2" t="s">
        <v>5118</v>
      </c>
      <c r="AC1905" s="2">
        <v>38.94</v>
      </c>
      <c r="AD1905" s="2">
        <v>62.17</v>
      </c>
      <c r="AE1905" s="2">
        <v>48.06</v>
      </c>
      <c r="AF1905" s="2" t="s">
        <v>16731</v>
      </c>
      <c r="AG1905" s="2" t="s">
        <v>157</v>
      </c>
      <c r="AH1905" s="2" t="s">
        <v>16732</v>
      </c>
      <c r="AI1905" s="2">
        <v>2.1800000000000002</v>
      </c>
      <c r="AJ1905" s="2">
        <v>18.9049953737909</v>
      </c>
      <c r="AK1905" s="2">
        <v>20.142399962785099</v>
      </c>
      <c r="AL1905" s="2">
        <v>19.779964373995998</v>
      </c>
      <c r="AM1905" s="2">
        <v>20.042883036258999</v>
      </c>
      <c r="AN1905" s="2">
        <v>19.6458917145358</v>
      </c>
      <c r="AO1905" s="2">
        <v>19.803588578493201</v>
      </c>
      <c r="AP1905" s="2">
        <v>19.7885300128642</v>
      </c>
      <c r="AQ1905" s="2">
        <v>19.807119418294899</v>
      </c>
      <c r="AR1905" s="2">
        <v>19.387956975529001</v>
      </c>
      <c r="AS1905" s="2">
        <v>15.633078946884</v>
      </c>
      <c r="AT1905" s="2">
        <v>16.1719976990289</v>
      </c>
      <c r="AU1905" s="2">
        <v>18.5623476019917</v>
      </c>
      <c r="AV1905" s="2">
        <v>21.408363640617299</v>
      </c>
      <c r="AW1905" s="2">
        <v>20.830247068976799</v>
      </c>
      <c r="AX1905" s="2">
        <v>21.336246966587598</v>
      </c>
      <c r="AY1905" s="2">
        <v>20.706454678463299</v>
      </c>
      <c r="AZ1905" s="2">
        <v>19.279549078590701</v>
      </c>
      <c r="BA1905" s="2">
        <v>17.5924666731119</v>
      </c>
      <c r="BB1905" s="2">
        <v>17.3943434476144</v>
      </c>
      <c r="BC1905" s="2">
        <v>18.602297835161298</v>
      </c>
      <c r="BD1905" s="2">
        <v>21.068094900276101</v>
      </c>
      <c r="BE1905" s="2">
        <v>20.278073140128299</v>
      </c>
      <c r="BF1905" s="2">
        <v>19.924819649460201</v>
      </c>
      <c r="BG1905" s="2">
        <v>21.505771510692998</v>
      </c>
      <c r="BH1905" s="2">
        <v>18.521395897746899</v>
      </c>
      <c r="BI1905" s="2">
        <v>19.451375438480699</v>
      </c>
      <c r="BJ1905" s="2">
        <v>20.014328838056699</v>
      </c>
      <c r="BK1905" s="2">
        <v>19.686805490517902</v>
      </c>
      <c r="BL1905" s="2">
        <v>19.475524774719499</v>
      </c>
      <c r="BM1905" s="2">
        <v>15.2354735285623</v>
      </c>
      <c r="BN1905" s="2">
        <v>16.743303420403102</v>
      </c>
      <c r="BO1905" s="2">
        <v>17.2303782309077</v>
      </c>
      <c r="BP1905" s="2">
        <v>21.305505468943402</v>
      </c>
      <c r="BQ1905" s="2">
        <v>21.281900943719201</v>
      </c>
      <c r="BR1905" s="2">
        <v>21.321755496533498</v>
      </c>
      <c r="BS1905" s="2">
        <v>19.715350529929299</v>
      </c>
      <c r="BT1905" s="2">
        <v>16.987551700662699</v>
      </c>
      <c r="BU1905" s="2">
        <v>14.9733623904495</v>
      </c>
      <c r="BV1905" s="2">
        <v>14.442576816085801</v>
      </c>
      <c r="BW1905" s="2">
        <v>16.953226355533999</v>
      </c>
      <c r="BX1905" s="2">
        <v>20.427322911926701</v>
      </c>
      <c r="BY1905" s="2">
        <v>19.590117949389398</v>
      </c>
      <c r="BZ1905" s="2">
        <v>18.941190178714699</v>
      </c>
      <c r="CA1905" s="2">
        <v>17.752121094913999</v>
      </c>
      <c r="CB1905" s="2">
        <v>18.2194283837574</v>
      </c>
      <c r="CC1905" s="2">
        <v>19.598078532428001</v>
      </c>
      <c r="CD1905" s="2">
        <v>19.723526182022301</v>
      </c>
      <c r="CE1905" s="2">
        <v>18.8119277598264</v>
      </c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</row>
    <row r="1906" spans="1:97">
      <c r="A1906" s="2" t="s">
        <v>16733</v>
      </c>
      <c r="B1906" s="2">
        <v>233.03050999999999</v>
      </c>
      <c r="C1906" s="2">
        <v>0.81599999999999995</v>
      </c>
      <c r="D1906" s="2" t="s">
        <v>146</v>
      </c>
      <c r="E1906" s="2" t="s">
        <v>16734</v>
      </c>
      <c r="F1906" s="2" t="s">
        <v>16735</v>
      </c>
      <c r="G1906" s="2">
        <v>81846</v>
      </c>
      <c r="H1906" s="3" t="str">
        <f>HYPERLINK("https://cloud.oebiotech.com/#/lm/network/81846", "https://cloud.oebiotech.com/#/lm/network/81846")</f>
        <v>https://cloud.oebiotech.com/#/lm/network/81846</v>
      </c>
      <c r="I1906" s="2" t="s">
        <v>16736</v>
      </c>
      <c r="J1906" s="2"/>
      <c r="K1906" s="2"/>
      <c r="L1906" s="2">
        <v>54454045</v>
      </c>
      <c r="M1906" s="2"/>
      <c r="N1906" s="2"/>
      <c r="O1906" s="2"/>
      <c r="P1906" s="2"/>
      <c r="Q1906" s="2"/>
      <c r="R1906" s="2"/>
      <c r="S1906" s="2"/>
      <c r="T1906" s="2" t="s">
        <v>16737</v>
      </c>
      <c r="U1906" s="2" t="s">
        <v>16738</v>
      </c>
      <c r="V1906" s="2" t="s">
        <v>115</v>
      </c>
      <c r="W1906" s="2" t="s">
        <v>116</v>
      </c>
      <c r="X1906" s="2" t="s">
        <v>769</v>
      </c>
      <c r="Y1906" s="2" t="s">
        <v>118</v>
      </c>
      <c r="Z1906" s="2" t="s">
        <v>119</v>
      </c>
      <c r="AA1906" s="2" t="s">
        <v>770</v>
      </c>
      <c r="AB1906" s="2" t="s">
        <v>8443</v>
      </c>
      <c r="AC1906" s="2">
        <v>38.93</v>
      </c>
      <c r="AD1906" s="2">
        <v>94.63</v>
      </c>
      <c r="AE1906" s="2">
        <v>0</v>
      </c>
      <c r="AF1906" s="2" t="s">
        <v>5614</v>
      </c>
      <c r="AG1906" s="2" t="s">
        <v>194</v>
      </c>
      <c r="AH1906" s="2" t="s">
        <v>16739</v>
      </c>
      <c r="AI1906" s="2">
        <v>-0.86</v>
      </c>
      <c r="AJ1906" s="2">
        <v>18.408897908997901</v>
      </c>
      <c r="AK1906" s="2">
        <v>19.0236335444025</v>
      </c>
      <c r="AL1906" s="2">
        <v>19.2269520769024</v>
      </c>
      <c r="AM1906" s="2">
        <v>18.822567719115</v>
      </c>
      <c r="AN1906" s="2">
        <v>19.227527553638399</v>
      </c>
      <c r="AO1906" s="2">
        <v>19.304070609877499</v>
      </c>
      <c r="AP1906" s="2">
        <v>19.427818663754898</v>
      </c>
      <c r="AQ1906" s="2">
        <v>18.657029909636901</v>
      </c>
      <c r="AR1906" s="2">
        <v>17.380257867395201</v>
      </c>
      <c r="AS1906" s="2">
        <v>18.295133419003299</v>
      </c>
      <c r="AT1906" s="2">
        <v>18.563502115221301</v>
      </c>
      <c r="AU1906" s="2">
        <v>18.858923696643298</v>
      </c>
      <c r="AV1906" s="2">
        <v>18.6470516906287</v>
      </c>
      <c r="AW1906" s="2">
        <v>18.626887613333601</v>
      </c>
      <c r="AX1906" s="2">
        <v>17.286842803605602</v>
      </c>
      <c r="AY1906" s="2">
        <v>19.363713917355899</v>
      </c>
      <c r="AZ1906" s="2">
        <v>18.8619239328494</v>
      </c>
      <c r="BA1906" s="2">
        <v>19.1191440539958</v>
      </c>
      <c r="BB1906" s="2">
        <v>19.376462145885601</v>
      </c>
      <c r="BC1906" s="2">
        <v>19.932828732289799</v>
      </c>
      <c r="BD1906" s="2">
        <v>19.0859891338905</v>
      </c>
      <c r="BE1906" s="2">
        <v>19.447480161409299</v>
      </c>
      <c r="BF1906" s="2">
        <v>18.721298521705599</v>
      </c>
      <c r="BG1906" s="2">
        <v>19.449786149525</v>
      </c>
      <c r="BH1906" s="2">
        <v>18.113447745817901</v>
      </c>
      <c r="BI1906" s="2">
        <v>18.706379559282599</v>
      </c>
      <c r="BJ1906" s="2">
        <v>18.978376366015102</v>
      </c>
      <c r="BK1906" s="2">
        <v>18.582648244783101</v>
      </c>
      <c r="BL1906" s="2">
        <v>18.3280377003144</v>
      </c>
      <c r="BM1906" s="2">
        <v>19.533276037886701</v>
      </c>
      <c r="BN1906" s="2">
        <v>18.3979683272469</v>
      </c>
      <c r="BO1906" s="2">
        <v>18.704341274006399</v>
      </c>
      <c r="BP1906" s="2">
        <v>18.822984987437501</v>
      </c>
      <c r="BQ1906" s="2">
        <v>18.214684435090799</v>
      </c>
      <c r="BR1906" s="2">
        <v>18.9691366533017</v>
      </c>
      <c r="BS1906" s="2">
        <v>18.767546406203799</v>
      </c>
      <c r="BT1906" s="2">
        <v>19.3539203398323</v>
      </c>
      <c r="BU1906" s="2">
        <v>18.637781351381602</v>
      </c>
      <c r="BV1906" s="2">
        <v>19.7900258577538</v>
      </c>
      <c r="BW1906" s="2">
        <v>19.0581608315388</v>
      </c>
      <c r="BX1906" s="2">
        <v>18.7463371421331</v>
      </c>
      <c r="BY1906" s="2">
        <v>19.255980945475599</v>
      </c>
      <c r="BZ1906" s="2">
        <v>19.390349810861998</v>
      </c>
      <c r="CA1906" s="2">
        <v>19.607577912522601</v>
      </c>
      <c r="CB1906" s="2">
        <v>18.601049848271401</v>
      </c>
      <c r="CC1906" s="2">
        <v>18.637025742119501</v>
      </c>
      <c r="CD1906" s="2">
        <v>18.047623619083598</v>
      </c>
      <c r="CE1906" s="2">
        <v>18.6756125908251</v>
      </c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</row>
    <row r="1907" spans="1:97">
      <c r="A1907" s="2" t="s">
        <v>16740</v>
      </c>
      <c r="B1907" s="2">
        <v>367.10437000000002</v>
      </c>
      <c r="C1907" s="2">
        <v>0.73299999999999998</v>
      </c>
      <c r="D1907" s="2" t="s">
        <v>146</v>
      </c>
      <c r="E1907" s="2" t="s">
        <v>16741</v>
      </c>
      <c r="F1907" s="2" t="s">
        <v>16742</v>
      </c>
      <c r="G1907" s="2">
        <v>52893</v>
      </c>
      <c r="H1907" s="3" t="str">
        <f>HYPERLINK("https://cloud.oebiotech.com/#/lm/network/52893", "https://cloud.oebiotech.com/#/lm/network/52893")</f>
        <v>https://cloud.oebiotech.com/#/lm/network/52893</v>
      </c>
      <c r="I1907" s="2" t="s">
        <v>16743</v>
      </c>
      <c r="J1907" s="2">
        <v>66814</v>
      </c>
      <c r="K1907" s="2"/>
      <c r="L1907" s="2">
        <v>60855</v>
      </c>
      <c r="M1907" s="2" t="s">
        <v>16744</v>
      </c>
      <c r="N1907" s="2"/>
      <c r="O1907" s="2"/>
      <c r="P1907" s="2">
        <v>50663</v>
      </c>
      <c r="Q1907" s="2"/>
      <c r="R1907" s="2"/>
      <c r="S1907" s="2" t="s">
        <v>16745</v>
      </c>
      <c r="T1907" s="2" t="s">
        <v>16746</v>
      </c>
      <c r="U1907" s="2" t="s">
        <v>16747</v>
      </c>
      <c r="V1907" s="2" t="s">
        <v>115</v>
      </c>
      <c r="W1907" s="2" t="s">
        <v>116</v>
      </c>
      <c r="X1907" s="2" t="s">
        <v>5270</v>
      </c>
      <c r="Y1907" s="2" t="s">
        <v>118</v>
      </c>
      <c r="Z1907" s="2" t="s">
        <v>119</v>
      </c>
      <c r="AA1907" s="2" t="s">
        <v>5271</v>
      </c>
      <c r="AB1907" s="2" t="s">
        <v>8443</v>
      </c>
      <c r="AC1907" s="2">
        <v>38.93</v>
      </c>
      <c r="AD1907" s="2">
        <v>79.400000000000006</v>
      </c>
      <c r="AE1907" s="2">
        <v>0</v>
      </c>
      <c r="AF1907" s="2" t="s">
        <v>16748</v>
      </c>
      <c r="AG1907" s="2" t="s">
        <v>4062</v>
      </c>
      <c r="AH1907" s="2" t="s">
        <v>16749</v>
      </c>
      <c r="AI1907" s="2">
        <v>-4.9000000000000004</v>
      </c>
      <c r="AJ1907" s="2">
        <v>22.754845308469498</v>
      </c>
      <c r="AK1907" s="2">
        <v>22.793315001414101</v>
      </c>
      <c r="AL1907" s="2">
        <v>22.971348437279399</v>
      </c>
      <c r="AM1907" s="2">
        <v>22.675010631716201</v>
      </c>
      <c r="AN1907" s="2">
        <v>22.681396117273302</v>
      </c>
      <c r="AO1907" s="2">
        <v>22.8633356613953</v>
      </c>
      <c r="AP1907" s="2">
        <v>22.829717205988199</v>
      </c>
      <c r="AQ1907" s="2">
        <v>22.6329557758588</v>
      </c>
      <c r="AR1907" s="2">
        <v>22.858251557058001</v>
      </c>
      <c r="AS1907" s="2">
        <v>23.737414105757701</v>
      </c>
      <c r="AT1907" s="2">
        <v>23.5147653346495</v>
      </c>
      <c r="AU1907" s="2">
        <v>23.272511211076601</v>
      </c>
      <c r="AV1907" s="2">
        <v>23.211510925306001</v>
      </c>
      <c r="AW1907" s="2">
        <v>23.0177493188169</v>
      </c>
      <c r="AX1907" s="2">
        <v>23.0129378992158</v>
      </c>
      <c r="AY1907" s="2">
        <v>23.373397644786401</v>
      </c>
      <c r="AZ1907" s="2">
        <v>23.282203532049699</v>
      </c>
      <c r="BA1907" s="2">
        <v>23.866061432785799</v>
      </c>
      <c r="BB1907" s="2">
        <v>22.7604137064668</v>
      </c>
      <c r="BC1907" s="2">
        <v>23.320014374978498</v>
      </c>
      <c r="BD1907" s="2">
        <v>23.507127224001401</v>
      </c>
      <c r="BE1907" s="2">
        <v>23.250272849885999</v>
      </c>
      <c r="BF1907" s="2">
        <v>23.673991304180699</v>
      </c>
      <c r="BG1907" s="2">
        <v>23.1521278697174</v>
      </c>
      <c r="BH1907" s="2">
        <v>23.0811186479343</v>
      </c>
      <c r="BI1907" s="2">
        <v>22.913839726088799</v>
      </c>
      <c r="BJ1907" s="2">
        <v>23.429691812702</v>
      </c>
      <c r="BK1907" s="2">
        <v>23.291909581344601</v>
      </c>
      <c r="BL1907" s="2">
        <v>23.612161827564702</v>
      </c>
      <c r="BM1907" s="2">
        <v>22.8682268006025</v>
      </c>
      <c r="BN1907" s="2">
        <v>23.501687312166599</v>
      </c>
      <c r="BO1907" s="2">
        <v>23.5059264085879</v>
      </c>
      <c r="BP1907" s="2">
        <v>23.099708898752699</v>
      </c>
      <c r="BQ1907" s="2">
        <v>23.323943371752598</v>
      </c>
      <c r="BR1907" s="2">
        <v>23.149943504705298</v>
      </c>
      <c r="BS1907" s="2">
        <v>23.731946095790001</v>
      </c>
      <c r="BT1907" s="2">
        <v>23.053769562389899</v>
      </c>
      <c r="BU1907" s="2">
        <v>23.270366038345699</v>
      </c>
      <c r="BV1907" s="2">
        <v>23.561455219210501</v>
      </c>
      <c r="BW1907" s="2">
        <v>23.742107295077101</v>
      </c>
      <c r="BX1907" s="2">
        <v>23.469087560930902</v>
      </c>
      <c r="BY1907" s="2">
        <v>22.912956251086602</v>
      </c>
      <c r="BZ1907" s="2">
        <v>23.111267861500998</v>
      </c>
      <c r="CA1907" s="2">
        <v>23.8773265294965</v>
      </c>
      <c r="CB1907" s="2">
        <v>23.715948526449701</v>
      </c>
      <c r="CC1907" s="2">
        <v>23.512800668103601</v>
      </c>
      <c r="CD1907" s="2">
        <v>22.6833740277667</v>
      </c>
      <c r="CE1907" s="2">
        <v>23.670469710390702</v>
      </c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</row>
    <row r="1908" spans="1:97">
      <c r="A1908" s="2" t="s">
        <v>16750</v>
      </c>
      <c r="B1908" s="2">
        <v>202.11837</v>
      </c>
      <c r="C1908" s="2">
        <v>1.05</v>
      </c>
      <c r="D1908" s="2" t="s">
        <v>84</v>
      </c>
      <c r="E1908" s="2" t="s">
        <v>16751</v>
      </c>
      <c r="F1908" s="2" t="s">
        <v>16752</v>
      </c>
      <c r="G1908" s="2">
        <v>196980</v>
      </c>
      <c r="H1908" s="3" t="str">
        <f>HYPERLINK("https://cloud.oebiotech.com/#/lm/network/196980", "https://cloud.oebiotech.com/#/lm/network/196980")</f>
        <v>https://cloud.oebiotech.com/#/lm/network/196980</v>
      </c>
      <c r="I1908" s="2" t="s">
        <v>16753</v>
      </c>
      <c r="J1908" s="2"/>
      <c r="K1908" s="2"/>
      <c r="L1908" s="2">
        <v>101535539</v>
      </c>
      <c r="M1908" s="2"/>
      <c r="N1908" s="2"/>
      <c r="O1908" s="2"/>
      <c r="P1908" s="2"/>
      <c r="Q1908" s="2"/>
      <c r="R1908" s="2"/>
      <c r="S1908" s="2" t="s">
        <v>16754</v>
      </c>
      <c r="T1908" s="2" t="s">
        <v>16755</v>
      </c>
      <c r="U1908" s="2" t="s">
        <v>16756</v>
      </c>
      <c r="V1908" s="2" t="s">
        <v>115</v>
      </c>
      <c r="W1908" s="2" t="s">
        <v>403</v>
      </c>
      <c r="X1908" s="2" t="s">
        <v>1905</v>
      </c>
      <c r="Y1908" s="2" t="s">
        <v>118</v>
      </c>
      <c r="Z1908" s="2" t="s">
        <v>405</v>
      </c>
      <c r="AA1908" s="2" t="s">
        <v>1906</v>
      </c>
      <c r="AB1908" s="2" t="s">
        <v>8443</v>
      </c>
      <c r="AC1908" s="2">
        <v>38.92</v>
      </c>
      <c r="AD1908" s="2">
        <v>94.61</v>
      </c>
      <c r="AE1908" s="2">
        <v>0</v>
      </c>
      <c r="AF1908" s="2" t="s">
        <v>5614</v>
      </c>
      <c r="AG1908" s="2" t="s">
        <v>103</v>
      </c>
      <c r="AH1908" s="2" t="s">
        <v>16757</v>
      </c>
      <c r="AI1908" s="2">
        <v>0.99</v>
      </c>
      <c r="AJ1908" s="2">
        <v>19.983394061992001</v>
      </c>
      <c r="AK1908" s="2">
        <v>20.044527730140899</v>
      </c>
      <c r="AL1908" s="2">
        <v>20.001510015160001</v>
      </c>
      <c r="AM1908" s="2">
        <v>20.0031161223848</v>
      </c>
      <c r="AN1908" s="2">
        <v>19.9931656750102</v>
      </c>
      <c r="AO1908" s="2">
        <v>19.9225358422893</v>
      </c>
      <c r="AP1908" s="2">
        <v>19.925707489205202</v>
      </c>
      <c r="AQ1908" s="2">
        <v>19.7098764064561</v>
      </c>
      <c r="AR1908" s="2">
        <v>18.500007121101099</v>
      </c>
      <c r="AS1908" s="2">
        <v>18.004225350067902</v>
      </c>
      <c r="AT1908" s="2">
        <v>9.6233145402724691</v>
      </c>
      <c r="AU1908" s="2">
        <v>20.796222553774498</v>
      </c>
      <c r="AV1908" s="2">
        <v>18.8481873743218</v>
      </c>
      <c r="AW1908" s="2">
        <v>19.215216375382699</v>
      </c>
      <c r="AX1908" s="2">
        <v>17.815565109866601</v>
      </c>
      <c r="AY1908" s="2">
        <v>15.0801817125091</v>
      </c>
      <c r="AZ1908" s="2">
        <v>19.578002243322299</v>
      </c>
      <c r="BA1908" s="2">
        <v>20.491943711983399</v>
      </c>
      <c r="BB1908" s="2">
        <v>17.786565095604601</v>
      </c>
      <c r="BC1908" s="2">
        <v>19.3678133425596</v>
      </c>
      <c r="BD1908" s="2">
        <v>20.078412841179102</v>
      </c>
      <c r="BE1908" s="2">
        <v>9.6233145402724691</v>
      </c>
      <c r="BF1908" s="2">
        <v>20.336157980157299</v>
      </c>
      <c r="BG1908" s="2">
        <v>16.8909606814907</v>
      </c>
      <c r="BH1908" s="2">
        <v>18.204225425303498</v>
      </c>
      <c r="BI1908" s="2">
        <v>20.925976622528299</v>
      </c>
      <c r="BJ1908" s="2">
        <v>9.6233145402724691</v>
      </c>
      <c r="BK1908" s="2">
        <v>19.474758321463401</v>
      </c>
      <c r="BL1908" s="2">
        <v>19.452573280000401</v>
      </c>
      <c r="BM1908" s="2">
        <v>19.806832959560001</v>
      </c>
      <c r="BN1908" s="2">
        <v>17.137376438608499</v>
      </c>
      <c r="BO1908" s="2">
        <v>21.2352088776349</v>
      </c>
      <c r="BP1908" s="2">
        <v>19.0224541586472</v>
      </c>
      <c r="BQ1908" s="2">
        <v>20.034944920191101</v>
      </c>
      <c r="BR1908" s="2">
        <v>16.195879868287101</v>
      </c>
      <c r="BS1908" s="2">
        <v>18.948624629022699</v>
      </c>
      <c r="BT1908" s="2">
        <v>20.918868818939401</v>
      </c>
      <c r="BU1908" s="2">
        <v>21.3819881483027</v>
      </c>
      <c r="BV1908" s="2">
        <v>20.2485722688062</v>
      </c>
      <c r="BW1908" s="2">
        <v>17.541387591028499</v>
      </c>
      <c r="BX1908" s="2">
        <v>21.027858749671299</v>
      </c>
      <c r="BY1908" s="2">
        <v>15.857646225389001</v>
      </c>
      <c r="BZ1908" s="2">
        <v>19.217102012718598</v>
      </c>
      <c r="CA1908" s="2">
        <v>18.359967030688601</v>
      </c>
      <c r="CB1908" s="2">
        <v>19.782411156663599</v>
      </c>
      <c r="CC1908" s="2">
        <v>20.1553515935171</v>
      </c>
      <c r="CD1908" s="2">
        <v>15.224023914569999</v>
      </c>
      <c r="CE1908" s="2">
        <v>19.747722255446501</v>
      </c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</row>
    <row r="1909" spans="1:97">
      <c r="A1909" s="2" t="s">
        <v>16758</v>
      </c>
      <c r="B1909" s="2">
        <v>403.00713999999999</v>
      </c>
      <c r="C1909" s="2">
        <v>0.66400000000000003</v>
      </c>
      <c r="D1909" s="2" t="s">
        <v>84</v>
      </c>
      <c r="E1909" s="2" t="s">
        <v>16759</v>
      </c>
      <c r="F1909" s="2" t="s">
        <v>16760</v>
      </c>
      <c r="G1909" s="2">
        <v>47650</v>
      </c>
      <c r="H1909" s="3" t="str">
        <f>HYPERLINK("https://cloud.oebiotech.com/#/lm/network/47650", "https://cloud.oebiotech.com/#/lm/network/47650")</f>
        <v>https://cloud.oebiotech.com/#/lm/network/47650</v>
      </c>
      <c r="I1909" s="2" t="s">
        <v>16761</v>
      </c>
      <c r="J1909" s="2"/>
      <c r="K1909" s="2"/>
      <c r="L1909" s="2">
        <v>73323</v>
      </c>
      <c r="M1909" s="2" t="s">
        <v>16762</v>
      </c>
      <c r="N1909" s="2" t="s">
        <v>811</v>
      </c>
      <c r="O1909" s="2" t="s">
        <v>812</v>
      </c>
      <c r="P1909" s="2">
        <v>15652</v>
      </c>
      <c r="Q1909" s="2"/>
      <c r="R1909" s="2"/>
      <c r="S1909" s="2" t="s">
        <v>16763</v>
      </c>
      <c r="T1909" s="2" t="s">
        <v>16764</v>
      </c>
      <c r="U1909" s="2" t="s">
        <v>16765</v>
      </c>
      <c r="V1909" s="2" t="s">
        <v>818</v>
      </c>
      <c r="W1909" s="2" t="s">
        <v>9642</v>
      </c>
      <c r="X1909" s="2" t="s">
        <v>9643</v>
      </c>
      <c r="Y1909" s="2" t="s">
        <v>820</v>
      </c>
      <c r="Z1909" s="2" t="s">
        <v>9644</v>
      </c>
      <c r="AA1909" s="2" t="s">
        <v>9645</v>
      </c>
      <c r="AB1909" s="2" t="s">
        <v>8443</v>
      </c>
      <c r="AC1909" s="2">
        <v>38.909999999999997</v>
      </c>
      <c r="AD1909" s="2">
        <v>72.38</v>
      </c>
      <c r="AE1909" s="2">
        <v>0</v>
      </c>
      <c r="AF1909" s="2" t="s">
        <v>5614</v>
      </c>
      <c r="AG1909" s="2" t="s">
        <v>3544</v>
      </c>
      <c r="AH1909" s="2" t="s">
        <v>16766</v>
      </c>
      <c r="AI1909" s="2">
        <v>-4.71</v>
      </c>
      <c r="AJ1909" s="2">
        <v>22.617901613143101</v>
      </c>
      <c r="AK1909" s="2">
        <v>23.088799154599201</v>
      </c>
      <c r="AL1909" s="2">
        <v>23.234090820490401</v>
      </c>
      <c r="AM1909" s="2">
        <v>22.994083595206501</v>
      </c>
      <c r="AN1909" s="2">
        <v>22.867930788494299</v>
      </c>
      <c r="AO1909" s="2">
        <v>22.947464835440901</v>
      </c>
      <c r="AP1909" s="2">
        <v>22.5732973836921</v>
      </c>
      <c r="AQ1909" s="2">
        <v>22.702957206962498</v>
      </c>
      <c r="AR1909" s="2">
        <v>22.562126359180699</v>
      </c>
      <c r="AS1909" s="2">
        <v>21.4023609035223</v>
      </c>
      <c r="AT1909" s="2">
        <v>22.264576778531101</v>
      </c>
      <c r="AU1909" s="2">
        <v>22.358662349580001</v>
      </c>
      <c r="AV1909" s="2">
        <v>22.525506247070801</v>
      </c>
      <c r="AW1909" s="2">
        <v>22.601992024374901</v>
      </c>
      <c r="AX1909" s="2">
        <v>22.6574219092712</v>
      </c>
      <c r="AY1909" s="2">
        <v>22.348339160179801</v>
      </c>
      <c r="AZ1909" s="2">
        <v>22.172796767904401</v>
      </c>
      <c r="BA1909" s="2">
        <v>21.896186895885801</v>
      </c>
      <c r="BB1909" s="2">
        <v>22.718569893234001</v>
      </c>
      <c r="BC1909" s="2">
        <v>23.500330918695301</v>
      </c>
      <c r="BD1909" s="2">
        <v>22.901296502694301</v>
      </c>
      <c r="BE1909" s="2">
        <v>23.134794291974899</v>
      </c>
      <c r="BF1909" s="2">
        <v>23.160750662398499</v>
      </c>
      <c r="BG1909" s="2">
        <v>23.048415944226001</v>
      </c>
      <c r="BH1909" s="2">
        <v>22.336330482416201</v>
      </c>
      <c r="BI1909" s="2">
        <v>22.989370899320999</v>
      </c>
      <c r="BJ1909" s="2">
        <v>22.957240651729599</v>
      </c>
      <c r="BK1909" s="2">
        <v>22.626882018036699</v>
      </c>
      <c r="BL1909" s="2">
        <v>22.5576223743867</v>
      </c>
      <c r="BM1909" s="2">
        <v>23.347891342056101</v>
      </c>
      <c r="BN1909" s="2">
        <v>22.768024306021498</v>
      </c>
      <c r="BO1909" s="2">
        <v>21.7806760757604</v>
      </c>
      <c r="BP1909" s="2">
        <v>22.655141968308801</v>
      </c>
      <c r="BQ1909" s="2">
        <v>22.3386289227705</v>
      </c>
      <c r="BR1909" s="2">
        <v>22.3790142198193</v>
      </c>
      <c r="BS1909" s="2">
        <v>22.561274613873199</v>
      </c>
      <c r="BT1909" s="2">
        <v>22.168238353554301</v>
      </c>
      <c r="BU1909" s="2">
        <v>22.905433558704502</v>
      </c>
      <c r="BV1909" s="2">
        <v>23.3444365928131</v>
      </c>
      <c r="BW1909" s="2">
        <v>22.709141201883899</v>
      </c>
      <c r="BX1909" s="2">
        <v>22.809780524070501</v>
      </c>
      <c r="BY1909" s="2">
        <v>23.5148945058869</v>
      </c>
      <c r="BZ1909" s="2">
        <v>23.4507206369409</v>
      </c>
      <c r="CA1909" s="2">
        <v>22.791642107071301</v>
      </c>
      <c r="CB1909" s="2">
        <v>21.935739799202601</v>
      </c>
      <c r="CC1909" s="2">
        <v>22.769761275000199</v>
      </c>
      <c r="CD1909" s="2">
        <v>22.9965757531752</v>
      </c>
      <c r="CE1909" s="2">
        <v>22.492654336794299</v>
      </c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</row>
    <row r="1910" spans="1:97">
      <c r="A1910" s="2" t="s">
        <v>16767</v>
      </c>
      <c r="B1910" s="2">
        <v>310.01754</v>
      </c>
      <c r="C1910" s="2">
        <v>6.585</v>
      </c>
      <c r="D1910" s="2" t="s">
        <v>146</v>
      </c>
      <c r="E1910" s="2" t="s">
        <v>16768</v>
      </c>
      <c r="F1910" s="2" t="s">
        <v>16769</v>
      </c>
      <c r="G1910" s="2">
        <v>200610</v>
      </c>
      <c r="H1910" s="3" t="str">
        <f>HYPERLINK("https://cloud.oebiotech.com/#/lm/network/200610", "https://cloud.oebiotech.com/#/lm/network/200610")</f>
        <v>https://cloud.oebiotech.com/#/lm/network/200610</v>
      </c>
      <c r="I1910" s="2" t="s">
        <v>16770</v>
      </c>
      <c r="J1910" s="2">
        <v>382</v>
      </c>
      <c r="K1910" s="2"/>
      <c r="L1910" s="2">
        <v>1564</v>
      </c>
      <c r="M1910" s="2"/>
      <c r="N1910" s="2"/>
      <c r="O1910" s="2"/>
      <c r="P1910" s="2"/>
      <c r="Q1910" s="2"/>
      <c r="R1910" s="2"/>
      <c r="S1910" s="2" t="s">
        <v>16771</v>
      </c>
      <c r="T1910" s="2" t="s">
        <v>16772</v>
      </c>
      <c r="U1910" s="2" t="s">
        <v>16773</v>
      </c>
      <c r="V1910" s="2" t="s">
        <v>385</v>
      </c>
      <c r="W1910" s="2" t="s">
        <v>386</v>
      </c>
      <c r="X1910" s="2" t="s">
        <v>15797</v>
      </c>
      <c r="Y1910" s="2" t="s">
        <v>388</v>
      </c>
      <c r="Z1910" s="2" t="s">
        <v>389</v>
      </c>
      <c r="AA1910" s="2" t="s">
        <v>15798</v>
      </c>
      <c r="AB1910" s="2" t="s">
        <v>5118</v>
      </c>
      <c r="AC1910" s="2">
        <v>38.909999999999997</v>
      </c>
      <c r="AD1910" s="2">
        <v>71</v>
      </c>
      <c r="AE1910" s="2">
        <v>60.54</v>
      </c>
      <c r="AF1910" s="2" t="s">
        <v>16774</v>
      </c>
      <c r="AG1910" s="2" t="s">
        <v>157</v>
      </c>
      <c r="AH1910" s="2" t="s">
        <v>16775</v>
      </c>
      <c r="AI1910" s="2">
        <v>-5.81</v>
      </c>
      <c r="AJ1910" s="2">
        <v>18.712985091388699</v>
      </c>
      <c r="AK1910" s="2">
        <v>18.4455880680657</v>
      </c>
      <c r="AL1910" s="2">
        <v>18.4666165263069</v>
      </c>
      <c r="AM1910" s="2">
        <v>18.2849807119551</v>
      </c>
      <c r="AN1910" s="2">
        <v>18.400316107027699</v>
      </c>
      <c r="AO1910" s="2">
        <v>18.511307455609298</v>
      </c>
      <c r="AP1910" s="2">
        <v>18.4584440627733</v>
      </c>
      <c r="AQ1910" s="2">
        <v>18.1913502657106</v>
      </c>
      <c r="AR1910" s="2">
        <v>15.883575475539899</v>
      </c>
      <c r="AS1910" s="2">
        <v>17.055222583262701</v>
      </c>
      <c r="AT1910" s="2">
        <v>18.366832224713502</v>
      </c>
      <c r="AU1910" s="2">
        <v>17.184520609657099</v>
      </c>
      <c r="AV1910" s="2">
        <v>17.828623574401501</v>
      </c>
      <c r="AW1910" s="2">
        <v>15.8869004200867</v>
      </c>
      <c r="AX1910" s="2">
        <v>19.838844832325101</v>
      </c>
      <c r="AY1910" s="2">
        <v>17.8126807793038</v>
      </c>
      <c r="AZ1910" s="2">
        <v>16.9866273623845</v>
      </c>
      <c r="BA1910" s="2">
        <v>20.072012101453101</v>
      </c>
      <c r="BB1910" s="2">
        <v>16.954549850967801</v>
      </c>
      <c r="BC1910" s="2">
        <v>15.5637778099681</v>
      </c>
      <c r="BD1910" s="2">
        <v>17.980737377657199</v>
      </c>
      <c r="BE1910" s="2">
        <v>19.271562010999101</v>
      </c>
      <c r="BF1910" s="2">
        <v>18.8348229034853</v>
      </c>
      <c r="BG1910" s="2">
        <v>17.735182477252099</v>
      </c>
      <c r="BH1910" s="2">
        <v>9.6233145402724691</v>
      </c>
      <c r="BI1910" s="2">
        <v>20.5310986949655</v>
      </c>
      <c r="BJ1910" s="2">
        <v>17.041334243468299</v>
      </c>
      <c r="BK1910" s="2">
        <v>9.6233145402724691</v>
      </c>
      <c r="BL1910" s="2">
        <v>13.9727527770099</v>
      </c>
      <c r="BM1910" s="2">
        <v>17.298793166031999</v>
      </c>
      <c r="BN1910" s="2">
        <v>17.745721521183199</v>
      </c>
      <c r="BO1910" s="2">
        <v>19.7277341478115</v>
      </c>
      <c r="BP1910" s="2">
        <v>14.764047402371499</v>
      </c>
      <c r="BQ1910" s="2">
        <v>18.837277194435199</v>
      </c>
      <c r="BR1910" s="2">
        <v>20.673778770179499</v>
      </c>
      <c r="BS1910" s="2">
        <v>18.203503724419299</v>
      </c>
      <c r="BT1910" s="2">
        <v>14.771840712252899</v>
      </c>
      <c r="BU1910" s="2">
        <v>19.727777499135701</v>
      </c>
      <c r="BV1910" s="2">
        <v>19.662019205147601</v>
      </c>
      <c r="BW1910" s="2">
        <v>17.405352073525201</v>
      </c>
      <c r="BX1910" s="2">
        <v>15.943101763544099</v>
      </c>
      <c r="BY1910" s="2">
        <v>18.800233844176802</v>
      </c>
      <c r="BZ1910" s="2">
        <v>17.482991148966398</v>
      </c>
      <c r="CA1910" s="2">
        <v>18.6113863049708</v>
      </c>
      <c r="CB1910" s="2">
        <v>12.9718560561301</v>
      </c>
      <c r="CC1910" s="2">
        <v>19.557956735347801</v>
      </c>
      <c r="CD1910" s="2">
        <v>13.096105668269299</v>
      </c>
      <c r="CE1910" s="2">
        <v>9.6233145402724691</v>
      </c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</row>
    <row r="1911" spans="1:97">
      <c r="A1911" s="2" t="s">
        <v>16776</v>
      </c>
      <c r="B1911" s="2">
        <v>281.99349999999998</v>
      </c>
      <c r="C1911" s="2">
        <v>3.7389999999999999</v>
      </c>
      <c r="D1911" s="2" t="s">
        <v>146</v>
      </c>
      <c r="E1911" s="2" t="s">
        <v>16777</v>
      </c>
      <c r="F1911" s="2" t="s">
        <v>16778</v>
      </c>
      <c r="G1911" s="2">
        <v>53154</v>
      </c>
      <c r="H1911" s="3" t="str">
        <f>HYPERLINK("https://cloud.oebiotech.com/#/lm/network/53154", "https://cloud.oebiotech.com/#/lm/network/53154")</f>
        <v>https://cloud.oebiotech.com/#/lm/network/53154</v>
      </c>
      <c r="I1911" s="2" t="s">
        <v>16779</v>
      </c>
      <c r="J1911" s="2">
        <v>66852</v>
      </c>
      <c r="K1911" s="2"/>
      <c r="L1911" s="2">
        <v>5245</v>
      </c>
      <c r="M1911" s="2" t="s">
        <v>16780</v>
      </c>
      <c r="N1911" s="2"/>
      <c r="O1911" s="2"/>
      <c r="P1911" s="2">
        <v>183772</v>
      </c>
      <c r="Q1911" s="2"/>
      <c r="R1911" s="2"/>
      <c r="S1911" s="2" t="s">
        <v>16781</v>
      </c>
      <c r="T1911" s="2" t="s">
        <v>16782</v>
      </c>
      <c r="U1911" s="2" t="s">
        <v>16783</v>
      </c>
      <c r="V1911" s="2" t="s">
        <v>115</v>
      </c>
      <c r="W1911" s="2" t="s">
        <v>5349</v>
      </c>
      <c r="X1911" s="2" t="s">
        <v>15939</v>
      </c>
      <c r="Y1911" s="2" t="s">
        <v>118</v>
      </c>
      <c r="Z1911" s="2" t="s">
        <v>5351</v>
      </c>
      <c r="AA1911" s="2" t="s">
        <v>15940</v>
      </c>
      <c r="AB1911" s="2" t="s">
        <v>8443</v>
      </c>
      <c r="AC1911" s="2">
        <v>38.909999999999997</v>
      </c>
      <c r="AD1911" s="2">
        <v>94.86</v>
      </c>
      <c r="AE1911" s="2">
        <v>0</v>
      </c>
      <c r="AF1911" s="2" t="s">
        <v>5614</v>
      </c>
      <c r="AG1911" s="2" t="s">
        <v>194</v>
      </c>
      <c r="AH1911" s="2" t="s">
        <v>16784</v>
      </c>
      <c r="AI1911" s="2">
        <v>1.06</v>
      </c>
      <c r="AJ1911" s="2">
        <v>17.834000749365799</v>
      </c>
      <c r="AK1911" s="2">
        <v>17.9350400724827</v>
      </c>
      <c r="AL1911" s="2">
        <v>17.851517258679898</v>
      </c>
      <c r="AM1911" s="2">
        <v>17.746838311186099</v>
      </c>
      <c r="AN1911" s="2">
        <v>17.927910107414299</v>
      </c>
      <c r="AO1911" s="2">
        <v>17.8305181160326</v>
      </c>
      <c r="AP1911" s="2">
        <v>17.836768243739598</v>
      </c>
      <c r="AQ1911" s="2">
        <v>17.932350932648799</v>
      </c>
      <c r="AR1911" s="2">
        <v>17.689689621898498</v>
      </c>
      <c r="AS1911" s="2">
        <v>17.770247958777301</v>
      </c>
      <c r="AT1911" s="2">
        <v>17.626109765833601</v>
      </c>
      <c r="AU1911" s="2">
        <v>17.924234340351301</v>
      </c>
      <c r="AV1911" s="2">
        <v>17.948264385245999</v>
      </c>
      <c r="AW1911" s="2">
        <v>17.880624847852101</v>
      </c>
      <c r="AX1911" s="2">
        <v>17.664444853942602</v>
      </c>
      <c r="AY1911" s="2">
        <v>17.724915278641301</v>
      </c>
      <c r="AZ1911" s="2">
        <v>17.6375182403393</v>
      </c>
      <c r="BA1911" s="2">
        <v>17.4600313094307</v>
      </c>
      <c r="BB1911" s="2">
        <v>17.651105522079099</v>
      </c>
      <c r="BC1911" s="2">
        <v>18.107866522289601</v>
      </c>
      <c r="BD1911" s="2">
        <v>17.605432638971099</v>
      </c>
      <c r="BE1911" s="2">
        <v>17.773490756394299</v>
      </c>
      <c r="BF1911" s="2">
        <v>17.860876558231901</v>
      </c>
      <c r="BG1911" s="2">
        <v>17.5465785946799</v>
      </c>
      <c r="BH1911" s="2">
        <v>17.832992957737702</v>
      </c>
      <c r="BI1911" s="2">
        <v>17.401243698801199</v>
      </c>
      <c r="BJ1911" s="2">
        <v>17.895239833354498</v>
      </c>
      <c r="BK1911" s="2">
        <v>17.795566438535701</v>
      </c>
      <c r="BL1911" s="2">
        <v>17.9482701466601</v>
      </c>
      <c r="BM1911" s="2">
        <v>17.728316614965099</v>
      </c>
      <c r="BN1911" s="2">
        <v>17.640823273993298</v>
      </c>
      <c r="BO1911" s="2">
        <v>17.841357830023998</v>
      </c>
      <c r="BP1911" s="2">
        <v>17.695226252099602</v>
      </c>
      <c r="BQ1911" s="2">
        <v>17.790104471457401</v>
      </c>
      <c r="BR1911" s="2">
        <v>17.596424841877599</v>
      </c>
      <c r="BS1911" s="2">
        <v>17.710181279266699</v>
      </c>
      <c r="BT1911" s="2">
        <v>17.645809057059601</v>
      </c>
      <c r="BU1911" s="2">
        <v>17.765232478459499</v>
      </c>
      <c r="BV1911" s="2">
        <v>17.502672089581399</v>
      </c>
      <c r="BW1911" s="2">
        <v>17.968815378993099</v>
      </c>
      <c r="BX1911" s="2">
        <v>17.8272621235553</v>
      </c>
      <c r="BY1911" s="2">
        <v>17.629102999050399</v>
      </c>
      <c r="BZ1911" s="2">
        <v>17.852170424622798</v>
      </c>
      <c r="CA1911" s="2">
        <v>17.630958227139299</v>
      </c>
      <c r="CB1911" s="2">
        <v>17.659700083987499</v>
      </c>
      <c r="CC1911" s="2">
        <v>17.7587596614487</v>
      </c>
      <c r="CD1911" s="2">
        <v>17.512344185670099</v>
      </c>
      <c r="CE1911" s="2">
        <v>17.817011613186999</v>
      </c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</row>
    <row r="1912" spans="1:97">
      <c r="A1912" s="2" t="s">
        <v>16785</v>
      </c>
      <c r="B1912" s="2">
        <v>318.29984999999999</v>
      </c>
      <c r="C1912" s="2">
        <v>7.9930000000000003</v>
      </c>
      <c r="D1912" s="2" t="s">
        <v>84</v>
      </c>
      <c r="E1912" s="2" t="s">
        <v>16786</v>
      </c>
      <c r="F1912" s="2" t="s">
        <v>16787</v>
      </c>
      <c r="G1912" s="2">
        <v>3186</v>
      </c>
      <c r="H1912" s="3" t="str">
        <f>HYPERLINK("https://cloud.oebiotech.com/#/lm/network/3186", "https://cloud.oebiotech.com/#/lm/network/3186")</f>
        <v>https://cloud.oebiotech.com/#/lm/network/3186</v>
      </c>
      <c r="I1912" s="2"/>
      <c r="J1912" s="2">
        <v>74694</v>
      </c>
      <c r="K1912" s="2" t="s">
        <v>16788</v>
      </c>
      <c r="L1912" s="2">
        <v>5312335</v>
      </c>
      <c r="M1912" s="2"/>
      <c r="N1912" s="2"/>
      <c r="O1912" s="2"/>
      <c r="P1912" s="2"/>
      <c r="Q1912" s="2"/>
      <c r="R1912" s="2"/>
      <c r="S1912" s="2"/>
      <c r="T1912" s="2" t="s">
        <v>16789</v>
      </c>
      <c r="U1912" s="2" t="s">
        <v>16790</v>
      </c>
      <c r="V1912" s="2" t="s">
        <v>95</v>
      </c>
      <c r="W1912" s="2" t="s">
        <v>96</v>
      </c>
      <c r="X1912" s="2" t="s">
        <v>141</v>
      </c>
      <c r="Y1912" s="2" t="s">
        <v>98</v>
      </c>
      <c r="Z1912" s="2" t="s">
        <v>99</v>
      </c>
      <c r="AA1912" s="2" t="s">
        <v>142</v>
      </c>
      <c r="AB1912" s="2" t="s">
        <v>8443</v>
      </c>
      <c r="AC1912" s="2">
        <v>38.89</v>
      </c>
      <c r="AD1912" s="2">
        <v>97.3</v>
      </c>
      <c r="AE1912" s="2">
        <v>0</v>
      </c>
      <c r="AF1912" s="2" t="s">
        <v>16791</v>
      </c>
      <c r="AG1912" s="2" t="s">
        <v>132</v>
      </c>
      <c r="AH1912" s="2" t="s">
        <v>7440</v>
      </c>
      <c r="AI1912" s="2">
        <v>1.57</v>
      </c>
      <c r="AJ1912" s="2">
        <v>23.281511576453202</v>
      </c>
      <c r="AK1912" s="2">
        <v>23.416541458379601</v>
      </c>
      <c r="AL1912" s="2">
        <v>23.3330102513893</v>
      </c>
      <c r="AM1912" s="2">
        <v>23.3497504103537</v>
      </c>
      <c r="AN1912" s="2">
        <v>23.595310032377899</v>
      </c>
      <c r="AO1912" s="2">
        <v>23.505608949941301</v>
      </c>
      <c r="AP1912" s="2">
        <v>23.420309484272501</v>
      </c>
      <c r="AQ1912" s="2">
        <v>23.374040681259299</v>
      </c>
      <c r="AR1912" s="2">
        <v>22.2334536028564</v>
      </c>
      <c r="AS1912" s="2">
        <v>21.844377194745501</v>
      </c>
      <c r="AT1912" s="2">
        <v>20.4214729246738</v>
      </c>
      <c r="AU1912" s="2">
        <v>20.408200675608999</v>
      </c>
      <c r="AV1912" s="2">
        <v>19.909612656804502</v>
      </c>
      <c r="AW1912" s="2">
        <v>21.338330360756501</v>
      </c>
      <c r="AX1912" s="2">
        <v>22.032229623410501</v>
      </c>
      <c r="AY1912" s="2">
        <v>20.652676168577099</v>
      </c>
      <c r="AZ1912" s="2">
        <v>18.809291117836</v>
      </c>
      <c r="BA1912" s="2">
        <v>20.697081692072398</v>
      </c>
      <c r="BB1912" s="2">
        <v>21.322260453661801</v>
      </c>
      <c r="BC1912" s="2">
        <v>21.467233178131</v>
      </c>
      <c r="BD1912" s="2">
        <v>19.667044423668699</v>
      </c>
      <c r="BE1912" s="2">
        <v>25.3157654938015</v>
      </c>
      <c r="BF1912" s="2">
        <v>20.338547014246199</v>
      </c>
      <c r="BG1912" s="2">
        <v>20.1628814527873</v>
      </c>
      <c r="BH1912" s="2">
        <v>19.7613198521138</v>
      </c>
      <c r="BI1912" s="2">
        <v>19.291074154513101</v>
      </c>
      <c r="BJ1912" s="2">
        <v>20.3302238984223</v>
      </c>
      <c r="BK1912" s="2">
        <v>20.399804847113899</v>
      </c>
      <c r="BL1912" s="2">
        <v>19.189544974887401</v>
      </c>
      <c r="BM1912" s="2">
        <v>18.691490068532602</v>
      </c>
      <c r="BN1912" s="2">
        <v>20.033948332782</v>
      </c>
      <c r="BO1912" s="2">
        <v>19.0532610489132</v>
      </c>
      <c r="BP1912" s="2">
        <v>19.8321909343586</v>
      </c>
      <c r="BQ1912" s="2">
        <v>19.053123324636601</v>
      </c>
      <c r="BR1912" s="2">
        <v>21.9094535723661</v>
      </c>
      <c r="BS1912" s="2">
        <v>20.0668471196058</v>
      </c>
      <c r="BT1912" s="2">
        <v>21.062831701644299</v>
      </c>
      <c r="BU1912" s="2">
        <v>20.011896714871</v>
      </c>
      <c r="BV1912" s="2">
        <v>21.133518835270898</v>
      </c>
      <c r="BW1912" s="2">
        <v>19.926581580028</v>
      </c>
      <c r="BX1912" s="2">
        <v>21.592539026571</v>
      </c>
      <c r="BY1912" s="2">
        <v>25.643934235316799</v>
      </c>
      <c r="BZ1912" s="2">
        <v>19.7240897939643</v>
      </c>
      <c r="CA1912" s="2">
        <v>20.087174250589101</v>
      </c>
      <c r="CB1912" s="2">
        <v>22.337176990376499</v>
      </c>
      <c r="CC1912" s="2">
        <v>20.580453580012001</v>
      </c>
      <c r="CD1912" s="2">
        <v>21.176626185095799</v>
      </c>
      <c r="CE1912" s="2">
        <v>21.717298158974799</v>
      </c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</row>
    <row r="1913" spans="1:97">
      <c r="A1913" s="2" t="s">
        <v>16792</v>
      </c>
      <c r="B1913" s="2">
        <v>132.08064999999999</v>
      </c>
      <c r="C1913" s="2">
        <v>3.6819999999999999</v>
      </c>
      <c r="D1913" s="2" t="s">
        <v>84</v>
      </c>
      <c r="E1913" s="2" t="s">
        <v>16793</v>
      </c>
      <c r="F1913" s="2" t="s">
        <v>16794</v>
      </c>
      <c r="G1913" s="2">
        <v>58300</v>
      </c>
      <c r="H1913" s="3" t="str">
        <f>HYPERLINK("https://cloud.oebiotech.com/#/lm/network/58300", "https://cloud.oebiotech.com/#/lm/network/58300")</f>
        <v>https://cloud.oebiotech.com/#/lm/network/58300</v>
      </c>
      <c r="I1913" s="2" t="s">
        <v>16795</v>
      </c>
      <c r="J1913" s="2">
        <v>89793</v>
      </c>
      <c r="K1913" s="2"/>
      <c r="L1913" s="2">
        <v>12581</v>
      </c>
      <c r="M1913" s="2"/>
      <c r="N1913" s="2"/>
      <c r="O1913" s="2"/>
      <c r="P1913" s="2">
        <v>85426</v>
      </c>
      <c r="Q1913" s="2"/>
      <c r="R1913" s="2"/>
      <c r="S1913" s="2" t="s">
        <v>16796</v>
      </c>
      <c r="T1913" s="2" t="s">
        <v>16797</v>
      </c>
      <c r="U1913" s="2" t="s">
        <v>16798</v>
      </c>
      <c r="V1913" s="2" t="s">
        <v>385</v>
      </c>
      <c r="W1913" s="2" t="s">
        <v>386</v>
      </c>
      <c r="X1913" s="2" t="s">
        <v>375</v>
      </c>
      <c r="Y1913" s="2" t="s">
        <v>388</v>
      </c>
      <c r="Z1913" s="2" t="s">
        <v>389</v>
      </c>
      <c r="AA1913" s="2"/>
      <c r="AB1913" s="2" t="s">
        <v>8443</v>
      </c>
      <c r="AC1913" s="2">
        <v>38.880000000000003</v>
      </c>
      <c r="AD1913" s="2">
        <v>96.95</v>
      </c>
      <c r="AE1913" s="2">
        <v>0</v>
      </c>
      <c r="AF1913" s="2" t="s">
        <v>16799</v>
      </c>
      <c r="AG1913" s="2" t="s">
        <v>103</v>
      </c>
      <c r="AH1913" s="2" t="s">
        <v>16800</v>
      </c>
      <c r="AI1913" s="2">
        <v>1.51</v>
      </c>
      <c r="AJ1913" s="2">
        <v>23.710409334537399</v>
      </c>
      <c r="AK1913" s="2">
        <v>23.791400192486002</v>
      </c>
      <c r="AL1913" s="2">
        <v>23.761769158486199</v>
      </c>
      <c r="AM1913" s="2">
        <v>23.883107828084899</v>
      </c>
      <c r="AN1913" s="2">
        <v>23.845756839980101</v>
      </c>
      <c r="AO1913" s="2">
        <v>23.8758853857106</v>
      </c>
      <c r="AP1913" s="2">
        <v>23.800374726349599</v>
      </c>
      <c r="AQ1913" s="2">
        <v>24.027589331980401</v>
      </c>
      <c r="AR1913" s="2">
        <v>22.9688413830978</v>
      </c>
      <c r="AS1913" s="2">
        <v>22.7512296312843</v>
      </c>
      <c r="AT1913" s="2">
        <v>23.5043240923906</v>
      </c>
      <c r="AU1913" s="2">
        <v>22.828586370846601</v>
      </c>
      <c r="AV1913" s="2">
        <v>23.581860157080499</v>
      </c>
      <c r="AW1913" s="2">
        <v>23.743359654605602</v>
      </c>
      <c r="AX1913" s="2">
        <v>23.378718261484899</v>
      </c>
      <c r="AY1913" s="2">
        <v>23.353164923807899</v>
      </c>
      <c r="AZ1913" s="2">
        <v>23.5871967357348</v>
      </c>
      <c r="BA1913" s="2">
        <v>23.269197439762198</v>
      </c>
      <c r="BB1913" s="2">
        <v>24.216640533030901</v>
      </c>
      <c r="BC1913" s="2">
        <v>24.1668309605903</v>
      </c>
      <c r="BD1913" s="2">
        <v>23.373973187262099</v>
      </c>
      <c r="BE1913" s="2">
        <v>24.324355593280899</v>
      </c>
      <c r="BF1913" s="2">
        <v>23.960772660203698</v>
      </c>
      <c r="BG1913" s="2">
        <v>24.117431786128101</v>
      </c>
      <c r="BH1913" s="2">
        <v>23.7702411785286</v>
      </c>
      <c r="BI1913" s="2">
        <v>23.7117039551894</v>
      </c>
      <c r="BJ1913" s="2">
        <v>24.1563757685079</v>
      </c>
      <c r="BK1913" s="2">
        <v>23.7898339294259</v>
      </c>
      <c r="BL1913" s="2">
        <v>23.195789928463402</v>
      </c>
      <c r="BM1913" s="2">
        <v>24.1412471119373</v>
      </c>
      <c r="BN1913" s="2">
        <v>24.009993113055302</v>
      </c>
      <c r="BO1913" s="2">
        <v>23.531113884990301</v>
      </c>
      <c r="BP1913" s="2">
        <v>23.655006098786099</v>
      </c>
      <c r="BQ1913" s="2">
        <v>24.025380563876698</v>
      </c>
      <c r="BR1913" s="2">
        <v>23.8495401802417</v>
      </c>
      <c r="BS1913" s="2">
        <v>23.685841562002999</v>
      </c>
      <c r="BT1913" s="2">
        <v>23.468115767861502</v>
      </c>
      <c r="BU1913" s="2">
        <v>22.9633424321717</v>
      </c>
      <c r="BV1913" s="2">
        <v>24.150781314198799</v>
      </c>
      <c r="BW1913" s="2">
        <v>23.111860517706798</v>
      </c>
      <c r="BX1913" s="2">
        <v>23.941260368720499</v>
      </c>
      <c r="BY1913" s="2">
        <v>24.162698673687501</v>
      </c>
      <c r="BZ1913" s="2">
        <v>24.009597885116399</v>
      </c>
      <c r="CA1913" s="2">
        <v>24.212996519095</v>
      </c>
      <c r="CB1913" s="2">
        <v>23.771106907958099</v>
      </c>
      <c r="CC1913" s="2">
        <v>23.404322319339101</v>
      </c>
      <c r="CD1913" s="2">
        <v>24.3470611535794</v>
      </c>
      <c r="CE1913" s="2">
        <v>24.076215538087499</v>
      </c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</row>
    <row r="1914" spans="1:97">
      <c r="A1914" s="2" t="s">
        <v>16801</v>
      </c>
      <c r="B1914" s="2">
        <v>169.01405</v>
      </c>
      <c r="C1914" s="2">
        <v>4.0090000000000003</v>
      </c>
      <c r="D1914" s="2" t="s">
        <v>146</v>
      </c>
      <c r="E1914" s="2" t="s">
        <v>16802</v>
      </c>
      <c r="F1914" s="2" t="s">
        <v>16803</v>
      </c>
      <c r="G1914" s="2">
        <v>208074</v>
      </c>
      <c r="H1914" s="3" t="str">
        <f>HYPERLINK("https://cloud.oebiotech.com/#/lm/network/208074", "https://cloud.oebiotech.com/#/lm/network/208074")</f>
        <v>https://cloud.oebiotech.com/#/lm/network/208074</v>
      </c>
      <c r="I1914" s="2" t="s">
        <v>16804</v>
      </c>
      <c r="J1914" s="2"/>
      <c r="K1914" s="2"/>
      <c r="L1914" s="2">
        <v>19689726</v>
      </c>
      <c r="M1914" s="2"/>
      <c r="N1914" s="2"/>
      <c r="O1914" s="2"/>
      <c r="P1914" s="2"/>
      <c r="Q1914" s="2"/>
      <c r="R1914" s="2"/>
      <c r="S1914" s="2"/>
      <c r="T1914" s="2" t="s">
        <v>16805</v>
      </c>
      <c r="U1914" s="2" t="s">
        <v>16806</v>
      </c>
      <c r="V1914" s="2" t="s">
        <v>338</v>
      </c>
      <c r="W1914" s="2" t="s">
        <v>339</v>
      </c>
      <c r="X1914" s="2" t="s">
        <v>340</v>
      </c>
      <c r="Y1914" s="2" t="s">
        <v>341</v>
      </c>
      <c r="Z1914" s="2" t="s">
        <v>341</v>
      </c>
      <c r="AA1914" s="2" t="s">
        <v>342</v>
      </c>
      <c r="AB1914" s="2" t="s">
        <v>8443</v>
      </c>
      <c r="AC1914" s="2">
        <v>38.880000000000003</v>
      </c>
      <c r="AD1914" s="2">
        <v>95.3</v>
      </c>
      <c r="AE1914" s="2">
        <v>0</v>
      </c>
      <c r="AF1914" s="2" t="s">
        <v>5614</v>
      </c>
      <c r="AG1914" s="2" t="s">
        <v>157</v>
      </c>
      <c r="AH1914" s="2" t="s">
        <v>16807</v>
      </c>
      <c r="AI1914" s="2">
        <v>1.18</v>
      </c>
      <c r="AJ1914" s="2">
        <v>16.384552409370201</v>
      </c>
      <c r="AK1914" s="2">
        <v>16.662155420044801</v>
      </c>
      <c r="AL1914" s="2">
        <v>15.8750404024522</v>
      </c>
      <c r="AM1914" s="2">
        <v>16.003366598632699</v>
      </c>
      <c r="AN1914" s="2">
        <v>15.8296560980791</v>
      </c>
      <c r="AO1914" s="2">
        <v>16.494842930860401</v>
      </c>
      <c r="AP1914" s="2">
        <v>15.827566247080901</v>
      </c>
      <c r="AQ1914" s="2">
        <v>15.7761734021161</v>
      </c>
      <c r="AR1914" s="2">
        <v>13.167772503482199</v>
      </c>
      <c r="AS1914" s="2">
        <v>12.366726549372</v>
      </c>
      <c r="AT1914" s="2">
        <v>9.6233145402724691</v>
      </c>
      <c r="AU1914" s="2">
        <v>11.982697734856901</v>
      </c>
      <c r="AV1914" s="2">
        <v>9.6233145402724691</v>
      </c>
      <c r="AW1914" s="2">
        <v>11.719897867274801</v>
      </c>
      <c r="AX1914" s="2">
        <v>9.6233145402724691</v>
      </c>
      <c r="AY1914" s="2">
        <v>9.6233145402724691</v>
      </c>
      <c r="AZ1914" s="2">
        <v>9.6233145402724691</v>
      </c>
      <c r="BA1914" s="2">
        <v>13.210339546648299</v>
      </c>
      <c r="BB1914" s="2">
        <v>17.350595140334299</v>
      </c>
      <c r="BC1914" s="2">
        <v>19.072614226566099</v>
      </c>
      <c r="BD1914" s="2">
        <v>12.052561258438599</v>
      </c>
      <c r="BE1914" s="2">
        <v>9.6233145402724691</v>
      </c>
      <c r="BF1914" s="2">
        <v>9.6233145402724691</v>
      </c>
      <c r="BG1914" s="2">
        <v>18.044502289680501</v>
      </c>
      <c r="BH1914" s="2">
        <v>11.8832656885309</v>
      </c>
      <c r="BI1914" s="2">
        <v>9.6233145402724691</v>
      </c>
      <c r="BJ1914" s="2">
        <v>13.6624525336182</v>
      </c>
      <c r="BK1914" s="2">
        <v>9.6233145402724691</v>
      </c>
      <c r="BL1914" s="2">
        <v>9.6233145402724691</v>
      </c>
      <c r="BM1914" s="2">
        <v>11.7915373544666</v>
      </c>
      <c r="BN1914" s="2">
        <v>9.6233145402724691</v>
      </c>
      <c r="BO1914" s="2">
        <v>12.235089781443399</v>
      </c>
      <c r="BP1914" s="2">
        <v>9.6233145402724691</v>
      </c>
      <c r="BQ1914" s="2">
        <v>9.6233145402724691</v>
      </c>
      <c r="BR1914" s="2">
        <v>14.024078265028599</v>
      </c>
      <c r="BS1914" s="2">
        <v>9.6233145402724691</v>
      </c>
      <c r="BT1914" s="2">
        <v>17.477937596278299</v>
      </c>
      <c r="BU1914" s="2">
        <v>9.6233145402724691</v>
      </c>
      <c r="BV1914" s="2">
        <v>18.460751681184401</v>
      </c>
      <c r="BW1914" s="2">
        <v>17.8244985048694</v>
      </c>
      <c r="BX1914" s="2">
        <v>9.6233145402724691</v>
      </c>
      <c r="BY1914" s="2">
        <v>12.833884292636901</v>
      </c>
      <c r="BZ1914" s="2">
        <v>18.232862192226602</v>
      </c>
      <c r="CA1914" s="2">
        <v>18.384855910017102</v>
      </c>
      <c r="CB1914" s="2">
        <v>17.4348941804747</v>
      </c>
      <c r="CC1914" s="2">
        <v>12.1190772919932</v>
      </c>
      <c r="CD1914" s="2">
        <v>9.6233145402724691</v>
      </c>
      <c r="CE1914" s="2">
        <v>12.172527518700001</v>
      </c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</row>
    <row r="1915" spans="1:97">
      <c r="A1915" s="2" t="s">
        <v>16808</v>
      </c>
      <c r="B1915" s="2">
        <v>239.05323999999999</v>
      </c>
      <c r="C1915" s="2">
        <v>4.992</v>
      </c>
      <c r="D1915" s="2" t="s">
        <v>146</v>
      </c>
      <c r="E1915" s="2" t="s">
        <v>16809</v>
      </c>
      <c r="F1915" s="2" t="s">
        <v>16810</v>
      </c>
      <c r="G1915" s="2">
        <v>53127</v>
      </c>
      <c r="H1915" s="3" t="str">
        <f>HYPERLINK("https://cloud.oebiotech.com/#/lm/network/53127", "https://cloud.oebiotech.com/#/lm/network/53127")</f>
        <v>https://cloud.oebiotech.com/#/lm/network/53127</v>
      </c>
      <c r="I1915" s="2" t="s">
        <v>16811</v>
      </c>
      <c r="J1915" s="2">
        <v>85179</v>
      </c>
      <c r="K1915" s="2"/>
      <c r="L1915" s="2">
        <v>5394</v>
      </c>
      <c r="M1915" s="2"/>
      <c r="N1915" s="2"/>
      <c r="O1915" s="2"/>
      <c r="P1915" s="2">
        <v>72564</v>
      </c>
      <c r="Q1915" s="2"/>
      <c r="R1915" s="2"/>
      <c r="S1915" s="2" t="s">
        <v>16812</v>
      </c>
      <c r="T1915" s="2" t="s">
        <v>16813</v>
      </c>
      <c r="U1915" s="2" t="s">
        <v>16814</v>
      </c>
      <c r="V1915" s="2" t="s">
        <v>553</v>
      </c>
      <c r="W1915" s="2" t="s">
        <v>16815</v>
      </c>
      <c r="X1915" s="2" t="s">
        <v>375</v>
      </c>
      <c r="Y1915" s="2" t="s">
        <v>556</v>
      </c>
      <c r="Z1915" s="2" t="s">
        <v>16816</v>
      </c>
      <c r="AA1915" s="2"/>
      <c r="AB1915" s="2" t="s">
        <v>8443</v>
      </c>
      <c r="AC1915" s="2">
        <v>38.880000000000003</v>
      </c>
      <c r="AD1915" s="2">
        <v>94.39</v>
      </c>
      <c r="AE1915" s="2">
        <v>0</v>
      </c>
      <c r="AF1915" s="2" t="s">
        <v>5614</v>
      </c>
      <c r="AG1915" s="2" t="s">
        <v>157</v>
      </c>
      <c r="AH1915" s="2" t="s">
        <v>16817</v>
      </c>
      <c r="AI1915" s="2">
        <v>0.84</v>
      </c>
      <c r="AJ1915" s="2">
        <v>16.677646013212399</v>
      </c>
      <c r="AK1915" s="2">
        <v>16.895131116697598</v>
      </c>
      <c r="AL1915" s="2">
        <v>16.531564831973402</v>
      </c>
      <c r="AM1915" s="2">
        <v>16.4912089369837</v>
      </c>
      <c r="AN1915" s="2">
        <v>16.563684577121901</v>
      </c>
      <c r="AO1915" s="2">
        <v>17.008758071312201</v>
      </c>
      <c r="AP1915" s="2">
        <v>16.406738973530501</v>
      </c>
      <c r="AQ1915" s="2">
        <v>16.335513179538498</v>
      </c>
      <c r="AR1915" s="2">
        <v>18.3901360749161</v>
      </c>
      <c r="AS1915" s="2">
        <v>18.2754455280907</v>
      </c>
      <c r="AT1915" s="2">
        <v>18.275667537079698</v>
      </c>
      <c r="AU1915" s="2">
        <v>18.295479552221401</v>
      </c>
      <c r="AV1915" s="2">
        <v>17.4352458046266</v>
      </c>
      <c r="AW1915" s="2">
        <v>18.4186011289829</v>
      </c>
      <c r="AX1915" s="2">
        <v>17.1312097845877</v>
      </c>
      <c r="AY1915" s="2">
        <v>17.9851922044713</v>
      </c>
      <c r="AZ1915" s="2">
        <v>18.556261266406601</v>
      </c>
      <c r="BA1915" s="2">
        <v>17.188088563655899</v>
      </c>
      <c r="BB1915" s="2">
        <v>18.023740656899498</v>
      </c>
      <c r="BC1915" s="2">
        <v>18.215525984942499</v>
      </c>
      <c r="BD1915" s="2">
        <v>17.9955153240379</v>
      </c>
      <c r="BE1915" s="2">
        <v>18.298744354660698</v>
      </c>
      <c r="BF1915" s="2">
        <v>17.962791987142001</v>
      </c>
      <c r="BG1915" s="2">
        <v>18.3162284463105</v>
      </c>
      <c r="BH1915" s="2">
        <v>17.939858840223501</v>
      </c>
      <c r="BI1915" s="2">
        <v>18.307985255194399</v>
      </c>
      <c r="BJ1915" s="2">
        <v>16.900513895911299</v>
      </c>
      <c r="BK1915" s="2">
        <v>17.251015589526698</v>
      </c>
      <c r="BL1915" s="2">
        <v>17.264756597805999</v>
      </c>
      <c r="BM1915" s="2">
        <v>17.327779538450802</v>
      </c>
      <c r="BN1915" s="2">
        <v>16.586826889947901</v>
      </c>
      <c r="BO1915" s="2">
        <v>17.3612627248087</v>
      </c>
      <c r="BP1915" s="2">
        <v>17.113888539924499</v>
      </c>
      <c r="BQ1915" s="2">
        <v>17.7436122237986</v>
      </c>
      <c r="BR1915" s="2">
        <v>18.238818060983501</v>
      </c>
      <c r="BS1915" s="2">
        <v>17.702507666067</v>
      </c>
      <c r="BT1915" s="2">
        <v>17.107779292554401</v>
      </c>
      <c r="BU1915" s="2">
        <v>18.105399687206098</v>
      </c>
      <c r="BV1915" s="2">
        <v>17.097351751425901</v>
      </c>
      <c r="BW1915" s="2">
        <v>16.945447608632801</v>
      </c>
      <c r="BX1915" s="2">
        <v>17.060937162752001</v>
      </c>
      <c r="BY1915" s="2">
        <v>16.786988217748998</v>
      </c>
      <c r="BZ1915" s="2">
        <v>18.0084811464193</v>
      </c>
      <c r="CA1915" s="2">
        <v>17.471205087182799</v>
      </c>
      <c r="CB1915" s="2">
        <v>17.994746212804198</v>
      </c>
      <c r="CC1915" s="2">
        <v>17.4258185944011</v>
      </c>
      <c r="CD1915" s="2">
        <v>17.458300307329999</v>
      </c>
      <c r="CE1915" s="2">
        <v>17.3485883829212</v>
      </c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</row>
    <row r="1916" spans="1:97">
      <c r="A1916" s="2" t="s">
        <v>16818</v>
      </c>
      <c r="B1916" s="2">
        <v>532.30132000000003</v>
      </c>
      <c r="C1916" s="2">
        <v>11.84</v>
      </c>
      <c r="D1916" s="2" t="s">
        <v>146</v>
      </c>
      <c r="E1916" s="2" t="s">
        <v>16819</v>
      </c>
      <c r="F1916" s="2" t="s">
        <v>16820</v>
      </c>
      <c r="G1916" s="2">
        <v>27903</v>
      </c>
      <c r="H1916" s="3" t="str">
        <f>HYPERLINK("https://cloud.oebiotech.com/#/lm/network/27903", "https://cloud.oebiotech.com/#/lm/network/27903")</f>
        <v>https://cloud.oebiotech.com/#/lm/network/27903</v>
      </c>
      <c r="I1916" s="2"/>
      <c r="J1916" s="2"/>
      <c r="K1916" s="2" t="s">
        <v>16821</v>
      </c>
      <c r="L1916" s="2">
        <v>134812361</v>
      </c>
      <c r="M1916" s="2"/>
      <c r="N1916" s="2"/>
      <c r="O1916" s="2"/>
      <c r="P1916" s="2">
        <v>142750</v>
      </c>
      <c r="Q1916" s="2"/>
      <c r="R1916" s="2"/>
      <c r="S1916" s="2"/>
      <c r="T1916" s="2" t="s">
        <v>16822</v>
      </c>
      <c r="U1916" s="2" t="s">
        <v>16823</v>
      </c>
      <c r="V1916" s="2" t="s">
        <v>95</v>
      </c>
      <c r="W1916" s="2" t="s">
        <v>202</v>
      </c>
      <c r="X1916" s="2" t="s">
        <v>327</v>
      </c>
      <c r="Y1916" s="2" t="s">
        <v>98</v>
      </c>
      <c r="Z1916" s="2" t="s">
        <v>204</v>
      </c>
      <c r="AA1916" s="2" t="s">
        <v>328</v>
      </c>
      <c r="AB1916" s="2" t="s">
        <v>8443</v>
      </c>
      <c r="AC1916" s="2">
        <v>38.880000000000003</v>
      </c>
      <c r="AD1916" s="2">
        <v>81.75</v>
      </c>
      <c r="AE1916" s="2">
        <v>0</v>
      </c>
      <c r="AF1916" s="2" t="s">
        <v>16824</v>
      </c>
      <c r="AG1916" s="2" t="s">
        <v>993</v>
      </c>
      <c r="AH1916" s="2" t="s">
        <v>16825</v>
      </c>
      <c r="AI1916" s="2">
        <v>5.07</v>
      </c>
      <c r="AJ1916" s="2">
        <v>18.232968776303299</v>
      </c>
      <c r="AK1916" s="2">
        <v>18.451063131392502</v>
      </c>
      <c r="AL1916" s="2">
        <v>18.068252934393101</v>
      </c>
      <c r="AM1916" s="2">
        <v>17.826916859764701</v>
      </c>
      <c r="AN1916" s="2">
        <v>17.989499888398498</v>
      </c>
      <c r="AO1916" s="2">
        <v>18.515047871406601</v>
      </c>
      <c r="AP1916" s="2">
        <v>18.4989035355769</v>
      </c>
      <c r="AQ1916" s="2">
        <v>18.323969660493098</v>
      </c>
      <c r="AR1916" s="2">
        <v>18.442611925172599</v>
      </c>
      <c r="AS1916" s="2">
        <v>16.966143110426401</v>
      </c>
      <c r="AT1916" s="2">
        <v>17.273653201799</v>
      </c>
      <c r="AU1916" s="2">
        <v>16.902705317428801</v>
      </c>
      <c r="AV1916" s="2">
        <v>17.407124586522499</v>
      </c>
      <c r="AW1916" s="2">
        <v>17.442689064974701</v>
      </c>
      <c r="AX1916" s="2">
        <v>17.899822147740998</v>
      </c>
      <c r="AY1916" s="2">
        <v>17.6583559207868</v>
      </c>
      <c r="AZ1916" s="2">
        <v>17.937760467295501</v>
      </c>
      <c r="BA1916" s="2">
        <v>15.591350239055799</v>
      </c>
      <c r="BB1916" s="2">
        <v>17.2663843128935</v>
      </c>
      <c r="BC1916" s="2">
        <v>18.474517243391901</v>
      </c>
      <c r="BD1916" s="2">
        <v>18.076996392229301</v>
      </c>
      <c r="BE1916" s="2">
        <v>18.679033139818099</v>
      </c>
      <c r="BF1916" s="2">
        <v>17.5166931044526</v>
      </c>
      <c r="BG1916" s="2">
        <v>16.954564390627901</v>
      </c>
      <c r="BH1916" s="2">
        <v>19.156971719342401</v>
      </c>
      <c r="BI1916" s="2">
        <v>17.195105618717701</v>
      </c>
      <c r="BJ1916" s="2">
        <v>17.0884565893946</v>
      </c>
      <c r="BK1916" s="2">
        <v>17.818424149383901</v>
      </c>
      <c r="BL1916" s="2">
        <v>17.970371854003599</v>
      </c>
      <c r="BM1916" s="2">
        <v>17.895822987662001</v>
      </c>
      <c r="BN1916" s="2">
        <v>17.8884736338624</v>
      </c>
      <c r="BO1916" s="2">
        <v>17.377517358586999</v>
      </c>
      <c r="BP1916" s="2">
        <v>17.542312771394201</v>
      </c>
      <c r="BQ1916" s="2">
        <v>17.5791134863879</v>
      </c>
      <c r="BR1916" s="2">
        <v>17.561317260053102</v>
      </c>
      <c r="BS1916" s="2">
        <v>17.736115633971799</v>
      </c>
      <c r="BT1916" s="2">
        <v>17.120394833181699</v>
      </c>
      <c r="BU1916" s="2">
        <v>17.484660072207301</v>
      </c>
      <c r="BV1916" s="2">
        <v>18.0958601022833</v>
      </c>
      <c r="BW1916" s="2">
        <v>17.475363433306701</v>
      </c>
      <c r="BX1916" s="2">
        <v>18.1474946732767</v>
      </c>
      <c r="BY1916" s="2">
        <v>18.860417183247101</v>
      </c>
      <c r="BZ1916" s="2">
        <v>17.284390449542101</v>
      </c>
      <c r="CA1916" s="2">
        <v>17.201825081240301</v>
      </c>
      <c r="CB1916" s="2">
        <v>16.953639126367101</v>
      </c>
      <c r="CC1916" s="2">
        <v>17.1500168653995</v>
      </c>
      <c r="CD1916" s="2">
        <v>17.441130324318699</v>
      </c>
      <c r="CE1916" s="2">
        <v>17.201615292905899</v>
      </c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</row>
    <row r="1917" spans="1:97">
      <c r="A1917" s="2" t="s">
        <v>16826</v>
      </c>
      <c r="B1917" s="2">
        <v>511.39954</v>
      </c>
      <c r="C1917" s="2">
        <v>13.672000000000001</v>
      </c>
      <c r="D1917" s="2" t="s">
        <v>146</v>
      </c>
      <c r="E1917" s="2" t="s">
        <v>16827</v>
      </c>
      <c r="F1917" s="2" t="s">
        <v>16828</v>
      </c>
      <c r="G1917" s="2">
        <v>2082</v>
      </c>
      <c r="H1917" s="3" t="str">
        <f>HYPERLINK("https://cloud.oebiotech.com/#/lm/network/2082", "https://cloud.oebiotech.com/#/lm/network/2082")</f>
        <v>https://cloud.oebiotech.com/#/lm/network/2082</v>
      </c>
      <c r="I1917" s="2"/>
      <c r="J1917" s="2">
        <v>35741</v>
      </c>
      <c r="K1917" s="2" t="s">
        <v>16829</v>
      </c>
      <c r="L1917" s="2">
        <v>5282993</v>
      </c>
      <c r="M1917" s="2"/>
      <c r="N1917" s="2"/>
      <c r="O1917" s="2"/>
      <c r="P1917" s="2">
        <v>138494</v>
      </c>
      <c r="Q1917" s="2"/>
      <c r="R1917" s="2"/>
      <c r="S1917" s="2"/>
      <c r="T1917" s="2" t="s">
        <v>16830</v>
      </c>
      <c r="U1917" s="2" t="s">
        <v>16831</v>
      </c>
      <c r="V1917" s="2" t="s">
        <v>95</v>
      </c>
      <c r="W1917" s="2" t="s">
        <v>96</v>
      </c>
      <c r="X1917" s="2" t="s">
        <v>141</v>
      </c>
      <c r="Y1917" s="2" t="s">
        <v>98</v>
      </c>
      <c r="Z1917" s="2" t="s">
        <v>99</v>
      </c>
      <c r="AA1917" s="2" t="s">
        <v>142</v>
      </c>
      <c r="AB1917" s="2" t="s">
        <v>8443</v>
      </c>
      <c r="AC1917" s="2">
        <v>38.869999999999997</v>
      </c>
      <c r="AD1917" s="2">
        <v>98.14</v>
      </c>
      <c r="AE1917" s="2">
        <v>0</v>
      </c>
      <c r="AF1917" s="2" t="s">
        <v>16832</v>
      </c>
      <c r="AG1917" s="2" t="s">
        <v>3880</v>
      </c>
      <c r="AH1917" s="2" t="s">
        <v>16833</v>
      </c>
      <c r="AI1917" s="2">
        <v>1.76</v>
      </c>
      <c r="AJ1917" s="2">
        <v>20.8891015552888</v>
      </c>
      <c r="AK1917" s="2">
        <v>20.8969776767971</v>
      </c>
      <c r="AL1917" s="2">
        <v>20.822536654851898</v>
      </c>
      <c r="AM1917" s="2">
        <v>20.559480992990501</v>
      </c>
      <c r="AN1917" s="2">
        <v>20.829077601645398</v>
      </c>
      <c r="AO1917" s="2">
        <v>20.6904708500998</v>
      </c>
      <c r="AP1917" s="2">
        <v>20.881792245803901</v>
      </c>
      <c r="AQ1917" s="2">
        <v>20.7853252241501</v>
      </c>
      <c r="AR1917" s="2">
        <v>19.748394764273101</v>
      </c>
      <c r="AS1917" s="2">
        <v>20.426515393083299</v>
      </c>
      <c r="AT1917" s="2">
        <v>20.6497263218094</v>
      </c>
      <c r="AU1917" s="2">
        <v>19.129368352408999</v>
      </c>
      <c r="AV1917" s="2">
        <v>18.9610231230883</v>
      </c>
      <c r="AW1917" s="2">
        <v>16.861008491255902</v>
      </c>
      <c r="AX1917" s="2">
        <v>20.0943471784427</v>
      </c>
      <c r="AY1917" s="2">
        <v>19.586750727023102</v>
      </c>
      <c r="AZ1917" s="2">
        <v>20.321288860256999</v>
      </c>
      <c r="BA1917" s="2">
        <v>20.612799697951299</v>
      </c>
      <c r="BB1917" s="2">
        <v>20.024738664816098</v>
      </c>
      <c r="BC1917" s="2">
        <v>20.7489337311874</v>
      </c>
      <c r="BD1917" s="2">
        <v>19.7273031392094</v>
      </c>
      <c r="BE1917" s="2">
        <v>21.2827968286255</v>
      </c>
      <c r="BF1917" s="2">
        <v>18.699215063037499</v>
      </c>
      <c r="BG1917" s="2">
        <v>21.027882083165899</v>
      </c>
      <c r="BH1917" s="2">
        <v>20.030844191932001</v>
      </c>
      <c r="BI1917" s="2">
        <v>20.019604491357999</v>
      </c>
      <c r="BJ1917" s="2">
        <v>20.7898761058931</v>
      </c>
      <c r="BK1917" s="2">
        <v>18.007082580534998</v>
      </c>
      <c r="BL1917" s="2">
        <v>21.131451693191998</v>
      </c>
      <c r="BM1917" s="2">
        <v>21.1689017990042</v>
      </c>
      <c r="BN1917" s="2">
        <v>19.273983407558699</v>
      </c>
      <c r="BO1917" s="2">
        <v>20.073843645618801</v>
      </c>
      <c r="BP1917" s="2">
        <v>19.394500082878199</v>
      </c>
      <c r="BQ1917" s="2">
        <v>17.292227614399401</v>
      </c>
      <c r="BR1917" s="2">
        <v>19.763449571244099</v>
      </c>
      <c r="BS1917" s="2">
        <v>19.480406034921099</v>
      </c>
      <c r="BT1917" s="2">
        <v>20.982850263964099</v>
      </c>
      <c r="BU1917" s="2">
        <v>20.757036475881499</v>
      </c>
      <c r="BV1917" s="2">
        <v>19.842551547795299</v>
      </c>
      <c r="BW1917" s="2">
        <v>19.682131016624499</v>
      </c>
      <c r="BX1917" s="2">
        <v>20.596604734126299</v>
      </c>
      <c r="BY1917" s="2">
        <v>22.086852143657602</v>
      </c>
      <c r="BZ1917" s="2">
        <v>19.648084048656902</v>
      </c>
      <c r="CA1917" s="2">
        <v>20.375027220278401</v>
      </c>
      <c r="CB1917" s="2">
        <v>20.852604957665701</v>
      </c>
      <c r="CC1917" s="2">
        <v>19.625181985558601</v>
      </c>
      <c r="CD1917" s="2">
        <v>21.1726737001236</v>
      </c>
      <c r="CE1917" s="2">
        <v>19.753415187073202</v>
      </c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</row>
    <row r="1918" spans="1:97">
      <c r="A1918" s="2" t="s">
        <v>16834</v>
      </c>
      <c r="B1918" s="2">
        <v>340.93139000000002</v>
      </c>
      <c r="C1918" s="2">
        <v>0.64300000000000002</v>
      </c>
      <c r="D1918" s="2" t="s">
        <v>84</v>
      </c>
      <c r="E1918" s="2" t="s">
        <v>16835</v>
      </c>
      <c r="F1918" s="2" t="s">
        <v>16836</v>
      </c>
      <c r="G1918" s="2">
        <v>208708</v>
      </c>
      <c r="H1918" s="3" t="str">
        <f>HYPERLINK("https://cloud.oebiotech.com/#/lm/network/208708", "https://cloud.oebiotech.com/#/lm/network/208708")</f>
        <v>https://cloud.oebiotech.com/#/lm/network/208708</v>
      </c>
      <c r="I1918" s="2" t="s">
        <v>16837</v>
      </c>
      <c r="J1918" s="2">
        <v>319373</v>
      </c>
      <c r="K1918" s="2"/>
      <c r="L1918" s="2">
        <v>627458</v>
      </c>
      <c r="M1918" s="2"/>
      <c r="N1918" s="2"/>
      <c r="O1918" s="2"/>
      <c r="P1918" s="2"/>
      <c r="Q1918" s="2"/>
      <c r="R1918" s="2"/>
      <c r="S1918" s="2"/>
      <c r="T1918" s="2" t="s">
        <v>16838</v>
      </c>
      <c r="U1918" s="2" t="s">
        <v>16839</v>
      </c>
      <c r="V1918" s="2" t="s">
        <v>385</v>
      </c>
      <c r="W1918" s="2" t="s">
        <v>386</v>
      </c>
      <c r="X1918" s="2" t="s">
        <v>13298</v>
      </c>
      <c r="Y1918" s="2" t="s">
        <v>388</v>
      </c>
      <c r="Z1918" s="2" t="s">
        <v>389</v>
      </c>
      <c r="AA1918" s="2" t="s">
        <v>13299</v>
      </c>
      <c r="AB1918" s="2" t="s">
        <v>5118</v>
      </c>
      <c r="AC1918" s="2">
        <v>38.869999999999997</v>
      </c>
      <c r="AD1918" s="2">
        <v>72.44</v>
      </c>
      <c r="AE1918" s="2">
        <v>46.8</v>
      </c>
      <c r="AF1918" s="2" t="s">
        <v>16840</v>
      </c>
      <c r="AG1918" s="2" t="s">
        <v>3544</v>
      </c>
      <c r="AH1918" s="2" t="s">
        <v>16841</v>
      </c>
      <c r="AI1918" s="2">
        <v>-4.1100000000000003</v>
      </c>
      <c r="AJ1918" s="2">
        <v>22.384294438952001</v>
      </c>
      <c r="AK1918" s="2">
        <v>22.879932772998298</v>
      </c>
      <c r="AL1918" s="2">
        <v>22.5449594253088</v>
      </c>
      <c r="AM1918" s="2">
        <v>22.278102354526201</v>
      </c>
      <c r="AN1918" s="2">
        <v>22.7069674421939</v>
      </c>
      <c r="AO1918" s="2">
        <v>22.715986132441898</v>
      </c>
      <c r="AP1918" s="2">
        <v>22.6721058888266</v>
      </c>
      <c r="AQ1918" s="2">
        <v>22.233811059614698</v>
      </c>
      <c r="AR1918" s="2">
        <v>22.090993942315801</v>
      </c>
      <c r="AS1918" s="2">
        <v>22.323264658572899</v>
      </c>
      <c r="AT1918" s="2">
        <v>22.627805211209399</v>
      </c>
      <c r="AU1918" s="2">
        <v>22.322599565250801</v>
      </c>
      <c r="AV1918" s="2">
        <v>22.3473708458903</v>
      </c>
      <c r="AW1918" s="2">
        <v>22.569391981581699</v>
      </c>
      <c r="AX1918" s="2">
        <v>22.704247141759701</v>
      </c>
      <c r="AY1918" s="2">
        <v>22.755200196430401</v>
      </c>
      <c r="AZ1918" s="2">
        <v>22.653090769134099</v>
      </c>
      <c r="BA1918" s="2">
        <v>22.461690566776099</v>
      </c>
      <c r="BB1918" s="2">
        <v>22.510773418805599</v>
      </c>
      <c r="BC1918" s="2">
        <v>22.0478822817905</v>
      </c>
      <c r="BD1918" s="2">
        <v>22.505486791413901</v>
      </c>
      <c r="BE1918" s="2">
        <v>22.493980291584101</v>
      </c>
      <c r="BF1918" s="2">
        <v>22.292142511676001</v>
      </c>
      <c r="BG1918" s="2">
        <v>22.1063260115932</v>
      </c>
      <c r="BH1918" s="2">
        <v>22.927243015772699</v>
      </c>
      <c r="BI1918" s="2">
        <v>22.551591230978001</v>
      </c>
      <c r="BJ1918" s="2">
        <v>22.711336119327701</v>
      </c>
      <c r="BK1918" s="2">
        <v>21.990720481141999</v>
      </c>
      <c r="BL1918" s="2">
        <v>22.115046337071</v>
      </c>
      <c r="BM1918" s="2">
        <v>21.850128027458499</v>
      </c>
      <c r="BN1918" s="2">
        <v>22.738581375460701</v>
      </c>
      <c r="BO1918" s="2">
        <v>22.7189436069994</v>
      </c>
      <c r="BP1918" s="2">
        <v>22.640028851762398</v>
      </c>
      <c r="BQ1918" s="2">
        <v>22.561010226046701</v>
      </c>
      <c r="BR1918" s="2">
        <v>22.633579265823698</v>
      </c>
      <c r="BS1918" s="2">
        <v>22.667608908174699</v>
      </c>
      <c r="BT1918" s="2">
        <v>22.746112639581899</v>
      </c>
      <c r="BU1918" s="2">
        <v>22.744672628103999</v>
      </c>
      <c r="BV1918" s="2">
        <v>22.067093185210499</v>
      </c>
      <c r="BW1918" s="2">
        <v>22.615063580149101</v>
      </c>
      <c r="BX1918" s="2">
        <v>22.536423493042001</v>
      </c>
      <c r="BY1918" s="2">
        <v>22.288008546837698</v>
      </c>
      <c r="BZ1918" s="2">
        <v>21.1848168501275</v>
      </c>
      <c r="CA1918" s="2">
        <v>22.438277031626999</v>
      </c>
      <c r="CB1918" s="2">
        <v>22.535082608480401</v>
      </c>
      <c r="CC1918" s="2">
        <v>22.540743181463299</v>
      </c>
      <c r="CD1918" s="2">
        <v>22.520840075732501</v>
      </c>
      <c r="CE1918" s="2">
        <v>22.731797813944699</v>
      </c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</row>
    <row r="1919" spans="1:97">
      <c r="A1919" s="2" t="s">
        <v>16842</v>
      </c>
      <c r="B1919" s="2">
        <v>251.01680999999999</v>
      </c>
      <c r="C1919" s="2">
        <v>4.7759999999999998</v>
      </c>
      <c r="D1919" s="2" t="s">
        <v>146</v>
      </c>
      <c r="E1919" s="2" t="s">
        <v>16843</v>
      </c>
      <c r="F1919" s="2" t="s">
        <v>16844</v>
      </c>
      <c r="G1919" s="2">
        <v>198643</v>
      </c>
      <c r="H1919" s="3" t="str">
        <f>HYPERLINK("https://cloud.oebiotech.com/#/lm/network/198643", "https://cloud.oebiotech.com/#/lm/network/198643")</f>
        <v>https://cloud.oebiotech.com/#/lm/network/198643</v>
      </c>
      <c r="I1919" s="2" t="s">
        <v>16845</v>
      </c>
      <c r="J1919" s="2"/>
      <c r="K1919" s="2"/>
      <c r="L1919" s="2">
        <v>43013</v>
      </c>
      <c r="M1919" s="2"/>
      <c r="N1919" s="2"/>
      <c r="O1919" s="2"/>
      <c r="P1919" s="2"/>
      <c r="Q1919" s="2"/>
      <c r="R1919" s="2"/>
      <c r="S1919" s="2"/>
      <c r="T1919" s="2" t="s">
        <v>16846</v>
      </c>
      <c r="U1919" s="2" t="s">
        <v>16847</v>
      </c>
      <c r="V1919" s="2" t="s">
        <v>553</v>
      </c>
      <c r="W1919" s="2" t="s">
        <v>16848</v>
      </c>
      <c r="X1919" s="2" t="s">
        <v>16849</v>
      </c>
      <c r="Y1919" s="2" t="s">
        <v>556</v>
      </c>
      <c r="Z1919" s="2" t="s">
        <v>16850</v>
      </c>
      <c r="AA1919" s="2" t="s">
        <v>16851</v>
      </c>
      <c r="AB1919" s="2" t="s">
        <v>8443</v>
      </c>
      <c r="AC1919" s="2">
        <v>38.86</v>
      </c>
      <c r="AD1919" s="2">
        <v>94.28</v>
      </c>
      <c r="AE1919" s="2">
        <v>0</v>
      </c>
      <c r="AF1919" s="2" t="s">
        <v>16852</v>
      </c>
      <c r="AG1919" s="2" t="s">
        <v>157</v>
      </c>
      <c r="AH1919" s="2" t="s">
        <v>16853</v>
      </c>
      <c r="AI1919" s="2">
        <v>-0.8</v>
      </c>
      <c r="AJ1919" s="2">
        <v>22.572975512668702</v>
      </c>
      <c r="AK1919" s="2">
        <v>22.781655932546698</v>
      </c>
      <c r="AL1919" s="2">
        <v>22.823257596567998</v>
      </c>
      <c r="AM1919" s="2">
        <v>22.7997963467486</v>
      </c>
      <c r="AN1919" s="2">
        <v>22.718212829986101</v>
      </c>
      <c r="AO1919" s="2">
        <v>22.570489723010599</v>
      </c>
      <c r="AP1919" s="2">
        <v>22.667416438335501</v>
      </c>
      <c r="AQ1919" s="2">
        <v>22.811779225797299</v>
      </c>
      <c r="AR1919" s="2">
        <v>20.915280341134501</v>
      </c>
      <c r="AS1919" s="2">
        <v>21.355334673715902</v>
      </c>
      <c r="AT1919" s="2">
        <v>22.626974090431499</v>
      </c>
      <c r="AU1919" s="2">
        <v>21.955801787073302</v>
      </c>
      <c r="AV1919" s="2">
        <v>22.3555536842536</v>
      </c>
      <c r="AW1919" s="2">
        <v>21.013638202557701</v>
      </c>
      <c r="AX1919" s="2">
        <v>24.222667771467702</v>
      </c>
      <c r="AY1919" s="2">
        <v>22.800329968086601</v>
      </c>
      <c r="AZ1919" s="2">
        <v>21.7978159484557</v>
      </c>
      <c r="BA1919" s="2">
        <v>24.193845230557599</v>
      </c>
      <c r="BB1919" s="2">
        <v>21.812843870766802</v>
      </c>
      <c r="BC1919" s="2">
        <v>20.3196018625524</v>
      </c>
      <c r="BD1919" s="2">
        <v>22.1167611393785</v>
      </c>
      <c r="BE1919" s="2">
        <v>23.077090043637298</v>
      </c>
      <c r="BF1919" s="2">
        <v>23.604690344231201</v>
      </c>
      <c r="BG1919" s="2">
        <v>22.559539908030001</v>
      </c>
      <c r="BH1919" s="2">
        <v>18.081928906262501</v>
      </c>
      <c r="BI1919" s="2">
        <v>24.899324525652599</v>
      </c>
      <c r="BJ1919" s="2">
        <v>20.425185143237702</v>
      </c>
      <c r="BK1919" s="2">
        <v>13.797621000143</v>
      </c>
      <c r="BL1919" s="2">
        <v>19.5743662775808</v>
      </c>
      <c r="BM1919" s="2">
        <v>21.7949759944017</v>
      </c>
      <c r="BN1919" s="2">
        <v>21.5434994941719</v>
      </c>
      <c r="BO1919" s="2">
        <v>24.1549590328394</v>
      </c>
      <c r="BP1919" s="2">
        <v>20.7640090648576</v>
      </c>
      <c r="BQ1919" s="2">
        <v>22.8558417219283</v>
      </c>
      <c r="BR1919" s="2">
        <v>24.326241782412101</v>
      </c>
      <c r="BS1919" s="2">
        <v>23.1284791108083</v>
      </c>
      <c r="BT1919" s="2">
        <v>19.779297879223002</v>
      </c>
      <c r="BU1919" s="2">
        <v>23.632745580325601</v>
      </c>
      <c r="BV1919" s="2">
        <v>23.822287481532499</v>
      </c>
      <c r="BW1919" s="2">
        <v>21.4187302551797</v>
      </c>
      <c r="BX1919" s="2">
        <v>21.101458067207702</v>
      </c>
      <c r="BY1919" s="2">
        <v>22.707373050199401</v>
      </c>
      <c r="BZ1919" s="2">
        <v>22.044072005133099</v>
      </c>
      <c r="CA1919" s="2">
        <v>22.9397795715245</v>
      </c>
      <c r="CB1919" s="2">
        <v>20.146280245621099</v>
      </c>
      <c r="CC1919" s="2">
        <v>23.6635954050119</v>
      </c>
      <c r="CD1919" s="2">
        <v>19.0675703055437</v>
      </c>
      <c r="CE1919" s="2">
        <v>14.101955979799699</v>
      </c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</row>
    <row r="1920" spans="1:97">
      <c r="A1920" s="2" t="s">
        <v>16854</v>
      </c>
      <c r="B1920" s="2">
        <v>113.02404</v>
      </c>
      <c r="C1920" s="2">
        <v>0.52300000000000002</v>
      </c>
      <c r="D1920" s="2" t="s">
        <v>146</v>
      </c>
      <c r="E1920" s="2" t="s">
        <v>16855</v>
      </c>
      <c r="F1920" s="2" t="s">
        <v>16856</v>
      </c>
      <c r="G1920" s="2">
        <v>211314</v>
      </c>
      <c r="H1920" s="3" t="str">
        <f>HYPERLINK("https://cloud.oebiotech.com/#/lm/network/211314", "https://cloud.oebiotech.com/#/lm/network/211314")</f>
        <v>https://cloud.oebiotech.com/#/lm/network/211314</v>
      </c>
      <c r="I1920" s="2" t="s">
        <v>16857</v>
      </c>
      <c r="J1920" s="2"/>
      <c r="K1920" s="2"/>
      <c r="L1920" s="2">
        <v>57119080</v>
      </c>
      <c r="M1920" s="2"/>
      <c r="N1920" s="2"/>
      <c r="O1920" s="2"/>
      <c r="P1920" s="2"/>
      <c r="Q1920" s="2"/>
      <c r="R1920" s="2"/>
      <c r="S1920" s="2"/>
      <c r="T1920" s="2" t="s">
        <v>16858</v>
      </c>
      <c r="U1920" s="2" t="s">
        <v>16859</v>
      </c>
      <c r="V1920" s="2" t="s">
        <v>115</v>
      </c>
      <c r="W1920" s="2" t="s">
        <v>832</v>
      </c>
      <c r="X1920" s="2" t="s">
        <v>833</v>
      </c>
      <c r="Y1920" s="2" t="s">
        <v>118</v>
      </c>
      <c r="Z1920" s="2" t="s">
        <v>834</v>
      </c>
      <c r="AA1920" s="2" t="s">
        <v>835</v>
      </c>
      <c r="AB1920" s="2" t="s">
        <v>8443</v>
      </c>
      <c r="AC1920" s="2">
        <v>38.85</v>
      </c>
      <c r="AD1920" s="2">
        <v>96.77</v>
      </c>
      <c r="AE1920" s="2">
        <v>0</v>
      </c>
      <c r="AF1920" s="2" t="s">
        <v>5614</v>
      </c>
      <c r="AG1920" s="2" t="s">
        <v>993</v>
      </c>
      <c r="AH1920" s="2" t="s">
        <v>16860</v>
      </c>
      <c r="AI1920" s="2">
        <v>-1.5</v>
      </c>
      <c r="AJ1920" s="2">
        <v>19.679414224183098</v>
      </c>
      <c r="AK1920" s="2">
        <v>19.5747996620543</v>
      </c>
      <c r="AL1920" s="2">
        <v>19.511384850117899</v>
      </c>
      <c r="AM1920" s="2">
        <v>18.879803179948901</v>
      </c>
      <c r="AN1920" s="2">
        <v>18.805410109572101</v>
      </c>
      <c r="AO1920" s="2">
        <v>19.239289217971301</v>
      </c>
      <c r="AP1920" s="2">
        <v>19.5736427500633</v>
      </c>
      <c r="AQ1920" s="2">
        <v>19.671616078435601</v>
      </c>
      <c r="AR1920" s="2">
        <v>18.739833437756801</v>
      </c>
      <c r="AS1920" s="2">
        <v>19.655529500318998</v>
      </c>
      <c r="AT1920" s="2">
        <v>19.501718056592299</v>
      </c>
      <c r="AU1920" s="2">
        <v>20.0844095905789</v>
      </c>
      <c r="AV1920" s="2">
        <v>19.204087936250101</v>
      </c>
      <c r="AW1920" s="2">
        <v>19.602677265021001</v>
      </c>
      <c r="AX1920" s="2">
        <v>19.3485413788583</v>
      </c>
      <c r="AY1920" s="2">
        <v>19.120514361320499</v>
      </c>
      <c r="AZ1920" s="2">
        <v>19.605451086943201</v>
      </c>
      <c r="BA1920" s="2">
        <v>18.957899922705501</v>
      </c>
      <c r="BB1920" s="2">
        <v>18.9088552638569</v>
      </c>
      <c r="BC1920" s="2">
        <v>19.2058023396987</v>
      </c>
      <c r="BD1920" s="2">
        <v>19.285594346850001</v>
      </c>
      <c r="BE1920" s="2">
        <v>19.943982989564901</v>
      </c>
      <c r="BF1920" s="2">
        <v>19.098715819941901</v>
      </c>
      <c r="BG1920" s="2">
        <v>19.214224338361099</v>
      </c>
      <c r="BH1920" s="2">
        <v>19.437349504604001</v>
      </c>
      <c r="BI1920" s="2">
        <v>19.2691554273603</v>
      </c>
      <c r="BJ1920" s="2">
        <v>19.512439156272901</v>
      </c>
      <c r="BK1920" s="2">
        <v>19.568225946648099</v>
      </c>
      <c r="BL1920" s="2">
        <v>19.163665594942</v>
      </c>
      <c r="BM1920" s="2">
        <v>19.498966196429599</v>
      </c>
      <c r="BN1920" s="2">
        <v>19.119741328763201</v>
      </c>
      <c r="BO1920" s="2">
        <v>19.097568157157401</v>
      </c>
      <c r="BP1920" s="2">
        <v>19.561361324505601</v>
      </c>
      <c r="BQ1920" s="2">
        <v>19.3809978200354</v>
      </c>
      <c r="BR1920" s="2">
        <v>18.962050823969101</v>
      </c>
      <c r="BS1920" s="2">
        <v>19.530367432763999</v>
      </c>
      <c r="BT1920" s="2">
        <v>19.131854373889301</v>
      </c>
      <c r="BU1920" s="2">
        <v>19.1264915622282</v>
      </c>
      <c r="BV1920" s="2">
        <v>19.008404082696</v>
      </c>
      <c r="BW1920" s="2">
        <v>19.096099953117601</v>
      </c>
      <c r="BX1920" s="2">
        <v>18.9473081280901</v>
      </c>
      <c r="BY1920" s="2">
        <v>19.275985782817202</v>
      </c>
      <c r="BZ1920" s="2">
        <v>19.7249699856165</v>
      </c>
      <c r="CA1920" s="2">
        <v>19.1832386352146</v>
      </c>
      <c r="CB1920" s="2">
        <v>19.638135226912102</v>
      </c>
      <c r="CC1920" s="2">
        <v>18.736655507769601</v>
      </c>
      <c r="CD1920" s="2">
        <v>19.439450811111001</v>
      </c>
      <c r="CE1920" s="2">
        <v>19.193526419267702</v>
      </c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</row>
    <row r="1921" spans="1:97">
      <c r="A1921" s="2" t="s">
        <v>16861</v>
      </c>
      <c r="B1921" s="2">
        <v>195.09897000000001</v>
      </c>
      <c r="C1921" s="2">
        <v>0.66600000000000004</v>
      </c>
      <c r="D1921" s="2" t="s">
        <v>84</v>
      </c>
      <c r="E1921" s="2" t="s">
        <v>16862</v>
      </c>
      <c r="F1921" s="2" t="s">
        <v>16863</v>
      </c>
      <c r="G1921" s="2">
        <v>203252</v>
      </c>
      <c r="H1921" s="3" t="str">
        <f>HYPERLINK("https://cloud.oebiotech.com/#/lm/network/203252", "https://cloud.oebiotech.com/#/lm/network/203252")</f>
        <v>https://cloud.oebiotech.com/#/lm/network/203252</v>
      </c>
      <c r="I1921" s="2" t="s">
        <v>16864</v>
      </c>
      <c r="J1921" s="2"/>
      <c r="K1921" s="2"/>
      <c r="L1921" s="2">
        <v>129630312</v>
      </c>
      <c r="M1921" s="2"/>
      <c r="N1921" s="2"/>
      <c r="O1921" s="2"/>
      <c r="P1921" s="2"/>
      <c r="Q1921" s="2"/>
      <c r="R1921" s="2"/>
      <c r="S1921" s="2"/>
      <c r="T1921" s="2" t="s">
        <v>16865</v>
      </c>
      <c r="U1921" s="2" t="s">
        <v>16866</v>
      </c>
      <c r="V1921" s="2" t="s">
        <v>115</v>
      </c>
      <c r="W1921" s="2" t="s">
        <v>116</v>
      </c>
      <c r="X1921" s="2" t="s">
        <v>117</v>
      </c>
      <c r="Y1921" s="2" t="s">
        <v>118</v>
      </c>
      <c r="Z1921" s="2" t="s">
        <v>119</v>
      </c>
      <c r="AA1921" s="2" t="s">
        <v>120</v>
      </c>
      <c r="AB1921" s="2" t="s">
        <v>8443</v>
      </c>
      <c r="AC1921" s="2">
        <v>38.85</v>
      </c>
      <c r="AD1921" s="2">
        <v>95.47</v>
      </c>
      <c r="AE1921" s="2">
        <v>0</v>
      </c>
      <c r="AF1921" s="2" t="s">
        <v>5614</v>
      </c>
      <c r="AG1921" s="2" t="s">
        <v>132</v>
      </c>
      <c r="AH1921" s="2" t="s">
        <v>16867</v>
      </c>
      <c r="AI1921" s="2">
        <v>-7.69</v>
      </c>
      <c r="AJ1921" s="2">
        <v>21.817114626140398</v>
      </c>
      <c r="AK1921" s="2">
        <v>21.842048484217699</v>
      </c>
      <c r="AL1921" s="2">
        <v>21.643411121387199</v>
      </c>
      <c r="AM1921" s="2">
        <v>21.4786983837806</v>
      </c>
      <c r="AN1921" s="2">
        <v>21.653325610427</v>
      </c>
      <c r="AO1921" s="2">
        <v>21.097364271384698</v>
      </c>
      <c r="AP1921" s="2">
        <v>21.203342595683399</v>
      </c>
      <c r="AQ1921" s="2">
        <v>21.384810747263099</v>
      </c>
      <c r="AR1921" s="2">
        <v>21.663521687374999</v>
      </c>
      <c r="AS1921" s="2">
        <v>21.458926444047801</v>
      </c>
      <c r="AT1921" s="2">
        <v>21.665823768483499</v>
      </c>
      <c r="AU1921" s="2">
        <v>21.865539940580501</v>
      </c>
      <c r="AV1921" s="2">
        <v>21.6696266806584</v>
      </c>
      <c r="AW1921" s="2">
        <v>21.597750104242301</v>
      </c>
      <c r="AX1921" s="2">
        <v>21.7441506430944</v>
      </c>
      <c r="AY1921" s="2">
        <v>21.786856304455402</v>
      </c>
      <c r="AZ1921" s="2">
        <v>21.757065551583999</v>
      </c>
      <c r="BA1921" s="2">
        <v>21.163431331936099</v>
      </c>
      <c r="BB1921" s="2">
        <v>21.7941111674368</v>
      </c>
      <c r="BC1921" s="2">
        <v>20.540545504909002</v>
      </c>
      <c r="BD1921" s="2">
        <v>21.914650349863699</v>
      </c>
      <c r="BE1921" s="2">
        <v>21.901973460997102</v>
      </c>
      <c r="BF1921" s="2">
        <v>21.731511807054499</v>
      </c>
      <c r="BG1921" s="2">
        <v>21.694991298609601</v>
      </c>
      <c r="BH1921" s="2">
        <v>21.726966610385901</v>
      </c>
      <c r="BI1921" s="2">
        <v>21.696323769740498</v>
      </c>
      <c r="BJ1921" s="2">
        <v>21.7678018159617</v>
      </c>
      <c r="BK1921" s="2">
        <v>21.554636742562199</v>
      </c>
      <c r="BL1921" s="2">
        <v>21.6434287289288</v>
      </c>
      <c r="BM1921" s="2">
        <v>21.763038528041601</v>
      </c>
      <c r="BN1921" s="2">
        <v>21.413221361807199</v>
      </c>
      <c r="BO1921" s="2">
        <v>21.431359443563299</v>
      </c>
      <c r="BP1921" s="2">
        <v>21.145734478463101</v>
      </c>
      <c r="BQ1921" s="2">
        <v>21.703653758243</v>
      </c>
      <c r="BR1921" s="2">
        <v>21.702308992053201</v>
      </c>
      <c r="BS1921" s="2">
        <v>21.294278931157201</v>
      </c>
      <c r="BT1921" s="2">
        <v>21.221854518546401</v>
      </c>
      <c r="BU1921" s="2">
        <v>21.652140640188399</v>
      </c>
      <c r="BV1921" s="2">
        <v>21.179065202355499</v>
      </c>
      <c r="BW1921" s="2">
        <v>21.365430377917299</v>
      </c>
      <c r="BX1921" s="2">
        <v>21.1849498035408</v>
      </c>
      <c r="BY1921" s="2">
        <v>21.105657150842699</v>
      </c>
      <c r="BZ1921" s="2">
        <v>20.8465557673298</v>
      </c>
      <c r="CA1921" s="2">
        <v>21.2751479072063</v>
      </c>
      <c r="CB1921" s="2">
        <v>21.6475417053075</v>
      </c>
      <c r="CC1921" s="2">
        <v>21.4925253921311</v>
      </c>
      <c r="CD1921" s="2">
        <v>21.951500264906301</v>
      </c>
      <c r="CE1921" s="2">
        <v>21.503442111142</v>
      </c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</row>
    <row r="1922" spans="1:97">
      <c r="A1922" s="2" t="s">
        <v>16868</v>
      </c>
      <c r="B1922" s="2">
        <v>625.35888999999997</v>
      </c>
      <c r="C1922" s="2">
        <v>8.4489999999999998</v>
      </c>
      <c r="D1922" s="2" t="s">
        <v>146</v>
      </c>
      <c r="E1922" s="2" t="s">
        <v>16869</v>
      </c>
      <c r="F1922" s="2" t="s">
        <v>16870</v>
      </c>
      <c r="G1922" s="2">
        <v>43760</v>
      </c>
      <c r="H1922" s="3" t="str">
        <f>HYPERLINK("https://cloud.oebiotech.com/#/lm/network/43760", "https://cloud.oebiotech.com/#/lm/network/43760")</f>
        <v>https://cloud.oebiotech.com/#/lm/network/43760</v>
      </c>
      <c r="I1922" s="2"/>
      <c r="J1922" s="2"/>
      <c r="K1922" s="2" t="s">
        <v>16871</v>
      </c>
      <c r="L1922" s="2">
        <v>101514326</v>
      </c>
      <c r="M1922" s="2"/>
      <c r="N1922" s="2"/>
      <c r="O1922" s="2"/>
      <c r="P1922" s="2"/>
      <c r="Q1922" s="2"/>
      <c r="R1922" s="2"/>
      <c r="S1922" s="2"/>
      <c r="T1922" s="2" t="s">
        <v>16872</v>
      </c>
      <c r="U1922" s="2" t="s">
        <v>16873</v>
      </c>
      <c r="V1922" s="2" t="s">
        <v>95</v>
      </c>
      <c r="W1922" s="2" t="s">
        <v>152</v>
      </c>
      <c r="X1922" s="2" t="s">
        <v>2791</v>
      </c>
      <c r="Y1922" s="2" t="s">
        <v>98</v>
      </c>
      <c r="Z1922" s="2" t="s">
        <v>154</v>
      </c>
      <c r="AA1922" s="2" t="s">
        <v>2792</v>
      </c>
      <c r="AB1922" s="2" t="s">
        <v>8443</v>
      </c>
      <c r="AC1922" s="2">
        <v>38.85</v>
      </c>
      <c r="AD1922" s="2">
        <v>94.25</v>
      </c>
      <c r="AE1922" s="2">
        <v>0</v>
      </c>
      <c r="AF1922" s="2" t="s">
        <v>16874</v>
      </c>
      <c r="AG1922" s="2" t="s">
        <v>194</v>
      </c>
      <c r="AH1922" s="2" t="s">
        <v>16875</v>
      </c>
      <c r="AI1922" s="2">
        <v>0.64</v>
      </c>
      <c r="AJ1922" s="2">
        <v>18.095071578161001</v>
      </c>
      <c r="AK1922" s="2">
        <v>18.346457463360501</v>
      </c>
      <c r="AL1922" s="2">
        <v>17.9357759633894</v>
      </c>
      <c r="AM1922" s="2">
        <v>18.3969560391415</v>
      </c>
      <c r="AN1922" s="2">
        <v>18.501596663859601</v>
      </c>
      <c r="AO1922" s="2">
        <v>18.211247241561502</v>
      </c>
      <c r="AP1922" s="2">
        <v>18.104704652551401</v>
      </c>
      <c r="AQ1922" s="2">
        <v>18.4729368619846</v>
      </c>
      <c r="AR1922" s="2">
        <v>17.440676330487701</v>
      </c>
      <c r="AS1922" s="2">
        <v>16.4018139975034</v>
      </c>
      <c r="AT1922" s="2">
        <v>18.3813859167334</v>
      </c>
      <c r="AU1922" s="2">
        <v>16.413327446443901</v>
      </c>
      <c r="AV1922" s="2">
        <v>18.1241979650862</v>
      </c>
      <c r="AW1922" s="2">
        <v>18.563133024791401</v>
      </c>
      <c r="AX1922" s="2">
        <v>18.2476586422144</v>
      </c>
      <c r="AY1922" s="2">
        <v>18.002308443259199</v>
      </c>
      <c r="AZ1922" s="2">
        <v>17.823653528781101</v>
      </c>
      <c r="BA1922" s="2">
        <v>17.995532437731701</v>
      </c>
      <c r="BB1922" s="2">
        <v>18.289419565080902</v>
      </c>
      <c r="BC1922" s="2">
        <v>18.5446563319334</v>
      </c>
      <c r="BD1922" s="2">
        <v>17.186297370468601</v>
      </c>
      <c r="BE1922" s="2">
        <v>19.292535915236101</v>
      </c>
      <c r="BF1922" s="2">
        <v>17.0623161327715</v>
      </c>
      <c r="BG1922" s="2">
        <v>18.344429983889899</v>
      </c>
      <c r="BH1922" s="2">
        <v>17.7494807789225</v>
      </c>
      <c r="BI1922" s="2">
        <v>18.938825854076601</v>
      </c>
      <c r="BJ1922" s="2">
        <v>18.241294855513502</v>
      </c>
      <c r="BK1922" s="2">
        <v>17.863606149235</v>
      </c>
      <c r="BL1922" s="2">
        <v>18.1824894558588</v>
      </c>
      <c r="BM1922" s="2">
        <v>16.610225657118601</v>
      </c>
      <c r="BN1922" s="2">
        <v>18.897026181613999</v>
      </c>
      <c r="BO1922" s="2">
        <v>17.280496669002101</v>
      </c>
      <c r="BP1922" s="2">
        <v>18.251606719731001</v>
      </c>
      <c r="BQ1922" s="2">
        <v>18.2369785914264</v>
      </c>
      <c r="BR1922" s="2">
        <v>17.993065641484201</v>
      </c>
      <c r="BS1922" s="2">
        <v>18.5848536751677</v>
      </c>
      <c r="BT1922" s="2">
        <v>17.773411940469799</v>
      </c>
      <c r="BU1922" s="2">
        <v>18.702564176245801</v>
      </c>
      <c r="BV1922" s="2">
        <v>18.2264354309204</v>
      </c>
      <c r="BW1922" s="2">
        <v>17.7669126686807</v>
      </c>
      <c r="BX1922" s="2">
        <v>17.1594500885702</v>
      </c>
      <c r="BY1922" s="2">
        <v>20.294329688957902</v>
      </c>
      <c r="BZ1922" s="2">
        <v>17.422528924237401</v>
      </c>
      <c r="CA1922" s="2">
        <v>18.7593860333916</v>
      </c>
      <c r="CB1922" s="2">
        <v>18.558366038646898</v>
      </c>
      <c r="CC1922" s="2">
        <v>18.633381682936701</v>
      </c>
      <c r="CD1922" s="2">
        <v>19.047585120693299</v>
      </c>
      <c r="CE1922" s="2">
        <v>17.994532491870899</v>
      </c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</row>
    <row r="1923" spans="1:97">
      <c r="A1923" s="2" t="s">
        <v>16876</v>
      </c>
      <c r="B1923" s="2">
        <v>227.08964</v>
      </c>
      <c r="C1923" s="2">
        <v>5.94</v>
      </c>
      <c r="D1923" s="2" t="s">
        <v>146</v>
      </c>
      <c r="E1923" s="2" t="s">
        <v>16877</v>
      </c>
      <c r="F1923" s="2" t="s">
        <v>16878</v>
      </c>
      <c r="G1923" s="2">
        <v>211723</v>
      </c>
      <c r="H1923" s="3" t="str">
        <f>HYPERLINK("https://cloud.oebiotech.com/#/lm/network/211723", "https://cloud.oebiotech.com/#/lm/network/211723")</f>
        <v>https://cloud.oebiotech.com/#/lm/network/211723</v>
      </c>
      <c r="I1923" s="2" t="s">
        <v>16879</v>
      </c>
      <c r="J1923" s="2"/>
      <c r="K1923" s="2"/>
      <c r="L1923" s="2">
        <v>136168449</v>
      </c>
      <c r="M1923" s="2"/>
      <c r="N1923" s="2"/>
      <c r="O1923" s="2"/>
      <c r="P1923" s="2"/>
      <c r="Q1923" s="2"/>
      <c r="R1923" s="2"/>
      <c r="S1923" s="2"/>
      <c r="T1923" s="2" t="s">
        <v>16880</v>
      </c>
      <c r="U1923" s="2" t="s">
        <v>16881</v>
      </c>
      <c r="V1923" s="2" t="s">
        <v>115</v>
      </c>
      <c r="W1923" s="2" t="s">
        <v>116</v>
      </c>
      <c r="X1923" s="2" t="s">
        <v>5270</v>
      </c>
      <c r="Y1923" s="2" t="s">
        <v>118</v>
      </c>
      <c r="Z1923" s="2" t="s">
        <v>119</v>
      </c>
      <c r="AA1923" s="2" t="s">
        <v>5271</v>
      </c>
      <c r="AB1923" s="2" t="s">
        <v>8443</v>
      </c>
      <c r="AC1923" s="2">
        <v>38.840000000000003</v>
      </c>
      <c r="AD1923" s="2">
        <v>94.22</v>
      </c>
      <c r="AE1923" s="2">
        <v>0</v>
      </c>
      <c r="AF1923" s="2" t="s">
        <v>16882</v>
      </c>
      <c r="AG1923" s="2" t="s">
        <v>157</v>
      </c>
      <c r="AH1923" s="2" t="s">
        <v>16883</v>
      </c>
      <c r="AI1923" s="2">
        <v>0.88</v>
      </c>
      <c r="AJ1923" s="2">
        <v>19.589917264418499</v>
      </c>
      <c r="AK1923" s="2">
        <v>19.7159456397616</v>
      </c>
      <c r="AL1923" s="2">
        <v>19.603757267271298</v>
      </c>
      <c r="AM1923" s="2">
        <v>19.253465686331001</v>
      </c>
      <c r="AN1923" s="2">
        <v>19.616486043970401</v>
      </c>
      <c r="AO1923" s="2">
        <v>19.560770062493201</v>
      </c>
      <c r="AP1923" s="2">
        <v>19.597853770503399</v>
      </c>
      <c r="AQ1923" s="2">
        <v>19.264765095039898</v>
      </c>
      <c r="AR1923" s="2">
        <v>16.453904150070699</v>
      </c>
      <c r="AS1923" s="2">
        <v>18.2574447953881</v>
      </c>
      <c r="AT1923" s="2">
        <v>19.497859105438199</v>
      </c>
      <c r="AU1923" s="2">
        <v>18.206824263559199</v>
      </c>
      <c r="AV1923" s="2">
        <v>18.220810446051701</v>
      </c>
      <c r="AW1923" s="2">
        <v>19.379775380199401</v>
      </c>
      <c r="AX1923" s="2">
        <v>18.465200806450898</v>
      </c>
      <c r="AY1923" s="2">
        <v>19.372676198079599</v>
      </c>
      <c r="AZ1923" s="2">
        <v>15.8524573338339</v>
      </c>
      <c r="BA1923" s="2">
        <v>18.662219931995999</v>
      </c>
      <c r="BB1923" s="2">
        <v>19.7263024569089</v>
      </c>
      <c r="BC1923" s="2">
        <v>19.681716957546499</v>
      </c>
      <c r="BD1923" s="2">
        <v>17.448096619252102</v>
      </c>
      <c r="BE1923" s="2">
        <v>19.425759578017502</v>
      </c>
      <c r="BF1923" s="2">
        <v>18.4800332486172</v>
      </c>
      <c r="BG1923" s="2">
        <v>18.813694370172598</v>
      </c>
      <c r="BH1923" s="2">
        <v>18.906982140674199</v>
      </c>
      <c r="BI1923" s="2">
        <v>19.5474515763878</v>
      </c>
      <c r="BJ1923" s="2">
        <v>19.343049159156099</v>
      </c>
      <c r="BK1923" s="2">
        <v>18.690401032716402</v>
      </c>
      <c r="BL1923" s="2">
        <v>18.965241283945701</v>
      </c>
      <c r="BM1923" s="2">
        <v>19.514847289883701</v>
      </c>
      <c r="BN1923" s="2">
        <v>21.159202541717299</v>
      </c>
      <c r="BO1923" s="2">
        <v>18.851614764455299</v>
      </c>
      <c r="BP1923" s="2">
        <v>18.418794139810299</v>
      </c>
      <c r="BQ1923" s="2">
        <v>20.306854752033601</v>
      </c>
      <c r="BR1923" s="2">
        <v>20.289472610508302</v>
      </c>
      <c r="BS1923" s="2">
        <v>17.1881868177096</v>
      </c>
      <c r="BT1923" s="2">
        <v>18.052732437523101</v>
      </c>
      <c r="BU1923" s="2">
        <v>19.253819907101501</v>
      </c>
      <c r="BV1923" s="2">
        <v>19.2115272857673</v>
      </c>
      <c r="BW1923" s="2">
        <v>18.983043023930101</v>
      </c>
      <c r="BX1923" s="2">
        <v>19.389245391587</v>
      </c>
      <c r="BY1923" s="2">
        <v>20.782621807654099</v>
      </c>
      <c r="BZ1923" s="2">
        <v>19.272122862916699</v>
      </c>
      <c r="CA1923" s="2">
        <v>19.243352291331298</v>
      </c>
      <c r="CB1923" s="2">
        <v>18.8024381408691</v>
      </c>
      <c r="CC1923" s="2">
        <v>19.791933671755999</v>
      </c>
      <c r="CD1923" s="2">
        <v>18.3912621366139</v>
      </c>
      <c r="CE1923" s="2">
        <v>19.150051435657101</v>
      </c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</row>
    <row r="1924" spans="1:97">
      <c r="A1924" s="2" t="s">
        <v>16884</v>
      </c>
      <c r="B1924" s="2">
        <v>360.36178000000001</v>
      </c>
      <c r="C1924" s="2">
        <v>10.481999999999999</v>
      </c>
      <c r="D1924" s="2" t="s">
        <v>84</v>
      </c>
      <c r="E1924" s="2" t="s">
        <v>16885</v>
      </c>
      <c r="F1924" s="2" t="s">
        <v>16886</v>
      </c>
      <c r="G1924" s="2">
        <v>9293</v>
      </c>
      <c r="H1924" s="3" t="str">
        <f>HYPERLINK("https://cloud.oebiotech.com/#/lm/network/9293", "https://cloud.oebiotech.com/#/lm/network/9293")</f>
        <v>https://cloud.oebiotech.com/#/lm/network/9293</v>
      </c>
      <c r="I1924" s="2"/>
      <c r="J1924" s="2">
        <v>97591</v>
      </c>
      <c r="K1924" s="2" t="s">
        <v>16887</v>
      </c>
      <c r="L1924" s="2">
        <v>11450723</v>
      </c>
      <c r="M1924" s="2"/>
      <c r="N1924" s="2"/>
      <c r="O1924" s="2"/>
      <c r="P1924" s="2"/>
      <c r="Q1924" s="2"/>
      <c r="R1924" s="2"/>
      <c r="S1924" s="2"/>
      <c r="T1924" s="2" t="s">
        <v>16888</v>
      </c>
      <c r="U1924" s="2" t="s">
        <v>16889</v>
      </c>
      <c r="V1924" s="2" t="s">
        <v>10755</v>
      </c>
      <c r="W1924" s="2" t="s">
        <v>10756</v>
      </c>
      <c r="X1924" s="2" t="s">
        <v>16890</v>
      </c>
      <c r="Y1924" s="2" t="s">
        <v>10758</v>
      </c>
      <c r="Z1924" s="2" t="s">
        <v>10759</v>
      </c>
      <c r="AA1924" s="2" t="s">
        <v>16891</v>
      </c>
      <c r="AB1924" s="2" t="s">
        <v>8443</v>
      </c>
      <c r="AC1924" s="2">
        <v>38.840000000000003</v>
      </c>
      <c r="AD1924" s="2">
        <v>98.9</v>
      </c>
      <c r="AE1924" s="2">
        <v>0</v>
      </c>
      <c r="AF1924" s="2" t="s">
        <v>16892</v>
      </c>
      <c r="AG1924" s="2" t="s">
        <v>132</v>
      </c>
      <c r="AH1924" s="2" t="s">
        <v>16893</v>
      </c>
      <c r="AI1924" s="2">
        <v>1.94</v>
      </c>
      <c r="AJ1924" s="2">
        <v>24.1874414365593</v>
      </c>
      <c r="AK1924" s="2">
        <v>24.265567729852801</v>
      </c>
      <c r="AL1924" s="2">
        <v>24.201674220446801</v>
      </c>
      <c r="AM1924" s="2">
        <v>24.171915802416201</v>
      </c>
      <c r="AN1924" s="2">
        <v>24.108058469461898</v>
      </c>
      <c r="AO1924" s="2">
        <v>24.198969122251398</v>
      </c>
      <c r="AP1924" s="2">
        <v>24.1170064016734</v>
      </c>
      <c r="AQ1924" s="2">
        <v>24.1722193691817</v>
      </c>
      <c r="AR1924" s="2">
        <v>24.019442456450701</v>
      </c>
      <c r="AS1924" s="2">
        <v>24.184519653978501</v>
      </c>
      <c r="AT1924" s="2">
        <v>24.123145241859799</v>
      </c>
      <c r="AU1924" s="2">
        <v>24.067997956867199</v>
      </c>
      <c r="AV1924" s="2">
        <v>24.2534246841963</v>
      </c>
      <c r="AW1924" s="2">
        <v>24.148272788848502</v>
      </c>
      <c r="AX1924" s="2">
        <v>24.1621776709373</v>
      </c>
      <c r="AY1924" s="2">
        <v>24.050073718718199</v>
      </c>
      <c r="AZ1924" s="2">
        <v>24.0753326531003</v>
      </c>
      <c r="BA1924" s="2">
        <v>24.0837038471632</v>
      </c>
      <c r="BB1924" s="2">
        <v>24.142603489751501</v>
      </c>
      <c r="BC1924" s="2">
        <v>24.133440098844499</v>
      </c>
      <c r="BD1924" s="2">
        <v>24.1090238693616</v>
      </c>
      <c r="BE1924" s="2">
        <v>24.029410621037002</v>
      </c>
      <c r="BF1924" s="2">
        <v>24.279043352098</v>
      </c>
      <c r="BG1924" s="2">
        <v>24.032806199889102</v>
      </c>
      <c r="BH1924" s="2">
        <v>24.2150448177944</v>
      </c>
      <c r="BI1924" s="2">
        <v>24.102520802186898</v>
      </c>
      <c r="BJ1924" s="2">
        <v>24.159355972209401</v>
      </c>
      <c r="BK1924" s="2">
        <v>24.2218610572926</v>
      </c>
      <c r="BL1924" s="2">
        <v>24.078639633640101</v>
      </c>
      <c r="BM1924" s="2">
        <v>24.096772654540501</v>
      </c>
      <c r="BN1924" s="2">
        <v>24.142701373149599</v>
      </c>
      <c r="BO1924" s="2">
        <v>24.084221919646801</v>
      </c>
      <c r="BP1924" s="2">
        <v>24.114698455834102</v>
      </c>
      <c r="BQ1924" s="2">
        <v>24.124206071857898</v>
      </c>
      <c r="BR1924" s="2">
        <v>24.077641065100298</v>
      </c>
      <c r="BS1924" s="2">
        <v>24.006390180541199</v>
      </c>
      <c r="BT1924" s="2">
        <v>23.998640371539899</v>
      </c>
      <c r="BU1924" s="2">
        <v>24.071561238681799</v>
      </c>
      <c r="BV1924" s="2">
        <v>24.156616305430401</v>
      </c>
      <c r="BW1924" s="2">
        <v>24.0202511822582</v>
      </c>
      <c r="BX1924" s="2">
        <v>24.043780187045702</v>
      </c>
      <c r="BY1924" s="2">
        <v>24.084107770875701</v>
      </c>
      <c r="BZ1924" s="2">
        <v>24.114895823534098</v>
      </c>
      <c r="CA1924" s="2">
        <v>24.1299326128775</v>
      </c>
      <c r="CB1924" s="2">
        <v>24.2646565647374</v>
      </c>
      <c r="CC1924" s="2">
        <v>24.3680135970477</v>
      </c>
      <c r="CD1924" s="2">
        <v>24.083028740213202</v>
      </c>
      <c r="CE1924" s="2">
        <v>24.094994207768799</v>
      </c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</row>
    <row r="1925" spans="1:97">
      <c r="A1925" s="2" t="s">
        <v>16894</v>
      </c>
      <c r="B1925" s="2">
        <v>174.18512000000001</v>
      </c>
      <c r="C1925" s="2">
        <v>5.1909999999999998</v>
      </c>
      <c r="D1925" s="2" t="s">
        <v>84</v>
      </c>
      <c r="E1925" s="2" t="s">
        <v>16895</v>
      </c>
      <c r="F1925" s="2" t="s">
        <v>16896</v>
      </c>
      <c r="G1925" s="2">
        <v>9941</v>
      </c>
      <c r="H1925" s="3" t="str">
        <f>HYPERLINK("https://cloud.oebiotech.com/#/lm/network/9941", "https://cloud.oebiotech.com/#/lm/network/9941")</f>
        <v>https://cloud.oebiotech.com/#/lm/network/9941</v>
      </c>
      <c r="I1925" s="2"/>
      <c r="J1925" s="2">
        <v>98153</v>
      </c>
      <c r="K1925" s="2" t="s">
        <v>16897</v>
      </c>
      <c r="L1925" s="2">
        <v>19931418</v>
      </c>
      <c r="M1925" s="2"/>
      <c r="N1925" s="2"/>
      <c r="O1925" s="2"/>
      <c r="P1925" s="2"/>
      <c r="Q1925" s="2"/>
      <c r="R1925" s="2"/>
      <c r="S1925" s="2"/>
      <c r="T1925" s="2" t="s">
        <v>16898</v>
      </c>
      <c r="U1925" s="2" t="s">
        <v>16899</v>
      </c>
      <c r="V1925" s="2" t="s">
        <v>338</v>
      </c>
      <c r="W1925" s="2" t="s">
        <v>339</v>
      </c>
      <c r="X1925" s="2" t="s">
        <v>340</v>
      </c>
      <c r="Y1925" s="2" t="s">
        <v>341</v>
      </c>
      <c r="Z1925" s="2" t="s">
        <v>341</v>
      </c>
      <c r="AA1925" s="2" t="s">
        <v>342</v>
      </c>
      <c r="AB1925" s="2" t="s">
        <v>8443</v>
      </c>
      <c r="AC1925" s="2">
        <v>38.840000000000003</v>
      </c>
      <c r="AD1925" s="2">
        <v>94.18</v>
      </c>
      <c r="AE1925" s="2">
        <v>0</v>
      </c>
      <c r="AF1925" s="2" t="s">
        <v>5614</v>
      </c>
      <c r="AG1925" s="2" t="s">
        <v>132</v>
      </c>
      <c r="AH1925" s="2" t="s">
        <v>5051</v>
      </c>
      <c r="AI1925" s="2">
        <v>0.56999999999999995</v>
      </c>
      <c r="AJ1925" s="2">
        <v>17.986978320841398</v>
      </c>
      <c r="AK1925" s="2">
        <v>18.343133524052799</v>
      </c>
      <c r="AL1925" s="2">
        <v>18.4428898520788</v>
      </c>
      <c r="AM1925" s="2">
        <v>18.032638654183799</v>
      </c>
      <c r="AN1925" s="2">
        <v>18.374593952209398</v>
      </c>
      <c r="AO1925" s="2">
        <v>18.380884745498101</v>
      </c>
      <c r="AP1925" s="2">
        <v>18.360855398165899</v>
      </c>
      <c r="AQ1925" s="2">
        <v>18.5299484492784</v>
      </c>
      <c r="AR1925" s="2">
        <v>17.079611759902999</v>
      </c>
      <c r="AS1925" s="2">
        <v>17.1827699740032</v>
      </c>
      <c r="AT1925" s="2">
        <v>17.3820686408196</v>
      </c>
      <c r="AU1925" s="2">
        <v>17.138756464126999</v>
      </c>
      <c r="AV1925" s="2">
        <v>16.629737110318501</v>
      </c>
      <c r="AW1925" s="2">
        <v>17.2603291292574</v>
      </c>
      <c r="AX1925" s="2">
        <v>16.902823649231699</v>
      </c>
      <c r="AY1925" s="2">
        <v>16.757828153112399</v>
      </c>
      <c r="AZ1925" s="2">
        <v>16.711544512420598</v>
      </c>
      <c r="BA1925" s="2">
        <v>16.968318608315801</v>
      </c>
      <c r="BB1925" s="2">
        <v>16.9491533673819</v>
      </c>
      <c r="BC1925" s="2">
        <v>17.2477492603367</v>
      </c>
      <c r="BD1925" s="2">
        <v>16.563463385645001</v>
      </c>
      <c r="BE1925" s="2">
        <v>17.173683674476401</v>
      </c>
      <c r="BF1925" s="2">
        <v>16.976636166871302</v>
      </c>
      <c r="BG1925" s="2">
        <v>16.9575761643714</v>
      </c>
      <c r="BH1925" s="2">
        <v>16.8262213661773</v>
      </c>
      <c r="BI1925" s="2">
        <v>16.3367265596079</v>
      </c>
      <c r="BJ1925" s="2">
        <v>16.512388016065</v>
      </c>
      <c r="BK1925" s="2">
        <v>16.6163706495993</v>
      </c>
      <c r="BL1925" s="2">
        <v>17.347653114014602</v>
      </c>
      <c r="BM1925" s="2">
        <v>17.1792724264402</v>
      </c>
      <c r="BN1925" s="2">
        <v>17.757696789058901</v>
      </c>
      <c r="BO1925" s="2">
        <v>16.9530194141172</v>
      </c>
      <c r="BP1925" s="2">
        <v>17.705856373754798</v>
      </c>
      <c r="BQ1925" s="2">
        <v>17.489661482185902</v>
      </c>
      <c r="BR1925" s="2">
        <v>18.2756228925115</v>
      </c>
      <c r="BS1925" s="2">
        <v>17.362717894340101</v>
      </c>
      <c r="BT1925" s="2">
        <v>17.605507297544701</v>
      </c>
      <c r="BU1925" s="2">
        <v>17.1597059068276</v>
      </c>
      <c r="BV1925" s="2">
        <v>17.9673536014996</v>
      </c>
      <c r="BW1925" s="2">
        <v>17.348208935377802</v>
      </c>
      <c r="BX1925" s="2">
        <v>17.471102261170799</v>
      </c>
      <c r="BY1925" s="2">
        <v>17.5769535656238</v>
      </c>
      <c r="BZ1925" s="2">
        <v>16.8937775388431</v>
      </c>
      <c r="CA1925" s="2">
        <v>15.707712590049701</v>
      </c>
      <c r="CB1925" s="2">
        <v>17.464606770678799</v>
      </c>
      <c r="CC1925" s="2">
        <v>17.426112800427902</v>
      </c>
      <c r="CD1925" s="2">
        <v>17.533501297678299</v>
      </c>
      <c r="CE1925" s="2">
        <v>17.1551814065263</v>
      </c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</row>
    <row r="1926" spans="1:97">
      <c r="A1926" s="2" t="s">
        <v>16900</v>
      </c>
      <c r="B1926" s="2">
        <v>1043.60986</v>
      </c>
      <c r="C1926" s="2">
        <v>10.355</v>
      </c>
      <c r="D1926" s="2" t="s">
        <v>146</v>
      </c>
      <c r="E1926" s="2" t="s">
        <v>16901</v>
      </c>
      <c r="F1926" s="2" t="s">
        <v>16902</v>
      </c>
      <c r="G1926" s="2">
        <v>48366</v>
      </c>
      <c r="H1926" s="3" t="str">
        <f>HYPERLINK("https://cloud.oebiotech.com/#/lm/network/48366", "https://cloud.oebiotech.com/#/lm/network/48366")</f>
        <v>https://cloud.oebiotech.com/#/lm/network/48366</v>
      </c>
      <c r="I1926" s="2" t="s">
        <v>16903</v>
      </c>
      <c r="J1926" s="2">
        <v>7145</v>
      </c>
      <c r="K1926" s="2"/>
      <c r="L1926" s="2">
        <v>22833614</v>
      </c>
      <c r="M1926" s="2"/>
      <c r="N1926" s="2"/>
      <c r="O1926" s="2"/>
      <c r="P1926" s="2"/>
      <c r="Q1926" s="2"/>
      <c r="R1926" s="2"/>
      <c r="S1926" s="2"/>
      <c r="T1926" s="2" t="s">
        <v>16904</v>
      </c>
      <c r="U1926" s="2" t="s">
        <v>16905</v>
      </c>
      <c r="V1926" s="2" t="s">
        <v>95</v>
      </c>
      <c r="W1926" s="2" t="s">
        <v>2361</v>
      </c>
      <c r="X1926" s="2" t="s">
        <v>12383</v>
      </c>
      <c r="Y1926" s="2" t="s">
        <v>98</v>
      </c>
      <c r="Z1926" s="2" t="s">
        <v>2363</v>
      </c>
      <c r="AA1926" s="2" t="s">
        <v>12384</v>
      </c>
      <c r="AB1926" s="2" t="s">
        <v>5118</v>
      </c>
      <c r="AC1926" s="2">
        <v>38.840000000000003</v>
      </c>
      <c r="AD1926" s="2">
        <v>53.38</v>
      </c>
      <c r="AE1926" s="2">
        <v>81.62</v>
      </c>
      <c r="AF1926" s="2" t="s">
        <v>16906</v>
      </c>
      <c r="AG1926" s="2" t="s">
        <v>4062</v>
      </c>
      <c r="AH1926" s="2" t="s">
        <v>16907</v>
      </c>
      <c r="AI1926" s="2">
        <v>-5.75</v>
      </c>
      <c r="AJ1926" s="2">
        <v>19.124180594744601</v>
      </c>
      <c r="AK1926" s="2">
        <v>18.805221531066199</v>
      </c>
      <c r="AL1926" s="2">
        <v>18.6240402617283</v>
      </c>
      <c r="AM1926" s="2">
        <v>18.745385888763401</v>
      </c>
      <c r="AN1926" s="2">
        <v>18.784566795916501</v>
      </c>
      <c r="AO1926" s="2">
        <v>18.5558018160831</v>
      </c>
      <c r="AP1926" s="2">
        <v>18.941825907511799</v>
      </c>
      <c r="AQ1926" s="2">
        <v>18.9688124265478</v>
      </c>
      <c r="AR1926" s="2">
        <v>19.239516301343301</v>
      </c>
      <c r="AS1926" s="2">
        <v>15.7421986293967</v>
      </c>
      <c r="AT1926" s="2">
        <v>17.688926277429101</v>
      </c>
      <c r="AU1926" s="2">
        <v>18.680988944328</v>
      </c>
      <c r="AV1926" s="2">
        <v>18.291177895508199</v>
      </c>
      <c r="AW1926" s="2">
        <v>18.692113971762801</v>
      </c>
      <c r="AX1926" s="2">
        <v>19.3817126407099</v>
      </c>
      <c r="AY1926" s="2">
        <v>18.610321301892299</v>
      </c>
      <c r="AZ1926" s="2">
        <v>18.3594286769893</v>
      </c>
      <c r="BA1926" s="2">
        <v>16.423202759508101</v>
      </c>
      <c r="BB1926" s="2">
        <v>17.7773923595737</v>
      </c>
      <c r="BC1926" s="2">
        <v>19.284093781431299</v>
      </c>
      <c r="BD1926" s="2">
        <v>18.402469554104901</v>
      </c>
      <c r="BE1926" s="2">
        <v>18.651647293942101</v>
      </c>
      <c r="BF1926" s="2">
        <v>18.634107465560401</v>
      </c>
      <c r="BG1926" s="2">
        <v>19.150268633982598</v>
      </c>
      <c r="BH1926" s="2">
        <v>18.770917259725898</v>
      </c>
      <c r="BI1926" s="2">
        <v>19.032945300748001</v>
      </c>
      <c r="BJ1926" s="2">
        <v>18.833283335194501</v>
      </c>
      <c r="BK1926" s="2">
        <v>17.5670908850778</v>
      </c>
      <c r="BL1926" s="2">
        <v>18.657001708636699</v>
      </c>
      <c r="BM1926" s="2">
        <v>18.508365937045198</v>
      </c>
      <c r="BN1926" s="2">
        <v>18.731887344897899</v>
      </c>
      <c r="BO1926" s="2">
        <v>18.613471473472</v>
      </c>
      <c r="BP1926" s="2">
        <v>18.248943080240998</v>
      </c>
      <c r="BQ1926" s="2">
        <v>18.611646841276201</v>
      </c>
      <c r="BR1926" s="2">
        <v>18.902029521629501</v>
      </c>
      <c r="BS1926" s="2">
        <v>19.2919944070347</v>
      </c>
      <c r="BT1926" s="2">
        <v>18.667062533641801</v>
      </c>
      <c r="BU1926" s="2">
        <v>18.219887580163</v>
      </c>
      <c r="BV1926" s="2">
        <v>18.572425935609001</v>
      </c>
      <c r="BW1926" s="2">
        <v>17.989179762782001</v>
      </c>
      <c r="BX1926" s="2">
        <v>18.3393843009653</v>
      </c>
      <c r="BY1926" s="2">
        <v>19.0687847320667</v>
      </c>
      <c r="BZ1926" s="2">
        <v>18.751845678646902</v>
      </c>
      <c r="CA1926" s="2">
        <v>19.016811061930099</v>
      </c>
      <c r="CB1926" s="2">
        <v>18.136264516652201</v>
      </c>
      <c r="CC1926" s="2">
        <v>18.4671469936218</v>
      </c>
      <c r="CD1926" s="2">
        <v>18.852310807539801</v>
      </c>
      <c r="CE1926" s="2">
        <v>17.147905170535601</v>
      </c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</row>
    <row r="1927" spans="1:97">
      <c r="A1927" s="2" t="s">
        <v>16908</v>
      </c>
      <c r="B1927" s="2">
        <v>166.12249</v>
      </c>
      <c r="C1927" s="2">
        <v>15.23</v>
      </c>
      <c r="D1927" s="2" t="s">
        <v>84</v>
      </c>
      <c r="E1927" s="2" t="s">
        <v>16909</v>
      </c>
      <c r="F1927" s="2" t="s">
        <v>16910</v>
      </c>
      <c r="G1927" s="2">
        <v>62923</v>
      </c>
      <c r="H1927" s="3" t="str">
        <f>HYPERLINK("https://cloud.oebiotech.com/#/lm/network/62923", "https://cloud.oebiotech.com/#/lm/network/62923")</f>
        <v>https://cloud.oebiotech.com/#/lm/network/62923</v>
      </c>
      <c r="I1927" s="2" t="s">
        <v>16911</v>
      </c>
      <c r="J1927" s="2">
        <v>94220</v>
      </c>
      <c r="K1927" s="2"/>
      <c r="L1927" s="2">
        <v>131752703</v>
      </c>
      <c r="M1927" s="2"/>
      <c r="N1927" s="2"/>
      <c r="O1927" s="2"/>
      <c r="P1927" s="2">
        <v>173447</v>
      </c>
      <c r="Q1927" s="2"/>
      <c r="R1927" s="2"/>
      <c r="S1927" s="2" t="s">
        <v>16912</v>
      </c>
      <c r="T1927" s="2" t="s">
        <v>16913</v>
      </c>
      <c r="U1927" s="2" t="s">
        <v>16914</v>
      </c>
      <c r="V1927" s="2" t="s">
        <v>553</v>
      </c>
      <c r="W1927" s="2" t="s">
        <v>2447</v>
      </c>
      <c r="X1927" s="2" t="s">
        <v>6211</v>
      </c>
      <c r="Y1927" s="2" t="s">
        <v>556</v>
      </c>
      <c r="Z1927" s="2" t="s">
        <v>2449</v>
      </c>
      <c r="AA1927" s="2" t="s">
        <v>6212</v>
      </c>
      <c r="AB1927" s="2" t="s">
        <v>8443</v>
      </c>
      <c r="AC1927" s="2">
        <v>38.83</v>
      </c>
      <c r="AD1927" s="2">
        <v>94.17</v>
      </c>
      <c r="AE1927" s="2">
        <v>0</v>
      </c>
      <c r="AF1927" s="2" t="s">
        <v>5614</v>
      </c>
      <c r="AG1927" s="2" t="s">
        <v>103</v>
      </c>
      <c r="AH1927" s="2" t="s">
        <v>485</v>
      </c>
      <c r="AI1927" s="2">
        <v>0.6</v>
      </c>
      <c r="AJ1927" s="2">
        <v>21.2502385854546</v>
      </c>
      <c r="AK1927" s="2">
        <v>21.372607581506301</v>
      </c>
      <c r="AL1927" s="2">
        <v>21.485349826025701</v>
      </c>
      <c r="AM1927" s="2">
        <v>21.374832311905301</v>
      </c>
      <c r="AN1927" s="2">
        <v>21.317241312929401</v>
      </c>
      <c r="AO1927" s="2">
        <v>21.276435530103399</v>
      </c>
      <c r="AP1927" s="2">
        <v>21.358776460398001</v>
      </c>
      <c r="AQ1927" s="2">
        <v>20.856172865256902</v>
      </c>
      <c r="AR1927" s="2">
        <v>21.2465368180379</v>
      </c>
      <c r="AS1927" s="2">
        <v>21.455348614278101</v>
      </c>
      <c r="AT1927" s="2">
        <v>21.1241554035904</v>
      </c>
      <c r="AU1927" s="2">
        <v>21.387533426772102</v>
      </c>
      <c r="AV1927" s="2">
        <v>21.474219706744101</v>
      </c>
      <c r="AW1927" s="2">
        <v>21.577583676865999</v>
      </c>
      <c r="AX1927" s="2">
        <v>21.262409996637199</v>
      </c>
      <c r="AY1927" s="2">
        <v>21.3406275428603</v>
      </c>
      <c r="AZ1927" s="2">
        <v>21.228934331581701</v>
      </c>
      <c r="BA1927" s="2">
        <v>19.602792328391899</v>
      </c>
      <c r="BB1927" s="2">
        <v>19.773711920246701</v>
      </c>
      <c r="BC1927" s="2">
        <v>21.2702977677714</v>
      </c>
      <c r="BD1927" s="2">
        <v>21.3389974535927</v>
      </c>
      <c r="BE1927" s="2">
        <v>21.2691731007179</v>
      </c>
      <c r="BF1927" s="2">
        <v>19.694394822070699</v>
      </c>
      <c r="BG1927" s="2">
        <v>21.266386846611599</v>
      </c>
      <c r="BH1927" s="2">
        <v>21.3564876002002</v>
      </c>
      <c r="BI1927" s="2">
        <v>19.8896754847691</v>
      </c>
      <c r="BJ1927" s="2">
        <v>21.368975041113899</v>
      </c>
      <c r="BK1927" s="2">
        <v>21.369402720027502</v>
      </c>
      <c r="BL1927" s="2">
        <v>21.401506117118402</v>
      </c>
      <c r="BM1927" s="2">
        <v>19.6382731144265</v>
      </c>
      <c r="BN1927" s="2">
        <v>21.6686557847692</v>
      </c>
      <c r="BO1927" s="2">
        <v>21.4126289038987</v>
      </c>
      <c r="BP1927" s="2">
        <v>21.377383669462802</v>
      </c>
      <c r="BQ1927" s="2">
        <v>21.100353519594901</v>
      </c>
      <c r="BR1927" s="2">
        <v>21.345269322740599</v>
      </c>
      <c r="BS1927" s="2">
        <v>21.1752765135837</v>
      </c>
      <c r="BT1927" s="2">
        <v>21.473121178056498</v>
      </c>
      <c r="BU1927" s="2">
        <v>19.7464792380771</v>
      </c>
      <c r="BV1927" s="2">
        <v>21.557020593028199</v>
      </c>
      <c r="BW1927" s="2">
        <v>21.4046346026234</v>
      </c>
      <c r="BX1927" s="2">
        <v>21.516593667225099</v>
      </c>
      <c r="BY1927" s="2">
        <v>21.352243118554899</v>
      </c>
      <c r="BZ1927" s="2">
        <v>19.636333646475599</v>
      </c>
      <c r="CA1927" s="2">
        <v>19.287352945918499</v>
      </c>
      <c r="CB1927" s="2">
        <v>21.311730108056999</v>
      </c>
      <c r="CC1927" s="2">
        <v>21.368415856474499</v>
      </c>
      <c r="CD1927" s="2">
        <v>21.258815712156299</v>
      </c>
      <c r="CE1927" s="2">
        <v>21.3955202505351</v>
      </c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</row>
    <row r="1928" spans="1:97">
      <c r="A1928" s="2" t="s">
        <v>16915</v>
      </c>
      <c r="B1928" s="2">
        <v>176.12790000000001</v>
      </c>
      <c r="C1928" s="2">
        <v>0.77100000000000002</v>
      </c>
      <c r="D1928" s="2" t="s">
        <v>84</v>
      </c>
      <c r="E1928" s="2" t="s">
        <v>16916</v>
      </c>
      <c r="F1928" s="2"/>
      <c r="G1928" s="2">
        <v>596398</v>
      </c>
      <c r="H1928" s="3" t="str">
        <f>HYPERLINK("https://cloud.oebiotech.com/#/lm/network/596398", "https://cloud.oebiotech.com/#/lm/network/596398")</f>
        <v>https://cloud.oebiotech.com/#/lm/network/596398</v>
      </c>
      <c r="I1928" s="2"/>
      <c r="J1928" s="2"/>
      <c r="K1928" s="2"/>
      <c r="L1928" s="2">
        <v>53793784</v>
      </c>
      <c r="M1928" s="2"/>
      <c r="N1928" s="2"/>
      <c r="O1928" s="2"/>
      <c r="P1928" s="2"/>
      <c r="Q1928" s="2"/>
      <c r="R1928" s="2"/>
      <c r="S1928" s="2"/>
      <c r="T1928" s="2" t="s">
        <v>16917</v>
      </c>
      <c r="U1928" s="2" t="s">
        <v>16918</v>
      </c>
      <c r="V1928" s="2" t="s">
        <v>95</v>
      </c>
      <c r="W1928" s="2" t="s">
        <v>96</v>
      </c>
      <c r="X1928" s="2" t="s">
        <v>141</v>
      </c>
      <c r="Y1928" s="2" t="s">
        <v>98</v>
      </c>
      <c r="Z1928" s="2" t="s">
        <v>99</v>
      </c>
      <c r="AA1928" s="2" t="s">
        <v>142</v>
      </c>
      <c r="AB1928" s="2" t="s">
        <v>8443</v>
      </c>
      <c r="AC1928" s="2">
        <v>38.83</v>
      </c>
      <c r="AD1928" s="2">
        <v>94.83</v>
      </c>
      <c r="AE1928" s="2">
        <v>0</v>
      </c>
      <c r="AF1928" s="2" t="s">
        <v>16919</v>
      </c>
      <c r="AG1928" s="2" t="s">
        <v>132</v>
      </c>
      <c r="AH1928" s="2" t="s">
        <v>6079</v>
      </c>
      <c r="AI1928" s="2">
        <v>1.1399999999999999</v>
      </c>
      <c r="AJ1928" s="2">
        <v>22.912314788253301</v>
      </c>
      <c r="AK1928" s="2">
        <v>22.9728090962384</v>
      </c>
      <c r="AL1928" s="2">
        <v>22.8757775868911</v>
      </c>
      <c r="AM1928" s="2">
        <v>22.998506496918999</v>
      </c>
      <c r="AN1928" s="2">
        <v>22.934686214746499</v>
      </c>
      <c r="AO1928" s="2">
        <v>22.9107974942463</v>
      </c>
      <c r="AP1928" s="2">
        <v>22.841742182193901</v>
      </c>
      <c r="AQ1928" s="2">
        <v>22.920848149028298</v>
      </c>
      <c r="AR1928" s="2">
        <v>21.8955033795412</v>
      </c>
      <c r="AS1928" s="2">
        <v>22.400509278553098</v>
      </c>
      <c r="AT1928" s="2">
        <v>22.0923650940131</v>
      </c>
      <c r="AU1928" s="2">
        <v>22.314150887296002</v>
      </c>
      <c r="AV1928" s="2">
        <v>22.230590835041799</v>
      </c>
      <c r="AW1928" s="2">
        <v>22.326154468345699</v>
      </c>
      <c r="AX1928" s="2">
        <v>22.909138733869</v>
      </c>
      <c r="AY1928" s="2">
        <v>22.030595245786699</v>
      </c>
      <c r="AZ1928" s="2">
        <v>23.007343359547701</v>
      </c>
      <c r="BA1928" s="2">
        <v>22.747446329975599</v>
      </c>
      <c r="BB1928" s="2">
        <v>25.339085229048401</v>
      </c>
      <c r="BC1928" s="2">
        <v>24.487990854666599</v>
      </c>
      <c r="BD1928" s="2">
        <v>22.857886499783</v>
      </c>
      <c r="BE1928" s="2">
        <v>22.207447959976001</v>
      </c>
      <c r="BF1928" s="2">
        <v>22.809867553492602</v>
      </c>
      <c r="BG1928" s="2">
        <v>22.323477937495401</v>
      </c>
      <c r="BH1928" s="2">
        <v>22.950131311912301</v>
      </c>
      <c r="BI1928" s="2">
        <v>23.218274161782201</v>
      </c>
      <c r="BJ1928" s="2">
        <v>23.0742739984032</v>
      </c>
      <c r="BK1928" s="2">
        <v>22.1445566180467</v>
      </c>
      <c r="BL1928" s="2">
        <v>21.7379361605919</v>
      </c>
      <c r="BM1928" s="2">
        <v>22.568219931241298</v>
      </c>
      <c r="BN1928" s="2">
        <v>22.351466013636699</v>
      </c>
      <c r="BO1928" s="2">
        <v>22.4983980942106</v>
      </c>
      <c r="BP1928" s="2">
        <v>22.352645548621201</v>
      </c>
      <c r="BQ1928" s="2">
        <v>21.976045197987201</v>
      </c>
      <c r="BR1928" s="2">
        <v>22.360729485962999</v>
      </c>
      <c r="BS1928" s="2">
        <v>22.040000008163599</v>
      </c>
      <c r="BT1928" s="2">
        <v>22.176961174036599</v>
      </c>
      <c r="BU1928" s="2">
        <v>22.753892599064802</v>
      </c>
      <c r="BV1928" s="2">
        <v>24.1159696411484</v>
      </c>
      <c r="BW1928" s="2">
        <v>23.487482539719299</v>
      </c>
      <c r="BX1928" s="2">
        <v>23.244138493697101</v>
      </c>
      <c r="BY1928" s="2">
        <v>22.3887578175306</v>
      </c>
      <c r="BZ1928" s="2">
        <v>21.803184060829199</v>
      </c>
      <c r="CA1928" s="2">
        <v>23.234214904547201</v>
      </c>
      <c r="CB1928" s="2">
        <v>22.936233105413201</v>
      </c>
      <c r="CC1928" s="2">
        <v>22.640135044106</v>
      </c>
      <c r="CD1928" s="2">
        <v>23.166558566809801</v>
      </c>
      <c r="CE1928" s="2">
        <v>22.4792536673963</v>
      </c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</row>
    <row r="1929" spans="1:97">
      <c r="A1929" s="2" t="s">
        <v>16920</v>
      </c>
      <c r="B1929" s="2">
        <v>585.35134000000005</v>
      </c>
      <c r="C1929" s="2">
        <v>11.377000000000001</v>
      </c>
      <c r="D1929" s="2" t="s">
        <v>146</v>
      </c>
      <c r="E1929" s="2" t="s">
        <v>16921</v>
      </c>
      <c r="F1929" s="2" t="s">
        <v>16922</v>
      </c>
      <c r="G1929" s="2">
        <v>202207</v>
      </c>
      <c r="H1929" s="3" t="str">
        <f>HYPERLINK("https://cloud.oebiotech.com/#/lm/network/202207", "https://cloud.oebiotech.com/#/lm/network/202207")</f>
        <v>https://cloud.oebiotech.com/#/lm/network/202207</v>
      </c>
      <c r="I1929" s="2" t="s">
        <v>16923</v>
      </c>
      <c r="J1929" s="2"/>
      <c r="K1929" s="2"/>
      <c r="L1929" s="2">
        <v>104172</v>
      </c>
      <c r="M1929" s="2"/>
      <c r="N1929" s="2"/>
      <c r="O1929" s="2"/>
      <c r="P1929" s="2"/>
      <c r="Q1929" s="2"/>
      <c r="R1929" s="2"/>
      <c r="S1929" s="2"/>
      <c r="T1929" s="2" t="s">
        <v>16924</v>
      </c>
      <c r="U1929" s="2" t="s">
        <v>16925</v>
      </c>
      <c r="V1929" s="2" t="s">
        <v>385</v>
      </c>
      <c r="W1929" s="2" t="s">
        <v>386</v>
      </c>
      <c r="X1929" s="2" t="s">
        <v>7744</v>
      </c>
      <c r="Y1929" s="2" t="s">
        <v>388</v>
      </c>
      <c r="Z1929" s="2" t="s">
        <v>389</v>
      </c>
      <c r="AA1929" s="2" t="s">
        <v>7745</v>
      </c>
      <c r="AB1929" s="2" t="s">
        <v>8443</v>
      </c>
      <c r="AC1929" s="2">
        <v>38.81</v>
      </c>
      <c r="AD1929" s="2">
        <v>71.510000000000005</v>
      </c>
      <c r="AE1929" s="2">
        <v>0</v>
      </c>
      <c r="AF1929" s="2" t="s">
        <v>16926</v>
      </c>
      <c r="AG1929" s="2" t="s">
        <v>3880</v>
      </c>
      <c r="AH1929" s="2" t="s">
        <v>16927</v>
      </c>
      <c r="AI1929" s="2">
        <v>-4.6100000000000003</v>
      </c>
      <c r="AJ1929" s="2">
        <v>19.214933940624601</v>
      </c>
      <c r="AK1929" s="2">
        <v>18.997030258568699</v>
      </c>
      <c r="AL1929" s="2">
        <v>18.6140593475487</v>
      </c>
      <c r="AM1929" s="2">
        <v>18.657485935413298</v>
      </c>
      <c r="AN1929" s="2">
        <v>19.0021439791348</v>
      </c>
      <c r="AO1929" s="2">
        <v>18.615868040669699</v>
      </c>
      <c r="AP1929" s="2">
        <v>18.360348843236899</v>
      </c>
      <c r="AQ1929" s="2">
        <v>18.9128590829513</v>
      </c>
      <c r="AR1929" s="2">
        <v>19.914057489768101</v>
      </c>
      <c r="AS1929" s="2">
        <v>17.485056240499599</v>
      </c>
      <c r="AT1929" s="2">
        <v>18.659580935332801</v>
      </c>
      <c r="AU1929" s="2">
        <v>19.088728363229102</v>
      </c>
      <c r="AV1929" s="2">
        <v>18.219445447910001</v>
      </c>
      <c r="AW1929" s="2">
        <v>18.793444712056001</v>
      </c>
      <c r="AX1929" s="2">
        <v>18.933987411590898</v>
      </c>
      <c r="AY1929" s="2">
        <v>18.673600002333998</v>
      </c>
      <c r="AZ1929" s="2">
        <v>19.125013100762398</v>
      </c>
      <c r="BA1929" s="2">
        <v>17.6391996545733</v>
      </c>
      <c r="BB1929" s="2">
        <v>18.593811956888398</v>
      </c>
      <c r="BC1929" s="2">
        <v>19.5289287219077</v>
      </c>
      <c r="BD1929" s="2">
        <v>18.719523886782198</v>
      </c>
      <c r="BE1929" s="2">
        <v>19.4447593042166</v>
      </c>
      <c r="BF1929" s="2">
        <v>18.299819880071599</v>
      </c>
      <c r="BG1929" s="2">
        <v>18.722267953569499</v>
      </c>
      <c r="BH1929" s="2">
        <v>18.3154721313892</v>
      </c>
      <c r="BI1929" s="2">
        <v>18.760454874675101</v>
      </c>
      <c r="BJ1929" s="2">
        <v>18.8251332635637</v>
      </c>
      <c r="BK1929" s="2">
        <v>17.749773273322699</v>
      </c>
      <c r="BL1929" s="2">
        <v>19.125327976443</v>
      </c>
      <c r="BM1929" s="2">
        <v>18.263293686508899</v>
      </c>
      <c r="BN1929" s="2">
        <v>18.467788653307899</v>
      </c>
      <c r="BO1929" s="2">
        <v>18.935945235406201</v>
      </c>
      <c r="BP1929" s="2">
        <v>18.4066676923293</v>
      </c>
      <c r="BQ1929" s="2">
        <v>18.4707170153292</v>
      </c>
      <c r="BR1929" s="2">
        <v>18.8783371224207</v>
      </c>
      <c r="BS1929" s="2">
        <v>18.9012771822483</v>
      </c>
      <c r="BT1929" s="2">
        <v>17.943791955827798</v>
      </c>
      <c r="BU1929" s="2">
        <v>18.6195886802501</v>
      </c>
      <c r="BV1929" s="2">
        <v>19.0057262098703</v>
      </c>
      <c r="BW1929" s="2">
        <v>17.729756348283299</v>
      </c>
      <c r="BX1929" s="2">
        <v>18.7333661915922</v>
      </c>
      <c r="BY1929" s="2">
        <v>19.710694424923499</v>
      </c>
      <c r="BZ1929" s="2">
        <v>18.121975135474901</v>
      </c>
      <c r="CA1929" s="2">
        <v>18.772944139875101</v>
      </c>
      <c r="CB1929" s="2">
        <v>18.5961889188242</v>
      </c>
      <c r="CC1929" s="2">
        <v>18.429232148110898</v>
      </c>
      <c r="CD1929" s="2">
        <v>19.1840063675971</v>
      </c>
      <c r="CE1929" s="2">
        <v>17.712168673420798</v>
      </c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</row>
    <row r="1930" spans="1:97">
      <c r="A1930" s="2" t="s">
        <v>16928</v>
      </c>
      <c r="B1930" s="2">
        <v>208.13047</v>
      </c>
      <c r="C1930" s="2">
        <v>5.4980000000000002</v>
      </c>
      <c r="D1930" s="2" t="s">
        <v>84</v>
      </c>
      <c r="E1930" s="2" t="s">
        <v>16929</v>
      </c>
      <c r="F1930" s="2" t="s">
        <v>16930</v>
      </c>
      <c r="G1930" s="2">
        <v>205928</v>
      </c>
      <c r="H1930" s="3" t="str">
        <f>HYPERLINK("https://cloud.oebiotech.com/#/lm/network/205928", "https://cloud.oebiotech.com/#/lm/network/205928")</f>
        <v>https://cloud.oebiotech.com/#/lm/network/205928</v>
      </c>
      <c r="I1930" s="2" t="s">
        <v>16931</v>
      </c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 t="s">
        <v>16932</v>
      </c>
      <c r="U1930" s="2" t="s">
        <v>16933</v>
      </c>
      <c r="V1930" s="2" t="s">
        <v>553</v>
      </c>
      <c r="W1930" s="2" t="s">
        <v>10339</v>
      </c>
      <c r="X1930" s="2" t="s">
        <v>10340</v>
      </c>
      <c r="Y1930" s="2" t="s">
        <v>556</v>
      </c>
      <c r="Z1930" s="2" t="s">
        <v>10341</v>
      </c>
      <c r="AA1930" s="2" t="s">
        <v>10342</v>
      </c>
      <c r="AB1930" s="2" t="s">
        <v>8443</v>
      </c>
      <c r="AC1930" s="2">
        <v>38.79</v>
      </c>
      <c r="AD1930" s="2">
        <v>93.96</v>
      </c>
      <c r="AE1930" s="2">
        <v>0</v>
      </c>
      <c r="AF1930" s="2" t="s">
        <v>16934</v>
      </c>
      <c r="AG1930" s="2" t="s">
        <v>132</v>
      </c>
      <c r="AH1930" s="2" t="s">
        <v>16935</v>
      </c>
      <c r="AI1930" s="2">
        <v>0</v>
      </c>
      <c r="AJ1930" s="2">
        <v>21.460134972521999</v>
      </c>
      <c r="AK1930" s="2">
        <v>21.702221559884599</v>
      </c>
      <c r="AL1930" s="2">
        <v>21.3751069935016</v>
      </c>
      <c r="AM1930" s="2">
        <v>21.433464397533299</v>
      </c>
      <c r="AN1930" s="2">
        <v>21.642887165664799</v>
      </c>
      <c r="AO1930" s="2">
        <v>21.570746460283001</v>
      </c>
      <c r="AP1930" s="2">
        <v>21.559123618908099</v>
      </c>
      <c r="AQ1930" s="2">
        <v>21.721440952314499</v>
      </c>
      <c r="AR1930" s="2">
        <v>21.237795566726099</v>
      </c>
      <c r="AS1930" s="2">
        <v>21.5191077869727</v>
      </c>
      <c r="AT1930" s="2">
        <v>21.468248542446499</v>
      </c>
      <c r="AU1930" s="2">
        <v>21.4236934873921</v>
      </c>
      <c r="AV1930" s="2">
        <v>21.53907082432</v>
      </c>
      <c r="AW1930" s="2">
        <v>21.579674066811499</v>
      </c>
      <c r="AX1930" s="2">
        <v>21.511198195642301</v>
      </c>
      <c r="AY1930" s="2">
        <v>21.331814487554201</v>
      </c>
      <c r="AZ1930" s="2">
        <v>21.534008583281398</v>
      </c>
      <c r="BA1930" s="2">
        <v>21.2835077453664</v>
      </c>
      <c r="BB1930" s="2">
        <v>21.471185639137602</v>
      </c>
      <c r="BC1930" s="2">
        <v>21.542909236658598</v>
      </c>
      <c r="BD1930" s="2">
        <v>21.454493059606101</v>
      </c>
      <c r="BE1930" s="2">
        <v>21.6768305292638</v>
      </c>
      <c r="BF1930" s="2">
        <v>21.440001014947299</v>
      </c>
      <c r="BG1930" s="2">
        <v>21.467722390014799</v>
      </c>
      <c r="BH1930" s="2">
        <v>21.4372837538704</v>
      </c>
      <c r="BI1930" s="2">
        <v>21.466587179065399</v>
      </c>
      <c r="BJ1930" s="2">
        <v>21.476821826781801</v>
      </c>
      <c r="BK1930" s="2">
        <v>21.655809494116401</v>
      </c>
      <c r="BL1930" s="2">
        <v>21.527898726042299</v>
      </c>
      <c r="BM1930" s="2">
        <v>21.455099021595601</v>
      </c>
      <c r="BN1930" s="2">
        <v>21.533096282987099</v>
      </c>
      <c r="BO1930" s="2">
        <v>21.565671721435098</v>
      </c>
      <c r="BP1930" s="2">
        <v>21.408491421377601</v>
      </c>
      <c r="BQ1930" s="2">
        <v>21.475027912261499</v>
      </c>
      <c r="BR1930" s="2">
        <v>21.4922202590114</v>
      </c>
      <c r="BS1930" s="2">
        <v>21.544943167380598</v>
      </c>
      <c r="BT1930" s="2">
        <v>21.469334165314901</v>
      </c>
      <c r="BU1930" s="2">
        <v>21.409186447304499</v>
      </c>
      <c r="BV1930" s="2">
        <v>21.512249020707301</v>
      </c>
      <c r="BW1930" s="2">
        <v>21.4599358461838</v>
      </c>
      <c r="BX1930" s="2">
        <v>21.5245911637424</v>
      </c>
      <c r="BY1930" s="2">
        <v>21.514351199760601</v>
      </c>
      <c r="BZ1930" s="2">
        <v>21.665708962386599</v>
      </c>
      <c r="CA1930" s="2">
        <v>20.5968376598959</v>
      </c>
      <c r="CB1930" s="2">
        <v>21.614581385747801</v>
      </c>
      <c r="CC1930" s="2">
        <v>21.580007698458399</v>
      </c>
      <c r="CD1930" s="2">
        <v>21.6184480894925</v>
      </c>
      <c r="CE1930" s="2">
        <v>21.6161307850107</v>
      </c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</row>
    <row r="1931" spans="1:97">
      <c r="A1931" s="2" t="s">
        <v>16936</v>
      </c>
      <c r="B1931" s="2">
        <v>88.987859999999998</v>
      </c>
      <c r="C1931" s="2">
        <v>6.2350000000000003</v>
      </c>
      <c r="D1931" s="2" t="s">
        <v>146</v>
      </c>
      <c r="E1931" s="2" t="s">
        <v>16937</v>
      </c>
      <c r="F1931" s="2" t="s">
        <v>16938</v>
      </c>
      <c r="G1931" s="2">
        <v>47743</v>
      </c>
      <c r="H1931" s="3" t="str">
        <f>HYPERLINK("https://cloud.oebiotech.com/#/lm/network/47743", "https://cloud.oebiotech.com/#/lm/network/47743")</f>
        <v>https://cloud.oebiotech.com/#/lm/network/47743</v>
      </c>
      <c r="I1931" s="2" t="s">
        <v>16939</v>
      </c>
      <c r="J1931" s="2">
        <v>3199</v>
      </c>
      <c r="K1931" s="2"/>
      <c r="L1931" s="2">
        <v>280</v>
      </c>
      <c r="M1931" s="2" t="s">
        <v>16940</v>
      </c>
      <c r="N1931" s="2" t="s">
        <v>16941</v>
      </c>
      <c r="O1931" s="2" t="s">
        <v>16942</v>
      </c>
      <c r="P1931" s="2">
        <v>16526</v>
      </c>
      <c r="Q1931" s="2" t="s">
        <v>16943</v>
      </c>
      <c r="R1931" s="2" t="s">
        <v>16944</v>
      </c>
      <c r="S1931" s="2" t="s">
        <v>16945</v>
      </c>
      <c r="T1931" s="2" t="s">
        <v>16946</v>
      </c>
      <c r="U1931" s="2" t="s">
        <v>16947</v>
      </c>
      <c r="V1931" s="2" t="s">
        <v>2756</v>
      </c>
      <c r="W1931" s="2" t="s">
        <v>16948</v>
      </c>
      <c r="X1931" s="2" t="s">
        <v>16949</v>
      </c>
      <c r="Y1931" s="2" t="s">
        <v>2759</v>
      </c>
      <c r="Z1931" s="2" t="s">
        <v>16950</v>
      </c>
      <c r="AA1931" s="2" t="s">
        <v>16951</v>
      </c>
      <c r="AB1931" s="2" t="s">
        <v>8443</v>
      </c>
      <c r="AC1931" s="2">
        <v>38.78</v>
      </c>
      <c r="AD1931" s="2">
        <v>98.47</v>
      </c>
      <c r="AE1931" s="2">
        <v>0</v>
      </c>
      <c r="AF1931" s="2" t="s">
        <v>5614</v>
      </c>
      <c r="AG1931" s="2" t="s">
        <v>157</v>
      </c>
      <c r="AH1931" s="2" t="s">
        <v>16952</v>
      </c>
      <c r="AI1931" s="2">
        <v>1.91</v>
      </c>
      <c r="AJ1931" s="2">
        <v>22.5837071394722</v>
      </c>
      <c r="AK1931" s="2">
        <v>22.362372193276901</v>
      </c>
      <c r="AL1931" s="2">
        <v>22.6015644481602</v>
      </c>
      <c r="AM1931" s="2">
        <v>21.7326961315894</v>
      </c>
      <c r="AN1931" s="2">
        <v>22.444649617257799</v>
      </c>
      <c r="AO1931" s="2">
        <v>22.348915683235798</v>
      </c>
      <c r="AP1931" s="2">
        <v>22.645340983522701</v>
      </c>
      <c r="AQ1931" s="2">
        <v>22.606417116751601</v>
      </c>
      <c r="AR1931" s="2">
        <v>22.023996116660001</v>
      </c>
      <c r="AS1931" s="2">
        <v>22.019182186392001</v>
      </c>
      <c r="AT1931" s="2">
        <v>22.4275386286909</v>
      </c>
      <c r="AU1931" s="2">
        <v>22.6227093407532</v>
      </c>
      <c r="AV1931" s="2">
        <v>22.428467774856401</v>
      </c>
      <c r="AW1931" s="2">
        <v>22.575722329849601</v>
      </c>
      <c r="AX1931" s="2">
        <v>22.446888159584301</v>
      </c>
      <c r="AY1931" s="2">
        <v>22.595792741317599</v>
      </c>
      <c r="AZ1931" s="2">
        <v>22.498138997151401</v>
      </c>
      <c r="BA1931" s="2">
        <v>22.612981808418699</v>
      </c>
      <c r="BB1931" s="2">
        <v>22.599079445788401</v>
      </c>
      <c r="BC1931" s="2">
        <v>22.573283448586501</v>
      </c>
      <c r="BD1931" s="2">
        <v>22.544168194843898</v>
      </c>
      <c r="BE1931" s="2">
        <v>22.503717819138501</v>
      </c>
      <c r="BF1931" s="2">
        <v>22.2855418415567</v>
      </c>
      <c r="BG1931" s="2">
        <v>21.056016257760799</v>
      </c>
      <c r="BH1931" s="2">
        <v>22.583193542786901</v>
      </c>
      <c r="BI1931" s="2">
        <v>22.328035842529601</v>
      </c>
      <c r="BJ1931" s="2">
        <v>22.539585150277901</v>
      </c>
      <c r="BK1931" s="2">
        <v>22.607993952173</v>
      </c>
      <c r="BL1931" s="2">
        <v>22.7254550384392</v>
      </c>
      <c r="BM1931" s="2">
        <v>22.695593173796901</v>
      </c>
      <c r="BN1931" s="2">
        <v>22.601072202827499</v>
      </c>
      <c r="BO1931" s="2">
        <v>22.5226631406561</v>
      </c>
      <c r="BP1931" s="2">
        <v>22.5863327006203</v>
      </c>
      <c r="BQ1931" s="2">
        <v>22.656306375723801</v>
      </c>
      <c r="BR1931" s="2">
        <v>22.292086690484702</v>
      </c>
      <c r="BS1931" s="2">
        <v>22.561385563576401</v>
      </c>
      <c r="BT1931" s="2">
        <v>22.243918325047101</v>
      </c>
      <c r="BU1931" s="2">
        <v>22.362551771906499</v>
      </c>
      <c r="BV1931" s="2">
        <v>22.334340325682799</v>
      </c>
      <c r="BW1931" s="2">
        <v>22.4055573298503</v>
      </c>
      <c r="BX1931" s="2">
        <v>21.614342086265101</v>
      </c>
      <c r="BY1931" s="2">
        <v>22.4419504642966</v>
      </c>
      <c r="BZ1931" s="2">
        <v>22.5734981332186</v>
      </c>
      <c r="CA1931" s="2">
        <v>22.3068495522588</v>
      </c>
      <c r="CB1931" s="2">
        <v>22.442507663466799</v>
      </c>
      <c r="CC1931" s="2">
        <v>22.2083862636558</v>
      </c>
      <c r="CD1931" s="2">
        <v>22.4344614298961</v>
      </c>
      <c r="CE1931" s="2">
        <v>22.417315956055202</v>
      </c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</row>
    <row r="1932" spans="1:97">
      <c r="A1932" s="2" t="s">
        <v>16953</v>
      </c>
      <c r="B1932" s="2">
        <v>145.0317</v>
      </c>
      <c r="C1932" s="2">
        <v>1.5860000000000001</v>
      </c>
      <c r="D1932" s="2" t="s">
        <v>84</v>
      </c>
      <c r="E1932" s="2" t="s">
        <v>16954</v>
      </c>
      <c r="F1932" s="2" t="s">
        <v>16955</v>
      </c>
      <c r="G1932" s="2">
        <v>201788</v>
      </c>
      <c r="H1932" s="3" t="str">
        <f>HYPERLINK("https://cloud.oebiotech.com/#/lm/network/201788", "https://cloud.oebiotech.com/#/lm/network/201788")</f>
        <v>https://cloud.oebiotech.com/#/lm/network/201788</v>
      </c>
      <c r="I1932" s="2" t="s">
        <v>16956</v>
      </c>
      <c r="J1932" s="2"/>
      <c r="K1932" s="2"/>
      <c r="L1932" s="2">
        <v>135406870</v>
      </c>
      <c r="M1932" s="2"/>
      <c r="N1932" s="2"/>
      <c r="O1932" s="2"/>
      <c r="P1932" s="2"/>
      <c r="Q1932" s="2"/>
      <c r="R1932" s="2"/>
      <c r="S1932" s="2"/>
      <c r="T1932" s="2" t="s">
        <v>16957</v>
      </c>
      <c r="U1932" s="2" t="s">
        <v>16958</v>
      </c>
      <c r="V1932" s="2" t="s">
        <v>553</v>
      </c>
      <c r="W1932" s="2" t="s">
        <v>16655</v>
      </c>
      <c r="X1932" s="2" t="s">
        <v>375</v>
      </c>
      <c r="Y1932" s="2" t="s">
        <v>556</v>
      </c>
      <c r="Z1932" s="2" t="s">
        <v>16656</v>
      </c>
      <c r="AA1932" s="2"/>
      <c r="AB1932" s="2" t="s">
        <v>8443</v>
      </c>
      <c r="AC1932" s="2">
        <v>38.78</v>
      </c>
      <c r="AD1932" s="2">
        <v>93.89</v>
      </c>
      <c r="AE1932" s="2">
        <v>0</v>
      </c>
      <c r="AF1932" s="2" t="s">
        <v>5614</v>
      </c>
      <c r="AG1932" s="2" t="s">
        <v>103</v>
      </c>
      <c r="AH1932" s="2" t="s">
        <v>16959</v>
      </c>
      <c r="AI1932" s="2">
        <v>0.69</v>
      </c>
      <c r="AJ1932" s="2">
        <v>20.511111750023598</v>
      </c>
      <c r="AK1932" s="2">
        <v>20.510740403100499</v>
      </c>
      <c r="AL1932" s="2">
        <v>20.605431951689201</v>
      </c>
      <c r="AM1932" s="2">
        <v>19.476363273407902</v>
      </c>
      <c r="AN1932" s="2">
        <v>20.6217886671005</v>
      </c>
      <c r="AO1932" s="2">
        <v>20.543319904056801</v>
      </c>
      <c r="AP1932" s="2">
        <v>20.42172458173</v>
      </c>
      <c r="AQ1932" s="2">
        <v>20.500387319578898</v>
      </c>
      <c r="AR1932" s="2">
        <v>18.8049672826807</v>
      </c>
      <c r="AS1932" s="2">
        <v>18.5354536973867</v>
      </c>
      <c r="AT1932" s="2">
        <v>19.2265804020671</v>
      </c>
      <c r="AU1932" s="2">
        <v>18.5730164548186</v>
      </c>
      <c r="AV1932" s="2">
        <v>20.240143671684599</v>
      </c>
      <c r="AW1932" s="2">
        <v>21.908930325661899</v>
      </c>
      <c r="AX1932" s="2">
        <v>20.294456295185299</v>
      </c>
      <c r="AY1932" s="2">
        <v>21.473200033897001</v>
      </c>
      <c r="AZ1932" s="2">
        <v>19.793308279093299</v>
      </c>
      <c r="BA1932" s="2">
        <v>20.008007455383101</v>
      </c>
      <c r="BB1932" s="2">
        <v>19.443080005185799</v>
      </c>
      <c r="BC1932" s="2">
        <v>21.7341277438227</v>
      </c>
      <c r="BD1932" s="2">
        <v>20.1521890277292</v>
      </c>
      <c r="BE1932" s="2">
        <v>21.0196650931445</v>
      </c>
      <c r="BF1932" s="2">
        <v>19.341516912159499</v>
      </c>
      <c r="BG1932" s="2">
        <v>19.072157758346101</v>
      </c>
      <c r="BH1932" s="2">
        <v>18.739424044447698</v>
      </c>
      <c r="BI1932" s="2">
        <v>21.185978194395801</v>
      </c>
      <c r="BJ1932" s="2">
        <v>21.270242928804301</v>
      </c>
      <c r="BK1932" s="2">
        <v>20.064331670488901</v>
      </c>
      <c r="BL1932" s="2">
        <v>19.195529897426201</v>
      </c>
      <c r="BM1932" s="2">
        <v>21.204583764432499</v>
      </c>
      <c r="BN1932" s="2">
        <v>20.115675133120298</v>
      </c>
      <c r="BO1932" s="2">
        <v>19.312753447530699</v>
      </c>
      <c r="BP1932" s="2">
        <v>18.780666473171401</v>
      </c>
      <c r="BQ1932" s="2">
        <v>19.642072446895899</v>
      </c>
      <c r="BR1932" s="2">
        <v>20.914625826479401</v>
      </c>
      <c r="BS1932" s="2">
        <v>19.994029288552099</v>
      </c>
      <c r="BT1932" s="2">
        <v>18.238244015205002</v>
      </c>
      <c r="BU1932" s="2">
        <v>20.177338908273398</v>
      </c>
      <c r="BV1932" s="2">
        <v>18.748971194267899</v>
      </c>
      <c r="BW1932" s="2">
        <v>18.581386593840101</v>
      </c>
      <c r="BX1932" s="2">
        <v>19.9817265840632</v>
      </c>
      <c r="BY1932" s="2">
        <v>20.8189606380719</v>
      </c>
      <c r="BZ1932" s="2">
        <v>18.9711921045736</v>
      </c>
      <c r="CA1932" s="2">
        <v>21.992984334941799</v>
      </c>
      <c r="CB1932" s="2">
        <v>19.484538317283899</v>
      </c>
      <c r="CC1932" s="2">
        <v>19.961110067260201</v>
      </c>
      <c r="CD1932" s="2">
        <v>18.1821056613576</v>
      </c>
      <c r="CE1932" s="2">
        <v>19.740744770157299</v>
      </c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</row>
    <row r="1933" spans="1:97">
      <c r="A1933" s="2" t="s">
        <v>16960</v>
      </c>
      <c r="B1933" s="2">
        <v>223.11743000000001</v>
      </c>
      <c r="C1933" s="2">
        <v>6.3739999999999997</v>
      </c>
      <c r="D1933" s="2" t="s">
        <v>84</v>
      </c>
      <c r="E1933" s="2" t="s">
        <v>16961</v>
      </c>
      <c r="F1933" s="2" t="s">
        <v>16962</v>
      </c>
      <c r="G1933" s="2">
        <v>56981</v>
      </c>
      <c r="H1933" s="3" t="str">
        <f>HYPERLINK("https://cloud.oebiotech.com/#/lm/network/56981", "https://cloud.oebiotech.com/#/lm/network/56981")</f>
        <v>https://cloud.oebiotech.com/#/lm/network/56981</v>
      </c>
      <c r="I1933" s="2" t="s">
        <v>16963</v>
      </c>
      <c r="J1933" s="2">
        <v>88639</v>
      </c>
      <c r="K1933" s="2"/>
      <c r="L1933" s="2">
        <v>15613266</v>
      </c>
      <c r="M1933" s="2"/>
      <c r="N1933" s="2"/>
      <c r="O1933" s="2"/>
      <c r="P1933" s="2"/>
      <c r="Q1933" s="2"/>
      <c r="R1933" s="2"/>
      <c r="S1933" s="2" t="s">
        <v>16964</v>
      </c>
      <c r="T1933" s="2" t="s">
        <v>16965</v>
      </c>
      <c r="U1933" s="2" t="s">
        <v>16966</v>
      </c>
      <c r="V1933" s="2" t="s">
        <v>338</v>
      </c>
      <c r="W1933" s="2" t="s">
        <v>339</v>
      </c>
      <c r="X1933" s="2" t="s">
        <v>663</v>
      </c>
      <c r="Y1933" s="2" t="s">
        <v>341</v>
      </c>
      <c r="Z1933" s="2" t="s">
        <v>341</v>
      </c>
      <c r="AA1933" s="2" t="s">
        <v>664</v>
      </c>
      <c r="AB1933" s="2" t="s">
        <v>8443</v>
      </c>
      <c r="AC1933" s="2">
        <v>38.78</v>
      </c>
      <c r="AD1933" s="2">
        <v>93.89</v>
      </c>
      <c r="AE1933" s="2">
        <v>0</v>
      </c>
      <c r="AF1933" s="2" t="s">
        <v>5614</v>
      </c>
      <c r="AG1933" s="2" t="s">
        <v>103</v>
      </c>
      <c r="AH1933" s="2" t="s">
        <v>16967</v>
      </c>
      <c r="AI1933" s="2">
        <v>0.9</v>
      </c>
      <c r="AJ1933" s="2">
        <v>18.349093250452899</v>
      </c>
      <c r="AK1933" s="2">
        <v>19.3449183260207</v>
      </c>
      <c r="AL1933" s="2">
        <v>18.7125212238446</v>
      </c>
      <c r="AM1933" s="2">
        <v>19.507044912527299</v>
      </c>
      <c r="AN1933" s="2">
        <v>19.614979285581999</v>
      </c>
      <c r="AO1933" s="2">
        <v>19.088500611845902</v>
      </c>
      <c r="AP1933" s="2">
        <v>19.512071353963101</v>
      </c>
      <c r="AQ1933" s="2">
        <v>19.229465198915399</v>
      </c>
      <c r="AR1933" s="2">
        <v>19.473055872920401</v>
      </c>
      <c r="AS1933" s="2">
        <v>18.9102388481421</v>
      </c>
      <c r="AT1933" s="2">
        <v>18.874898252738699</v>
      </c>
      <c r="AU1933" s="2">
        <v>19.518467770634398</v>
      </c>
      <c r="AV1933" s="2">
        <v>19.326092896265099</v>
      </c>
      <c r="AW1933" s="2">
        <v>19.313048710904599</v>
      </c>
      <c r="AX1933" s="2">
        <v>19.278193454603102</v>
      </c>
      <c r="AY1933" s="2">
        <v>19.408235397542398</v>
      </c>
      <c r="AZ1933" s="2">
        <v>19.3375074448536</v>
      </c>
      <c r="BA1933" s="2">
        <v>19.331479336741602</v>
      </c>
      <c r="BB1933" s="2">
        <v>19.308224270590902</v>
      </c>
      <c r="BC1933" s="2">
        <v>18.984448777954299</v>
      </c>
      <c r="BD1933" s="2">
        <v>19.3569272149374</v>
      </c>
      <c r="BE1933" s="2">
        <v>19.302494548002802</v>
      </c>
      <c r="BF1933" s="2">
        <v>19.249792265235701</v>
      </c>
      <c r="BG1933" s="2">
        <v>19.2972029272855</v>
      </c>
      <c r="BH1933" s="2">
        <v>19.517557269070799</v>
      </c>
      <c r="BI1933" s="2">
        <v>19.367610808207701</v>
      </c>
      <c r="BJ1933" s="2">
        <v>19.712939698456101</v>
      </c>
      <c r="BK1933" s="2">
        <v>19.598257618780401</v>
      </c>
      <c r="BL1933" s="2">
        <v>19.201437925229101</v>
      </c>
      <c r="BM1933" s="2">
        <v>19.467577292570901</v>
      </c>
      <c r="BN1933" s="2">
        <v>19.3776488696953</v>
      </c>
      <c r="BO1933" s="2">
        <v>19.3583286564342</v>
      </c>
      <c r="BP1933" s="2">
        <v>19.359395537998399</v>
      </c>
      <c r="BQ1933" s="2">
        <v>19.6560942357148</v>
      </c>
      <c r="BR1933" s="2">
        <v>19.415652240661</v>
      </c>
      <c r="BS1933" s="2">
        <v>19.2717558541163</v>
      </c>
      <c r="BT1933" s="2">
        <v>19.301827233076899</v>
      </c>
      <c r="BU1933" s="2">
        <v>19.360284000109999</v>
      </c>
      <c r="BV1933" s="2">
        <v>19.528904462959201</v>
      </c>
      <c r="BW1933" s="2">
        <v>19.560614713673299</v>
      </c>
      <c r="BX1933" s="2">
        <v>19.286938797476399</v>
      </c>
      <c r="BY1933" s="2">
        <v>19.513038698344001</v>
      </c>
      <c r="BZ1933" s="2">
        <v>19.248804553841701</v>
      </c>
      <c r="CA1933" s="2">
        <v>18.538418314273201</v>
      </c>
      <c r="CB1933" s="2">
        <v>19.6661058426279</v>
      </c>
      <c r="CC1933" s="2">
        <v>18.902191727359199</v>
      </c>
      <c r="CD1933" s="2">
        <v>19.195437260831401</v>
      </c>
      <c r="CE1933" s="2">
        <v>19.010520921458799</v>
      </c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</row>
    <row r="1934" spans="1:97">
      <c r="A1934" s="2" t="s">
        <v>16968</v>
      </c>
      <c r="B1934" s="2">
        <v>181.06062</v>
      </c>
      <c r="C1934" s="2">
        <v>3.8940000000000001</v>
      </c>
      <c r="D1934" s="2" t="s">
        <v>84</v>
      </c>
      <c r="E1934" s="2" t="s">
        <v>16969</v>
      </c>
      <c r="F1934" s="2" t="s">
        <v>16970</v>
      </c>
      <c r="G1934" s="2">
        <v>64927</v>
      </c>
      <c r="H1934" s="3" t="str">
        <f>HYPERLINK("https://cloud.oebiotech.com/#/lm/network/64927", "https://cloud.oebiotech.com/#/lm/network/64927")</f>
        <v>https://cloud.oebiotech.com/#/lm/network/64927</v>
      </c>
      <c r="I1934" s="2" t="s">
        <v>16971</v>
      </c>
      <c r="J1934" s="2">
        <v>71267</v>
      </c>
      <c r="K1934" s="2"/>
      <c r="L1934" s="2">
        <v>160607</v>
      </c>
      <c r="M1934" s="2" t="s">
        <v>16972</v>
      </c>
      <c r="N1934" s="2" t="s">
        <v>9637</v>
      </c>
      <c r="O1934" s="2" t="s">
        <v>9638</v>
      </c>
      <c r="P1934" s="2">
        <v>80617</v>
      </c>
      <c r="Q1934" s="2"/>
      <c r="R1934" s="2"/>
      <c r="S1934" s="2" t="s">
        <v>16973</v>
      </c>
      <c r="T1934" s="2" t="s">
        <v>16974</v>
      </c>
      <c r="U1934" s="2" t="s">
        <v>16975</v>
      </c>
      <c r="V1934" s="2" t="s">
        <v>115</v>
      </c>
      <c r="W1934" s="2" t="s">
        <v>116</v>
      </c>
      <c r="X1934" s="2" t="s">
        <v>117</v>
      </c>
      <c r="Y1934" s="2" t="s">
        <v>118</v>
      </c>
      <c r="Z1934" s="2" t="s">
        <v>119</v>
      </c>
      <c r="AA1934" s="2" t="s">
        <v>120</v>
      </c>
      <c r="AB1934" s="2" t="s">
        <v>8443</v>
      </c>
      <c r="AC1934" s="2">
        <v>38.770000000000003</v>
      </c>
      <c r="AD1934" s="2">
        <v>94.34</v>
      </c>
      <c r="AE1934" s="2">
        <v>0</v>
      </c>
      <c r="AF1934" s="2" t="s">
        <v>5614</v>
      </c>
      <c r="AG1934" s="2" t="s">
        <v>103</v>
      </c>
      <c r="AH1934" s="2" t="s">
        <v>16976</v>
      </c>
      <c r="AI1934" s="2">
        <v>1.1000000000000001</v>
      </c>
      <c r="AJ1934" s="2">
        <v>20.045153234894201</v>
      </c>
      <c r="AK1934" s="2">
        <v>20.406374694586201</v>
      </c>
      <c r="AL1934" s="2">
        <v>19.978041497056999</v>
      </c>
      <c r="AM1934" s="2">
        <v>19.8473011339543</v>
      </c>
      <c r="AN1934" s="2">
        <v>20.077710468213301</v>
      </c>
      <c r="AO1934" s="2">
        <v>20.196554858872499</v>
      </c>
      <c r="AP1934" s="2">
        <v>20.148286389208401</v>
      </c>
      <c r="AQ1934" s="2">
        <v>20.085640750128</v>
      </c>
      <c r="AR1934" s="2">
        <v>19.346998341757502</v>
      </c>
      <c r="AS1934" s="2">
        <v>19.257598031635499</v>
      </c>
      <c r="AT1934" s="2">
        <v>18.903080766675899</v>
      </c>
      <c r="AU1934" s="2">
        <v>18.820963390347401</v>
      </c>
      <c r="AV1934" s="2">
        <v>19.157794401855099</v>
      </c>
      <c r="AW1934" s="2">
        <v>20.231047146344299</v>
      </c>
      <c r="AX1934" s="2">
        <v>18.136197916292399</v>
      </c>
      <c r="AY1934" s="2">
        <v>19.449830431453002</v>
      </c>
      <c r="AZ1934" s="2">
        <v>20.615103136305599</v>
      </c>
      <c r="BA1934" s="2">
        <v>19.431982398521601</v>
      </c>
      <c r="BB1934" s="2">
        <v>19.894519987889598</v>
      </c>
      <c r="BC1934" s="2">
        <v>19.370199089142702</v>
      </c>
      <c r="BD1934" s="2">
        <v>18.472236871891798</v>
      </c>
      <c r="BE1934" s="2">
        <v>20.070556413283299</v>
      </c>
      <c r="BF1934" s="2">
        <v>20.364552951038299</v>
      </c>
      <c r="BG1934" s="2">
        <v>20.052120787515499</v>
      </c>
      <c r="BH1934" s="2">
        <v>20.407942396580001</v>
      </c>
      <c r="BI1934" s="2">
        <v>19.591292360003401</v>
      </c>
      <c r="BJ1934" s="2">
        <v>19.118637497692902</v>
      </c>
      <c r="BK1934" s="2">
        <v>19.033661980807899</v>
      </c>
      <c r="BL1934" s="2">
        <v>19.660712380825601</v>
      </c>
      <c r="BM1934" s="2">
        <v>20.6874335839886</v>
      </c>
      <c r="BN1934" s="2">
        <v>19.467366438238699</v>
      </c>
      <c r="BO1934" s="2">
        <v>19.716848944581699</v>
      </c>
      <c r="BP1934" s="2">
        <v>19.036407843631199</v>
      </c>
      <c r="BQ1934" s="2">
        <v>20.8870264236641</v>
      </c>
      <c r="BR1934" s="2">
        <v>19.413410341591501</v>
      </c>
      <c r="BS1934" s="2">
        <v>19.098845174560498</v>
      </c>
      <c r="BT1934" s="2">
        <v>19.6985020176866</v>
      </c>
      <c r="BU1934" s="2">
        <v>19.489539325472201</v>
      </c>
      <c r="BV1934" s="2">
        <v>19.262017010577999</v>
      </c>
      <c r="BW1934" s="2">
        <v>18.108055212600402</v>
      </c>
      <c r="BX1934" s="2">
        <v>19.244813561880601</v>
      </c>
      <c r="BY1934" s="2">
        <v>20.817020313071801</v>
      </c>
      <c r="BZ1934" s="2">
        <v>20.681707041999001</v>
      </c>
      <c r="CA1934" s="2">
        <v>20.432375108493201</v>
      </c>
      <c r="CB1934" s="2">
        <v>19.857288184214799</v>
      </c>
      <c r="CC1934" s="2">
        <v>19.469014380637201</v>
      </c>
      <c r="CD1934" s="2">
        <v>19.657965430542301</v>
      </c>
      <c r="CE1934" s="2">
        <v>20.363021112487498</v>
      </c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</row>
    <row r="1935" spans="1:97">
      <c r="A1935" s="2" t="s">
        <v>16977</v>
      </c>
      <c r="B1935" s="2">
        <v>202.00380999999999</v>
      </c>
      <c r="C1935" s="2">
        <v>5.4960000000000004</v>
      </c>
      <c r="D1935" s="2" t="s">
        <v>84</v>
      </c>
      <c r="E1935" s="2" t="s">
        <v>16978</v>
      </c>
      <c r="F1935" s="2" t="s">
        <v>16979</v>
      </c>
      <c r="G1935" s="2">
        <v>200345</v>
      </c>
      <c r="H1935" s="3" t="str">
        <f>HYPERLINK("https://cloud.oebiotech.com/#/lm/network/200345", "https://cloud.oebiotech.com/#/lm/network/200345")</f>
        <v>https://cloud.oebiotech.com/#/lm/network/200345</v>
      </c>
      <c r="I1935" s="2" t="s">
        <v>16980</v>
      </c>
      <c r="J1935" s="2">
        <v>813480</v>
      </c>
      <c r="K1935" s="2"/>
      <c r="L1935" s="2">
        <v>45081485</v>
      </c>
      <c r="M1935" s="2"/>
      <c r="N1935" s="2"/>
      <c r="O1935" s="2"/>
      <c r="P1935" s="2"/>
      <c r="Q1935" s="2"/>
      <c r="R1935" s="2"/>
      <c r="S1935" s="2"/>
      <c r="T1935" s="2" t="s">
        <v>16981</v>
      </c>
      <c r="U1935" s="2" t="s">
        <v>16982</v>
      </c>
      <c r="V1935" s="2" t="s">
        <v>553</v>
      </c>
      <c r="W1935" s="2" t="s">
        <v>933</v>
      </c>
      <c r="X1935" s="2" t="s">
        <v>16983</v>
      </c>
      <c r="Y1935" s="2" t="s">
        <v>556</v>
      </c>
      <c r="Z1935" s="2" t="s">
        <v>935</v>
      </c>
      <c r="AA1935" s="2" t="s">
        <v>16984</v>
      </c>
      <c r="AB1935" s="2" t="s">
        <v>8443</v>
      </c>
      <c r="AC1935" s="2">
        <v>38.770000000000003</v>
      </c>
      <c r="AD1935" s="2">
        <v>74.400000000000006</v>
      </c>
      <c r="AE1935" s="2">
        <v>0</v>
      </c>
      <c r="AF1935" s="2" t="s">
        <v>5614</v>
      </c>
      <c r="AG1935" s="2" t="s">
        <v>1578</v>
      </c>
      <c r="AH1935" s="2" t="s">
        <v>16985</v>
      </c>
      <c r="AI1935" s="2">
        <v>-3.96</v>
      </c>
      <c r="AJ1935" s="2">
        <v>18.4678678011486</v>
      </c>
      <c r="AK1935" s="2">
        <v>18.8137046086274</v>
      </c>
      <c r="AL1935" s="2">
        <v>18.632015674045</v>
      </c>
      <c r="AM1935" s="2">
        <v>19.0970803882208</v>
      </c>
      <c r="AN1935" s="2">
        <v>19.046195162739401</v>
      </c>
      <c r="AO1935" s="2">
        <v>18.871776944013</v>
      </c>
      <c r="AP1935" s="2">
        <v>18.915716487727401</v>
      </c>
      <c r="AQ1935" s="2">
        <v>19.3179053291157</v>
      </c>
      <c r="AR1935" s="2">
        <v>18.901002855932699</v>
      </c>
      <c r="AS1935" s="2">
        <v>18.751754428060501</v>
      </c>
      <c r="AT1935" s="2">
        <v>18.512812631237701</v>
      </c>
      <c r="AU1935" s="2">
        <v>18.455878184579699</v>
      </c>
      <c r="AV1935" s="2">
        <v>18.819935785118201</v>
      </c>
      <c r="AW1935" s="2">
        <v>19.182834458795799</v>
      </c>
      <c r="AX1935" s="2">
        <v>18.6780096116516</v>
      </c>
      <c r="AY1935" s="2">
        <v>18.767769420499501</v>
      </c>
      <c r="AZ1935" s="2">
        <v>18.992275055232898</v>
      </c>
      <c r="BA1935" s="2">
        <v>18.853883777520799</v>
      </c>
      <c r="BB1935" s="2">
        <v>18.616369608513001</v>
      </c>
      <c r="BC1935" s="2">
        <v>18.869938198834699</v>
      </c>
      <c r="BD1935" s="2">
        <v>18.888996795631599</v>
      </c>
      <c r="BE1935" s="2">
        <v>18.699642056980998</v>
      </c>
      <c r="BF1935" s="2">
        <v>18.790306046699399</v>
      </c>
      <c r="BG1935" s="2">
        <v>19.114104767690002</v>
      </c>
      <c r="BH1935" s="2">
        <v>18.707338773931198</v>
      </c>
      <c r="BI1935" s="2">
        <v>18.9516074408977</v>
      </c>
      <c r="BJ1935" s="2">
        <v>18.413747369167901</v>
      </c>
      <c r="BK1935" s="2">
        <v>18.866314917606601</v>
      </c>
      <c r="BL1935" s="2">
        <v>18.859715973289401</v>
      </c>
      <c r="BM1935" s="2">
        <v>18.960377952675199</v>
      </c>
      <c r="BN1935" s="2">
        <v>18.612738111347301</v>
      </c>
      <c r="BO1935" s="2">
        <v>19.227138959820401</v>
      </c>
      <c r="BP1935" s="2">
        <v>18.924765134248201</v>
      </c>
      <c r="BQ1935" s="2">
        <v>18.380782588314698</v>
      </c>
      <c r="BR1935" s="2">
        <v>18.700900850047098</v>
      </c>
      <c r="BS1935" s="2">
        <v>18.742868176125899</v>
      </c>
      <c r="BT1935" s="2">
        <v>18.849534238855099</v>
      </c>
      <c r="BU1935" s="2">
        <v>18.494686313464999</v>
      </c>
      <c r="BV1935" s="2">
        <v>18.867518350404598</v>
      </c>
      <c r="BW1935" s="2">
        <v>18.931306782985999</v>
      </c>
      <c r="BX1935" s="2">
        <v>18.6922500825493</v>
      </c>
      <c r="BY1935" s="2">
        <v>18.610330098153199</v>
      </c>
      <c r="BZ1935" s="2">
        <v>19.045027950265801</v>
      </c>
      <c r="CA1935" s="2">
        <v>18.313093120341101</v>
      </c>
      <c r="CB1935" s="2">
        <v>18.5530660811865</v>
      </c>
      <c r="CC1935" s="2">
        <v>18.939735761004599</v>
      </c>
      <c r="CD1935" s="2">
        <v>18.789331452273402</v>
      </c>
      <c r="CE1935" s="2">
        <v>18.924559433470701</v>
      </c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</row>
    <row r="1936" spans="1:97">
      <c r="A1936" s="2" t="s">
        <v>16986</v>
      </c>
      <c r="B1936" s="2">
        <v>163.09756999999999</v>
      </c>
      <c r="C1936" s="2">
        <v>15.422000000000001</v>
      </c>
      <c r="D1936" s="2" t="s">
        <v>84</v>
      </c>
      <c r="E1936" s="2" t="s">
        <v>16987</v>
      </c>
      <c r="F1936" s="2" t="s">
        <v>16988</v>
      </c>
      <c r="G1936" s="2">
        <v>202453</v>
      </c>
      <c r="H1936" s="3" t="str">
        <f>HYPERLINK("https://cloud.oebiotech.com/#/lm/network/202453", "https://cloud.oebiotech.com/#/lm/network/202453")</f>
        <v>https://cloud.oebiotech.com/#/lm/network/202453</v>
      </c>
      <c r="I1936" s="2" t="s">
        <v>16989</v>
      </c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 t="s">
        <v>16990</v>
      </c>
      <c r="U1936" s="2" t="s">
        <v>16991</v>
      </c>
      <c r="V1936" s="2" t="s">
        <v>553</v>
      </c>
      <c r="W1936" s="2" t="s">
        <v>2447</v>
      </c>
      <c r="X1936" s="2" t="s">
        <v>375</v>
      </c>
      <c r="Y1936" s="2" t="s">
        <v>556</v>
      </c>
      <c r="Z1936" s="2" t="s">
        <v>2449</v>
      </c>
      <c r="AA1936" s="2"/>
      <c r="AB1936" s="2" t="s">
        <v>8443</v>
      </c>
      <c r="AC1936" s="2">
        <v>38.76</v>
      </c>
      <c r="AD1936" s="2">
        <v>94.94</v>
      </c>
      <c r="AE1936" s="2">
        <v>0</v>
      </c>
      <c r="AF1936" s="2" t="s">
        <v>5614</v>
      </c>
      <c r="AG1936" s="2" t="s">
        <v>132</v>
      </c>
      <c r="AH1936" s="2" t="s">
        <v>16992</v>
      </c>
      <c r="AI1936" s="2">
        <v>1.23</v>
      </c>
      <c r="AJ1936" s="2">
        <v>24.301425075116398</v>
      </c>
      <c r="AK1936" s="2">
        <v>24.5246528987192</v>
      </c>
      <c r="AL1936" s="2">
        <v>23.2904499571953</v>
      </c>
      <c r="AM1936" s="2">
        <v>24.1288191246209</v>
      </c>
      <c r="AN1936" s="2">
        <v>23.775520001598501</v>
      </c>
      <c r="AO1936" s="2">
        <v>24.3396190449062</v>
      </c>
      <c r="AP1936" s="2">
        <v>24.091954118487301</v>
      </c>
      <c r="AQ1936" s="2">
        <v>23.867097422452701</v>
      </c>
      <c r="AR1936" s="2">
        <v>24.395590077813601</v>
      </c>
      <c r="AS1936" s="2">
        <v>23.5727603952657</v>
      </c>
      <c r="AT1936" s="2">
        <v>24.236990154207199</v>
      </c>
      <c r="AU1936" s="2">
        <v>24.144856926455699</v>
      </c>
      <c r="AV1936" s="2">
        <v>23.381831061992902</v>
      </c>
      <c r="AW1936" s="2">
        <v>23.973765856760899</v>
      </c>
      <c r="AX1936" s="2">
        <v>24.443340356658201</v>
      </c>
      <c r="AY1936" s="2">
        <v>23.317759208412301</v>
      </c>
      <c r="AZ1936" s="2">
        <v>24.6044023307985</v>
      </c>
      <c r="BA1936" s="2">
        <v>23.427673988614401</v>
      </c>
      <c r="BB1936" s="2">
        <v>24.386205716174601</v>
      </c>
      <c r="BC1936" s="2">
        <v>24.343066445657399</v>
      </c>
      <c r="BD1936" s="2">
        <v>24.195300976001199</v>
      </c>
      <c r="BE1936" s="2">
        <v>23.548202639936299</v>
      </c>
      <c r="BF1936" s="2">
        <v>24.377279192546101</v>
      </c>
      <c r="BG1936" s="2">
        <v>24.4386102769564</v>
      </c>
      <c r="BH1936" s="2">
        <v>23.703138750369501</v>
      </c>
      <c r="BI1936" s="2">
        <v>23.126025231590901</v>
      </c>
      <c r="BJ1936" s="2">
        <v>24.254588400030599</v>
      </c>
      <c r="BK1936" s="2">
        <v>24.3119584396715</v>
      </c>
      <c r="BL1936" s="2">
        <v>23.591280223189401</v>
      </c>
      <c r="BM1936" s="2">
        <v>24.226673143092398</v>
      </c>
      <c r="BN1936" s="2">
        <v>24.127816461496899</v>
      </c>
      <c r="BO1936" s="2">
        <v>24.092219801434801</v>
      </c>
      <c r="BP1936" s="2">
        <v>23.344883057800299</v>
      </c>
      <c r="BQ1936" s="2">
        <v>23.331802999636899</v>
      </c>
      <c r="BR1936" s="2">
        <v>23.183672424717901</v>
      </c>
      <c r="BS1936" s="2">
        <v>23.349351780537798</v>
      </c>
      <c r="BT1936" s="2">
        <v>24.272969243427799</v>
      </c>
      <c r="BU1936" s="2">
        <v>24.086116640528999</v>
      </c>
      <c r="BV1936" s="2">
        <v>24.371087291872101</v>
      </c>
      <c r="BW1936" s="2">
        <v>23.087881778715101</v>
      </c>
      <c r="BX1936" s="2">
        <v>24.252604665200199</v>
      </c>
      <c r="BY1936" s="2">
        <v>24.416757166621</v>
      </c>
      <c r="BZ1936" s="2">
        <v>24.349637981069701</v>
      </c>
      <c r="CA1936" s="2">
        <v>22.865861234838398</v>
      </c>
      <c r="CB1936" s="2">
        <v>24.602365959581402</v>
      </c>
      <c r="CC1936" s="2">
        <v>23.996931050204498</v>
      </c>
      <c r="CD1936" s="2">
        <v>24.129989848521799</v>
      </c>
      <c r="CE1936" s="2">
        <v>23.645385337860201</v>
      </c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</row>
    <row r="1937" spans="1:97">
      <c r="A1937" s="2" t="s">
        <v>16993</v>
      </c>
      <c r="B1937" s="2">
        <v>161.02402000000001</v>
      </c>
      <c r="C1937" s="2">
        <v>5.532</v>
      </c>
      <c r="D1937" s="2" t="s">
        <v>146</v>
      </c>
      <c r="E1937" s="2" t="s">
        <v>16994</v>
      </c>
      <c r="F1937" s="2" t="s">
        <v>16995</v>
      </c>
      <c r="G1937" s="2">
        <v>48119</v>
      </c>
      <c r="H1937" s="3" t="str">
        <f>HYPERLINK("https://cloud.oebiotech.com/#/lm/network/48119", "https://cloud.oebiotech.com/#/lm/network/48119")</f>
        <v>https://cloud.oebiotech.com/#/lm/network/48119</v>
      </c>
      <c r="I1937" s="2" t="s">
        <v>16996</v>
      </c>
      <c r="J1937" s="2">
        <v>3316</v>
      </c>
      <c r="K1937" s="2"/>
      <c r="L1937" s="2">
        <v>1549111</v>
      </c>
      <c r="M1937" s="2" t="s">
        <v>16997</v>
      </c>
      <c r="N1937" s="2"/>
      <c r="O1937" s="2"/>
      <c r="P1937" s="2">
        <v>17395</v>
      </c>
      <c r="Q1937" s="2"/>
      <c r="R1937" s="2"/>
      <c r="S1937" s="2" t="s">
        <v>16998</v>
      </c>
      <c r="T1937" s="2" t="s">
        <v>16999</v>
      </c>
      <c r="U1937" s="2" t="s">
        <v>17000</v>
      </c>
      <c r="V1937" s="2" t="s">
        <v>845</v>
      </c>
      <c r="W1937" s="2" t="s">
        <v>970</v>
      </c>
      <c r="X1937" s="2" t="s">
        <v>971</v>
      </c>
      <c r="Y1937" s="2" t="s">
        <v>847</v>
      </c>
      <c r="Z1937" s="2" t="s">
        <v>972</v>
      </c>
      <c r="AA1937" s="2" t="s">
        <v>973</v>
      </c>
      <c r="AB1937" s="2" t="s">
        <v>8443</v>
      </c>
      <c r="AC1937" s="2">
        <v>38.76</v>
      </c>
      <c r="AD1937" s="2">
        <v>93.81</v>
      </c>
      <c r="AE1937" s="2">
        <v>0</v>
      </c>
      <c r="AF1937" s="2" t="s">
        <v>17001</v>
      </c>
      <c r="AG1937" s="2" t="s">
        <v>993</v>
      </c>
      <c r="AH1937" s="2" t="s">
        <v>17002</v>
      </c>
      <c r="AI1937" s="2">
        <v>-0.62</v>
      </c>
      <c r="AJ1937" s="2">
        <v>17.507332421942898</v>
      </c>
      <c r="AK1937" s="2">
        <v>18.100188168490298</v>
      </c>
      <c r="AL1937" s="2">
        <v>17.614452484574102</v>
      </c>
      <c r="AM1937" s="2">
        <v>17.770430452869402</v>
      </c>
      <c r="AN1937" s="2">
        <v>17.6291274806898</v>
      </c>
      <c r="AO1937" s="2">
        <v>17.782975756190002</v>
      </c>
      <c r="AP1937" s="2">
        <v>17.904789891644501</v>
      </c>
      <c r="AQ1937" s="2">
        <v>17.813634534814099</v>
      </c>
      <c r="AR1937" s="2">
        <v>17.349848773982899</v>
      </c>
      <c r="AS1937" s="2">
        <v>13.818696006901201</v>
      </c>
      <c r="AT1937" s="2">
        <v>13.1833391830202</v>
      </c>
      <c r="AU1937" s="2">
        <v>14.5253788816386</v>
      </c>
      <c r="AV1937" s="2">
        <v>18.999483409225199</v>
      </c>
      <c r="AW1937" s="2">
        <v>16.719774231516102</v>
      </c>
      <c r="AX1937" s="2">
        <v>13.5853862771061</v>
      </c>
      <c r="AY1937" s="2">
        <v>18.2415780421919</v>
      </c>
      <c r="AZ1937" s="2">
        <v>14.7704362602939</v>
      </c>
      <c r="BA1937" s="2">
        <v>14.450912881097199</v>
      </c>
      <c r="BB1937" s="2">
        <v>15.9331039337207</v>
      </c>
      <c r="BC1937" s="2">
        <v>14.4758398055413</v>
      </c>
      <c r="BD1937" s="2">
        <v>17.7478277391638</v>
      </c>
      <c r="BE1937" s="2">
        <v>16.921138009768399</v>
      </c>
      <c r="BF1937" s="2">
        <v>18.048002903763201</v>
      </c>
      <c r="BG1937" s="2">
        <v>9.6233145402724691</v>
      </c>
      <c r="BH1937" s="2">
        <v>12.3826078164272</v>
      </c>
      <c r="BI1937" s="2">
        <v>14.104909109269499</v>
      </c>
      <c r="BJ1937" s="2">
        <v>12.696552474438899</v>
      </c>
      <c r="BK1937" s="2">
        <v>9.6233145402724691</v>
      </c>
      <c r="BL1937" s="2">
        <v>19.0244664951909</v>
      </c>
      <c r="BM1937" s="2">
        <v>13.7589352239075</v>
      </c>
      <c r="BN1937" s="2">
        <v>18.784971372530801</v>
      </c>
      <c r="BO1937" s="2">
        <v>19.762745690418299</v>
      </c>
      <c r="BP1937" s="2">
        <v>12.719889313358101</v>
      </c>
      <c r="BQ1937" s="2">
        <v>16.569352030562001</v>
      </c>
      <c r="BR1937" s="2">
        <v>15.0026177037251</v>
      </c>
      <c r="BS1937" s="2">
        <v>19.468255101355101</v>
      </c>
      <c r="BT1937" s="2">
        <v>15.669576036258301</v>
      </c>
      <c r="BU1937" s="2">
        <v>19.615501619688601</v>
      </c>
      <c r="BV1937" s="2">
        <v>20.128937485027901</v>
      </c>
      <c r="BW1937" s="2">
        <v>13.8477973011482</v>
      </c>
      <c r="BX1937" s="2">
        <v>19.693321506484999</v>
      </c>
      <c r="BY1937" s="2">
        <v>19.698758308399501</v>
      </c>
      <c r="BZ1937" s="2">
        <v>14.2842847957789</v>
      </c>
      <c r="CA1937" s="2">
        <v>18.229876654550601</v>
      </c>
      <c r="CB1937" s="2">
        <v>16.830454796323298</v>
      </c>
      <c r="CC1937" s="2">
        <v>14.246260362353</v>
      </c>
      <c r="CD1937" s="2">
        <v>18.548862989289301</v>
      </c>
      <c r="CE1937" s="2">
        <v>15.162130084144399</v>
      </c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</row>
    <row r="1938" spans="1:97">
      <c r="A1938" s="2" t="s">
        <v>17003</v>
      </c>
      <c r="B1938" s="2">
        <v>244.053</v>
      </c>
      <c r="C1938" s="2">
        <v>1.3979999999999999</v>
      </c>
      <c r="D1938" s="2" t="s">
        <v>84</v>
      </c>
      <c r="E1938" s="2" t="s">
        <v>17004</v>
      </c>
      <c r="F1938" s="2" t="s">
        <v>17005</v>
      </c>
      <c r="G1938" s="2">
        <v>211096</v>
      </c>
      <c r="H1938" s="3" t="str">
        <f>HYPERLINK("https://cloud.oebiotech.com/#/lm/network/211096", "https://cloud.oebiotech.com/#/lm/network/211096")</f>
        <v>https://cloud.oebiotech.com/#/lm/network/211096</v>
      </c>
      <c r="I1938" s="2" t="s">
        <v>17006</v>
      </c>
      <c r="J1938" s="2"/>
      <c r="K1938" s="2"/>
      <c r="L1938" s="2">
        <v>5148969</v>
      </c>
      <c r="M1938" s="2"/>
      <c r="N1938" s="2"/>
      <c r="O1938" s="2"/>
      <c r="P1938" s="2"/>
      <c r="Q1938" s="2"/>
      <c r="R1938" s="2"/>
      <c r="S1938" s="2"/>
      <c r="T1938" s="2" t="s">
        <v>17007</v>
      </c>
      <c r="U1938" s="2" t="s">
        <v>17008</v>
      </c>
      <c r="V1938" s="2" t="s">
        <v>115</v>
      </c>
      <c r="W1938" s="2" t="s">
        <v>116</v>
      </c>
      <c r="X1938" s="2" t="s">
        <v>117</v>
      </c>
      <c r="Y1938" s="2" t="s">
        <v>118</v>
      </c>
      <c r="Z1938" s="2" t="s">
        <v>119</v>
      </c>
      <c r="AA1938" s="2" t="s">
        <v>120</v>
      </c>
      <c r="AB1938" s="2" t="s">
        <v>8443</v>
      </c>
      <c r="AC1938" s="2">
        <v>38.76</v>
      </c>
      <c r="AD1938" s="2">
        <v>74.16</v>
      </c>
      <c r="AE1938" s="2">
        <v>0</v>
      </c>
      <c r="AF1938" s="2" t="s">
        <v>5614</v>
      </c>
      <c r="AG1938" s="2" t="s">
        <v>3544</v>
      </c>
      <c r="AH1938" s="2" t="s">
        <v>17009</v>
      </c>
      <c r="AI1938" s="2">
        <v>-5.33</v>
      </c>
      <c r="AJ1938" s="2">
        <v>19.295664940170902</v>
      </c>
      <c r="AK1938" s="2">
        <v>19.223329094408101</v>
      </c>
      <c r="AL1938" s="2">
        <v>19.2221066856352</v>
      </c>
      <c r="AM1938" s="2">
        <v>19.149611210571599</v>
      </c>
      <c r="AN1938" s="2">
        <v>19.1435012512888</v>
      </c>
      <c r="AO1938" s="2">
        <v>18.326727121118999</v>
      </c>
      <c r="AP1938" s="2">
        <v>18.584114464195199</v>
      </c>
      <c r="AQ1938" s="2">
        <v>19.487938887635298</v>
      </c>
      <c r="AR1938" s="2">
        <v>18.8142725255397</v>
      </c>
      <c r="AS1938" s="2">
        <v>19.143738617031001</v>
      </c>
      <c r="AT1938" s="2">
        <v>18.2883869522541</v>
      </c>
      <c r="AU1938" s="2">
        <v>19.415001967225599</v>
      </c>
      <c r="AV1938" s="2">
        <v>19.4790673396976</v>
      </c>
      <c r="AW1938" s="2">
        <v>19.290200324710501</v>
      </c>
      <c r="AX1938" s="2">
        <v>19.0546358733902</v>
      </c>
      <c r="AY1938" s="2">
        <v>19.034073575423999</v>
      </c>
      <c r="AZ1938" s="2">
        <v>19.584662018033299</v>
      </c>
      <c r="BA1938" s="2">
        <v>18.7837384415825</v>
      </c>
      <c r="BB1938" s="2">
        <v>18.867176916494799</v>
      </c>
      <c r="BC1938" s="2">
        <v>18.331749497013099</v>
      </c>
      <c r="BD1938" s="2">
        <v>18.487686461449599</v>
      </c>
      <c r="BE1938" s="2">
        <v>18.759575692856401</v>
      </c>
      <c r="BF1938" s="2">
        <v>18.627937897356901</v>
      </c>
      <c r="BG1938" s="2">
        <v>19.356907554966298</v>
      </c>
      <c r="BH1938" s="2">
        <v>19.526743341894498</v>
      </c>
      <c r="BI1938" s="2">
        <v>19.151776168569</v>
      </c>
      <c r="BJ1938" s="2">
        <v>19.5795540650055</v>
      </c>
      <c r="BK1938" s="2">
        <v>19.420451063949098</v>
      </c>
      <c r="BL1938" s="2">
        <v>18.8524316082223</v>
      </c>
      <c r="BM1938" s="2">
        <v>19.861978028772601</v>
      </c>
      <c r="BN1938" s="2">
        <v>19.516290350723299</v>
      </c>
      <c r="BO1938" s="2">
        <v>19.119870356671601</v>
      </c>
      <c r="BP1938" s="2">
        <v>19.425371558418199</v>
      </c>
      <c r="BQ1938" s="2">
        <v>19.6272252154859</v>
      </c>
      <c r="BR1938" s="2">
        <v>19.756479719664298</v>
      </c>
      <c r="BS1938" s="2">
        <v>19.1801869044867</v>
      </c>
      <c r="BT1938" s="2">
        <v>19.0373161791535</v>
      </c>
      <c r="BU1938" s="2">
        <v>17.862616837070998</v>
      </c>
      <c r="BV1938" s="2">
        <v>18.346982634994301</v>
      </c>
      <c r="BW1938" s="2">
        <v>18.293535905892</v>
      </c>
      <c r="BX1938" s="2">
        <v>19.3200344381018</v>
      </c>
      <c r="BY1938" s="2">
        <v>19.1335530255114</v>
      </c>
      <c r="BZ1938" s="2">
        <v>19.672961860441099</v>
      </c>
      <c r="CA1938" s="2">
        <v>19.2390031567374</v>
      </c>
      <c r="CB1938" s="2">
        <v>19.4281251627004</v>
      </c>
      <c r="CC1938" s="2">
        <v>19.3486957841586</v>
      </c>
      <c r="CD1938" s="2">
        <v>19.649708896198799</v>
      </c>
      <c r="CE1938" s="2">
        <v>19.052963624395598</v>
      </c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</row>
    <row r="1939" spans="1:97">
      <c r="A1939" s="2" t="s">
        <v>17010</v>
      </c>
      <c r="B1939" s="2">
        <v>332.33143999999999</v>
      </c>
      <c r="C1939" s="2">
        <v>10.074</v>
      </c>
      <c r="D1939" s="2" t="s">
        <v>84</v>
      </c>
      <c r="E1939" s="2" t="s">
        <v>17011</v>
      </c>
      <c r="F1939" s="2" t="s">
        <v>17012</v>
      </c>
      <c r="G1939" s="2">
        <v>9294</v>
      </c>
      <c r="H1939" s="3" t="str">
        <f>HYPERLINK("https://cloud.oebiotech.com/#/lm/network/9294", "https://cloud.oebiotech.com/#/lm/network/9294")</f>
        <v>https://cloud.oebiotech.com/#/lm/network/9294</v>
      </c>
      <c r="I1939" s="2"/>
      <c r="J1939" s="2">
        <v>97592</v>
      </c>
      <c r="K1939" s="2" t="s">
        <v>17013</v>
      </c>
      <c r="L1939" s="2">
        <v>11427023</v>
      </c>
      <c r="M1939" s="2"/>
      <c r="N1939" s="2"/>
      <c r="O1939" s="2"/>
      <c r="P1939" s="2"/>
      <c r="Q1939" s="2"/>
      <c r="R1939" s="2"/>
      <c r="S1939" s="2"/>
      <c r="T1939" s="2" t="s">
        <v>17014</v>
      </c>
      <c r="U1939" s="2" t="s">
        <v>17015</v>
      </c>
      <c r="V1939" s="2" t="s">
        <v>10755</v>
      </c>
      <c r="W1939" s="2" t="s">
        <v>10756</v>
      </c>
      <c r="X1939" s="2" t="s">
        <v>16890</v>
      </c>
      <c r="Y1939" s="2" t="s">
        <v>10758</v>
      </c>
      <c r="Z1939" s="2" t="s">
        <v>10759</v>
      </c>
      <c r="AA1939" s="2" t="s">
        <v>16891</v>
      </c>
      <c r="AB1939" s="2" t="s">
        <v>8443</v>
      </c>
      <c r="AC1939" s="2">
        <v>38.75</v>
      </c>
      <c r="AD1939" s="2">
        <v>93.75</v>
      </c>
      <c r="AE1939" s="2">
        <v>0</v>
      </c>
      <c r="AF1939" s="2" t="s">
        <v>17016</v>
      </c>
      <c r="AG1939" s="2" t="s">
        <v>132</v>
      </c>
      <c r="AH1939" s="2" t="s">
        <v>17017</v>
      </c>
      <c r="AI1939" s="2">
        <v>-0.6</v>
      </c>
      <c r="AJ1939" s="2">
        <v>21.282284037231001</v>
      </c>
      <c r="AK1939" s="2">
        <v>21.194008648748</v>
      </c>
      <c r="AL1939" s="2">
        <v>21.135372461403101</v>
      </c>
      <c r="AM1939" s="2">
        <v>21.398681579782799</v>
      </c>
      <c r="AN1939" s="2">
        <v>21.135785225969698</v>
      </c>
      <c r="AO1939" s="2">
        <v>21.256176714733598</v>
      </c>
      <c r="AP1939" s="2">
        <v>21.295485269583999</v>
      </c>
      <c r="AQ1939" s="2">
        <v>21.1918331808508</v>
      </c>
      <c r="AR1939" s="2">
        <v>21.276315591510599</v>
      </c>
      <c r="AS1939" s="2">
        <v>21.198521041133699</v>
      </c>
      <c r="AT1939" s="2">
        <v>21.086562028162302</v>
      </c>
      <c r="AU1939" s="2">
        <v>21.126621638796401</v>
      </c>
      <c r="AV1939" s="2">
        <v>21.163534326110302</v>
      </c>
      <c r="AW1939" s="2">
        <v>21.358483321723501</v>
      </c>
      <c r="AX1939" s="2">
        <v>21.104686342153801</v>
      </c>
      <c r="AY1939" s="2">
        <v>21.1551549346221</v>
      </c>
      <c r="AZ1939" s="2">
        <v>21.3076029238205</v>
      </c>
      <c r="BA1939" s="2">
        <v>21.130472691839302</v>
      </c>
      <c r="BB1939" s="2">
        <v>21.3426773275499</v>
      </c>
      <c r="BC1939" s="2">
        <v>20.982681561328601</v>
      </c>
      <c r="BD1939" s="2">
        <v>21.1771442505175</v>
      </c>
      <c r="BE1939" s="2">
        <v>21.051981083028299</v>
      </c>
      <c r="BF1939" s="2">
        <v>21.102182174664101</v>
      </c>
      <c r="BG1939" s="2">
        <v>21.586390203987001</v>
      </c>
      <c r="BH1939" s="2">
        <v>21.478026151426899</v>
      </c>
      <c r="BI1939" s="2">
        <v>21.0525739343996</v>
      </c>
      <c r="BJ1939" s="2">
        <v>21.515410704634899</v>
      </c>
      <c r="BK1939" s="2">
        <v>21.595006306127399</v>
      </c>
      <c r="BL1939" s="2">
        <v>21.324281708922999</v>
      </c>
      <c r="BM1939" s="2">
        <v>21.152876259560198</v>
      </c>
      <c r="BN1939" s="2">
        <v>21.026951669593998</v>
      </c>
      <c r="BO1939" s="2">
        <v>21.861401597703399</v>
      </c>
      <c r="BP1939" s="2">
        <v>21.0406461522042</v>
      </c>
      <c r="BQ1939" s="2">
        <v>21.267881159326102</v>
      </c>
      <c r="BR1939" s="2">
        <v>21.208688856583102</v>
      </c>
      <c r="BS1939" s="2">
        <v>21.017601130214601</v>
      </c>
      <c r="BT1939" s="2">
        <v>21.082333237000999</v>
      </c>
      <c r="BU1939" s="2">
        <v>20.979939307222399</v>
      </c>
      <c r="BV1939" s="2">
        <v>21.157161807263499</v>
      </c>
      <c r="BW1939" s="2">
        <v>20.8812476040376</v>
      </c>
      <c r="BX1939" s="2">
        <v>21.0270836985888</v>
      </c>
      <c r="BY1939" s="2">
        <v>21.1168682492562</v>
      </c>
      <c r="BZ1939" s="2">
        <v>21.3534066104808</v>
      </c>
      <c r="CA1939" s="2">
        <v>21.120799225900502</v>
      </c>
      <c r="CB1939" s="2">
        <v>21.459633560915801</v>
      </c>
      <c r="CC1939" s="2">
        <v>21.280069800049699</v>
      </c>
      <c r="CD1939" s="2">
        <v>21.301896013074298</v>
      </c>
      <c r="CE1939" s="2">
        <v>21.0635188469107</v>
      </c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</row>
    <row r="1940" spans="1:97">
      <c r="A1940" s="2" t="s">
        <v>17018</v>
      </c>
      <c r="B1940" s="2">
        <v>159.14904000000001</v>
      </c>
      <c r="C1940" s="2">
        <v>0.63700000000000001</v>
      </c>
      <c r="D1940" s="2" t="s">
        <v>84</v>
      </c>
      <c r="E1940" s="2" t="s">
        <v>17019</v>
      </c>
      <c r="F1940" s="2" t="s">
        <v>17020</v>
      </c>
      <c r="G1940" s="2">
        <v>57608</v>
      </c>
      <c r="H1940" s="3" t="str">
        <f>HYPERLINK("https://cloud.oebiotech.com/#/lm/network/57608", "https://cloud.oebiotech.com/#/lm/network/57608")</f>
        <v>https://cloud.oebiotech.com/#/lm/network/57608</v>
      </c>
      <c r="I1940" s="2" t="s">
        <v>17021</v>
      </c>
      <c r="J1940" s="2">
        <v>89208</v>
      </c>
      <c r="K1940" s="2"/>
      <c r="L1940" s="2">
        <v>426124</v>
      </c>
      <c r="M1940" s="2"/>
      <c r="N1940" s="2"/>
      <c r="O1940" s="2"/>
      <c r="P1940" s="2"/>
      <c r="Q1940" s="2"/>
      <c r="R1940" s="2"/>
      <c r="S1940" s="2" t="s">
        <v>17022</v>
      </c>
      <c r="T1940" s="2" t="s">
        <v>17023</v>
      </c>
      <c r="U1940" s="2" t="s">
        <v>17024</v>
      </c>
      <c r="V1940" s="2" t="s">
        <v>553</v>
      </c>
      <c r="W1940" s="2" t="s">
        <v>3192</v>
      </c>
      <c r="X1940" s="2" t="s">
        <v>375</v>
      </c>
      <c r="Y1940" s="2" t="s">
        <v>556</v>
      </c>
      <c r="Z1940" s="2" t="s">
        <v>3194</v>
      </c>
      <c r="AA1940" s="2"/>
      <c r="AB1940" s="2" t="s">
        <v>8443</v>
      </c>
      <c r="AC1940" s="2">
        <v>38.74</v>
      </c>
      <c r="AD1940" s="2">
        <v>94.98</v>
      </c>
      <c r="AE1940" s="2">
        <v>0</v>
      </c>
      <c r="AF1940" s="2" t="s">
        <v>5614</v>
      </c>
      <c r="AG1940" s="2" t="s">
        <v>132</v>
      </c>
      <c r="AH1940" s="2" t="s">
        <v>684</v>
      </c>
      <c r="AI1940" s="2">
        <v>1.26</v>
      </c>
      <c r="AJ1940" s="2">
        <v>19.133864412892802</v>
      </c>
      <c r="AK1940" s="2">
        <v>19.150905732335101</v>
      </c>
      <c r="AL1940" s="2">
        <v>19.524247551066701</v>
      </c>
      <c r="AM1940" s="2">
        <v>19.527016449632601</v>
      </c>
      <c r="AN1940" s="2">
        <v>19.656399600949101</v>
      </c>
      <c r="AO1940" s="2">
        <v>19.355443778516399</v>
      </c>
      <c r="AP1940" s="2">
        <v>19.685767602780999</v>
      </c>
      <c r="AQ1940" s="2">
        <v>19.5865003155869</v>
      </c>
      <c r="AR1940" s="2">
        <v>18.1348690222496</v>
      </c>
      <c r="AS1940" s="2">
        <v>17.379287654227198</v>
      </c>
      <c r="AT1940" s="2">
        <v>17.302394206019901</v>
      </c>
      <c r="AU1940" s="2">
        <v>18.893107089096201</v>
      </c>
      <c r="AV1940" s="2">
        <v>17.8340511328209</v>
      </c>
      <c r="AW1940" s="2">
        <v>19.160322551765098</v>
      </c>
      <c r="AX1940" s="2">
        <v>18.696147765463</v>
      </c>
      <c r="AY1940" s="2">
        <v>19.508566918748301</v>
      </c>
      <c r="AZ1940" s="2">
        <v>18.289101566837701</v>
      </c>
      <c r="BA1940" s="2">
        <v>17.634039095404599</v>
      </c>
      <c r="BB1940" s="2">
        <v>18.644684761781001</v>
      </c>
      <c r="BC1940" s="2">
        <v>17.9715231222124</v>
      </c>
      <c r="BD1940" s="2">
        <v>19.045368213698801</v>
      </c>
      <c r="BE1940" s="2">
        <v>18.5079778219181</v>
      </c>
      <c r="BF1940" s="2">
        <v>18.629266961174299</v>
      </c>
      <c r="BG1940" s="2">
        <v>19.097739761777</v>
      </c>
      <c r="BH1940" s="2">
        <v>19.1299068154674</v>
      </c>
      <c r="BI1940" s="2">
        <v>20.020855520727</v>
      </c>
      <c r="BJ1940" s="2">
        <v>17.5051993452918</v>
      </c>
      <c r="BK1940" s="2">
        <v>19.496612716573299</v>
      </c>
      <c r="BL1940" s="2">
        <v>19.725202958162701</v>
      </c>
      <c r="BM1940" s="2">
        <v>16.592398636837299</v>
      </c>
      <c r="BN1940" s="2">
        <v>18.879285259766299</v>
      </c>
      <c r="BO1940" s="2">
        <v>19.650137187758801</v>
      </c>
      <c r="BP1940" s="2">
        <v>18.645872123383398</v>
      </c>
      <c r="BQ1940" s="2">
        <v>19.405174045759299</v>
      </c>
      <c r="BR1940" s="2">
        <v>18.709124984305401</v>
      </c>
      <c r="BS1940" s="2">
        <v>18.132971078931501</v>
      </c>
      <c r="BT1940" s="2">
        <v>18.779821547551698</v>
      </c>
      <c r="BU1940" s="2">
        <v>16.537131172374998</v>
      </c>
      <c r="BV1940" s="2">
        <v>18.602913035406701</v>
      </c>
      <c r="BW1940" s="2">
        <v>9.6233145402724691</v>
      </c>
      <c r="BX1940" s="2">
        <v>19.409628810374599</v>
      </c>
      <c r="BY1940" s="2">
        <v>18.083677466143801</v>
      </c>
      <c r="BZ1940" s="2">
        <v>18.579048133085401</v>
      </c>
      <c r="CA1940" s="2">
        <v>19.632497477894901</v>
      </c>
      <c r="CB1940" s="2">
        <v>18.457457273318902</v>
      </c>
      <c r="CC1940" s="2">
        <v>19.501649334711502</v>
      </c>
      <c r="CD1940" s="2">
        <v>19.659882585317</v>
      </c>
      <c r="CE1940" s="2">
        <v>19.185964273505</v>
      </c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</row>
    <row r="1941" spans="1:97">
      <c r="A1941" s="2" t="s">
        <v>17025</v>
      </c>
      <c r="B1941" s="2">
        <v>185.11787000000001</v>
      </c>
      <c r="C1941" s="2">
        <v>11.443</v>
      </c>
      <c r="D1941" s="2" t="s">
        <v>146</v>
      </c>
      <c r="E1941" s="2" t="s">
        <v>17026</v>
      </c>
      <c r="F1941" s="2" t="s">
        <v>17027</v>
      </c>
      <c r="G1941" s="2">
        <v>6293</v>
      </c>
      <c r="H1941" s="3" t="str">
        <f>HYPERLINK("https://cloud.oebiotech.com/#/lm/network/6293", "https://cloud.oebiotech.com/#/lm/network/6293")</f>
        <v>https://cloud.oebiotech.com/#/lm/network/6293</v>
      </c>
      <c r="I1941" s="2" t="s">
        <v>17028</v>
      </c>
      <c r="J1941" s="2">
        <v>89084</v>
      </c>
      <c r="K1941" s="2" t="s">
        <v>17029</v>
      </c>
      <c r="L1941" s="2">
        <v>15382184</v>
      </c>
      <c r="M1941" s="2"/>
      <c r="N1941" s="2"/>
      <c r="O1941" s="2"/>
      <c r="P1941" s="2"/>
      <c r="Q1941" s="2"/>
      <c r="R1941" s="2"/>
      <c r="S1941" s="2" t="s">
        <v>17030</v>
      </c>
      <c r="T1941" s="2" t="s">
        <v>17031</v>
      </c>
      <c r="U1941" s="2" t="s">
        <v>17032</v>
      </c>
      <c r="V1941" s="2" t="s">
        <v>95</v>
      </c>
      <c r="W1941" s="2" t="s">
        <v>96</v>
      </c>
      <c r="X1941" s="2" t="s">
        <v>353</v>
      </c>
      <c r="Y1941" s="2" t="s">
        <v>98</v>
      </c>
      <c r="Z1941" s="2" t="s">
        <v>99</v>
      </c>
      <c r="AA1941" s="2" t="s">
        <v>354</v>
      </c>
      <c r="AB1941" s="2" t="s">
        <v>8443</v>
      </c>
      <c r="AC1941" s="2">
        <v>38.74</v>
      </c>
      <c r="AD1941" s="2">
        <v>93.72</v>
      </c>
      <c r="AE1941" s="2">
        <v>0</v>
      </c>
      <c r="AF1941" s="2" t="s">
        <v>5614</v>
      </c>
      <c r="AG1941" s="2" t="s">
        <v>993</v>
      </c>
      <c r="AH1941" s="2" t="s">
        <v>17033</v>
      </c>
      <c r="AI1941" s="2">
        <v>-0.54</v>
      </c>
      <c r="AJ1941" s="2">
        <v>19.277405123812599</v>
      </c>
      <c r="AK1941" s="2">
        <v>19.209796430410702</v>
      </c>
      <c r="AL1941" s="2">
        <v>19.309779503598499</v>
      </c>
      <c r="AM1941" s="2">
        <v>19.184104270317199</v>
      </c>
      <c r="AN1941" s="2">
        <v>19.019976232710601</v>
      </c>
      <c r="AO1941" s="2">
        <v>18.310953890428699</v>
      </c>
      <c r="AP1941" s="2">
        <v>19.2624025866923</v>
      </c>
      <c r="AQ1941" s="2">
        <v>19.1551343560105</v>
      </c>
      <c r="AR1941" s="2">
        <v>19.108401889057902</v>
      </c>
      <c r="AS1941" s="2">
        <v>19.287735011650401</v>
      </c>
      <c r="AT1941" s="2">
        <v>19.257134958462998</v>
      </c>
      <c r="AU1941" s="2">
        <v>19.0091220082966</v>
      </c>
      <c r="AV1941" s="2">
        <v>19.148285905035301</v>
      </c>
      <c r="AW1941" s="2">
        <v>18.773097213377898</v>
      </c>
      <c r="AX1941" s="2">
        <v>18.4390195700074</v>
      </c>
      <c r="AY1941" s="2">
        <v>19.326426634243401</v>
      </c>
      <c r="AZ1941" s="2">
        <v>19.821353638044599</v>
      </c>
      <c r="BA1941" s="2">
        <v>19.050379972187301</v>
      </c>
      <c r="BB1941" s="2">
        <v>19.430553272994398</v>
      </c>
      <c r="BC1941" s="2">
        <v>20.144294078074601</v>
      </c>
      <c r="BD1941" s="2">
        <v>18.775991311687399</v>
      </c>
      <c r="BE1941" s="2">
        <v>20.712889124950902</v>
      </c>
      <c r="BF1941" s="2">
        <v>19.035472087203399</v>
      </c>
      <c r="BG1941" s="2">
        <v>19.203493018511001</v>
      </c>
      <c r="BH1941" s="2">
        <v>19.204502035743999</v>
      </c>
      <c r="BI1941" s="2">
        <v>19.108140613024901</v>
      </c>
      <c r="BJ1941" s="2">
        <v>19.640451945791899</v>
      </c>
      <c r="BK1941" s="2">
        <v>18.880848803565499</v>
      </c>
      <c r="BL1941" s="2">
        <v>18.5406315904815</v>
      </c>
      <c r="BM1941" s="2">
        <v>19.511351414037399</v>
      </c>
      <c r="BN1941" s="2">
        <v>19.4876508427255</v>
      </c>
      <c r="BO1941" s="2">
        <v>19.191462322593701</v>
      </c>
      <c r="BP1941" s="2">
        <v>18.723173060528101</v>
      </c>
      <c r="BQ1941" s="2">
        <v>18.597693708777001</v>
      </c>
      <c r="BR1941" s="2">
        <v>19.2687600721076</v>
      </c>
      <c r="BS1941" s="2">
        <v>19.3529422861595</v>
      </c>
      <c r="BT1941" s="2">
        <v>19.967259376328499</v>
      </c>
      <c r="BU1941" s="2">
        <v>19.8889956069101</v>
      </c>
      <c r="BV1941" s="2">
        <v>19.5663627324248</v>
      </c>
      <c r="BW1941" s="2">
        <v>18.9104101766887</v>
      </c>
      <c r="BX1941" s="2">
        <v>17.782954390589399</v>
      </c>
      <c r="BY1941" s="2">
        <v>20.334633361925501</v>
      </c>
      <c r="BZ1941" s="2">
        <v>18.668794182952801</v>
      </c>
      <c r="CA1941" s="2">
        <v>19.048454651612602</v>
      </c>
      <c r="CB1941" s="2">
        <v>18.6969364626007</v>
      </c>
      <c r="CC1941" s="2">
        <v>19.137019564707199</v>
      </c>
      <c r="CD1941" s="2">
        <v>19.714780223416099</v>
      </c>
      <c r="CE1941" s="2">
        <v>18.3312211995041</v>
      </c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</row>
    <row r="1942" spans="1:97">
      <c r="A1942" s="2" t="s">
        <v>17034</v>
      </c>
      <c r="B1942" s="2">
        <v>262.01317999999998</v>
      </c>
      <c r="C1942" s="2">
        <v>1.6559999999999999</v>
      </c>
      <c r="D1942" s="2" t="s">
        <v>84</v>
      </c>
      <c r="E1942" s="2" t="s">
        <v>17035</v>
      </c>
      <c r="F1942" s="2" t="s">
        <v>17036</v>
      </c>
      <c r="G1942" s="2">
        <v>200711</v>
      </c>
      <c r="H1942" s="3" t="str">
        <f>HYPERLINK("https://cloud.oebiotech.com/#/lm/network/200711", "https://cloud.oebiotech.com/#/lm/network/200711")</f>
        <v>https://cloud.oebiotech.com/#/lm/network/200711</v>
      </c>
      <c r="I1942" s="2" t="s">
        <v>17037</v>
      </c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 t="s">
        <v>17038</v>
      </c>
      <c r="U1942" s="2" t="s">
        <v>17039</v>
      </c>
      <c r="V1942" s="2" t="s">
        <v>553</v>
      </c>
      <c r="W1942" s="2" t="s">
        <v>2447</v>
      </c>
      <c r="X1942" s="2" t="s">
        <v>17040</v>
      </c>
      <c r="Y1942" s="2" t="s">
        <v>556</v>
      </c>
      <c r="Z1942" s="2" t="s">
        <v>2449</v>
      </c>
      <c r="AA1942" s="2" t="s">
        <v>17041</v>
      </c>
      <c r="AB1942" s="2" t="s">
        <v>5118</v>
      </c>
      <c r="AC1942" s="2">
        <v>38.729999999999997</v>
      </c>
      <c r="AD1942" s="2">
        <v>94.54</v>
      </c>
      <c r="AE1942" s="2">
        <v>46.47</v>
      </c>
      <c r="AF1942" s="2" t="s">
        <v>17042</v>
      </c>
      <c r="AG1942" s="2" t="s">
        <v>103</v>
      </c>
      <c r="AH1942" s="2" t="s">
        <v>17043</v>
      </c>
      <c r="AI1942" s="2">
        <v>-8.01</v>
      </c>
      <c r="AJ1942" s="2">
        <v>19.1778725476969</v>
      </c>
      <c r="AK1942" s="2">
        <v>19.788846121935102</v>
      </c>
      <c r="AL1942" s="2">
        <v>19.822627169566001</v>
      </c>
      <c r="AM1942" s="2">
        <v>19.003504077137901</v>
      </c>
      <c r="AN1942" s="2">
        <v>19.546771441173199</v>
      </c>
      <c r="AO1942" s="2">
        <v>19.850397284520302</v>
      </c>
      <c r="AP1942" s="2">
        <v>19.716091933234299</v>
      </c>
      <c r="AQ1942" s="2">
        <v>19.538859771451001</v>
      </c>
      <c r="AR1942" s="2">
        <v>17.807600323376199</v>
      </c>
      <c r="AS1942" s="2">
        <v>17.6384569144859</v>
      </c>
      <c r="AT1942" s="2">
        <v>19.011782319081</v>
      </c>
      <c r="AU1942" s="2">
        <v>15.8260501411548</v>
      </c>
      <c r="AV1942" s="2">
        <v>18.610496135541101</v>
      </c>
      <c r="AW1942" s="2">
        <v>18.1400989138337</v>
      </c>
      <c r="AX1942" s="2">
        <v>20.073013458959899</v>
      </c>
      <c r="AY1942" s="2">
        <v>19.016528388055701</v>
      </c>
      <c r="AZ1942" s="2">
        <v>18.3700756691638</v>
      </c>
      <c r="BA1942" s="2">
        <v>18.331346435622599</v>
      </c>
      <c r="BB1942" s="2">
        <v>20.50667814354</v>
      </c>
      <c r="BC1942" s="2">
        <v>19.9754440926367</v>
      </c>
      <c r="BD1942" s="2">
        <v>19.2353266900218</v>
      </c>
      <c r="BE1942" s="2">
        <v>18.085764813069002</v>
      </c>
      <c r="BF1942" s="2">
        <v>21.240591035802801</v>
      </c>
      <c r="BG1942" s="2">
        <v>19.264359027056699</v>
      </c>
      <c r="BH1942" s="2">
        <v>17.2180903703456</v>
      </c>
      <c r="BI1942" s="2">
        <v>20.029112474585901</v>
      </c>
      <c r="BJ1942" s="2">
        <v>19.864144920665399</v>
      </c>
      <c r="BK1942" s="2">
        <v>18.481177616237701</v>
      </c>
      <c r="BL1942" s="2">
        <v>19.272107777832499</v>
      </c>
      <c r="BM1942" s="2">
        <v>17.6800697850367</v>
      </c>
      <c r="BN1942" s="2">
        <v>18.4431517767113</v>
      </c>
      <c r="BO1942" s="2">
        <v>18.176712052310702</v>
      </c>
      <c r="BP1942" s="2">
        <v>17.7389352307497</v>
      </c>
      <c r="BQ1942" s="2">
        <v>18.8737001518219</v>
      </c>
      <c r="BR1942" s="2">
        <v>18.436305043800001</v>
      </c>
      <c r="BS1942" s="2">
        <v>19.076476721163399</v>
      </c>
      <c r="BT1942" s="2">
        <v>16.365193300982799</v>
      </c>
      <c r="BU1942" s="2">
        <v>19.211310632377099</v>
      </c>
      <c r="BV1942" s="2">
        <v>19.541215051121402</v>
      </c>
      <c r="BW1942" s="2">
        <v>19.325478507675001</v>
      </c>
      <c r="BX1942" s="2">
        <v>18.297274900792502</v>
      </c>
      <c r="BY1942" s="2">
        <v>18.449429104524899</v>
      </c>
      <c r="BZ1942" s="2">
        <v>18.814559842262</v>
      </c>
      <c r="CA1942" s="2">
        <v>21.858730187568401</v>
      </c>
      <c r="CB1942" s="2">
        <v>18.794684163588901</v>
      </c>
      <c r="CC1942" s="2">
        <v>19.204382532784098</v>
      </c>
      <c r="CD1942" s="2">
        <v>19.960104369420701</v>
      </c>
      <c r="CE1942" s="2">
        <v>20.205009037075801</v>
      </c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</row>
    <row r="1943" spans="1:97">
      <c r="A1943" s="2" t="s">
        <v>17044</v>
      </c>
      <c r="B1943" s="2">
        <v>127.05037</v>
      </c>
      <c r="C1943" s="2">
        <v>14.464</v>
      </c>
      <c r="D1943" s="2" t="s">
        <v>84</v>
      </c>
      <c r="E1943" s="2" t="s">
        <v>17045</v>
      </c>
      <c r="F1943" s="2" t="s">
        <v>17046</v>
      </c>
      <c r="G1943" s="2">
        <v>202143</v>
      </c>
      <c r="H1943" s="3" t="str">
        <f>HYPERLINK("https://cloud.oebiotech.com/#/lm/network/202143", "https://cloud.oebiotech.com/#/lm/network/202143")</f>
        <v>https://cloud.oebiotech.com/#/lm/network/202143</v>
      </c>
      <c r="I1943" s="2" t="s">
        <v>17047</v>
      </c>
      <c r="J1943" s="2"/>
      <c r="K1943" s="2"/>
      <c r="L1943" s="2">
        <v>9822</v>
      </c>
      <c r="M1943" s="2"/>
      <c r="N1943" s="2"/>
      <c r="O1943" s="2"/>
      <c r="P1943" s="2">
        <v>74739</v>
      </c>
      <c r="Q1943" s="2"/>
      <c r="R1943" s="2"/>
      <c r="S1943" s="2"/>
      <c r="T1943" s="2" t="s">
        <v>17048</v>
      </c>
      <c r="U1943" s="2" t="s">
        <v>17049</v>
      </c>
      <c r="V1943" s="2" t="s">
        <v>553</v>
      </c>
      <c r="W1943" s="2" t="s">
        <v>554</v>
      </c>
      <c r="X1943" s="2" t="s">
        <v>15865</v>
      </c>
      <c r="Y1943" s="2" t="s">
        <v>556</v>
      </c>
      <c r="Z1943" s="2" t="s">
        <v>557</v>
      </c>
      <c r="AA1943" s="2" t="s">
        <v>15866</v>
      </c>
      <c r="AB1943" s="2" t="s">
        <v>8443</v>
      </c>
      <c r="AC1943" s="2">
        <v>38.72</v>
      </c>
      <c r="AD1943" s="2">
        <v>96.47</v>
      </c>
      <c r="AE1943" s="2">
        <v>0</v>
      </c>
      <c r="AF1943" s="2" t="s">
        <v>5614</v>
      </c>
      <c r="AG1943" s="2" t="s">
        <v>103</v>
      </c>
      <c r="AH1943" s="2" t="s">
        <v>17050</v>
      </c>
      <c r="AI1943" s="2">
        <v>-1.57</v>
      </c>
      <c r="AJ1943" s="2">
        <v>20.4235478683783</v>
      </c>
      <c r="AK1943" s="2">
        <v>21.259560384748699</v>
      </c>
      <c r="AL1943" s="2">
        <v>20.862204269462001</v>
      </c>
      <c r="AM1943" s="2">
        <v>20.817050137503301</v>
      </c>
      <c r="AN1943" s="2">
        <v>20.6100172752048</v>
      </c>
      <c r="AO1943" s="2">
        <v>20.387549418649701</v>
      </c>
      <c r="AP1943" s="2">
        <v>19.854277353419299</v>
      </c>
      <c r="AQ1943" s="2">
        <v>20.560037041331402</v>
      </c>
      <c r="AR1943" s="2">
        <v>20.734970934224901</v>
      </c>
      <c r="AS1943" s="2">
        <v>20.4640396506305</v>
      </c>
      <c r="AT1943" s="2">
        <v>21.060423805818399</v>
      </c>
      <c r="AU1943" s="2">
        <v>20.660476904468599</v>
      </c>
      <c r="AV1943" s="2">
        <v>20.953906288751899</v>
      </c>
      <c r="AW1943" s="2">
        <v>20.780732961179499</v>
      </c>
      <c r="AX1943" s="2">
        <v>20.759825009655401</v>
      </c>
      <c r="AY1943" s="2">
        <v>20.863726340535401</v>
      </c>
      <c r="AZ1943" s="2">
        <v>21.011210490723698</v>
      </c>
      <c r="BA1943" s="2">
        <v>21.038680182800199</v>
      </c>
      <c r="BB1943" s="2">
        <v>20.892759972664301</v>
      </c>
      <c r="BC1943" s="2">
        <v>21.001489742294599</v>
      </c>
      <c r="BD1943" s="2">
        <v>19.2722596013257</v>
      </c>
      <c r="BE1943" s="2">
        <v>20.3516211090482</v>
      </c>
      <c r="BF1943" s="2">
        <v>20.8837242370723</v>
      </c>
      <c r="BG1943" s="2">
        <v>20.8482104473409</v>
      </c>
      <c r="BH1943" s="2">
        <v>20.466131530743901</v>
      </c>
      <c r="BI1943" s="2">
        <v>21.020422482157901</v>
      </c>
      <c r="BJ1943" s="2">
        <v>20.084417168961199</v>
      </c>
      <c r="BK1943" s="2">
        <v>20.481064369681299</v>
      </c>
      <c r="BL1943" s="2">
        <v>20.724903249820901</v>
      </c>
      <c r="BM1943" s="2">
        <v>20.622656698337298</v>
      </c>
      <c r="BN1943" s="2">
        <v>20.8448891448956</v>
      </c>
      <c r="BO1943" s="2">
        <v>20.9797569317738</v>
      </c>
      <c r="BP1943" s="2">
        <v>20.702998927922</v>
      </c>
      <c r="BQ1943" s="2">
        <v>20.8709632497903</v>
      </c>
      <c r="BR1943" s="2">
        <v>20.544411392532201</v>
      </c>
      <c r="BS1943" s="2">
        <v>20.663120137802299</v>
      </c>
      <c r="BT1943" s="2">
        <v>20.5290458247187</v>
      </c>
      <c r="BU1943" s="2">
        <v>20.540870949667099</v>
      </c>
      <c r="BV1943" s="2">
        <v>20.4657722821634</v>
      </c>
      <c r="BW1943" s="2">
        <v>20.937982234018801</v>
      </c>
      <c r="BX1943" s="2">
        <v>20.7998148187658</v>
      </c>
      <c r="BY1943" s="2">
        <v>20.6153509046541</v>
      </c>
      <c r="BZ1943" s="2">
        <v>20.143766177224101</v>
      </c>
      <c r="CA1943" s="2">
        <v>20.339316420665401</v>
      </c>
      <c r="CB1943" s="2">
        <v>20.200373404693799</v>
      </c>
      <c r="CC1943" s="2">
        <v>20.411444876629002</v>
      </c>
      <c r="CD1943" s="2">
        <v>20.379778573628698</v>
      </c>
      <c r="CE1943" s="2">
        <v>20.560826306320099</v>
      </c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</row>
    <row r="1944" spans="1:97">
      <c r="A1944" s="2" t="s">
        <v>17051</v>
      </c>
      <c r="B1944" s="2">
        <v>202.0257</v>
      </c>
      <c r="C1944" s="2">
        <v>5.6349999999999998</v>
      </c>
      <c r="D1944" s="2" t="s">
        <v>146</v>
      </c>
      <c r="E1944" s="2" t="s">
        <v>17052</v>
      </c>
      <c r="F1944" s="2" t="s">
        <v>17053</v>
      </c>
      <c r="G1944" s="2">
        <v>201219</v>
      </c>
      <c r="H1944" s="3" t="str">
        <f>HYPERLINK("https://cloud.oebiotech.com/#/lm/network/201219", "https://cloud.oebiotech.com/#/lm/network/201219")</f>
        <v>https://cloud.oebiotech.com/#/lm/network/201219</v>
      </c>
      <c r="I1944" s="2" t="s">
        <v>17054</v>
      </c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 t="s">
        <v>17055</v>
      </c>
      <c r="U1944" s="2" t="s">
        <v>17056</v>
      </c>
      <c r="V1944" s="2" t="s">
        <v>845</v>
      </c>
      <c r="W1944" s="2" t="s">
        <v>846</v>
      </c>
      <c r="X1944" s="2" t="s">
        <v>16349</v>
      </c>
      <c r="Y1944" s="2" t="s">
        <v>847</v>
      </c>
      <c r="Z1944" s="2" t="s">
        <v>848</v>
      </c>
      <c r="AA1944" s="2" t="s">
        <v>16350</v>
      </c>
      <c r="AB1944" s="2" t="s">
        <v>8443</v>
      </c>
      <c r="AC1944" s="2">
        <v>38.72</v>
      </c>
      <c r="AD1944" s="2">
        <v>93.61</v>
      </c>
      <c r="AE1944" s="2">
        <v>0</v>
      </c>
      <c r="AF1944" s="2" t="s">
        <v>17057</v>
      </c>
      <c r="AG1944" s="2" t="s">
        <v>194</v>
      </c>
      <c r="AH1944" s="2" t="s">
        <v>17058</v>
      </c>
      <c r="AI1944" s="2">
        <v>0.49</v>
      </c>
      <c r="AJ1944" s="2">
        <v>18.685750410375199</v>
      </c>
      <c r="AK1944" s="2">
        <v>18.656460791937</v>
      </c>
      <c r="AL1944" s="2">
        <v>18.617946208393001</v>
      </c>
      <c r="AM1944" s="2">
        <v>18.782496841321201</v>
      </c>
      <c r="AN1944" s="2">
        <v>18.769327295871499</v>
      </c>
      <c r="AO1944" s="2">
        <v>18.8314069291898</v>
      </c>
      <c r="AP1944" s="2">
        <v>18.836245304008099</v>
      </c>
      <c r="AQ1944" s="2">
        <v>18.764862845925499</v>
      </c>
      <c r="AR1944" s="2">
        <v>11.7974467266136</v>
      </c>
      <c r="AS1944" s="2">
        <v>16.238876217839099</v>
      </c>
      <c r="AT1944" s="2">
        <v>13.046312338375699</v>
      </c>
      <c r="AU1944" s="2">
        <v>14.137748456283299</v>
      </c>
      <c r="AV1944" s="2">
        <v>15.6029426761132</v>
      </c>
      <c r="AW1944" s="2">
        <v>17.7038276877872</v>
      </c>
      <c r="AX1944" s="2">
        <v>9.6233145402724691</v>
      </c>
      <c r="AY1944" s="2">
        <v>14.089396685265701</v>
      </c>
      <c r="AZ1944" s="2">
        <v>9.6233145402724691</v>
      </c>
      <c r="BA1944" s="2">
        <v>13.985596487234901</v>
      </c>
      <c r="BB1944" s="2">
        <v>15.0023724544633</v>
      </c>
      <c r="BC1944" s="2">
        <v>9.6233145402724691</v>
      </c>
      <c r="BD1944" s="2">
        <v>15.979119465578099</v>
      </c>
      <c r="BE1944" s="2">
        <v>16.4104922612926</v>
      </c>
      <c r="BF1944" s="2">
        <v>9.6233145402724691</v>
      </c>
      <c r="BG1944" s="2">
        <v>13.467090937835099</v>
      </c>
      <c r="BH1944" s="2">
        <v>9.6233145402724691</v>
      </c>
      <c r="BI1944" s="2">
        <v>14.5009744192086</v>
      </c>
      <c r="BJ1944" s="2">
        <v>9.6233145402724691</v>
      </c>
      <c r="BK1944" s="2">
        <v>9.6233145402724691</v>
      </c>
      <c r="BL1944" s="2">
        <v>13.6495537139149</v>
      </c>
      <c r="BM1944" s="2">
        <v>9.6233145402724691</v>
      </c>
      <c r="BN1944" s="2">
        <v>15.494124616317199</v>
      </c>
      <c r="BO1944" s="2">
        <v>14.4639502477268</v>
      </c>
      <c r="BP1944" s="2">
        <v>14.921164980228999</v>
      </c>
      <c r="BQ1944" s="2">
        <v>16.559400842454998</v>
      </c>
      <c r="BR1944" s="2">
        <v>16.512365329371899</v>
      </c>
      <c r="BS1944" s="2">
        <v>16.9804951858119</v>
      </c>
      <c r="BT1944" s="2">
        <v>9.6233145402724691</v>
      </c>
      <c r="BU1944" s="2">
        <v>15.9873950390771</v>
      </c>
      <c r="BV1944" s="2">
        <v>12.096764561006999</v>
      </c>
      <c r="BW1944" s="2">
        <v>9.6233145402724691</v>
      </c>
      <c r="BX1944" s="2">
        <v>20.545776489673401</v>
      </c>
      <c r="BY1944" s="2">
        <v>22.2100033226669</v>
      </c>
      <c r="BZ1944" s="2">
        <v>15.868828340973501</v>
      </c>
      <c r="CA1944" s="2">
        <v>14.269605208597399</v>
      </c>
      <c r="CB1944" s="2">
        <v>15.046433847746499</v>
      </c>
      <c r="CC1944" s="2">
        <v>9.6233145402724691</v>
      </c>
      <c r="CD1944" s="2">
        <v>16.291366422802199</v>
      </c>
      <c r="CE1944" s="2">
        <v>12.3837258895435</v>
      </c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</row>
    <row r="1945" spans="1:97">
      <c r="A1945" s="2" t="s">
        <v>17059</v>
      </c>
      <c r="B1945" s="2">
        <v>161.02005</v>
      </c>
      <c r="C1945" s="2">
        <v>0.83499999999999996</v>
      </c>
      <c r="D1945" s="2" t="s">
        <v>146</v>
      </c>
      <c r="E1945" s="2" t="s">
        <v>17060</v>
      </c>
      <c r="F1945" s="2" t="s">
        <v>17061</v>
      </c>
      <c r="G1945" s="2">
        <v>57417</v>
      </c>
      <c r="H1945" s="3" t="str">
        <f>HYPERLINK("https://cloud.oebiotech.com/#/lm/network/57417", "https://cloud.oebiotech.com/#/lm/network/57417")</f>
        <v>https://cloud.oebiotech.com/#/lm/network/57417</v>
      </c>
      <c r="I1945" s="2" t="s">
        <v>17062</v>
      </c>
      <c r="J1945" s="2">
        <v>89038</v>
      </c>
      <c r="K1945" s="2"/>
      <c r="L1945" s="2">
        <v>73771</v>
      </c>
      <c r="M1945" s="2"/>
      <c r="N1945" s="2"/>
      <c r="O1945" s="2"/>
      <c r="P1945" s="2"/>
      <c r="Q1945" s="2"/>
      <c r="R1945" s="2"/>
      <c r="S1945" s="2" t="s">
        <v>17063</v>
      </c>
      <c r="T1945" s="2" t="s">
        <v>17064</v>
      </c>
      <c r="U1945" s="2" t="s">
        <v>17065</v>
      </c>
      <c r="V1945" s="2" t="s">
        <v>553</v>
      </c>
      <c r="W1945" s="2" t="s">
        <v>9726</v>
      </c>
      <c r="X1945" s="2" t="s">
        <v>375</v>
      </c>
      <c r="Y1945" s="2" t="s">
        <v>556</v>
      </c>
      <c r="Z1945" s="2" t="s">
        <v>9727</v>
      </c>
      <c r="AA1945" s="2"/>
      <c r="AB1945" s="2" t="s">
        <v>8443</v>
      </c>
      <c r="AC1945" s="2">
        <v>38.71</v>
      </c>
      <c r="AD1945" s="2">
        <v>63.67</v>
      </c>
      <c r="AE1945" s="2">
        <v>42.75</v>
      </c>
      <c r="AF1945" s="2" t="s">
        <v>17066</v>
      </c>
      <c r="AG1945" s="2" t="s">
        <v>4062</v>
      </c>
      <c r="AH1945" s="2" t="s">
        <v>17067</v>
      </c>
      <c r="AI1945" s="2">
        <v>-1.86</v>
      </c>
      <c r="AJ1945" s="2">
        <v>22.187227123166799</v>
      </c>
      <c r="AK1945" s="2">
        <v>21.972420158677199</v>
      </c>
      <c r="AL1945" s="2">
        <v>22.193207782704999</v>
      </c>
      <c r="AM1945" s="2">
        <v>22.1165796948778</v>
      </c>
      <c r="AN1945" s="2">
        <v>22.394997096725302</v>
      </c>
      <c r="AO1945" s="2">
        <v>22.133022044701502</v>
      </c>
      <c r="AP1945" s="2">
        <v>22.186063688216201</v>
      </c>
      <c r="AQ1945" s="2">
        <v>22.009389508247502</v>
      </c>
      <c r="AR1945" s="2">
        <v>20.041941729090698</v>
      </c>
      <c r="AS1945" s="2">
        <v>9.6233145402724691</v>
      </c>
      <c r="AT1945" s="2">
        <v>22.074508042396602</v>
      </c>
      <c r="AU1945" s="2">
        <v>22.406091208023199</v>
      </c>
      <c r="AV1945" s="2">
        <v>21.551897678563101</v>
      </c>
      <c r="AW1945" s="2">
        <v>21.777086881760301</v>
      </c>
      <c r="AX1945" s="2">
        <v>22.700460438462098</v>
      </c>
      <c r="AY1945" s="2">
        <v>21.4718210461388</v>
      </c>
      <c r="AZ1945" s="2">
        <v>22.4859522760554</v>
      </c>
      <c r="BA1945" s="2">
        <v>20.5997118628088</v>
      </c>
      <c r="BB1945" s="2">
        <v>20.6571952129534</v>
      </c>
      <c r="BC1945" s="2">
        <v>20.7019136257287</v>
      </c>
      <c r="BD1945" s="2">
        <v>23.078799832395902</v>
      </c>
      <c r="BE1945" s="2">
        <v>23.403709116393699</v>
      </c>
      <c r="BF1945" s="2">
        <v>22.255917329869401</v>
      </c>
      <c r="BG1945" s="2">
        <v>19.665225301836799</v>
      </c>
      <c r="BH1945" s="2">
        <v>22.460751673686602</v>
      </c>
      <c r="BI1945" s="2">
        <v>22.296392893792401</v>
      </c>
      <c r="BJ1945" s="2">
        <v>20.590561622205499</v>
      </c>
      <c r="BK1945" s="2">
        <v>21.123720217095201</v>
      </c>
      <c r="BL1945" s="2">
        <v>21.305752130658501</v>
      </c>
      <c r="BM1945" s="2">
        <v>23.624553367069201</v>
      </c>
      <c r="BN1945" s="2">
        <v>22.014380746184901</v>
      </c>
      <c r="BO1945" s="2">
        <v>20.5854158032835</v>
      </c>
      <c r="BP1945" s="2">
        <v>21.916087771833499</v>
      </c>
      <c r="BQ1945" s="2">
        <v>21.856344192661201</v>
      </c>
      <c r="BR1945" s="2">
        <v>20.466991481228501</v>
      </c>
      <c r="BS1945" s="2">
        <v>20.867216658573501</v>
      </c>
      <c r="BT1945" s="2">
        <v>20.663344888674299</v>
      </c>
      <c r="BU1945" s="2">
        <v>21.641533328774301</v>
      </c>
      <c r="BV1945" s="2">
        <v>21.329330976376902</v>
      </c>
      <c r="BW1945" s="2">
        <v>20.781598379185098</v>
      </c>
      <c r="BX1945" s="2">
        <v>22.6908527013826</v>
      </c>
      <c r="BY1945" s="2">
        <v>23.874361040908301</v>
      </c>
      <c r="BZ1945" s="2">
        <v>20.427334330190899</v>
      </c>
      <c r="CA1945" s="2">
        <v>20.642134380815602</v>
      </c>
      <c r="CB1945" s="2">
        <v>19.893938690671899</v>
      </c>
      <c r="CC1945" s="2">
        <v>22.053437786414001</v>
      </c>
      <c r="CD1945" s="2">
        <v>21.921764343429398</v>
      </c>
      <c r="CE1945" s="2">
        <v>21.674994879025601</v>
      </c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</row>
    <row r="1946" spans="1:97">
      <c r="A1946" s="2" t="s">
        <v>17068</v>
      </c>
      <c r="B1946" s="2">
        <v>178.08606</v>
      </c>
      <c r="C1946" s="2">
        <v>0.78700000000000003</v>
      </c>
      <c r="D1946" s="2" t="s">
        <v>84</v>
      </c>
      <c r="E1946" s="2" t="s">
        <v>17069</v>
      </c>
      <c r="F1946" s="2" t="s">
        <v>17070</v>
      </c>
      <c r="G1946" s="2">
        <v>59876</v>
      </c>
      <c r="H1946" s="3" t="str">
        <f>HYPERLINK("https://cloud.oebiotech.com/#/lm/network/59876", "https://cloud.oebiotech.com/#/lm/network/59876")</f>
        <v>https://cloud.oebiotech.com/#/lm/network/59876</v>
      </c>
      <c r="I1946" s="2" t="s">
        <v>17071</v>
      </c>
      <c r="J1946" s="2">
        <v>91246</v>
      </c>
      <c r="K1946" s="2"/>
      <c r="L1946" s="2">
        <v>594452</v>
      </c>
      <c r="M1946" s="2"/>
      <c r="N1946" s="2"/>
      <c r="O1946" s="2"/>
      <c r="P1946" s="2"/>
      <c r="Q1946" s="2"/>
      <c r="R1946" s="2"/>
      <c r="S1946" s="2" t="s">
        <v>17072</v>
      </c>
      <c r="T1946" s="2" t="s">
        <v>17073</v>
      </c>
      <c r="U1946" s="2" t="s">
        <v>17074</v>
      </c>
      <c r="V1946" s="2" t="s">
        <v>338</v>
      </c>
      <c r="W1946" s="2" t="s">
        <v>339</v>
      </c>
      <c r="X1946" s="2" t="s">
        <v>340</v>
      </c>
      <c r="Y1946" s="2" t="s">
        <v>341</v>
      </c>
      <c r="Z1946" s="2" t="s">
        <v>341</v>
      </c>
      <c r="AA1946" s="2" t="s">
        <v>342</v>
      </c>
      <c r="AB1946" s="2" t="s">
        <v>8443</v>
      </c>
      <c r="AC1946" s="2">
        <v>38.71</v>
      </c>
      <c r="AD1946" s="2">
        <v>94.16</v>
      </c>
      <c r="AE1946" s="2">
        <v>0</v>
      </c>
      <c r="AF1946" s="2" t="s">
        <v>5614</v>
      </c>
      <c r="AG1946" s="2" t="s">
        <v>132</v>
      </c>
      <c r="AH1946" s="2" t="s">
        <v>17075</v>
      </c>
      <c r="AI1946" s="2">
        <v>1.1200000000000001</v>
      </c>
      <c r="AJ1946" s="2">
        <v>20.3107590095312</v>
      </c>
      <c r="AK1946" s="2">
        <v>20.1644667066574</v>
      </c>
      <c r="AL1946" s="2">
        <v>20.314799201349</v>
      </c>
      <c r="AM1946" s="2">
        <v>20.273701025772102</v>
      </c>
      <c r="AN1946" s="2">
        <v>20.256138991542599</v>
      </c>
      <c r="AO1946" s="2">
        <v>20.500656097429001</v>
      </c>
      <c r="AP1946" s="2">
        <v>20.205147894439399</v>
      </c>
      <c r="AQ1946" s="2">
        <v>20.226698233308898</v>
      </c>
      <c r="AR1946" s="2">
        <v>19.551215866780499</v>
      </c>
      <c r="AS1946" s="2">
        <v>20.112941424310499</v>
      </c>
      <c r="AT1946" s="2">
        <v>20.095686677341298</v>
      </c>
      <c r="AU1946" s="2">
        <v>21.209955454203801</v>
      </c>
      <c r="AV1946" s="2">
        <v>21.048712237577899</v>
      </c>
      <c r="AW1946" s="2">
        <v>19.318194331382699</v>
      </c>
      <c r="AX1946" s="2">
        <v>20.0775311446111</v>
      </c>
      <c r="AY1946" s="2">
        <v>20.843215794112702</v>
      </c>
      <c r="AZ1946" s="2">
        <v>20.3237811469577</v>
      </c>
      <c r="BA1946" s="2">
        <v>20.0717124566923</v>
      </c>
      <c r="BB1946" s="2">
        <v>20.850398238390799</v>
      </c>
      <c r="BC1946" s="2">
        <v>19.547928110861299</v>
      </c>
      <c r="BD1946" s="2">
        <v>20.857793751988702</v>
      </c>
      <c r="BE1946" s="2">
        <v>20.308191467772101</v>
      </c>
      <c r="BF1946" s="2">
        <v>20.408882965522999</v>
      </c>
      <c r="BG1946" s="2">
        <v>20.215082667883699</v>
      </c>
      <c r="BH1946" s="2">
        <v>20.3570932182086</v>
      </c>
      <c r="BI1946" s="2">
        <v>20.8187806788691</v>
      </c>
      <c r="BJ1946" s="2">
        <v>18.6708722845461</v>
      </c>
      <c r="BK1946" s="2">
        <v>20.1313442223442</v>
      </c>
      <c r="BL1946" s="2">
        <v>20.153151254911101</v>
      </c>
      <c r="BM1946" s="2">
        <v>20.434889518986299</v>
      </c>
      <c r="BN1946" s="2">
        <v>20.734642448730401</v>
      </c>
      <c r="BO1946" s="2">
        <v>21.315463678857402</v>
      </c>
      <c r="BP1946" s="2">
        <v>20.894882663649302</v>
      </c>
      <c r="BQ1946" s="2">
        <v>19.391929970171098</v>
      </c>
      <c r="BR1946" s="2">
        <v>20.052501518736999</v>
      </c>
      <c r="BS1946" s="2">
        <v>20.574048884770601</v>
      </c>
      <c r="BT1946" s="2">
        <v>19.8028767761372</v>
      </c>
      <c r="BU1946" s="2">
        <v>19.947286037325899</v>
      </c>
      <c r="BV1946" s="2">
        <v>20.338044254307398</v>
      </c>
      <c r="BW1946" s="2">
        <v>18.694067408946701</v>
      </c>
      <c r="BX1946" s="2">
        <v>20.6003154974462</v>
      </c>
      <c r="BY1946" s="2">
        <v>20.879373098528902</v>
      </c>
      <c r="BZ1946" s="2">
        <v>20.0646466129222</v>
      </c>
      <c r="CA1946" s="2">
        <v>20.121237596504901</v>
      </c>
      <c r="CB1946" s="2">
        <v>20.2694818243728</v>
      </c>
      <c r="CC1946" s="2">
        <v>19.5107255221277</v>
      </c>
      <c r="CD1946" s="2">
        <v>19.9194704132602</v>
      </c>
      <c r="CE1946" s="2">
        <v>20.378408324129602</v>
      </c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</row>
    <row r="1947" spans="1:97">
      <c r="A1947" s="2" t="s">
        <v>17076</v>
      </c>
      <c r="B1947" s="2">
        <v>277.07321000000002</v>
      </c>
      <c r="C1947" s="2">
        <v>1.0529999999999999</v>
      </c>
      <c r="D1947" s="2" t="s">
        <v>146</v>
      </c>
      <c r="E1947" s="2" t="s">
        <v>17077</v>
      </c>
      <c r="F1947" s="2" t="s">
        <v>17078</v>
      </c>
      <c r="G1947" s="2">
        <v>554393</v>
      </c>
      <c r="H1947" s="3" t="str">
        <f>HYPERLINK("https://cloud.oebiotech.com/#/lm/network/554393", "https://cloud.oebiotech.com/#/lm/network/554393")</f>
        <v>https://cloud.oebiotech.com/#/lm/network/554393</v>
      </c>
      <c r="I1947" s="2"/>
      <c r="J1947" s="2"/>
      <c r="K1947" s="2"/>
      <c r="L1947" s="2">
        <v>5317700</v>
      </c>
      <c r="M1947" s="2"/>
      <c r="N1947" s="2"/>
      <c r="O1947" s="2"/>
      <c r="P1947" s="2"/>
      <c r="Q1947" s="2"/>
      <c r="R1947" s="2"/>
      <c r="S1947" s="2" t="s">
        <v>17079</v>
      </c>
      <c r="T1947" s="2" t="s">
        <v>17080</v>
      </c>
      <c r="U1947" s="2" t="s">
        <v>17081</v>
      </c>
      <c r="V1947" s="2" t="s">
        <v>553</v>
      </c>
      <c r="W1947" s="2" t="s">
        <v>2193</v>
      </c>
      <c r="X1947" s="2" t="s">
        <v>4866</v>
      </c>
      <c r="Y1947" s="2" t="s">
        <v>556</v>
      </c>
      <c r="Z1947" s="2" t="s">
        <v>2194</v>
      </c>
      <c r="AA1947" s="2" t="s">
        <v>4867</v>
      </c>
      <c r="AB1947" s="2" t="s">
        <v>8443</v>
      </c>
      <c r="AC1947" s="2">
        <v>38.700000000000003</v>
      </c>
      <c r="AD1947" s="2">
        <v>90.84</v>
      </c>
      <c r="AE1947" s="2">
        <v>31.41</v>
      </c>
      <c r="AF1947" s="2" t="s">
        <v>17082</v>
      </c>
      <c r="AG1947" s="2" t="s">
        <v>157</v>
      </c>
      <c r="AH1947" s="2" t="s">
        <v>6945</v>
      </c>
      <c r="AI1947" s="2">
        <v>-5.41</v>
      </c>
      <c r="AJ1947" s="2">
        <v>20.542117570451001</v>
      </c>
      <c r="AK1947" s="2">
        <v>20.499469818397099</v>
      </c>
      <c r="AL1947" s="2">
        <v>20.442318958815701</v>
      </c>
      <c r="AM1947" s="2">
        <v>20.661572464635199</v>
      </c>
      <c r="AN1947" s="2">
        <v>20.108947314596701</v>
      </c>
      <c r="AO1947" s="2">
        <v>20.252917450166098</v>
      </c>
      <c r="AP1947" s="2">
        <v>20.493394655654502</v>
      </c>
      <c r="AQ1947" s="2">
        <v>20.330937322070898</v>
      </c>
      <c r="AR1947" s="2">
        <v>19.767211949450601</v>
      </c>
      <c r="AS1947" s="2">
        <v>20.679535379878502</v>
      </c>
      <c r="AT1947" s="2">
        <v>19.198099530255998</v>
      </c>
      <c r="AU1947" s="2">
        <v>19.699161218055899</v>
      </c>
      <c r="AV1947" s="2">
        <v>20.334118594661799</v>
      </c>
      <c r="AW1947" s="2">
        <v>20.0037672207966</v>
      </c>
      <c r="AX1947" s="2">
        <v>19.1952010646663</v>
      </c>
      <c r="AY1947" s="2">
        <v>20.0633920528477</v>
      </c>
      <c r="AZ1947" s="2">
        <v>20.303131446386299</v>
      </c>
      <c r="BA1947" s="2">
        <v>19.404555556861698</v>
      </c>
      <c r="BB1947" s="2">
        <v>20.342839961088199</v>
      </c>
      <c r="BC1947" s="2">
        <v>20.639603955632399</v>
      </c>
      <c r="BD1947" s="2">
        <v>20.6009196779174</v>
      </c>
      <c r="BE1947" s="2">
        <v>20.2788845805538</v>
      </c>
      <c r="BF1947" s="2">
        <v>20.760850825437199</v>
      </c>
      <c r="BG1947" s="2">
        <v>20.570073801679801</v>
      </c>
      <c r="BH1947" s="2">
        <v>20.2327815699098</v>
      </c>
      <c r="BI1947" s="2">
        <v>20.084339631405602</v>
      </c>
      <c r="BJ1947" s="2">
        <v>20.750003534936599</v>
      </c>
      <c r="BK1947" s="2">
        <v>21.573199197048101</v>
      </c>
      <c r="BL1947" s="2">
        <v>19.9979064296902</v>
      </c>
      <c r="BM1947" s="2">
        <v>19.648940083139401</v>
      </c>
      <c r="BN1947" s="2">
        <v>20.560078765247901</v>
      </c>
      <c r="BO1947" s="2">
        <v>19.680716172945001</v>
      </c>
      <c r="BP1947" s="2">
        <v>20.378707045810199</v>
      </c>
      <c r="BQ1947" s="2">
        <v>19.052628278583899</v>
      </c>
      <c r="BR1947" s="2">
        <v>19.9160613260606</v>
      </c>
      <c r="BS1947" s="2">
        <v>21.513121341008599</v>
      </c>
      <c r="BT1947" s="2">
        <v>20.0714749324517</v>
      </c>
      <c r="BU1947" s="2">
        <v>19.9388598452738</v>
      </c>
      <c r="BV1947" s="2">
        <v>19.482815222640099</v>
      </c>
      <c r="BW1947" s="2">
        <v>20.267326457671501</v>
      </c>
      <c r="BX1947" s="2">
        <v>20.267626593478901</v>
      </c>
      <c r="BY1947" s="2">
        <v>20.683662713726498</v>
      </c>
      <c r="BZ1947" s="2">
        <v>20.148164062055098</v>
      </c>
      <c r="CA1947" s="2">
        <v>22.134344504982899</v>
      </c>
      <c r="CB1947" s="2">
        <v>20.536433327889402</v>
      </c>
      <c r="CC1947" s="2">
        <v>19.525211720447398</v>
      </c>
      <c r="CD1947" s="2">
        <v>20.625362323514899</v>
      </c>
      <c r="CE1947" s="2">
        <v>20.6330780331154</v>
      </c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</row>
    <row r="1948" spans="1:97">
      <c r="A1948" s="2" t="s">
        <v>17083</v>
      </c>
      <c r="B1948" s="2">
        <v>493.1277</v>
      </c>
      <c r="C1948" s="2">
        <v>0.78500000000000003</v>
      </c>
      <c r="D1948" s="2" t="s">
        <v>146</v>
      </c>
      <c r="E1948" s="2" t="s">
        <v>17084</v>
      </c>
      <c r="F1948" s="2" t="s">
        <v>17085</v>
      </c>
      <c r="G1948" s="2">
        <v>29477</v>
      </c>
      <c r="H1948" s="3" t="str">
        <f>HYPERLINK("https://cloud.oebiotech.com/#/lm/network/29477", "https://cloud.oebiotech.com/#/lm/network/29477")</f>
        <v>https://cloud.oebiotech.com/#/lm/network/29477</v>
      </c>
      <c r="I1948" s="2"/>
      <c r="J1948" s="2"/>
      <c r="K1948" s="2" t="s">
        <v>17086</v>
      </c>
      <c r="L1948" s="2">
        <v>44257328</v>
      </c>
      <c r="M1948" s="2"/>
      <c r="N1948" s="2"/>
      <c r="O1948" s="2"/>
      <c r="P1948" s="2"/>
      <c r="Q1948" s="2"/>
      <c r="R1948" s="2"/>
      <c r="S1948" s="2"/>
      <c r="T1948" s="2" t="s">
        <v>17087</v>
      </c>
      <c r="U1948" s="2" t="s">
        <v>17088</v>
      </c>
      <c r="V1948" s="2" t="s">
        <v>845</v>
      </c>
      <c r="W1948" s="2" t="s">
        <v>3853</v>
      </c>
      <c r="X1948" s="2" t="s">
        <v>10211</v>
      </c>
      <c r="Y1948" s="2" t="s">
        <v>847</v>
      </c>
      <c r="Z1948" s="2" t="s">
        <v>3855</v>
      </c>
      <c r="AA1948" s="2" t="s">
        <v>10212</v>
      </c>
      <c r="AB1948" s="2" t="s">
        <v>8443</v>
      </c>
      <c r="AC1948" s="2">
        <v>38.700000000000003</v>
      </c>
      <c r="AD1948" s="2">
        <v>62.34</v>
      </c>
      <c r="AE1948" s="2">
        <v>40.340000000000003</v>
      </c>
      <c r="AF1948" s="2" t="s">
        <v>17089</v>
      </c>
      <c r="AG1948" s="2" t="s">
        <v>4062</v>
      </c>
      <c r="AH1948" s="2" t="s">
        <v>17090</v>
      </c>
      <c r="AI1948" s="2">
        <v>-1.22</v>
      </c>
      <c r="AJ1948" s="2">
        <v>19.563176065375501</v>
      </c>
      <c r="AK1948" s="2">
        <v>20.020002109356302</v>
      </c>
      <c r="AL1948" s="2">
        <v>19.625130354338399</v>
      </c>
      <c r="AM1948" s="2">
        <v>20.127716257197601</v>
      </c>
      <c r="AN1948" s="2">
        <v>19.211758400718601</v>
      </c>
      <c r="AO1948" s="2">
        <v>19.983504259664599</v>
      </c>
      <c r="AP1948" s="2">
        <v>19.404693169569398</v>
      </c>
      <c r="AQ1948" s="2">
        <v>19.200296933715801</v>
      </c>
      <c r="AR1948" s="2">
        <v>19.144163257053499</v>
      </c>
      <c r="AS1948" s="2">
        <v>19.445983940196701</v>
      </c>
      <c r="AT1948" s="2">
        <v>19.398111435081098</v>
      </c>
      <c r="AU1948" s="2">
        <v>19.640069221356299</v>
      </c>
      <c r="AV1948" s="2">
        <v>19.708641638673299</v>
      </c>
      <c r="AW1948" s="2">
        <v>19.037008743817999</v>
      </c>
      <c r="AX1948" s="2">
        <v>18.6620741065327</v>
      </c>
      <c r="AY1948" s="2">
        <v>19.8449165679957</v>
      </c>
      <c r="AZ1948" s="2">
        <v>19.309106977445701</v>
      </c>
      <c r="BA1948" s="2">
        <v>19.445964649125099</v>
      </c>
      <c r="BB1948" s="2">
        <v>19.139764767229099</v>
      </c>
      <c r="BC1948" s="2">
        <v>19.140633038016301</v>
      </c>
      <c r="BD1948" s="2">
        <v>20.1817389168476</v>
      </c>
      <c r="BE1948" s="2">
        <v>19.759761069501799</v>
      </c>
      <c r="BF1948" s="2">
        <v>19.7529557477535</v>
      </c>
      <c r="BG1948" s="2">
        <v>18.990993487832199</v>
      </c>
      <c r="BH1948" s="2">
        <v>19.1815364021021</v>
      </c>
      <c r="BI1948" s="2">
        <v>19.448565222109099</v>
      </c>
      <c r="BJ1948" s="2">
        <v>20.249874117820099</v>
      </c>
      <c r="BK1948" s="2">
        <v>20.043541600721099</v>
      </c>
      <c r="BL1948" s="2">
        <v>19.724495717398799</v>
      </c>
      <c r="BM1948" s="2">
        <v>19.027049401244099</v>
      </c>
      <c r="BN1948" s="2">
        <v>19.627368798956802</v>
      </c>
      <c r="BO1948" s="2">
        <v>19.366064429873202</v>
      </c>
      <c r="BP1948" s="2">
        <v>19.026573178029398</v>
      </c>
      <c r="BQ1948" s="2">
        <v>19.0366374224118</v>
      </c>
      <c r="BR1948" s="2">
        <v>18.480446073440199</v>
      </c>
      <c r="BS1948" s="2">
        <v>20.312080821580601</v>
      </c>
      <c r="BT1948" s="2">
        <v>19.544860130267001</v>
      </c>
      <c r="BU1948" s="2">
        <v>19.209336509376001</v>
      </c>
      <c r="BV1948" s="2">
        <v>18.829447713710501</v>
      </c>
      <c r="BW1948" s="2">
        <v>19.340002536722601</v>
      </c>
      <c r="BX1948" s="2">
        <v>19.170658705325401</v>
      </c>
      <c r="BY1948" s="2">
        <v>17.600626837868401</v>
      </c>
      <c r="BZ1948" s="2">
        <v>19.098116896184798</v>
      </c>
      <c r="CA1948" s="2">
        <v>20.782854307088702</v>
      </c>
      <c r="CB1948" s="2">
        <v>19.140754395495499</v>
      </c>
      <c r="CC1948" s="2">
        <v>19.634293321679799</v>
      </c>
      <c r="CD1948" s="2">
        <v>17.547833810415899</v>
      </c>
      <c r="CE1948" s="2">
        <v>19.974843926782</v>
      </c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</row>
    <row r="1949" spans="1:97">
      <c r="A1949" s="2" t="s">
        <v>17091</v>
      </c>
      <c r="B1949" s="2">
        <v>162.01930999999999</v>
      </c>
      <c r="C1949" s="2">
        <v>3.6850000000000001</v>
      </c>
      <c r="D1949" s="2" t="s">
        <v>146</v>
      </c>
      <c r="E1949" s="2" t="s">
        <v>17092</v>
      </c>
      <c r="F1949" s="2" t="s">
        <v>17093</v>
      </c>
      <c r="G1949" s="2">
        <v>201787</v>
      </c>
      <c r="H1949" s="3" t="str">
        <f>HYPERLINK("https://cloud.oebiotech.com/#/lm/network/201787", "https://cloud.oebiotech.com/#/lm/network/201787")</f>
        <v>https://cloud.oebiotech.com/#/lm/network/201787</v>
      </c>
      <c r="I1949" s="2" t="s">
        <v>17094</v>
      </c>
      <c r="J1949" s="2"/>
      <c r="K1949" s="2"/>
      <c r="L1949" s="2">
        <v>22034936</v>
      </c>
      <c r="M1949" s="2"/>
      <c r="N1949" s="2"/>
      <c r="O1949" s="2"/>
      <c r="P1949" s="2">
        <v>71235</v>
      </c>
      <c r="Q1949" s="2"/>
      <c r="R1949" s="2"/>
      <c r="S1949" s="2"/>
      <c r="T1949" s="2" t="s">
        <v>17095</v>
      </c>
      <c r="U1949" s="2" t="s">
        <v>17096</v>
      </c>
      <c r="V1949" s="2" t="s">
        <v>385</v>
      </c>
      <c r="W1949" s="2" t="s">
        <v>3319</v>
      </c>
      <c r="X1949" s="2" t="s">
        <v>17097</v>
      </c>
      <c r="Y1949" s="2" t="s">
        <v>388</v>
      </c>
      <c r="Z1949" s="2" t="s">
        <v>3321</v>
      </c>
      <c r="AA1949" s="2" t="s">
        <v>17098</v>
      </c>
      <c r="AB1949" s="2" t="s">
        <v>8443</v>
      </c>
      <c r="AC1949" s="2">
        <v>38.69</v>
      </c>
      <c r="AD1949" s="2">
        <v>94.62</v>
      </c>
      <c r="AE1949" s="2">
        <v>0</v>
      </c>
      <c r="AF1949" s="2" t="s">
        <v>17099</v>
      </c>
      <c r="AG1949" s="2" t="s">
        <v>993</v>
      </c>
      <c r="AH1949" s="2" t="s">
        <v>17100</v>
      </c>
      <c r="AI1949" s="2">
        <v>-1.23</v>
      </c>
      <c r="AJ1949" s="2">
        <v>19.546465628954302</v>
      </c>
      <c r="AK1949" s="2">
        <v>19.712859921616602</v>
      </c>
      <c r="AL1949" s="2">
        <v>19.781852529869699</v>
      </c>
      <c r="AM1949" s="2">
        <v>19.7668478855995</v>
      </c>
      <c r="AN1949" s="2">
        <v>19.8898806063285</v>
      </c>
      <c r="AO1949" s="2">
        <v>19.9411447772199</v>
      </c>
      <c r="AP1949" s="2">
        <v>19.899958191010999</v>
      </c>
      <c r="AQ1949" s="2">
        <v>19.958209275527899</v>
      </c>
      <c r="AR1949" s="2">
        <v>18.9383591692824</v>
      </c>
      <c r="AS1949" s="2">
        <v>18.067625945465998</v>
      </c>
      <c r="AT1949" s="2">
        <v>18.5311215174324</v>
      </c>
      <c r="AU1949" s="2">
        <v>18.830271815836099</v>
      </c>
      <c r="AV1949" s="2">
        <v>20.573586846520101</v>
      </c>
      <c r="AW1949" s="2">
        <v>19.3103704558137</v>
      </c>
      <c r="AX1949" s="2">
        <v>19.1493599226858</v>
      </c>
      <c r="AY1949" s="2">
        <v>19.6344107658628</v>
      </c>
      <c r="AZ1949" s="2">
        <v>19.6765912348393</v>
      </c>
      <c r="BA1949" s="2">
        <v>18.535308490661102</v>
      </c>
      <c r="BB1949" s="2">
        <v>19.2214949392142</v>
      </c>
      <c r="BC1949" s="2">
        <v>18.164037723490299</v>
      </c>
      <c r="BD1949" s="2">
        <v>19.7449172842434</v>
      </c>
      <c r="BE1949" s="2">
        <v>21.523546417116499</v>
      </c>
      <c r="BF1949" s="2">
        <v>18.665724799449698</v>
      </c>
      <c r="BG1949" s="2">
        <v>20.0114856501601</v>
      </c>
      <c r="BH1949" s="2">
        <v>20.053166170946</v>
      </c>
      <c r="BI1949" s="2">
        <v>19.477386633397501</v>
      </c>
      <c r="BJ1949" s="2">
        <v>19.320614286860199</v>
      </c>
      <c r="BK1949" s="2">
        <v>19.223769943995698</v>
      </c>
      <c r="BL1949" s="2">
        <v>20.006941156859501</v>
      </c>
      <c r="BM1949" s="2">
        <v>19.150642325041598</v>
      </c>
      <c r="BN1949" s="2">
        <v>19.997088783039199</v>
      </c>
      <c r="BO1949" s="2">
        <v>18.6360774600012</v>
      </c>
      <c r="BP1949" s="2">
        <v>20.242243821643498</v>
      </c>
      <c r="BQ1949" s="2">
        <v>19.1571915305299</v>
      </c>
      <c r="BR1949" s="2">
        <v>18.881475593103701</v>
      </c>
      <c r="BS1949" s="2">
        <v>20.077847442661401</v>
      </c>
      <c r="BT1949" s="2">
        <v>20.306832373404099</v>
      </c>
      <c r="BU1949" s="2">
        <v>18.653082800661299</v>
      </c>
      <c r="BV1949" s="2">
        <v>18.497566485795002</v>
      </c>
      <c r="BW1949" s="2">
        <v>18.326180958265699</v>
      </c>
      <c r="BX1949" s="2">
        <v>20.204769866484401</v>
      </c>
      <c r="BY1949" s="2">
        <v>21.770459348608</v>
      </c>
      <c r="BZ1949" s="2">
        <v>19.139313446576601</v>
      </c>
      <c r="CA1949" s="2">
        <v>18.903005396220301</v>
      </c>
      <c r="CB1949" s="2">
        <v>19.125694967132301</v>
      </c>
      <c r="CC1949" s="2">
        <v>19.030371887366801</v>
      </c>
      <c r="CD1949" s="2">
        <v>18.677245222877801</v>
      </c>
      <c r="CE1949" s="2">
        <v>18.1449285436072</v>
      </c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</row>
    <row r="1950" spans="1:97">
      <c r="A1950" s="2" t="s">
        <v>17101</v>
      </c>
      <c r="B1950" s="2">
        <v>523.28197</v>
      </c>
      <c r="C1950" s="2">
        <v>8.7989999999999995</v>
      </c>
      <c r="D1950" s="2" t="s">
        <v>146</v>
      </c>
      <c r="E1950" s="2" t="s">
        <v>17102</v>
      </c>
      <c r="F1950" s="2" t="s">
        <v>17103</v>
      </c>
      <c r="G1950" s="2">
        <v>46765</v>
      </c>
      <c r="H1950" s="3" t="str">
        <f>HYPERLINK("https://cloud.oebiotech.com/#/lm/network/46765", "https://cloud.oebiotech.com/#/lm/network/46765")</f>
        <v>https://cloud.oebiotech.com/#/lm/network/46765</v>
      </c>
      <c r="I1950" s="2"/>
      <c r="J1950" s="2"/>
      <c r="K1950" s="2" t="s">
        <v>17104</v>
      </c>
      <c r="L1950" s="2">
        <v>102295080</v>
      </c>
      <c r="M1950" s="2"/>
      <c r="N1950" s="2"/>
      <c r="O1950" s="2"/>
      <c r="P1950" s="2"/>
      <c r="Q1950" s="2"/>
      <c r="R1950" s="2"/>
      <c r="S1950" s="2"/>
      <c r="T1950" s="2" t="s">
        <v>17105</v>
      </c>
      <c r="U1950" s="2" t="s">
        <v>17106</v>
      </c>
      <c r="V1950" s="2" t="s">
        <v>95</v>
      </c>
      <c r="W1950" s="2" t="s">
        <v>152</v>
      </c>
      <c r="X1950" s="2" t="s">
        <v>2791</v>
      </c>
      <c r="Y1950" s="2" t="s">
        <v>98</v>
      </c>
      <c r="Z1950" s="2" t="s">
        <v>154</v>
      </c>
      <c r="AA1950" s="2" t="s">
        <v>2792</v>
      </c>
      <c r="AB1950" s="2" t="s">
        <v>8443</v>
      </c>
      <c r="AC1950" s="2">
        <v>38.69</v>
      </c>
      <c r="AD1950" s="2">
        <v>71.17</v>
      </c>
      <c r="AE1950" s="2">
        <v>35.94</v>
      </c>
      <c r="AF1950" s="2" t="s">
        <v>17107</v>
      </c>
      <c r="AG1950" s="2" t="s">
        <v>4062</v>
      </c>
      <c r="AH1950" s="2" t="s">
        <v>17108</v>
      </c>
      <c r="AI1950" s="2">
        <v>2.29</v>
      </c>
      <c r="AJ1950" s="2">
        <v>19.063955575712299</v>
      </c>
      <c r="AK1950" s="2">
        <v>19.312864170070402</v>
      </c>
      <c r="AL1950" s="2">
        <v>18.883673344144299</v>
      </c>
      <c r="AM1950" s="2">
        <v>19.231476866596601</v>
      </c>
      <c r="AN1950" s="2">
        <v>19.286242471508501</v>
      </c>
      <c r="AO1950" s="2">
        <v>19.401053097614799</v>
      </c>
      <c r="AP1950" s="2">
        <v>19.435732881070901</v>
      </c>
      <c r="AQ1950" s="2">
        <v>19.222939815891301</v>
      </c>
      <c r="AR1950" s="2">
        <v>19.421914689856099</v>
      </c>
      <c r="AS1950" s="2">
        <v>19.254497777974699</v>
      </c>
      <c r="AT1950" s="2">
        <v>19.499644017550299</v>
      </c>
      <c r="AU1950" s="2">
        <v>19.415228394270599</v>
      </c>
      <c r="AV1950" s="2">
        <v>19.377938516161201</v>
      </c>
      <c r="AW1950" s="2">
        <v>19.3804033769343</v>
      </c>
      <c r="AX1950" s="2">
        <v>19.1772611943369</v>
      </c>
      <c r="AY1950" s="2">
        <v>18.921411265797101</v>
      </c>
      <c r="AZ1950" s="2">
        <v>19.411092317637799</v>
      </c>
      <c r="BA1950" s="2">
        <v>18.9739232181023</v>
      </c>
      <c r="BB1950" s="2">
        <v>18.992345682149399</v>
      </c>
      <c r="BC1950" s="2">
        <v>19.149005827458499</v>
      </c>
      <c r="BD1950" s="2">
        <v>19.3261630258365</v>
      </c>
      <c r="BE1950" s="2">
        <v>19.389803818520701</v>
      </c>
      <c r="BF1950" s="2">
        <v>19.578369411030401</v>
      </c>
      <c r="BG1950" s="2">
        <v>19.373689817096199</v>
      </c>
      <c r="BH1950" s="2">
        <v>19.1352527862546</v>
      </c>
      <c r="BI1950" s="2">
        <v>19.375957670639099</v>
      </c>
      <c r="BJ1950" s="2">
        <v>19.4190626775111</v>
      </c>
      <c r="BK1950" s="2">
        <v>19.514405819876799</v>
      </c>
      <c r="BL1950" s="2">
        <v>19.303900275260698</v>
      </c>
      <c r="BM1950" s="2">
        <v>18.990570135617101</v>
      </c>
      <c r="BN1950" s="2">
        <v>19.182963443974401</v>
      </c>
      <c r="BO1950" s="2">
        <v>19.3940889889682</v>
      </c>
      <c r="BP1950" s="2">
        <v>19.3220020813025</v>
      </c>
      <c r="BQ1950" s="2">
        <v>19.216502278659501</v>
      </c>
      <c r="BR1950" s="2">
        <v>19.037941199342601</v>
      </c>
      <c r="BS1950" s="2">
        <v>19.175467585858598</v>
      </c>
      <c r="BT1950" s="2">
        <v>19.039569660255701</v>
      </c>
      <c r="BU1950" s="2">
        <v>19.191790466653998</v>
      </c>
      <c r="BV1950" s="2">
        <v>19.250878973248799</v>
      </c>
      <c r="BW1950" s="2">
        <v>18.8712673859158</v>
      </c>
      <c r="BX1950" s="2">
        <v>19.1231657078567</v>
      </c>
      <c r="BY1950" s="2">
        <v>19.141120402937698</v>
      </c>
      <c r="BZ1950" s="2">
        <v>19.223145559833799</v>
      </c>
      <c r="CA1950" s="2">
        <v>19.439717621256001</v>
      </c>
      <c r="CB1950" s="2">
        <v>19.355753012717599</v>
      </c>
      <c r="CC1950" s="2">
        <v>19.472447035479799</v>
      </c>
      <c r="CD1950" s="2">
        <v>19.306913822384601</v>
      </c>
      <c r="CE1950" s="2">
        <v>19.004656865603199</v>
      </c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</row>
    <row r="1951" spans="1:97">
      <c r="A1951" s="2" t="s">
        <v>17109</v>
      </c>
      <c r="B1951" s="2">
        <v>181.05303000000001</v>
      </c>
      <c r="C1951" s="2">
        <v>1.1459999999999999</v>
      </c>
      <c r="D1951" s="2" t="s">
        <v>84</v>
      </c>
      <c r="E1951" s="2" t="s">
        <v>17110</v>
      </c>
      <c r="F1951" s="2" t="s">
        <v>17111</v>
      </c>
      <c r="G1951" s="2">
        <v>47388</v>
      </c>
      <c r="H1951" s="3" t="str">
        <f>HYPERLINK("https://cloud.oebiotech.com/#/lm/network/47388", "https://cloud.oebiotech.com/#/lm/network/47388")</f>
        <v>https://cloud.oebiotech.com/#/lm/network/47388</v>
      </c>
      <c r="I1951" s="2" t="s">
        <v>17112</v>
      </c>
      <c r="J1951" s="2">
        <v>5995</v>
      </c>
      <c r="K1951" s="2"/>
      <c r="L1951" s="2">
        <v>439904</v>
      </c>
      <c r="M1951" s="2" t="s">
        <v>17113</v>
      </c>
      <c r="N1951" s="2" t="s">
        <v>1585</v>
      </c>
      <c r="O1951" s="2" t="s">
        <v>1586</v>
      </c>
      <c r="P1951" s="2">
        <v>16895</v>
      </c>
      <c r="Q1951" s="2"/>
      <c r="R1951" s="2"/>
      <c r="S1951" s="2" t="s">
        <v>17114</v>
      </c>
      <c r="T1951" s="2" t="s">
        <v>17115</v>
      </c>
      <c r="U1951" s="2" t="s">
        <v>17116</v>
      </c>
      <c r="V1951" s="2" t="s">
        <v>338</v>
      </c>
      <c r="W1951" s="2" t="s">
        <v>339</v>
      </c>
      <c r="X1951" s="2" t="s">
        <v>663</v>
      </c>
      <c r="Y1951" s="2" t="s">
        <v>341</v>
      </c>
      <c r="Z1951" s="2" t="s">
        <v>341</v>
      </c>
      <c r="AA1951" s="2" t="s">
        <v>664</v>
      </c>
      <c r="AB1951" s="2" t="s">
        <v>8443</v>
      </c>
      <c r="AC1951" s="2">
        <v>38.68</v>
      </c>
      <c r="AD1951" s="2">
        <v>93.42</v>
      </c>
      <c r="AE1951" s="2">
        <v>0</v>
      </c>
      <c r="AF1951" s="2" t="s">
        <v>5614</v>
      </c>
      <c r="AG1951" s="2" t="s">
        <v>103</v>
      </c>
      <c r="AH1951" s="2" t="s">
        <v>17117</v>
      </c>
      <c r="AI1951" s="2">
        <v>-0.55000000000000004</v>
      </c>
      <c r="AJ1951" s="2">
        <v>20.100093259202801</v>
      </c>
      <c r="AK1951" s="2">
        <v>20.098371922828999</v>
      </c>
      <c r="AL1951" s="2">
        <v>20.5383191174754</v>
      </c>
      <c r="AM1951" s="2">
        <v>20.2933714519665</v>
      </c>
      <c r="AN1951" s="2">
        <v>20.769595723182402</v>
      </c>
      <c r="AO1951" s="2">
        <v>20.299347021369002</v>
      </c>
      <c r="AP1951" s="2">
        <v>20.295748725734601</v>
      </c>
      <c r="AQ1951" s="2">
        <v>20.322517426463602</v>
      </c>
      <c r="AR1951" s="2">
        <v>19.711239188060102</v>
      </c>
      <c r="AS1951" s="2">
        <v>19.763834718401199</v>
      </c>
      <c r="AT1951" s="2">
        <v>18.809552015946299</v>
      </c>
      <c r="AU1951" s="2">
        <v>20.421902181079901</v>
      </c>
      <c r="AV1951" s="2">
        <v>20.2322599918006</v>
      </c>
      <c r="AW1951" s="2">
        <v>20.575946057201701</v>
      </c>
      <c r="AX1951" s="2">
        <v>19.951156686040299</v>
      </c>
      <c r="AY1951" s="2">
        <v>19.784185370981699</v>
      </c>
      <c r="AZ1951" s="2">
        <v>19.164712910105202</v>
      </c>
      <c r="BA1951" s="2">
        <v>20.3205180288384</v>
      </c>
      <c r="BB1951" s="2">
        <v>19.994682870414</v>
      </c>
      <c r="BC1951" s="2">
        <v>21.582224040031299</v>
      </c>
      <c r="BD1951" s="2">
        <v>18.861350751808299</v>
      </c>
      <c r="BE1951" s="2">
        <v>20.915186315241201</v>
      </c>
      <c r="BF1951" s="2">
        <v>19.816171085051302</v>
      </c>
      <c r="BG1951" s="2">
        <v>19.973825273938399</v>
      </c>
      <c r="BH1951" s="2">
        <v>19.5354780552947</v>
      </c>
      <c r="BI1951" s="2">
        <v>19.509053511214098</v>
      </c>
      <c r="BJ1951" s="2">
        <v>20.546713403438801</v>
      </c>
      <c r="BK1951" s="2">
        <v>19.953261657685399</v>
      </c>
      <c r="BL1951" s="2">
        <v>19.614648976977701</v>
      </c>
      <c r="BM1951" s="2">
        <v>20.999508878430401</v>
      </c>
      <c r="BN1951" s="2">
        <v>19.5805143521285</v>
      </c>
      <c r="BO1951" s="2">
        <v>20.180960315796899</v>
      </c>
      <c r="BP1951" s="2">
        <v>20.722563865731502</v>
      </c>
      <c r="BQ1951" s="2">
        <v>19.930500724165402</v>
      </c>
      <c r="BR1951" s="2">
        <v>19.546215908647699</v>
      </c>
      <c r="BS1951" s="2">
        <v>20.579195302781201</v>
      </c>
      <c r="BT1951" s="2">
        <v>19.566900271446599</v>
      </c>
      <c r="BU1951" s="2">
        <v>21.351806515846501</v>
      </c>
      <c r="BV1951" s="2">
        <v>20.111656238410902</v>
      </c>
      <c r="BW1951" s="2">
        <v>19.748152925256399</v>
      </c>
      <c r="BX1951" s="2">
        <v>18.292917958672898</v>
      </c>
      <c r="BY1951" s="2">
        <v>21.300589726823102</v>
      </c>
      <c r="BZ1951" s="2">
        <v>20.442017709224601</v>
      </c>
      <c r="CA1951" s="2">
        <v>20.576215490108101</v>
      </c>
      <c r="CB1951" s="2">
        <v>19.223177690677801</v>
      </c>
      <c r="CC1951" s="2">
        <v>19.052537962504601</v>
      </c>
      <c r="CD1951" s="2">
        <v>20.8174757030005</v>
      </c>
      <c r="CE1951" s="2">
        <v>20.407568349727601</v>
      </c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</row>
    <row r="1952" spans="1:97">
      <c r="A1952" s="2" t="s">
        <v>17118</v>
      </c>
      <c r="B1952" s="2">
        <v>147.04732000000001</v>
      </c>
      <c r="C1952" s="2">
        <v>1.4430000000000001</v>
      </c>
      <c r="D1952" s="2" t="s">
        <v>84</v>
      </c>
      <c r="E1952" s="2" t="s">
        <v>17119</v>
      </c>
      <c r="F1952" s="2" t="s">
        <v>17120</v>
      </c>
      <c r="G1952" s="2">
        <v>63446</v>
      </c>
      <c r="H1952" s="3" t="str">
        <f>HYPERLINK("https://cloud.oebiotech.com/#/lm/network/63446", "https://cloud.oebiotech.com/#/lm/network/63446")</f>
        <v>https://cloud.oebiotech.com/#/lm/network/63446</v>
      </c>
      <c r="I1952" s="2" t="s">
        <v>17121</v>
      </c>
      <c r="J1952" s="2">
        <v>94768</v>
      </c>
      <c r="K1952" s="2"/>
      <c r="L1952" s="2">
        <v>526189</v>
      </c>
      <c r="M1952" s="2"/>
      <c r="N1952" s="2"/>
      <c r="O1952" s="2"/>
      <c r="P1952" s="2"/>
      <c r="Q1952" s="2"/>
      <c r="R1952" s="2"/>
      <c r="S1952" s="2" t="s">
        <v>17122</v>
      </c>
      <c r="T1952" s="2" t="s">
        <v>17123</v>
      </c>
      <c r="U1952" s="2" t="s">
        <v>17124</v>
      </c>
      <c r="V1952" s="2" t="s">
        <v>9746</v>
      </c>
      <c r="W1952" s="2" t="s">
        <v>14530</v>
      </c>
      <c r="X1952" s="2" t="s">
        <v>17125</v>
      </c>
      <c r="Y1952" s="2" t="s">
        <v>9748</v>
      </c>
      <c r="Z1952" s="2" t="s">
        <v>14532</v>
      </c>
      <c r="AA1952" s="2" t="s">
        <v>17126</v>
      </c>
      <c r="AB1952" s="2" t="s">
        <v>8443</v>
      </c>
      <c r="AC1952" s="2">
        <v>38.68</v>
      </c>
      <c r="AD1952" s="2">
        <v>93.39</v>
      </c>
      <c r="AE1952" s="2">
        <v>0</v>
      </c>
      <c r="AF1952" s="2" t="s">
        <v>5614</v>
      </c>
      <c r="AG1952" s="2" t="s">
        <v>103</v>
      </c>
      <c r="AH1952" s="2" t="s">
        <v>17127</v>
      </c>
      <c r="AI1952" s="2">
        <v>0.68</v>
      </c>
      <c r="AJ1952" s="2">
        <v>18.241467157695901</v>
      </c>
      <c r="AK1952" s="2">
        <v>18.022918851532499</v>
      </c>
      <c r="AL1952" s="2">
        <v>17.2226544558571</v>
      </c>
      <c r="AM1952" s="2">
        <v>17.308611269763102</v>
      </c>
      <c r="AN1952" s="2">
        <v>17.539637372832601</v>
      </c>
      <c r="AO1952" s="2">
        <v>17.6505074517219</v>
      </c>
      <c r="AP1952" s="2">
        <v>17.519625503840601</v>
      </c>
      <c r="AQ1952" s="2">
        <v>17.854039917638399</v>
      </c>
      <c r="AR1952" s="2">
        <v>16.1108433676979</v>
      </c>
      <c r="AS1952" s="2">
        <v>16.893791874710399</v>
      </c>
      <c r="AT1952" s="2">
        <v>15.490245135990801</v>
      </c>
      <c r="AU1952" s="2">
        <v>14.3876875272463</v>
      </c>
      <c r="AV1952" s="2">
        <v>16.867400857749601</v>
      </c>
      <c r="AW1952" s="2">
        <v>17.301431978905601</v>
      </c>
      <c r="AX1952" s="2">
        <v>17.877999886646201</v>
      </c>
      <c r="AY1952" s="2">
        <v>16.266322266866599</v>
      </c>
      <c r="AZ1952" s="2">
        <v>16.8101861332418</v>
      </c>
      <c r="BA1952" s="2">
        <v>16.591814064280399</v>
      </c>
      <c r="BB1952" s="2">
        <v>18.381827487691002</v>
      </c>
      <c r="BC1952" s="2">
        <v>17.956303945814799</v>
      </c>
      <c r="BD1952" s="2">
        <v>14.744001799012</v>
      </c>
      <c r="BE1952" s="2">
        <v>18.159312158481299</v>
      </c>
      <c r="BF1952" s="2">
        <v>18.1717790330895</v>
      </c>
      <c r="BG1952" s="2">
        <v>16.095167874555699</v>
      </c>
      <c r="BH1952" s="2">
        <v>17.376124456381898</v>
      </c>
      <c r="BI1952" s="2">
        <v>16.566053592087101</v>
      </c>
      <c r="BJ1952" s="2">
        <v>16.9211977626099</v>
      </c>
      <c r="BK1952" s="2">
        <v>15.4985796730601</v>
      </c>
      <c r="BL1952" s="2">
        <v>16.8962625051179</v>
      </c>
      <c r="BM1952" s="2">
        <v>15.9592335756761</v>
      </c>
      <c r="BN1952" s="2">
        <v>17.035415891366199</v>
      </c>
      <c r="BO1952" s="2">
        <v>16.348786409888302</v>
      </c>
      <c r="BP1952" s="2">
        <v>15.6163231178604</v>
      </c>
      <c r="BQ1952" s="2">
        <v>17.305028673811499</v>
      </c>
      <c r="BR1952" s="2">
        <v>16.6444383631755</v>
      </c>
      <c r="BS1952" s="2">
        <v>18.241061486164199</v>
      </c>
      <c r="BT1952" s="2">
        <v>18.476296359397999</v>
      </c>
      <c r="BU1952" s="2">
        <v>17.702022757660099</v>
      </c>
      <c r="BV1952" s="2">
        <v>16.209049493095598</v>
      </c>
      <c r="BW1952" s="2">
        <v>17.861859251265901</v>
      </c>
      <c r="BX1952" s="2">
        <v>9.6233145402724691</v>
      </c>
      <c r="BY1952" s="2">
        <v>18.152635460244898</v>
      </c>
      <c r="BZ1952" s="2">
        <v>18.602054277631801</v>
      </c>
      <c r="CA1952" s="2">
        <v>16.246765830593201</v>
      </c>
      <c r="CB1952" s="2">
        <v>15.7039360077707</v>
      </c>
      <c r="CC1952" s="2">
        <v>17.196836268852302</v>
      </c>
      <c r="CD1952" s="2">
        <v>16.463648094136499</v>
      </c>
      <c r="CE1952" s="2">
        <v>14.5962683892689</v>
      </c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</row>
    <row r="1953" spans="1:97">
      <c r="A1953" s="2" t="s">
        <v>17128</v>
      </c>
      <c r="B1953" s="2">
        <v>207.04390000000001</v>
      </c>
      <c r="C1953" s="2">
        <v>5.0469999999999997</v>
      </c>
      <c r="D1953" s="2" t="s">
        <v>146</v>
      </c>
      <c r="E1953" s="2" t="s">
        <v>17129</v>
      </c>
      <c r="F1953" s="2" t="s">
        <v>17130</v>
      </c>
      <c r="G1953" s="2">
        <v>209392</v>
      </c>
      <c r="H1953" s="3" t="str">
        <f>HYPERLINK("https://cloud.oebiotech.com/#/lm/network/209392", "https://cloud.oebiotech.com/#/lm/network/209392")</f>
        <v>https://cloud.oebiotech.com/#/lm/network/209392</v>
      </c>
      <c r="I1953" s="2" t="s">
        <v>17131</v>
      </c>
      <c r="J1953" s="2"/>
      <c r="K1953" s="2"/>
      <c r="L1953" s="2">
        <v>53400730</v>
      </c>
      <c r="M1953" s="2"/>
      <c r="N1953" s="2"/>
      <c r="O1953" s="2"/>
      <c r="P1953" s="2"/>
      <c r="Q1953" s="2"/>
      <c r="R1953" s="2"/>
      <c r="S1953" s="2"/>
      <c r="T1953" s="2" t="s">
        <v>17132</v>
      </c>
      <c r="U1953" s="2" t="s">
        <v>17133</v>
      </c>
      <c r="V1953" s="2" t="s">
        <v>95</v>
      </c>
      <c r="W1953" s="2" t="s">
        <v>96</v>
      </c>
      <c r="X1953" s="2" t="s">
        <v>141</v>
      </c>
      <c r="Y1953" s="2" t="s">
        <v>98</v>
      </c>
      <c r="Z1953" s="2" t="s">
        <v>99</v>
      </c>
      <c r="AA1953" s="2" t="s">
        <v>142</v>
      </c>
      <c r="AB1953" s="2" t="s">
        <v>8443</v>
      </c>
      <c r="AC1953" s="2">
        <v>38.68</v>
      </c>
      <c r="AD1953" s="2">
        <v>77.41</v>
      </c>
      <c r="AE1953" s="2">
        <v>0</v>
      </c>
      <c r="AF1953" s="2" t="s">
        <v>17134</v>
      </c>
      <c r="AG1953" s="2" t="s">
        <v>4062</v>
      </c>
      <c r="AH1953" s="2" t="s">
        <v>5871</v>
      </c>
      <c r="AI1953" s="2">
        <v>-4.3499999999999996</v>
      </c>
      <c r="AJ1953" s="2">
        <v>15.7597332141428</v>
      </c>
      <c r="AK1953" s="2">
        <v>15.900258089769</v>
      </c>
      <c r="AL1953" s="2">
        <v>16.3464742579629</v>
      </c>
      <c r="AM1953" s="2">
        <v>16.048120278661798</v>
      </c>
      <c r="AN1953" s="2">
        <v>15.684951567307101</v>
      </c>
      <c r="AO1953" s="2">
        <v>15.669342123425499</v>
      </c>
      <c r="AP1953" s="2">
        <v>15.9679658377812</v>
      </c>
      <c r="AQ1953" s="2">
        <v>16.1740465454054</v>
      </c>
      <c r="AR1953" s="2">
        <v>9.6233145402724691</v>
      </c>
      <c r="AS1953" s="2">
        <v>9.6233145402724691</v>
      </c>
      <c r="AT1953" s="2">
        <v>15.239748429289699</v>
      </c>
      <c r="AU1953" s="2">
        <v>9.6233145402724691</v>
      </c>
      <c r="AV1953" s="2">
        <v>9.6233145402724691</v>
      </c>
      <c r="AW1953" s="2">
        <v>9.6233145402724691</v>
      </c>
      <c r="AX1953" s="2">
        <v>12.8238030878539</v>
      </c>
      <c r="AY1953" s="2">
        <v>13.907308503364501</v>
      </c>
      <c r="AZ1953" s="2">
        <v>9.6233145402724691</v>
      </c>
      <c r="BA1953" s="2">
        <v>9.6233145402724691</v>
      </c>
      <c r="BB1953" s="2">
        <v>19.417281743041102</v>
      </c>
      <c r="BC1953" s="2">
        <v>17.6998535584077</v>
      </c>
      <c r="BD1953" s="2">
        <v>17.615804977780101</v>
      </c>
      <c r="BE1953" s="2">
        <v>9.6233145402724691</v>
      </c>
      <c r="BF1953" s="2">
        <v>14.481141619601599</v>
      </c>
      <c r="BG1953" s="2">
        <v>9.6233145402724691</v>
      </c>
      <c r="BH1953" s="2">
        <v>17.575393882786301</v>
      </c>
      <c r="BI1953" s="2">
        <v>17.925597263452101</v>
      </c>
      <c r="BJ1953" s="2">
        <v>16.0225919162156</v>
      </c>
      <c r="BK1953" s="2">
        <v>16.707938207862501</v>
      </c>
      <c r="BL1953" s="2">
        <v>16.551002240012402</v>
      </c>
      <c r="BM1953" s="2">
        <v>9.6233145402724691</v>
      </c>
      <c r="BN1953" s="2">
        <v>9.6233145402724691</v>
      </c>
      <c r="BO1953" s="2">
        <v>18.973369958533901</v>
      </c>
      <c r="BP1953" s="2">
        <v>17.968579164268</v>
      </c>
      <c r="BQ1953" s="2">
        <v>9.6233145402724691</v>
      </c>
      <c r="BR1953" s="2">
        <v>9.6233145402724691</v>
      </c>
      <c r="BS1953" s="2">
        <v>13.544474277422999</v>
      </c>
      <c r="BT1953" s="2">
        <v>16.872408558230902</v>
      </c>
      <c r="BU1953" s="2">
        <v>9.6233145402724691</v>
      </c>
      <c r="BV1953" s="2">
        <v>9.6233145402724691</v>
      </c>
      <c r="BW1953" s="2">
        <v>16.1779131218616</v>
      </c>
      <c r="BX1953" s="2">
        <v>9.6233145402724691</v>
      </c>
      <c r="BY1953" s="2">
        <v>9.6233145402724691</v>
      </c>
      <c r="BZ1953" s="2">
        <v>9.6233145402724691</v>
      </c>
      <c r="CA1953" s="2">
        <v>9.6233145402724691</v>
      </c>
      <c r="CB1953" s="2">
        <v>15.7736432890374</v>
      </c>
      <c r="CC1953" s="2">
        <v>15.9722223518127</v>
      </c>
      <c r="CD1953" s="2">
        <v>16.250605609358502</v>
      </c>
      <c r="CE1953" s="2">
        <v>16.683976969951502</v>
      </c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</row>
    <row r="1954" spans="1:97">
      <c r="A1954" s="2" t="s">
        <v>17135</v>
      </c>
      <c r="B1954" s="2">
        <v>308.03023999999999</v>
      </c>
      <c r="C1954" s="2">
        <v>5.4139999999999997</v>
      </c>
      <c r="D1954" s="2" t="s">
        <v>146</v>
      </c>
      <c r="E1954" s="2" t="s">
        <v>17136</v>
      </c>
      <c r="F1954" s="2" t="s">
        <v>17137</v>
      </c>
      <c r="G1954" s="2">
        <v>209862</v>
      </c>
      <c r="H1954" s="3" t="str">
        <f>HYPERLINK("https://cloud.oebiotech.com/#/lm/network/209862", "https://cloud.oebiotech.com/#/lm/network/209862")</f>
        <v>https://cloud.oebiotech.com/#/lm/network/209862</v>
      </c>
      <c r="I1954" s="2" t="s">
        <v>17138</v>
      </c>
      <c r="J1954" s="2">
        <v>338709</v>
      </c>
      <c r="K1954" s="2"/>
      <c r="L1954" s="2">
        <v>198716</v>
      </c>
      <c r="M1954" s="2"/>
      <c r="N1954" s="2"/>
      <c r="O1954" s="2"/>
      <c r="P1954" s="2"/>
      <c r="Q1954" s="2"/>
      <c r="R1954" s="2"/>
      <c r="S1954" s="2"/>
      <c r="T1954" s="2" t="s">
        <v>17139</v>
      </c>
      <c r="U1954" s="2" t="s">
        <v>17140</v>
      </c>
      <c r="V1954" s="2" t="s">
        <v>115</v>
      </c>
      <c r="W1954" s="2" t="s">
        <v>5349</v>
      </c>
      <c r="X1954" s="2" t="s">
        <v>15939</v>
      </c>
      <c r="Y1954" s="2" t="s">
        <v>118</v>
      </c>
      <c r="Z1954" s="2" t="s">
        <v>5351</v>
      </c>
      <c r="AA1954" s="2" t="s">
        <v>15940</v>
      </c>
      <c r="AB1954" s="2" t="s">
        <v>8443</v>
      </c>
      <c r="AC1954" s="2">
        <v>38.68</v>
      </c>
      <c r="AD1954" s="2">
        <v>94.89</v>
      </c>
      <c r="AE1954" s="2">
        <v>0</v>
      </c>
      <c r="AF1954" s="2" t="s">
        <v>5614</v>
      </c>
      <c r="AG1954" s="2" t="s">
        <v>157</v>
      </c>
      <c r="AH1954" s="2" t="s">
        <v>17141</v>
      </c>
      <c r="AI1954" s="2">
        <v>1.3</v>
      </c>
      <c r="AJ1954" s="2">
        <v>16.261597842086399</v>
      </c>
      <c r="AK1954" s="2">
        <v>16.039402535076601</v>
      </c>
      <c r="AL1954" s="2">
        <v>16.340216265676101</v>
      </c>
      <c r="AM1954" s="2">
        <v>16.355256967138999</v>
      </c>
      <c r="AN1954" s="2">
        <v>16.1200851581095</v>
      </c>
      <c r="AO1954" s="2">
        <v>16.3954271945404</v>
      </c>
      <c r="AP1954" s="2">
        <v>16.830685902917299</v>
      </c>
      <c r="AQ1954" s="2">
        <v>16.421755682709399</v>
      </c>
      <c r="AR1954" s="2">
        <v>16.612680634143299</v>
      </c>
      <c r="AS1954" s="2">
        <v>16.5158053080992</v>
      </c>
      <c r="AT1954" s="2">
        <v>16.658978770566399</v>
      </c>
      <c r="AU1954" s="2">
        <v>16.367524130086899</v>
      </c>
      <c r="AV1954" s="2">
        <v>16.106304475324901</v>
      </c>
      <c r="AW1954" s="2">
        <v>16.253954560651799</v>
      </c>
      <c r="AX1954" s="2">
        <v>16.335106456693001</v>
      </c>
      <c r="AY1954" s="2">
        <v>16.201578155661299</v>
      </c>
      <c r="AZ1954" s="2">
        <v>16.1605356243351</v>
      </c>
      <c r="BA1954" s="2">
        <v>16.635281522276099</v>
      </c>
      <c r="BB1954" s="2">
        <v>16.440869167610899</v>
      </c>
      <c r="BC1954" s="2">
        <v>15.920224203788001</v>
      </c>
      <c r="BD1954" s="2">
        <v>16.747766059082299</v>
      </c>
      <c r="BE1954" s="2">
        <v>16.045989329500902</v>
      </c>
      <c r="BF1954" s="2">
        <v>16.7674844965718</v>
      </c>
      <c r="BG1954" s="2">
        <v>17.141338924952699</v>
      </c>
      <c r="BH1954" s="2">
        <v>16.666983021369202</v>
      </c>
      <c r="BI1954" s="2">
        <v>16.845175039572801</v>
      </c>
      <c r="BJ1954" s="2">
        <v>16.044003208415798</v>
      </c>
      <c r="BK1954" s="2">
        <v>16.9421107984756</v>
      </c>
      <c r="BL1954" s="2">
        <v>16.769379052950299</v>
      </c>
      <c r="BM1954" s="2">
        <v>15.716945359481199</v>
      </c>
      <c r="BN1954" s="2">
        <v>16.220387208465599</v>
      </c>
      <c r="BO1954" s="2">
        <v>16.389213539779799</v>
      </c>
      <c r="BP1954" s="2">
        <v>16.503298106469199</v>
      </c>
      <c r="BQ1954" s="2">
        <v>16.2846945337423</v>
      </c>
      <c r="BR1954" s="2">
        <v>16.156641483062302</v>
      </c>
      <c r="BS1954" s="2">
        <v>16.189144661442199</v>
      </c>
      <c r="BT1954" s="2">
        <v>16.507427510091301</v>
      </c>
      <c r="BU1954" s="2">
        <v>15.8261986449543</v>
      </c>
      <c r="BV1954" s="2">
        <v>16.203083362252201</v>
      </c>
      <c r="BW1954" s="2">
        <v>16.9753365945745</v>
      </c>
      <c r="BX1954" s="2">
        <v>16.043299258961898</v>
      </c>
      <c r="BY1954" s="2">
        <v>15.6002137595906</v>
      </c>
      <c r="BZ1954" s="2">
        <v>16.4387155192065</v>
      </c>
      <c r="CA1954" s="2">
        <v>16.286226901513</v>
      </c>
      <c r="CB1954" s="2">
        <v>15.9403473238782</v>
      </c>
      <c r="CC1954" s="2">
        <v>17.1325445119226</v>
      </c>
      <c r="CD1954" s="2">
        <v>16.001621943737302</v>
      </c>
      <c r="CE1954" s="2">
        <v>16.930050401873999</v>
      </c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</row>
    <row r="1955" spans="1:97">
      <c r="A1955" s="2" t="s">
        <v>17142</v>
      </c>
      <c r="B1955" s="2">
        <v>221.04517000000001</v>
      </c>
      <c r="C1955" s="2">
        <v>1.151</v>
      </c>
      <c r="D1955" s="2" t="s">
        <v>84</v>
      </c>
      <c r="E1955" s="2" t="s">
        <v>17143</v>
      </c>
      <c r="F1955" s="2"/>
      <c r="G1955" s="2">
        <v>595451</v>
      </c>
      <c r="H1955" s="3" t="str">
        <f>HYPERLINK("https://cloud.oebiotech.com/#/lm/network/595451", "https://cloud.oebiotech.com/#/lm/network/595451")</f>
        <v>https://cloud.oebiotech.com/#/lm/network/595451</v>
      </c>
      <c r="I1955" s="2"/>
      <c r="J1955" s="2"/>
      <c r="K1955" s="2"/>
      <c r="L1955" s="2">
        <v>11708503</v>
      </c>
      <c r="M1955" s="2"/>
      <c r="N1955" s="2"/>
      <c r="O1955" s="2"/>
      <c r="P1955" s="2"/>
      <c r="Q1955" s="2"/>
      <c r="R1955" s="2"/>
      <c r="S1955" s="2"/>
      <c r="T1955" s="2" t="s">
        <v>17144</v>
      </c>
      <c r="U1955" s="2" t="s">
        <v>17145</v>
      </c>
      <c r="V1955" s="2" t="s">
        <v>845</v>
      </c>
      <c r="W1955" s="2" t="s">
        <v>970</v>
      </c>
      <c r="X1955" s="2" t="s">
        <v>971</v>
      </c>
      <c r="Y1955" s="2" t="s">
        <v>847</v>
      </c>
      <c r="Z1955" s="2" t="s">
        <v>972</v>
      </c>
      <c r="AA1955" s="2" t="s">
        <v>973</v>
      </c>
      <c r="AB1955" s="2" t="s">
        <v>8443</v>
      </c>
      <c r="AC1955" s="2">
        <v>38.67</v>
      </c>
      <c r="AD1955" s="2">
        <v>93.37</v>
      </c>
      <c r="AE1955" s="2">
        <v>0</v>
      </c>
      <c r="AF1955" s="2" t="s">
        <v>5614</v>
      </c>
      <c r="AG1955" s="2" t="s">
        <v>1088</v>
      </c>
      <c r="AH1955" s="2" t="s">
        <v>17146</v>
      </c>
      <c r="AI1955" s="2">
        <v>-0.9</v>
      </c>
      <c r="AJ1955" s="2">
        <v>18.3102704826014</v>
      </c>
      <c r="AK1955" s="2">
        <v>18.0189305473898</v>
      </c>
      <c r="AL1955" s="2">
        <v>18.0028351737371</v>
      </c>
      <c r="AM1955" s="2">
        <v>18.409565005423101</v>
      </c>
      <c r="AN1955" s="2">
        <v>18.136354297083301</v>
      </c>
      <c r="AO1955" s="2">
        <v>18.181100948868199</v>
      </c>
      <c r="AP1955" s="2">
        <v>17.1968528821021</v>
      </c>
      <c r="AQ1955" s="2">
        <v>17.494816529717902</v>
      </c>
      <c r="AR1955" s="2">
        <v>16.309267082512601</v>
      </c>
      <c r="AS1955" s="2">
        <v>17.066612064235201</v>
      </c>
      <c r="AT1955" s="2">
        <v>16.744429047378102</v>
      </c>
      <c r="AU1955" s="2">
        <v>17.7269244566738</v>
      </c>
      <c r="AV1955" s="2">
        <v>18.244980405674099</v>
      </c>
      <c r="AW1955" s="2">
        <v>16.877548718398099</v>
      </c>
      <c r="AX1955" s="2">
        <v>16.441246820150599</v>
      </c>
      <c r="AY1955" s="2">
        <v>15.811297669441901</v>
      </c>
      <c r="AZ1955" s="2">
        <v>9.6233145402724691</v>
      </c>
      <c r="BA1955" s="2">
        <v>18.315749041890701</v>
      </c>
      <c r="BB1955" s="2">
        <v>17.397180259436499</v>
      </c>
      <c r="BC1955" s="2">
        <v>18.995454541181299</v>
      </c>
      <c r="BD1955" s="2">
        <v>14.5983002966569</v>
      </c>
      <c r="BE1955" s="2">
        <v>18.589300172470601</v>
      </c>
      <c r="BF1955" s="2">
        <v>16.743547602114401</v>
      </c>
      <c r="BG1955" s="2">
        <v>17.523904105324299</v>
      </c>
      <c r="BH1955" s="2">
        <v>17.160874446839401</v>
      </c>
      <c r="BI1955" s="2">
        <v>16.583407049417399</v>
      </c>
      <c r="BJ1955" s="2">
        <v>18.511301432215699</v>
      </c>
      <c r="BK1955" s="2">
        <v>17.260143946452001</v>
      </c>
      <c r="BL1955" s="2">
        <v>16.105469873077599</v>
      </c>
      <c r="BM1955" s="2">
        <v>18.458033707011499</v>
      </c>
      <c r="BN1955" s="2">
        <v>15.249920445667</v>
      </c>
      <c r="BO1955" s="2">
        <v>15.536453343624601</v>
      </c>
      <c r="BP1955" s="2">
        <v>16.944815332463101</v>
      </c>
      <c r="BQ1955" s="2">
        <v>16.458253120058</v>
      </c>
      <c r="BR1955" s="2">
        <v>16.8380101129687</v>
      </c>
      <c r="BS1955" s="2">
        <v>17.5608535973107</v>
      </c>
      <c r="BT1955" s="2">
        <v>16.998233083133101</v>
      </c>
      <c r="BU1955" s="2">
        <v>19.049263824741601</v>
      </c>
      <c r="BV1955" s="2">
        <v>18.4703585196192</v>
      </c>
      <c r="BW1955" s="2">
        <v>17.3612302491631</v>
      </c>
      <c r="BX1955" s="2">
        <v>9.6233145402724691</v>
      </c>
      <c r="BY1955" s="2">
        <v>18.396067592000001</v>
      </c>
      <c r="BZ1955" s="2">
        <v>17.188491488322601</v>
      </c>
      <c r="CA1955" s="2">
        <v>18.235353992556099</v>
      </c>
      <c r="CB1955" s="2">
        <v>9.6233145402724691</v>
      </c>
      <c r="CC1955" s="2">
        <v>16.544404845402799</v>
      </c>
      <c r="CD1955" s="2">
        <v>18.807395615527199</v>
      </c>
      <c r="CE1955" s="2">
        <v>18.058377910878001</v>
      </c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</row>
    <row r="1956" spans="1:97">
      <c r="A1956" s="2" t="s">
        <v>17147</v>
      </c>
      <c r="B1956" s="2">
        <v>402.03631999999999</v>
      </c>
      <c r="C1956" s="2">
        <v>1.4019999999999999</v>
      </c>
      <c r="D1956" s="2" t="s">
        <v>146</v>
      </c>
      <c r="E1956" s="2" t="s">
        <v>17148</v>
      </c>
      <c r="F1956" s="2" t="s">
        <v>17149</v>
      </c>
      <c r="G1956" s="2">
        <v>207249</v>
      </c>
      <c r="H1956" s="3" t="str">
        <f>HYPERLINK("https://cloud.oebiotech.com/#/lm/network/207249", "https://cloud.oebiotech.com/#/lm/network/207249")</f>
        <v>https://cloud.oebiotech.com/#/lm/network/207249</v>
      </c>
      <c r="I1956" s="2" t="s">
        <v>17150</v>
      </c>
      <c r="J1956" s="2"/>
      <c r="K1956" s="2"/>
      <c r="L1956" s="2">
        <v>129661524</v>
      </c>
      <c r="M1956" s="2"/>
      <c r="N1956" s="2"/>
      <c r="O1956" s="2"/>
      <c r="P1956" s="2"/>
      <c r="Q1956" s="2"/>
      <c r="R1956" s="2"/>
      <c r="S1956" s="2"/>
      <c r="T1956" s="2" t="s">
        <v>17151</v>
      </c>
      <c r="U1956" s="2" t="s">
        <v>17152</v>
      </c>
      <c r="V1956" s="2" t="s">
        <v>115</v>
      </c>
      <c r="W1956" s="2" t="s">
        <v>116</v>
      </c>
      <c r="X1956" s="2" t="s">
        <v>117</v>
      </c>
      <c r="Y1956" s="2" t="s">
        <v>118</v>
      </c>
      <c r="Z1956" s="2" t="s">
        <v>119</v>
      </c>
      <c r="AA1956" s="2" t="s">
        <v>120</v>
      </c>
      <c r="AB1956" s="2" t="s">
        <v>8443</v>
      </c>
      <c r="AC1956" s="2">
        <v>38.67</v>
      </c>
      <c r="AD1956" s="2">
        <v>69.62</v>
      </c>
      <c r="AE1956" s="2">
        <v>0</v>
      </c>
      <c r="AF1956" s="2" t="s">
        <v>5614</v>
      </c>
      <c r="AG1956" s="2" t="s">
        <v>4062</v>
      </c>
      <c r="AH1956" s="2" t="s">
        <v>17153</v>
      </c>
      <c r="AI1956" s="2">
        <v>4.2300000000000004</v>
      </c>
      <c r="AJ1956" s="2">
        <v>17.906918185948101</v>
      </c>
      <c r="AK1956" s="2">
        <v>17.189804390498502</v>
      </c>
      <c r="AL1956" s="2">
        <v>17.9046172769565</v>
      </c>
      <c r="AM1956" s="2">
        <v>18.0547606311296</v>
      </c>
      <c r="AN1956" s="2">
        <v>18.158450227994201</v>
      </c>
      <c r="AO1956" s="2">
        <v>17.426849649747901</v>
      </c>
      <c r="AP1956" s="2">
        <v>17.8263741974548</v>
      </c>
      <c r="AQ1956" s="2">
        <v>17.994132639886299</v>
      </c>
      <c r="AR1956" s="2">
        <v>17.8779755707655</v>
      </c>
      <c r="AS1956" s="2">
        <v>17.518945773906701</v>
      </c>
      <c r="AT1956" s="2">
        <v>17.3095093050913</v>
      </c>
      <c r="AU1956" s="2">
        <v>17.768274412851</v>
      </c>
      <c r="AV1956" s="2">
        <v>18.043455466720101</v>
      </c>
      <c r="AW1956" s="2">
        <v>18.115729608721701</v>
      </c>
      <c r="AX1956" s="2">
        <v>17.717772866340699</v>
      </c>
      <c r="AY1956" s="2">
        <v>17.9227354884917</v>
      </c>
      <c r="AZ1956" s="2">
        <v>18.189369205883601</v>
      </c>
      <c r="BA1956" s="2">
        <v>17.866143222897701</v>
      </c>
      <c r="BB1956" s="2">
        <v>18.253661514440498</v>
      </c>
      <c r="BC1956" s="2">
        <v>17.158338190977499</v>
      </c>
      <c r="BD1956" s="2">
        <v>17.191989812842099</v>
      </c>
      <c r="BE1956" s="2">
        <v>17.5328669516208</v>
      </c>
      <c r="BF1956" s="2">
        <v>17.663619530854199</v>
      </c>
      <c r="BG1956" s="2">
        <v>18.135425227555299</v>
      </c>
      <c r="BH1956" s="2">
        <v>18.191651088637599</v>
      </c>
      <c r="BI1956" s="2">
        <v>17.696901867449899</v>
      </c>
      <c r="BJ1956" s="2">
        <v>18.380537584475899</v>
      </c>
      <c r="BK1956" s="2">
        <v>17.4791445090823</v>
      </c>
      <c r="BL1956" s="2">
        <v>17.0526199476664</v>
      </c>
      <c r="BM1956" s="2">
        <v>18.691769754459798</v>
      </c>
      <c r="BN1956" s="2">
        <v>17.9347283596572</v>
      </c>
      <c r="BO1956" s="2">
        <v>18.0690980088904</v>
      </c>
      <c r="BP1956" s="2">
        <v>17.656462991621702</v>
      </c>
      <c r="BQ1956" s="2">
        <v>17.966342770035901</v>
      </c>
      <c r="BR1956" s="2">
        <v>17.9461519900578</v>
      </c>
      <c r="BS1956" s="2">
        <v>17.4874063155786</v>
      </c>
      <c r="BT1956" s="2">
        <v>17.562663983571198</v>
      </c>
      <c r="BU1956" s="2">
        <v>17.612053814830301</v>
      </c>
      <c r="BV1956" s="2">
        <v>17.6327209181973</v>
      </c>
      <c r="BW1956" s="2">
        <v>17.2144965246477</v>
      </c>
      <c r="BX1956" s="2">
        <v>18.240913026478498</v>
      </c>
      <c r="BY1956" s="2">
        <v>17.537586141995401</v>
      </c>
      <c r="BZ1956" s="2">
        <v>17.29613365086</v>
      </c>
      <c r="CA1956" s="2">
        <v>17.966450588255999</v>
      </c>
      <c r="CB1956" s="2">
        <v>17.6034656728004</v>
      </c>
      <c r="CC1956" s="2">
        <v>17.9924890831591</v>
      </c>
      <c r="CD1956" s="2">
        <v>18.28501074947</v>
      </c>
      <c r="CE1956" s="2">
        <v>17.041018355737901</v>
      </c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</row>
    <row r="1957" spans="1:97">
      <c r="A1957" s="2" t="s">
        <v>17154</v>
      </c>
      <c r="B1957" s="2">
        <v>241.03243000000001</v>
      </c>
      <c r="C1957" s="2">
        <v>4.0709999999999997</v>
      </c>
      <c r="D1957" s="2" t="s">
        <v>146</v>
      </c>
      <c r="E1957" s="2" t="s">
        <v>17155</v>
      </c>
      <c r="F1957" s="2" t="s">
        <v>17156</v>
      </c>
      <c r="G1957" s="2">
        <v>202684</v>
      </c>
      <c r="H1957" s="3" t="str">
        <f>HYPERLINK("https://cloud.oebiotech.com/#/lm/network/202684", "https://cloud.oebiotech.com/#/lm/network/202684")</f>
        <v>https://cloud.oebiotech.com/#/lm/network/202684</v>
      </c>
      <c r="I1957" s="2" t="s">
        <v>17157</v>
      </c>
      <c r="J1957" s="2"/>
      <c r="K1957" s="2"/>
      <c r="L1957" s="2">
        <v>4112249</v>
      </c>
      <c r="M1957" s="2"/>
      <c r="N1957" s="2"/>
      <c r="O1957" s="2"/>
      <c r="P1957" s="2"/>
      <c r="Q1957" s="2"/>
      <c r="R1957" s="2"/>
      <c r="S1957" s="2"/>
      <c r="T1957" s="2" t="s">
        <v>17158</v>
      </c>
      <c r="U1957" s="2" t="s">
        <v>17159</v>
      </c>
      <c r="V1957" s="2" t="s">
        <v>553</v>
      </c>
      <c r="W1957" s="2" t="s">
        <v>949</v>
      </c>
      <c r="X1957" s="2" t="s">
        <v>950</v>
      </c>
      <c r="Y1957" s="2" t="s">
        <v>556</v>
      </c>
      <c r="Z1957" s="2" t="s">
        <v>951</v>
      </c>
      <c r="AA1957" s="2" t="s">
        <v>952</v>
      </c>
      <c r="AB1957" s="2" t="s">
        <v>8443</v>
      </c>
      <c r="AC1957" s="2">
        <v>38.67</v>
      </c>
      <c r="AD1957" s="2">
        <v>94.53</v>
      </c>
      <c r="AE1957" s="2">
        <v>0</v>
      </c>
      <c r="AF1957" s="2" t="s">
        <v>5614</v>
      </c>
      <c r="AG1957" s="2" t="s">
        <v>157</v>
      </c>
      <c r="AH1957" s="2" t="s">
        <v>17160</v>
      </c>
      <c r="AI1957" s="2">
        <v>1.24</v>
      </c>
      <c r="AJ1957" s="2">
        <v>18.6191947549625</v>
      </c>
      <c r="AK1957" s="2">
        <v>19.4369044017186</v>
      </c>
      <c r="AL1957" s="2">
        <v>19.389670428245299</v>
      </c>
      <c r="AM1957" s="2">
        <v>19.4608554074876</v>
      </c>
      <c r="AN1957" s="2">
        <v>19.168785974796702</v>
      </c>
      <c r="AO1957" s="2">
        <v>19.425423480705799</v>
      </c>
      <c r="AP1957" s="2">
        <v>19.2534734885723</v>
      </c>
      <c r="AQ1957" s="2">
        <v>19.2994167861576</v>
      </c>
      <c r="AR1957" s="2">
        <v>18.569473491211799</v>
      </c>
      <c r="AS1957" s="2">
        <v>17.652408696211999</v>
      </c>
      <c r="AT1957" s="2">
        <v>18.847648282355799</v>
      </c>
      <c r="AU1957" s="2">
        <v>18.478388628050201</v>
      </c>
      <c r="AV1957" s="2">
        <v>19.219787468333902</v>
      </c>
      <c r="AW1957" s="2">
        <v>19.215673762572901</v>
      </c>
      <c r="AX1957" s="2">
        <v>19.0623233273799</v>
      </c>
      <c r="AY1957" s="2">
        <v>18.794866479512599</v>
      </c>
      <c r="AZ1957" s="2">
        <v>18.719644937277401</v>
      </c>
      <c r="BA1957" s="2">
        <v>18.476439519553399</v>
      </c>
      <c r="BB1957" s="2">
        <v>19.360668000428898</v>
      </c>
      <c r="BC1957" s="2">
        <v>20.047685997074499</v>
      </c>
      <c r="BD1957" s="2">
        <v>19.031511302442301</v>
      </c>
      <c r="BE1957" s="2">
        <v>19.628883713283901</v>
      </c>
      <c r="BF1957" s="2">
        <v>19.5590885443258</v>
      </c>
      <c r="BG1957" s="2">
        <v>19.625674726318898</v>
      </c>
      <c r="BH1957" s="2">
        <v>18.949075063836201</v>
      </c>
      <c r="BI1957" s="2">
        <v>19.126894470357801</v>
      </c>
      <c r="BJ1957" s="2">
        <v>19.575828731012599</v>
      </c>
      <c r="BK1957" s="2">
        <v>18.807520456180999</v>
      </c>
      <c r="BL1957" s="2">
        <v>18.849783929705701</v>
      </c>
      <c r="BM1957" s="2">
        <v>19.5999947583541</v>
      </c>
      <c r="BN1957" s="2">
        <v>19.232303667836199</v>
      </c>
      <c r="BO1957" s="2">
        <v>18.569668993565099</v>
      </c>
      <c r="BP1957" s="2">
        <v>19.281644012559799</v>
      </c>
      <c r="BQ1957" s="2">
        <v>18.4901021638209</v>
      </c>
      <c r="BR1957" s="2">
        <v>19.1103172675788</v>
      </c>
      <c r="BS1957" s="2">
        <v>18.9774787745901</v>
      </c>
      <c r="BT1957" s="2">
        <v>18.337146679952799</v>
      </c>
      <c r="BU1957" s="2">
        <v>19.008897717141899</v>
      </c>
      <c r="BV1957" s="2">
        <v>19.5417337620223</v>
      </c>
      <c r="BW1957" s="2">
        <v>19.2655775292234</v>
      </c>
      <c r="BX1957" s="2">
        <v>18.995490729648299</v>
      </c>
      <c r="BY1957" s="2">
        <v>19.4807087222392</v>
      </c>
      <c r="BZ1957" s="2">
        <v>19.323256015142999</v>
      </c>
      <c r="CA1957" s="2">
        <v>19.724181495243599</v>
      </c>
      <c r="CB1957" s="2">
        <v>18.587638470655001</v>
      </c>
      <c r="CC1957" s="2">
        <v>19.2328956527946</v>
      </c>
      <c r="CD1957" s="2">
        <v>19.593374088442999</v>
      </c>
      <c r="CE1957" s="2">
        <v>19.049698960972702</v>
      </c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</row>
    <row r="1958" spans="1:97">
      <c r="A1958" s="2" t="s">
        <v>17161</v>
      </c>
      <c r="B1958" s="2">
        <v>456.33148999999997</v>
      </c>
      <c r="C1958" s="2">
        <v>8.3260000000000005</v>
      </c>
      <c r="D1958" s="2" t="s">
        <v>84</v>
      </c>
      <c r="E1958" s="2" t="s">
        <v>17162</v>
      </c>
      <c r="F1958" s="2" t="s">
        <v>17163</v>
      </c>
      <c r="G1958" s="2">
        <v>198079</v>
      </c>
      <c r="H1958" s="3" t="str">
        <f>HYPERLINK("https://cloud.oebiotech.com/#/lm/network/198079", "https://cloud.oebiotech.com/#/lm/network/198079")</f>
        <v>https://cloud.oebiotech.com/#/lm/network/198079</v>
      </c>
      <c r="I1958" s="2" t="s">
        <v>17164</v>
      </c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 t="s">
        <v>17165</v>
      </c>
      <c r="U1958" s="2" t="s">
        <v>17166</v>
      </c>
      <c r="V1958" s="2" t="s">
        <v>95</v>
      </c>
      <c r="W1958" s="2" t="s">
        <v>96</v>
      </c>
      <c r="X1958" s="2" t="s">
        <v>97</v>
      </c>
      <c r="Y1958" s="2" t="s">
        <v>98</v>
      </c>
      <c r="Z1958" s="2" t="s">
        <v>99</v>
      </c>
      <c r="AA1958" s="2" t="s">
        <v>100</v>
      </c>
      <c r="AB1958" s="2" t="s">
        <v>8443</v>
      </c>
      <c r="AC1958" s="2">
        <v>38.67</v>
      </c>
      <c r="AD1958" s="2">
        <v>93.83</v>
      </c>
      <c r="AE1958" s="2">
        <v>0</v>
      </c>
      <c r="AF1958" s="2" t="s">
        <v>17167</v>
      </c>
      <c r="AG1958" s="2" t="s">
        <v>103</v>
      </c>
      <c r="AH1958" s="2" t="s">
        <v>17168</v>
      </c>
      <c r="AI1958" s="2">
        <v>1.1000000000000001</v>
      </c>
      <c r="AJ1958" s="2">
        <v>19.9149065578071</v>
      </c>
      <c r="AK1958" s="2">
        <v>19.998424260255799</v>
      </c>
      <c r="AL1958" s="2">
        <v>19.5886090753628</v>
      </c>
      <c r="AM1958" s="2">
        <v>19.680687555652501</v>
      </c>
      <c r="AN1958" s="2">
        <v>19.949058644352</v>
      </c>
      <c r="AO1958" s="2">
        <v>19.839592516367599</v>
      </c>
      <c r="AP1958" s="2">
        <v>19.723970015485701</v>
      </c>
      <c r="AQ1958" s="2">
        <v>19.8988787680284</v>
      </c>
      <c r="AR1958" s="2">
        <v>19.7298261867161</v>
      </c>
      <c r="AS1958" s="2">
        <v>17.640270712527599</v>
      </c>
      <c r="AT1958" s="2">
        <v>19.902552987738801</v>
      </c>
      <c r="AU1958" s="2">
        <v>18.815586310632899</v>
      </c>
      <c r="AV1958" s="2">
        <v>19.784450049759698</v>
      </c>
      <c r="AW1958" s="2">
        <v>19.491260833465098</v>
      </c>
      <c r="AX1958" s="2">
        <v>19.361218938212399</v>
      </c>
      <c r="AY1958" s="2">
        <v>19.884064886372698</v>
      </c>
      <c r="AZ1958" s="2">
        <v>17.971094606480801</v>
      </c>
      <c r="BA1958" s="2">
        <v>19.0750871424246</v>
      </c>
      <c r="BB1958" s="2">
        <v>20.233510835359102</v>
      </c>
      <c r="BC1958" s="2">
        <v>19.770785517763901</v>
      </c>
      <c r="BD1958" s="2">
        <v>18.4421716026825</v>
      </c>
      <c r="BE1958" s="2">
        <v>19.311347742326699</v>
      </c>
      <c r="BF1958" s="2">
        <v>19.6397661194185</v>
      </c>
      <c r="BG1958" s="2">
        <v>17.771236493381799</v>
      </c>
      <c r="BH1958" s="2">
        <v>20.104416188799799</v>
      </c>
      <c r="BI1958" s="2">
        <v>19.342490542979501</v>
      </c>
      <c r="BJ1958" s="2">
        <v>20.082955361868802</v>
      </c>
      <c r="BK1958" s="2">
        <v>18.830741445917699</v>
      </c>
      <c r="BL1958" s="2">
        <v>19.949703695454001</v>
      </c>
      <c r="BM1958" s="2">
        <v>19.101018185350298</v>
      </c>
      <c r="BN1958" s="2">
        <v>19.882006494321399</v>
      </c>
      <c r="BO1958" s="2">
        <v>19.331389782371598</v>
      </c>
      <c r="BP1958" s="2">
        <v>19.5389711941679</v>
      </c>
      <c r="BQ1958" s="2">
        <v>20.066952739518001</v>
      </c>
      <c r="BR1958" s="2">
        <v>19.711610348339502</v>
      </c>
      <c r="BS1958" s="2">
        <v>19.843952831266801</v>
      </c>
      <c r="BT1958" s="2">
        <v>19.216815377145299</v>
      </c>
      <c r="BU1958" s="2">
        <v>19.964993220158501</v>
      </c>
      <c r="BV1958" s="2">
        <v>19.4734574797052</v>
      </c>
      <c r="BW1958" s="2">
        <v>20.182243769780001</v>
      </c>
      <c r="BX1958" s="2">
        <v>18.927946815517</v>
      </c>
      <c r="BY1958" s="2">
        <v>20.153634879994801</v>
      </c>
      <c r="BZ1958" s="2">
        <v>19.469029071910899</v>
      </c>
      <c r="CA1958" s="2">
        <v>20.0514447002232</v>
      </c>
      <c r="CB1958" s="2">
        <v>19.532910581351398</v>
      </c>
      <c r="CC1958" s="2">
        <v>19.043227931812201</v>
      </c>
      <c r="CD1958" s="2">
        <v>19.7713657114905</v>
      </c>
      <c r="CE1958" s="2">
        <v>17.769019524076501</v>
      </c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</row>
    <row r="1959" spans="1:97">
      <c r="A1959" s="2" t="s">
        <v>17169</v>
      </c>
      <c r="B1959" s="2">
        <v>201.05719999999999</v>
      </c>
      <c r="C1959" s="2">
        <v>1.254</v>
      </c>
      <c r="D1959" s="2" t="s">
        <v>146</v>
      </c>
      <c r="E1959" s="2" t="s">
        <v>17170</v>
      </c>
      <c r="F1959" s="2" t="s">
        <v>17170</v>
      </c>
      <c r="G1959" s="2">
        <v>61557</v>
      </c>
      <c r="H1959" s="3" t="str">
        <f>HYPERLINK("https://cloud.oebiotech.com/#/lm/network/61557", "https://cloud.oebiotech.com/#/lm/network/61557")</f>
        <v>https://cloud.oebiotech.com/#/lm/network/61557</v>
      </c>
      <c r="I1959" s="2" t="s">
        <v>17171</v>
      </c>
      <c r="J1959" s="2">
        <v>92865</v>
      </c>
      <c r="K1959" s="2"/>
      <c r="L1959" s="2">
        <v>131752308</v>
      </c>
      <c r="M1959" s="2"/>
      <c r="N1959" s="2"/>
      <c r="O1959" s="2"/>
      <c r="P1959" s="2">
        <v>173557</v>
      </c>
      <c r="Q1959" s="2"/>
      <c r="R1959" s="2"/>
      <c r="S1959" s="2" t="s">
        <v>17172</v>
      </c>
      <c r="T1959" s="2" t="s">
        <v>17173</v>
      </c>
      <c r="U1959" s="2" t="s">
        <v>17174</v>
      </c>
      <c r="V1959" s="2" t="s">
        <v>845</v>
      </c>
      <c r="W1959" s="2" t="s">
        <v>846</v>
      </c>
      <c r="X1959" s="2" t="s">
        <v>375</v>
      </c>
      <c r="Y1959" s="2" t="s">
        <v>847</v>
      </c>
      <c r="Z1959" s="2" t="s">
        <v>848</v>
      </c>
      <c r="AA1959" s="2"/>
      <c r="AB1959" s="2" t="s">
        <v>8443</v>
      </c>
      <c r="AC1959" s="2">
        <v>38.659999999999997</v>
      </c>
      <c r="AD1959" s="2">
        <v>92.89</v>
      </c>
      <c r="AE1959" s="2">
        <v>43.97</v>
      </c>
      <c r="AF1959" s="2" t="s">
        <v>17175</v>
      </c>
      <c r="AG1959" s="2" t="s">
        <v>194</v>
      </c>
      <c r="AH1959" s="2" t="s">
        <v>17176</v>
      </c>
      <c r="AI1959" s="2">
        <v>-7.46</v>
      </c>
      <c r="AJ1959" s="2">
        <v>21.3367695325732</v>
      </c>
      <c r="AK1959" s="2">
        <v>21.359299071317899</v>
      </c>
      <c r="AL1959" s="2">
        <v>21.432916143436099</v>
      </c>
      <c r="AM1959" s="2">
        <v>21.9496432915981</v>
      </c>
      <c r="AN1959" s="2">
        <v>21.971290332923399</v>
      </c>
      <c r="AO1959" s="2">
        <v>21.5835225627516</v>
      </c>
      <c r="AP1959" s="2">
        <v>21.672410299143898</v>
      </c>
      <c r="AQ1959" s="2">
        <v>21.391700013831301</v>
      </c>
      <c r="AR1959" s="2">
        <v>20.019377670141498</v>
      </c>
      <c r="AS1959" s="2">
        <v>20.787707318822001</v>
      </c>
      <c r="AT1959" s="2">
        <v>22.691644421286</v>
      </c>
      <c r="AU1959" s="2">
        <v>20.5063876366908</v>
      </c>
      <c r="AV1959" s="2">
        <v>21.759662130972298</v>
      </c>
      <c r="AW1959" s="2">
        <v>21.6043380260036</v>
      </c>
      <c r="AX1959" s="2">
        <v>22.590261668411198</v>
      </c>
      <c r="AY1959" s="2">
        <v>21.434036253657201</v>
      </c>
      <c r="AZ1959" s="2">
        <v>20.926152203473499</v>
      </c>
      <c r="BA1959" s="2">
        <v>19.730113220522401</v>
      </c>
      <c r="BB1959" s="2">
        <v>21.302178822050099</v>
      </c>
      <c r="BC1959" s="2">
        <v>23.396380931366402</v>
      </c>
      <c r="BD1959" s="2">
        <v>20.4995038034812</v>
      </c>
      <c r="BE1959" s="2">
        <v>21.6044812630095</v>
      </c>
      <c r="BF1959" s="2">
        <v>21.802011362984398</v>
      </c>
      <c r="BG1959" s="2">
        <v>21.2948931780398</v>
      </c>
      <c r="BH1959" s="2">
        <v>20.974151997103402</v>
      </c>
      <c r="BI1959" s="2">
        <v>21.983777915139498</v>
      </c>
      <c r="BJ1959" s="2">
        <v>21.075027218041399</v>
      </c>
      <c r="BK1959" s="2">
        <v>20.113556812426001</v>
      </c>
      <c r="BL1959" s="2">
        <v>21.6796073915216</v>
      </c>
      <c r="BM1959" s="2">
        <v>20.610587923736801</v>
      </c>
      <c r="BN1959" s="2">
        <v>20.576665303418299</v>
      </c>
      <c r="BO1959" s="2">
        <v>20.172575555732799</v>
      </c>
      <c r="BP1959" s="2">
        <v>20.823479759601501</v>
      </c>
      <c r="BQ1959" s="2">
        <v>21.074082113363001</v>
      </c>
      <c r="BR1959" s="2">
        <v>22.4385914282554</v>
      </c>
      <c r="BS1959" s="2">
        <v>20.7722547213803</v>
      </c>
      <c r="BT1959" s="2">
        <v>19.939117035644301</v>
      </c>
      <c r="BU1959" s="2">
        <v>21.864062280177802</v>
      </c>
      <c r="BV1959" s="2">
        <v>21.006062860037801</v>
      </c>
      <c r="BW1959" s="2">
        <v>22.2514204658744</v>
      </c>
      <c r="BX1959" s="2">
        <v>19.975268699144301</v>
      </c>
      <c r="BY1959" s="2">
        <v>22.341542776752899</v>
      </c>
      <c r="BZ1959" s="2">
        <v>21.446022516516202</v>
      </c>
      <c r="CA1959" s="2">
        <v>22.826990946827301</v>
      </c>
      <c r="CB1959" s="2">
        <v>20.594159137390101</v>
      </c>
      <c r="CC1959" s="2">
        <v>21.2938869622316</v>
      </c>
      <c r="CD1959" s="2">
        <v>20.855976630368598</v>
      </c>
      <c r="CE1959" s="2">
        <v>21.7015476271465</v>
      </c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</row>
    <row r="1960" spans="1:97">
      <c r="A1960" s="2" t="s">
        <v>17177</v>
      </c>
      <c r="B1960" s="2">
        <v>388.39301</v>
      </c>
      <c r="C1960" s="2">
        <v>10.82</v>
      </c>
      <c r="D1960" s="2" t="s">
        <v>84</v>
      </c>
      <c r="E1960" s="2" t="s">
        <v>17178</v>
      </c>
      <c r="F1960" s="2" t="s">
        <v>17179</v>
      </c>
      <c r="G1960" s="2">
        <v>43575</v>
      </c>
      <c r="H1960" s="3" t="str">
        <f>HYPERLINK("https://cloud.oebiotech.com/#/lm/network/43575", "https://cloud.oebiotech.com/#/lm/network/43575")</f>
        <v>https://cloud.oebiotech.com/#/lm/network/43575</v>
      </c>
      <c r="I1960" s="2" t="s">
        <v>17180</v>
      </c>
      <c r="J1960" s="2">
        <v>57681</v>
      </c>
      <c r="K1960" s="2" t="s">
        <v>17181</v>
      </c>
      <c r="L1960" s="2">
        <v>440663</v>
      </c>
      <c r="M1960" s="2" t="s">
        <v>17182</v>
      </c>
      <c r="N1960" s="2"/>
      <c r="O1960" s="2"/>
      <c r="P1960" s="2">
        <v>28810</v>
      </c>
      <c r="Q1960" s="2"/>
      <c r="R1960" s="2"/>
      <c r="S1960" s="2" t="s">
        <v>17183</v>
      </c>
      <c r="T1960" s="2" t="s">
        <v>17184</v>
      </c>
      <c r="U1960" s="2" t="s">
        <v>17185</v>
      </c>
      <c r="V1960" s="2" t="s">
        <v>95</v>
      </c>
      <c r="W1960" s="2" t="s">
        <v>152</v>
      </c>
      <c r="X1960" s="2" t="s">
        <v>1420</v>
      </c>
      <c r="Y1960" s="2" t="s">
        <v>98</v>
      </c>
      <c r="Z1960" s="2" t="s">
        <v>154</v>
      </c>
      <c r="AA1960" s="2" t="s">
        <v>1421</v>
      </c>
      <c r="AB1960" s="2" t="s">
        <v>8443</v>
      </c>
      <c r="AC1960" s="2">
        <v>38.659999999999997</v>
      </c>
      <c r="AD1960" s="2">
        <v>98.62</v>
      </c>
      <c r="AE1960" s="2">
        <v>0</v>
      </c>
      <c r="AF1960" s="2" t="s">
        <v>17186</v>
      </c>
      <c r="AG1960" s="2" t="s">
        <v>132</v>
      </c>
      <c r="AH1960" s="2" t="s">
        <v>17187</v>
      </c>
      <c r="AI1960" s="2">
        <v>2.06</v>
      </c>
      <c r="AJ1960" s="2">
        <v>25.2655234297726</v>
      </c>
      <c r="AK1960" s="2">
        <v>25.304048454085901</v>
      </c>
      <c r="AL1960" s="2">
        <v>25.2795955216361</v>
      </c>
      <c r="AM1960" s="2">
        <v>25.3010987709477</v>
      </c>
      <c r="AN1960" s="2">
        <v>25.254381799821498</v>
      </c>
      <c r="AO1960" s="2">
        <v>25.392853819816899</v>
      </c>
      <c r="AP1960" s="2">
        <v>25.3047882745301</v>
      </c>
      <c r="AQ1960" s="2">
        <v>25.286584084137299</v>
      </c>
      <c r="AR1960" s="2">
        <v>25.185808282460499</v>
      </c>
      <c r="AS1960" s="2">
        <v>25.204555367745499</v>
      </c>
      <c r="AT1960" s="2">
        <v>25.210304089000701</v>
      </c>
      <c r="AU1960" s="2">
        <v>25.221807271021799</v>
      </c>
      <c r="AV1960" s="2">
        <v>25.2704716672785</v>
      </c>
      <c r="AW1960" s="2">
        <v>25.248935517224101</v>
      </c>
      <c r="AX1960" s="2">
        <v>25.280889912844799</v>
      </c>
      <c r="AY1960" s="2">
        <v>25.263256503614301</v>
      </c>
      <c r="AZ1960" s="2">
        <v>25.276732969617399</v>
      </c>
      <c r="BA1960" s="2">
        <v>25.191949675557598</v>
      </c>
      <c r="BB1960" s="2">
        <v>25.347817463380199</v>
      </c>
      <c r="BC1960" s="2">
        <v>25.245894958527</v>
      </c>
      <c r="BD1960" s="2">
        <v>25.259828937842201</v>
      </c>
      <c r="BE1960" s="2">
        <v>25.289683346061</v>
      </c>
      <c r="BF1960" s="2">
        <v>25.333779583021201</v>
      </c>
      <c r="BG1960" s="2">
        <v>25.286118198095402</v>
      </c>
      <c r="BH1960" s="2">
        <v>25.3305230693014</v>
      </c>
      <c r="BI1960" s="2">
        <v>25.301119562277002</v>
      </c>
      <c r="BJ1960" s="2">
        <v>25.193798175854202</v>
      </c>
      <c r="BK1960" s="2">
        <v>25.370349978914501</v>
      </c>
      <c r="BL1960" s="2">
        <v>25.1324309904799</v>
      </c>
      <c r="BM1960" s="2">
        <v>25.205830692467199</v>
      </c>
      <c r="BN1960" s="2">
        <v>25.1791758733413</v>
      </c>
      <c r="BO1960" s="2">
        <v>24.881626781240801</v>
      </c>
      <c r="BP1960" s="2">
        <v>25.007998598529401</v>
      </c>
      <c r="BQ1960" s="2">
        <v>25.221338993573401</v>
      </c>
      <c r="BR1960" s="2">
        <v>25.109418269489598</v>
      </c>
      <c r="BS1960" s="2">
        <v>25.2086422809383</v>
      </c>
      <c r="BT1960" s="2">
        <v>25.1973866246027</v>
      </c>
      <c r="BU1960" s="2">
        <v>25.024400995611</v>
      </c>
      <c r="BV1960" s="2">
        <v>25.2217805784394</v>
      </c>
      <c r="BW1960" s="2">
        <v>25.180591165000401</v>
      </c>
      <c r="BX1960" s="2">
        <v>25.165011191902298</v>
      </c>
      <c r="BY1960" s="2">
        <v>25.292354421725499</v>
      </c>
      <c r="BZ1960" s="2">
        <v>25.2444429464453</v>
      </c>
      <c r="CA1960" s="2">
        <v>25.2730439753682</v>
      </c>
      <c r="CB1960" s="2">
        <v>25.485285322426201</v>
      </c>
      <c r="CC1960" s="2">
        <v>25.2121221647553</v>
      </c>
      <c r="CD1960" s="2">
        <v>25.2359949131036</v>
      </c>
      <c r="CE1960" s="2">
        <v>25.284385155105198</v>
      </c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</row>
    <row r="1961" spans="1:97">
      <c r="A1961" s="2" t="s">
        <v>17188</v>
      </c>
      <c r="B1961" s="2">
        <v>192.02405999999999</v>
      </c>
      <c r="C1961" s="2">
        <v>0.71799999999999997</v>
      </c>
      <c r="D1961" s="2" t="s">
        <v>84</v>
      </c>
      <c r="E1961" s="2" t="s">
        <v>17189</v>
      </c>
      <c r="F1961" s="2" t="s">
        <v>17190</v>
      </c>
      <c r="G1961" s="2">
        <v>210284</v>
      </c>
      <c r="H1961" s="3" t="str">
        <f>HYPERLINK("https://cloud.oebiotech.com/#/lm/network/210284", "https://cloud.oebiotech.com/#/lm/network/210284")</f>
        <v>https://cloud.oebiotech.com/#/lm/network/210284</v>
      </c>
      <c r="I1961" s="2" t="s">
        <v>17191</v>
      </c>
      <c r="J1961" s="2"/>
      <c r="K1961" s="2"/>
      <c r="L1961" s="2">
        <v>1378714</v>
      </c>
      <c r="M1961" s="2"/>
      <c r="N1961" s="2"/>
      <c r="O1961" s="2"/>
      <c r="P1961" s="2"/>
      <c r="Q1961" s="2"/>
      <c r="R1961" s="2"/>
      <c r="S1961" s="2"/>
      <c r="T1961" s="2" t="s">
        <v>17192</v>
      </c>
      <c r="U1961" s="2" t="s">
        <v>17193</v>
      </c>
      <c r="V1961" s="2" t="s">
        <v>385</v>
      </c>
      <c r="W1961" s="2" t="s">
        <v>386</v>
      </c>
      <c r="X1961" s="2" t="s">
        <v>375</v>
      </c>
      <c r="Y1961" s="2" t="s">
        <v>388</v>
      </c>
      <c r="Z1961" s="2" t="s">
        <v>389</v>
      </c>
      <c r="AA1961" s="2"/>
      <c r="AB1961" s="2" t="s">
        <v>8443</v>
      </c>
      <c r="AC1961" s="2">
        <v>38.65</v>
      </c>
      <c r="AD1961" s="2">
        <v>93.47</v>
      </c>
      <c r="AE1961" s="2">
        <v>0</v>
      </c>
      <c r="AF1961" s="2" t="s">
        <v>5614</v>
      </c>
      <c r="AG1961" s="2" t="s">
        <v>132</v>
      </c>
      <c r="AH1961" s="2" t="s">
        <v>17194</v>
      </c>
      <c r="AI1961" s="2">
        <v>1.04</v>
      </c>
      <c r="AJ1961" s="2">
        <v>20.605685681166001</v>
      </c>
      <c r="AK1961" s="2">
        <v>20.393181739279999</v>
      </c>
      <c r="AL1961" s="2">
        <v>20.670712542791001</v>
      </c>
      <c r="AM1961" s="2">
        <v>20.451866374850301</v>
      </c>
      <c r="AN1961" s="2">
        <v>20.880869664078698</v>
      </c>
      <c r="AO1961" s="2">
        <v>20.774938546657101</v>
      </c>
      <c r="AP1961" s="2">
        <v>20.4365756284433</v>
      </c>
      <c r="AQ1961" s="2">
        <v>20.469517297707601</v>
      </c>
      <c r="AR1961" s="2">
        <v>19.9979676191215</v>
      </c>
      <c r="AS1961" s="2">
        <v>18.232734009293999</v>
      </c>
      <c r="AT1961" s="2">
        <v>20.5245459713258</v>
      </c>
      <c r="AU1961" s="2">
        <v>18.884910521538401</v>
      </c>
      <c r="AV1961" s="2">
        <v>20.5349016707247</v>
      </c>
      <c r="AW1961" s="2">
        <v>19.942853084065501</v>
      </c>
      <c r="AX1961" s="2">
        <v>19.747934509606999</v>
      </c>
      <c r="AY1961" s="2">
        <v>19.9608475649827</v>
      </c>
      <c r="AZ1961" s="2">
        <v>20.119565090157799</v>
      </c>
      <c r="BA1961" s="2">
        <v>19.360042307852201</v>
      </c>
      <c r="BB1961" s="2">
        <v>19.971545462395099</v>
      </c>
      <c r="BC1961" s="2">
        <v>19.309849809078901</v>
      </c>
      <c r="BD1961" s="2">
        <v>19.6873565279849</v>
      </c>
      <c r="BE1961" s="2">
        <v>19.084502630633899</v>
      </c>
      <c r="BF1961" s="2">
        <v>19.328072597728301</v>
      </c>
      <c r="BG1961" s="2">
        <v>19.804554773936299</v>
      </c>
      <c r="BH1961" s="2">
        <v>18.5028664091307</v>
      </c>
      <c r="BI1961" s="2">
        <v>20.355063300909499</v>
      </c>
      <c r="BJ1961" s="2">
        <v>20.583895979269901</v>
      </c>
      <c r="BK1961" s="2">
        <v>20.3856755274197</v>
      </c>
      <c r="BL1961" s="2">
        <v>18.644963146145699</v>
      </c>
      <c r="BM1961" s="2">
        <v>19.892134857654899</v>
      </c>
      <c r="BN1961" s="2">
        <v>20.156519454972301</v>
      </c>
      <c r="BO1961" s="2">
        <v>20.009953880796601</v>
      </c>
      <c r="BP1961" s="2">
        <v>20.775800061462501</v>
      </c>
      <c r="BQ1961" s="2">
        <v>19.6321235564135</v>
      </c>
      <c r="BR1961" s="2">
        <v>19.276733277325398</v>
      </c>
      <c r="BS1961" s="2">
        <v>21.1826313825512</v>
      </c>
      <c r="BT1961" s="2">
        <v>16.6595653268269</v>
      </c>
      <c r="BU1961" s="2">
        <v>21.099700758277798</v>
      </c>
      <c r="BV1961" s="2">
        <v>19.705638039750699</v>
      </c>
      <c r="BW1961" s="2">
        <v>19.7611226447066</v>
      </c>
      <c r="BX1961" s="2">
        <v>20.7704063437419</v>
      </c>
      <c r="BY1961" s="2">
        <v>20.157149480996999</v>
      </c>
      <c r="BZ1961" s="2">
        <v>19.8070773487722</v>
      </c>
      <c r="CA1961" s="2">
        <v>20.4094231225139</v>
      </c>
      <c r="CB1961" s="2">
        <v>20.8732426343472</v>
      </c>
      <c r="CC1961" s="2">
        <v>19.2262999482837</v>
      </c>
      <c r="CD1961" s="2">
        <v>22.053741184248</v>
      </c>
      <c r="CE1961" s="2">
        <v>20.3641114050629</v>
      </c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</row>
    <row r="1962" spans="1:97">
      <c r="A1962" s="2" t="s">
        <v>17195</v>
      </c>
      <c r="B1962" s="2">
        <v>186.05563000000001</v>
      </c>
      <c r="C1962" s="2">
        <v>4.0110000000000001</v>
      </c>
      <c r="D1962" s="2" t="s">
        <v>146</v>
      </c>
      <c r="E1962" s="2" t="s">
        <v>17196</v>
      </c>
      <c r="F1962" s="2"/>
      <c r="G1962" s="2">
        <v>596491</v>
      </c>
      <c r="H1962" s="3" t="str">
        <f>HYPERLINK("https://cloud.oebiotech.com/#/lm/network/596491", "https://cloud.oebiotech.com/#/lm/network/596491")</f>
        <v>https://cloud.oebiotech.com/#/lm/network/596491</v>
      </c>
      <c r="I1962" s="2"/>
      <c r="J1962" s="2"/>
      <c r="K1962" s="2"/>
      <c r="L1962" s="2">
        <v>2232523</v>
      </c>
      <c r="M1962" s="2"/>
      <c r="N1962" s="2"/>
      <c r="O1962" s="2"/>
      <c r="P1962" s="2"/>
      <c r="Q1962" s="2"/>
      <c r="R1962" s="2"/>
      <c r="S1962" s="2"/>
      <c r="T1962" s="2" t="s">
        <v>17197</v>
      </c>
      <c r="U1962" s="2" t="s">
        <v>17198</v>
      </c>
      <c r="V1962" s="2" t="s">
        <v>115</v>
      </c>
      <c r="W1962" s="2" t="s">
        <v>116</v>
      </c>
      <c r="X1962" s="2" t="s">
        <v>117</v>
      </c>
      <c r="Y1962" s="2" t="s">
        <v>118</v>
      </c>
      <c r="Z1962" s="2" t="s">
        <v>119</v>
      </c>
      <c r="AA1962" s="2" t="s">
        <v>120</v>
      </c>
      <c r="AB1962" s="2" t="s">
        <v>8443</v>
      </c>
      <c r="AC1962" s="2">
        <v>38.65</v>
      </c>
      <c r="AD1962" s="2">
        <v>93.27</v>
      </c>
      <c r="AE1962" s="2">
        <v>0</v>
      </c>
      <c r="AF1962" s="2" t="s">
        <v>17199</v>
      </c>
      <c r="AG1962" s="2" t="s">
        <v>993</v>
      </c>
      <c r="AH1962" s="2" t="s">
        <v>985</v>
      </c>
      <c r="AI1962" s="2">
        <v>-0.54</v>
      </c>
      <c r="AJ1962" s="2">
        <v>20.034665710312201</v>
      </c>
      <c r="AK1962" s="2">
        <v>20.0844701775946</v>
      </c>
      <c r="AL1962" s="2">
        <v>19.838215709801901</v>
      </c>
      <c r="AM1962" s="2">
        <v>19.9596329304043</v>
      </c>
      <c r="AN1962" s="2">
        <v>19.9055517128586</v>
      </c>
      <c r="AO1962" s="2">
        <v>20.014002552605302</v>
      </c>
      <c r="AP1962" s="2">
        <v>19.8740432285182</v>
      </c>
      <c r="AQ1962" s="2">
        <v>19.885487170488901</v>
      </c>
      <c r="AR1962" s="2">
        <v>19.4984417319016</v>
      </c>
      <c r="AS1962" s="2">
        <v>21.026396367395101</v>
      </c>
      <c r="AT1962" s="2">
        <v>19.989154824486899</v>
      </c>
      <c r="AU1962" s="2">
        <v>19.864542160848899</v>
      </c>
      <c r="AV1962" s="2">
        <v>18.192855583107399</v>
      </c>
      <c r="AW1962" s="2">
        <v>20.804581249427901</v>
      </c>
      <c r="AX1962" s="2">
        <v>18.500717301406802</v>
      </c>
      <c r="AY1962" s="2">
        <v>20.344291757127099</v>
      </c>
      <c r="AZ1962" s="2">
        <v>18.2442107896774</v>
      </c>
      <c r="BA1962" s="2">
        <v>20.733167145138701</v>
      </c>
      <c r="BB1962" s="2">
        <v>21.225364694664702</v>
      </c>
      <c r="BC1962" s="2">
        <v>19.7163925144872</v>
      </c>
      <c r="BD1962" s="2">
        <v>17.307614229487001</v>
      </c>
      <c r="BE1962" s="2">
        <v>21.1547727645886</v>
      </c>
      <c r="BF1962" s="2">
        <v>18.807293753902702</v>
      </c>
      <c r="BG1962" s="2">
        <v>16.915034852672001</v>
      </c>
      <c r="BH1962" s="2">
        <v>18.032208916548999</v>
      </c>
      <c r="BI1962" s="2">
        <v>21.231471534410002</v>
      </c>
      <c r="BJ1962" s="2">
        <v>21.625682515458799</v>
      </c>
      <c r="BK1962" s="2">
        <v>20.584214186737501</v>
      </c>
      <c r="BL1962" s="2">
        <v>20.233190009126599</v>
      </c>
      <c r="BM1962" s="2">
        <v>19.3177590290328</v>
      </c>
      <c r="BN1962" s="2">
        <v>20.462582829235298</v>
      </c>
      <c r="BO1962" s="2">
        <v>18.829512997710399</v>
      </c>
      <c r="BP1962" s="2">
        <v>18.350675849790701</v>
      </c>
      <c r="BQ1962" s="2">
        <v>20.088202081721398</v>
      </c>
      <c r="BR1962" s="2">
        <v>16.9689836302774</v>
      </c>
      <c r="BS1962" s="2">
        <v>19.961289324486899</v>
      </c>
      <c r="BT1962" s="2">
        <v>18.7480211851408</v>
      </c>
      <c r="BU1962" s="2">
        <v>19.285725977002802</v>
      </c>
      <c r="BV1962" s="2">
        <v>20.454724215284099</v>
      </c>
      <c r="BW1962" s="2">
        <v>18.204710401919499</v>
      </c>
      <c r="BX1962" s="2">
        <v>18.9212502186822</v>
      </c>
      <c r="BY1962" s="2">
        <v>20.611390285590399</v>
      </c>
      <c r="BZ1962" s="2">
        <v>19.3722698919604</v>
      </c>
      <c r="CA1962" s="2">
        <v>19.162207031302401</v>
      </c>
      <c r="CB1962" s="2">
        <v>17.890335238978398</v>
      </c>
      <c r="CC1962" s="2">
        <v>18.365820778633399</v>
      </c>
      <c r="CD1962" s="2">
        <v>20.2150873616642</v>
      </c>
      <c r="CE1962" s="2">
        <v>21.274032125173498</v>
      </c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</row>
    <row r="1963" spans="1:97">
      <c r="A1963" s="2" t="s">
        <v>17200</v>
      </c>
      <c r="B1963" s="2">
        <v>225.03749999999999</v>
      </c>
      <c r="C1963" s="2">
        <v>4.3330000000000002</v>
      </c>
      <c r="D1963" s="2" t="s">
        <v>146</v>
      </c>
      <c r="E1963" s="2" t="s">
        <v>17201</v>
      </c>
      <c r="F1963" s="2" t="s">
        <v>17202</v>
      </c>
      <c r="G1963" s="2">
        <v>199710</v>
      </c>
      <c r="H1963" s="3" t="str">
        <f>HYPERLINK("https://cloud.oebiotech.com/#/lm/network/199710", "https://cloud.oebiotech.com/#/lm/network/199710")</f>
        <v>https://cloud.oebiotech.com/#/lm/network/199710</v>
      </c>
      <c r="I1963" s="2" t="s">
        <v>17203</v>
      </c>
      <c r="J1963" s="2"/>
      <c r="K1963" s="2"/>
      <c r="L1963" s="2">
        <v>6275</v>
      </c>
      <c r="M1963" s="2"/>
      <c r="N1963" s="2"/>
      <c r="O1963" s="2"/>
      <c r="P1963" s="2"/>
      <c r="Q1963" s="2"/>
      <c r="R1963" s="2"/>
      <c r="S1963" s="2"/>
      <c r="T1963" s="2" t="s">
        <v>17204</v>
      </c>
      <c r="U1963" s="2" t="s">
        <v>17205</v>
      </c>
      <c r="V1963" s="2" t="s">
        <v>553</v>
      </c>
      <c r="W1963" s="2" t="s">
        <v>10313</v>
      </c>
      <c r="X1963" s="2" t="s">
        <v>17206</v>
      </c>
      <c r="Y1963" s="2" t="s">
        <v>556</v>
      </c>
      <c r="Z1963" s="2" t="s">
        <v>10315</v>
      </c>
      <c r="AA1963" s="2" t="s">
        <v>17207</v>
      </c>
      <c r="AB1963" s="2" t="s">
        <v>8443</v>
      </c>
      <c r="AC1963" s="2">
        <v>38.65</v>
      </c>
      <c r="AD1963" s="2">
        <v>94.92</v>
      </c>
      <c r="AE1963" s="2">
        <v>0</v>
      </c>
      <c r="AF1963" s="2" t="s">
        <v>17208</v>
      </c>
      <c r="AG1963" s="2" t="s">
        <v>3880</v>
      </c>
      <c r="AH1963" s="2" t="s">
        <v>17209</v>
      </c>
      <c r="AI1963" s="2">
        <v>1.33</v>
      </c>
      <c r="AJ1963" s="2">
        <v>18.872303909673299</v>
      </c>
      <c r="AK1963" s="2">
        <v>18.802305506517001</v>
      </c>
      <c r="AL1963" s="2">
        <v>18.6920301734507</v>
      </c>
      <c r="AM1963" s="2">
        <v>18.581922793352302</v>
      </c>
      <c r="AN1963" s="2">
        <v>18.607264239289101</v>
      </c>
      <c r="AO1963" s="2">
        <v>18.729554064893499</v>
      </c>
      <c r="AP1963" s="2">
        <v>18.2907209564111</v>
      </c>
      <c r="AQ1963" s="2">
        <v>18.755848808926299</v>
      </c>
      <c r="AR1963" s="2">
        <v>17.294794560344201</v>
      </c>
      <c r="AS1963" s="2">
        <v>17.164109092425001</v>
      </c>
      <c r="AT1963" s="2">
        <v>18.0832744600634</v>
      </c>
      <c r="AU1963" s="2">
        <v>17.856245995203601</v>
      </c>
      <c r="AV1963" s="2">
        <v>18.724979075497298</v>
      </c>
      <c r="AW1963" s="2">
        <v>18.525337661943102</v>
      </c>
      <c r="AX1963" s="2">
        <v>18.542982942935399</v>
      </c>
      <c r="AY1963" s="2">
        <v>18.488378526484802</v>
      </c>
      <c r="AZ1963" s="2">
        <v>17.395180062070601</v>
      </c>
      <c r="BA1963" s="2">
        <v>17.679165369075101</v>
      </c>
      <c r="BB1963" s="2">
        <v>19.240631269644499</v>
      </c>
      <c r="BC1963" s="2">
        <v>19.396262490980899</v>
      </c>
      <c r="BD1963" s="2">
        <v>18.2143772775134</v>
      </c>
      <c r="BE1963" s="2">
        <v>18.834663682044901</v>
      </c>
      <c r="BF1963" s="2">
        <v>18.5407384312253</v>
      </c>
      <c r="BG1963" s="2">
        <v>19.115221572459198</v>
      </c>
      <c r="BH1963" s="2">
        <v>18.706354836299301</v>
      </c>
      <c r="BI1963" s="2">
        <v>18.834622084091301</v>
      </c>
      <c r="BJ1963" s="2">
        <v>19.102135292665601</v>
      </c>
      <c r="BK1963" s="2">
        <v>18.454915936762202</v>
      </c>
      <c r="BL1963" s="2">
        <v>17.702742958383901</v>
      </c>
      <c r="BM1963" s="2">
        <v>18.923160934650699</v>
      </c>
      <c r="BN1963" s="2">
        <v>18.443731647097898</v>
      </c>
      <c r="BO1963" s="2">
        <v>18.3703631998569</v>
      </c>
      <c r="BP1963" s="2">
        <v>18.239904278985598</v>
      </c>
      <c r="BQ1963" s="2">
        <v>18.315091303703898</v>
      </c>
      <c r="BR1963" s="2">
        <v>18.270503118731799</v>
      </c>
      <c r="BS1963" s="2">
        <v>18.574588095048401</v>
      </c>
      <c r="BT1963" s="2">
        <v>17.550976095557601</v>
      </c>
      <c r="BU1963" s="2">
        <v>18.100760110554599</v>
      </c>
      <c r="BV1963" s="2">
        <v>19.004325353555199</v>
      </c>
      <c r="BW1963" s="2">
        <v>18.123827638640002</v>
      </c>
      <c r="BX1963" s="2">
        <v>18.1548361525142</v>
      </c>
      <c r="BY1963" s="2">
        <v>18.4129702733972</v>
      </c>
      <c r="BZ1963" s="2">
        <v>18.367495207783598</v>
      </c>
      <c r="CA1963" s="2">
        <v>19.168196888030501</v>
      </c>
      <c r="CB1963" s="2">
        <v>18.098184480964999</v>
      </c>
      <c r="CC1963" s="2">
        <v>18.523514864943198</v>
      </c>
      <c r="CD1963" s="2">
        <v>19.004652723886998</v>
      </c>
      <c r="CE1963" s="2">
        <v>18.824067063757401</v>
      </c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</row>
    <row r="1964" spans="1:97">
      <c r="A1964" s="2" t="s">
        <v>17210</v>
      </c>
      <c r="B1964" s="2">
        <v>170.05985000000001</v>
      </c>
      <c r="C1964" s="2">
        <v>5.149</v>
      </c>
      <c r="D1964" s="2" t="s">
        <v>84</v>
      </c>
      <c r="E1964" s="2" t="s">
        <v>17211</v>
      </c>
      <c r="F1964" s="2" t="s">
        <v>17212</v>
      </c>
      <c r="G1964" s="2">
        <v>199493</v>
      </c>
      <c r="H1964" s="3" t="str">
        <f>HYPERLINK("https://cloud.oebiotech.com/#/lm/network/199493", "https://cloud.oebiotech.com/#/lm/network/199493")</f>
        <v>https://cloud.oebiotech.com/#/lm/network/199493</v>
      </c>
      <c r="I1964" s="2" t="s">
        <v>17213</v>
      </c>
      <c r="J1964" s="2">
        <v>333507</v>
      </c>
      <c r="K1964" s="2"/>
      <c r="L1964" s="2">
        <v>66589</v>
      </c>
      <c r="M1964" s="2"/>
      <c r="N1964" s="2"/>
      <c r="O1964" s="2"/>
      <c r="P1964" s="2"/>
      <c r="Q1964" s="2"/>
      <c r="R1964" s="2"/>
      <c r="S1964" s="2"/>
      <c r="T1964" s="2" t="s">
        <v>17214</v>
      </c>
      <c r="U1964" s="2" t="s">
        <v>17215</v>
      </c>
      <c r="V1964" s="2" t="s">
        <v>385</v>
      </c>
      <c r="W1964" s="2" t="s">
        <v>4381</v>
      </c>
      <c r="X1964" s="2" t="s">
        <v>375</v>
      </c>
      <c r="Y1964" s="2" t="s">
        <v>388</v>
      </c>
      <c r="Z1964" s="2" t="s">
        <v>4382</v>
      </c>
      <c r="AA1964" s="2"/>
      <c r="AB1964" s="2" t="s">
        <v>8443</v>
      </c>
      <c r="AC1964" s="2">
        <v>38.65</v>
      </c>
      <c r="AD1964" s="2">
        <v>93.26</v>
      </c>
      <c r="AE1964" s="2">
        <v>0</v>
      </c>
      <c r="AF1964" s="2" t="s">
        <v>5614</v>
      </c>
      <c r="AG1964" s="2" t="s">
        <v>103</v>
      </c>
      <c r="AH1964" s="2" t="s">
        <v>17216</v>
      </c>
      <c r="AI1964" s="2">
        <v>0.59</v>
      </c>
      <c r="AJ1964" s="2">
        <v>17.792562695069201</v>
      </c>
      <c r="AK1964" s="2">
        <v>17.682611838091301</v>
      </c>
      <c r="AL1964" s="2">
        <v>16.817943842437298</v>
      </c>
      <c r="AM1964" s="2">
        <v>17.786311430785901</v>
      </c>
      <c r="AN1964" s="2">
        <v>17.8307599804041</v>
      </c>
      <c r="AO1964" s="2">
        <v>17.290591378528202</v>
      </c>
      <c r="AP1964" s="2">
        <v>17.5306414935635</v>
      </c>
      <c r="AQ1964" s="2">
        <v>17.452243573480999</v>
      </c>
      <c r="AR1964" s="2">
        <v>18.460823298715699</v>
      </c>
      <c r="AS1964" s="2">
        <v>16.5349092487305</v>
      </c>
      <c r="AT1964" s="2">
        <v>17.157716404948498</v>
      </c>
      <c r="AU1964" s="2">
        <v>18.554174408520101</v>
      </c>
      <c r="AV1964" s="2">
        <v>18.6790096280703</v>
      </c>
      <c r="AW1964" s="2">
        <v>15.333109566384</v>
      </c>
      <c r="AX1964" s="2">
        <v>9.6233145402724691</v>
      </c>
      <c r="AY1964" s="2">
        <v>18.7248204105633</v>
      </c>
      <c r="AZ1964" s="2">
        <v>14.9435876054091</v>
      </c>
      <c r="BA1964" s="2">
        <v>18.000578516182099</v>
      </c>
      <c r="BB1964" s="2">
        <v>14.366241606873301</v>
      </c>
      <c r="BC1964" s="2">
        <v>16.791643418517101</v>
      </c>
      <c r="BD1964" s="2">
        <v>17.3035759999281</v>
      </c>
      <c r="BE1964" s="2">
        <v>18.160608742288499</v>
      </c>
      <c r="BF1964" s="2">
        <v>9.6233145402724691</v>
      </c>
      <c r="BG1964" s="2">
        <v>9.6233145402724691</v>
      </c>
      <c r="BH1964" s="2">
        <v>9.6233145402724691</v>
      </c>
      <c r="BI1964" s="2">
        <v>18.377257308745701</v>
      </c>
      <c r="BJ1964" s="2">
        <v>15.8787047492459</v>
      </c>
      <c r="BK1964" s="2">
        <v>16.589557230189801</v>
      </c>
      <c r="BL1964" s="2">
        <v>16.945176895725702</v>
      </c>
      <c r="BM1964" s="2">
        <v>17.470725513924901</v>
      </c>
      <c r="BN1964" s="2">
        <v>16.030433722479302</v>
      </c>
      <c r="BO1964" s="2">
        <v>18.485521797777899</v>
      </c>
      <c r="BP1964" s="2">
        <v>9.6233145402724691</v>
      </c>
      <c r="BQ1964" s="2">
        <v>18.386068642836101</v>
      </c>
      <c r="BR1964" s="2">
        <v>9.6233145402724691</v>
      </c>
      <c r="BS1964" s="2">
        <v>18.082904285058301</v>
      </c>
      <c r="BT1964" s="2">
        <v>14.0595126189674</v>
      </c>
      <c r="BU1964" s="2">
        <v>18.097982051360699</v>
      </c>
      <c r="BV1964" s="2">
        <v>18.596433286486899</v>
      </c>
      <c r="BW1964" s="2">
        <v>9.6233145402724691</v>
      </c>
      <c r="BX1964" s="2">
        <v>17.594598699275299</v>
      </c>
      <c r="BY1964" s="2">
        <v>18.7608552587429</v>
      </c>
      <c r="BZ1964" s="2">
        <v>9.6233145402724691</v>
      </c>
      <c r="CA1964" s="2">
        <v>9.6233145402724691</v>
      </c>
      <c r="CB1964" s="2">
        <v>17.821407906461602</v>
      </c>
      <c r="CC1964" s="2">
        <v>14.0507363502985</v>
      </c>
      <c r="CD1964" s="2">
        <v>9.6233145402724691</v>
      </c>
      <c r="CE1964" s="2">
        <v>9.6233145402724691</v>
      </c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</row>
    <row r="1965" spans="1:97">
      <c r="A1965" s="2" t="s">
        <v>17217</v>
      </c>
      <c r="B1965" s="2">
        <v>285.25720999999999</v>
      </c>
      <c r="C1965" s="2">
        <v>8.2530000000000001</v>
      </c>
      <c r="D1965" s="2" t="s">
        <v>84</v>
      </c>
      <c r="E1965" s="2" t="s">
        <v>17218</v>
      </c>
      <c r="F1965" s="2" t="s">
        <v>17219</v>
      </c>
      <c r="G1965" s="2">
        <v>9287</v>
      </c>
      <c r="H1965" s="3" t="str">
        <f>HYPERLINK("https://cloud.oebiotech.com/#/lm/network/9287", "https://cloud.oebiotech.com/#/lm/network/9287")</f>
        <v>https://cloud.oebiotech.com/#/lm/network/9287</v>
      </c>
      <c r="I1965" s="2"/>
      <c r="J1965" s="2">
        <v>97585</v>
      </c>
      <c r="K1965" s="2" t="s">
        <v>17220</v>
      </c>
      <c r="L1965" s="2">
        <v>56936137</v>
      </c>
      <c r="M1965" s="2"/>
      <c r="N1965" s="2"/>
      <c r="O1965" s="2"/>
      <c r="P1965" s="2"/>
      <c r="Q1965" s="2"/>
      <c r="R1965" s="2"/>
      <c r="S1965" s="2"/>
      <c r="T1965" s="2" t="s">
        <v>17221</v>
      </c>
      <c r="U1965" s="2" t="s">
        <v>17222</v>
      </c>
      <c r="V1965" s="2" t="s">
        <v>10755</v>
      </c>
      <c r="W1965" s="2" t="s">
        <v>10756</v>
      </c>
      <c r="X1965" s="2" t="s">
        <v>12793</v>
      </c>
      <c r="Y1965" s="2" t="s">
        <v>10758</v>
      </c>
      <c r="Z1965" s="2" t="s">
        <v>10759</v>
      </c>
      <c r="AA1965" s="2" t="s">
        <v>12794</v>
      </c>
      <c r="AB1965" s="2" t="s">
        <v>5118</v>
      </c>
      <c r="AC1965" s="2">
        <v>38.65</v>
      </c>
      <c r="AD1965" s="2">
        <v>75.95</v>
      </c>
      <c r="AE1965" s="2">
        <v>59.09</v>
      </c>
      <c r="AF1965" s="2" t="s">
        <v>17223</v>
      </c>
      <c r="AG1965" s="2" t="s">
        <v>1578</v>
      </c>
      <c r="AH1965" s="2" t="s">
        <v>17224</v>
      </c>
      <c r="AI1965" s="2">
        <v>-6.66</v>
      </c>
      <c r="AJ1965" s="2">
        <v>17.704234234248901</v>
      </c>
      <c r="AK1965" s="2">
        <v>18.039337682508801</v>
      </c>
      <c r="AL1965" s="2">
        <v>18.0187970299706</v>
      </c>
      <c r="AM1965" s="2">
        <v>18.434784010614599</v>
      </c>
      <c r="AN1965" s="2">
        <v>18.038360363950801</v>
      </c>
      <c r="AO1965" s="2">
        <v>18.106023362390999</v>
      </c>
      <c r="AP1965" s="2">
        <v>17.425940429683202</v>
      </c>
      <c r="AQ1965" s="2">
        <v>18.082477517778798</v>
      </c>
      <c r="AR1965" s="2">
        <v>14.3982413328786</v>
      </c>
      <c r="AS1965" s="2">
        <v>13.933070959591801</v>
      </c>
      <c r="AT1965" s="2">
        <v>16.728890794617399</v>
      </c>
      <c r="AU1965" s="2">
        <v>15.258544319694</v>
      </c>
      <c r="AV1965" s="2">
        <v>20.4738778171387</v>
      </c>
      <c r="AW1965" s="2">
        <v>17.6950538447181</v>
      </c>
      <c r="AX1965" s="2">
        <v>15.8909363456563</v>
      </c>
      <c r="AY1965" s="2">
        <v>18.346562642828701</v>
      </c>
      <c r="AZ1965" s="2">
        <v>16.729934812028599</v>
      </c>
      <c r="BA1965" s="2">
        <v>15.9714647442224</v>
      </c>
      <c r="BB1965" s="2">
        <v>14.099493289065199</v>
      </c>
      <c r="BC1965" s="2">
        <v>19.536567646174898</v>
      </c>
      <c r="BD1965" s="2">
        <v>16.643390056354701</v>
      </c>
      <c r="BE1965" s="2">
        <v>22.349034440079102</v>
      </c>
      <c r="BF1965" s="2">
        <v>15.607100250284001</v>
      </c>
      <c r="BG1965" s="2">
        <v>16.8973098042473</v>
      </c>
      <c r="BH1965" s="2">
        <v>19.7833995964575</v>
      </c>
      <c r="BI1965" s="2">
        <v>14.447013466704201</v>
      </c>
      <c r="BJ1965" s="2">
        <v>20.717931003294701</v>
      </c>
      <c r="BK1965" s="2">
        <v>15.879852916106699</v>
      </c>
      <c r="BL1965" s="2">
        <v>15.9064171336166</v>
      </c>
      <c r="BM1965" s="2">
        <v>9.6233145402724691</v>
      </c>
      <c r="BN1965" s="2">
        <v>15.7405568513636</v>
      </c>
      <c r="BO1965" s="2">
        <v>15.4576165419129</v>
      </c>
      <c r="BP1965" s="2">
        <v>16.2096808630751</v>
      </c>
      <c r="BQ1965" s="2">
        <v>18.124390085294099</v>
      </c>
      <c r="BR1965" s="2">
        <v>16.991705404232899</v>
      </c>
      <c r="BS1965" s="2">
        <v>16.667887552730701</v>
      </c>
      <c r="BT1965" s="2">
        <v>15.597423801907301</v>
      </c>
      <c r="BU1965" s="2">
        <v>16.812972955451801</v>
      </c>
      <c r="BV1965" s="2">
        <v>15.155837285108101</v>
      </c>
      <c r="BW1965" s="2">
        <v>15.6204584027002</v>
      </c>
      <c r="BX1965" s="2">
        <v>9.6233145402724691</v>
      </c>
      <c r="BY1965" s="2">
        <v>18.334490657985199</v>
      </c>
      <c r="BZ1965" s="2">
        <v>15.2923201947082</v>
      </c>
      <c r="CA1965" s="2">
        <v>9.6233145402724691</v>
      </c>
      <c r="CB1965" s="2">
        <v>17.3572041234887</v>
      </c>
      <c r="CC1965" s="2">
        <v>14.0198417535233</v>
      </c>
      <c r="CD1965" s="2">
        <v>15.6270866777386</v>
      </c>
      <c r="CE1965" s="2">
        <v>16.788398196663</v>
      </c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</row>
    <row r="1966" spans="1:97">
      <c r="A1966" s="2" t="s">
        <v>17225</v>
      </c>
      <c r="B1966" s="2">
        <v>182.19021000000001</v>
      </c>
      <c r="C1966" s="2">
        <v>4.87</v>
      </c>
      <c r="D1966" s="2" t="s">
        <v>84</v>
      </c>
      <c r="E1966" s="2" t="s">
        <v>17226</v>
      </c>
      <c r="F1966" s="2" t="s">
        <v>17227</v>
      </c>
      <c r="G1966" s="2">
        <v>9085</v>
      </c>
      <c r="H1966" s="3" t="str">
        <f>HYPERLINK("https://cloud.oebiotech.com/#/lm/network/9085", "https://cloud.oebiotech.com/#/lm/network/9085")</f>
        <v>https://cloud.oebiotech.com/#/lm/network/9085</v>
      </c>
      <c r="I1966" s="2"/>
      <c r="J1966" s="2"/>
      <c r="K1966" s="2" t="s">
        <v>17228</v>
      </c>
      <c r="L1966" s="2">
        <v>17092</v>
      </c>
      <c r="M1966" s="2"/>
      <c r="N1966" s="2"/>
      <c r="O1966" s="2"/>
      <c r="P1966" s="2"/>
      <c r="Q1966" s="2"/>
      <c r="R1966" s="2"/>
      <c r="S1966" s="2"/>
      <c r="T1966" s="2" t="s">
        <v>17229</v>
      </c>
      <c r="U1966" s="2" t="s">
        <v>17230</v>
      </c>
      <c r="V1966" s="2" t="s">
        <v>166</v>
      </c>
      <c r="W1966" s="2" t="s">
        <v>167</v>
      </c>
      <c r="X1966" s="2" t="s">
        <v>16162</v>
      </c>
      <c r="Y1966" s="2" t="s">
        <v>169</v>
      </c>
      <c r="Z1966" s="2" t="s">
        <v>169</v>
      </c>
      <c r="AA1966" s="2" t="s">
        <v>16163</v>
      </c>
      <c r="AB1966" s="2" t="s">
        <v>8443</v>
      </c>
      <c r="AC1966" s="2">
        <v>38.64</v>
      </c>
      <c r="AD1966" s="2">
        <v>93.2</v>
      </c>
      <c r="AE1966" s="2">
        <v>0</v>
      </c>
      <c r="AF1966" s="2" t="s">
        <v>5614</v>
      </c>
      <c r="AG1966" s="2" t="s">
        <v>103</v>
      </c>
      <c r="AH1966" s="2" t="s">
        <v>17231</v>
      </c>
      <c r="AI1966" s="2">
        <v>0.55000000000000004</v>
      </c>
      <c r="AJ1966" s="2">
        <v>20.393342942251198</v>
      </c>
      <c r="AK1966" s="2">
        <v>20.7861068311779</v>
      </c>
      <c r="AL1966" s="2">
        <v>20.386180048526001</v>
      </c>
      <c r="AM1966" s="2">
        <v>20.504791973306201</v>
      </c>
      <c r="AN1966" s="2">
        <v>20.622851853222599</v>
      </c>
      <c r="AO1966" s="2">
        <v>20.828134500288702</v>
      </c>
      <c r="AP1966" s="2">
        <v>20.488917631944702</v>
      </c>
      <c r="AQ1966" s="2">
        <v>20.823880177790201</v>
      </c>
      <c r="AR1966" s="2">
        <v>20.1575224304115</v>
      </c>
      <c r="AS1966" s="2">
        <v>20.701077181004301</v>
      </c>
      <c r="AT1966" s="2">
        <v>20.553617848463301</v>
      </c>
      <c r="AU1966" s="2">
        <v>20.7025133222573</v>
      </c>
      <c r="AV1966" s="2">
        <v>20.371885884371</v>
      </c>
      <c r="AW1966" s="2">
        <v>20.565136021319699</v>
      </c>
      <c r="AX1966" s="2">
        <v>20.381439140103701</v>
      </c>
      <c r="AY1966" s="2">
        <v>20.146571807967099</v>
      </c>
      <c r="AZ1966" s="2">
        <v>20.375662695101301</v>
      </c>
      <c r="BA1966" s="2">
        <v>20.691717155632901</v>
      </c>
      <c r="BB1966" s="2">
        <v>20.333859564740699</v>
      </c>
      <c r="BC1966" s="2">
        <v>20.517017695564899</v>
      </c>
      <c r="BD1966" s="2">
        <v>20.806468650304701</v>
      </c>
      <c r="BE1966" s="2">
        <v>20.275538327729901</v>
      </c>
      <c r="BF1966" s="2">
        <v>20.238778989173198</v>
      </c>
      <c r="BG1966" s="2">
        <v>20.302619569658901</v>
      </c>
      <c r="BH1966" s="2">
        <v>20.732278790122901</v>
      </c>
      <c r="BI1966" s="2">
        <v>20.5971576554265</v>
      </c>
      <c r="BJ1966" s="2">
        <v>20.486843013386501</v>
      </c>
      <c r="BK1966" s="2">
        <v>20.584563886183499</v>
      </c>
      <c r="BL1966" s="2">
        <v>20.731846130034</v>
      </c>
      <c r="BM1966" s="2">
        <v>20.340655514904402</v>
      </c>
      <c r="BN1966" s="2">
        <v>20.490133353258098</v>
      </c>
      <c r="BO1966" s="2">
        <v>20.260952946855902</v>
      </c>
      <c r="BP1966" s="2">
        <v>20.5270442349699</v>
      </c>
      <c r="BQ1966" s="2">
        <v>20.6453051133368</v>
      </c>
      <c r="BR1966" s="2">
        <v>20.629252720194501</v>
      </c>
      <c r="BS1966" s="2">
        <v>20.512940710711899</v>
      </c>
      <c r="BT1966" s="2">
        <v>20.549405056396999</v>
      </c>
      <c r="BU1966" s="2">
        <v>20.671755950544402</v>
      </c>
      <c r="BV1966" s="2">
        <v>20.717254993730901</v>
      </c>
      <c r="BW1966" s="2">
        <v>20.821302746896698</v>
      </c>
      <c r="BX1966" s="2">
        <v>20.783630356122199</v>
      </c>
      <c r="BY1966" s="2">
        <v>20.648330202917698</v>
      </c>
      <c r="BZ1966" s="2">
        <v>20.739617285578301</v>
      </c>
      <c r="CA1966" s="2">
        <v>20.159394196196001</v>
      </c>
      <c r="CB1966" s="2">
        <v>20.385628821129099</v>
      </c>
      <c r="CC1966" s="2">
        <v>20.790881474324301</v>
      </c>
      <c r="CD1966" s="2">
        <v>20.910789612650699</v>
      </c>
      <c r="CE1966" s="2">
        <v>20.8160779449972</v>
      </c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</row>
    <row r="1967" spans="1:97">
      <c r="A1967" s="2" t="s">
        <v>17232</v>
      </c>
      <c r="B1967" s="2">
        <v>264.26819</v>
      </c>
      <c r="C1967" s="2">
        <v>9.7460000000000004</v>
      </c>
      <c r="D1967" s="2" t="s">
        <v>84</v>
      </c>
      <c r="E1967" s="2" t="s">
        <v>17233</v>
      </c>
      <c r="F1967" s="2" t="s">
        <v>17234</v>
      </c>
      <c r="G1967" s="2">
        <v>35692</v>
      </c>
      <c r="H1967" s="3" t="str">
        <f>HYPERLINK("https://cloud.oebiotech.com/#/lm/network/35692", "https://cloud.oebiotech.com/#/lm/network/35692")</f>
        <v>https://cloud.oebiotech.com/#/lm/network/35692</v>
      </c>
      <c r="I1967" s="2"/>
      <c r="J1967" s="2">
        <v>53477</v>
      </c>
      <c r="K1967" s="2" t="s">
        <v>17235</v>
      </c>
      <c r="L1967" s="2">
        <v>24755580</v>
      </c>
      <c r="M1967" s="2"/>
      <c r="N1967" s="2"/>
      <c r="O1967" s="2"/>
      <c r="P1967" s="2">
        <v>48319</v>
      </c>
      <c r="Q1967" s="2"/>
      <c r="R1967" s="2"/>
      <c r="S1967" s="2"/>
      <c r="T1967" s="2" t="s">
        <v>17236</v>
      </c>
      <c r="U1967" s="2" t="s">
        <v>17237</v>
      </c>
      <c r="V1967" s="2" t="s">
        <v>95</v>
      </c>
      <c r="W1967" s="2" t="s">
        <v>180</v>
      </c>
      <c r="X1967" s="2" t="s">
        <v>181</v>
      </c>
      <c r="Y1967" s="2" t="s">
        <v>98</v>
      </c>
      <c r="Z1967" s="2" t="s">
        <v>182</v>
      </c>
      <c r="AA1967" s="2" t="s">
        <v>183</v>
      </c>
      <c r="AB1967" s="2" t="s">
        <v>8443</v>
      </c>
      <c r="AC1967" s="2">
        <v>38.64</v>
      </c>
      <c r="AD1967" s="2">
        <v>95.73</v>
      </c>
      <c r="AE1967" s="2">
        <v>0</v>
      </c>
      <c r="AF1967" s="2" t="s">
        <v>17238</v>
      </c>
      <c r="AG1967" s="2" t="s">
        <v>132</v>
      </c>
      <c r="AH1967" s="2" t="s">
        <v>17239</v>
      </c>
      <c r="AI1967" s="2">
        <v>1.51</v>
      </c>
      <c r="AJ1967" s="2">
        <v>20.4599520305695</v>
      </c>
      <c r="AK1967" s="2">
        <v>20.4897977669246</v>
      </c>
      <c r="AL1967" s="2">
        <v>20.5525789149996</v>
      </c>
      <c r="AM1967" s="2">
        <v>20.554906742463299</v>
      </c>
      <c r="AN1967" s="2">
        <v>20.525093196915599</v>
      </c>
      <c r="AO1967" s="2">
        <v>20.609663106537699</v>
      </c>
      <c r="AP1967" s="2">
        <v>20.4840027076431</v>
      </c>
      <c r="AQ1967" s="2">
        <v>20.447598788881201</v>
      </c>
      <c r="AR1967" s="2">
        <v>20.625013008649901</v>
      </c>
      <c r="AS1967" s="2">
        <v>19.8887848459818</v>
      </c>
      <c r="AT1967" s="2">
        <v>20.847308077741001</v>
      </c>
      <c r="AU1967" s="2">
        <v>20.2401774530415</v>
      </c>
      <c r="AV1967" s="2">
        <v>20.3590933911196</v>
      </c>
      <c r="AW1967" s="2">
        <v>20.592462922805399</v>
      </c>
      <c r="AX1967" s="2">
        <v>20.228476068446099</v>
      </c>
      <c r="AY1967" s="2">
        <v>19.596087745121501</v>
      </c>
      <c r="AZ1967" s="2">
        <v>20.5977554954715</v>
      </c>
      <c r="BA1967" s="2">
        <v>19.583268702212202</v>
      </c>
      <c r="BB1967" s="2">
        <v>21.0735243895328</v>
      </c>
      <c r="BC1967" s="2">
        <v>21.730752056007098</v>
      </c>
      <c r="BD1967" s="2">
        <v>19.633446483332001</v>
      </c>
      <c r="BE1967" s="2">
        <v>20.09013249286</v>
      </c>
      <c r="BF1967" s="2">
        <v>20.0990839002508</v>
      </c>
      <c r="BG1967" s="2">
        <v>20.618170022241401</v>
      </c>
      <c r="BH1967" s="2">
        <v>20.158874417851099</v>
      </c>
      <c r="BI1967" s="2">
        <v>20.695634141940499</v>
      </c>
      <c r="BJ1967" s="2">
        <v>20.863220314078401</v>
      </c>
      <c r="BK1967" s="2">
        <v>20.287203965395101</v>
      </c>
      <c r="BL1967" s="2">
        <v>19.745795907764201</v>
      </c>
      <c r="BM1967" s="2">
        <v>19.682207366158099</v>
      </c>
      <c r="BN1967" s="2">
        <v>20.140357836714301</v>
      </c>
      <c r="BO1967" s="2">
        <v>19.3739385770998</v>
      </c>
      <c r="BP1967" s="2">
        <v>20.401839147035499</v>
      </c>
      <c r="BQ1967" s="2">
        <v>20.268608862103001</v>
      </c>
      <c r="BR1967" s="2">
        <v>20.3322032218103</v>
      </c>
      <c r="BS1967" s="2">
        <v>20.285830216131</v>
      </c>
      <c r="BT1967" s="2">
        <v>20.1260297908577</v>
      </c>
      <c r="BU1967" s="2">
        <v>21.505466700010899</v>
      </c>
      <c r="BV1967" s="2">
        <v>20.8443085414116</v>
      </c>
      <c r="BW1967" s="2">
        <v>20.049544331806199</v>
      </c>
      <c r="BX1967" s="2">
        <v>19.9704663535863</v>
      </c>
      <c r="BY1967" s="2">
        <v>21.176217795481499</v>
      </c>
      <c r="BZ1967" s="2">
        <v>20.231454213456601</v>
      </c>
      <c r="CA1967" s="2">
        <v>20.127227340415999</v>
      </c>
      <c r="CB1967" s="2">
        <v>20.0025695801416</v>
      </c>
      <c r="CC1967" s="2">
        <v>20.312639393101001</v>
      </c>
      <c r="CD1967" s="2">
        <v>20.987335266422299</v>
      </c>
      <c r="CE1967" s="2">
        <v>20.1205997487709</v>
      </c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</row>
    <row r="1968" spans="1:97">
      <c r="A1968" s="2" t="s">
        <v>17240</v>
      </c>
      <c r="B1968" s="2">
        <v>238.14116999999999</v>
      </c>
      <c r="C1968" s="2">
        <v>5.5759999999999996</v>
      </c>
      <c r="D1968" s="2" t="s">
        <v>84</v>
      </c>
      <c r="E1968" s="2" t="s">
        <v>17241</v>
      </c>
      <c r="F1968" s="2" t="s">
        <v>17242</v>
      </c>
      <c r="G1968" s="2">
        <v>212380</v>
      </c>
      <c r="H1968" s="3" t="str">
        <f>HYPERLINK("https://cloud.oebiotech.com/#/lm/network/212380", "https://cloud.oebiotech.com/#/lm/network/212380")</f>
        <v>https://cloud.oebiotech.com/#/lm/network/212380</v>
      </c>
      <c r="I1968" s="2" t="s">
        <v>17243</v>
      </c>
      <c r="J1968" s="2"/>
      <c r="K1968" s="2"/>
      <c r="L1968" s="2">
        <v>85669800</v>
      </c>
      <c r="M1968" s="2"/>
      <c r="N1968" s="2"/>
      <c r="O1968" s="2"/>
      <c r="P1968" s="2"/>
      <c r="Q1968" s="2"/>
      <c r="R1968" s="2"/>
      <c r="S1968" s="2"/>
      <c r="T1968" s="2" t="s">
        <v>17244</v>
      </c>
      <c r="U1968" s="2" t="s">
        <v>17245</v>
      </c>
      <c r="V1968" s="2" t="s">
        <v>553</v>
      </c>
      <c r="W1968" s="2" t="s">
        <v>949</v>
      </c>
      <c r="X1968" s="2" t="s">
        <v>950</v>
      </c>
      <c r="Y1968" s="2" t="s">
        <v>556</v>
      </c>
      <c r="Z1968" s="2" t="s">
        <v>951</v>
      </c>
      <c r="AA1968" s="2" t="s">
        <v>952</v>
      </c>
      <c r="AB1968" s="2" t="s">
        <v>8443</v>
      </c>
      <c r="AC1968" s="2">
        <v>38.64</v>
      </c>
      <c r="AD1968" s="2">
        <v>93.22</v>
      </c>
      <c r="AE1968" s="2">
        <v>0</v>
      </c>
      <c r="AF1968" s="2" t="s">
        <v>5614</v>
      </c>
      <c r="AG1968" s="2" t="s">
        <v>132</v>
      </c>
      <c r="AH1968" s="2" t="s">
        <v>17246</v>
      </c>
      <c r="AI1968" s="2">
        <v>-0.42</v>
      </c>
      <c r="AJ1968" s="2">
        <v>18.703538569433</v>
      </c>
      <c r="AK1968" s="2">
        <v>18.458649076752099</v>
      </c>
      <c r="AL1968" s="2">
        <v>18.586342691310399</v>
      </c>
      <c r="AM1968" s="2">
        <v>18.357714790016502</v>
      </c>
      <c r="AN1968" s="2">
        <v>18.510759725925698</v>
      </c>
      <c r="AO1968" s="2">
        <v>18.520036749659699</v>
      </c>
      <c r="AP1968" s="2">
        <v>18.733819567372201</v>
      </c>
      <c r="AQ1968" s="2">
        <v>18.854422188627101</v>
      </c>
      <c r="AR1968" s="2">
        <v>18.766851831531898</v>
      </c>
      <c r="AS1968" s="2">
        <v>18.3776252117122</v>
      </c>
      <c r="AT1968" s="2">
        <v>18.290353608838</v>
      </c>
      <c r="AU1968" s="2">
        <v>18.355006901018001</v>
      </c>
      <c r="AV1968" s="2">
        <v>18.559652417097901</v>
      </c>
      <c r="AW1968" s="2">
        <v>18.636679311027098</v>
      </c>
      <c r="AX1968" s="2">
        <v>18.122669028794402</v>
      </c>
      <c r="AY1968" s="2">
        <v>18.765320678851499</v>
      </c>
      <c r="AZ1968" s="2">
        <v>18.270141721650798</v>
      </c>
      <c r="BA1968" s="2">
        <v>18.347059955618299</v>
      </c>
      <c r="BB1968" s="2">
        <v>18.383082563217201</v>
      </c>
      <c r="BC1968" s="2">
        <v>18.082397887697098</v>
      </c>
      <c r="BD1968" s="2">
        <v>18.285638006681499</v>
      </c>
      <c r="BE1968" s="2">
        <v>18.412956384762801</v>
      </c>
      <c r="BF1968" s="2">
        <v>18.162398557556799</v>
      </c>
      <c r="BG1968" s="2">
        <v>18.428821247118101</v>
      </c>
      <c r="BH1968" s="2">
        <v>18.545276880277299</v>
      </c>
      <c r="BI1968" s="2">
        <v>18.509638322782202</v>
      </c>
      <c r="BJ1968" s="2">
        <v>18.142321390913398</v>
      </c>
      <c r="BK1968" s="2">
        <v>18.347394329339298</v>
      </c>
      <c r="BL1968" s="2">
        <v>18.2392158779307</v>
      </c>
      <c r="BM1968" s="2">
        <v>18.341431475354</v>
      </c>
      <c r="BN1968" s="2">
        <v>18.493040764382901</v>
      </c>
      <c r="BO1968" s="2">
        <v>18.934840984769501</v>
      </c>
      <c r="BP1968" s="2">
        <v>18.117152458233299</v>
      </c>
      <c r="BQ1968" s="2">
        <v>18.529105349846802</v>
      </c>
      <c r="BR1968" s="2">
        <v>18.484615705911001</v>
      </c>
      <c r="BS1968" s="2">
        <v>18.396255235799199</v>
      </c>
      <c r="BT1968" s="2">
        <v>18.067947349394899</v>
      </c>
      <c r="BU1968" s="2">
        <v>18.4361940461066</v>
      </c>
      <c r="BV1968" s="2">
        <v>18.1239333981773</v>
      </c>
      <c r="BW1968" s="2">
        <v>18.253129226476101</v>
      </c>
      <c r="BX1968" s="2">
        <v>18.487785796737999</v>
      </c>
      <c r="BY1968" s="2">
        <v>17.960781642125699</v>
      </c>
      <c r="BZ1968" s="2">
        <v>18.394065389648599</v>
      </c>
      <c r="CA1968" s="2">
        <v>16.8402046698119</v>
      </c>
      <c r="CB1968" s="2">
        <v>18.300257633649199</v>
      </c>
      <c r="CC1968" s="2">
        <v>18.2942598235913</v>
      </c>
      <c r="CD1968" s="2">
        <v>18.256877055621999</v>
      </c>
      <c r="CE1968" s="2">
        <v>18.298879152350001</v>
      </c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</row>
    <row r="1969" spans="1:97">
      <c r="A1969" s="2" t="s">
        <v>17247</v>
      </c>
      <c r="B1969" s="2">
        <v>265.15069999999997</v>
      </c>
      <c r="C1969" s="2">
        <v>8.9689999999999994</v>
      </c>
      <c r="D1969" s="2" t="s">
        <v>84</v>
      </c>
      <c r="E1969" s="2" t="s">
        <v>17248</v>
      </c>
      <c r="F1969" s="2" t="s">
        <v>17249</v>
      </c>
      <c r="G1969" s="2">
        <v>54070</v>
      </c>
      <c r="H1969" s="3" t="str">
        <f>HYPERLINK("https://cloud.oebiotech.com/#/lm/network/54070", "https://cloud.oebiotech.com/#/lm/network/54070")</f>
        <v>https://cloud.oebiotech.com/#/lm/network/54070</v>
      </c>
      <c r="I1969" s="2" t="s">
        <v>17250</v>
      </c>
      <c r="J1969" s="2">
        <v>85952</v>
      </c>
      <c r="K1969" s="2"/>
      <c r="L1969" s="2">
        <v>7016084</v>
      </c>
      <c r="M1969" s="2"/>
      <c r="N1969" s="2"/>
      <c r="O1969" s="2"/>
      <c r="P1969" s="2">
        <v>74855</v>
      </c>
      <c r="Q1969" s="2"/>
      <c r="R1969" s="2"/>
      <c r="S1969" s="2" t="s">
        <v>17251</v>
      </c>
      <c r="T1969" s="2" t="s">
        <v>17252</v>
      </c>
      <c r="U1969" s="2" t="s">
        <v>17253</v>
      </c>
      <c r="V1969" s="2" t="s">
        <v>115</v>
      </c>
      <c r="W1969" s="2" t="s">
        <v>116</v>
      </c>
      <c r="X1969" s="2" t="s">
        <v>117</v>
      </c>
      <c r="Y1969" s="2" t="s">
        <v>118</v>
      </c>
      <c r="Z1969" s="2" t="s">
        <v>119</v>
      </c>
      <c r="AA1969" s="2" t="s">
        <v>120</v>
      </c>
      <c r="AB1969" s="2" t="s">
        <v>8443</v>
      </c>
      <c r="AC1969" s="2">
        <v>38.64</v>
      </c>
      <c r="AD1969" s="2">
        <v>93.19</v>
      </c>
      <c r="AE1969" s="2">
        <v>0</v>
      </c>
      <c r="AF1969" s="2" t="s">
        <v>17254</v>
      </c>
      <c r="AG1969" s="2" t="s">
        <v>132</v>
      </c>
      <c r="AH1969" s="2" t="s">
        <v>17255</v>
      </c>
      <c r="AI1969" s="2">
        <v>-0.38</v>
      </c>
      <c r="AJ1969" s="2">
        <v>20.474874410323501</v>
      </c>
      <c r="AK1969" s="2">
        <v>20.4010768121328</v>
      </c>
      <c r="AL1969" s="2">
        <v>20.401815715808301</v>
      </c>
      <c r="AM1969" s="2">
        <v>20.3621823004137</v>
      </c>
      <c r="AN1969" s="2">
        <v>20.403328415008101</v>
      </c>
      <c r="AO1969" s="2">
        <v>20.322297823964799</v>
      </c>
      <c r="AP1969" s="2">
        <v>20.345033507417501</v>
      </c>
      <c r="AQ1969" s="2">
        <v>20.270419542296398</v>
      </c>
      <c r="AR1969" s="2">
        <v>19.858084031117201</v>
      </c>
      <c r="AS1969" s="2">
        <v>9.6233145402724691</v>
      </c>
      <c r="AT1969" s="2">
        <v>19.832512656364099</v>
      </c>
      <c r="AU1969" s="2">
        <v>20.297294953754498</v>
      </c>
      <c r="AV1969" s="2">
        <v>19.196172446616298</v>
      </c>
      <c r="AW1969" s="2">
        <v>22.519608430037099</v>
      </c>
      <c r="AX1969" s="2">
        <v>18.9449761718394</v>
      </c>
      <c r="AY1969" s="2">
        <v>20.164819016149998</v>
      </c>
      <c r="AZ1969" s="2">
        <v>18.3795436156432</v>
      </c>
      <c r="BA1969" s="2">
        <v>14.686346225848901</v>
      </c>
      <c r="BB1969" s="2">
        <v>22.022213264633301</v>
      </c>
      <c r="BC1969" s="2">
        <v>19.3349228180446</v>
      </c>
      <c r="BD1969" s="2">
        <v>18.503541061435001</v>
      </c>
      <c r="BE1969" s="2">
        <v>18.7868997053999</v>
      </c>
      <c r="BF1969" s="2">
        <v>18.429968305085499</v>
      </c>
      <c r="BG1969" s="2">
        <v>17.4182717405115</v>
      </c>
      <c r="BH1969" s="2">
        <v>19.342163474753502</v>
      </c>
      <c r="BI1969" s="2">
        <v>14.9188660317483</v>
      </c>
      <c r="BJ1969" s="2">
        <v>19.273206252134699</v>
      </c>
      <c r="BK1969" s="2">
        <v>21.710018560327299</v>
      </c>
      <c r="BL1969" s="2">
        <v>9.6233145402724691</v>
      </c>
      <c r="BM1969" s="2">
        <v>21.132531634645201</v>
      </c>
      <c r="BN1969" s="2">
        <v>20.8146381942829</v>
      </c>
      <c r="BO1969" s="2">
        <v>17.793294290532099</v>
      </c>
      <c r="BP1969" s="2">
        <v>14.0865169228524</v>
      </c>
      <c r="BQ1969" s="2">
        <v>21.020730603575501</v>
      </c>
      <c r="BR1969" s="2">
        <v>20.369612244355501</v>
      </c>
      <c r="BS1969" s="2">
        <v>19.465663050470301</v>
      </c>
      <c r="BT1969" s="2">
        <v>18.118918064181301</v>
      </c>
      <c r="BU1969" s="2">
        <v>9.6233145402724691</v>
      </c>
      <c r="BV1969" s="2">
        <v>21.811959711669701</v>
      </c>
      <c r="BW1969" s="2">
        <v>18.076276729560501</v>
      </c>
      <c r="BX1969" s="2">
        <v>18.617006720537798</v>
      </c>
      <c r="BY1969" s="2">
        <v>18.641869884574799</v>
      </c>
      <c r="BZ1969" s="2">
        <v>17.876829204926899</v>
      </c>
      <c r="CA1969" s="2">
        <v>20.214258910004901</v>
      </c>
      <c r="CB1969" s="2">
        <v>19.0673638492881</v>
      </c>
      <c r="CC1969" s="2">
        <v>17.9387586731727</v>
      </c>
      <c r="CD1969" s="2">
        <v>20.149084681342199</v>
      </c>
      <c r="CE1969" s="2">
        <v>19.585672728875601</v>
      </c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</row>
    <row r="1970" spans="1:97">
      <c r="A1970" s="2" t="s">
        <v>17256</v>
      </c>
      <c r="B1970" s="2">
        <v>194.12454</v>
      </c>
      <c r="C1970" s="2">
        <v>4.8689999999999998</v>
      </c>
      <c r="D1970" s="2" t="s">
        <v>84</v>
      </c>
      <c r="E1970" s="2" t="s">
        <v>17257</v>
      </c>
      <c r="F1970" s="2" t="s">
        <v>17258</v>
      </c>
      <c r="G1970" s="2">
        <v>209664</v>
      </c>
      <c r="H1970" s="3" t="str">
        <f>HYPERLINK("https://cloud.oebiotech.com/#/lm/network/209664", "https://cloud.oebiotech.com/#/lm/network/209664")</f>
        <v>https://cloud.oebiotech.com/#/lm/network/209664</v>
      </c>
      <c r="I1970" s="2" t="s">
        <v>17259</v>
      </c>
      <c r="J1970" s="2"/>
      <c r="K1970" s="2"/>
      <c r="L1970" s="2">
        <v>3253680</v>
      </c>
      <c r="M1970" s="2"/>
      <c r="N1970" s="2"/>
      <c r="O1970" s="2"/>
      <c r="P1970" s="2"/>
      <c r="Q1970" s="2"/>
      <c r="R1970" s="2"/>
      <c r="S1970" s="2"/>
      <c r="T1970" s="2" t="s">
        <v>17260</v>
      </c>
      <c r="U1970" s="2" t="s">
        <v>17261</v>
      </c>
      <c r="V1970" s="2" t="s">
        <v>115</v>
      </c>
      <c r="W1970" s="2" t="s">
        <v>116</v>
      </c>
      <c r="X1970" s="2" t="s">
        <v>117</v>
      </c>
      <c r="Y1970" s="2" t="s">
        <v>118</v>
      </c>
      <c r="Z1970" s="2" t="s">
        <v>119</v>
      </c>
      <c r="AA1970" s="2" t="s">
        <v>120</v>
      </c>
      <c r="AB1970" s="2" t="s">
        <v>8443</v>
      </c>
      <c r="AC1970" s="2">
        <v>38.630000000000003</v>
      </c>
      <c r="AD1970" s="2">
        <v>95.89</v>
      </c>
      <c r="AE1970" s="2">
        <v>0</v>
      </c>
      <c r="AF1970" s="2" t="s">
        <v>5614</v>
      </c>
      <c r="AG1970" s="2" t="s">
        <v>132</v>
      </c>
      <c r="AH1970" s="2" t="s">
        <v>17262</v>
      </c>
      <c r="AI1970" s="2">
        <v>1.55</v>
      </c>
      <c r="AJ1970" s="2">
        <v>22.5235245680398</v>
      </c>
      <c r="AK1970" s="2">
        <v>22.360042066654302</v>
      </c>
      <c r="AL1970" s="2">
        <v>22.753317856990499</v>
      </c>
      <c r="AM1970" s="2">
        <v>21.902366443285199</v>
      </c>
      <c r="AN1970" s="2">
        <v>22.012012854913401</v>
      </c>
      <c r="AO1970" s="2">
        <v>22.736698752853901</v>
      </c>
      <c r="AP1970" s="2">
        <v>22.859583415873601</v>
      </c>
      <c r="AQ1970" s="2">
        <v>22.614120581144899</v>
      </c>
      <c r="AR1970" s="2">
        <v>22.655376499995299</v>
      </c>
      <c r="AS1970" s="2">
        <v>21.899341860348201</v>
      </c>
      <c r="AT1970" s="2">
        <v>22.163689552840601</v>
      </c>
      <c r="AU1970" s="2">
        <v>21.973809046171699</v>
      </c>
      <c r="AV1970" s="2">
        <v>21.681042154569401</v>
      </c>
      <c r="AW1970" s="2">
        <v>22.092484415218902</v>
      </c>
      <c r="AX1970" s="2">
        <v>21.9810567262167</v>
      </c>
      <c r="AY1970" s="2">
        <v>21.4029257399866</v>
      </c>
      <c r="AZ1970" s="2">
        <v>21.585931180733599</v>
      </c>
      <c r="BA1970" s="2">
        <v>20.897068877802401</v>
      </c>
      <c r="BB1970" s="2">
        <v>21.836158672273601</v>
      </c>
      <c r="BC1970" s="2">
        <v>21.147029661318498</v>
      </c>
      <c r="BD1970" s="2">
        <v>21.7011131825736</v>
      </c>
      <c r="BE1970" s="2">
        <v>21.479258143308002</v>
      </c>
      <c r="BF1970" s="2">
        <v>20.8344128417734</v>
      </c>
      <c r="BG1970" s="2">
        <v>21.252623713930902</v>
      </c>
      <c r="BH1970" s="2">
        <v>22.531351402469902</v>
      </c>
      <c r="BI1970" s="2">
        <v>21.6725741086013</v>
      </c>
      <c r="BJ1970" s="2">
        <v>21.877393139861201</v>
      </c>
      <c r="BK1970" s="2">
        <v>22.162327017889901</v>
      </c>
      <c r="BL1970" s="2">
        <v>22.8358604749208</v>
      </c>
      <c r="BM1970" s="2">
        <v>22.510892781801999</v>
      </c>
      <c r="BN1970" s="2">
        <v>21.6285737088742</v>
      </c>
      <c r="BO1970" s="2">
        <v>22.442606390081401</v>
      </c>
      <c r="BP1970" s="2">
        <v>21.990891289016702</v>
      </c>
      <c r="BQ1970" s="2">
        <v>22.822258139649499</v>
      </c>
      <c r="BR1970" s="2">
        <v>23.085712168005699</v>
      </c>
      <c r="BS1970" s="2">
        <v>22.695850117633999</v>
      </c>
      <c r="BT1970" s="2">
        <v>22.0818465224398</v>
      </c>
      <c r="BU1970" s="2">
        <v>22.846677029799899</v>
      </c>
      <c r="BV1970" s="2">
        <v>22.340456235533701</v>
      </c>
      <c r="BW1970" s="2">
        <v>22.1384489371288</v>
      </c>
      <c r="BX1970" s="2">
        <v>22.289129798716001</v>
      </c>
      <c r="BY1970" s="2">
        <v>22.741813927105401</v>
      </c>
      <c r="BZ1970" s="2">
        <v>21.9137078631198</v>
      </c>
      <c r="CA1970" s="2">
        <v>22.219234474601301</v>
      </c>
      <c r="CB1970" s="2">
        <v>22.295571918484399</v>
      </c>
      <c r="CC1970" s="2">
        <v>22.673228916756202</v>
      </c>
      <c r="CD1970" s="2">
        <v>22.869215385327902</v>
      </c>
      <c r="CE1970" s="2">
        <v>21.9213724913226</v>
      </c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</row>
    <row r="1971" spans="1:97">
      <c r="A1971" s="2" t="s">
        <v>17263</v>
      </c>
      <c r="B1971" s="2">
        <v>342.26911000000001</v>
      </c>
      <c r="C1971" s="2">
        <v>12.105</v>
      </c>
      <c r="D1971" s="2" t="s">
        <v>84</v>
      </c>
      <c r="E1971" s="2" t="s">
        <v>17264</v>
      </c>
      <c r="F1971" s="2" t="s">
        <v>17265</v>
      </c>
      <c r="G1971" s="2">
        <v>9066</v>
      </c>
      <c r="H1971" s="3" t="str">
        <f>HYPERLINK("https://cloud.oebiotech.com/#/lm/network/9066", "https://cloud.oebiotech.com/#/lm/network/9066")</f>
        <v>https://cloud.oebiotech.com/#/lm/network/9066</v>
      </c>
      <c r="I1971" s="2"/>
      <c r="J1971" s="2">
        <v>97433</v>
      </c>
      <c r="K1971" s="2" t="s">
        <v>17266</v>
      </c>
      <c r="L1971" s="2">
        <v>52922083</v>
      </c>
      <c r="M1971" s="2"/>
      <c r="N1971" s="2"/>
      <c r="O1971" s="2"/>
      <c r="P1971" s="2"/>
      <c r="Q1971" s="2"/>
      <c r="R1971" s="2"/>
      <c r="S1971" s="2"/>
      <c r="T1971" s="2" t="s">
        <v>17267</v>
      </c>
      <c r="U1971" s="2" t="s">
        <v>17268</v>
      </c>
      <c r="V1971" s="2" t="s">
        <v>166</v>
      </c>
      <c r="W1971" s="2" t="s">
        <v>167</v>
      </c>
      <c r="X1971" s="2" t="s">
        <v>482</v>
      </c>
      <c r="Y1971" s="2" t="s">
        <v>169</v>
      </c>
      <c r="Z1971" s="2" t="s">
        <v>169</v>
      </c>
      <c r="AA1971" s="2" t="s">
        <v>483</v>
      </c>
      <c r="AB1971" s="2" t="s">
        <v>8443</v>
      </c>
      <c r="AC1971" s="2">
        <v>38.630000000000003</v>
      </c>
      <c r="AD1971" s="2">
        <v>74.61</v>
      </c>
      <c r="AE1971" s="2">
        <v>0</v>
      </c>
      <c r="AF1971" s="2" t="s">
        <v>5614</v>
      </c>
      <c r="AG1971" s="2" t="s">
        <v>3544</v>
      </c>
      <c r="AH1971" s="2" t="s">
        <v>17269</v>
      </c>
      <c r="AI1971" s="2">
        <v>4.67</v>
      </c>
      <c r="AJ1971" s="2">
        <v>18.7732369073568</v>
      </c>
      <c r="AK1971" s="2">
        <v>19.4724226211043</v>
      </c>
      <c r="AL1971" s="2">
        <v>18.963803164227301</v>
      </c>
      <c r="AM1971" s="2">
        <v>18.7263128690144</v>
      </c>
      <c r="AN1971" s="2">
        <v>18.862460472264701</v>
      </c>
      <c r="AO1971" s="2">
        <v>19.090585803854601</v>
      </c>
      <c r="AP1971" s="2">
        <v>18.293774767957899</v>
      </c>
      <c r="AQ1971" s="2">
        <v>18.599545941578199</v>
      </c>
      <c r="AR1971" s="2">
        <v>18.693233268396199</v>
      </c>
      <c r="AS1971" s="2">
        <v>18.873463338067499</v>
      </c>
      <c r="AT1971" s="2">
        <v>18.9397872604635</v>
      </c>
      <c r="AU1971" s="2">
        <v>18.029320770100899</v>
      </c>
      <c r="AV1971" s="2">
        <v>18.8955524442617</v>
      </c>
      <c r="AW1971" s="2">
        <v>19.513253605697301</v>
      </c>
      <c r="AX1971" s="2">
        <v>18.461686747861201</v>
      </c>
      <c r="AY1971" s="2">
        <v>18.662971605254999</v>
      </c>
      <c r="AZ1971" s="2">
        <v>18.4949588792703</v>
      </c>
      <c r="BA1971" s="2">
        <v>19.013864367568502</v>
      </c>
      <c r="BB1971" s="2">
        <v>18.7092190723356</v>
      </c>
      <c r="BC1971" s="2">
        <v>18.5486151322316</v>
      </c>
      <c r="BD1971" s="2">
        <v>18.247412252660801</v>
      </c>
      <c r="BE1971" s="2">
        <v>19.1769202353527</v>
      </c>
      <c r="BF1971" s="2">
        <v>17.9800621847054</v>
      </c>
      <c r="BG1971" s="2">
        <v>18.880852270376501</v>
      </c>
      <c r="BH1971" s="2">
        <v>18.406269000667699</v>
      </c>
      <c r="BI1971" s="2">
        <v>18.6008471221236</v>
      </c>
      <c r="BJ1971" s="2">
        <v>17.7958220953034</v>
      </c>
      <c r="BK1971" s="2">
        <v>18.2550187468118</v>
      </c>
      <c r="BL1971" s="2">
        <v>19.258436249904801</v>
      </c>
      <c r="BM1971" s="2">
        <v>18.046450527839301</v>
      </c>
      <c r="BN1971" s="2">
        <v>18.426501623999101</v>
      </c>
      <c r="BO1971" s="2">
        <v>19.296104292267898</v>
      </c>
      <c r="BP1971" s="2">
        <v>18.107527839161602</v>
      </c>
      <c r="BQ1971" s="2">
        <v>17.8503484455095</v>
      </c>
      <c r="BR1971" s="2">
        <v>18.797275472232201</v>
      </c>
      <c r="BS1971" s="2">
        <v>18.806933862814098</v>
      </c>
      <c r="BT1971" s="2">
        <v>18.301466364782101</v>
      </c>
      <c r="BU1971" s="2">
        <v>18.522408049250799</v>
      </c>
      <c r="BV1971" s="2">
        <v>18.657697498053199</v>
      </c>
      <c r="BW1971" s="2">
        <v>18.107988471649499</v>
      </c>
      <c r="BX1971" s="2">
        <v>18.104661608033201</v>
      </c>
      <c r="BY1971" s="2">
        <v>18.225576829785499</v>
      </c>
      <c r="BZ1971" s="2">
        <v>17.9380723300292</v>
      </c>
      <c r="CA1971" s="2">
        <v>17.452369874360201</v>
      </c>
      <c r="CB1971" s="2">
        <v>17.421061276931599</v>
      </c>
      <c r="CC1971" s="2">
        <v>17.100491210015601</v>
      </c>
      <c r="CD1971" s="2">
        <v>18.5891429086928</v>
      </c>
      <c r="CE1971" s="2">
        <v>19.146543567967001</v>
      </c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</row>
    <row r="1972" spans="1:97">
      <c r="A1972" s="2" t="s">
        <v>17270</v>
      </c>
      <c r="B1972" s="2">
        <v>209.12816000000001</v>
      </c>
      <c r="C1972" s="2">
        <v>9.9019999999999992</v>
      </c>
      <c r="D1972" s="2" t="s">
        <v>84</v>
      </c>
      <c r="E1972" s="2" t="s">
        <v>17271</v>
      </c>
      <c r="F1972" s="2" t="s">
        <v>17272</v>
      </c>
      <c r="G1972" s="2">
        <v>199170</v>
      </c>
      <c r="H1972" s="3" t="str">
        <f>HYPERLINK("https://cloud.oebiotech.com/#/lm/network/199170", "https://cloud.oebiotech.com/#/lm/network/199170")</f>
        <v>https://cloud.oebiotech.com/#/lm/network/199170</v>
      </c>
      <c r="I1972" s="2" t="s">
        <v>17273</v>
      </c>
      <c r="J1972" s="2"/>
      <c r="K1972" s="2"/>
      <c r="L1972" s="2">
        <v>4819</v>
      </c>
      <c r="M1972" s="2"/>
      <c r="N1972" s="2"/>
      <c r="O1972" s="2"/>
      <c r="P1972" s="2">
        <v>39460</v>
      </c>
      <c r="Q1972" s="2"/>
      <c r="R1972" s="2"/>
      <c r="S1972" s="2"/>
      <c r="T1972" s="2" t="s">
        <v>17274</v>
      </c>
      <c r="U1972" s="2" t="s">
        <v>17275</v>
      </c>
      <c r="V1972" s="2" t="s">
        <v>374</v>
      </c>
      <c r="W1972" s="2" t="s">
        <v>375</v>
      </c>
      <c r="X1972" s="2" t="s">
        <v>375</v>
      </c>
      <c r="Y1972" s="2" t="s">
        <v>376</v>
      </c>
      <c r="Z1972" s="2"/>
      <c r="AA1972" s="2"/>
      <c r="AB1972" s="2" t="s">
        <v>8443</v>
      </c>
      <c r="AC1972" s="2">
        <v>38.630000000000003</v>
      </c>
      <c r="AD1972" s="2">
        <v>93.16</v>
      </c>
      <c r="AE1972" s="2">
        <v>0</v>
      </c>
      <c r="AF1972" s="2" t="s">
        <v>5614</v>
      </c>
      <c r="AG1972" s="2" t="s">
        <v>103</v>
      </c>
      <c r="AH1972" s="2" t="s">
        <v>17276</v>
      </c>
      <c r="AI1972" s="2">
        <v>0.96</v>
      </c>
      <c r="AJ1972" s="2">
        <v>20.033424977734899</v>
      </c>
      <c r="AK1972" s="2">
        <v>19.7946935543576</v>
      </c>
      <c r="AL1972" s="2">
        <v>20.237228811868199</v>
      </c>
      <c r="AM1972" s="2">
        <v>19.359637295731901</v>
      </c>
      <c r="AN1972" s="2">
        <v>19.638198275973501</v>
      </c>
      <c r="AO1972" s="2">
        <v>20.353765459113699</v>
      </c>
      <c r="AP1972" s="2">
        <v>20.2048811485306</v>
      </c>
      <c r="AQ1972" s="2">
        <v>20.0619474203558</v>
      </c>
      <c r="AR1972" s="2">
        <v>20.177147907246798</v>
      </c>
      <c r="AS1972" s="2">
        <v>20.2323498606276</v>
      </c>
      <c r="AT1972" s="2">
        <v>19.825652265614</v>
      </c>
      <c r="AU1972" s="2">
        <v>20.095673003307802</v>
      </c>
      <c r="AV1972" s="2">
        <v>20.419482333508601</v>
      </c>
      <c r="AW1972" s="2">
        <v>19.889356383470801</v>
      </c>
      <c r="AX1972" s="2">
        <v>19.2317652675174</v>
      </c>
      <c r="AY1972" s="2">
        <v>19.888359099107898</v>
      </c>
      <c r="AZ1972" s="2">
        <v>20.251712852466</v>
      </c>
      <c r="BA1972" s="2">
        <v>20.2595641200184</v>
      </c>
      <c r="BB1972" s="2">
        <v>20.1663962956681</v>
      </c>
      <c r="BC1972" s="2">
        <v>20.156052391725201</v>
      </c>
      <c r="BD1972" s="2">
        <v>20.088728039780801</v>
      </c>
      <c r="BE1972" s="2">
        <v>20.667655505329499</v>
      </c>
      <c r="BF1972" s="2">
        <v>20.274434348166999</v>
      </c>
      <c r="BG1972" s="2">
        <v>20.104264511688701</v>
      </c>
      <c r="BH1972" s="2">
        <v>20.544928125804802</v>
      </c>
      <c r="BI1972" s="2">
        <v>20.257248731921699</v>
      </c>
      <c r="BJ1972" s="2">
        <v>20.221553999180902</v>
      </c>
      <c r="BK1972" s="2">
        <v>20.393108255421801</v>
      </c>
      <c r="BL1972" s="2">
        <v>20.442721347061301</v>
      </c>
      <c r="BM1972" s="2">
        <v>20.525911620516101</v>
      </c>
      <c r="BN1972" s="2">
        <v>20.569076972475901</v>
      </c>
      <c r="BO1972" s="2">
        <v>20.453963301945301</v>
      </c>
      <c r="BP1972" s="2">
        <v>20.057896468097901</v>
      </c>
      <c r="BQ1972" s="2">
        <v>20.251395991216601</v>
      </c>
      <c r="BR1972" s="2">
        <v>20.387864960350701</v>
      </c>
      <c r="BS1972" s="2">
        <v>20.3083438301075</v>
      </c>
      <c r="BT1972" s="2">
        <v>20.225607682776801</v>
      </c>
      <c r="BU1972" s="2">
        <v>20.448368550867201</v>
      </c>
      <c r="BV1972" s="2">
        <v>20.314181322301</v>
      </c>
      <c r="BW1972" s="2">
        <v>20.676083602852898</v>
      </c>
      <c r="BX1972" s="2">
        <v>20.2761238826244</v>
      </c>
      <c r="BY1972" s="2">
        <v>20.497290883797898</v>
      </c>
      <c r="BZ1972" s="2">
        <v>20.433850628857002</v>
      </c>
      <c r="CA1972" s="2">
        <v>20.237253895723001</v>
      </c>
      <c r="CB1972" s="2">
        <v>19.678914528766001</v>
      </c>
      <c r="CC1972" s="2">
        <v>20.501314356136199</v>
      </c>
      <c r="CD1972" s="2">
        <v>20.507683618744601</v>
      </c>
      <c r="CE1972" s="2">
        <v>20.211954745673399</v>
      </c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</row>
    <row r="1973" spans="1:97">
      <c r="A1973" s="2" t="s">
        <v>17277</v>
      </c>
      <c r="B1973" s="2">
        <v>282.13312999999999</v>
      </c>
      <c r="C1973" s="2">
        <v>6.5049999999999999</v>
      </c>
      <c r="D1973" s="2" t="s">
        <v>84</v>
      </c>
      <c r="E1973" s="2" t="s">
        <v>17278</v>
      </c>
      <c r="F1973" s="2" t="s">
        <v>17279</v>
      </c>
      <c r="G1973" s="2">
        <v>209692</v>
      </c>
      <c r="H1973" s="3" t="str">
        <f>HYPERLINK("https://cloud.oebiotech.com/#/lm/network/209692", "https://cloud.oebiotech.com/#/lm/network/209692")</f>
        <v>https://cloud.oebiotech.com/#/lm/network/209692</v>
      </c>
      <c r="I1973" s="2" t="s">
        <v>17280</v>
      </c>
      <c r="J1973" s="2"/>
      <c r="K1973" s="2"/>
      <c r="L1973" s="2">
        <v>13304</v>
      </c>
      <c r="M1973" s="2"/>
      <c r="N1973" s="2"/>
      <c r="O1973" s="2"/>
      <c r="P1973" s="2"/>
      <c r="Q1973" s="2"/>
      <c r="R1973" s="2"/>
      <c r="S1973" s="2"/>
      <c r="T1973" s="2" t="s">
        <v>17281</v>
      </c>
      <c r="U1973" s="2" t="s">
        <v>17282</v>
      </c>
      <c r="V1973" s="2" t="s">
        <v>553</v>
      </c>
      <c r="W1973" s="2" t="s">
        <v>17283</v>
      </c>
      <c r="X1973" s="2" t="s">
        <v>17284</v>
      </c>
      <c r="Y1973" s="2" t="s">
        <v>556</v>
      </c>
      <c r="Z1973" s="2" t="s">
        <v>17285</v>
      </c>
      <c r="AA1973" s="2" t="s">
        <v>17286</v>
      </c>
      <c r="AB1973" s="2" t="s">
        <v>8443</v>
      </c>
      <c r="AC1973" s="2">
        <v>38.630000000000003</v>
      </c>
      <c r="AD1973" s="2">
        <v>85.19</v>
      </c>
      <c r="AE1973" s="2">
        <v>0</v>
      </c>
      <c r="AF1973" s="2" t="s">
        <v>17287</v>
      </c>
      <c r="AG1973" s="2" t="s">
        <v>103</v>
      </c>
      <c r="AH1973" s="2" t="s">
        <v>17288</v>
      </c>
      <c r="AI1973" s="2">
        <v>-7.09</v>
      </c>
      <c r="AJ1973" s="2">
        <v>17.5262528595822</v>
      </c>
      <c r="AK1973" s="2">
        <v>17.3892116908407</v>
      </c>
      <c r="AL1973" s="2">
        <v>17.335765338971399</v>
      </c>
      <c r="AM1973" s="2">
        <v>17.342792693419</v>
      </c>
      <c r="AN1973" s="2">
        <v>17.418122648872998</v>
      </c>
      <c r="AO1973" s="2">
        <v>17.739744291472199</v>
      </c>
      <c r="AP1973" s="2">
        <v>17.599966364181</v>
      </c>
      <c r="AQ1973" s="2">
        <v>17.410497147202001</v>
      </c>
      <c r="AR1973" s="2">
        <v>9.6233145402724691</v>
      </c>
      <c r="AS1973" s="2">
        <v>9.6233145402724691</v>
      </c>
      <c r="AT1973" s="2">
        <v>15.9897264394089</v>
      </c>
      <c r="AU1973" s="2">
        <v>15.238779024152899</v>
      </c>
      <c r="AV1973" s="2">
        <v>17.323682582495099</v>
      </c>
      <c r="AW1973" s="2">
        <v>9.6233145402724691</v>
      </c>
      <c r="AX1973" s="2">
        <v>17.300205162079401</v>
      </c>
      <c r="AY1973" s="2">
        <v>16.309969922072099</v>
      </c>
      <c r="AZ1973" s="2">
        <v>13.6626550254091</v>
      </c>
      <c r="BA1973" s="2">
        <v>18.2383582268127</v>
      </c>
      <c r="BB1973" s="2">
        <v>14.060096372735501</v>
      </c>
      <c r="BC1973" s="2">
        <v>15.4149999652969</v>
      </c>
      <c r="BD1973" s="2">
        <v>9.6233145402724691</v>
      </c>
      <c r="BE1973" s="2">
        <v>19.2596121374856</v>
      </c>
      <c r="BF1973" s="2">
        <v>18.574521058177002</v>
      </c>
      <c r="BG1973" s="2">
        <v>14.2725751143123</v>
      </c>
      <c r="BH1973" s="2">
        <v>9.6233145402724691</v>
      </c>
      <c r="BI1973" s="2">
        <v>21.211509729640799</v>
      </c>
      <c r="BJ1973" s="2">
        <v>9.6233145402724691</v>
      </c>
      <c r="BK1973" s="2">
        <v>9.6233145402724691</v>
      </c>
      <c r="BL1973" s="2">
        <v>9.6233145402724691</v>
      </c>
      <c r="BM1973" s="2">
        <v>17.803551340535599</v>
      </c>
      <c r="BN1973" s="2">
        <v>9.6233145402724691</v>
      </c>
      <c r="BO1973" s="2">
        <v>18.225216288037199</v>
      </c>
      <c r="BP1973" s="2">
        <v>9.6233145402724691</v>
      </c>
      <c r="BQ1973" s="2">
        <v>17.836765408886698</v>
      </c>
      <c r="BR1973" s="2">
        <v>19.1993766889554</v>
      </c>
      <c r="BS1973" s="2">
        <v>16.536780386060901</v>
      </c>
      <c r="BT1973" s="2">
        <v>9.6233145402724691</v>
      </c>
      <c r="BU1973" s="2">
        <v>17.842084319535001</v>
      </c>
      <c r="BV1973" s="2">
        <v>19.269253632773001</v>
      </c>
      <c r="BW1973" s="2">
        <v>9.6233145402724691</v>
      </c>
      <c r="BX1973" s="2">
        <v>16.731843238736101</v>
      </c>
      <c r="BY1973" s="2">
        <v>20.047564034002601</v>
      </c>
      <c r="BZ1973" s="2">
        <v>16.409013803758899</v>
      </c>
      <c r="CA1973" s="2">
        <v>18.264092376121098</v>
      </c>
      <c r="CB1973" s="2">
        <v>9.6233145402724691</v>
      </c>
      <c r="CC1973" s="2">
        <v>18.404664484015399</v>
      </c>
      <c r="CD1973" s="2">
        <v>9.6233145402724691</v>
      </c>
      <c r="CE1973" s="2">
        <v>9.6233145402724691</v>
      </c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</row>
    <row r="1974" spans="1:97">
      <c r="A1974" s="2" t="s">
        <v>17289</v>
      </c>
      <c r="B1974" s="2">
        <v>204.11385999999999</v>
      </c>
      <c r="C1974" s="2">
        <v>0.78900000000000003</v>
      </c>
      <c r="D1974" s="2" t="s">
        <v>84</v>
      </c>
      <c r="E1974" s="2" t="s">
        <v>17290</v>
      </c>
      <c r="F1974" s="2" t="s">
        <v>17291</v>
      </c>
      <c r="G1974" s="2">
        <v>206929</v>
      </c>
      <c r="H1974" s="3" t="str">
        <f>HYPERLINK("https://cloud.oebiotech.com/#/lm/network/206929", "https://cloud.oebiotech.com/#/lm/network/206929")</f>
        <v>https://cloud.oebiotech.com/#/lm/network/206929</v>
      </c>
      <c r="I1974" s="2" t="s">
        <v>17292</v>
      </c>
      <c r="J1974" s="2">
        <v>72452</v>
      </c>
      <c r="K1974" s="2"/>
      <c r="L1974" s="2">
        <v>31099</v>
      </c>
      <c r="M1974" s="2" t="s">
        <v>17293</v>
      </c>
      <c r="N1974" s="2"/>
      <c r="O1974" s="2"/>
      <c r="P1974" s="2">
        <v>38491</v>
      </c>
      <c r="Q1974" s="2"/>
      <c r="R1974" s="2"/>
      <c r="S1974" s="2" t="s">
        <v>17294</v>
      </c>
      <c r="T1974" s="2" t="s">
        <v>17295</v>
      </c>
      <c r="U1974" s="2" t="s">
        <v>17296</v>
      </c>
      <c r="V1974" s="2" t="s">
        <v>385</v>
      </c>
      <c r="W1974" s="2" t="s">
        <v>386</v>
      </c>
      <c r="X1974" s="2" t="s">
        <v>17297</v>
      </c>
      <c r="Y1974" s="2" t="s">
        <v>388</v>
      </c>
      <c r="Z1974" s="2" t="s">
        <v>389</v>
      </c>
      <c r="AA1974" s="2" t="s">
        <v>17298</v>
      </c>
      <c r="AB1974" s="2" t="s">
        <v>8443</v>
      </c>
      <c r="AC1974" s="2">
        <v>38.619999999999997</v>
      </c>
      <c r="AD1974" s="2">
        <v>93.11</v>
      </c>
      <c r="AE1974" s="2">
        <v>0</v>
      </c>
      <c r="AF1974" s="2" t="s">
        <v>5614</v>
      </c>
      <c r="AG1974" s="2" t="s">
        <v>1088</v>
      </c>
      <c r="AH1974" s="2" t="s">
        <v>17299</v>
      </c>
      <c r="AI1974" s="2">
        <v>-0.98</v>
      </c>
      <c r="AJ1974" s="2">
        <v>21.460040331301101</v>
      </c>
      <c r="AK1974" s="2">
        <v>21.8764378034525</v>
      </c>
      <c r="AL1974" s="2">
        <v>21.667900438828699</v>
      </c>
      <c r="AM1974" s="2">
        <v>21.464801649584398</v>
      </c>
      <c r="AN1974" s="2">
        <v>21.7739729191888</v>
      </c>
      <c r="AO1974" s="2">
        <v>21.807603436220699</v>
      </c>
      <c r="AP1974" s="2">
        <v>21.5074318800851</v>
      </c>
      <c r="AQ1974" s="2">
        <v>21.9135716349059</v>
      </c>
      <c r="AR1974" s="2">
        <v>20.9736068405278</v>
      </c>
      <c r="AS1974" s="2">
        <v>21.261345964554401</v>
      </c>
      <c r="AT1974" s="2">
        <v>22.625899733929199</v>
      </c>
      <c r="AU1974" s="2">
        <v>21.755881216519001</v>
      </c>
      <c r="AV1974" s="2">
        <v>20.9779480232582</v>
      </c>
      <c r="AW1974" s="2">
        <v>21.393750646289099</v>
      </c>
      <c r="AX1974" s="2">
        <v>21.932886435399499</v>
      </c>
      <c r="AY1974" s="2">
        <v>20.401100536680101</v>
      </c>
      <c r="AZ1974" s="2">
        <v>21.261651317862398</v>
      </c>
      <c r="BA1974" s="2">
        <v>20.428505930427399</v>
      </c>
      <c r="BB1974" s="2">
        <v>20.975266606665901</v>
      </c>
      <c r="BC1974" s="2">
        <v>22.504698762238601</v>
      </c>
      <c r="BD1974" s="2">
        <v>21.235419839094099</v>
      </c>
      <c r="BE1974" s="2">
        <v>20.1817265197928</v>
      </c>
      <c r="BF1974" s="2">
        <v>20.114171340704299</v>
      </c>
      <c r="BG1974" s="2">
        <v>21.3392273786625</v>
      </c>
      <c r="BH1974" s="2">
        <v>20.981505142045702</v>
      </c>
      <c r="BI1974" s="2">
        <v>22.289486082633001</v>
      </c>
      <c r="BJ1974" s="2">
        <v>21.1150501038172</v>
      </c>
      <c r="BK1974" s="2">
        <v>21.352315038472501</v>
      </c>
      <c r="BL1974" s="2">
        <v>21.575801583376698</v>
      </c>
      <c r="BM1974" s="2">
        <v>21.303915432780801</v>
      </c>
      <c r="BN1974" s="2">
        <v>22.188586129351599</v>
      </c>
      <c r="BO1974" s="2">
        <v>21.862109494001999</v>
      </c>
      <c r="BP1974" s="2">
        <v>20.481000177242699</v>
      </c>
      <c r="BQ1974" s="2">
        <v>21.767159423368302</v>
      </c>
      <c r="BR1974" s="2">
        <v>21.134037546804301</v>
      </c>
      <c r="BS1974" s="2">
        <v>20.514342544923998</v>
      </c>
      <c r="BT1974" s="2">
        <v>19.158373721263999</v>
      </c>
      <c r="BU1974" s="2">
        <v>21.676068421594302</v>
      </c>
      <c r="BV1974" s="2">
        <v>21.1314544376384</v>
      </c>
      <c r="BW1974" s="2">
        <v>21.603983894997</v>
      </c>
      <c r="BX1974" s="2">
        <v>21.353530527824901</v>
      </c>
      <c r="BY1974" s="2">
        <v>21.579177008692099</v>
      </c>
      <c r="BZ1974" s="2">
        <v>20.7742153681146</v>
      </c>
      <c r="CA1974" s="2">
        <v>21.985134314438401</v>
      </c>
      <c r="CB1974" s="2">
        <v>21.7032767171236</v>
      </c>
      <c r="CC1974" s="2">
        <v>21.891488141433399</v>
      </c>
      <c r="CD1974" s="2">
        <v>20.730495155193399</v>
      </c>
      <c r="CE1974" s="2">
        <v>22.093321534769402</v>
      </c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</row>
    <row r="1975" spans="1:97">
      <c r="A1975" s="2" t="s">
        <v>17300</v>
      </c>
      <c r="B1975" s="2">
        <v>174.02180000000001</v>
      </c>
      <c r="C1975" s="2">
        <v>4.0759999999999996</v>
      </c>
      <c r="D1975" s="2" t="s">
        <v>84</v>
      </c>
      <c r="E1975" s="2" t="s">
        <v>17301</v>
      </c>
      <c r="F1975" s="2" t="s">
        <v>17302</v>
      </c>
      <c r="G1975" s="2">
        <v>212068</v>
      </c>
      <c r="H1975" s="3" t="str">
        <f>HYPERLINK("https://cloud.oebiotech.com/#/lm/network/212068", "https://cloud.oebiotech.com/#/lm/network/212068")</f>
        <v>https://cloud.oebiotech.com/#/lm/network/212068</v>
      </c>
      <c r="I1975" s="2" t="s">
        <v>17303</v>
      </c>
      <c r="J1975" s="2"/>
      <c r="K1975" s="2"/>
      <c r="L1975" s="2"/>
      <c r="M1975" s="2" t="s">
        <v>17304</v>
      </c>
      <c r="N1975" s="2"/>
      <c r="O1975" s="2"/>
      <c r="P1975" s="2">
        <v>27500</v>
      </c>
      <c r="Q1975" s="2"/>
      <c r="R1975" s="2"/>
      <c r="S1975" s="2"/>
      <c r="T1975" s="2" t="s">
        <v>17305</v>
      </c>
      <c r="U1975" s="2" t="s">
        <v>17306</v>
      </c>
      <c r="V1975" s="2" t="s">
        <v>385</v>
      </c>
      <c r="W1975" s="2" t="s">
        <v>386</v>
      </c>
      <c r="X1975" s="2" t="s">
        <v>1447</v>
      </c>
      <c r="Y1975" s="2" t="s">
        <v>388</v>
      </c>
      <c r="Z1975" s="2" t="s">
        <v>389</v>
      </c>
      <c r="AA1975" s="2" t="s">
        <v>1448</v>
      </c>
      <c r="AB1975" s="2" t="s">
        <v>8443</v>
      </c>
      <c r="AC1975" s="2">
        <v>38.61</v>
      </c>
      <c r="AD1975" s="2">
        <v>93.06</v>
      </c>
      <c r="AE1975" s="2">
        <v>0</v>
      </c>
      <c r="AF1975" s="2" t="s">
        <v>5614</v>
      </c>
      <c r="AG1975" s="2" t="s">
        <v>103</v>
      </c>
      <c r="AH1975" s="2" t="s">
        <v>17307</v>
      </c>
      <c r="AI1975" s="2">
        <v>0.56999999999999995</v>
      </c>
      <c r="AJ1975" s="2">
        <v>18.494251562278901</v>
      </c>
      <c r="AK1975" s="2">
        <v>17.954045018081899</v>
      </c>
      <c r="AL1975" s="2">
        <v>18.115013109243002</v>
      </c>
      <c r="AM1975" s="2">
        <v>17.5831459545632</v>
      </c>
      <c r="AN1975" s="2">
        <v>18.437425768043401</v>
      </c>
      <c r="AO1975" s="2">
        <v>18.6561868176735</v>
      </c>
      <c r="AP1975" s="2">
        <v>17.949163742924199</v>
      </c>
      <c r="AQ1975" s="2">
        <v>18.251898797054199</v>
      </c>
      <c r="AR1975" s="2">
        <v>14.1332016276024</v>
      </c>
      <c r="AS1975" s="2">
        <v>9.6233145402724691</v>
      </c>
      <c r="AT1975" s="2">
        <v>16.319946551207099</v>
      </c>
      <c r="AU1975" s="2">
        <v>14.7033677609832</v>
      </c>
      <c r="AV1975" s="2">
        <v>17.686109133218299</v>
      </c>
      <c r="AW1975" s="2">
        <v>17.479406644902902</v>
      </c>
      <c r="AX1975" s="2">
        <v>15.9360464324044</v>
      </c>
      <c r="AY1975" s="2">
        <v>16.267953062285098</v>
      </c>
      <c r="AZ1975" s="2">
        <v>16.669785003221499</v>
      </c>
      <c r="BA1975" s="2">
        <v>15.2824521127606</v>
      </c>
      <c r="BB1975" s="2">
        <v>17.172493434020701</v>
      </c>
      <c r="BC1975" s="2">
        <v>17.938499796472001</v>
      </c>
      <c r="BD1975" s="2">
        <v>16.6494651611462</v>
      </c>
      <c r="BE1975" s="2">
        <v>18.952458049774201</v>
      </c>
      <c r="BF1975" s="2">
        <v>17.043783154328398</v>
      </c>
      <c r="BG1975" s="2">
        <v>17.375340442353</v>
      </c>
      <c r="BH1975" s="2">
        <v>16.861492364606502</v>
      </c>
      <c r="BI1975" s="2">
        <v>17.7674323158422</v>
      </c>
      <c r="BJ1975" s="2">
        <v>18.948432426548202</v>
      </c>
      <c r="BK1975" s="2">
        <v>17.337511974532401</v>
      </c>
      <c r="BL1975" s="2">
        <v>17.441341744732199</v>
      </c>
      <c r="BM1975" s="2">
        <v>18.182194574187399</v>
      </c>
      <c r="BN1975" s="2">
        <v>18.098905119838001</v>
      </c>
      <c r="BO1975" s="2">
        <v>16.3133369159764</v>
      </c>
      <c r="BP1975" s="2">
        <v>17.6780832559229</v>
      </c>
      <c r="BQ1975" s="2">
        <v>17.472642057990001</v>
      </c>
      <c r="BR1975" s="2">
        <v>18.810722085439401</v>
      </c>
      <c r="BS1975" s="2">
        <v>17.0478970186212</v>
      </c>
      <c r="BT1975" s="2">
        <v>17.529491864942301</v>
      </c>
      <c r="BU1975" s="2">
        <v>16.710274524779301</v>
      </c>
      <c r="BV1975" s="2">
        <v>17.996969429206001</v>
      </c>
      <c r="BW1975" s="2">
        <v>15.9672149989968</v>
      </c>
      <c r="BX1975" s="2">
        <v>16.208545303049299</v>
      </c>
      <c r="BY1975" s="2">
        <v>19.0100138782221</v>
      </c>
      <c r="BZ1975" s="2">
        <v>17.422835378905202</v>
      </c>
      <c r="CA1975" s="2">
        <v>17.829444833465999</v>
      </c>
      <c r="CB1975" s="2">
        <v>17.144388887266501</v>
      </c>
      <c r="CC1975" s="2">
        <v>17.451570533204102</v>
      </c>
      <c r="CD1975" s="2">
        <v>17.465217310597701</v>
      </c>
      <c r="CE1975" s="2">
        <v>17.4783082775966</v>
      </c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</row>
    <row r="1976" spans="1:97">
      <c r="A1976" s="2" t="s">
        <v>17308</v>
      </c>
      <c r="B1976" s="2">
        <v>539.37127999999996</v>
      </c>
      <c r="C1976" s="2">
        <v>12.073</v>
      </c>
      <c r="D1976" s="2" t="s">
        <v>146</v>
      </c>
      <c r="E1976" s="2" t="s">
        <v>17309</v>
      </c>
      <c r="F1976" s="2" t="s">
        <v>17309</v>
      </c>
      <c r="G1976" s="2">
        <v>255452</v>
      </c>
      <c r="H1976" s="3" t="str">
        <f>HYPERLINK("https://cloud.oebiotech.com/#/lm/network/255452", "https://cloud.oebiotech.com/#/lm/network/255452")</f>
        <v>https://cloud.oebiotech.com/#/lm/network/255452</v>
      </c>
      <c r="I1976" s="2" t="s">
        <v>17310</v>
      </c>
      <c r="J1976" s="2"/>
      <c r="K1976" s="2"/>
      <c r="L1976" s="2">
        <v>5468405</v>
      </c>
      <c r="M1976" s="2"/>
      <c r="N1976" s="2"/>
      <c r="O1976" s="2"/>
      <c r="P1976" s="2"/>
      <c r="Q1976" s="2"/>
      <c r="R1976" s="2"/>
      <c r="S1976" s="2"/>
      <c r="T1976" s="2" t="s">
        <v>17311</v>
      </c>
      <c r="U1976" s="2" t="s">
        <v>17312</v>
      </c>
      <c r="V1976" s="2" t="s">
        <v>95</v>
      </c>
      <c r="W1976" s="2" t="s">
        <v>180</v>
      </c>
      <c r="X1976" s="2" t="s">
        <v>2949</v>
      </c>
      <c r="Y1976" s="2" t="s">
        <v>98</v>
      </c>
      <c r="Z1976" s="2" t="s">
        <v>182</v>
      </c>
      <c r="AA1976" s="2" t="s">
        <v>2950</v>
      </c>
      <c r="AB1976" s="2" t="s">
        <v>8443</v>
      </c>
      <c r="AC1976" s="2">
        <v>38.61</v>
      </c>
      <c r="AD1976" s="2">
        <v>76.680000000000007</v>
      </c>
      <c r="AE1976" s="2">
        <v>0</v>
      </c>
      <c r="AF1976" s="2" t="s">
        <v>5614</v>
      </c>
      <c r="AG1976" s="2" t="s">
        <v>194</v>
      </c>
      <c r="AH1976" s="2" t="s">
        <v>17313</v>
      </c>
      <c r="AI1976" s="2">
        <v>5.38</v>
      </c>
      <c r="AJ1976" s="2">
        <v>17.3010083848561</v>
      </c>
      <c r="AK1976" s="2">
        <v>16.588999018719001</v>
      </c>
      <c r="AL1976" s="2">
        <v>16.8009690156088</v>
      </c>
      <c r="AM1976" s="2">
        <v>16.501549239011901</v>
      </c>
      <c r="AN1976" s="2">
        <v>17.043519173268098</v>
      </c>
      <c r="AO1976" s="2">
        <v>16.727823690374301</v>
      </c>
      <c r="AP1976" s="2">
        <v>16.292443326301601</v>
      </c>
      <c r="AQ1976" s="2">
        <v>16.3470214472636</v>
      </c>
      <c r="AR1976" s="2">
        <v>17.347168379239299</v>
      </c>
      <c r="AS1976" s="2">
        <v>16.237353946666701</v>
      </c>
      <c r="AT1976" s="2">
        <v>16.326144346900399</v>
      </c>
      <c r="AU1976" s="2">
        <v>16.1648236676997</v>
      </c>
      <c r="AV1976" s="2">
        <v>16.5094584833307</v>
      </c>
      <c r="AW1976" s="2">
        <v>16.433281098716101</v>
      </c>
      <c r="AX1976" s="2">
        <v>15.6814273028426</v>
      </c>
      <c r="AY1976" s="2">
        <v>17.554185090573601</v>
      </c>
      <c r="AZ1976" s="2">
        <v>17.418828185756201</v>
      </c>
      <c r="BA1976" s="2">
        <v>16.723688938479601</v>
      </c>
      <c r="BB1976" s="2">
        <v>16.4757339058703</v>
      </c>
      <c r="BC1976" s="2">
        <v>17.498503633702601</v>
      </c>
      <c r="BD1976" s="2">
        <v>16.5368547380343</v>
      </c>
      <c r="BE1976" s="2">
        <v>16.756582903726901</v>
      </c>
      <c r="BF1976" s="2">
        <v>16.495181260129598</v>
      </c>
      <c r="BG1976" s="2">
        <v>16.4293245152307</v>
      </c>
      <c r="BH1976" s="2">
        <v>14.8072210720704</v>
      </c>
      <c r="BI1976" s="2">
        <v>15.392243957781901</v>
      </c>
      <c r="BJ1976" s="2">
        <v>16.988725621420699</v>
      </c>
      <c r="BK1976" s="2">
        <v>14.706776586761</v>
      </c>
      <c r="BL1976" s="2">
        <v>17.382289148729601</v>
      </c>
      <c r="BM1976" s="2">
        <v>16.8010824744042</v>
      </c>
      <c r="BN1976" s="2">
        <v>16.398519923271099</v>
      </c>
      <c r="BO1976" s="2">
        <v>16.374293040144298</v>
      </c>
      <c r="BP1976" s="2">
        <v>16.1955456126163</v>
      </c>
      <c r="BQ1976" s="2">
        <v>15.955849889628199</v>
      </c>
      <c r="BR1976" s="2">
        <v>15.8388606937954</v>
      </c>
      <c r="BS1976" s="2">
        <v>17.156904118262698</v>
      </c>
      <c r="BT1976" s="2">
        <v>17.084567378818999</v>
      </c>
      <c r="BU1976" s="2">
        <v>16.950569224054501</v>
      </c>
      <c r="BV1976" s="2">
        <v>16.434802494984801</v>
      </c>
      <c r="BW1976" s="2">
        <v>16.031044225513</v>
      </c>
      <c r="BX1976" s="2">
        <v>16.0958743667478</v>
      </c>
      <c r="BY1976" s="2">
        <v>17.561460320095801</v>
      </c>
      <c r="BZ1976" s="2">
        <v>16.112168853896002</v>
      </c>
      <c r="CA1976" s="2">
        <v>16.2771933050958</v>
      </c>
      <c r="CB1976" s="2">
        <v>14.8338442777626</v>
      </c>
      <c r="CC1976" s="2">
        <v>15.647467139712999</v>
      </c>
      <c r="CD1976" s="2">
        <v>17.021076591200799</v>
      </c>
      <c r="CE1976" s="2">
        <v>15.869600108271101</v>
      </c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</row>
    <row r="1977" spans="1:97">
      <c r="A1977" s="2" t="s">
        <v>17314</v>
      </c>
      <c r="B1977" s="2">
        <v>236.10432</v>
      </c>
      <c r="C1977" s="2">
        <v>5.8029999999999999</v>
      </c>
      <c r="D1977" s="2" t="s">
        <v>84</v>
      </c>
      <c r="E1977" s="2" t="s">
        <v>17315</v>
      </c>
      <c r="F1977" s="2" t="s">
        <v>17316</v>
      </c>
      <c r="G1977" s="2">
        <v>205687</v>
      </c>
      <c r="H1977" s="3" t="str">
        <f>HYPERLINK("https://cloud.oebiotech.com/#/lm/network/205687", "https://cloud.oebiotech.com/#/lm/network/205687")</f>
        <v>https://cloud.oebiotech.com/#/lm/network/205687</v>
      </c>
      <c r="I1977" s="2" t="s">
        <v>17317</v>
      </c>
      <c r="J1977" s="2"/>
      <c r="K1977" s="2"/>
      <c r="L1977" s="2">
        <v>119606</v>
      </c>
      <c r="M1977" s="2"/>
      <c r="N1977" s="2"/>
      <c r="O1977" s="2"/>
      <c r="P1977" s="2"/>
      <c r="Q1977" s="2"/>
      <c r="R1977" s="2"/>
      <c r="S1977" s="2"/>
      <c r="T1977" s="2" t="s">
        <v>17318</v>
      </c>
      <c r="U1977" s="2" t="s">
        <v>17319</v>
      </c>
      <c r="V1977" s="2" t="s">
        <v>115</v>
      </c>
      <c r="W1977" s="2" t="s">
        <v>5349</v>
      </c>
      <c r="X1977" s="2" t="s">
        <v>17320</v>
      </c>
      <c r="Y1977" s="2" t="s">
        <v>118</v>
      </c>
      <c r="Z1977" s="2" t="s">
        <v>5351</v>
      </c>
      <c r="AA1977" s="2" t="s">
        <v>17321</v>
      </c>
      <c r="AB1977" s="2" t="s">
        <v>8443</v>
      </c>
      <c r="AC1977" s="2">
        <v>38.61</v>
      </c>
      <c r="AD1977" s="2">
        <v>94.39</v>
      </c>
      <c r="AE1977" s="2">
        <v>0</v>
      </c>
      <c r="AF1977" s="2" t="s">
        <v>5614</v>
      </c>
      <c r="AG1977" s="2" t="s">
        <v>103</v>
      </c>
      <c r="AH1977" s="2" t="s">
        <v>17322</v>
      </c>
      <c r="AI1977" s="2">
        <v>1.27</v>
      </c>
      <c r="AJ1977" s="2">
        <v>17.113653764904001</v>
      </c>
      <c r="AK1977" s="2">
        <v>17.346794356872302</v>
      </c>
      <c r="AL1977" s="2">
        <v>17.569483986415399</v>
      </c>
      <c r="AM1977" s="2">
        <v>16.9577524185102</v>
      </c>
      <c r="AN1977" s="2">
        <v>17.9023391927036</v>
      </c>
      <c r="AO1977" s="2">
        <v>17.6076059947539</v>
      </c>
      <c r="AP1977" s="2">
        <v>18.135639253582902</v>
      </c>
      <c r="AQ1977" s="2">
        <v>17.8863644992371</v>
      </c>
      <c r="AR1977" s="2">
        <v>17.464411416715301</v>
      </c>
      <c r="AS1977" s="2">
        <v>16.709033179443399</v>
      </c>
      <c r="AT1977" s="2">
        <v>17.317049173630501</v>
      </c>
      <c r="AU1977" s="2">
        <v>16.9477523261131</v>
      </c>
      <c r="AV1977" s="2">
        <v>16.141007860419599</v>
      </c>
      <c r="AW1977" s="2">
        <v>17.650773953501702</v>
      </c>
      <c r="AX1977" s="2">
        <v>17.646757188006401</v>
      </c>
      <c r="AY1977" s="2">
        <v>16.232606049169501</v>
      </c>
      <c r="AZ1977" s="2">
        <v>17.165632686436101</v>
      </c>
      <c r="BA1977" s="2">
        <v>16.786407094782401</v>
      </c>
      <c r="BB1977" s="2">
        <v>16.9293729642479</v>
      </c>
      <c r="BC1977" s="2">
        <v>17.554712198509201</v>
      </c>
      <c r="BD1977" s="2">
        <v>17.716366672922799</v>
      </c>
      <c r="BE1977" s="2">
        <v>17.1715457724301</v>
      </c>
      <c r="BF1977" s="2">
        <v>17.4999611617075</v>
      </c>
      <c r="BG1977" s="2">
        <v>16.954282885852798</v>
      </c>
      <c r="BH1977" s="2">
        <v>17.010265837434201</v>
      </c>
      <c r="BI1977" s="2">
        <v>17.341889091776402</v>
      </c>
      <c r="BJ1977" s="2">
        <v>17.356693619972098</v>
      </c>
      <c r="BK1977" s="2">
        <v>16.798573053517099</v>
      </c>
      <c r="BL1977" s="2">
        <v>17.448208358834499</v>
      </c>
      <c r="BM1977" s="2">
        <v>17.648326823288699</v>
      </c>
      <c r="BN1977" s="2">
        <v>16.968120234735299</v>
      </c>
      <c r="BO1977" s="2">
        <v>17.578021616836701</v>
      </c>
      <c r="BP1977" s="2">
        <v>17.724456564114298</v>
      </c>
      <c r="BQ1977" s="2">
        <v>17.396065040846398</v>
      </c>
      <c r="BR1977" s="2">
        <v>17.811281423612499</v>
      </c>
      <c r="BS1977" s="2">
        <v>17.5837696680682</v>
      </c>
      <c r="BT1977" s="2">
        <v>17.486321567030402</v>
      </c>
      <c r="BU1977" s="2">
        <v>17.624927290486202</v>
      </c>
      <c r="BV1977" s="2">
        <v>17.3836612660985</v>
      </c>
      <c r="BW1977" s="2">
        <v>17.809361685569002</v>
      </c>
      <c r="BX1977" s="2">
        <v>17.662428124205999</v>
      </c>
      <c r="BY1977" s="2">
        <v>17.581317849102</v>
      </c>
      <c r="BZ1977" s="2">
        <v>17.887526460675101</v>
      </c>
      <c r="CA1977" s="2">
        <v>16.517315067536899</v>
      </c>
      <c r="CB1977" s="2">
        <v>17.185137729347701</v>
      </c>
      <c r="CC1977" s="2">
        <v>17.639019500828301</v>
      </c>
      <c r="CD1977" s="2">
        <v>17.245077461105499</v>
      </c>
      <c r="CE1977" s="2">
        <v>17.5073791924668</v>
      </c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</row>
    <row r="1978" spans="1:97">
      <c r="A1978" s="2" t="s">
        <v>17323</v>
      </c>
      <c r="B1978" s="2">
        <v>251.08959999999999</v>
      </c>
      <c r="C1978" s="2">
        <v>6.9720000000000004</v>
      </c>
      <c r="D1978" s="2" t="s">
        <v>146</v>
      </c>
      <c r="E1978" s="2" t="s">
        <v>17324</v>
      </c>
      <c r="F1978" s="2" t="s">
        <v>17325</v>
      </c>
      <c r="G1978" s="2">
        <v>203394</v>
      </c>
      <c r="H1978" s="3" t="str">
        <f>HYPERLINK("https://cloud.oebiotech.com/#/lm/network/203394", "https://cloud.oebiotech.com/#/lm/network/203394")</f>
        <v>https://cloud.oebiotech.com/#/lm/network/203394</v>
      </c>
      <c r="I1978" s="2" t="s">
        <v>17326</v>
      </c>
      <c r="J1978" s="2"/>
      <c r="K1978" s="2"/>
      <c r="L1978" s="2">
        <v>9856349</v>
      </c>
      <c r="M1978" s="2"/>
      <c r="N1978" s="2"/>
      <c r="O1978" s="2"/>
      <c r="P1978" s="2"/>
      <c r="Q1978" s="2"/>
      <c r="R1978" s="2"/>
      <c r="S1978" s="2"/>
      <c r="T1978" s="2" t="s">
        <v>17327</v>
      </c>
      <c r="U1978" s="2" t="s">
        <v>17328</v>
      </c>
      <c r="V1978" s="2" t="s">
        <v>553</v>
      </c>
      <c r="W1978" s="2" t="s">
        <v>949</v>
      </c>
      <c r="X1978" s="2" t="s">
        <v>950</v>
      </c>
      <c r="Y1978" s="2" t="s">
        <v>556</v>
      </c>
      <c r="Z1978" s="2" t="s">
        <v>951</v>
      </c>
      <c r="AA1978" s="2" t="s">
        <v>952</v>
      </c>
      <c r="AB1978" s="2" t="s">
        <v>8443</v>
      </c>
      <c r="AC1978" s="2">
        <v>38.6</v>
      </c>
      <c r="AD1978" s="2">
        <v>92.98</v>
      </c>
      <c r="AE1978" s="2">
        <v>0</v>
      </c>
      <c r="AF1978" s="2" t="s">
        <v>5614</v>
      </c>
      <c r="AG1978" s="2" t="s">
        <v>194</v>
      </c>
      <c r="AH1978" s="2" t="s">
        <v>17329</v>
      </c>
      <c r="AI1978" s="2">
        <v>0.8</v>
      </c>
      <c r="AJ1978" s="2">
        <v>16.8797666618105</v>
      </c>
      <c r="AK1978" s="2">
        <v>16.571876308780499</v>
      </c>
      <c r="AL1978" s="2">
        <v>16.7437984469077</v>
      </c>
      <c r="AM1978" s="2">
        <v>16.5729312535153</v>
      </c>
      <c r="AN1978" s="2">
        <v>16.770971862428301</v>
      </c>
      <c r="AO1978" s="2">
        <v>16.6363184571434</v>
      </c>
      <c r="AP1978" s="2">
        <v>16.9145744500977</v>
      </c>
      <c r="AQ1978" s="2">
        <v>16.4577811624325</v>
      </c>
      <c r="AR1978" s="2">
        <v>15.8622462679525</v>
      </c>
      <c r="AS1978" s="2">
        <v>12.1955752163016</v>
      </c>
      <c r="AT1978" s="2">
        <v>13.446612930191201</v>
      </c>
      <c r="AU1978" s="2">
        <v>15.7717762467894</v>
      </c>
      <c r="AV1978" s="2">
        <v>17.654553031461401</v>
      </c>
      <c r="AW1978" s="2">
        <v>19.5221250042894</v>
      </c>
      <c r="AX1978" s="2">
        <v>14.287980695874399</v>
      </c>
      <c r="AY1978" s="2">
        <v>17.532293442260201</v>
      </c>
      <c r="AZ1978" s="2">
        <v>17.267224051102701</v>
      </c>
      <c r="BA1978" s="2">
        <v>14.7966657835136</v>
      </c>
      <c r="BB1978" s="2">
        <v>14.700995035837501</v>
      </c>
      <c r="BC1978" s="2">
        <v>15.615121236467401</v>
      </c>
      <c r="BD1978" s="2">
        <v>15.612827039941299</v>
      </c>
      <c r="BE1978" s="2">
        <v>15.191469503576799</v>
      </c>
      <c r="BF1978" s="2">
        <v>16.718475349062899</v>
      </c>
      <c r="BG1978" s="2">
        <v>13.741392195218999</v>
      </c>
      <c r="BH1978" s="2">
        <v>16.8256738465399</v>
      </c>
      <c r="BI1978" s="2">
        <v>15.055440475849</v>
      </c>
      <c r="BJ1978" s="2">
        <v>16.182343526064901</v>
      </c>
      <c r="BK1978" s="2">
        <v>16.845360918078601</v>
      </c>
      <c r="BL1978" s="2">
        <v>14.289310721284901</v>
      </c>
      <c r="BM1978" s="2">
        <v>14.8911148780419</v>
      </c>
      <c r="BN1978" s="2">
        <v>16.831162234577601</v>
      </c>
      <c r="BO1978" s="2">
        <v>14.405707232292301</v>
      </c>
      <c r="BP1978" s="2">
        <v>13.6877146638216</v>
      </c>
      <c r="BQ1978" s="2">
        <v>15.272422754463699</v>
      </c>
      <c r="BR1978" s="2">
        <v>16.270889877583599</v>
      </c>
      <c r="BS1978" s="2">
        <v>19.3016877991247</v>
      </c>
      <c r="BT1978" s="2">
        <v>17.170526781562799</v>
      </c>
      <c r="BU1978" s="2">
        <v>14.3982627134237</v>
      </c>
      <c r="BV1978" s="2">
        <v>16.130287200162101</v>
      </c>
      <c r="BW1978" s="2">
        <v>13.485240641480299</v>
      </c>
      <c r="BX1978" s="2">
        <v>14.6814948363784</v>
      </c>
      <c r="BY1978" s="2">
        <v>17.4069046046552</v>
      </c>
      <c r="BZ1978" s="2">
        <v>15.624356253292</v>
      </c>
      <c r="CA1978" s="2">
        <v>16.003804683368301</v>
      </c>
      <c r="CB1978" s="2">
        <v>15.5212299041322</v>
      </c>
      <c r="CC1978" s="2">
        <v>15.204899304763099</v>
      </c>
      <c r="CD1978" s="2">
        <v>14.769370399993401</v>
      </c>
      <c r="CE1978" s="2">
        <v>15.713470558712199</v>
      </c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</row>
    <row r="1979" spans="1:97">
      <c r="A1979" s="2" t="s">
        <v>17330</v>
      </c>
      <c r="B1979" s="2">
        <v>177.06908999999999</v>
      </c>
      <c r="C1979" s="2">
        <v>4.6779999999999999</v>
      </c>
      <c r="D1979" s="2" t="s">
        <v>84</v>
      </c>
      <c r="E1979" s="2" t="s">
        <v>17331</v>
      </c>
      <c r="F1979" s="2" t="s">
        <v>17332</v>
      </c>
      <c r="G1979" s="2">
        <v>582439</v>
      </c>
      <c r="H1979" s="3" t="str">
        <f>HYPERLINK("https://cloud.oebiotech.com/#/lm/network/582439", "https://cloud.oebiotech.com/#/lm/network/582439")</f>
        <v>https://cloud.oebiotech.com/#/lm/network/582439</v>
      </c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 t="s">
        <v>17333</v>
      </c>
      <c r="U1979" s="2" t="s">
        <v>17334</v>
      </c>
      <c r="V1979" s="2" t="s">
        <v>115</v>
      </c>
      <c r="W1979" s="2" t="s">
        <v>116</v>
      </c>
      <c r="X1979" s="2" t="s">
        <v>117</v>
      </c>
      <c r="Y1979" s="2" t="s">
        <v>118</v>
      </c>
      <c r="Z1979" s="2" t="s">
        <v>119</v>
      </c>
      <c r="AA1979" s="2" t="s">
        <v>120</v>
      </c>
      <c r="AB1979" s="2" t="s">
        <v>8443</v>
      </c>
      <c r="AC1979" s="2">
        <v>38.590000000000003</v>
      </c>
      <c r="AD1979" s="2">
        <v>92.96</v>
      </c>
      <c r="AE1979" s="2">
        <v>0</v>
      </c>
      <c r="AF1979" s="2" t="s">
        <v>5614</v>
      </c>
      <c r="AG1979" s="2" t="s">
        <v>132</v>
      </c>
      <c r="AH1979" s="2" t="s">
        <v>17335</v>
      </c>
      <c r="AI1979" s="2">
        <v>0.56000000000000005</v>
      </c>
      <c r="AJ1979" s="2">
        <v>19.325872476253299</v>
      </c>
      <c r="AK1979" s="2">
        <v>18.794078361587999</v>
      </c>
      <c r="AL1979" s="2">
        <v>19.405688392127502</v>
      </c>
      <c r="AM1979" s="2">
        <v>19.5429828673896</v>
      </c>
      <c r="AN1979" s="2">
        <v>19.319486683418301</v>
      </c>
      <c r="AO1979" s="2">
        <v>19.131259782525401</v>
      </c>
      <c r="AP1979" s="2">
        <v>18.993585723509501</v>
      </c>
      <c r="AQ1979" s="2">
        <v>18.7572392649672</v>
      </c>
      <c r="AR1979" s="2">
        <v>14.178544258320199</v>
      </c>
      <c r="AS1979" s="2">
        <v>9.6233145402724691</v>
      </c>
      <c r="AT1979" s="2">
        <v>19.6533828905668</v>
      </c>
      <c r="AU1979" s="2">
        <v>19.909517455084799</v>
      </c>
      <c r="AV1979" s="2">
        <v>19.354282424098201</v>
      </c>
      <c r="AW1979" s="2">
        <v>19.5245493093961</v>
      </c>
      <c r="AX1979" s="2">
        <v>19.206963470803601</v>
      </c>
      <c r="AY1979" s="2">
        <v>19.439644765679599</v>
      </c>
      <c r="AZ1979" s="2">
        <v>19.390410167686699</v>
      </c>
      <c r="BA1979" s="2">
        <v>18.794559000378801</v>
      </c>
      <c r="BB1979" s="2">
        <v>18.520319686567898</v>
      </c>
      <c r="BC1979" s="2">
        <v>20.128498245025099</v>
      </c>
      <c r="BD1979" s="2">
        <v>19.590388075028901</v>
      </c>
      <c r="BE1979" s="2">
        <v>19.704382395563002</v>
      </c>
      <c r="BF1979" s="2">
        <v>19.864324290094299</v>
      </c>
      <c r="BG1979" s="2">
        <v>18.825835708719701</v>
      </c>
      <c r="BH1979" s="2">
        <v>19.701966192438</v>
      </c>
      <c r="BI1979" s="2">
        <v>19.752525039509798</v>
      </c>
      <c r="BJ1979" s="2">
        <v>16.8929415470033</v>
      </c>
      <c r="BK1979" s="2">
        <v>19.859204154139299</v>
      </c>
      <c r="BL1979" s="2">
        <v>19.558916632923001</v>
      </c>
      <c r="BM1979" s="2">
        <v>19.6517716884435</v>
      </c>
      <c r="BN1979" s="2">
        <v>19.744909337142399</v>
      </c>
      <c r="BO1979" s="2">
        <v>19.342700996016699</v>
      </c>
      <c r="BP1979" s="2">
        <v>19.152941766504799</v>
      </c>
      <c r="BQ1979" s="2">
        <v>19.5470830644453</v>
      </c>
      <c r="BR1979" s="2">
        <v>18.930401563095501</v>
      </c>
      <c r="BS1979" s="2">
        <v>19.245166198419799</v>
      </c>
      <c r="BT1979" s="2">
        <v>18.221059390233499</v>
      </c>
      <c r="BU1979" s="2">
        <v>19.742605312059101</v>
      </c>
      <c r="BV1979" s="2">
        <v>18.747637544979501</v>
      </c>
      <c r="BW1979" s="2">
        <v>18.796864068314701</v>
      </c>
      <c r="BX1979" s="2">
        <v>19.6190703502409</v>
      </c>
      <c r="BY1979" s="2">
        <v>19.357425264112901</v>
      </c>
      <c r="BZ1979" s="2">
        <v>18.476195478139701</v>
      </c>
      <c r="CA1979" s="2">
        <v>15.0065719714962</v>
      </c>
      <c r="CB1979" s="2">
        <v>16.914674996904601</v>
      </c>
      <c r="CC1979" s="2">
        <v>18.6395190558904</v>
      </c>
      <c r="CD1979" s="2">
        <v>18.656678230266699</v>
      </c>
      <c r="CE1979" s="2">
        <v>19.581826276703101</v>
      </c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</row>
    <row r="1980" spans="1:97">
      <c r="A1980" s="2" t="s">
        <v>17336</v>
      </c>
      <c r="B1980" s="2">
        <v>193.04597000000001</v>
      </c>
      <c r="C1980" s="2">
        <v>4.5979999999999999</v>
      </c>
      <c r="D1980" s="2" t="s">
        <v>84</v>
      </c>
      <c r="E1980" s="2" t="s">
        <v>17337</v>
      </c>
      <c r="F1980" s="2" t="s">
        <v>17338</v>
      </c>
      <c r="G1980" s="2">
        <v>81801</v>
      </c>
      <c r="H1980" s="3" t="str">
        <f>HYPERLINK("https://cloud.oebiotech.com/#/lm/network/81801", "https://cloud.oebiotech.com/#/lm/network/81801")</f>
        <v>https://cloud.oebiotech.com/#/lm/network/81801</v>
      </c>
      <c r="I1980" s="2" t="s">
        <v>17339</v>
      </c>
      <c r="J1980" s="2"/>
      <c r="K1980" s="2"/>
      <c r="L1980" s="2">
        <v>124202119</v>
      </c>
      <c r="M1980" s="2"/>
      <c r="N1980" s="2"/>
      <c r="O1980" s="2"/>
      <c r="P1980" s="2">
        <v>89898</v>
      </c>
      <c r="Q1980" s="2"/>
      <c r="R1980" s="2"/>
      <c r="S1980" s="2"/>
      <c r="T1980" s="2" t="s">
        <v>17340</v>
      </c>
      <c r="U1980" s="2" t="s">
        <v>17341</v>
      </c>
      <c r="V1980" s="2" t="s">
        <v>95</v>
      </c>
      <c r="W1980" s="2" t="s">
        <v>96</v>
      </c>
      <c r="X1980" s="2" t="s">
        <v>141</v>
      </c>
      <c r="Y1980" s="2" t="s">
        <v>98</v>
      </c>
      <c r="Z1980" s="2" t="s">
        <v>99</v>
      </c>
      <c r="AA1980" s="2" t="s">
        <v>142</v>
      </c>
      <c r="AB1980" s="2" t="s">
        <v>8443</v>
      </c>
      <c r="AC1980" s="2">
        <v>38.590000000000003</v>
      </c>
      <c r="AD1980" s="2">
        <v>74.3</v>
      </c>
      <c r="AE1980" s="2">
        <v>0</v>
      </c>
      <c r="AF1980" s="2" t="s">
        <v>5614</v>
      </c>
      <c r="AG1980" s="2" t="s">
        <v>1578</v>
      </c>
      <c r="AH1980" s="2" t="s">
        <v>17342</v>
      </c>
      <c r="AI1980" s="2">
        <v>5.7</v>
      </c>
      <c r="AJ1980" s="2">
        <v>18.6171516115988</v>
      </c>
      <c r="AK1980" s="2">
        <v>19.1135301061131</v>
      </c>
      <c r="AL1980" s="2">
        <v>19.068188053521901</v>
      </c>
      <c r="AM1980" s="2">
        <v>19.109005310713801</v>
      </c>
      <c r="AN1980" s="2">
        <v>18.5683681006008</v>
      </c>
      <c r="AO1980" s="2">
        <v>18.638849892623401</v>
      </c>
      <c r="AP1980" s="2">
        <v>18.080551441648701</v>
      </c>
      <c r="AQ1980" s="2">
        <v>18.424640062903801</v>
      </c>
      <c r="AR1980" s="2">
        <v>9.6233145402724691</v>
      </c>
      <c r="AS1980" s="2">
        <v>9.6233145402724691</v>
      </c>
      <c r="AT1980" s="2">
        <v>17.902729985406399</v>
      </c>
      <c r="AU1980" s="2">
        <v>18.729563922510099</v>
      </c>
      <c r="AV1980" s="2">
        <v>19.056029664386301</v>
      </c>
      <c r="AW1980" s="2">
        <v>18.861865398563602</v>
      </c>
      <c r="AX1980" s="2">
        <v>19.246120302030398</v>
      </c>
      <c r="AY1980" s="2">
        <v>19.0141799076914</v>
      </c>
      <c r="AZ1980" s="2">
        <v>18.546084049893199</v>
      </c>
      <c r="BA1980" s="2">
        <v>18.7289606251551</v>
      </c>
      <c r="BB1980" s="2">
        <v>16.540442140573901</v>
      </c>
      <c r="BC1980" s="2">
        <v>18.853304254951901</v>
      </c>
      <c r="BD1980" s="2">
        <v>19.255030368390202</v>
      </c>
      <c r="BE1980" s="2">
        <v>20.525197140962501</v>
      </c>
      <c r="BF1980" s="2">
        <v>19.5120872340629</v>
      </c>
      <c r="BG1980" s="2">
        <v>17.2629772605999</v>
      </c>
      <c r="BH1980" s="2">
        <v>19.520906566289199</v>
      </c>
      <c r="BI1980" s="2">
        <v>19.218626684733302</v>
      </c>
      <c r="BJ1980" s="2">
        <v>9.6233145402724691</v>
      </c>
      <c r="BK1980" s="2">
        <v>18.583632292082498</v>
      </c>
      <c r="BL1980" s="2">
        <v>19.2306102155034</v>
      </c>
      <c r="BM1980" s="2">
        <v>19.9130217562799</v>
      </c>
      <c r="BN1980" s="2">
        <v>19.332362270436601</v>
      </c>
      <c r="BO1980" s="2">
        <v>19.221309070395399</v>
      </c>
      <c r="BP1980" s="2">
        <v>18.734354114869301</v>
      </c>
      <c r="BQ1980" s="2">
        <v>19.065165972355999</v>
      </c>
      <c r="BR1980" s="2">
        <v>15.4926931714639</v>
      </c>
      <c r="BS1980" s="2">
        <v>19.3657384775236</v>
      </c>
      <c r="BT1980" s="2">
        <v>15.947102448276301</v>
      </c>
      <c r="BU1980" s="2">
        <v>19.219666176511598</v>
      </c>
      <c r="BV1980" s="2">
        <v>16.4264048169732</v>
      </c>
      <c r="BW1980" s="2">
        <v>17.342349558296799</v>
      </c>
      <c r="BX1980" s="2">
        <v>19.422148228714001</v>
      </c>
      <c r="BY1980" s="2">
        <v>19.899635087576598</v>
      </c>
      <c r="BZ1980" s="2">
        <v>17.725358202364301</v>
      </c>
      <c r="CA1980" s="2">
        <v>9.6233145402724691</v>
      </c>
      <c r="CB1980" s="2">
        <v>15.233978733130099</v>
      </c>
      <c r="CC1980" s="2">
        <v>18.992013819021398</v>
      </c>
      <c r="CD1980" s="2">
        <v>18.844222388694799</v>
      </c>
      <c r="CE1980" s="2">
        <v>18.957777296379501</v>
      </c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</row>
    <row r="1981" spans="1:97">
      <c r="A1981" s="2" t="s">
        <v>17343</v>
      </c>
      <c r="B1981" s="2">
        <v>230.18611999999999</v>
      </c>
      <c r="C1981" s="2">
        <v>3.448</v>
      </c>
      <c r="D1981" s="2" t="s">
        <v>84</v>
      </c>
      <c r="E1981" s="2" t="s">
        <v>17344</v>
      </c>
      <c r="F1981" s="2" t="s">
        <v>17345</v>
      </c>
      <c r="G1981" s="2">
        <v>82248</v>
      </c>
      <c r="H1981" s="3" t="str">
        <f>HYPERLINK("https://cloud.oebiotech.com/#/lm/network/82248", "https://cloud.oebiotech.com/#/lm/network/82248")</f>
        <v>https://cloud.oebiotech.com/#/lm/network/82248</v>
      </c>
      <c r="I1981" s="2" t="s">
        <v>17346</v>
      </c>
      <c r="J1981" s="2">
        <v>71375</v>
      </c>
      <c r="K1981" s="2"/>
      <c r="L1981" s="2">
        <v>11367848</v>
      </c>
      <c r="M1981" s="2" t="s">
        <v>17347</v>
      </c>
      <c r="N1981" s="2"/>
      <c r="O1981" s="2"/>
      <c r="P1981" s="2"/>
      <c r="Q1981" s="2"/>
      <c r="R1981" s="2"/>
      <c r="S1981" s="2" t="s">
        <v>17348</v>
      </c>
      <c r="T1981" s="2" t="s">
        <v>17349</v>
      </c>
      <c r="U1981" s="2" t="s">
        <v>17350</v>
      </c>
      <c r="V1981" s="2" t="s">
        <v>553</v>
      </c>
      <c r="W1981" s="2" t="s">
        <v>3192</v>
      </c>
      <c r="X1981" s="2" t="s">
        <v>4695</v>
      </c>
      <c r="Y1981" s="2" t="s">
        <v>556</v>
      </c>
      <c r="Z1981" s="2" t="s">
        <v>3194</v>
      </c>
      <c r="AA1981" s="2" t="s">
        <v>4696</v>
      </c>
      <c r="AB1981" s="2" t="s">
        <v>8443</v>
      </c>
      <c r="AC1981" s="2">
        <v>38.590000000000003</v>
      </c>
      <c r="AD1981" s="2">
        <v>92.96</v>
      </c>
      <c r="AE1981" s="2">
        <v>0</v>
      </c>
      <c r="AF1981" s="2" t="s">
        <v>17351</v>
      </c>
      <c r="AG1981" s="2" t="s">
        <v>132</v>
      </c>
      <c r="AH1981" s="2" t="s">
        <v>17352</v>
      </c>
      <c r="AI1981" s="2">
        <v>0.87</v>
      </c>
      <c r="AJ1981" s="2">
        <v>18.6186652797862</v>
      </c>
      <c r="AK1981" s="2">
        <v>19.1735502215694</v>
      </c>
      <c r="AL1981" s="2">
        <v>19.230004598894901</v>
      </c>
      <c r="AM1981" s="2">
        <v>18.725288663283202</v>
      </c>
      <c r="AN1981" s="2">
        <v>19.010314579261799</v>
      </c>
      <c r="AO1981" s="2">
        <v>19.149961685187399</v>
      </c>
      <c r="AP1981" s="2">
        <v>18.839753454919801</v>
      </c>
      <c r="AQ1981" s="2">
        <v>19.222510646211202</v>
      </c>
      <c r="AR1981" s="2">
        <v>16.659307622708099</v>
      </c>
      <c r="AS1981" s="2">
        <v>16.3902017107572</v>
      </c>
      <c r="AT1981" s="2">
        <v>17.842151244537899</v>
      </c>
      <c r="AU1981" s="2">
        <v>17.334109230183099</v>
      </c>
      <c r="AV1981" s="2">
        <v>17.086120775200399</v>
      </c>
      <c r="AW1981" s="2">
        <v>17.651982234361501</v>
      </c>
      <c r="AX1981" s="2">
        <v>17.077418681146899</v>
      </c>
      <c r="AY1981" s="2">
        <v>18.575744231047</v>
      </c>
      <c r="AZ1981" s="2">
        <v>17.933729088968299</v>
      </c>
      <c r="BA1981" s="2">
        <v>17.266933276513502</v>
      </c>
      <c r="BB1981" s="2">
        <v>18.5637802300696</v>
      </c>
      <c r="BC1981" s="2">
        <v>20.1036776317803</v>
      </c>
      <c r="BD1981" s="2">
        <v>18.1983505533439</v>
      </c>
      <c r="BE1981" s="2">
        <v>18.499762441500302</v>
      </c>
      <c r="BF1981" s="2">
        <v>18.727705982876302</v>
      </c>
      <c r="BG1981" s="2">
        <v>18.960396676183102</v>
      </c>
      <c r="BH1981" s="2">
        <v>16.658191674573601</v>
      </c>
      <c r="BI1981" s="2">
        <v>19.7518399919954</v>
      </c>
      <c r="BJ1981" s="2">
        <v>19.0570685966401</v>
      </c>
      <c r="BK1981" s="2">
        <v>18.861621878922598</v>
      </c>
      <c r="BL1981" s="2">
        <v>18.765866501192399</v>
      </c>
      <c r="BM1981" s="2">
        <v>17.921154691987802</v>
      </c>
      <c r="BN1981" s="2">
        <v>19.432460607040898</v>
      </c>
      <c r="BO1981" s="2">
        <v>19.093125544873001</v>
      </c>
      <c r="BP1981" s="2">
        <v>19.347970249006401</v>
      </c>
      <c r="BQ1981" s="2">
        <v>17.997669445995101</v>
      </c>
      <c r="BR1981" s="2">
        <v>19.163481558484499</v>
      </c>
      <c r="BS1981" s="2">
        <v>17.749768691280401</v>
      </c>
      <c r="BT1981" s="2">
        <v>18.659907455823699</v>
      </c>
      <c r="BU1981" s="2">
        <v>18.8294467536297</v>
      </c>
      <c r="BV1981" s="2">
        <v>19.468870978791699</v>
      </c>
      <c r="BW1981" s="2">
        <v>19.2299427984772</v>
      </c>
      <c r="BX1981" s="2">
        <v>18.531540008131898</v>
      </c>
      <c r="BY1981" s="2">
        <v>19.259760570080498</v>
      </c>
      <c r="BZ1981" s="2">
        <v>18.2673844596858</v>
      </c>
      <c r="CA1981" s="2">
        <v>17.231892130664299</v>
      </c>
      <c r="CB1981" s="2">
        <v>18.6624467964003</v>
      </c>
      <c r="CC1981" s="2">
        <v>19.623055030720899</v>
      </c>
      <c r="CD1981" s="2">
        <v>19.701707645577201</v>
      </c>
      <c r="CE1981" s="2">
        <v>18.699261703336301</v>
      </c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</row>
    <row r="1982" spans="1:97">
      <c r="A1982" s="2" t="s">
        <v>17353</v>
      </c>
      <c r="B1982" s="2">
        <v>287.04336000000001</v>
      </c>
      <c r="C1982" s="2">
        <v>3.6720000000000002</v>
      </c>
      <c r="D1982" s="2" t="s">
        <v>146</v>
      </c>
      <c r="E1982" s="2" t="s">
        <v>17354</v>
      </c>
      <c r="F1982" s="2" t="s">
        <v>17355</v>
      </c>
      <c r="G1982" s="2">
        <v>205588</v>
      </c>
      <c r="H1982" s="3" t="str">
        <f>HYPERLINK("https://cloud.oebiotech.com/#/lm/network/205588", "https://cloud.oebiotech.com/#/lm/network/205588")</f>
        <v>https://cloud.oebiotech.com/#/lm/network/205588</v>
      </c>
      <c r="I1982" s="2" t="s">
        <v>17356</v>
      </c>
      <c r="J1982" s="2"/>
      <c r="K1982" s="2"/>
      <c r="L1982" s="2">
        <v>355024</v>
      </c>
      <c r="M1982" s="2"/>
      <c r="N1982" s="2"/>
      <c r="O1982" s="2"/>
      <c r="P1982" s="2"/>
      <c r="Q1982" s="2"/>
      <c r="R1982" s="2"/>
      <c r="S1982" s="2"/>
      <c r="T1982" s="2" t="s">
        <v>17357</v>
      </c>
      <c r="U1982" s="2" t="s">
        <v>17358</v>
      </c>
      <c r="V1982" s="2" t="s">
        <v>818</v>
      </c>
      <c r="W1982" s="2" t="s">
        <v>8374</v>
      </c>
      <c r="X1982" s="2" t="s">
        <v>8375</v>
      </c>
      <c r="Y1982" s="2" t="s">
        <v>820</v>
      </c>
      <c r="Z1982" s="2" t="s">
        <v>8376</v>
      </c>
      <c r="AA1982" s="2" t="s">
        <v>8377</v>
      </c>
      <c r="AB1982" s="2" t="s">
        <v>8443</v>
      </c>
      <c r="AC1982" s="2">
        <v>38.58</v>
      </c>
      <c r="AD1982" s="2">
        <v>92.92</v>
      </c>
      <c r="AE1982" s="2">
        <v>0</v>
      </c>
      <c r="AF1982" s="2" t="s">
        <v>5614</v>
      </c>
      <c r="AG1982" s="2" t="s">
        <v>993</v>
      </c>
      <c r="AH1982" s="2" t="s">
        <v>17359</v>
      </c>
      <c r="AI1982" s="2">
        <v>-0.35</v>
      </c>
      <c r="AJ1982" s="2">
        <v>18.774877701254301</v>
      </c>
      <c r="AK1982" s="2">
        <v>18.909248398258601</v>
      </c>
      <c r="AL1982" s="2">
        <v>18.864014438295602</v>
      </c>
      <c r="AM1982" s="2">
        <v>18.8386020269871</v>
      </c>
      <c r="AN1982" s="2">
        <v>19.0408473057058</v>
      </c>
      <c r="AO1982" s="2">
        <v>18.8386372632982</v>
      </c>
      <c r="AP1982" s="2">
        <v>18.823882183099499</v>
      </c>
      <c r="AQ1982" s="2">
        <v>18.8120031515618</v>
      </c>
      <c r="AR1982" s="2">
        <v>17.724780350319399</v>
      </c>
      <c r="AS1982" s="2">
        <v>17.287790463305399</v>
      </c>
      <c r="AT1982" s="2">
        <v>18.2975989386408</v>
      </c>
      <c r="AU1982" s="2">
        <v>18.283339623202298</v>
      </c>
      <c r="AV1982" s="2">
        <v>18.4076837705252</v>
      </c>
      <c r="AW1982" s="2">
        <v>18.448623171793599</v>
      </c>
      <c r="AX1982" s="2">
        <v>18.496539362595101</v>
      </c>
      <c r="AY1982" s="2">
        <v>18.629328869109099</v>
      </c>
      <c r="AZ1982" s="2">
        <v>18.493219690460801</v>
      </c>
      <c r="BA1982" s="2">
        <v>18.120413616107498</v>
      </c>
      <c r="BB1982" s="2">
        <v>19.100970361094198</v>
      </c>
      <c r="BC1982" s="2">
        <v>19.159534471235101</v>
      </c>
      <c r="BD1982" s="2">
        <v>18.328412364982299</v>
      </c>
      <c r="BE1982" s="2">
        <v>19.305642302496899</v>
      </c>
      <c r="BF1982" s="2">
        <v>18.7206897870056</v>
      </c>
      <c r="BG1982" s="2">
        <v>19.0219390157189</v>
      </c>
      <c r="BH1982" s="2">
        <v>18.753933288846</v>
      </c>
      <c r="BI1982" s="2">
        <v>18.479141113637201</v>
      </c>
      <c r="BJ1982" s="2">
        <v>18.908806664137501</v>
      </c>
      <c r="BK1982" s="2">
        <v>18.6394959158037</v>
      </c>
      <c r="BL1982" s="2">
        <v>18.472707932120802</v>
      </c>
      <c r="BM1982" s="2">
        <v>19.4099256320252</v>
      </c>
      <c r="BN1982" s="2">
        <v>18.976732340396701</v>
      </c>
      <c r="BO1982" s="2">
        <v>18.5963446884261</v>
      </c>
      <c r="BP1982" s="2">
        <v>18.5847508960948</v>
      </c>
      <c r="BQ1982" s="2">
        <v>18.835595834282699</v>
      </c>
      <c r="BR1982" s="2">
        <v>18.739649174057099</v>
      </c>
      <c r="BS1982" s="2">
        <v>18.471624096870801</v>
      </c>
      <c r="BT1982" s="2">
        <v>18.357597534838298</v>
      </c>
      <c r="BU1982" s="2">
        <v>18.219722653029699</v>
      </c>
      <c r="BV1982" s="2">
        <v>18.838321244388801</v>
      </c>
      <c r="BW1982" s="2">
        <v>18.336290885607401</v>
      </c>
      <c r="BX1982" s="2">
        <v>18.746909016490701</v>
      </c>
      <c r="BY1982" s="2">
        <v>19.268674692938099</v>
      </c>
      <c r="BZ1982" s="2">
        <v>18.9862669565623</v>
      </c>
      <c r="CA1982" s="2">
        <v>19.014905995501099</v>
      </c>
      <c r="CB1982" s="2">
        <v>18.624198730329901</v>
      </c>
      <c r="CC1982" s="2">
        <v>18.003642750248801</v>
      </c>
      <c r="CD1982" s="2">
        <v>18.873504972525499</v>
      </c>
      <c r="CE1982" s="2">
        <v>18.846995513055699</v>
      </c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</row>
    <row r="1983" spans="1:97">
      <c r="A1983" s="2" t="s">
        <v>17360</v>
      </c>
      <c r="B1983" s="2">
        <v>365.26895000000002</v>
      </c>
      <c r="C1983" s="2">
        <v>11.696999999999999</v>
      </c>
      <c r="D1983" s="2" t="s">
        <v>146</v>
      </c>
      <c r="E1983" s="2" t="s">
        <v>17361</v>
      </c>
      <c r="F1983" s="2" t="s">
        <v>17362</v>
      </c>
      <c r="G1983" s="2">
        <v>45066</v>
      </c>
      <c r="H1983" s="3" t="str">
        <f>HYPERLINK("https://cloud.oebiotech.com/#/lm/network/45066", "https://cloud.oebiotech.com/#/lm/network/45066")</f>
        <v>https://cloud.oebiotech.com/#/lm/network/45066</v>
      </c>
      <c r="I1983" s="2" t="s">
        <v>17363</v>
      </c>
      <c r="J1983" s="2">
        <v>57885</v>
      </c>
      <c r="K1983" s="2" t="s">
        <v>17364</v>
      </c>
      <c r="L1983" s="2">
        <v>9905169</v>
      </c>
      <c r="M1983" s="2"/>
      <c r="N1983" s="2"/>
      <c r="O1983" s="2"/>
      <c r="P1983" s="2"/>
      <c r="Q1983" s="2"/>
      <c r="R1983" s="2"/>
      <c r="S1983" s="2"/>
      <c r="T1983" s="2" t="s">
        <v>17365</v>
      </c>
      <c r="U1983" s="2" t="s">
        <v>17366</v>
      </c>
      <c r="V1983" s="2" t="s">
        <v>95</v>
      </c>
      <c r="W1983" s="2" t="s">
        <v>152</v>
      </c>
      <c r="X1983" s="2" t="s">
        <v>4609</v>
      </c>
      <c r="Y1983" s="2" t="s">
        <v>98</v>
      </c>
      <c r="Z1983" s="2" t="s">
        <v>154</v>
      </c>
      <c r="AA1983" s="2" t="s">
        <v>4610</v>
      </c>
      <c r="AB1983" s="2" t="s">
        <v>8443</v>
      </c>
      <c r="AC1983" s="2">
        <v>38.57</v>
      </c>
      <c r="AD1983" s="2">
        <v>97.43</v>
      </c>
      <c r="AE1983" s="2">
        <v>0</v>
      </c>
      <c r="AF1983" s="2" t="s">
        <v>17367</v>
      </c>
      <c r="AG1983" s="2" t="s">
        <v>157</v>
      </c>
      <c r="AH1983" s="2" t="s">
        <v>1016</v>
      </c>
      <c r="AI1983" s="2">
        <v>1.92</v>
      </c>
      <c r="AJ1983" s="2">
        <v>20.163729133782802</v>
      </c>
      <c r="AK1983" s="2">
        <v>19.7753871731319</v>
      </c>
      <c r="AL1983" s="2">
        <v>19.943846028594798</v>
      </c>
      <c r="AM1983" s="2">
        <v>19.901997478834499</v>
      </c>
      <c r="AN1983" s="2">
        <v>19.968253096291399</v>
      </c>
      <c r="AO1983" s="2">
        <v>19.877327260692699</v>
      </c>
      <c r="AP1983" s="2">
        <v>19.9938943445806</v>
      </c>
      <c r="AQ1983" s="2">
        <v>19.842917544738601</v>
      </c>
      <c r="AR1983" s="2">
        <v>19.545045625102599</v>
      </c>
      <c r="AS1983" s="2">
        <v>18.921109062463099</v>
      </c>
      <c r="AT1983" s="2">
        <v>18.1591121142467</v>
      </c>
      <c r="AU1983" s="2">
        <v>19.393308310483199</v>
      </c>
      <c r="AV1983" s="2">
        <v>19.6592311318939</v>
      </c>
      <c r="AW1983" s="2">
        <v>20.204098601913898</v>
      </c>
      <c r="AX1983" s="2">
        <v>19.5321210861885</v>
      </c>
      <c r="AY1983" s="2">
        <v>21.412460868828902</v>
      </c>
      <c r="AZ1983" s="2">
        <v>20.2525809432566</v>
      </c>
      <c r="BA1983" s="2">
        <v>19.6093618450865</v>
      </c>
      <c r="BB1983" s="2">
        <v>19.636792402246598</v>
      </c>
      <c r="BC1983" s="2">
        <v>20.559822700801998</v>
      </c>
      <c r="BD1983" s="2">
        <v>19.008451519638999</v>
      </c>
      <c r="BE1983" s="2">
        <v>21.207055978139199</v>
      </c>
      <c r="BF1983" s="2">
        <v>19.168545986477501</v>
      </c>
      <c r="BG1983" s="2">
        <v>19.112774901313198</v>
      </c>
      <c r="BH1983" s="2">
        <v>20.0131504073948</v>
      </c>
      <c r="BI1983" s="2">
        <v>19.472438507353299</v>
      </c>
      <c r="BJ1983" s="2">
        <v>20.1882438638217</v>
      </c>
      <c r="BK1983" s="2">
        <v>17.7916718408317</v>
      </c>
      <c r="BL1983" s="2">
        <v>20.0564030808223</v>
      </c>
      <c r="BM1983" s="2">
        <v>19.674441672137</v>
      </c>
      <c r="BN1983" s="2">
        <v>18.419067966668699</v>
      </c>
      <c r="BO1983" s="2">
        <v>19.498948847162101</v>
      </c>
      <c r="BP1983" s="2">
        <v>18.7214918861191</v>
      </c>
      <c r="BQ1983" s="2">
        <v>19.3651559786307</v>
      </c>
      <c r="BR1983" s="2">
        <v>18.865019018981801</v>
      </c>
      <c r="BS1983" s="2">
        <v>21.510735961035198</v>
      </c>
      <c r="BT1983" s="2">
        <v>20.2308885313739</v>
      </c>
      <c r="BU1983" s="2">
        <v>19.9212720288035</v>
      </c>
      <c r="BV1983" s="2">
        <v>19.379492025091299</v>
      </c>
      <c r="BW1983" s="2">
        <v>18.855230265321701</v>
      </c>
      <c r="BX1983" s="2">
        <v>19.146244851374</v>
      </c>
      <c r="BY1983" s="2">
        <v>21.6082654359369</v>
      </c>
      <c r="BZ1983" s="2">
        <v>19.090450537540899</v>
      </c>
      <c r="CA1983" s="2">
        <v>19.220853537435101</v>
      </c>
      <c r="CB1983" s="2">
        <v>19.569496391425201</v>
      </c>
      <c r="CC1983" s="2">
        <v>19.496828700047701</v>
      </c>
      <c r="CD1983" s="2">
        <v>20.455111988512598</v>
      </c>
      <c r="CE1983" s="2">
        <v>19.047668505950998</v>
      </c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</row>
    <row r="1984" spans="1:97">
      <c r="A1984" s="2" t="s">
        <v>17368</v>
      </c>
      <c r="B1984" s="2">
        <v>201.05529000000001</v>
      </c>
      <c r="C1984" s="2">
        <v>9.2569999999999997</v>
      </c>
      <c r="D1984" s="2" t="s">
        <v>146</v>
      </c>
      <c r="E1984" s="2" t="s">
        <v>17369</v>
      </c>
      <c r="F1984" s="2" t="s">
        <v>17370</v>
      </c>
      <c r="G1984" s="2">
        <v>207556</v>
      </c>
      <c r="H1984" s="3" t="str">
        <f>HYPERLINK("https://cloud.oebiotech.com/#/lm/network/207556", "https://cloud.oebiotech.com/#/lm/network/207556")</f>
        <v>https://cloud.oebiotech.com/#/lm/network/207556</v>
      </c>
      <c r="I1984" s="2" t="s">
        <v>17371</v>
      </c>
      <c r="J1984" s="2"/>
      <c r="K1984" s="2"/>
      <c r="L1984" s="2">
        <v>53395354</v>
      </c>
      <c r="M1984" s="2"/>
      <c r="N1984" s="2"/>
      <c r="O1984" s="2"/>
      <c r="P1984" s="2"/>
      <c r="Q1984" s="2"/>
      <c r="R1984" s="2"/>
      <c r="S1984" s="2"/>
      <c r="T1984" s="2" t="s">
        <v>17372</v>
      </c>
      <c r="U1984" s="2" t="s">
        <v>17373</v>
      </c>
      <c r="V1984" s="2" t="s">
        <v>385</v>
      </c>
      <c r="W1984" s="2" t="s">
        <v>3319</v>
      </c>
      <c r="X1984" s="2" t="s">
        <v>4101</v>
      </c>
      <c r="Y1984" s="2" t="s">
        <v>388</v>
      </c>
      <c r="Z1984" s="2" t="s">
        <v>3321</v>
      </c>
      <c r="AA1984" s="2" t="s">
        <v>4102</v>
      </c>
      <c r="AB1984" s="2" t="s">
        <v>8443</v>
      </c>
      <c r="AC1984" s="2">
        <v>38.57</v>
      </c>
      <c r="AD1984" s="2">
        <v>92.86</v>
      </c>
      <c r="AE1984" s="2">
        <v>0</v>
      </c>
      <c r="AF1984" s="2" t="s">
        <v>17374</v>
      </c>
      <c r="AG1984" s="2" t="s">
        <v>993</v>
      </c>
      <c r="AH1984" s="2" t="s">
        <v>17375</v>
      </c>
      <c r="AI1984" s="2">
        <v>-0.5</v>
      </c>
      <c r="AJ1984" s="2">
        <v>16.466507796639799</v>
      </c>
      <c r="AK1984" s="2">
        <v>16.476281840843601</v>
      </c>
      <c r="AL1984" s="2">
        <v>16.712016690090699</v>
      </c>
      <c r="AM1984" s="2">
        <v>16.4930789287998</v>
      </c>
      <c r="AN1984" s="2">
        <v>16.808571079452001</v>
      </c>
      <c r="AO1984" s="2">
        <v>16.914288186145299</v>
      </c>
      <c r="AP1984" s="2">
        <v>16.555353492010301</v>
      </c>
      <c r="AQ1984" s="2">
        <v>17.141795024799499</v>
      </c>
      <c r="AR1984" s="2">
        <v>9.6233145402724691</v>
      </c>
      <c r="AS1984" s="2">
        <v>15.3850214595673</v>
      </c>
      <c r="AT1984" s="2">
        <v>9.6233145402724691</v>
      </c>
      <c r="AU1984" s="2">
        <v>17.758933077478101</v>
      </c>
      <c r="AV1984" s="2">
        <v>14.568614071793499</v>
      </c>
      <c r="AW1984" s="2">
        <v>9.6233145402724691</v>
      </c>
      <c r="AX1984" s="2">
        <v>12.359346010411199</v>
      </c>
      <c r="AY1984" s="2">
        <v>17.507292077276201</v>
      </c>
      <c r="AZ1984" s="2">
        <v>9.6233145402724691</v>
      </c>
      <c r="BA1984" s="2">
        <v>17.005623781709399</v>
      </c>
      <c r="BB1984" s="2">
        <v>9.6233145402724691</v>
      </c>
      <c r="BC1984" s="2">
        <v>9.6233145402724691</v>
      </c>
      <c r="BD1984" s="2">
        <v>15.230095136184501</v>
      </c>
      <c r="BE1984" s="2">
        <v>18.040167425430798</v>
      </c>
      <c r="BF1984" s="2">
        <v>15.6912825179788</v>
      </c>
      <c r="BG1984" s="2">
        <v>9.6233145402724691</v>
      </c>
      <c r="BH1984" s="2">
        <v>9.6233145402724691</v>
      </c>
      <c r="BI1984" s="2">
        <v>9.6233145402724691</v>
      </c>
      <c r="BJ1984" s="2">
        <v>15.6297274356695</v>
      </c>
      <c r="BK1984" s="2">
        <v>13.993116184442201</v>
      </c>
      <c r="BL1984" s="2">
        <v>17.1529324359532</v>
      </c>
      <c r="BM1984" s="2">
        <v>19.676945133633701</v>
      </c>
      <c r="BN1984" s="2">
        <v>17.0873686709987</v>
      </c>
      <c r="BO1984" s="2">
        <v>18.598039920154999</v>
      </c>
      <c r="BP1984" s="2">
        <v>18.363571676558099</v>
      </c>
      <c r="BQ1984" s="2">
        <v>17.0466024516919</v>
      </c>
      <c r="BR1984" s="2">
        <v>17.693351439839301</v>
      </c>
      <c r="BS1984" s="2">
        <v>18.655278901757601</v>
      </c>
      <c r="BT1984" s="2">
        <v>12.3164795351245</v>
      </c>
      <c r="BU1984" s="2">
        <v>9.6233145402724691</v>
      </c>
      <c r="BV1984" s="2">
        <v>9.6233145402724691</v>
      </c>
      <c r="BW1984" s="2">
        <v>9.6233145402724691</v>
      </c>
      <c r="BX1984" s="2">
        <v>9.6233145402724691</v>
      </c>
      <c r="BY1984" s="2">
        <v>16.086163598811101</v>
      </c>
      <c r="BZ1984" s="2">
        <v>9.6233145402724691</v>
      </c>
      <c r="CA1984" s="2">
        <v>11.9928427668422</v>
      </c>
      <c r="CB1984" s="2">
        <v>16.416496385038201</v>
      </c>
      <c r="CC1984" s="2">
        <v>9.6233145402724691</v>
      </c>
      <c r="CD1984" s="2">
        <v>18.538856551560698</v>
      </c>
      <c r="CE1984" s="2">
        <v>15.6036779185577</v>
      </c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</row>
    <row r="1985" spans="1:97">
      <c r="A1985" s="2" t="s">
        <v>17376</v>
      </c>
      <c r="B1985" s="2">
        <v>197.16462000000001</v>
      </c>
      <c r="C1985" s="2">
        <v>8.2189999999999994</v>
      </c>
      <c r="D1985" s="2" t="s">
        <v>84</v>
      </c>
      <c r="E1985" s="2" t="s">
        <v>17377</v>
      </c>
      <c r="F1985" s="2" t="s">
        <v>17378</v>
      </c>
      <c r="G1985" s="2">
        <v>205932</v>
      </c>
      <c r="H1985" s="3" t="str">
        <f>HYPERLINK("https://cloud.oebiotech.com/#/lm/network/205932", "https://cloud.oebiotech.com/#/lm/network/205932")</f>
        <v>https://cloud.oebiotech.com/#/lm/network/205932</v>
      </c>
      <c r="I1985" s="2" t="s">
        <v>17379</v>
      </c>
      <c r="J1985" s="2"/>
      <c r="K1985" s="2"/>
      <c r="L1985" s="2">
        <v>76974179</v>
      </c>
      <c r="M1985" s="2"/>
      <c r="N1985" s="2"/>
      <c r="O1985" s="2"/>
      <c r="P1985" s="2"/>
      <c r="Q1985" s="2"/>
      <c r="R1985" s="2"/>
      <c r="S1985" s="2"/>
      <c r="T1985" s="2" t="s">
        <v>17380</v>
      </c>
      <c r="U1985" s="2" t="s">
        <v>17381</v>
      </c>
      <c r="V1985" s="2" t="s">
        <v>385</v>
      </c>
      <c r="W1985" s="2" t="s">
        <v>386</v>
      </c>
      <c r="X1985" s="2" t="s">
        <v>387</v>
      </c>
      <c r="Y1985" s="2" t="s">
        <v>388</v>
      </c>
      <c r="Z1985" s="2" t="s">
        <v>389</v>
      </c>
      <c r="AA1985" s="2" t="s">
        <v>390</v>
      </c>
      <c r="AB1985" s="2" t="s">
        <v>8443</v>
      </c>
      <c r="AC1985" s="2">
        <v>38.57</v>
      </c>
      <c r="AD1985" s="2">
        <v>92.92</v>
      </c>
      <c r="AE1985" s="2">
        <v>0</v>
      </c>
      <c r="AF1985" s="2" t="s">
        <v>5614</v>
      </c>
      <c r="AG1985" s="2" t="s">
        <v>132</v>
      </c>
      <c r="AH1985" s="2" t="s">
        <v>392</v>
      </c>
      <c r="AI1985" s="2">
        <v>1.01</v>
      </c>
      <c r="AJ1985" s="2">
        <v>17.694368022292601</v>
      </c>
      <c r="AK1985" s="2">
        <v>17.897502675972799</v>
      </c>
      <c r="AL1985" s="2">
        <v>18.055943558065</v>
      </c>
      <c r="AM1985" s="2">
        <v>17.916531459164698</v>
      </c>
      <c r="AN1985" s="2">
        <v>17.9106334793922</v>
      </c>
      <c r="AO1985" s="2">
        <v>18.281267915572201</v>
      </c>
      <c r="AP1985" s="2">
        <v>17.5893744269145</v>
      </c>
      <c r="AQ1985" s="2">
        <v>17.780723206806901</v>
      </c>
      <c r="AR1985" s="2">
        <v>17.186135523780401</v>
      </c>
      <c r="AS1985" s="2">
        <v>9.6233145402724691</v>
      </c>
      <c r="AT1985" s="2">
        <v>17.727329134662799</v>
      </c>
      <c r="AU1985" s="2">
        <v>17.621581662623498</v>
      </c>
      <c r="AV1985" s="2">
        <v>17.869562577923102</v>
      </c>
      <c r="AW1985" s="2">
        <v>17.626836007479401</v>
      </c>
      <c r="AX1985" s="2">
        <v>18.243115627614401</v>
      </c>
      <c r="AY1985" s="2">
        <v>17.692352395617</v>
      </c>
      <c r="AZ1985" s="2">
        <v>18.000489173304</v>
      </c>
      <c r="BA1985" s="2">
        <v>17.563431879857301</v>
      </c>
      <c r="BB1985" s="2">
        <v>16.971721252967502</v>
      </c>
      <c r="BC1985" s="2">
        <v>18.76864388313</v>
      </c>
      <c r="BD1985" s="2">
        <v>16.844562953873702</v>
      </c>
      <c r="BE1985" s="2">
        <v>18.382510213979799</v>
      </c>
      <c r="BF1985" s="2">
        <v>18.784386209195699</v>
      </c>
      <c r="BG1985" s="2">
        <v>16.514684470204799</v>
      </c>
      <c r="BH1985" s="2">
        <v>18.0155323863763</v>
      </c>
      <c r="BI1985" s="2">
        <v>17.726352088379599</v>
      </c>
      <c r="BJ1985" s="2">
        <v>17.295830623522001</v>
      </c>
      <c r="BK1985" s="2">
        <v>18.125179503965501</v>
      </c>
      <c r="BL1985" s="2">
        <v>17.351163031841299</v>
      </c>
      <c r="BM1985" s="2">
        <v>18.930614892448201</v>
      </c>
      <c r="BN1985" s="2">
        <v>18.1374366303288</v>
      </c>
      <c r="BO1985" s="2">
        <v>16.778793652030199</v>
      </c>
      <c r="BP1985" s="2">
        <v>18.0643276965938</v>
      </c>
      <c r="BQ1985" s="2">
        <v>17.956801694513999</v>
      </c>
      <c r="BR1985" s="2">
        <v>17.624390740385302</v>
      </c>
      <c r="BS1985" s="2">
        <v>18.535622466650299</v>
      </c>
      <c r="BT1985" s="2">
        <v>9.6233145402724691</v>
      </c>
      <c r="BU1985" s="2">
        <v>19.185534534480901</v>
      </c>
      <c r="BV1985" s="2">
        <v>16.218494558215401</v>
      </c>
      <c r="BW1985" s="2">
        <v>15.9807485324514</v>
      </c>
      <c r="BX1985" s="2">
        <v>17.799601438625</v>
      </c>
      <c r="BY1985" s="2">
        <v>19.624229811414999</v>
      </c>
      <c r="BZ1985" s="2">
        <v>16.726992154720001</v>
      </c>
      <c r="CA1985" s="2">
        <v>15.3809135274116</v>
      </c>
      <c r="CB1985" s="2">
        <v>9.6233145402724691</v>
      </c>
      <c r="CC1985" s="2">
        <v>18.542046890992701</v>
      </c>
      <c r="CD1985" s="2">
        <v>18.793501929721302</v>
      </c>
      <c r="CE1985" s="2">
        <v>18.853801864188</v>
      </c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</row>
    <row r="1986" spans="1:97">
      <c r="A1986" s="2" t="s">
        <v>17382</v>
      </c>
      <c r="B1986" s="2">
        <v>215.02003999999999</v>
      </c>
      <c r="C1986" s="2">
        <v>0.71199999999999997</v>
      </c>
      <c r="D1986" s="2" t="s">
        <v>146</v>
      </c>
      <c r="E1986" s="2" t="s">
        <v>17383</v>
      </c>
      <c r="F1986" s="2"/>
      <c r="G1986" s="2">
        <v>595363</v>
      </c>
      <c r="H1986" s="3" t="str">
        <f>HYPERLINK("https://cloud.oebiotech.com/#/lm/network/595363", "https://cloud.oebiotech.com/#/lm/network/595363")</f>
        <v>https://cloud.oebiotech.com/#/lm/network/595363</v>
      </c>
      <c r="I1986" s="2"/>
      <c r="J1986" s="2"/>
      <c r="K1986" s="2"/>
      <c r="L1986" s="2">
        <v>23532942</v>
      </c>
      <c r="M1986" s="2"/>
      <c r="N1986" s="2"/>
      <c r="O1986" s="2"/>
      <c r="P1986" s="2"/>
      <c r="Q1986" s="2"/>
      <c r="R1986" s="2"/>
      <c r="S1986" s="2"/>
      <c r="T1986" s="2" t="s">
        <v>17384</v>
      </c>
      <c r="U1986" s="2" t="s">
        <v>17385</v>
      </c>
      <c r="V1986" s="2" t="s">
        <v>338</v>
      </c>
      <c r="W1986" s="2" t="s">
        <v>339</v>
      </c>
      <c r="X1986" s="2" t="s">
        <v>340</v>
      </c>
      <c r="Y1986" s="2" t="s">
        <v>341</v>
      </c>
      <c r="Z1986" s="2" t="s">
        <v>341</v>
      </c>
      <c r="AA1986" s="2" t="s">
        <v>342</v>
      </c>
      <c r="AB1986" s="2" t="s">
        <v>8443</v>
      </c>
      <c r="AC1986" s="2">
        <v>38.549999999999997</v>
      </c>
      <c r="AD1986" s="2">
        <v>94.74</v>
      </c>
      <c r="AE1986" s="2">
        <v>0</v>
      </c>
      <c r="AF1986" s="2" t="s">
        <v>5614</v>
      </c>
      <c r="AG1986" s="2" t="s">
        <v>157</v>
      </c>
      <c r="AH1986" s="2" t="s">
        <v>17386</v>
      </c>
      <c r="AI1986" s="2">
        <v>-1.4</v>
      </c>
      <c r="AJ1986" s="2">
        <v>23.564039230762098</v>
      </c>
      <c r="AK1986" s="2">
        <v>23.414950673374701</v>
      </c>
      <c r="AL1986" s="2">
        <v>23.675059517389698</v>
      </c>
      <c r="AM1986" s="2">
        <v>22.840791891354399</v>
      </c>
      <c r="AN1986" s="2">
        <v>23.393217144088499</v>
      </c>
      <c r="AO1986" s="2">
        <v>23.071896099739298</v>
      </c>
      <c r="AP1986" s="2">
        <v>23.081831187479899</v>
      </c>
      <c r="AQ1986" s="2">
        <v>23.370480284176001</v>
      </c>
      <c r="AR1986" s="2">
        <v>22.987863425763301</v>
      </c>
      <c r="AS1986" s="2">
        <v>22.584038481471801</v>
      </c>
      <c r="AT1986" s="2">
        <v>23.094173379800601</v>
      </c>
      <c r="AU1986" s="2">
        <v>23.281066844191301</v>
      </c>
      <c r="AV1986" s="2">
        <v>23.318383406654199</v>
      </c>
      <c r="AW1986" s="2">
        <v>22.855188018354401</v>
      </c>
      <c r="AX1986" s="2">
        <v>22.7935897779969</v>
      </c>
      <c r="AY1986" s="2">
        <v>23.275518529875601</v>
      </c>
      <c r="AZ1986" s="2">
        <v>23.4459339634172</v>
      </c>
      <c r="BA1986" s="2">
        <v>23.474111918807701</v>
      </c>
      <c r="BB1986" s="2">
        <v>23.2095605315684</v>
      </c>
      <c r="BC1986" s="2">
        <v>22.892257877170799</v>
      </c>
      <c r="BD1986" s="2">
        <v>23.551478542085</v>
      </c>
      <c r="BE1986" s="2">
        <v>22.9824884135963</v>
      </c>
      <c r="BF1986" s="2">
        <v>23.558277342137099</v>
      </c>
      <c r="BG1986" s="2">
        <v>23.168288563016699</v>
      </c>
      <c r="BH1986" s="2">
        <v>24.132093111069299</v>
      </c>
      <c r="BI1986" s="2">
        <v>22.735881823075498</v>
      </c>
      <c r="BJ1986" s="2">
        <v>23.526264417922899</v>
      </c>
      <c r="BK1986" s="2">
        <v>23.984758166390598</v>
      </c>
      <c r="BL1986" s="2">
        <v>23.2662037225377</v>
      </c>
      <c r="BM1986" s="2">
        <v>22.234301302203502</v>
      </c>
      <c r="BN1986" s="2">
        <v>22.838386120395501</v>
      </c>
      <c r="BO1986" s="2">
        <v>23.176502410271802</v>
      </c>
      <c r="BP1986" s="2">
        <v>23.0628187203205</v>
      </c>
      <c r="BQ1986" s="2">
        <v>23.2079050899046</v>
      </c>
      <c r="BR1986" s="2">
        <v>23.035831946757401</v>
      </c>
      <c r="BS1986" s="2">
        <v>23.759783715804801</v>
      </c>
      <c r="BT1986" s="2">
        <v>23.261559510057101</v>
      </c>
      <c r="BU1986" s="2">
        <v>22.863384429520401</v>
      </c>
      <c r="BV1986" s="2">
        <v>23.371834362149698</v>
      </c>
      <c r="BW1986" s="2">
        <v>23.3239650345119</v>
      </c>
      <c r="BX1986" s="2">
        <v>22.857785937959498</v>
      </c>
      <c r="BY1986" s="2">
        <v>23.244749833663398</v>
      </c>
      <c r="BZ1986" s="2">
        <v>23.280961838497699</v>
      </c>
      <c r="CA1986" s="2">
        <v>24.212626355816901</v>
      </c>
      <c r="CB1986" s="2">
        <v>22.277980934598901</v>
      </c>
      <c r="CC1986" s="2">
        <v>23.3492064262668</v>
      </c>
      <c r="CD1986" s="2">
        <v>23.009739331328401</v>
      </c>
      <c r="CE1986" s="2">
        <v>23.6346661695233</v>
      </c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</row>
    <row r="1987" spans="1:97">
      <c r="A1987" s="2" t="s">
        <v>17387</v>
      </c>
      <c r="B1987" s="2">
        <v>123.05571999999999</v>
      </c>
      <c r="C1987" s="2">
        <v>15.292999999999999</v>
      </c>
      <c r="D1987" s="2" t="s">
        <v>84</v>
      </c>
      <c r="E1987" s="2" t="s">
        <v>17388</v>
      </c>
      <c r="F1987" s="2" t="s">
        <v>17389</v>
      </c>
      <c r="G1987" s="2">
        <v>207038</v>
      </c>
      <c r="H1987" s="3" t="str">
        <f>HYPERLINK("https://cloud.oebiotech.com/#/lm/network/207038", "https://cloud.oebiotech.com/#/lm/network/207038")</f>
        <v>https://cloud.oebiotech.com/#/lm/network/207038</v>
      </c>
      <c r="I1987" s="2" t="s">
        <v>17390</v>
      </c>
      <c r="J1987" s="2">
        <v>44367</v>
      </c>
      <c r="K1987" s="2"/>
      <c r="L1987" s="2">
        <v>3448</v>
      </c>
      <c r="M1987" s="2" t="s">
        <v>17391</v>
      </c>
      <c r="N1987" s="2"/>
      <c r="O1987" s="2"/>
      <c r="P1987" s="2"/>
      <c r="Q1987" s="2"/>
      <c r="R1987" s="2"/>
      <c r="S1987" s="2" t="s">
        <v>17392</v>
      </c>
      <c r="T1987" s="2" t="s">
        <v>17393</v>
      </c>
      <c r="U1987" s="2" t="s">
        <v>17394</v>
      </c>
      <c r="V1987" s="2" t="s">
        <v>166</v>
      </c>
      <c r="W1987" s="2" t="s">
        <v>167</v>
      </c>
      <c r="X1987" s="2" t="s">
        <v>482</v>
      </c>
      <c r="Y1987" s="2" t="s">
        <v>169</v>
      </c>
      <c r="Z1987" s="2" t="s">
        <v>169</v>
      </c>
      <c r="AA1987" s="2" t="s">
        <v>483</v>
      </c>
      <c r="AB1987" s="2" t="s">
        <v>8443</v>
      </c>
      <c r="AC1987" s="2">
        <v>38.549999999999997</v>
      </c>
      <c r="AD1987" s="2">
        <v>95.89</v>
      </c>
      <c r="AE1987" s="2">
        <v>0</v>
      </c>
      <c r="AF1987" s="2" t="s">
        <v>5614</v>
      </c>
      <c r="AG1987" s="2" t="s">
        <v>1088</v>
      </c>
      <c r="AH1987" s="2" t="s">
        <v>7049</v>
      </c>
      <c r="AI1987" s="2">
        <v>1.63</v>
      </c>
      <c r="AJ1987" s="2">
        <v>20.121455558789599</v>
      </c>
      <c r="AK1987" s="2">
        <v>20.3600804809425</v>
      </c>
      <c r="AL1987" s="2">
        <v>20.429598536946799</v>
      </c>
      <c r="AM1987" s="2">
        <v>20.531636712099299</v>
      </c>
      <c r="AN1987" s="2">
        <v>20.386759615150101</v>
      </c>
      <c r="AO1987" s="2">
        <v>20.161064894940601</v>
      </c>
      <c r="AP1987" s="2">
        <v>19.912065416631599</v>
      </c>
      <c r="AQ1987" s="2">
        <v>19.974722228234899</v>
      </c>
      <c r="AR1987" s="2">
        <v>20.5571043405475</v>
      </c>
      <c r="AS1987" s="2">
        <v>19.766861292022501</v>
      </c>
      <c r="AT1987" s="2">
        <v>19.865686382863402</v>
      </c>
      <c r="AU1987" s="2">
        <v>20.613479144422602</v>
      </c>
      <c r="AV1987" s="2">
        <v>20.7768417430675</v>
      </c>
      <c r="AW1987" s="2">
        <v>20.491625328682201</v>
      </c>
      <c r="AX1987" s="2">
        <v>20.361771303866199</v>
      </c>
      <c r="AY1987" s="2">
        <v>20.427304403096901</v>
      </c>
      <c r="AZ1987" s="2">
        <v>19.964976149140099</v>
      </c>
      <c r="BA1987" s="2">
        <v>20.477933042177099</v>
      </c>
      <c r="BB1987" s="2">
        <v>20.5827548850874</v>
      </c>
      <c r="BC1987" s="2">
        <v>19.378145407192299</v>
      </c>
      <c r="BD1987" s="2">
        <v>20.378386552048799</v>
      </c>
      <c r="BE1987" s="2">
        <v>20.484509907634401</v>
      </c>
      <c r="BF1987" s="2">
        <v>20.2768346250297</v>
      </c>
      <c r="BG1987" s="2">
        <v>20.334024630605299</v>
      </c>
      <c r="BH1987" s="2">
        <v>20.445618739663601</v>
      </c>
      <c r="BI1987" s="2">
        <v>20.070216483163399</v>
      </c>
      <c r="BJ1987" s="2">
        <v>20.548614831225699</v>
      </c>
      <c r="BK1987" s="2">
        <v>20.523129866152999</v>
      </c>
      <c r="BL1987" s="2">
        <v>20.697981395103199</v>
      </c>
      <c r="BM1987" s="2">
        <v>20.446979140801901</v>
      </c>
      <c r="BN1987" s="2">
        <v>20.320202988730301</v>
      </c>
      <c r="BO1987" s="2">
        <v>20.066057056553401</v>
      </c>
      <c r="BP1987" s="2">
        <v>20.442613484206799</v>
      </c>
      <c r="BQ1987" s="2">
        <v>19.356612601754001</v>
      </c>
      <c r="BR1987" s="2">
        <v>20.527680277358201</v>
      </c>
      <c r="BS1987" s="2">
        <v>20.4585683402059</v>
      </c>
      <c r="BT1987" s="2">
        <v>20.345462607970202</v>
      </c>
      <c r="BU1987" s="2">
        <v>20.350137147362499</v>
      </c>
      <c r="BV1987" s="2">
        <v>20.060851533507702</v>
      </c>
      <c r="BW1987" s="2">
        <v>20.641727948802998</v>
      </c>
      <c r="BX1987" s="2">
        <v>20.338631860423401</v>
      </c>
      <c r="BY1987" s="2">
        <v>20.663232252629701</v>
      </c>
      <c r="BZ1987" s="2">
        <v>20.2798097263051</v>
      </c>
      <c r="CA1987" s="2">
        <v>20.2849002399517</v>
      </c>
      <c r="CB1987" s="2">
        <v>20.297107020478499</v>
      </c>
      <c r="CC1987" s="2">
        <v>20.4729436623075</v>
      </c>
      <c r="CD1987" s="2">
        <v>20.143038700617002</v>
      </c>
      <c r="CE1987" s="2">
        <v>20.5568132068686</v>
      </c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</row>
    <row r="1988" spans="1:97">
      <c r="A1988" s="2" t="s">
        <v>17395</v>
      </c>
      <c r="B1988" s="2">
        <v>208.13301000000001</v>
      </c>
      <c r="C1988" s="2">
        <v>4.7119999999999997</v>
      </c>
      <c r="D1988" s="2" t="s">
        <v>84</v>
      </c>
      <c r="E1988" s="2" t="s">
        <v>17396</v>
      </c>
      <c r="F1988" s="2" t="s">
        <v>17397</v>
      </c>
      <c r="G1988" s="2">
        <v>61213</v>
      </c>
      <c r="H1988" s="3" t="str">
        <f>HYPERLINK("https://cloud.oebiotech.com/#/lm/network/61213", "https://cloud.oebiotech.com/#/lm/network/61213")</f>
        <v>https://cloud.oebiotech.com/#/lm/network/61213</v>
      </c>
      <c r="I1988" s="2" t="s">
        <v>17398</v>
      </c>
      <c r="J1988" s="2">
        <v>92524</v>
      </c>
      <c r="K1988" s="2"/>
      <c r="L1988" s="2">
        <v>11830220</v>
      </c>
      <c r="M1988" s="2"/>
      <c r="N1988" s="2"/>
      <c r="O1988" s="2"/>
      <c r="P1988" s="2"/>
      <c r="Q1988" s="2"/>
      <c r="R1988" s="2"/>
      <c r="S1988" s="2" t="s">
        <v>17399</v>
      </c>
      <c r="T1988" s="2" t="s">
        <v>17400</v>
      </c>
      <c r="U1988" s="2" t="s">
        <v>17401</v>
      </c>
      <c r="V1988" s="2" t="s">
        <v>845</v>
      </c>
      <c r="W1988" s="2" t="s">
        <v>970</v>
      </c>
      <c r="X1988" s="2" t="s">
        <v>9566</v>
      </c>
      <c r="Y1988" s="2" t="s">
        <v>847</v>
      </c>
      <c r="Z1988" s="2" t="s">
        <v>972</v>
      </c>
      <c r="AA1988" s="2" t="s">
        <v>9567</v>
      </c>
      <c r="AB1988" s="2" t="s">
        <v>8443</v>
      </c>
      <c r="AC1988" s="2">
        <v>38.549999999999997</v>
      </c>
      <c r="AD1988" s="2">
        <v>92.75</v>
      </c>
      <c r="AE1988" s="2">
        <v>0</v>
      </c>
      <c r="AF1988" s="2" t="s">
        <v>5614</v>
      </c>
      <c r="AG1988" s="2" t="s">
        <v>132</v>
      </c>
      <c r="AH1988" s="2" t="s">
        <v>11860</v>
      </c>
      <c r="AI1988" s="2">
        <v>0.96</v>
      </c>
      <c r="AJ1988" s="2">
        <v>17.362439152606498</v>
      </c>
      <c r="AK1988" s="2">
        <v>17.5261392846148</v>
      </c>
      <c r="AL1988" s="2">
        <v>17.3083930733026</v>
      </c>
      <c r="AM1988" s="2">
        <v>17.080412524551502</v>
      </c>
      <c r="AN1988" s="2">
        <v>17.890399547092901</v>
      </c>
      <c r="AO1988" s="2">
        <v>17.4393928773694</v>
      </c>
      <c r="AP1988" s="2">
        <v>17.378895035403101</v>
      </c>
      <c r="AQ1988" s="2">
        <v>17.2646868773713</v>
      </c>
      <c r="AR1988" s="2">
        <v>16.9400818479367</v>
      </c>
      <c r="AS1988" s="2">
        <v>16.2967613783565</v>
      </c>
      <c r="AT1988" s="2">
        <v>17.3073018625747</v>
      </c>
      <c r="AU1988" s="2">
        <v>17.305801434566899</v>
      </c>
      <c r="AV1988" s="2">
        <v>18.382842128220101</v>
      </c>
      <c r="AW1988" s="2">
        <v>15.592415865210199</v>
      </c>
      <c r="AX1988" s="2">
        <v>16.913319185768501</v>
      </c>
      <c r="AY1988" s="2">
        <v>17.294386514483001</v>
      </c>
      <c r="AZ1988" s="2">
        <v>15.383566603555201</v>
      </c>
      <c r="BA1988" s="2">
        <v>17.407253322614501</v>
      </c>
      <c r="BB1988" s="2">
        <v>15.6322006103094</v>
      </c>
      <c r="BC1988" s="2">
        <v>16.005866615358201</v>
      </c>
      <c r="BD1988" s="2">
        <v>16.432518412036099</v>
      </c>
      <c r="BE1988" s="2">
        <v>16.713430954028698</v>
      </c>
      <c r="BF1988" s="2">
        <v>9.6233145402724691</v>
      </c>
      <c r="BG1988" s="2">
        <v>16.555734387278498</v>
      </c>
      <c r="BH1988" s="2">
        <v>19.726357061411999</v>
      </c>
      <c r="BI1988" s="2">
        <v>17.746429949773098</v>
      </c>
      <c r="BJ1988" s="2">
        <v>18.034267491935601</v>
      </c>
      <c r="BK1988" s="2">
        <v>17.253862531444302</v>
      </c>
      <c r="BL1988" s="2">
        <v>17.431159106439601</v>
      </c>
      <c r="BM1988" s="2">
        <v>16.376371821846</v>
      </c>
      <c r="BN1988" s="2">
        <v>18.5571740804588</v>
      </c>
      <c r="BO1988" s="2">
        <v>17.872128957369899</v>
      </c>
      <c r="BP1988" s="2">
        <v>17.669468911656299</v>
      </c>
      <c r="BQ1988" s="2">
        <v>17.525220573230001</v>
      </c>
      <c r="BR1988" s="2">
        <v>17.0301952048614</v>
      </c>
      <c r="BS1988" s="2">
        <v>17.121809702573501</v>
      </c>
      <c r="BT1988" s="2">
        <v>15.288841928138501</v>
      </c>
      <c r="BU1988" s="2">
        <v>18.2811786992755</v>
      </c>
      <c r="BV1988" s="2">
        <v>17.117165904820201</v>
      </c>
      <c r="BW1988" s="2">
        <v>16.673049396902101</v>
      </c>
      <c r="BX1988" s="2">
        <v>15.7019196394911</v>
      </c>
      <c r="BY1988" s="2">
        <v>18.4096512657316</v>
      </c>
      <c r="BZ1988" s="2">
        <v>17.032092984926098</v>
      </c>
      <c r="CA1988" s="2">
        <v>15.4144299011102</v>
      </c>
      <c r="CB1988" s="2">
        <v>17.641309432117399</v>
      </c>
      <c r="CC1988" s="2">
        <v>17.278149591585802</v>
      </c>
      <c r="CD1988" s="2">
        <v>17.524866572549101</v>
      </c>
      <c r="CE1988" s="2">
        <v>17.714642767658201</v>
      </c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</row>
    <row r="1989" spans="1:97">
      <c r="A1989" s="2" t="s">
        <v>17402</v>
      </c>
      <c r="B1989" s="2">
        <v>160.07551000000001</v>
      </c>
      <c r="C1989" s="2">
        <v>3.6840000000000002</v>
      </c>
      <c r="D1989" s="2" t="s">
        <v>84</v>
      </c>
      <c r="E1989" s="2" t="s">
        <v>17403</v>
      </c>
      <c r="F1989" s="2" t="s">
        <v>17404</v>
      </c>
      <c r="G1989" s="2">
        <v>209435</v>
      </c>
      <c r="H1989" s="3" t="str">
        <f>HYPERLINK("https://cloud.oebiotech.com/#/lm/network/209435", "https://cloud.oebiotech.com/#/lm/network/209435")</f>
        <v>https://cloud.oebiotech.com/#/lm/network/209435</v>
      </c>
      <c r="I1989" s="2" t="s">
        <v>17405</v>
      </c>
      <c r="J1989" s="2"/>
      <c r="K1989" s="2"/>
      <c r="L1989" s="2">
        <v>115242</v>
      </c>
      <c r="M1989" s="2"/>
      <c r="N1989" s="2"/>
      <c r="O1989" s="2"/>
      <c r="P1989" s="2"/>
      <c r="Q1989" s="2"/>
      <c r="R1989" s="2"/>
      <c r="S1989" s="2"/>
      <c r="T1989" s="2" t="s">
        <v>17406</v>
      </c>
      <c r="U1989" s="2" t="s">
        <v>17407</v>
      </c>
      <c r="V1989" s="2" t="s">
        <v>338</v>
      </c>
      <c r="W1989" s="2" t="s">
        <v>339</v>
      </c>
      <c r="X1989" s="2" t="s">
        <v>1663</v>
      </c>
      <c r="Y1989" s="2" t="s">
        <v>341</v>
      </c>
      <c r="Z1989" s="2" t="s">
        <v>341</v>
      </c>
      <c r="AA1989" s="2" t="s">
        <v>1664</v>
      </c>
      <c r="AB1989" s="2" t="s">
        <v>8443</v>
      </c>
      <c r="AC1989" s="2">
        <v>38.54</v>
      </c>
      <c r="AD1989" s="2">
        <v>93.94</v>
      </c>
      <c r="AE1989" s="2">
        <v>0</v>
      </c>
      <c r="AF1989" s="2" t="s">
        <v>17408</v>
      </c>
      <c r="AG1989" s="2" t="s">
        <v>132</v>
      </c>
      <c r="AH1989" s="2" t="s">
        <v>17409</v>
      </c>
      <c r="AI1989" s="2">
        <v>1.25</v>
      </c>
      <c r="AJ1989" s="2">
        <v>21.313836808463002</v>
      </c>
      <c r="AK1989" s="2">
        <v>21.4977282670676</v>
      </c>
      <c r="AL1989" s="2">
        <v>21.759655357674699</v>
      </c>
      <c r="AM1989" s="2">
        <v>21.928041470528001</v>
      </c>
      <c r="AN1989" s="2">
        <v>22.016219701069101</v>
      </c>
      <c r="AO1989" s="2">
        <v>21.759858420894599</v>
      </c>
      <c r="AP1989" s="2">
        <v>21.6420752990003</v>
      </c>
      <c r="AQ1989" s="2">
        <v>21.970443090888399</v>
      </c>
      <c r="AR1989" s="2">
        <v>20.919009816127801</v>
      </c>
      <c r="AS1989" s="2">
        <v>20.868259261243601</v>
      </c>
      <c r="AT1989" s="2">
        <v>20.8703024625196</v>
      </c>
      <c r="AU1989" s="2">
        <v>21.375664550882</v>
      </c>
      <c r="AV1989" s="2">
        <v>21.533125273087201</v>
      </c>
      <c r="AW1989" s="2">
        <v>21.798639959270599</v>
      </c>
      <c r="AX1989" s="2">
        <v>21.245760449150701</v>
      </c>
      <c r="AY1989" s="2">
        <v>21.469585311822499</v>
      </c>
      <c r="AZ1989" s="2">
        <v>21.450918895234299</v>
      </c>
      <c r="BA1989" s="2">
        <v>21.266100439649001</v>
      </c>
      <c r="BB1989" s="2">
        <v>21.778132998322299</v>
      </c>
      <c r="BC1989" s="2">
        <v>21.035513158720001</v>
      </c>
      <c r="BD1989" s="2">
        <v>21.444928036323901</v>
      </c>
      <c r="BE1989" s="2">
        <v>22.324316505006099</v>
      </c>
      <c r="BF1989" s="2">
        <v>21.704148219228401</v>
      </c>
      <c r="BG1989" s="2">
        <v>21.912116008728098</v>
      </c>
      <c r="BH1989" s="2">
        <v>22.024917541512899</v>
      </c>
      <c r="BI1989" s="2">
        <v>21.560536156061499</v>
      </c>
      <c r="BJ1989" s="2">
        <v>21.5806191354629</v>
      </c>
      <c r="BK1989" s="2">
        <v>22.026865643384099</v>
      </c>
      <c r="BL1989" s="2">
        <v>21.1501219499666</v>
      </c>
      <c r="BM1989" s="2">
        <v>22.021384071386102</v>
      </c>
      <c r="BN1989" s="2">
        <v>21.8746735664106</v>
      </c>
      <c r="BO1989" s="2">
        <v>21.708961262395899</v>
      </c>
      <c r="BP1989" s="2">
        <v>20.9081292633741</v>
      </c>
      <c r="BQ1989" s="2">
        <v>21.033831983107799</v>
      </c>
      <c r="BR1989" s="2">
        <v>21.095659844181402</v>
      </c>
      <c r="BS1989" s="2">
        <v>21.3802002398272</v>
      </c>
      <c r="BT1989" s="2">
        <v>21.578515811548499</v>
      </c>
      <c r="BU1989" s="2">
        <v>21.210206730308101</v>
      </c>
      <c r="BV1989" s="2">
        <v>21.3793931221776</v>
      </c>
      <c r="BW1989" s="2">
        <v>20.969686178016001</v>
      </c>
      <c r="BX1989" s="2">
        <v>21.573173960392101</v>
      </c>
      <c r="BY1989" s="2">
        <v>21.788530518662199</v>
      </c>
      <c r="BZ1989" s="2">
        <v>21.9894937661218</v>
      </c>
      <c r="CA1989" s="2">
        <v>22.352688753076201</v>
      </c>
      <c r="CB1989" s="2">
        <v>21.601981488803201</v>
      </c>
      <c r="CC1989" s="2">
        <v>21.517876068601101</v>
      </c>
      <c r="CD1989" s="2">
        <v>21.835165513271999</v>
      </c>
      <c r="CE1989" s="2">
        <v>20.882823013841701</v>
      </c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</row>
    <row r="1990" spans="1:97">
      <c r="A1990" s="2" t="s">
        <v>17410</v>
      </c>
      <c r="B1990" s="2">
        <v>436.02076</v>
      </c>
      <c r="C1990" s="2">
        <v>2.2050000000000001</v>
      </c>
      <c r="D1990" s="2" t="s">
        <v>146</v>
      </c>
      <c r="E1990" s="2" t="s">
        <v>17411</v>
      </c>
      <c r="F1990" s="2" t="s">
        <v>17412</v>
      </c>
      <c r="G1990" s="2">
        <v>212505</v>
      </c>
      <c r="H1990" s="3" t="str">
        <f>HYPERLINK("https://cloud.oebiotech.com/#/lm/network/212505", "https://cloud.oebiotech.com/#/lm/network/212505")</f>
        <v>https://cloud.oebiotech.com/#/lm/network/212505</v>
      </c>
      <c r="I1990" s="2" t="s">
        <v>17413</v>
      </c>
      <c r="J1990" s="2"/>
      <c r="K1990" s="2"/>
      <c r="L1990" s="2">
        <v>59717</v>
      </c>
      <c r="M1990" s="2"/>
      <c r="N1990" s="2"/>
      <c r="O1990" s="2"/>
      <c r="P1990" s="2"/>
      <c r="Q1990" s="2"/>
      <c r="R1990" s="2"/>
      <c r="S1990" s="2"/>
      <c r="T1990" s="2" t="s">
        <v>17414</v>
      </c>
      <c r="U1990" s="2" t="s">
        <v>17415</v>
      </c>
      <c r="V1990" s="2" t="s">
        <v>553</v>
      </c>
      <c r="W1990" s="2" t="s">
        <v>6375</v>
      </c>
      <c r="X1990" s="2" t="s">
        <v>6376</v>
      </c>
      <c r="Y1990" s="2" t="s">
        <v>556</v>
      </c>
      <c r="Z1990" s="2" t="s">
        <v>6377</v>
      </c>
      <c r="AA1990" s="2" t="s">
        <v>6378</v>
      </c>
      <c r="AB1990" s="2" t="s">
        <v>8443</v>
      </c>
      <c r="AC1990" s="2">
        <v>38.54</v>
      </c>
      <c r="AD1990" s="2">
        <v>84.39</v>
      </c>
      <c r="AE1990" s="2">
        <v>0</v>
      </c>
      <c r="AF1990" s="2" t="s">
        <v>17416</v>
      </c>
      <c r="AG1990" s="2" t="s">
        <v>194</v>
      </c>
      <c r="AH1990" s="2" t="s">
        <v>17417</v>
      </c>
      <c r="AI1990" s="2">
        <v>6.88</v>
      </c>
      <c r="AJ1990" s="2">
        <v>20.197808626066099</v>
      </c>
      <c r="AK1990" s="2">
        <v>20.494434303432399</v>
      </c>
      <c r="AL1990" s="2">
        <v>20.6810833234725</v>
      </c>
      <c r="AM1990" s="2">
        <v>19.906523726023401</v>
      </c>
      <c r="AN1990" s="2">
        <v>20.5753377054079</v>
      </c>
      <c r="AO1990" s="2">
        <v>19.580904815164502</v>
      </c>
      <c r="AP1990" s="2">
        <v>20.687497009636701</v>
      </c>
      <c r="AQ1990" s="2">
        <v>20.543468762421298</v>
      </c>
      <c r="AR1990" s="2">
        <v>20.187093702695901</v>
      </c>
      <c r="AS1990" s="2">
        <v>18.634441042752599</v>
      </c>
      <c r="AT1990" s="2">
        <v>20.019411240844001</v>
      </c>
      <c r="AU1990" s="2">
        <v>20.256723247594401</v>
      </c>
      <c r="AV1990" s="2">
        <v>20.169288809727199</v>
      </c>
      <c r="AW1990" s="2">
        <v>18.834845427580401</v>
      </c>
      <c r="AX1990" s="2">
        <v>20.168921545776399</v>
      </c>
      <c r="AY1990" s="2">
        <v>19.933285897580301</v>
      </c>
      <c r="AZ1990" s="2">
        <v>20.1719992133558</v>
      </c>
      <c r="BA1990" s="2">
        <v>19.920810763854501</v>
      </c>
      <c r="BB1990" s="2">
        <v>19.996735449395501</v>
      </c>
      <c r="BC1990" s="2">
        <v>19.297637759189001</v>
      </c>
      <c r="BD1990" s="2">
        <v>19.9999062182521</v>
      </c>
      <c r="BE1990" s="2">
        <v>19.5994081890342</v>
      </c>
      <c r="BF1990" s="2">
        <v>20.657185345541802</v>
      </c>
      <c r="BG1990" s="2">
        <v>20.1257474642162</v>
      </c>
      <c r="BH1990" s="2">
        <v>20.401692617510701</v>
      </c>
      <c r="BI1990" s="2">
        <v>19.7584662019832</v>
      </c>
      <c r="BJ1990" s="2">
        <v>20.676801408759001</v>
      </c>
      <c r="BK1990" s="2">
        <v>20.436684909347999</v>
      </c>
      <c r="BL1990" s="2">
        <v>20.326693759939001</v>
      </c>
      <c r="BM1990" s="2">
        <v>21.353336624300301</v>
      </c>
      <c r="BN1990" s="2">
        <v>20.482989662493601</v>
      </c>
      <c r="BO1990" s="2">
        <v>19.601465262598701</v>
      </c>
      <c r="BP1990" s="2">
        <v>20.1594989325684</v>
      </c>
      <c r="BQ1990" s="2">
        <v>19.431049263278201</v>
      </c>
      <c r="BR1990" s="2">
        <v>20.3544077190938</v>
      </c>
      <c r="BS1990" s="2">
        <v>20.488235692882999</v>
      </c>
      <c r="BT1990" s="2">
        <v>20.131746192122801</v>
      </c>
      <c r="BU1990" s="2">
        <v>19.874825552015999</v>
      </c>
      <c r="BV1990" s="2">
        <v>19.887333470377499</v>
      </c>
      <c r="BW1990" s="2">
        <v>18.741210863177098</v>
      </c>
      <c r="BX1990" s="2">
        <v>20.4327497515613</v>
      </c>
      <c r="BY1990" s="2">
        <v>20.188619932526102</v>
      </c>
      <c r="BZ1990" s="2">
        <v>19.867978998226299</v>
      </c>
      <c r="CA1990" s="2">
        <v>21.346559980973801</v>
      </c>
      <c r="CB1990" s="2">
        <v>19.413477964140199</v>
      </c>
      <c r="CC1990" s="2">
        <v>19.624973647444399</v>
      </c>
      <c r="CD1990" s="2">
        <v>20.902468234597801</v>
      </c>
      <c r="CE1990" s="2">
        <v>20.3477011092948</v>
      </c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</row>
    <row r="1991" spans="1:97">
      <c r="A1991" s="2" t="s">
        <v>17418</v>
      </c>
      <c r="B1991" s="2">
        <v>151.00667999999999</v>
      </c>
      <c r="C1991" s="2">
        <v>0.76900000000000002</v>
      </c>
      <c r="D1991" s="2" t="s">
        <v>146</v>
      </c>
      <c r="E1991" s="2" t="s">
        <v>17419</v>
      </c>
      <c r="F1991" s="2"/>
      <c r="G1991" s="2">
        <v>596610</v>
      </c>
      <c r="H1991" s="3" t="str">
        <f>HYPERLINK("https://cloud.oebiotech.com/#/lm/network/596610", "https://cloud.oebiotech.com/#/lm/network/596610")</f>
        <v>https://cloud.oebiotech.com/#/lm/network/596610</v>
      </c>
      <c r="I1991" s="2"/>
      <c r="J1991" s="2"/>
      <c r="K1991" s="2"/>
      <c r="L1991" s="2">
        <v>18755828</v>
      </c>
      <c r="M1991" s="2"/>
      <c r="N1991" s="2"/>
      <c r="O1991" s="2"/>
      <c r="P1991" s="2"/>
      <c r="Q1991" s="2"/>
      <c r="R1991" s="2"/>
      <c r="S1991" s="2"/>
      <c r="T1991" s="2" t="s">
        <v>17420</v>
      </c>
      <c r="U1991" s="2" t="s">
        <v>17421</v>
      </c>
      <c r="V1991" s="2" t="s">
        <v>115</v>
      </c>
      <c r="W1991" s="2" t="s">
        <v>613</v>
      </c>
      <c r="X1991" s="2" t="s">
        <v>7162</v>
      </c>
      <c r="Y1991" s="2" t="s">
        <v>118</v>
      </c>
      <c r="Z1991" s="2" t="s">
        <v>615</v>
      </c>
      <c r="AA1991" s="2" t="s">
        <v>7163</v>
      </c>
      <c r="AB1991" s="2" t="s">
        <v>8443</v>
      </c>
      <c r="AC1991" s="2">
        <v>38.54</v>
      </c>
      <c r="AD1991" s="2">
        <v>94.29</v>
      </c>
      <c r="AE1991" s="2">
        <v>0</v>
      </c>
      <c r="AF1991" s="2" t="s">
        <v>5614</v>
      </c>
      <c r="AG1991" s="2" t="s">
        <v>993</v>
      </c>
      <c r="AH1991" s="2" t="s">
        <v>17422</v>
      </c>
      <c r="AI1991" s="2">
        <v>-1.32</v>
      </c>
      <c r="AJ1991" s="2">
        <v>22.0971321007518</v>
      </c>
      <c r="AK1991" s="2">
        <v>22.119007017530802</v>
      </c>
      <c r="AL1991" s="2">
        <v>22.143311606507702</v>
      </c>
      <c r="AM1991" s="2">
        <v>22.410510409981601</v>
      </c>
      <c r="AN1991" s="2">
        <v>22.166465994167201</v>
      </c>
      <c r="AO1991" s="2">
        <v>22.636592628304602</v>
      </c>
      <c r="AP1991" s="2">
        <v>22.467722121393798</v>
      </c>
      <c r="AQ1991" s="2">
        <v>22.0104113886531</v>
      </c>
      <c r="AR1991" s="2">
        <v>22.479313681456802</v>
      </c>
      <c r="AS1991" s="2">
        <v>21.9533531351268</v>
      </c>
      <c r="AT1991" s="2">
        <v>20.845798968818499</v>
      </c>
      <c r="AU1991" s="2">
        <v>22.065067780601499</v>
      </c>
      <c r="AV1991" s="2">
        <v>19.807138243026099</v>
      </c>
      <c r="AW1991" s="2">
        <v>21.227302271530899</v>
      </c>
      <c r="AX1991" s="2">
        <v>22.137385735841502</v>
      </c>
      <c r="AY1991" s="2">
        <v>22.805260666754801</v>
      </c>
      <c r="AZ1991" s="2">
        <v>21.352937853147399</v>
      </c>
      <c r="BA1991" s="2">
        <v>20.903763872792101</v>
      </c>
      <c r="BB1991" s="2">
        <v>21.221898327874801</v>
      </c>
      <c r="BC1991" s="2">
        <v>19.8793394116793</v>
      </c>
      <c r="BD1991" s="2">
        <v>22.192986828902601</v>
      </c>
      <c r="BE1991" s="2">
        <v>22.744747386952</v>
      </c>
      <c r="BF1991" s="2">
        <v>20.297738354174601</v>
      </c>
      <c r="BG1991" s="2">
        <v>21.782239844081001</v>
      </c>
      <c r="BH1991" s="2">
        <v>23.724473741687</v>
      </c>
      <c r="BI1991" s="2">
        <v>21.631453293580901</v>
      </c>
      <c r="BJ1991" s="2">
        <v>21.229851236784601</v>
      </c>
      <c r="BK1991" s="2">
        <v>20.4188613046508</v>
      </c>
      <c r="BL1991" s="2">
        <v>22.9471997598759</v>
      </c>
      <c r="BM1991" s="2">
        <v>21.500309707307402</v>
      </c>
      <c r="BN1991" s="2">
        <v>19.828571900924398</v>
      </c>
      <c r="BO1991" s="2">
        <v>23.080202483981601</v>
      </c>
      <c r="BP1991" s="2">
        <v>21.929866534493598</v>
      </c>
      <c r="BQ1991" s="2">
        <v>21.3518834112744</v>
      </c>
      <c r="BR1991" s="2">
        <v>20.8949020273744</v>
      </c>
      <c r="BS1991" s="2">
        <v>22.601193781692</v>
      </c>
      <c r="BT1991" s="2">
        <v>21.242693587536898</v>
      </c>
      <c r="BU1991" s="2">
        <v>20.490986442207699</v>
      </c>
      <c r="BV1991" s="2">
        <v>20.567683090328099</v>
      </c>
      <c r="BW1991" s="2">
        <v>20.479064023039101</v>
      </c>
      <c r="BX1991" s="2">
        <v>23.1040336105556</v>
      </c>
      <c r="BY1991" s="2">
        <v>23.1254150613081</v>
      </c>
      <c r="BZ1991" s="2">
        <v>20.423488943687399</v>
      </c>
      <c r="CA1991" s="2">
        <v>19.353932375605101</v>
      </c>
      <c r="CB1991" s="2">
        <v>22.765134928423102</v>
      </c>
      <c r="CC1991" s="2">
        <v>21.143804272439802</v>
      </c>
      <c r="CD1991" s="2">
        <v>23.061008620436201</v>
      </c>
      <c r="CE1991" s="2">
        <v>21.677026921325599</v>
      </c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</row>
    <row r="1992" spans="1:97">
      <c r="A1992" s="2" t="s">
        <v>17423</v>
      </c>
      <c r="B1992" s="2">
        <v>177.02239</v>
      </c>
      <c r="C1992" s="2">
        <v>2.093</v>
      </c>
      <c r="D1992" s="2" t="s">
        <v>146</v>
      </c>
      <c r="E1992" s="2" t="s">
        <v>17424</v>
      </c>
      <c r="F1992" s="2" t="s">
        <v>17425</v>
      </c>
      <c r="G1992" s="2">
        <v>212438</v>
      </c>
      <c r="H1992" s="3" t="str">
        <f>HYPERLINK("https://cloud.oebiotech.com/#/lm/network/212438", "https://cloud.oebiotech.com/#/lm/network/212438")</f>
        <v>https://cloud.oebiotech.com/#/lm/network/212438</v>
      </c>
      <c r="I1992" s="2" t="s">
        <v>17426</v>
      </c>
      <c r="J1992" s="2"/>
      <c r="K1992" s="2"/>
      <c r="L1992" s="2">
        <v>15742866</v>
      </c>
      <c r="M1992" s="2"/>
      <c r="N1992" s="2"/>
      <c r="O1992" s="2"/>
      <c r="P1992" s="2"/>
      <c r="Q1992" s="2"/>
      <c r="R1992" s="2"/>
      <c r="S1992" s="2"/>
      <c r="T1992" s="2" t="s">
        <v>17427</v>
      </c>
      <c r="U1992" s="2" t="s">
        <v>17428</v>
      </c>
      <c r="V1992" s="2" t="s">
        <v>338</v>
      </c>
      <c r="W1992" s="2" t="s">
        <v>339</v>
      </c>
      <c r="X1992" s="2" t="s">
        <v>663</v>
      </c>
      <c r="Y1992" s="2" t="s">
        <v>341</v>
      </c>
      <c r="Z1992" s="2" t="s">
        <v>341</v>
      </c>
      <c r="AA1992" s="2" t="s">
        <v>664</v>
      </c>
      <c r="AB1992" s="2" t="s">
        <v>8443</v>
      </c>
      <c r="AC1992" s="2">
        <v>38.54</v>
      </c>
      <c r="AD1992" s="2">
        <v>93.37</v>
      </c>
      <c r="AE1992" s="2">
        <v>0</v>
      </c>
      <c r="AF1992" s="2" t="s">
        <v>5614</v>
      </c>
      <c r="AG1992" s="2" t="s">
        <v>993</v>
      </c>
      <c r="AH1992" s="2" t="s">
        <v>17429</v>
      </c>
      <c r="AI1992" s="2">
        <v>-1.1299999999999999</v>
      </c>
      <c r="AJ1992" s="2">
        <v>18.644737950756401</v>
      </c>
      <c r="AK1992" s="2">
        <v>18.881252690771401</v>
      </c>
      <c r="AL1992" s="2">
        <v>19.064715823414801</v>
      </c>
      <c r="AM1992" s="2">
        <v>18.7456981525355</v>
      </c>
      <c r="AN1992" s="2">
        <v>18.8185381160947</v>
      </c>
      <c r="AO1992" s="2">
        <v>18.836862591862001</v>
      </c>
      <c r="AP1992" s="2">
        <v>18.812683129230098</v>
      </c>
      <c r="AQ1992" s="2">
        <v>18.964011385921399</v>
      </c>
      <c r="AR1992" s="2">
        <v>18.2897156579062</v>
      </c>
      <c r="AS1992" s="2">
        <v>17.178554761954899</v>
      </c>
      <c r="AT1992" s="2">
        <v>17.2553071833165</v>
      </c>
      <c r="AU1992" s="2">
        <v>18.632082968305799</v>
      </c>
      <c r="AV1992" s="2">
        <v>18.013654059999201</v>
      </c>
      <c r="AW1992" s="2">
        <v>18.979113463112899</v>
      </c>
      <c r="AX1992" s="2">
        <v>17.8801072824164</v>
      </c>
      <c r="AY1992" s="2">
        <v>18.040682495397402</v>
      </c>
      <c r="AZ1992" s="2">
        <v>18.558772741302</v>
      </c>
      <c r="BA1992" s="2">
        <v>18.415448245441201</v>
      </c>
      <c r="BB1992" s="2">
        <v>18.483398640704898</v>
      </c>
      <c r="BC1992" s="2">
        <v>18.1944615841157</v>
      </c>
      <c r="BD1992" s="2">
        <v>17.849183144889299</v>
      </c>
      <c r="BE1992" s="2">
        <v>18.748932519515598</v>
      </c>
      <c r="BF1992" s="2">
        <v>18.514735355735901</v>
      </c>
      <c r="BG1992" s="2">
        <v>18.217339076755099</v>
      </c>
      <c r="BH1992" s="2">
        <v>18.247645524132199</v>
      </c>
      <c r="BI1992" s="2">
        <v>19.256642508226101</v>
      </c>
      <c r="BJ1992" s="2">
        <v>18.483483904124199</v>
      </c>
      <c r="BK1992" s="2">
        <v>18.191751798735499</v>
      </c>
      <c r="BL1992" s="2">
        <v>18.649260774359899</v>
      </c>
      <c r="BM1992" s="2">
        <v>18.4940805792052</v>
      </c>
      <c r="BN1992" s="2">
        <v>18.1565303917567</v>
      </c>
      <c r="BO1992" s="2">
        <v>18.9344528632273</v>
      </c>
      <c r="BP1992" s="2">
        <v>18.350974090325799</v>
      </c>
      <c r="BQ1992" s="2">
        <v>19.327153036421699</v>
      </c>
      <c r="BR1992" s="2">
        <v>18.250863618139402</v>
      </c>
      <c r="BS1992" s="2">
        <v>18.704850321912801</v>
      </c>
      <c r="BT1992" s="2">
        <v>17.982069319484999</v>
      </c>
      <c r="BU1992" s="2">
        <v>18.837737960340501</v>
      </c>
      <c r="BV1992" s="2">
        <v>18.696811522324801</v>
      </c>
      <c r="BW1992" s="2">
        <v>17.079932119099901</v>
      </c>
      <c r="BX1992" s="2">
        <v>18.3489991872713</v>
      </c>
      <c r="BY1992" s="2">
        <v>19.190429527486799</v>
      </c>
      <c r="BZ1992" s="2">
        <v>18.6570663118456</v>
      </c>
      <c r="CA1992" s="2">
        <v>18.563090783800501</v>
      </c>
      <c r="CB1992" s="2">
        <v>17.539041475259999</v>
      </c>
      <c r="CC1992" s="2">
        <v>18.8191638051795</v>
      </c>
      <c r="CD1992" s="2">
        <v>18.713912916117501</v>
      </c>
      <c r="CE1992" s="2">
        <v>18.781617771987101</v>
      </c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</row>
    <row r="1993" spans="1:97">
      <c r="A1993" s="2" t="s">
        <v>17430</v>
      </c>
      <c r="B1993" s="2">
        <v>195.06334000000001</v>
      </c>
      <c r="C1993" s="2">
        <v>4.7919999999999998</v>
      </c>
      <c r="D1993" s="2" t="s">
        <v>146</v>
      </c>
      <c r="E1993" s="2" t="s">
        <v>17431</v>
      </c>
      <c r="F1993" s="2" t="s">
        <v>17432</v>
      </c>
      <c r="G1993" s="2">
        <v>200937</v>
      </c>
      <c r="H1993" s="3" t="str">
        <f>HYPERLINK("https://cloud.oebiotech.com/#/lm/network/200937", "https://cloud.oebiotech.com/#/lm/network/200937")</f>
        <v>https://cloud.oebiotech.com/#/lm/network/200937</v>
      </c>
      <c r="I1993" s="2" t="s">
        <v>17433</v>
      </c>
      <c r="J1993" s="2">
        <v>344623</v>
      </c>
      <c r="K1993" s="2"/>
      <c r="L1993" s="2">
        <v>30976</v>
      </c>
      <c r="M1993" s="2"/>
      <c r="N1993" s="2"/>
      <c r="O1993" s="2"/>
      <c r="P1993" s="2">
        <v>40235</v>
      </c>
      <c r="Q1993" s="2"/>
      <c r="R1993" s="2"/>
      <c r="S1993" s="2"/>
      <c r="T1993" s="2" t="s">
        <v>17434</v>
      </c>
      <c r="U1993" s="2" t="s">
        <v>17435</v>
      </c>
      <c r="V1993" s="2" t="s">
        <v>553</v>
      </c>
      <c r="W1993" s="2" t="s">
        <v>949</v>
      </c>
      <c r="X1993" s="2" t="s">
        <v>950</v>
      </c>
      <c r="Y1993" s="2" t="s">
        <v>556</v>
      </c>
      <c r="Z1993" s="2" t="s">
        <v>951</v>
      </c>
      <c r="AA1993" s="2" t="s">
        <v>952</v>
      </c>
      <c r="AB1993" s="2" t="s">
        <v>8443</v>
      </c>
      <c r="AC1993" s="2">
        <v>38.54</v>
      </c>
      <c r="AD1993" s="2">
        <v>95.42</v>
      </c>
      <c r="AE1993" s="2">
        <v>0</v>
      </c>
      <c r="AF1993" s="2" t="s">
        <v>17436</v>
      </c>
      <c r="AG1993" s="2" t="s">
        <v>157</v>
      </c>
      <c r="AH1993" s="2" t="s">
        <v>17437</v>
      </c>
      <c r="AI1993" s="2">
        <v>1.54</v>
      </c>
      <c r="AJ1993" s="2">
        <v>18.865187614788201</v>
      </c>
      <c r="AK1993" s="2">
        <v>18.8003539022721</v>
      </c>
      <c r="AL1993" s="2">
        <v>19.007408531964799</v>
      </c>
      <c r="AM1993" s="2">
        <v>19.0354947206466</v>
      </c>
      <c r="AN1993" s="2">
        <v>18.977595126384099</v>
      </c>
      <c r="AO1993" s="2">
        <v>18.925376612810201</v>
      </c>
      <c r="AP1993" s="2">
        <v>18.808807163218098</v>
      </c>
      <c r="AQ1993" s="2">
        <v>19.1379303778211</v>
      </c>
      <c r="AR1993" s="2">
        <v>19.9712862557062</v>
      </c>
      <c r="AS1993" s="2">
        <v>18.525980944966498</v>
      </c>
      <c r="AT1993" s="2">
        <v>18.824584025598199</v>
      </c>
      <c r="AU1993" s="2">
        <v>18.645333772611501</v>
      </c>
      <c r="AV1993" s="2">
        <v>18.580194259949302</v>
      </c>
      <c r="AW1993" s="2">
        <v>20.2207285452638</v>
      </c>
      <c r="AX1993" s="2">
        <v>18.606787503123201</v>
      </c>
      <c r="AY1993" s="2">
        <v>18.755744545645499</v>
      </c>
      <c r="AZ1993" s="2">
        <v>18.972486494954399</v>
      </c>
      <c r="BA1993" s="2">
        <v>18.5370170092887</v>
      </c>
      <c r="BB1993" s="2">
        <v>18.7072172594638</v>
      </c>
      <c r="BC1993" s="2">
        <v>18.5638981399429</v>
      </c>
      <c r="BD1993" s="2">
        <v>18.7804094940814</v>
      </c>
      <c r="BE1993" s="2">
        <v>17.773756213327498</v>
      </c>
      <c r="BF1993" s="2">
        <v>18.765632704355198</v>
      </c>
      <c r="BG1993" s="2">
        <v>18.768199027483</v>
      </c>
      <c r="BH1993" s="2">
        <v>19.318020093762598</v>
      </c>
      <c r="BI1993" s="2">
        <v>18.827636267668598</v>
      </c>
      <c r="BJ1993" s="2">
        <v>19.091182850233299</v>
      </c>
      <c r="BK1993" s="2">
        <v>18.8430937284026</v>
      </c>
      <c r="BL1993" s="2">
        <v>18.516831004018201</v>
      </c>
      <c r="BM1993" s="2">
        <v>18.953850098618702</v>
      </c>
      <c r="BN1993" s="2">
        <v>19.680285943833201</v>
      </c>
      <c r="BO1993" s="2">
        <v>18.784476281725102</v>
      </c>
      <c r="BP1993" s="2">
        <v>18.5364466274752</v>
      </c>
      <c r="BQ1993" s="2">
        <v>19.016825939399801</v>
      </c>
      <c r="BR1993" s="2">
        <v>18.967076157957699</v>
      </c>
      <c r="BS1993" s="2">
        <v>20.410194520844701</v>
      </c>
      <c r="BT1993" s="2">
        <v>16.298716659848601</v>
      </c>
      <c r="BU1993" s="2">
        <v>18.632289767538602</v>
      </c>
      <c r="BV1993" s="2">
        <v>18.883817196852899</v>
      </c>
      <c r="BW1993" s="2">
        <v>18.727422375370701</v>
      </c>
      <c r="BX1993" s="2">
        <v>18.788096570417601</v>
      </c>
      <c r="BY1993" s="2">
        <v>18.193521895441702</v>
      </c>
      <c r="BZ1993" s="2">
        <v>18.9831084803061</v>
      </c>
      <c r="CA1993" s="2">
        <v>19.081902153972401</v>
      </c>
      <c r="CB1993" s="2">
        <v>18.5963792328529</v>
      </c>
      <c r="CC1993" s="2">
        <v>16.540559286891501</v>
      </c>
      <c r="CD1993" s="2">
        <v>18.554421349880201</v>
      </c>
      <c r="CE1993" s="2">
        <v>18.6862118484996</v>
      </c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</row>
    <row r="1994" spans="1:97">
      <c r="A1994" s="2" t="s">
        <v>17438</v>
      </c>
      <c r="B1994" s="2">
        <v>289.16174999999998</v>
      </c>
      <c r="C1994" s="2">
        <v>4.4139999999999997</v>
      </c>
      <c r="D1994" s="2" t="s">
        <v>84</v>
      </c>
      <c r="E1994" s="2" t="s">
        <v>17439</v>
      </c>
      <c r="F1994" s="2" t="s">
        <v>17440</v>
      </c>
      <c r="G1994" s="2">
        <v>53764</v>
      </c>
      <c r="H1994" s="3" t="str">
        <f>HYPERLINK("https://cloud.oebiotech.com/#/lm/network/53764", "https://cloud.oebiotech.com/#/lm/network/53764")</f>
        <v>https://cloud.oebiotech.com/#/lm/network/53764</v>
      </c>
      <c r="I1994" s="2" t="s">
        <v>17441</v>
      </c>
      <c r="J1994" s="2"/>
      <c r="K1994" s="2"/>
      <c r="L1994" s="2">
        <v>14299174</v>
      </c>
      <c r="M1994" s="2"/>
      <c r="N1994" s="2"/>
      <c r="O1994" s="2"/>
      <c r="P1994" s="2">
        <v>145751</v>
      </c>
      <c r="Q1994" s="2"/>
      <c r="R1994" s="2"/>
      <c r="S1994" s="2" t="s">
        <v>17442</v>
      </c>
      <c r="T1994" s="2" t="s">
        <v>17443</v>
      </c>
      <c r="U1994" s="2" t="s">
        <v>17444</v>
      </c>
      <c r="V1994" s="2" t="s">
        <v>115</v>
      </c>
      <c r="W1994" s="2" t="s">
        <v>116</v>
      </c>
      <c r="X1994" s="2" t="s">
        <v>117</v>
      </c>
      <c r="Y1994" s="2" t="s">
        <v>118</v>
      </c>
      <c r="Z1994" s="2" t="s">
        <v>119</v>
      </c>
      <c r="AA1994" s="2" t="s">
        <v>120</v>
      </c>
      <c r="AB1994" s="2" t="s">
        <v>8443</v>
      </c>
      <c r="AC1994" s="2">
        <v>38.53</v>
      </c>
      <c r="AD1994" s="2">
        <v>92.67</v>
      </c>
      <c r="AE1994" s="2">
        <v>0</v>
      </c>
      <c r="AF1994" s="2" t="s">
        <v>17445</v>
      </c>
      <c r="AG1994" s="2" t="s">
        <v>103</v>
      </c>
      <c r="AH1994" s="2" t="s">
        <v>17446</v>
      </c>
      <c r="AI1994" s="2">
        <v>0.69</v>
      </c>
      <c r="AJ1994" s="2">
        <v>18.702273011856501</v>
      </c>
      <c r="AK1994" s="2">
        <v>19.069581353223001</v>
      </c>
      <c r="AL1994" s="2">
        <v>18.884273475627602</v>
      </c>
      <c r="AM1994" s="2">
        <v>18.959241444686999</v>
      </c>
      <c r="AN1994" s="2">
        <v>18.846554650237699</v>
      </c>
      <c r="AO1994" s="2">
        <v>18.813022136482001</v>
      </c>
      <c r="AP1994" s="2">
        <v>18.961702423125502</v>
      </c>
      <c r="AQ1994" s="2">
        <v>18.796975316360999</v>
      </c>
      <c r="AR1994" s="2">
        <v>21.5914104397561</v>
      </c>
      <c r="AS1994" s="2">
        <v>23.029333825489299</v>
      </c>
      <c r="AT1994" s="2">
        <v>22.462831065761499</v>
      </c>
      <c r="AU1994" s="2">
        <v>22.106722033092801</v>
      </c>
      <c r="AV1994" s="2">
        <v>20.028952008961198</v>
      </c>
      <c r="AW1994" s="2">
        <v>22.955742521158498</v>
      </c>
      <c r="AX1994" s="2">
        <v>19.762371640362201</v>
      </c>
      <c r="AY1994" s="2">
        <v>19.9841557681236</v>
      </c>
      <c r="AZ1994" s="2">
        <v>21.358572503090102</v>
      </c>
      <c r="BA1994" s="2">
        <v>20.190827555987799</v>
      </c>
      <c r="BB1994" s="2">
        <v>21.670780463070798</v>
      </c>
      <c r="BC1994" s="2">
        <v>22.657242405031699</v>
      </c>
      <c r="BD1994" s="2">
        <v>21.300974775400402</v>
      </c>
      <c r="BE1994" s="2">
        <v>21.561078597729299</v>
      </c>
      <c r="BF1994" s="2">
        <v>22.144645059396002</v>
      </c>
      <c r="BG1994" s="2">
        <v>22.0790299050012</v>
      </c>
      <c r="BH1994" s="2">
        <v>20.712231054516501</v>
      </c>
      <c r="BI1994" s="2">
        <v>22.607626381118099</v>
      </c>
      <c r="BJ1994" s="2">
        <v>18.970877493044799</v>
      </c>
      <c r="BK1994" s="2">
        <v>19.192124268636601</v>
      </c>
      <c r="BL1994" s="2">
        <v>18.897934209879999</v>
      </c>
      <c r="BM1994" s="2">
        <v>18.994215940010999</v>
      </c>
      <c r="BN1994" s="2">
        <v>18.286801571194601</v>
      </c>
      <c r="BO1994" s="2">
        <v>20.4077654660245</v>
      </c>
      <c r="BP1994" s="2">
        <v>18.048935783799401</v>
      </c>
      <c r="BQ1994" s="2">
        <v>19.902509548235901</v>
      </c>
      <c r="BR1994" s="2">
        <v>21.903680194617099</v>
      </c>
      <c r="BS1994" s="2">
        <v>19.749599030917999</v>
      </c>
      <c r="BT1994" s="2">
        <v>18.756271944674101</v>
      </c>
      <c r="BU1994" s="2">
        <v>22.7585176629518</v>
      </c>
      <c r="BV1994" s="2">
        <v>20.474873687643299</v>
      </c>
      <c r="BW1994" s="2">
        <v>18.814739163235899</v>
      </c>
      <c r="BX1994" s="2">
        <v>19.064957935349099</v>
      </c>
      <c r="BY1994" s="2">
        <v>19.7515035572527</v>
      </c>
      <c r="BZ1994" s="2">
        <v>22.554688947670002</v>
      </c>
      <c r="CA1994" s="2">
        <v>18.898921652918801</v>
      </c>
      <c r="CB1994" s="2">
        <v>22.757558247400301</v>
      </c>
      <c r="CC1994" s="2">
        <v>18.846189850462501</v>
      </c>
      <c r="CD1994" s="2">
        <v>21.7461256166585</v>
      </c>
      <c r="CE1994" s="2">
        <v>19.915187840073699</v>
      </c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</row>
    <row r="1995" spans="1:97">
      <c r="A1995" s="2" t="s">
        <v>17447</v>
      </c>
      <c r="B1995" s="2">
        <v>135.02673999999999</v>
      </c>
      <c r="C1995" s="2">
        <v>1.0289999999999999</v>
      </c>
      <c r="D1995" s="2" t="s">
        <v>146</v>
      </c>
      <c r="E1995" s="2" t="s">
        <v>17448</v>
      </c>
      <c r="F1995" s="2" t="s">
        <v>17449</v>
      </c>
      <c r="G1995" s="2">
        <v>57198</v>
      </c>
      <c r="H1995" s="3" t="str">
        <f>HYPERLINK("https://cloud.oebiotech.com/#/lm/network/57198", "https://cloud.oebiotech.com/#/lm/network/57198")</f>
        <v>https://cloud.oebiotech.com/#/lm/network/57198</v>
      </c>
      <c r="I1995" s="2" t="s">
        <v>17450</v>
      </c>
      <c r="J1995" s="2">
        <v>88838</v>
      </c>
      <c r="K1995" s="2"/>
      <c r="L1995" s="2">
        <v>79248</v>
      </c>
      <c r="M1995" s="2"/>
      <c r="N1995" s="2"/>
      <c r="O1995" s="2"/>
      <c r="P1995" s="2"/>
      <c r="Q1995" s="2"/>
      <c r="R1995" s="2"/>
      <c r="S1995" s="2" t="s">
        <v>17451</v>
      </c>
      <c r="T1995" s="2" t="s">
        <v>17452</v>
      </c>
      <c r="U1995" s="2" t="s">
        <v>17453</v>
      </c>
      <c r="V1995" s="2" t="s">
        <v>338</v>
      </c>
      <c r="W1995" s="2" t="s">
        <v>339</v>
      </c>
      <c r="X1995" s="2" t="s">
        <v>340</v>
      </c>
      <c r="Y1995" s="2" t="s">
        <v>341</v>
      </c>
      <c r="Z1995" s="2" t="s">
        <v>341</v>
      </c>
      <c r="AA1995" s="2" t="s">
        <v>342</v>
      </c>
      <c r="AB1995" s="2" t="s">
        <v>8443</v>
      </c>
      <c r="AC1995" s="2">
        <v>38.53</v>
      </c>
      <c r="AD1995" s="2">
        <v>92.67</v>
      </c>
      <c r="AE1995" s="2">
        <v>0</v>
      </c>
      <c r="AF1995" s="2" t="s">
        <v>5614</v>
      </c>
      <c r="AG1995" s="2" t="s">
        <v>993</v>
      </c>
      <c r="AH1995" s="2" t="s">
        <v>17454</v>
      </c>
      <c r="AI1995" s="2">
        <v>0.74</v>
      </c>
      <c r="AJ1995" s="2">
        <v>19.403619442177799</v>
      </c>
      <c r="AK1995" s="2">
        <v>19.285533934273499</v>
      </c>
      <c r="AL1995" s="2">
        <v>18.951696931908401</v>
      </c>
      <c r="AM1995" s="2">
        <v>18.732814488234901</v>
      </c>
      <c r="AN1995" s="2">
        <v>19.093052021238801</v>
      </c>
      <c r="AO1995" s="2">
        <v>19.274429502294499</v>
      </c>
      <c r="AP1995" s="2">
        <v>18.674440534191199</v>
      </c>
      <c r="AQ1995" s="2">
        <v>18.8266245773187</v>
      </c>
      <c r="AR1995" s="2">
        <v>19.301953350484698</v>
      </c>
      <c r="AS1995" s="2">
        <v>19.080954948839199</v>
      </c>
      <c r="AT1995" s="2">
        <v>18.105017134649401</v>
      </c>
      <c r="AU1995" s="2">
        <v>17.846032123592799</v>
      </c>
      <c r="AV1995" s="2">
        <v>17.5238447766842</v>
      </c>
      <c r="AW1995" s="2">
        <v>19.1587913646038</v>
      </c>
      <c r="AX1995" s="2">
        <v>19.227521983561601</v>
      </c>
      <c r="AY1995" s="2">
        <v>19.2070225445914</v>
      </c>
      <c r="AZ1995" s="2">
        <v>19.0032872021226</v>
      </c>
      <c r="BA1995" s="2">
        <v>18.77016954634</v>
      </c>
      <c r="BB1995" s="2">
        <v>19.5567613334558</v>
      </c>
      <c r="BC1995" s="2">
        <v>17.7397015124821</v>
      </c>
      <c r="BD1995" s="2">
        <v>19.323627196117901</v>
      </c>
      <c r="BE1995" s="2">
        <v>18.881915829331099</v>
      </c>
      <c r="BF1995" s="2">
        <v>18.699337253353299</v>
      </c>
      <c r="BG1995" s="2">
        <v>19.600676250516699</v>
      </c>
      <c r="BH1995" s="2">
        <v>18.981524471326001</v>
      </c>
      <c r="BI1995" s="2">
        <v>19.418856220569101</v>
      </c>
      <c r="BJ1995" s="2">
        <v>19.5256779377025</v>
      </c>
      <c r="BK1995" s="2">
        <v>19.133788722972898</v>
      </c>
      <c r="BL1995" s="2">
        <v>19.1294224391964</v>
      </c>
      <c r="BM1995" s="2">
        <v>18.867464929384901</v>
      </c>
      <c r="BN1995" s="2">
        <v>18.960503129696999</v>
      </c>
      <c r="BO1995" s="2">
        <v>18.565702927364001</v>
      </c>
      <c r="BP1995" s="2">
        <v>17.935974634469801</v>
      </c>
      <c r="BQ1995" s="2">
        <v>19.0965488582438</v>
      </c>
      <c r="BR1995" s="2">
        <v>19.044272171208899</v>
      </c>
      <c r="BS1995" s="2">
        <v>18.050083521178401</v>
      </c>
      <c r="BT1995" s="2">
        <v>18.064047443587999</v>
      </c>
      <c r="BU1995" s="2">
        <v>18.646273460280799</v>
      </c>
      <c r="BV1995" s="2">
        <v>19.247243812030401</v>
      </c>
      <c r="BW1995" s="2">
        <v>19.048653961165801</v>
      </c>
      <c r="BX1995" s="2">
        <v>18.117749822463001</v>
      </c>
      <c r="BY1995" s="2">
        <v>18.537313169856802</v>
      </c>
      <c r="BZ1995" s="2">
        <v>18.661943153626101</v>
      </c>
      <c r="CA1995" s="2">
        <v>18.114456246633399</v>
      </c>
      <c r="CB1995" s="2">
        <v>18.683959327988099</v>
      </c>
      <c r="CC1995" s="2">
        <v>18.3671269309522</v>
      </c>
      <c r="CD1995" s="2">
        <v>18.964542666487599</v>
      </c>
      <c r="CE1995" s="2">
        <v>19.4273450117111</v>
      </c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</row>
    <row r="1996" spans="1:97">
      <c r="A1996" s="2" t="s">
        <v>17455</v>
      </c>
      <c r="B1996" s="2">
        <v>176.03738000000001</v>
      </c>
      <c r="C1996" s="2">
        <v>0.82</v>
      </c>
      <c r="D1996" s="2" t="s">
        <v>84</v>
      </c>
      <c r="E1996" s="2" t="s">
        <v>17456</v>
      </c>
      <c r="F1996" s="2" t="s">
        <v>17457</v>
      </c>
      <c r="G1996" s="2">
        <v>204014</v>
      </c>
      <c r="H1996" s="3" t="str">
        <f>HYPERLINK("https://cloud.oebiotech.com/#/lm/network/204014", "https://cloud.oebiotech.com/#/lm/network/204014")</f>
        <v>https://cloud.oebiotech.com/#/lm/network/204014</v>
      </c>
      <c r="I1996" s="2" t="s">
        <v>17458</v>
      </c>
      <c r="J1996" s="2"/>
      <c r="K1996" s="2"/>
      <c r="L1996" s="2"/>
      <c r="M1996" s="2"/>
      <c r="N1996" s="2"/>
      <c r="O1996" s="2"/>
      <c r="P1996" s="2">
        <v>64455</v>
      </c>
      <c r="Q1996" s="2"/>
      <c r="R1996" s="2"/>
      <c r="S1996" s="2"/>
      <c r="T1996" s="2" t="s">
        <v>17459</v>
      </c>
      <c r="U1996" s="2" t="s">
        <v>17460</v>
      </c>
      <c r="V1996" s="2" t="s">
        <v>385</v>
      </c>
      <c r="W1996" s="2" t="s">
        <v>386</v>
      </c>
      <c r="X1996" s="2" t="s">
        <v>1447</v>
      </c>
      <c r="Y1996" s="2" t="s">
        <v>388</v>
      </c>
      <c r="Z1996" s="2" t="s">
        <v>389</v>
      </c>
      <c r="AA1996" s="2" t="s">
        <v>1448</v>
      </c>
      <c r="AB1996" s="2" t="s">
        <v>8443</v>
      </c>
      <c r="AC1996" s="2">
        <v>38.53</v>
      </c>
      <c r="AD1996" s="2">
        <v>93.33</v>
      </c>
      <c r="AE1996" s="2">
        <v>0</v>
      </c>
      <c r="AF1996" s="2" t="s">
        <v>17461</v>
      </c>
      <c r="AG1996" s="2" t="s">
        <v>132</v>
      </c>
      <c r="AH1996" s="2" t="s">
        <v>17462</v>
      </c>
      <c r="AI1996" s="2">
        <v>1.1399999999999999</v>
      </c>
      <c r="AJ1996" s="2">
        <v>20.021987839030899</v>
      </c>
      <c r="AK1996" s="2">
        <v>20.556699028645902</v>
      </c>
      <c r="AL1996" s="2">
        <v>19.834157034218499</v>
      </c>
      <c r="AM1996" s="2">
        <v>21.048845169755001</v>
      </c>
      <c r="AN1996" s="2">
        <v>20.9171620577442</v>
      </c>
      <c r="AO1996" s="2">
        <v>20.730775058643001</v>
      </c>
      <c r="AP1996" s="2">
        <v>20.945668246947701</v>
      </c>
      <c r="AQ1996" s="2">
        <v>20.471834191007101</v>
      </c>
      <c r="AR1996" s="2">
        <v>9.6233145402724691</v>
      </c>
      <c r="AS1996" s="2">
        <v>15.5152014853625</v>
      </c>
      <c r="AT1996" s="2">
        <v>18.838166872240201</v>
      </c>
      <c r="AU1996" s="2">
        <v>20.324591646369001</v>
      </c>
      <c r="AV1996" s="2">
        <v>19.541844112442298</v>
      </c>
      <c r="AW1996" s="2">
        <v>19.988406294807699</v>
      </c>
      <c r="AX1996" s="2">
        <v>19.8423190192403</v>
      </c>
      <c r="AY1996" s="2">
        <v>19.542917367670299</v>
      </c>
      <c r="AZ1996" s="2">
        <v>19.984819148684601</v>
      </c>
      <c r="BA1996" s="2">
        <v>19.9381593327602</v>
      </c>
      <c r="BB1996" s="2">
        <v>20.5266818282246</v>
      </c>
      <c r="BC1996" s="2">
        <v>21.9461175096875</v>
      </c>
      <c r="BD1996" s="2">
        <v>21.2466552745475</v>
      </c>
      <c r="BE1996" s="2">
        <v>20.763107985805799</v>
      </c>
      <c r="BF1996" s="2">
        <v>20.753632048345501</v>
      </c>
      <c r="BG1996" s="2">
        <v>19.465751879060502</v>
      </c>
      <c r="BH1996" s="2">
        <v>19.839558718067</v>
      </c>
      <c r="BI1996" s="2">
        <v>19.941682094271101</v>
      </c>
      <c r="BJ1996" s="2">
        <v>19.138126504256501</v>
      </c>
      <c r="BK1996" s="2">
        <v>20.201110951121201</v>
      </c>
      <c r="BL1996" s="2">
        <v>19.4832213073589</v>
      </c>
      <c r="BM1996" s="2">
        <v>21.870091425556001</v>
      </c>
      <c r="BN1996" s="2">
        <v>20.437982878890701</v>
      </c>
      <c r="BO1996" s="2">
        <v>19.483509352270801</v>
      </c>
      <c r="BP1996" s="2">
        <v>20.5539894371584</v>
      </c>
      <c r="BQ1996" s="2">
        <v>19.215313984343101</v>
      </c>
      <c r="BR1996" s="2">
        <v>19.047064412926598</v>
      </c>
      <c r="BS1996" s="2">
        <v>20.469965446213099</v>
      </c>
      <c r="BT1996" s="2">
        <v>20.276012633436501</v>
      </c>
      <c r="BU1996" s="2">
        <v>9.6233145402724691</v>
      </c>
      <c r="BV1996" s="2">
        <v>21.961097346118599</v>
      </c>
      <c r="BW1996" s="2">
        <v>21.9574529437058</v>
      </c>
      <c r="BX1996" s="2">
        <v>20.6150830327331</v>
      </c>
      <c r="BY1996" s="2">
        <v>20.473891111690499</v>
      </c>
      <c r="BZ1996" s="2">
        <v>20.4450608510911</v>
      </c>
      <c r="CA1996" s="2">
        <v>21.461674314463099</v>
      </c>
      <c r="CB1996" s="2">
        <v>20.166070037037599</v>
      </c>
      <c r="CC1996" s="2">
        <v>19.489675827522699</v>
      </c>
      <c r="CD1996" s="2">
        <v>19.818155299575398</v>
      </c>
      <c r="CE1996" s="2">
        <v>20.226844741700901</v>
      </c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</row>
    <row r="1997" spans="1:97">
      <c r="A1997" s="2" t="s">
        <v>17463</v>
      </c>
      <c r="B1997" s="2">
        <v>180.17461</v>
      </c>
      <c r="C1997" s="2">
        <v>7.0330000000000004</v>
      </c>
      <c r="D1997" s="2" t="s">
        <v>84</v>
      </c>
      <c r="E1997" s="2" t="s">
        <v>17464</v>
      </c>
      <c r="F1997" s="2" t="s">
        <v>17465</v>
      </c>
      <c r="G1997" s="2">
        <v>52827</v>
      </c>
      <c r="H1997" s="3" t="str">
        <f>HYPERLINK("https://cloud.oebiotech.com/#/lm/network/52827", "https://cloud.oebiotech.com/#/lm/network/52827")</f>
        <v>https://cloud.oebiotech.com/#/lm/network/52827</v>
      </c>
      <c r="I1997" s="2" t="s">
        <v>17466</v>
      </c>
      <c r="J1997" s="2">
        <v>43325</v>
      </c>
      <c r="K1997" s="2"/>
      <c r="L1997" s="2">
        <v>5071</v>
      </c>
      <c r="M1997" s="2" t="s">
        <v>17467</v>
      </c>
      <c r="N1997" s="2"/>
      <c r="O1997" s="2"/>
      <c r="P1997" s="2">
        <v>193858</v>
      </c>
      <c r="Q1997" s="2"/>
      <c r="R1997" s="2"/>
      <c r="S1997" s="2" t="s">
        <v>17468</v>
      </c>
      <c r="T1997" s="2" t="s">
        <v>17469</v>
      </c>
      <c r="U1997" s="2" t="s">
        <v>17470</v>
      </c>
      <c r="V1997" s="2" t="s">
        <v>166</v>
      </c>
      <c r="W1997" s="2" t="s">
        <v>167</v>
      </c>
      <c r="X1997" s="2" t="s">
        <v>482</v>
      </c>
      <c r="Y1997" s="2" t="s">
        <v>169</v>
      </c>
      <c r="Z1997" s="2" t="s">
        <v>169</v>
      </c>
      <c r="AA1997" s="2" t="s">
        <v>483</v>
      </c>
      <c r="AB1997" s="2" t="s">
        <v>8443</v>
      </c>
      <c r="AC1997" s="2">
        <v>38.53</v>
      </c>
      <c r="AD1997" s="2">
        <v>92.66</v>
      </c>
      <c r="AE1997" s="2">
        <v>0</v>
      </c>
      <c r="AF1997" s="2" t="s">
        <v>5614</v>
      </c>
      <c r="AG1997" s="2" t="s">
        <v>103</v>
      </c>
      <c r="AH1997" s="2" t="s">
        <v>17471</v>
      </c>
      <c r="AI1997" s="2">
        <v>0.56000000000000005</v>
      </c>
      <c r="AJ1997" s="2">
        <v>17.373562744791698</v>
      </c>
      <c r="AK1997" s="2">
        <v>17.317176396927</v>
      </c>
      <c r="AL1997" s="2">
        <v>17.1496211083691</v>
      </c>
      <c r="AM1997" s="2">
        <v>17.1289526969673</v>
      </c>
      <c r="AN1997" s="2">
        <v>17.196876601265899</v>
      </c>
      <c r="AO1997" s="2">
        <v>17.452751525428699</v>
      </c>
      <c r="AP1997" s="2">
        <v>17.347993447050499</v>
      </c>
      <c r="AQ1997" s="2">
        <v>16.644195408647299</v>
      </c>
      <c r="AR1997" s="2">
        <v>17.5148369288287</v>
      </c>
      <c r="AS1997" s="2">
        <v>17.278978519990702</v>
      </c>
      <c r="AT1997" s="2">
        <v>17.236721216579099</v>
      </c>
      <c r="AU1997" s="2">
        <v>16.493695050554301</v>
      </c>
      <c r="AV1997" s="2">
        <v>16.818710858981099</v>
      </c>
      <c r="AW1997" s="2">
        <v>17.292213502121701</v>
      </c>
      <c r="AX1997" s="2">
        <v>16.4141774948503</v>
      </c>
      <c r="AY1997" s="2">
        <v>16.6435481753186</v>
      </c>
      <c r="AZ1997" s="2">
        <v>17.534858272105701</v>
      </c>
      <c r="BA1997" s="2">
        <v>17.040703468895799</v>
      </c>
      <c r="BB1997" s="2">
        <v>17.409033698918901</v>
      </c>
      <c r="BC1997" s="2">
        <v>17.055526903461601</v>
      </c>
      <c r="BD1997" s="2">
        <v>17.0749458955755</v>
      </c>
      <c r="BE1997" s="2">
        <v>16.487102674472101</v>
      </c>
      <c r="BF1997" s="2">
        <v>16.978611820039902</v>
      </c>
      <c r="BG1997" s="2">
        <v>16.816354956294099</v>
      </c>
      <c r="BH1997" s="2">
        <v>16.5810849239048</v>
      </c>
      <c r="BI1997" s="2">
        <v>17.7952048148295</v>
      </c>
      <c r="BJ1997" s="2">
        <v>16.571429138324302</v>
      </c>
      <c r="BK1997" s="2">
        <v>16.406189224194399</v>
      </c>
      <c r="BL1997" s="2">
        <v>16.826755273986301</v>
      </c>
      <c r="BM1997" s="2">
        <v>16.779609461377401</v>
      </c>
      <c r="BN1997" s="2">
        <v>16.825713840265902</v>
      </c>
      <c r="BO1997" s="2">
        <v>17.3057437322969</v>
      </c>
      <c r="BP1997" s="2">
        <v>17.0894145829539</v>
      </c>
      <c r="BQ1997" s="2">
        <v>17.339412922396502</v>
      </c>
      <c r="BR1997" s="2">
        <v>16.938307044430299</v>
      </c>
      <c r="BS1997" s="2">
        <v>16.670182233764301</v>
      </c>
      <c r="BT1997" s="2">
        <v>16.796890328948798</v>
      </c>
      <c r="BU1997" s="2">
        <v>16.0156550460012</v>
      </c>
      <c r="BV1997" s="2">
        <v>16.761761705341701</v>
      </c>
      <c r="BW1997" s="2">
        <v>16.666597390542801</v>
      </c>
      <c r="BX1997" s="2">
        <v>16.904973477859102</v>
      </c>
      <c r="BY1997" s="2">
        <v>16.840681311317301</v>
      </c>
      <c r="BZ1997" s="2">
        <v>16.856953967714201</v>
      </c>
      <c r="CA1997" s="2">
        <v>17.4785566621733</v>
      </c>
      <c r="CB1997" s="2">
        <v>17.306925100086701</v>
      </c>
      <c r="CC1997" s="2">
        <v>16.8065141281098</v>
      </c>
      <c r="CD1997" s="2">
        <v>16.501288763284599</v>
      </c>
      <c r="CE1997" s="2">
        <v>17.006820123112</v>
      </c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</row>
    <row r="1998" spans="1:97">
      <c r="A1998" s="2" t="s">
        <v>17472</v>
      </c>
      <c r="B1998" s="2">
        <v>191.08483000000001</v>
      </c>
      <c r="C1998" s="2">
        <v>4.8280000000000003</v>
      </c>
      <c r="D1998" s="2" t="s">
        <v>84</v>
      </c>
      <c r="E1998" s="2" t="s">
        <v>17473</v>
      </c>
      <c r="F1998" s="2" t="s">
        <v>17474</v>
      </c>
      <c r="G1998" s="2">
        <v>203271</v>
      </c>
      <c r="H1998" s="3" t="str">
        <f>HYPERLINK("https://cloud.oebiotech.com/#/lm/network/203271", "https://cloud.oebiotech.com/#/lm/network/203271")</f>
        <v>https://cloud.oebiotech.com/#/lm/network/203271</v>
      </c>
      <c r="I1998" s="2" t="s">
        <v>17475</v>
      </c>
      <c r="J1998" s="2"/>
      <c r="K1998" s="2"/>
      <c r="L1998" s="2"/>
      <c r="M1998" s="2"/>
      <c r="N1998" s="2"/>
      <c r="O1998" s="2"/>
      <c r="P1998" s="2">
        <v>2555</v>
      </c>
      <c r="Q1998" s="2"/>
      <c r="R1998" s="2"/>
      <c r="S1998" s="2"/>
      <c r="T1998" s="2" t="s">
        <v>17476</v>
      </c>
      <c r="U1998" s="2" t="s">
        <v>17477</v>
      </c>
      <c r="V1998" s="2" t="s">
        <v>115</v>
      </c>
      <c r="W1998" s="2" t="s">
        <v>4313</v>
      </c>
      <c r="X1998" s="2" t="s">
        <v>375</v>
      </c>
      <c r="Y1998" s="2" t="s">
        <v>118</v>
      </c>
      <c r="Z1998" s="2" t="s">
        <v>4315</v>
      </c>
      <c r="AA1998" s="2"/>
      <c r="AB1998" s="2" t="s">
        <v>8443</v>
      </c>
      <c r="AC1998" s="2">
        <v>38.520000000000003</v>
      </c>
      <c r="AD1998" s="2">
        <v>92.58</v>
      </c>
      <c r="AE1998" s="2">
        <v>0</v>
      </c>
      <c r="AF1998" s="2" t="s">
        <v>17478</v>
      </c>
      <c r="AG1998" s="2" t="s">
        <v>103</v>
      </c>
      <c r="AH1998" s="2" t="s">
        <v>17479</v>
      </c>
      <c r="AI1998" s="2">
        <v>0.52</v>
      </c>
      <c r="AJ1998" s="2">
        <v>19.363816627407999</v>
      </c>
      <c r="AK1998" s="2">
        <v>19.8128252769841</v>
      </c>
      <c r="AL1998" s="2">
        <v>20.114805822987101</v>
      </c>
      <c r="AM1998" s="2">
        <v>19.809545531749201</v>
      </c>
      <c r="AN1998" s="2">
        <v>19.5951807786786</v>
      </c>
      <c r="AO1998" s="2">
        <v>19.582559678097699</v>
      </c>
      <c r="AP1998" s="2">
        <v>19.419567035958998</v>
      </c>
      <c r="AQ1998" s="2">
        <v>20.259989923340601</v>
      </c>
      <c r="AR1998" s="2">
        <v>9.6233145402724691</v>
      </c>
      <c r="AS1998" s="2">
        <v>9.6233145402724691</v>
      </c>
      <c r="AT1998" s="2">
        <v>19.477095544571998</v>
      </c>
      <c r="AU1998" s="2">
        <v>20.006586229044402</v>
      </c>
      <c r="AV1998" s="2">
        <v>19.834410496112302</v>
      </c>
      <c r="AW1998" s="2">
        <v>19.971573415201799</v>
      </c>
      <c r="AX1998" s="2">
        <v>20.088287798335401</v>
      </c>
      <c r="AY1998" s="2">
        <v>19.838570067370298</v>
      </c>
      <c r="AZ1998" s="2">
        <v>19.367531616517901</v>
      </c>
      <c r="BA1998" s="2">
        <v>18.861991700049298</v>
      </c>
      <c r="BB1998" s="2">
        <v>18.104321762040701</v>
      </c>
      <c r="BC1998" s="2">
        <v>19.606012371264999</v>
      </c>
      <c r="BD1998" s="2">
        <v>20.079230654885698</v>
      </c>
      <c r="BE1998" s="2">
        <v>20.082964168928601</v>
      </c>
      <c r="BF1998" s="2">
        <v>20.318209438783899</v>
      </c>
      <c r="BG1998" s="2">
        <v>19.296844506673398</v>
      </c>
      <c r="BH1998" s="2">
        <v>19.617253740647399</v>
      </c>
      <c r="BI1998" s="2">
        <v>20.064213093695901</v>
      </c>
      <c r="BJ1998" s="2">
        <v>14.458681514270699</v>
      </c>
      <c r="BK1998" s="2">
        <v>19.759258875418201</v>
      </c>
      <c r="BL1998" s="2">
        <v>19.334943347117701</v>
      </c>
      <c r="BM1998" s="2">
        <v>19.9072640623966</v>
      </c>
      <c r="BN1998" s="2">
        <v>20.791945607430701</v>
      </c>
      <c r="BO1998" s="2">
        <v>19.8423093808963</v>
      </c>
      <c r="BP1998" s="2">
        <v>19.828608297218299</v>
      </c>
      <c r="BQ1998" s="2">
        <v>19.726028255505899</v>
      </c>
      <c r="BR1998" s="2">
        <v>18.522419467214799</v>
      </c>
      <c r="BS1998" s="2">
        <v>20.126990845656898</v>
      </c>
      <c r="BT1998" s="2">
        <v>18.249272877932601</v>
      </c>
      <c r="BU1998" s="2">
        <v>19.5030434024121</v>
      </c>
      <c r="BV1998" s="2">
        <v>18.342245373570801</v>
      </c>
      <c r="BW1998" s="2">
        <v>17.236138672808799</v>
      </c>
      <c r="BX1998" s="2">
        <v>19.5268832635482</v>
      </c>
      <c r="BY1998" s="2">
        <v>20.650267577307801</v>
      </c>
      <c r="BZ1998" s="2">
        <v>19.395490791036199</v>
      </c>
      <c r="CA1998" s="2">
        <v>18.328123933972599</v>
      </c>
      <c r="CB1998" s="2">
        <v>16.2782040514176</v>
      </c>
      <c r="CC1998" s="2">
        <v>20.1787506820591</v>
      </c>
      <c r="CD1998" s="2">
        <v>19.6213435931102</v>
      </c>
      <c r="CE1998" s="2">
        <v>19.161114238015202</v>
      </c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</row>
    <row r="1999" spans="1:97">
      <c r="A1999" s="2" t="s">
        <v>17480</v>
      </c>
      <c r="B1999" s="2">
        <v>308.00889000000001</v>
      </c>
      <c r="C1999" s="2">
        <v>1.1439999999999999</v>
      </c>
      <c r="D1999" s="2" t="s">
        <v>146</v>
      </c>
      <c r="E1999" s="2" t="s">
        <v>17481</v>
      </c>
      <c r="F1999" s="2" t="s">
        <v>17482</v>
      </c>
      <c r="G1999" s="2">
        <v>82518</v>
      </c>
      <c r="H1999" s="3" t="str">
        <f>HYPERLINK("https://cloud.oebiotech.com/#/lm/network/82518", "https://cloud.oebiotech.com/#/lm/network/82518")</f>
        <v>https://cloud.oebiotech.com/#/lm/network/82518</v>
      </c>
      <c r="I1999" s="2" t="s">
        <v>17483</v>
      </c>
      <c r="J1999" s="2"/>
      <c r="K1999" s="2"/>
      <c r="L1999" s="2">
        <v>75607387</v>
      </c>
      <c r="M1999" s="2"/>
      <c r="N1999" s="2"/>
      <c r="O1999" s="2"/>
      <c r="P1999" s="2"/>
      <c r="Q1999" s="2"/>
      <c r="R1999" s="2"/>
      <c r="S1999" s="2"/>
      <c r="T1999" s="2" t="s">
        <v>17484</v>
      </c>
      <c r="U1999" s="2" t="s">
        <v>17485</v>
      </c>
      <c r="V1999" s="2" t="s">
        <v>818</v>
      </c>
      <c r="W1999" s="2" t="s">
        <v>10627</v>
      </c>
      <c r="X1999" s="2" t="s">
        <v>375</v>
      </c>
      <c r="Y1999" s="2" t="s">
        <v>820</v>
      </c>
      <c r="Z1999" s="2" t="s">
        <v>10629</v>
      </c>
      <c r="AA1999" s="2"/>
      <c r="AB1999" s="2" t="s">
        <v>8443</v>
      </c>
      <c r="AC1999" s="2">
        <v>38.520000000000003</v>
      </c>
      <c r="AD1999" s="2">
        <v>90.8</v>
      </c>
      <c r="AE1999" s="2">
        <v>0</v>
      </c>
      <c r="AF1999" s="2" t="s">
        <v>5614</v>
      </c>
      <c r="AG1999" s="2" t="s">
        <v>194</v>
      </c>
      <c r="AH1999" s="2" t="s">
        <v>17486</v>
      </c>
      <c r="AI1999" s="2">
        <v>7.47</v>
      </c>
      <c r="AJ1999" s="2">
        <v>17.725840922231001</v>
      </c>
      <c r="AK1999" s="2">
        <v>17.494131180740499</v>
      </c>
      <c r="AL1999" s="2">
        <v>17.730159171155002</v>
      </c>
      <c r="AM1999" s="2">
        <v>17.5393612668618</v>
      </c>
      <c r="AN1999" s="2">
        <v>17.616037032749201</v>
      </c>
      <c r="AO1999" s="2">
        <v>17.520109743713402</v>
      </c>
      <c r="AP1999" s="2">
        <v>17.5674752305944</v>
      </c>
      <c r="AQ1999" s="2">
        <v>17.7332343688043</v>
      </c>
      <c r="AR1999" s="2">
        <v>17.027255713128302</v>
      </c>
      <c r="AS1999" s="2">
        <v>16.611971140175999</v>
      </c>
      <c r="AT1999" s="2">
        <v>16.794235492809602</v>
      </c>
      <c r="AU1999" s="2">
        <v>17.2447844173874</v>
      </c>
      <c r="AV1999" s="2">
        <v>17.3412294386615</v>
      </c>
      <c r="AW1999" s="2">
        <v>17.097830609068701</v>
      </c>
      <c r="AX1999" s="2">
        <v>17.383421307248302</v>
      </c>
      <c r="AY1999" s="2">
        <v>17.6169893527277</v>
      </c>
      <c r="AZ1999" s="2">
        <v>17.196799200449401</v>
      </c>
      <c r="BA1999" s="2">
        <v>17.650785731449901</v>
      </c>
      <c r="BB1999" s="2">
        <v>17.593416363898001</v>
      </c>
      <c r="BC1999" s="2">
        <v>17.0543990186004</v>
      </c>
      <c r="BD1999" s="2">
        <v>16.371282504723499</v>
      </c>
      <c r="BE1999" s="2">
        <v>18.2921433881226</v>
      </c>
      <c r="BF1999" s="2">
        <v>17.137504024062999</v>
      </c>
      <c r="BG1999" s="2">
        <v>16.945149341437201</v>
      </c>
      <c r="BH1999" s="2">
        <v>17.864282284033902</v>
      </c>
      <c r="BI1999" s="2">
        <v>16.8859121276138</v>
      </c>
      <c r="BJ1999" s="2">
        <v>17.449259255494699</v>
      </c>
      <c r="BK1999" s="2">
        <v>17.275858238391699</v>
      </c>
      <c r="BL1999" s="2">
        <v>17.489707731667501</v>
      </c>
      <c r="BM1999" s="2">
        <v>18.585313797864899</v>
      </c>
      <c r="BN1999" s="2">
        <v>18.172364559308999</v>
      </c>
      <c r="BO1999" s="2">
        <v>17.6400984615683</v>
      </c>
      <c r="BP1999" s="2">
        <v>17.365617003269598</v>
      </c>
      <c r="BQ1999" s="2">
        <v>17.194525548446499</v>
      </c>
      <c r="BR1999" s="2">
        <v>16.830708924899501</v>
      </c>
      <c r="BS1999" s="2">
        <v>18.090902779746099</v>
      </c>
      <c r="BT1999" s="2">
        <v>16.841169468944798</v>
      </c>
      <c r="BU1999" s="2">
        <v>16.640963251814899</v>
      </c>
      <c r="BV1999" s="2">
        <v>16.6085776824406</v>
      </c>
      <c r="BW1999" s="2">
        <v>16.939101090858699</v>
      </c>
      <c r="BX1999" s="2">
        <v>17.524263163773099</v>
      </c>
      <c r="BY1999" s="2">
        <v>17.844980190644399</v>
      </c>
      <c r="BZ1999" s="2">
        <v>18.055363894115899</v>
      </c>
      <c r="CA1999" s="2">
        <v>17.9108491662966</v>
      </c>
      <c r="CB1999" s="2">
        <v>17.330242207249</v>
      </c>
      <c r="CC1999" s="2">
        <v>17.548443398150699</v>
      </c>
      <c r="CD1999" s="2">
        <v>18.106818037326001</v>
      </c>
      <c r="CE1999" s="2">
        <v>16.2930356490901</v>
      </c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</row>
    <row r="2000" spans="1:97">
      <c r="A2000" s="2" t="s">
        <v>17487</v>
      </c>
      <c r="B2000" s="2">
        <v>98.071460000000002</v>
      </c>
      <c r="C2000" s="2">
        <v>13.298999999999999</v>
      </c>
      <c r="D2000" s="2" t="s">
        <v>84</v>
      </c>
      <c r="E2000" s="2" t="s">
        <v>17488</v>
      </c>
      <c r="F2000" s="2" t="s">
        <v>17489</v>
      </c>
      <c r="G2000" s="2">
        <v>48075</v>
      </c>
      <c r="H2000" s="3" t="str">
        <f>HYPERLINK("https://cloud.oebiotech.com/#/lm/network/48075", "https://cloud.oebiotech.com/#/lm/network/48075")</f>
        <v>https://cloud.oebiotech.com/#/lm/network/48075</v>
      </c>
      <c r="I2000" s="2" t="s">
        <v>17490</v>
      </c>
      <c r="J2000" s="2">
        <v>58148</v>
      </c>
      <c r="K2000" s="2"/>
      <c r="L2000" s="2">
        <v>9260</v>
      </c>
      <c r="M2000" s="2" t="s">
        <v>17491</v>
      </c>
      <c r="N2000" s="2"/>
      <c r="O2000" s="2"/>
      <c r="P2000" s="2">
        <v>16898</v>
      </c>
      <c r="Q2000" s="2"/>
      <c r="R2000" s="2"/>
      <c r="S2000" s="2" t="s">
        <v>17492</v>
      </c>
      <c r="T2000" s="2" t="s">
        <v>17493</v>
      </c>
      <c r="U2000" s="2" t="s">
        <v>17494</v>
      </c>
      <c r="V2000" s="2" t="s">
        <v>553</v>
      </c>
      <c r="W2000" s="2" t="s">
        <v>6104</v>
      </c>
      <c r="X2000" s="2" t="s">
        <v>6105</v>
      </c>
      <c r="Y2000" s="2" t="s">
        <v>556</v>
      </c>
      <c r="Z2000" s="2" t="s">
        <v>6106</v>
      </c>
      <c r="AA2000" s="2" t="s">
        <v>6107</v>
      </c>
      <c r="AB2000" s="2" t="s">
        <v>8443</v>
      </c>
      <c r="AC2000" s="2">
        <v>38.520000000000003</v>
      </c>
      <c r="AD2000" s="2">
        <v>97.31</v>
      </c>
      <c r="AE2000" s="2">
        <v>0</v>
      </c>
      <c r="AF2000" s="2" t="s">
        <v>5614</v>
      </c>
      <c r="AG2000" s="2" t="s">
        <v>132</v>
      </c>
      <c r="AH2000" s="2" t="s">
        <v>17495</v>
      </c>
      <c r="AI2000" s="2">
        <v>-1.94</v>
      </c>
      <c r="AJ2000" s="2">
        <v>21.912287893080201</v>
      </c>
      <c r="AK2000" s="2">
        <v>22.1170441134947</v>
      </c>
      <c r="AL2000" s="2">
        <v>22.2016031013708</v>
      </c>
      <c r="AM2000" s="2">
        <v>21.7782349140722</v>
      </c>
      <c r="AN2000" s="2">
        <v>21.930862745695499</v>
      </c>
      <c r="AO2000" s="2">
        <v>22.500412998940199</v>
      </c>
      <c r="AP2000" s="2">
        <v>22.212542869235001</v>
      </c>
      <c r="AQ2000" s="2">
        <v>22.572151018809699</v>
      </c>
      <c r="AR2000" s="2">
        <v>21.5208688816513</v>
      </c>
      <c r="AS2000" s="2">
        <v>22.2569735587069</v>
      </c>
      <c r="AT2000" s="2">
        <v>22.962645273515001</v>
      </c>
      <c r="AU2000" s="2">
        <v>21.842851510589799</v>
      </c>
      <c r="AV2000" s="2">
        <v>22.6880538122319</v>
      </c>
      <c r="AW2000" s="2">
        <v>23.009005995917398</v>
      </c>
      <c r="AX2000" s="2">
        <v>22.6743964036182</v>
      </c>
      <c r="AY2000" s="2">
        <v>23.030207166036401</v>
      </c>
      <c r="AZ2000" s="2">
        <v>22.838126516129201</v>
      </c>
      <c r="BA2000" s="2">
        <v>22.637339952948398</v>
      </c>
      <c r="BB2000" s="2">
        <v>22.403511803916999</v>
      </c>
      <c r="BC2000" s="2">
        <v>21.752424080297999</v>
      </c>
      <c r="BD2000" s="2">
        <v>21.6054351122791</v>
      </c>
      <c r="BE2000" s="2">
        <v>22.081272353682898</v>
      </c>
      <c r="BF2000" s="2">
        <v>22.530820942699201</v>
      </c>
      <c r="BG2000" s="2">
        <v>21.840733674499901</v>
      </c>
      <c r="BH2000" s="2">
        <v>22.445921644761999</v>
      </c>
      <c r="BI2000" s="2">
        <v>22.372537205481599</v>
      </c>
      <c r="BJ2000" s="2">
        <v>21.248381082404801</v>
      </c>
      <c r="BK2000" s="2">
        <v>21.398723649149801</v>
      </c>
      <c r="BL2000" s="2">
        <v>22.2357726553332</v>
      </c>
      <c r="BM2000" s="2">
        <v>22.304102149776899</v>
      </c>
      <c r="BN2000" s="2">
        <v>22.687994704646002</v>
      </c>
      <c r="BO2000" s="2">
        <v>22.471301745387802</v>
      </c>
      <c r="BP2000" s="2">
        <v>22.648683361227999</v>
      </c>
      <c r="BQ2000" s="2">
        <v>22.0510221391032</v>
      </c>
      <c r="BR2000" s="2">
        <v>22.141734958527898</v>
      </c>
      <c r="BS2000" s="2">
        <v>22.1131142154948</v>
      </c>
      <c r="BT2000" s="2">
        <v>21.7061236955401</v>
      </c>
      <c r="BU2000" s="2">
        <v>22.4268153089698</v>
      </c>
      <c r="BV2000" s="2">
        <v>22.794782252070199</v>
      </c>
      <c r="BW2000" s="2">
        <v>22.2476572776844</v>
      </c>
      <c r="BX2000" s="2">
        <v>22.577010330347498</v>
      </c>
      <c r="BY2000" s="2">
        <v>22.051631596675499</v>
      </c>
      <c r="BZ2000" s="2">
        <v>21.890858831803602</v>
      </c>
      <c r="CA2000" s="2">
        <v>21.925666023348999</v>
      </c>
      <c r="CB2000" s="2">
        <v>22.260895897093199</v>
      </c>
      <c r="CC2000" s="2">
        <v>22.609695967535998</v>
      </c>
      <c r="CD2000" s="2">
        <v>21.617977688936101</v>
      </c>
      <c r="CE2000" s="2">
        <v>21.7578182548441</v>
      </c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</row>
    <row r="2001" spans="1:97">
      <c r="A2001" s="2" t="s">
        <v>17496</v>
      </c>
      <c r="B2001" s="2">
        <v>128.14322000000001</v>
      </c>
      <c r="C2001" s="2">
        <v>15.034000000000001</v>
      </c>
      <c r="D2001" s="2" t="s">
        <v>84</v>
      </c>
      <c r="E2001" s="2" t="s">
        <v>17497</v>
      </c>
      <c r="F2001" s="2" t="s">
        <v>17498</v>
      </c>
      <c r="G2001" s="2">
        <v>55107</v>
      </c>
      <c r="H2001" s="3" t="str">
        <f>HYPERLINK("https://cloud.oebiotech.com/#/lm/network/55107", "https://cloud.oebiotech.com/#/lm/network/55107")</f>
        <v>https://cloud.oebiotech.com/#/lm/network/55107</v>
      </c>
      <c r="I2001" s="2" t="s">
        <v>17499</v>
      </c>
      <c r="J2001" s="2">
        <v>3249</v>
      </c>
      <c r="K2001" s="2"/>
      <c r="L2001" s="2">
        <v>9985</v>
      </c>
      <c r="M2001" s="2" t="s">
        <v>17500</v>
      </c>
      <c r="N2001" s="2"/>
      <c r="O2001" s="2"/>
      <c r="P2001" s="2">
        <v>127791</v>
      </c>
      <c r="Q2001" s="2"/>
      <c r="R2001" s="2"/>
      <c r="S2001" s="2" t="s">
        <v>17501</v>
      </c>
      <c r="T2001" s="2" t="s">
        <v>17502</v>
      </c>
      <c r="U2001" s="2" t="s">
        <v>17503</v>
      </c>
      <c r="V2001" s="2" t="s">
        <v>374</v>
      </c>
      <c r="W2001" s="2" t="s">
        <v>375</v>
      </c>
      <c r="X2001" s="2" t="s">
        <v>375</v>
      </c>
      <c r="Y2001" s="2" t="s">
        <v>376</v>
      </c>
      <c r="Z2001" s="2"/>
      <c r="AA2001" s="2"/>
      <c r="AB2001" s="2" t="s">
        <v>8443</v>
      </c>
      <c r="AC2001" s="2">
        <v>38.520000000000003</v>
      </c>
      <c r="AD2001" s="2">
        <v>95.4</v>
      </c>
      <c r="AE2001" s="2">
        <v>0</v>
      </c>
      <c r="AF2001" s="2" t="s">
        <v>17504</v>
      </c>
      <c r="AG2001" s="2" t="s">
        <v>103</v>
      </c>
      <c r="AH2001" s="2" t="s">
        <v>17505</v>
      </c>
      <c r="AI2001" s="2">
        <v>1.56</v>
      </c>
      <c r="AJ2001" s="2">
        <v>22.527317023235099</v>
      </c>
      <c r="AK2001" s="2">
        <v>22.546571266117802</v>
      </c>
      <c r="AL2001" s="2">
        <v>22.367052462607401</v>
      </c>
      <c r="AM2001" s="2">
        <v>22.438741579081899</v>
      </c>
      <c r="AN2001" s="2">
        <v>22.5336965107007</v>
      </c>
      <c r="AO2001" s="2">
        <v>22.486613667767301</v>
      </c>
      <c r="AP2001" s="2">
        <v>21.899637650359999</v>
      </c>
      <c r="AQ2001" s="2">
        <v>22.392530668125801</v>
      </c>
      <c r="AR2001" s="2">
        <v>22.568491311785301</v>
      </c>
      <c r="AS2001" s="2">
        <v>22.369466691327901</v>
      </c>
      <c r="AT2001" s="2">
        <v>22.504068817561301</v>
      </c>
      <c r="AU2001" s="2">
        <v>22.1048963827485</v>
      </c>
      <c r="AV2001" s="2">
        <v>22.309199993900702</v>
      </c>
      <c r="AW2001" s="2">
        <v>22.254915736680999</v>
      </c>
      <c r="AX2001" s="2">
        <v>22.3803490689013</v>
      </c>
      <c r="AY2001" s="2">
        <v>22.427144162363</v>
      </c>
      <c r="AZ2001" s="2">
        <v>22.280888439245899</v>
      </c>
      <c r="BA2001" s="2">
        <v>21.0772731697535</v>
      </c>
      <c r="BB2001" s="2">
        <v>22.567152062498199</v>
      </c>
      <c r="BC2001" s="2">
        <v>21.823672084587599</v>
      </c>
      <c r="BD2001" s="2">
        <v>22.439385889144798</v>
      </c>
      <c r="BE2001" s="2">
        <v>22.3664421990294</v>
      </c>
      <c r="BF2001" s="2">
        <v>22.308858675622002</v>
      </c>
      <c r="BG2001" s="2">
        <v>22.406110998165101</v>
      </c>
      <c r="BH2001" s="2">
        <v>22.228410165518099</v>
      </c>
      <c r="BI2001" s="2">
        <v>21.543501948530199</v>
      </c>
      <c r="BJ2001" s="2">
        <v>21.9448515486167</v>
      </c>
      <c r="BK2001" s="2">
        <v>21.481066932588</v>
      </c>
      <c r="BL2001" s="2">
        <v>22.404180131707601</v>
      </c>
      <c r="BM2001" s="2">
        <v>22.2291589452397</v>
      </c>
      <c r="BN2001" s="2">
        <v>21.625011451886401</v>
      </c>
      <c r="BO2001" s="2">
        <v>22.254364193049</v>
      </c>
      <c r="BP2001" s="2">
        <v>22.413974558568299</v>
      </c>
      <c r="BQ2001" s="2">
        <v>22.4277432613755</v>
      </c>
      <c r="BR2001" s="2">
        <v>22.040536471671398</v>
      </c>
      <c r="BS2001" s="2">
        <v>22.3491903506442</v>
      </c>
      <c r="BT2001" s="2">
        <v>22.203754770728001</v>
      </c>
      <c r="BU2001" s="2">
        <v>22.5888356251013</v>
      </c>
      <c r="BV2001" s="2">
        <v>22.381702598028099</v>
      </c>
      <c r="BW2001" s="2">
        <v>22.3618446026002</v>
      </c>
      <c r="BX2001" s="2">
        <v>21.8273167672378</v>
      </c>
      <c r="BY2001" s="2">
        <v>21.787352887165301</v>
      </c>
      <c r="BZ2001" s="2">
        <v>21.892437498699</v>
      </c>
      <c r="CA2001" s="2">
        <v>21.774923980821299</v>
      </c>
      <c r="CB2001" s="2">
        <v>21.997037407091302</v>
      </c>
      <c r="CC2001" s="2">
        <v>21.855710092937901</v>
      </c>
      <c r="CD2001" s="2">
        <v>22.080482602846399</v>
      </c>
      <c r="CE2001" s="2">
        <v>22.198141650307399</v>
      </c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</row>
    <row r="2002" spans="1:97">
      <c r="A2002" s="2" t="s">
        <v>17506</v>
      </c>
      <c r="B2002" s="2">
        <v>313.07792999999998</v>
      </c>
      <c r="C2002" s="2">
        <v>14.526</v>
      </c>
      <c r="D2002" s="2" t="s">
        <v>146</v>
      </c>
      <c r="E2002" s="2" t="s">
        <v>17507</v>
      </c>
      <c r="F2002" s="2" t="s">
        <v>17508</v>
      </c>
      <c r="G2002" s="2">
        <v>207045</v>
      </c>
      <c r="H2002" s="3" t="str">
        <f>HYPERLINK("https://cloud.oebiotech.com/#/lm/network/207045", "https://cloud.oebiotech.com/#/lm/network/207045")</f>
        <v>https://cloud.oebiotech.com/#/lm/network/207045</v>
      </c>
      <c r="I2002" s="2" t="s">
        <v>17509</v>
      </c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 t="s">
        <v>17510</v>
      </c>
      <c r="U2002" s="2" t="s">
        <v>17511</v>
      </c>
      <c r="V2002" s="2" t="s">
        <v>338</v>
      </c>
      <c r="W2002" s="2" t="s">
        <v>339</v>
      </c>
      <c r="X2002" s="2" t="s">
        <v>663</v>
      </c>
      <c r="Y2002" s="2" t="s">
        <v>341</v>
      </c>
      <c r="Z2002" s="2" t="s">
        <v>341</v>
      </c>
      <c r="AA2002" s="2" t="s">
        <v>664</v>
      </c>
      <c r="AB2002" s="2" t="s">
        <v>8443</v>
      </c>
      <c r="AC2002" s="2">
        <v>38.51</v>
      </c>
      <c r="AD2002" s="2">
        <v>92.57</v>
      </c>
      <c r="AE2002" s="2">
        <v>0</v>
      </c>
      <c r="AF2002" s="2" t="s">
        <v>5614</v>
      </c>
      <c r="AG2002" s="2" t="s">
        <v>157</v>
      </c>
      <c r="AH2002" s="2" t="s">
        <v>17512</v>
      </c>
      <c r="AI2002" s="2">
        <v>-0.96</v>
      </c>
      <c r="AJ2002" s="2">
        <v>17.121563869951601</v>
      </c>
      <c r="AK2002" s="2">
        <v>18.224038097339999</v>
      </c>
      <c r="AL2002" s="2">
        <v>17.713497878597401</v>
      </c>
      <c r="AM2002" s="2">
        <v>18.368616780626901</v>
      </c>
      <c r="AN2002" s="2">
        <v>18.192671741886201</v>
      </c>
      <c r="AO2002" s="2">
        <v>18.197176082178402</v>
      </c>
      <c r="AP2002" s="2">
        <v>18.307495854655201</v>
      </c>
      <c r="AQ2002" s="2">
        <v>17.908823811993798</v>
      </c>
      <c r="AR2002" s="2">
        <v>15.621559413463199</v>
      </c>
      <c r="AS2002" s="2">
        <v>16.0982042236582</v>
      </c>
      <c r="AT2002" s="2">
        <v>15.20318891842</v>
      </c>
      <c r="AU2002" s="2">
        <v>15.8910232405079</v>
      </c>
      <c r="AV2002" s="2">
        <v>15.7588532670635</v>
      </c>
      <c r="AW2002" s="2">
        <v>14.7753273514667</v>
      </c>
      <c r="AX2002" s="2">
        <v>15.7454626725933</v>
      </c>
      <c r="AY2002" s="2">
        <v>16.646225250891298</v>
      </c>
      <c r="AZ2002" s="2">
        <v>15.9173082048659</v>
      </c>
      <c r="BA2002" s="2">
        <v>16.1729831408291</v>
      </c>
      <c r="BB2002" s="2">
        <v>16.312524576291</v>
      </c>
      <c r="BC2002" s="2">
        <v>15.280599338433801</v>
      </c>
      <c r="BD2002" s="2">
        <v>15.1245535061844</v>
      </c>
      <c r="BE2002" s="2">
        <v>15.018663989137201</v>
      </c>
      <c r="BF2002" s="2">
        <v>14.7913496248751</v>
      </c>
      <c r="BG2002" s="2">
        <v>15.715116346328699</v>
      </c>
      <c r="BH2002" s="2">
        <v>15.416790601703401</v>
      </c>
      <c r="BI2002" s="2">
        <v>15.428798842863999</v>
      </c>
      <c r="BJ2002" s="2">
        <v>15.8501040424716</v>
      </c>
      <c r="BK2002" s="2">
        <v>16.0409517034693</v>
      </c>
      <c r="BL2002" s="2">
        <v>15.432814598260499</v>
      </c>
      <c r="BM2002" s="2">
        <v>15.676902775012101</v>
      </c>
      <c r="BN2002" s="2">
        <v>15.679891296955899</v>
      </c>
      <c r="BO2002" s="2">
        <v>16.221034790492499</v>
      </c>
      <c r="BP2002" s="2">
        <v>16.266554513957299</v>
      </c>
      <c r="BQ2002" s="2">
        <v>15.1815797363887</v>
      </c>
      <c r="BR2002" s="2">
        <v>15.118643859257499</v>
      </c>
      <c r="BS2002" s="2">
        <v>15.107212579424599</v>
      </c>
      <c r="BT2002" s="2">
        <v>15.296651698098801</v>
      </c>
      <c r="BU2002" s="2">
        <v>16.032894843039202</v>
      </c>
      <c r="BV2002" s="2">
        <v>14.208809705749299</v>
      </c>
      <c r="BW2002" s="2">
        <v>15.4006499953803</v>
      </c>
      <c r="BX2002" s="2">
        <v>15.886635163553199</v>
      </c>
      <c r="BY2002" s="2">
        <v>15.9331887867551</v>
      </c>
      <c r="BZ2002" s="2">
        <v>15.351795044519299</v>
      </c>
      <c r="CA2002" s="2">
        <v>15.529315856307299</v>
      </c>
      <c r="CB2002" s="2">
        <v>16.328591662854802</v>
      </c>
      <c r="CC2002" s="2">
        <v>15.4001129343423</v>
      </c>
      <c r="CD2002" s="2">
        <v>15.1181486378118</v>
      </c>
      <c r="CE2002" s="2">
        <v>16.373255329226101</v>
      </c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</row>
    <row r="2003" spans="1:97">
      <c r="A2003" s="2" t="s">
        <v>17513</v>
      </c>
      <c r="B2003" s="2">
        <v>216.06631999999999</v>
      </c>
      <c r="C2003" s="2">
        <v>4.7190000000000003</v>
      </c>
      <c r="D2003" s="2" t="s">
        <v>84</v>
      </c>
      <c r="E2003" s="2" t="s">
        <v>17514</v>
      </c>
      <c r="F2003" s="2" t="s">
        <v>17515</v>
      </c>
      <c r="G2003" s="2">
        <v>57593</v>
      </c>
      <c r="H2003" s="3" t="str">
        <f>HYPERLINK("https://cloud.oebiotech.com/#/lm/network/57593", "https://cloud.oebiotech.com/#/lm/network/57593")</f>
        <v>https://cloud.oebiotech.com/#/lm/network/57593</v>
      </c>
      <c r="I2003" s="2" t="s">
        <v>17516</v>
      </c>
      <c r="J2003" s="2">
        <v>68468</v>
      </c>
      <c r="K2003" s="2"/>
      <c r="L2003" s="2">
        <v>124075</v>
      </c>
      <c r="M2003" s="2" t="s">
        <v>17517</v>
      </c>
      <c r="N2003" s="2"/>
      <c r="O2003" s="2"/>
      <c r="P2003" s="2"/>
      <c r="Q2003" s="2"/>
      <c r="R2003" s="2"/>
      <c r="S2003" s="2" t="s">
        <v>17518</v>
      </c>
      <c r="T2003" s="2" t="s">
        <v>17519</v>
      </c>
      <c r="U2003" s="2" t="s">
        <v>17520</v>
      </c>
      <c r="V2003" s="2" t="s">
        <v>553</v>
      </c>
      <c r="W2003" s="2" t="s">
        <v>1599</v>
      </c>
      <c r="X2003" s="2" t="s">
        <v>1600</v>
      </c>
      <c r="Y2003" s="2" t="s">
        <v>556</v>
      </c>
      <c r="Z2003" s="2" t="s">
        <v>1601</v>
      </c>
      <c r="AA2003" s="2" t="s">
        <v>1602</v>
      </c>
      <c r="AB2003" s="2" t="s">
        <v>8443</v>
      </c>
      <c r="AC2003" s="2">
        <v>38.51</v>
      </c>
      <c r="AD2003" s="2">
        <v>92.55</v>
      </c>
      <c r="AE2003" s="2">
        <v>0</v>
      </c>
      <c r="AF2003" s="2" t="s">
        <v>17521</v>
      </c>
      <c r="AG2003" s="2" t="s">
        <v>1088</v>
      </c>
      <c r="AH2003" s="2" t="s">
        <v>17522</v>
      </c>
      <c r="AI2003" s="2">
        <v>-0.93</v>
      </c>
      <c r="AJ2003" s="2">
        <v>18.997388371840898</v>
      </c>
      <c r="AK2003" s="2">
        <v>18.996350235612901</v>
      </c>
      <c r="AL2003" s="2">
        <v>19.139153488254099</v>
      </c>
      <c r="AM2003" s="2">
        <v>19.117543195396902</v>
      </c>
      <c r="AN2003" s="2">
        <v>19.127416324419102</v>
      </c>
      <c r="AO2003" s="2">
        <v>19.092912806227702</v>
      </c>
      <c r="AP2003" s="2">
        <v>18.8292307501642</v>
      </c>
      <c r="AQ2003" s="2">
        <v>19.104782702652798</v>
      </c>
      <c r="AR2003" s="2">
        <v>17.8493502413281</v>
      </c>
      <c r="AS2003" s="2">
        <v>16.629961600865499</v>
      </c>
      <c r="AT2003" s="2">
        <v>17.1695073640647</v>
      </c>
      <c r="AU2003" s="2">
        <v>18.383063868374499</v>
      </c>
      <c r="AV2003" s="2">
        <v>18.469850690218301</v>
      </c>
      <c r="AW2003" s="2">
        <v>17.897440692742801</v>
      </c>
      <c r="AX2003" s="2">
        <v>17.351109359261599</v>
      </c>
      <c r="AY2003" s="2">
        <v>18.832639174309602</v>
      </c>
      <c r="AZ2003" s="2">
        <v>18.802859946235401</v>
      </c>
      <c r="BA2003" s="2">
        <v>17.446683839714701</v>
      </c>
      <c r="BB2003" s="2">
        <v>17.812668496960299</v>
      </c>
      <c r="BC2003" s="2">
        <v>20.351372407003002</v>
      </c>
      <c r="BD2003" s="2">
        <v>19.345857793925301</v>
      </c>
      <c r="BE2003" s="2">
        <v>20.0887008310558</v>
      </c>
      <c r="BF2003" s="2">
        <v>19.4264722426886</v>
      </c>
      <c r="BG2003" s="2">
        <v>18.878636206116401</v>
      </c>
      <c r="BH2003" s="2">
        <v>18.689670411842101</v>
      </c>
      <c r="BI2003" s="2">
        <v>18.6765332504383</v>
      </c>
      <c r="BJ2003" s="2">
        <v>17.5447497084938</v>
      </c>
      <c r="BK2003" s="2">
        <v>18.265858804801599</v>
      </c>
      <c r="BL2003" s="2">
        <v>18.1088793390572</v>
      </c>
      <c r="BM2003" s="2">
        <v>19.155621467068499</v>
      </c>
      <c r="BN2003" s="2">
        <v>19.379610411985301</v>
      </c>
      <c r="BO2003" s="2">
        <v>18.7924873926112</v>
      </c>
      <c r="BP2003" s="2">
        <v>18.529834707457599</v>
      </c>
      <c r="BQ2003" s="2">
        <v>18.2179268464517</v>
      </c>
      <c r="BR2003" s="2">
        <v>17.8878262331569</v>
      </c>
      <c r="BS2003" s="2">
        <v>19.410229184471699</v>
      </c>
      <c r="BT2003" s="2">
        <v>18.792110853135402</v>
      </c>
      <c r="BU2003" s="2">
        <v>19.084136534631099</v>
      </c>
      <c r="BV2003" s="2">
        <v>18.4745286902636</v>
      </c>
      <c r="BW2003" s="2">
        <v>16.665103120580699</v>
      </c>
      <c r="BX2003" s="2">
        <v>19.277019903479701</v>
      </c>
      <c r="BY2003" s="2">
        <v>18.757856305645699</v>
      </c>
      <c r="BZ2003" s="2">
        <v>18.880884726496699</v>
      </c>
      <c r="CA2003" s="2">
        <v>18.3652636275995</v>
      </c>
      <c r="CB2003" s="2">
        <v>13.7786972893658</v>
      </c>
      <c r="CC2003" s="2">
        <v>19.366355642782999</v>
      </c>
      <c r="CD2003" s="2">
        <v>17.9802503868254</v>
      </c>
      <c r="CE2003" s="2">
        <v>18.752384044200301</v>
      </c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</row>
    <row r="2004" spans="1:97">
      <c r="A2004" s="2" t="s">
        <v>17523</v>
      </c>
      <c r="B2004" s="2">
        <v>202.21626000000001</v>
      </c>
      <c r="C2004" s="2">
        <v>6.5190000000000001</v>
      </c>
      <c r="D2004" s="2" t="s">
        <v>84</v>
      </c>
      <c r="E2004" s="2" t="s">
        <v>17524</v>
      </c>
      <c r="F2004" s="2" t="s">
        <v>17525</v>
      </c>
      <c r="G2004" s="2">
        <v>6604</v>
      </c>
      <c r="H2004" s="3" t="str">
        <f>HYPERLINK("https://cloud.oebiotech.com/#/lm/network/6604", "https://cloud.oebiotech.com/#/lm/network/6604")</f>
        <v>https://cloud.oebiotech.com/#/lm/network/6604</v>
      </c>
      <c r="I2004" s="2"/>
      <c r="J2004" s="2">
        <v>46433</v>
      </c>
      <c r="K2004" s="2" t="s">
        <v>17526</v>
      </c>
      <c r="L2004" s="2">
        <v>13456439</v>
      </c>
      <c r="M2004" s="2"/>
      <c r="N2004" s="2"/>
      <c r="O2004" s="2"/>
      <c r="P2004" s="2"/>
      <c r="Q2004" s="2"/>
      <c r="R2004" s="2"/>
      <c r="S2004" s="2"/>
      <c r="T2004" s="2" t="s">
        <v>17527</v>
      </c>
      <c r="U2004" s="2" t="s">
        <v>17528</v>
      </c>
      <c r="V2004" s="2" t="s">
        <v>338</v>
      </c>
      <c r="W2004" s="2" t="s">
        <v>339</v>
      </c>
      <c r="X2004" s="2" t="s">
        <v>340</v>
      </c>
      <c r="Y2004" s="2" t="s">
        <v>341</v>
      </c>
      <c r="Z2004" s="2" t="s">
        <v>341</v>
      </c>
      <c r="AA2004" s="2" t="s">
        <v>342</v>
      </c>
      <c r="AB2004" s="2" t="s">
        <v>8443</v>
      </c>
      <c r="AC2004" s="2">
        <v>38.51</v>
      </c>
      <c r="AD2004" s="2">
        <v>92.54</v>
      </c>
      <c r="AE2004" s="2">
        <v>0</v>
      </c>
      <c r="AF2004" s="2" t="s">
        <v>5614</v>
      </c>
      <c r="AG2004" s="2" t="s">
        <v>132</v>
      </c>
      <c r="AH2004" s="2" t="s">
        <v>8575</v>
      </c>
      <c r="AI2004" s="2">
        <v>0.99</v>
      </c>
      <c r="AJ2004" s="2">
        <v>19.860511694848402</v>
      </c>
      <c r="AK2004" s="2">
        <v>19.976564375126198</v>
      </c>
      <c r="AL2004" s="2">
        <v>19.781113570470499</v>
      </c>
      <c r="AM2004" s="2">
        <v>19.838449562322499</v>
      </c>
      <c r="AN2004" s="2">
        <v>19.899316086899798</v>
      </c>
      <c r="AO2004" s="2">
        <v>19.886178410391398</v>
      </c>
      <c r="AP2004" s="2">
        <v>19.8956950878333</v>
      </c>
      <c r="AQ2004" s="2">
        <v>19.9309022654746</v>
      </c>
      <c r="AR2004" s="2">
        <v>18.8326657188016</v>
      </c>
      <c r="AS2004" s="2">
        <v>18.794080742010902</v>
      </c>
      <c r="AT2004" s="2">
        <v>18.849502719032099</v>
      </c>
      <c r="AU2004" s="2">
        <v>18.578546980437402</v>
      </c>
      <c r="AV2004" s="2">
        <v>18.275050119272201</v>
      </c>
      <c r="AW2004" s="2">
        <v>18.6844503791195</v>
      </c>
      <c r="AX2004" s="2">
        <v>18.743617449942601</v>
      </c>
      <c r="AY2004" s="2">
        <v>18.5490828571827</v>
      </c>
      <c r="AZ2004" s="2">
        <v>18.713436861237</v>
      </c>
      <c r="BA2004" s="2">
        <v>18.125725686292</v>
      </c>
      <c r="BB2004" s="2">
        <v>18.439929147356398</v>
      </c>
      <c r="BC2004" s="2">
        <v>18.9981641490192</v>
      </c>
      <c r="BD2004" s="2">
        <v>18.870633044480499</v>
      </c>
      <c r="BE2004" s="2">
        <v>18.3204445282039</v>
      </c>
      <c r="BF2004" s="2">
        <v>19.152288779247101</v>
      </c>
      <c r="BG2004" s="2">
        <v>19.224145523760999</v>
      </c>
      <c r="BH2004" s="2">
        <v>18.9184023661468</v>
      </c>
      <c r="BI2004" s="2">
        <v>18.851383051652601</v>
      </c>
      <c r="BJ2004" s="2">
        <v>18.3871239459327</v>
      </c>
      <c r="BK2004" s="2">
        <v>18.525936455391999</v>
      </c>
      <c r="BL2004" s="2">
        <v>18.2611659234211</v>
      </c>
      <c r="BM2004" s="2">
        <v>18.168184276103698</v>
      </c>
      <c r="BN2004" s="2">
        <v>18.874866201849901</v>
      </c>
      <c r="BO2004" s="2">
        <v>18.4214328490201</v>
      </c>
      <c r="BP2004" s="2">
        <v>18.7146829091784</v>
      </c>
      <c r="BQ2004" s="2">
        <v>18.2745039631304</v>
      </c>
      <c r="BR2004" s="2">
        <v>19.299634354604901</v>
      </c>
      <c r="BS2004" s="2">
        <v>18.699241027227099</v>
      </c>
      <c r="BT2004" s="2">
        <v>18.202200221955501</v>
      </c>
      <c r="BU2004" s="2">
        <v>18.344145951740899</v>
      </c>
      <c r="BV2004" s="2">
        <v>18.659362226653499</v>
      </c>
      <c r="BW2004" s="2">
        <v>18.7406664338368</v>
      </c>
      <c r="BX2004" s="2">
        <v>18.7109037071566</v>
      </c>
      <c r="BY2004" s="2">
        <v>18.869640348394299</v>
      </c>
      <c r="BZ2004" s="2">
        <v>18.847781185965299</v>
      </c>
      <c r="CA2004" s="2">
        <v>18.590264780161998</v>
      </c>
      <c r="CB2004" s="2">
        <v>18.363845452483702</v>
      </c>
      <c r="CC2004" s="2">
        <v>18.3625136373965</v>
      </c>
      <c r="CD2004" s="2">
        <v>18.583217514240602</v>
      </c>
      <c r="CE2004" s="2">
        <v>18.033341854112201</v>
      </c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</row>
    <row r="2005" spans="1:97">
      <c r="A2005" s="2" t="s">
        <v>17529</v>
      </c>
      <c r="B2005" s="2">
        <v>613.35875999999996</v>
      </c>
      <c r="C2005" s="2">
        <v>7.2190000000000003</v>
      </c>
      <c r="D2005" s="2" t="s">
        <v>146</v>
      </c>
      <c r="E2005" s="2" t="s">
        <v>17530</v>
      </c>
      <c r="F2005" s="2" t="s">
        <v>17531</v>
      </c>
      <c r="G2005" s="2">
        <v>38889</v>
      </c>
      <c r="H2005" s="3" t="str">
        <f>HYPERLINK("https://cloud.oebiotech.com/#/lm/network/38889", "https://cloud.oebiotech.com/#/lm/network/38889")</f>
        <v>https://cloud.oebiotech.com/#/lm/network/38889</v>
      </c>
      <c r="I2005" s="2"/>
      <c r="J2005" s="2"/>
      <c r="K2005" s="2" t="s">
        <v>17532</v>
      </c>
      <c r="L2005" s="2">
        <v>56940687</v>
      </c>
      <c r="M2005" s="2"/>
      <c r="N2005" s="2"/>
      <c r="O2005" s="2"/>
      <c r="P2005" s="2"/>
      <c r="Q2005" s="2"/>
      <c r="R2005" s="2"/>
      <c r="S2005" s="2"/>
      <c r="T2005" s="2" t="s">
        <v>17533</v>
      </c>
      <c r="U2005" s="2" t="s">
        <v>17534</v>
      </c>
      <c r="V2005" s="2" t="s">
        <v>95</v>
      </c>
      <c r="W2005" s="2" t="s">
        <v>96</v>
      </c>
      <c r="X2005" s="2" t="s">
        <v>2173</v>
      </c>
      <c r="Y2005" s="2" t="s">
        <v>98</v>
      </c>
      <c r="Z2005" s="2" t="s">
        <v>99</v>
      </c>
      <c r="AA2005" s="2" t="s">
        <v>2174</v>
      </c>
      <c r="AB2005" s="2" t="s">
        <v>8443</v>
      </c>
      <c r="AC2005" s="2">
        <v>38.51</v>
      </c>
      <c r="AD2005" s="2">
        <v>92.54</v>
      </c>
      <c r="AE2005" s="2">
        <v>0</v>
      </c>
      <c r="AF2005" s="2" t="s">
        <v>17535</v>
      </c>
      <c r="AG2005" s="2" t="s">
        <v>993</v>
      </c>
      <c r="AH2005" s="2" t="s">
        <v>17536</v>
      </c>
      <c r="AI2005" s="2">
        <v>0</v>
      </c>
      <c r="AJ2005" s="2">
        <v>19.416866475627501</v>
      </c>
      <c r="AK2005" s="2">
        <v>19.568314395518701</v>
      </c>
      <c r="AL2005" s="2">
        <v>19.630270947224901</v>
      </c>
      <c r="AM2005" s="2">
        <v>19.616329364568099</v>
      </c>
      <c r="AN2005" s="2">
        <v>19.404195290322601</v>
      </c>
      <c r="AO2005" s="2">
        <v>19.543417454845301</v>
      </c>
      <c r="AP2005" s="2">
        <v>19.496246221512799</v>
      </c>
      <c r="AQ2005" s="2">
        <v>19.503576425868701</v>
      </c>
      <c r="AR2005" s="2">
        <v>18.996341021550201</v>
      </c>
      <c r="AS2005" s="2">
        <v>16.865563047342501</v>
      </c>
      <c r="AT2005" s="2">
        <v>19.439894459769899</v>
      </c>
      <c r="AU2005" s="2">
        <v>17.987180670485198</v>
      </c>
      <c r="AV2005" s="2">
        <v>19.516833715718501</v>
      </c>
      <c r="AW2005" s="2">
        <v>20.067688357303702</v>
      </c>
      <c r="AX2005" s="2">
        <v>19.4653880815539</v>
      </c>
      <c r="AY2005" s="2">
        <v>19.738914010783201</v>
      </c>
      <c r="AZ2005" s="2">
        <v>18.975579066166802</v>
      </c>
      <c r="BA2005" s="2">
        <v>19.535879379474199</v>
      </c>
      <c r="BB2005" s="2">
        <v>19.022519855883498</v>
      </c>
      <c r="BC2005" s="2">
        <v>19.659102708810199</v>
      </c>
      <c r="BD2005" s="2">
        <v>18.9265522350399</v>
      </c>
      <c r="BE2005" s="2">
        <v>19.8919366551909</v>
      </c>
      <c r="BF2005" s="2">
        <v>18.656977660566099</v>
      </c>
      <c r="BG2005" s="2">
        <v>19.224803077086701</v>
      </c>
      <c r="BH2005" s="2">
        <v>19.1406220798969</v>
      </c>
      <c r="BI2005" s="2">
        <v>19.9539512264985</v>
      </c>
      <c r="BJ2005" s="2">
        <v>19.6583387647321</v>
      </c>
      <c r="BK2005" s="2">
        <v>19.5449595667633</v>
      </c>
      <c r="BL2005" s="2">
        <v>18.713552416133101</v>
      </c>
      <c r="BM2005" s="2">
        <v>18.182029355907499</v>
      </c>
      <c r="BN2005" s="2">
        <v>19.624715953115501</v>
      </c>
      <c r="BO2005" s="2">
        <v>17.833909424868502</v>
      </c>
      <c r="BP2005" s="2">
        <v>19.734142996243399</v>
      </c>
      <c r="BQ2005" s="2">
        <v>19.421873322159701</v>
      </c>
      <c r="BR2005" s="2">
        <v>19.670790562033901</v>
      </c>
      <c r="BS2005" s="2">
        <v>19.725892166787101</v>
      </c>
      <c r="BT2005" s="2">
        <v>19.0924564707129</v>
      </c>
      <c r="BU2005" s="2">
        <v>19.797261664595499</v>
      </c>
      <c r="BV2005" s="2">
        <v>19.091374639120399</v>
      </c>
      <c r="BW2005" s="2">
        <v>19.0058671360636</v>
      </c>
      <c r="BX2005" s="2">
        <v>18.071430623084201</v>
      </c>
      <c r="BY2005" s="2">
        <v>20.469322677153599</v>
      </c>
      <c r="BZ2005" s="2">
        <v>20.088503549216298</v>
      </c>
      <c r="CA2005" s="2">
        <v>18.996927293855599</v>
      </c>
      <c r="CB2005" s="2">
        <v>18.996551661284599</v>
      </c>
      <c r="CC2005" s="2">
        <v>20.251615930383299</v>
      </c>
      <c r="CD2005" s="2">
        <v>19.792066865744602</v>
      </c>
      <c r="CE2005" s="2">
        <v>19.4696049950754</v>
      </c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</row>
    <row r="2006" spans="1:97">
      <c r="A2006" s="2" t="s">
        <v>17537</v>
      </c>
      <c r="B2006" s="2">
        <v>586.30767000000003</v>
      </c>
      <c r="C2006" s="2">
        <v>10.521000000000001</v>
      </c>
      <c r="D2006" s="2" t="s">
        <v>84</v>
      </c>
      <c r="E2006" s="2" t="s">
        <v>17538</v>
      </c>
      <c r="F2006" s="2" t="s">
        <v>17538</v>
      </c>
      <c r="G2006" s="2">
        <v>200235</v>
      </c>
      <c r="H2006" s="3" t="str">
        <f>HYPERLINK("https://cloud.oebiotech.com/#/lm/network/200235", "https://cloud.oebiotech.com/#/lm/network/200235")</f>
        <v>https://cloud.oebiotech.com/#/lm/network/200235</v>
      </c>
      <c r="I2006" s="2" t="s">
        <v>17539</v>
      </c>
      <c r="J2006" s="2"/>
      <c r="K2006" s="2"/>
      <c r="L2006" s="2">
        <v>433449</v>
      </c>
      <c r="M2006" s="2"/>
      <c r="N2006" s="2"/>
      <c r="O2006" s="2"/>
      <c r="P2006" s="2">
        <v>93755</v>
      </c>
      <c r="Q2006" s="2"/>
      <c r="R2006" s="2"/>
      <c r="S2006" s="2"/>
      <c r="T2006" s="2" t="s">
        <v>17540</v>
      </c>
      <c r="U2006" s="2" t="s">
        <v>17541</v>
      </c>
      <c r="V2006" s="2" t="s">
        <v>845</v>
      </c>
      <c r="W2006" s="2" t="s">
        <v>17542</v>
      </c>
      <c r="X2006" s="2" t="s">
        <v>375</v>
      </c>
      <c r="Y2006" s="2" t="s">
        <v>847</v>
      </c>
      <c r="Z2006" s="2" t="s">
        <v>17543</v>
      </c>
      <c r="AA2006" s="2"/>
      <c r="AB2006" s="2" t="s">
        <v>5118</v>
      </c>
      <c r="AC2006" s="2">
        <v>38.51</v>
      </c>
      <c r="AD2006" s="2">
        <v>91.86</v>
      </c>
      <c r="AE2006" s="2">
        <v>47.22</v>
      </c>
      <c r="AF2006" s="2" t="s">
        <v>17544</v>
      </c>
      <c r="AG2006" s="2" t="s">
        <v>103</v>
      </c>
      <c r="AH2006" s="2" t="s">
        <v>17545</v>
      </c>
      <c r="AI2006" s="2">
        <v>7.85</v>
      </c>
      <c r="AJ2006" s="2">
        <v>21.6876544254458</v>
      </c>
      <c r="AK2006" s="2">
        <v>21.787613562240601</v>
      </c>
      <c r="AL2006" s="2">
        <v>21.516033966353099</v>
      </c>
      <c r="AM2006" s="2">
        <v>21.552152404035301</v>
      </c>
      <c r="AN2006" s="2">
        <v>21.160599110379501</v>
      </c>
      <c r="AO2006" s="2">
        <v>21.505886307991599</v>
      </c>
      <c r="AP2006" s="2">
        <v>21.408153998226499</v>
      </c>
      <c r="AQ2006" s="2">
        <v>21.6193114239084</v>
      </c>
      <c r="AR2006" s="2">
        <v>21.3729091002803</v>
      </c>
      <c r="AS2006" s="2">
        <v>21.4927099067671</v>
      </c>
      <c r="AT2006" s="2">
        <v>21.687757385246201</v>
      </c>
      <c r="AU2006" s="2">
        <v>21.5756648266618</v>
      </c>
      <c r="AV2006" s="2">
        <v>21.172341856096001</v>
      </c>
      <c r="AW2006" s="2">
        <v>20.833181848738999</v>
      </c>
      <c r="AX2006" s="2">
        <v>21.210060586095398</v>
      </c>
      <c r="AY2006" s="2">
        <v>21.004259700469898</v>
      </c>
      <c r="AZ2006" s="2">
        <v>21.681714277095999</v>
      </c>
      <c r="BA2006" s="2">
        <v>21.1215909338251</v>
      </c>
      <c r="BB2006" s="2">
        <v>21.585871649285501</v>
      </c>
      <c r="BC2006" s="2">
        <v>21.4722945132349</v>
      </c>
      <c r="BD2006" s="2">
        <v>21.4332583050893</v>
      </c>
      <c r="BE2006" s="2">
        <v>22.181118284331099</v>
      </c>
      <c r="BF2006" s="2">
        <v>21.540049634871998</v>
      </c>
      <c r="BG2006" s="2">
        <v>20.643946522691401</v>
      </c>
      <c r="BH2006" s="2">
        <v>21.3920199649917</v>
      </c>
      <c r="BI2006" s="2">
        <v>20.8402965572654</v>
      </c>
      <c r="BJ2006" s="2">
        <v>21.565795718486498</v>
      </c>
      <c r="BK2006" s="2">
        <v>21.464877043819499</v>
      </c>
      <c r="BL2006" s="2">
        <v>21.394052982575499</v>
      </c>
      <c r="BM2006" s="2">
        <v>21.109262208281201</v>
      </c>
      <c r="BN2006" s="2">
        <v>21.548525900038701</v>
      </c>
      <c r="BO2006" s="2">
        <v>21.730564012597998</v>
      </c>
      <c r="BP2006" s="2">
        <v>21.649499197944099</v>
      </c>
      <c r="BQ2006" s="2">
        <v>21.435581045946702</v>
      </c>
      <c r="BR2006" s="2">
        <v>21.677213908056601</v>
      </c>
      <c r="BS2006" s="2">
        <v>21.418448210914999</v>
      </c>
      <c r="BT2006" s="2">
        <v>21.4485816757009</v>
      </c>
      <c r="BU2006" s="2">
        <v>21.718685273921199</v>
      </c>
      <c r="BV2006" s="2">
        <v>21.5377621492154</v>
      </c>
      <c r="BW2006" s="2">
        <v>21.4147777700591</v>
      </c>
      <c r="BX2006" s="2">
        <v>21.195143343576198</v>
      </c>
      <c r="BY2006" s="2">
        <v>20.9624756723884</v>
      </c>
      <c r="BZ2006" s="2">
        <v>21.364456139285402</v>
      </c>
      <c r="CA2006" s="2">
        <v>21.500718575246601</v>
      </c>
      <c r="CB2006" s="2">
        <v>21.320565486597499</v>
      </c>
      <c r="CC2006" s="2">
        <v>21.6775084960382</v>
      </c>
      <c r="CD2006" s="2">
        <v>21.215381889547199</v>
      </c>
      <c r="CE2006" s="2">
        <v>21.438663550313699</v>
      </c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</row>
    <row r="2007" spans="1:97">
      <c r="A2007" s="2" t="s">
        <v>17546</v>
      </c>
      <c r="B2007" s="2">
        <v>842.65785000000005</v>
      </c>
      <c r="C2007" s="2">
        <v>8.8040000000000003</v>
      </c>
      <c r="D2007" s="2" t="s">
        <v>84</v>
      </c>
      <c r="E2007" s="2" t="s">
        <v>17547</v>
      </c>
      <c r="F2007" s="2" t="s">
        <v>17548</v>
      </c>
      <c r="G2007" s="2">
        <v>133404</v>
      </c>
      <c r="H2007" s="3" t="str">
        <f>HYPERLINK("https://cloud.oebiotech.com/#/lm/network/133404", "https://cloud.oebiotech.com/#/lm/network/133404")</f>
        <v>https://cloud.oebiotech.com/#/lm/network/133404</v>
      </c>
      <c r="I2007" s="2" t="s">
        <v>17549</v>
      </c>
      <c r="J2007" s="2"/>
      <c r="K2007" s="2"/>
      <c r="L2007" s="2">
        <v>131820413</v>
      </c>
      <c r="M2007" s="2"/>
      <c r="N2007" s="2"/>
      <c r="O2007" s="2"/>
      <c r="P2007" s="2"/>
      <c r="Q2007" s="2"/>
      <c r="R2007" s="2"/>
      <c r="S2007" s="2"/>
      <c r="T2007" s="2" t="s">
        <v>17550</v>
      </c>
      <c r="U2007" s="2" t="s">
        <v>17551</v>
      </c>
      <c r="V2007" s="2" t="s">
        <v>95</v>
      </c>
      <c r="W2007" s="2" t="s">
        <v>202</v>
      </c>
      <c r="X2007" s="2" t="s">
        <v>327</v>
      </c>
      <c r="Y2007" s="2" t="s">
        <v>98</v>
      </c>
      <c r="Z2007" s="2" t="s">
        <v>204</v>
      </c>
      <c r="AA2007" s="2" t="s">
        <v>328</v>
      </c>
      <c r="AB2007" s="2" t="s">
        <v>8443</v>
      </c>
      <c r="AC2007" s="2">
        <v>38.51</v>
      </c>
      <c r="AD2007" s="2">
        <v>91.54</v>
      </c>
      <c r="AE2007" s="2">
        <v>36.86</v>
      </c>
      <c r="AF2007" s="2" t="s">
        <v>17552</v>
      </c>
      <c r="AG2007" s="2" t="s">
        <v>103</v>
      </c>
      <c r="AH2007" s="2" t="s">
        <v>17553</v>
      </c>
      <c r="AI2007" s="2">
        <v>6.41</v>
      </c>
      <c r="AJ2007" s="2">
        <v>24.065623261766302</v>
      </c>
      <c r="AK2007" s="2">
        <v>24.166586477494299</v>
      </c>
      <c r="AL2007" s="2">
        <v>24.1241216014011</v>
      </c>
      <c r="AM2007" s="2">
        <v>24.065341495864299</v>
      </c>
      <c r="AN2007" s="2">
        <v>24.272367413818301</v>
      </c>
      <c r="AO2007" s="2">
        <v>24.008107575009799</v>
      </c>
      <c r="AP2007" s="2">
        <v>24.301796059172201</v>
      </c>
      <c r="AQ2007" s="2">
        <v>23.975955790835101</v>
      </c>
      <c r="AR2007" s="2">
        <v>23.934099555396401</v>
      </c>
      <c r="AS2007" s="2">
        <v>24.141876291581699</v>
      </c>
      <c r="AT2007" s="2">
        <v>23.9406698882323</v>
      </c>
      <c r="AU2007" s="2">
        <v>23.9281399940527</v>
      </c>
      <c r="AV2007" s="2">
        <v>24.2160694052533</v>
      </c>
      <c r="AW2007" s="2">
        <v>24.032770487410701</v>
      </c>
      <c r="AX2007" s="2">
        <v>24.0529164027127</v>
      </c>
      <c r="AY2007" s="2">
        <v>23.8983608297365</v>
      </c>
      <c r="AZ2007" s="2">
        <v>24.147667306374601</v>
      </c>
      <c r="BA2007" s="2">
        <v>23.903794654748101</v>
      </c>
      <c r="BB2007" s="2">
        <v>23.865505325996502</v>
      </c>
      <c r="BC2007" s="2">
        <v>24.034688606575699</v>
      </c>
      <c r="BD2007" s="2">
        <v>24.074765697277702</v>
      </c>
      <c r="BE2007" s="2">
        <v>24.019817204799502</v>
      </c>
      <c r="BF2007" s="2">
        <v>23.847654780077999</v>
      </c>
      <c r="BG2007" s="2">
        <v>24.197249082628801</v>
      </c>
      <c r="BH2007" s="2">
        <v>24.135963768776801</v>
      </c>
      <c r="BI2007" s="2">
        <v>23.903103112552898</v>
      </c>
      <c r="BJ2007" s="2">
        <v>23.881867065799</v>
      </c>
      <c r="BK2007" s="2">
        <v>24.065413638889101</v>
      </c>
      <c r="BL2007" s="2">
        <v>24.051914060184401</v>
      </c>
      <c r="BM2007" s="2">
        <v>23.834125732297299</v>
      </c>
      <c r="BN2007" s="2">
        <v>23.909127407054498</v>
      </c>
      <c r="BO2007" s="2">
        <v>23.980469357796899</v>
      </c>
      <c r="BP2007" s="2">
        <v>24.018374343359898</v>
      </c>
      <c r="BQ2007" s="2">
        <v>23.893016116087601</v>
      </c>
      <c r="BR2007" s="2">
        <v>24.011925876124799</v>
      </c>
      <c r="BS2007" s="2">
        <v>23.822911929081599</v>
      </c>
      <c r="BT2007" s="2">
        <v>23.992306736452498</v>
      </c>
      <c r="BU2007" s="2">
        <v>24.020854048494002</v>
      </c>
      <c r="BV2007" s="2">
        <v>24.082802296521201</v>
      </c>
      <c r="BW2007" s="2">
        <v>23.816439424936501</v>
      </c>
      <c r="BX2007" s="2">
        <v>23.7835892355263</v>
      </c>
      <c r="BY2007" s="2">
        <v>23.764555745981099</v>
      </c>
      <c r="BZ2007" s="2">
        <v>24.074070185357101</v>
      </c>
      <c r="CA2007" s="2">
        <v>23.978501531686</v>
      </c>
      <c r="CB2007" s="2">
        <v>24.073430110007799</v>
      </c>
      <c r="CC2007" s="2">
        <v>23.824793844743098</v>
      </c>
      <c r="CD2007" s="2">
        <v>23.9744959737213</v>
      </c>
      <c r="CE2007" s="2">
        <v>24.078018011085</v>
      </c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</row>
    <row r="2008" spans="1:97">
      <c r="A2008" s="2" t="s">
        <v>17554</v>
      </c>
      <c r="B2008" s="2">
        <v>197.04265000000001</v>
      </c>
      <c r="C2008" s="2">
        <v>4.3310000000000004</v>
      </c>
      <c r="D2008" s="2" t="s">
        <v>146</v>
      </c>
      <c r="E2008" s="2" t="s">
        <v>17555</v>
      </c>
      <c r="F2008" s="2" t="s">
        <v>17556</v>
      </c>
      <c r="G2008" s="2">
        <v>205445</v>
      </c>
      <c r="H2008" s="3" t="str">
        <f>HYPERLINK("https://cloud.oebiotech.com/#/lm/network/205445", "https://cloud.oebiotech.com/#/lm/network/205445")</f>
        <v>https://cloud.oebiotech.com/#/lm/network/205445</v>
      </c>
      <c r="I2008" s="2" t="s">
        <v>17557</v>
      </c>
      <c r="J2008" s="2">
        <v>55</v>
      </c>
      <c r="K2008" s="2"/>
      <c r="L2008" s="2">
        <v>2915</v>
      </c>
      <c r="M2008" s="2"/>
      <c r="N2008" s="2"/>
      <c r="O2008" s="2"/>
      <c r="P2008" s="2">
        <v>78757</v>
      </c>
      <c r="Q2008" s="2"/>
      <c r="R2008" s="2"/>
      <c r="S2008" s="2" t="s">
        <v>17558</v>
      </c>
      <c r="T2008" s="2" t="s">
        <v>17559</v>
      </c>
      <c r="U2008" s="2" t="s">
        <v>17560</v>
      </c>
      <c r="V2008" s="2" t="s">
        <v>9746</v>
      </c>
      <c r="W2008" s="2" t="s">
        <v>17561</v>
      </c>
      <c r="X2008" s="2" t="s">
        <v>17562</v>
      </c>
      <c r="Y2008" s="2" t="s">
        <v>9748</v>
      </c>
      <c r="Z2008" s="2" t="s">
        <v>17563</v>
      </c>
      <c r="AA2008" s="2" t="s">
        <v>17564</v>
      </c>
      <c r="AB2008" s="2" t="s">
        <v>8443</v>
      </c>
      <c r="AC2008" s="2">
        <v>38.5</v>
      </c>
      <c r="AD2008" s="2">
        <v>95.08</v>
      </c>
      <c r="AE2008" s="2">
        <v>0</v>
      </c>
      <c r="AF2008" s="2" t="s">
        <v>17565</v>
      </c>
      <c r="AG2008" s="2" t="s">
        <v>157</v>
      </c>
      <c r="AH2008" s="2" t="s">
        <v>17566</v>
      </c>
      <c r="AI2008" s="2">
        <v>-1.52</v>
      </c>
      <c r="AJ2008" s="2">
        <v>25.889351902267201</v>
      </c>
      <c r="AK2008" s="2">
        <v>25.8115401303772</v>
      </c>
      <c r="AL2008" s="2">
        <v>25.764036347881799</v>
      </c>
      <c r="AM2008" s="2">
        <v>25.893973762540899</v>
      </c>
      <c r="AN2008" s="2">
        <v>25.8082929298299</v>
      </c>
      <c r="AO2008" s="2">
        <v>25.692070813365699</v>
      </c>
      <c r="AP2008" s="2">
        <v>25.715600421369501</v>
      </c>
      <c r="AQ2008" s="2">
        <v>25.821022614167301</v>
      </c>
      <c r="AR2008" s="2">
        <v>24.727923391115301</v>
      </c>
      <c r="AS2008" s="2">
        <v>24.6107513810928</v>
      </c>
      <c r="AT2008" s="2">
        <v>25.4079988741174</v>
      </c>
      <c r="AU2008" s="2">
        <v>24.938323230439501</v>
      </c>
      <c r="AV2008" s="2">
        <v>25.489746009769799</v>
      </c>
      <c r="AW2008" s="2">
        <v>25.658397380682501</v>
      </c>
      <c r="AX2008" s="2">
        <v>25.799531521498299</v>
      </c>
      <c r="AY2008" s="2">
        <v>25.699134713239999</v>
      </c>
      <c r="AZ2008" s="2">
        <v>24.917896525835001</v>
      </c>
      <c r="BA2008" s="2">
        <v>25.0709198778802</v>
      </c>
      <c r="BB2008" s="2">
        <v>25.956571360509699</v>
      </c>
      <c r="BC2008" s="2">
        <v>26.6256523911062</v>
      </c>
      <c r="BD2008" s="2">
        <v>25.6069539297857</v>
      </c>
      <c r="BE2008" s="2">
        <v>26.237315577068799</v>
      </c>
      <c r="BF2008" s="2">
        <v>25.780115672698901</v>
      </c>
      <c r="BG2008" s="2">
        <v>26.192127806302398</v>
      </c>
      <c r="BH2008" s="2">
        <v>25.841042260860199</v>
      </c>
      <c r="BI2008" s="2">
        <v>25.884441978442901</v>
      </c>
      <c r="BJ2008" s="2">
        <v>25.681297363796102</v>
      </c>
      <c r="BK2008" s="2">
        <v>25.263927992026801</v>
      </c>
      <c r="BL2008" s="2">
        <v>25.583268556716099</v>
      </c>
      <c r="BM2008" s="2">
        <v>26.167359513906199</v>
      </c>
      <c r="BN2008" s="2">
        <v>25.706203093345</v>
      </c>
      <c r="BO2008" s="2">
        <v>25.535691831155798</v>
      </c>
      <c r="BP2008" s="2">
        <v>25.5919942684882</v>
      </c>
      <c r="BQ2008" s="2">
        <v>25.605030751779399</v>
      </c>
      <c r="BR2008" s="2">
        <v>25.6514559474371</v>
      </c>
      <c r="BS2008" s="2">
        <v>25.426002878310801</v>
      </c>
      <c r="BT2008" s="2">
        <v>24.9539834192149</v>
      </c>
      <c r="BU2008" s="2">
        <v>25.3465513397176</v>
      </c>
      <c r="BV2008" s="2">
        <v>25.993398111733502</v>
      </c>
      <c r="BW2008" s="2">
        <v>25.601972290794102</v>
      </c>
      <c r="BX2008" s="2">
        <v>25.570207481458102</v>
      </c>
      <c r="BY2008" s="2">
        <v>25.780711063301698</v>
      </c>
      <c r="BZ2008" s="2">
        <v>25.669725465910702</v>
      </c>
      <c r="CA2008" s="2">
        <v>26.329273770742201</v>
      </c>
      <c r="CB2008" s="2">
        <v>25.659650562117701</v>
      </c>
      <c r="CC2008" s="2">
        <v>25.871965370204101</v>
      </c>
      <c r="CD2008" s="2">
        <v>25.9221987945275</v>
      </c>
      <c r="CE2008" s="2">
        <v>25.9687691912034</v>
      </c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</row>
    <row r="2009" spans="1:97">
      <c r="A2009" s="2" t="s">
        <v>17567</v>
      </c>
      <c r="B2009" s="2">
        <v>90.034530000000004</v>
      </c>
      <c r="C2009" s="2">
        <v>5.4889999999999999</v>
      </c>
      <c r="D2009" s="2" t="s">
        <v>146</v>
      </c>
      <c r="E2009" s="2" t="s">
        <v>17568</v>
      </c>
      <c r="F2009" s="2" t="s">
        <v>17569</v>
      </c>
      <c r="G2009" s="2">
        <v>201213</v>
      </c>
      <c r="H2009" s="3" t="str">
        <f>HYPERLINK("https://cloud.oebiotech.com/#/lm/network/201213", "https://cloud.oebiotech.com/#/lm/network/201213")</f>
        <v>https://cloud.oebiotech.com/#/lm/network/201213</v>
      </c>
      <c r="I2009" s="2" t="s">
        <v>17570</v>
      </c>
      <c r="J2009" s="2">
        <v>66287</v>
      </c>
      <c r="K2009" s="2"/>
      <c r="L2009" s="2">
        <v>11568</v>
      </c>
      <c r="M2009" s="2" t="s">
        <v>17571</v>
      </c>
      <c r="N2009" s="2"/>
      <c r="O2009" s="2"/>
      <c r="P2009" s="2">
        <v>28924</v>
      </c>
      <c r="Q2009" s="2"/>
      <c r="R2009" s="2"/>
      <c r="S2009" s="2" t="s">
        <v>17572</v>
      </c>
      <c r="T2009" s="2" t="s">
        <v>17573</v>
      </c>
      <c r="U2009" s="2" t="s">
        <v>17574</v>
      </c>
      <c r="V2009" s="2" t="s">
        <v>385</v>
      </c>
      <c r="W2009" s="2" t="s">
        <v>386</v>
      </c>
      <c r="X2009" s="2" t="s">
        <v>3034</v>
      </c>
      <c r="Y2009" s="2" t="s">
        <v>388</v>
      </c>
      <c r="Z2009" s="2" t="s">
        <v>389</v>
      </c>
      <c r="AA2009" s="2" t="s">
        <v>3035</v>
      </c>
      <c r="AB2009" s="2" t="s">
        <v>8443</v>
      </c>
      <c r="AC2009" s="2">
        <v>38.5</v>
      </c>
      <c r="AD2009" s="2">
        <v>96.41</v>
      </c>
      <c r="AE2009" s="2">
        <v>0</v>
      </c>
      <c r="AF2009" s="2" t="s">
        <v>5614</v>
      </c>
      <c r="AG2009" s="2" t="s">
        <v>993</v>
      </c>
      <c r="AH2009" s="2" t="s">
        <v>15372</v>
      </c>
      <c r="AI2009" s="2">
        <v>-1.78</v>
      </c>
      <c r="AJ2009" s="2">
        <v>19.4614455138172</v>
      </c>
      <c r="AK2009" s="2">
        <v>19.4991627484753</v>
      </c>
      <c r="AL2009" s="2">
        <v>19.470742332259999</v>
      </c>
      <c r="AM2009" s="2">
        <v>19.224246699884301</v>
      </c>
      <c r="AN2009" s="2">
        <v>19.684620771137801</v>
      </c>
      <c r="AO2009" s="2">
        <v>19.5434250448942</v>
      </c>
      <c r="AP2009" s="2">
        <v>19.515967366305102</v>
      </c>
      <c r="AQ2009" s="2">
        <v>19.7060625636875</v>
      </c>
      <c r="AR2009" s="2">
        <v>19.322341300387201</v>
      </c>
      <c r="AS2009" s="2">
        <v>19.4896587973188</v>
      </c>
      <c r="AT2009" s="2">
        <v>19.5032943985461</v>
      </c>
      <c r="AU2009" s="2">
        <v>19.466439049771999</v>
      </c>
      <c r="AV2009" s="2">
        <v>19.3769110748377</v>
      </c>
      <c r="AW2009" s="2">
        <v>19.600355083422201</v>
      </c>
      <c r="AX2009" s="2">
        <v>19.4869723294672</v>
      </c>
      <c r="AY2009" s="2">
        <v>19.434088068716299</v>
      </c>
      <c r="AZ2009" s="2">
        <v>19.385604609088201</v>
      </c>
      <c r="BA2009" s="2">
        <v>19.436271550159301</v>
      </c>
      <c r="BB2009" s="2">
        <v>19.5284345942325</v>
      </c>
      <c r="BC2009" s="2">
        <v>19.5489657238648</v>
      </c>
      <c r="BD2009" s="2">
        <v>19.421392597601901</v>
      </c>
      <c r="BE2009" s="2">
        <v>19.298278863550699</v>
      </c>
      <c r="BF2009" s="2">
        <v>19.468913406387401</v>
      </c>
      <c r="BG2009" s="2">
        <v>19.429830917084001</v>
      </c>
      <c r="BH2009" s="2">
        <v>19.557053543681899</v>
      </c>
      <c r="BI2009" s="2">
        <v>19.601247376357001</v>
      </c>
      <c r="BJ2009" s="2">
        <v>19.292704901120899</v>
      </c>
      <c r="BK2009" s="2">
        <v>19.457125113278401</v>
      </c>
      <c r="BL2009" s="2">
        <v>19.437469760440099</v>
      </c>
      <c r="BM2009" s="2">
        <v>19.427086545838801</v>
      </c>
      <c r="BN2009" s="2">
        <v>19.444448089141101</v>
      </c>
      <c r="BO2009" s="2">
        <v>19.430551721290001</v>
      </c>
      <c r="BP2009" s="2">
        <v>19.467147152868101</v>
      </c>
      <c r="BQ2009" s="2">
        <v>19.3164085133775</v>
      </c>
      <c r="BR2009" s="2">
        <v>19.289728691618102</v>
      </c>
      <c r="BS2009" s="2">
        <v>19.411910963985498</v>
      </c>
      <c r="BT2009" s="2">
        <v>19.2980190808446</v>
      </c>
      <c r="BU2009" s="2">
        <v>19.396866215868201</v>
      </c>
      <c r="BV2009" s="2">
        <v>19.2926891536051</v>
      </c>
      <c r="BW2009" s="2">
        <v>19.245096128435002</v>
      </c>
      <c r="BX2009" s="2">
        <v>19.261740217885698</v>
      </c>
      <c r="BY2009" s="2">
        <v>19.247902602899298</v>
      </c>
      <c r="BZ2009" s="2">
        <v>19.334759447697401</v>
      </c>
      <c r="CA2009" s="2">
        <v>19.214244263114601</v>
      </c>
      <c r="CB2009" s="2">
        <v>19.387282482005599</v>
      </c>
      <c r="CC2009" s="2">
        <v>19.3881043390017</v>
      </c>
      <c r="CD2009" s="2">
        <v>19.230529115434202</v>
      </c>
      <c r="CE2009" s="2">
        <v>18.922029918211599</v>
      </c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</row>
    <row r="2010" spans="1:97">
      <c r="A2010" s="2" t="s">
        <v>17575</v>
      </c>
      <c r="B2010" s="2">
        <v>219.08266</v>
      </c>
      <c r="C2010" s="2">
        <v>0.67400000000000004</v>
      </c>
      <c r="D2010" s="2" t="s">
        <v>84</v>
      </c>
      <c r="E2010" s="2" t="s">
        <v>17576</v>
      </c>
      <c r="F2010" s="2"/>
      <c r="G2010" s="2">
        <v>594762</v>
      </c>
      <c r="H2010" s="3" t="str">
        <f>HYPERLINK("https://cloud.oebiotech.com/#/lm/network/594762", "https://cloud.oebiotech.com/#/lm/network/594762")</f>
        <v>https://cloud.oebiotech.com/#/lm/network/594762</v>
      </c>
      <c r="I2010" s="2"/>
      <c r="J2010" s="2"/>
      <c r="K2010" s="2"/>
      <c r="L2010" s="2">
        <v>554370</v>
      </c>
      <c r="M2010" s="2"/>
      <c r="N2010" s="2"/>
      <c r="O2010" s="2"/>
      <c r="P2010" s="2"/>
      <c r="Q2010" s="2"/>
      <c r="R2010" s="2"/>
      <c r="S2010" s="2"/>
      <c r="T2010" s="2" t="s">
        <v>17577</v>
      </c>
      <c r="U2010" s="2" t="s">
        <v>17578</v>
      </c>
      <c r="V2010" s="2" t="s">
        <v>338</v>
      </c>
      <c r="W2010" s="2" t="s">
        <v>339</v>
      </c>
      <c r="X2010" s="2" t="s">
        <v>663</v>
      </c>
      <c r="Y2010" s="2" t="s">
        <v>341</v>
      </c>
      <c r="Z2010" s="2" t="s">
        <v>341</v>
      </c>
      <c r="AA2010" s="2" t="s">
        <v>664</v>
      </c>
      <c r="AB2010" s="2" t="s">
        <v>8443</v>
      </c>
      <c r="AC2010" s="2">
        <v>38.5</v>
      </c>
      <c r="AD2010" s="2">
        <v>72.400000000000006</v>
      </c>
      <c r="AE2010" s="2">
        <v>0</v>
      </c>
      <c r="AF2010" s="2" t="s">
        <v>5614</v>
      </c>
      <c r="AG2010" s="2" t="s">
        <v>1578</v>
      </c>
      <c r="AH2010" s="2" t="s">
        <v>17579</v>
      </c>
      <c r="AI2010" s="2">
        <v>5.48</v>
      </c>
      <c r="AJ2010" s="2">
        <v>22.737640928207799</v>
      </c>
      <c r="AK2010" s="2">
        <v>22.806629481981201</v>
      </c>
      <c r="AL2010" s="2">
        <v>22.544932508624999</v>
      </c>
      <c r="AM2010" s="2">
        <v>22.874161872279998</v>
      </c>
      <c r="AN2010" s="2">
        <v>23.245094421916701</v>
      </c>
      <c r="AO2010" s="2">
        <v>23.5745233159641</v>
      </c>
      <c r="AP2010" s="2">
        <v>22.7799680037702</v>
      </c>
      <c r="AQ2010" s="2">
        <v>23.2324283097334</v>
      </c>
      <c r="AR2010" s="2">
        <v>21.8865236605901</v>
      </c>
      <c r="AS2010" s="2">
        <v>21.295794466676</v>
      </c>
      <c r="AT2010" s="2">
        <v>22.239757785873099</v>
      </c>
      <c r="AU2010" s="2">
        <v>22.631575387376401</v>
      </c>
      <c r="AV2010" s="2">
        <v>23.163255817050299</v>
      </c>
      <c r="AW2010" s="2">
        <v>22.917246403779501</v>
      </c>
      <c r="AX2010" s="2">
        <v>22.210929455199999</v>
      </c>
      <c r="AY2010" s="2">
        <v>23.722479869529199</v>
      </c>
      <c r="AZ2010" s="2">
        <v>23.932363339354598</v>
      </c>
      <c r="BA2010" s="2">
        <v>22.606168037445599</v>
      </c>
      <c r="BB2010" s="2">
        <v>22.823882340492901</v>
      </c>
      <c r="BC2010" s="2">
        <v>21.421356285092202</v>
      </c>
      <c r="BD2010" s="2">
        <v>22.357014580393798</v>
      </c>
      <c r="BE2010" s="2">
        <v>21.955440667012301</v>
      </c>
      <c r="BF2010" s="2">
        <v>22.5888786397798</v>
      </c>
      <c r="BG2010" s="2">
        <v>23.092115686145998</v>
      </c>
      <c r="BH2010" s="2">
        <v>22.339755055145499</v>
      </c>
      <c r="BI2010" s="2">
        <v>22.548978466429698</v>
      </c>
      <c r="BJ2010" s="2">
        <v>22.7780423483477</v>
      </c>
      <c r="BK2010" s="2">
        <v>22.5152202527551</v>
      </c>
      <c r="BL2010" s="2">
        <v>21.985986357534699</v>
      </c>
      <c r="BM2010" s="2">
        <v>23.108561254414798</v>
      </c>
      <c r="BN2010" s="2">
        <v>22.9327560713037</v>
      </c>
      <c r="BO2010" s="2">
        <v>21.3060832286899</v>
      </c>
      <c r="BP2010" s="2">
        <v>23.068231512808001</v>
      </c>
      <c r="BQ2010" s="2">
        <v>23.073585593927199</v>
      </c>
      <c r="BR2010" s="2">
        <v>23.0856564481996</v>
      </c>
      <c r="BS2010" s="2">
        <v>23.058372306907501</v>
      </c>
      <c r="BT2010" s="2">
        <v>22.654331697174101</v>
      </c>
      <c r="BU2010" s="2">
        <v>22.974541570900001</v>
      </c>
      <c r="BV2010" s="2">
        <v>22.279714781275899</v>
      </c>
      <c r="BW2010" s="2">
        <v>22.966350264127499</v>
      </c>
      <c r="BX2010" s="2">
        <v>23.415918318955502</v>
      </c>
      <c r="BY2010" s="2">
        <v>22.259600638953302</v>
      </c>
      <c r="BZ2010" s="2">
        <v>23.0548006968991</v>
      </c>
      <c r="CA2010" s="2">
        <v>22.5900937907039</v>
      </c>
      <c r="CB2010" s="2">
        <v>22.704911714058401</v>
      </c>
      <c r="CC2010" s="2">
        <v>22.426139869734499</v>
      </c>
      <c r="CD2010" s="2">
        <v>22.648323906706398</v>
      </c>
      <c r="CE2010" s="2">
        <v>22.0002146390188</v>
      </c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</row>
    <row r="2011" spans="1:97">
      <c r="A2011" s="2" t="s">
        <v>17580</v>
      </c>
      <c r="B2011" s="2">
        <v>226.14445000000001</v>
      </c>
      <c r="C2011" s="2">
        <v>5.9249999999999998</v>
      </c>
      <c r="D2011" s="2" t="s">
        <v>146</v>
      </c>
      <c r="E2011" s="2" t="s">
        <v>17581</v>
      </c>
      <c r="F2011" s="2"/>
      <c r="G2011" s="2">
        <v>596412</v>
      </c>
      <c r="H2011" s="3" t="str">
        <f>HYPERLINK("https://cloud.oebiotech.com/#/lm/network/596412", "https://cloud.oebiotech.com/#/lm/network/596412")</f>
        <v>https://cloud.oebiotech.com/#/lm/network/596412</v>
      </c>
      <c r="I2011" s="2"/>
      <c r="J2011" s="2"/>
      <c r="K2011" s="2"/>
      <c r="L2011" s="2">
        <v>146240631</v>
      </c>
      <c r="M2011" s="2"/>
      <c r="N2011" s="2"/>
      <c r="O2011" s="2"/>
      <c r="P2011" s="2"/>
      <c r="Q2011" s="2"/>
      <c r="R2011" s="2"/>
      <c r="S2011" s="2"/>
      <c r="T2011" s="2" t="s">
        <v>17582</v>
      </c>
      <c r="U2011" s="2" t="s">
        <v>17583</v>
      </c>
      <c r="V2011" s="2" t="s">
        <v>115</v>
      </c>
      <c r="W2011" s="2" t="s">
        <v>116</v>
      </c>
      <c r="X2011" s="2" t="s">
        <v>117</v>
      </c>
      <c r="Y2011" s="2" t="s">
        <v>118</v>
      </c>
      <c r="Z2011" s="2" t="s">
        <v>119</v>
      </c>
      <c r="AA2011" s="2" t="s">
        <v>120</v>
      </c>
      <c r="AB2011" s="2" t="s">
        <v>8443</v>
      </c>
      <c r="AC2011" s="2">
        <v>38.49</v>
      </c>
      <c r="AD2011" s="2">
        <v>92.46</v>
      </c>
      <c r="AE2011" s="2">
        <v>0</v>
      </c>
      <c r="AF2011" s="2" t="s">
        <v>5614</v>
      </c>
      <c r="AG2011" s="2" t="s">
        <v>993</v>
      </c>
      <c r="AH2011" s="2" t="s">
        <v>1098</v>
      </c>
      <c r="AI2011" s="2">
        <v>-0.88</v>
      </c>
      <c r="AJ2011" s="2">
        <v>16.199803259484302</v>
      </c>
      <c r="AK2011" s="2">
        <v>16.232358902248301</v>
      </c>
      <c r="AL2011" s="2">
        <v>16.132167935881299</v>
      </c>
      <c r="AM2011" s="2">
        <v>16.338855441778801</v>
      </c>
      <c r="AN2011" s="2">
        <v>16.220682321273198</v>
      </c>
      <c r="AO2011" s="2">
        <v>15.9235884024176</v>
      </c>
      <c r="AP2011" s="2">
        <v>16.7039389808808</v>
      </c>
      <c r="AQ2011" s="2">
        <v>15.686430491743501</v>
      </c>
      <c r="AR2011" s="2">
        <v>15.7365845293522</v>
      </c>
      <c r="AS2011" s="2">
        <v>16.143213590087299</v>
      </c>
      <c r="AT2011" s="2">
        <v>15.551648188124799</v>
      </c>
      <c r="AU2011" s="2">
        <v>15.5224724177995</v>
      </c>
      <c r="AV2011" s="2">
        <v>15.4560800330883</v>
      </c>
      <c r="AW2011" s="2">
        <v>15.881593647778701</v>
      </c>
      <c r="AX2011" s="2">
        <v>15.8335814364341</v>
      </c>
      <c r="AY2011" s="2">
        <v>15.3393148764112</v>
      </c>
      <c r="AZ2011" s="2">
        <v>15.534443326796101</v>
      </c>
      <c r="BA2011" s="2">
        <v>14.814194404052699</v>
      </c>
      <c r="BB2011" s="2">
        <v>16.127572224199302</v>
      </c>
      <c r="BC2011" s="2">
        <v>15.8502928280724</v>
      </c>
      <c r="BD2011" s="2">
        <v>15.206098995661099</v>
      </c>
      <c r="BE2011" s="2">
        <v>15.580155202848401</v>
      </c>
      <c r="BF2011" s="2">
        <v>15.683064786111901</v>
      </c>
      <c r="BG2011" s="2">
        <v>16.023361274493801</v>
      </c>
      <c r="BH2011" s="2">
        <v>15.9173378113328</v>
      </c>
      <c r="BI2011" s="2">
        <v>15.881442373548801</v>
      </c>
      <c r="BJ2011" s="2">
        <v>15.5632564627156</v>
      </c>
      <c r="BK2011" s="2">
        <v>15.8065498737125</v>
      </c>
      <c r="BL2011" s="2">
        <v>15.9954540443082</v>
      </c>
      <c r="BM2011" s="2">
        <v>15.955932961442899</v>
      </c>
      <c r="BN2011" s="2">
        <v>16.245532837867</v>
      </c>
      <c r="BO2011" s="2">
        <v>16.125115770904898</v>
      </c>
      <c r="BP2011" s="2">
        <v>15.625502239820401</v>
      </c>
      <c r="BQ2011" s="2">
        <v>15.858531568541901</v>
      </c>
      <c r="BR2011" s="2">
        <v>15.907945931675799</v>
      </c>
      <c r="BS2011" s="2">
        <v>16.0693096198159</v>
      </c>
      <c r="BT2011" s="2">
        <v>15.7241237099577</v>
      </c>
      <c r="BU2011" s="2">
        <v>15.762904163278</v>
      </c>
      <c r="BV2011" s="2">
        <v>15.9917392791205</v>
      </c>
      <c r="BW2011" s="2">
        <v>16.0025695801416</v>
      </c>
      <c r="BX2011" s="2">
        <v>16.047807896596201</v>
      </c>
      <c r="BY2011" s="2">
        <v>14.3470115820366</v>
      </c>
      <c r="BZ2011" s="2">
        <v>15.982777492834099</v>
      </c>
      <c r="CA2011" s="2">
        <v>15.8142645132742</v>
      </c>
      <c r="CB2011" s="2">
        <v>16.0473821218729</v>
      </c>
      <c r="CC2011" s="2">
        <v>15.6773796808829</v>
      </c>
      <c r="CD2011" s="2">
        <v>15.608037038071901</v>
      </c>
      <c r="CE2011" s="2">
        <v>15.4746356685728</v>
      </c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</row>
    <row r="2012" spans="1:97">
      <c r="A2012" s="2" t="s">
        <v>17584</v>
      </c>
      <c r="B2012" s="2">
        <v>159.04736</v>
      </c>
      <c r="C2012" s="2">
        <v>3.5089999999999999</v>
      </c>
      <c r="D2012" s="2" t="s">
        <v>84</v>
      </c>
      <c r="E2012" s="2" t="s">
        <v>17585</v>
      </c>
      <c r="F2012" s="2" t="s">
        <v>17586</v>
      </c>
      <c r="G2012" s="2">
        <v>61281</v>
      </c>
      <c r="H2012" s="3" t="str">
        <f>HYPERLINK("https://cloud.oebiotech.com/#/lm/network/61281", "https://cloud.oebiotech.com/#/lm/network/61281")</f>
        <v>https://cloud.oebiotech.com/#/lm/network/61281</v>
      </c>
      <c r="I2012" s="2" t="s">
        <v>17587</v>
      </c>
      <c r="J2012" s="2">
        <v>92601</v>
      </c>
      <c r="K2012" s="2"/>
      <c r="L2012" s="2">
        <v>20831821</v>
      </c>
      <c r="M2012" s="2"/>
      <c r="N2012" s="2"/>
      <c r="O2012" s="2"/>
      <c r="P2012" s="2">
        <v>131456</v>
      </c>
      <c r="Q2012" s="2"/>
      <c r="R2012" s="2"/>
      <c r="S2012" s="2" t="s">
        <v>17588</v>
      </c>
      <c r="T2012" s="2" t="s">
        <v>17589</v>
      </c>
      <c r="U2012" s="2" t="s">
        <v>17590</v>
      </c>
      <c r="V2012" s="2" t="s">
        <v>553</v>
      </c>
      <c r="W2012" s="2" t="s">
        <v>2261</v>
      </c>
      <c r="X2012" s="2" t="s">
        <v>375</v>
      </c>
      <c r="Y2012" s="2" t="s">
        <v>556</v>
      </c>
      <c r="Z2012" s="2" t="s">
        <v>2263</v>
      </c>
      <c r="AA2012" s="2"/>
      <c r="AB2012" s="2" t="s">
        <v>8443</v>
      </c>
      <c r="AC2012" s="2">
        <v>38.49</v>
      </c>
      <c r="AD2012" s="2">
        <v>92.47</v>
      </c>
      <c r="AE2012" s="2">
        <v>0</v>
      </c>
      <c r="AF2012" s="2" t="s">
        <v>5614</v>
      </c>
      <c r="AG2012" s="2" t="s">
        <v>103</v>
      </c>
      <c r="AH2012" s="2" t="s">
        <v>17591</v>
      </c>
      <c r="AI2012" s="2">
        <v>0</v>
      </c>
      <c r="AJ2012" s="2">
        <v>18.115346788348699</v>
      </c>
      <c r="AK2012" s="2">
        <v>18.2377118882766</v>
      </c>
      <c r="AL2012" s="2">
        <v>18.0550205503801</v>
      </c>
      <c r="AM2012" s="2">
        <v>18.2058695488907</v>
      </c>
      <c r="AN2012" s="2">
        <v>18.153610909152199</v>
      </c>
      <c r="AO2012" s="2">
        <v>17.7855596190252</v>
      </c>
      <c r="AP2012" s="2">
        <v>17.937731449372201</v>
      </c>
      <c r="AQ2012" s="2">
        <v>18.460341621364599</v>
      </c>
      <c r="AR2012" s="2">
        <v>17.496167600885801</v>
      </c>
      <c r="AS2012" s="2">
        <v>17.316290548562002</v>
      </c>
      <c r="AT2012" s="2">
        <v>18.0930904861758</v>
      </c>
      <c r="AU2012" s="2">
        <v>18.2488730545161</v>
      </c>
      <c r="AV2012" s="2">
        <v>17.0136740127334</v>
      </c>
      <c r="AW2012" s="2">
        <v>18.1853870006695</v>
      </c>
      <c r="AX2012" s="2">
        <v>17.753964454537201</v>
      </c>
      <c r="AY2012" s="2">
        <v>17.1814413338608</v>
      </c>
      <c r="AZ2012" s="2">
        <v>18.236562173240198</v>
      </c>
      <c r="BA2012" s="2">
        <v>17.981836937037599</v>
      </c>
      <c r="BB2012" s="2">
        <v>18.153868259487201</v>
      </c>
      <c r="BC2012" s="2">
        <v>18.326857925485299</v>
      </c>
      <c r="BD2012" s="2">
        <v>17.684495650023202</v>
      </c>
      <c r="BE2012" s="2">
        <v>18.3802421803241</v>
      </c>
      <c r="BF2012" s="2">
        <v>18.1982464653709</v>
      </c>
      <c r="BG2012" s="2">
        <v>17.647857355398902</v>
      </c>
      <c r="BH2012" s="2">
        <v>18.089524757473601</v>
      </c>
      <c r="BI2012" s="2">
        <v>17.071241324006898</v>
      </c>
      <c r="BJ2012" s="2">
        <v>18.0586111805789</v>
      </c>
      <c r="BK2012" s="2">
        <v>18.221216658127499</v>
      </c>
      <c r="BL2012" s="2">
        <v>18.1811466747216</v>
      </c>
      <c r="BM2012" s="2">
        <v>18.4324603419686</v>
      </c>
      <c r="BN2012" s="2">
        <v>18.254801562873499</v>
      </c>
      <c r="BO2012" s="2">
        <v>17.5101587721283</v>
      </c>
      <c r="BP2012" s="2">
        <v>18.026516904644701</v>
      </c>
      <c r="BQ2012" s="2">
        <v>17.412206365313999</v>
      </c>
      <c r="BR2012" s="2">
        <v>18.120187495960302</v>
      </c>
      <c r="BS2012" s="2">
        <v>18.1220806263435</v>
      </c>
      <c r="BT2012" s="2">
        <v>18.377435340758598</v>
      </c>
      <c r="BU2012" s="2">
        <v>17.405757333055</v>
      </c>
      <c r="BV2012" s="2">
        <v>18.579752716920702</v>
      </c>
      <c r="BW2012" s="2">
        <v>18.325958158902498</v>
      </c>
      <c r="BX2012" s="2">
        <v>17.9343975733245</v>
      </c>
      <c r="BY2012" s="2">
        <v>17.729752896926001</v>
      </c>
      <c r="BZ2012" s="2">
        <v>17.5397540545071</v>
      </c>
      <c r="CA2012" s="2">
        <v>18.3145623127952</v>
      </c>
      <c r="CB2012" s="2">
        <v>17.714796687718799</v>
      </c>
      <c r="CC2012" s="2">
        <v>18.498189812090398</v>
      </c>
      <c r="CD2012" s="2">
        <v>17.690964215792601</v>
      </c>
      <c r="CE2012" s="2">
        <v>18.022008611812499</v>
      </c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</row>
    <row r="2013" spans="1:97">
      <c r="A2013" s="2" t="s">
        <v>17592</v>
      </c>
      <c r="B2013" s="2">
        <v>100.03951000000001</v>
      </c>
      <c r="C2013" s="2">
        <v>14.763</v>
      </c>
      <c r="D2013" s="2" t="s">
        <v>84</v>
      </c>
      <c r="E2013" s="2" t="s">
        <v>17593</v>
      </c>
      <c r="F2013" s="2" t="s">
        <v>17594</v>
      </c>
      <c r="G2013" s="2">
        <v>201235</v>
      </c>
      <c r="H2013" s="3" t="str">
        <f>HYPERLINK("https://cloud.oebiotech.com/#/lm/network/201235", "https://cloud.oebiotech.com/#/lm/network/201235")</f>
        <v>https://cloud.oebiotech.com/#/lm/network/201235</v>
      </c>
      <c r="I2013" s="2" t="s">
        <v>17595</v>
      </c>
      <c r="J2013" s="2"/>
      <c r="K2013" s="2"/>
      <c r="L2013" s="2">
        <v>263086</v>
      </c>
      <c r="M2013" s="2"/>
      <c r="N2013" s="2"/>
      <c r="O2013" s="2"/>
      <c r="P2013" s="2"/>
      <c r="Q2013" s="2"/>
      <c r="R2013" s="2"/>
      <c r="S2013" s="2"/>
      <c r="T2013" s="2" t="s">
        <v>17596</v>
      </c>
      <c r="U2013" s="2" t="s">
        <v>17597</v>
      </c>
      <c r="V2013" s="2" t="s">
        <v>95</v>
      </c>
      <c r="W2013" s="2" t="s">
        <v>96</v>
      </c>
      <c r="X2013" s="2" t="s">
        <v>141</v>
      </c>
      <c r="Y2013" s="2" t="s">
        <v>98</v>
      </c>
      <c r="Z2013" s="2" t="s">
        <v>99</v>
      </c>
      <c r="AA2013" s="2" t="s">
        <v>142</v>
      </c>
      <c r="AB2013" s="2" t="s">
        <v>8443</v>
      </c>
      <c r="AC2013" s="2">
        <v>38.479999999999997</v>
      </c>
      <c r="AD2013" s="2">
        <v>97.38</v>
      </c>
      <c r="AE2013" s="2">
        <v>0</v>
      </c>
      <c r="AF2013" s="2" t="s">
        <v>5614</v>
      </c>
      <c r="AG2013" s="2" t="s">
        <v>103</v>
      </c>
      <c r="AH2013" s="2" t="s">
        <v>5643</v>
      </c>
      <c r="AI2013" s="2">
        <v>-2</v>
      </c>
      <c r="AJ2013" s="2">
        <v>22.910928800271599</v>
      </c>
      <c r="AK2013" s="2">
        <v>23.411005410047999</v>
      </c>
      <c r="AL2013" s="2">
        <v>23.261838893480402</v>
      </c>
      <c r="AM2013" s="2">
        <v>23.0948451400591</v>
      </c>
      <c r="AN2013" s="2">
        <v>23.542291235393701</v>
      </c>
      <c r="AO2013" s="2">
        <v>22.885772889904</v>
      </c>
      <c r="AP2013" s="2">
        <v>23.393579816547899</v>
      </c>
      <c r="AQ2013" s="2">
        <v>23.201006017808901</v>
      </c>
      <c r="AR2013" s="2">
        <v>22.930566029514601</v>
      </c>
      <c r="AS2013" s="2">
        <v>23.657968291728899</v>
      </c>
      <c r="AT2013" s="2">
        <v>22.950912839634601</v>
      </c>
      <c r="AU2013" s="2">
        <v>23.510986511983401</v>
      </c>
      <c r="AV2013" s="2">
        <v>23.602003016504302</v>
      </c>
      <c r="AW2013" s="2">
        <v>23.3949173301733</v>
      </c>
      <c r="AX2013" s="2">
        <v>23.617339241032202</v>
      </c>
      <c r="AY2013" s="2">
        <v>23.0483386045054</v>
      </c>
      <c r="AZ2013" s="2">
        <v>23.173471257136299</v>
      </c>
      <c r="BA2013" s="2">
        <v>23.299234008389799</v>
      </c>
      <c r="BB2013" s="2">
        <v>23.3388046967683</v>
      </c>
      <c r="BC2013" s="2">
        <v>23.331097840540401</v>
      </c>
      <c r="BD2013" s="2">
        <v>23.2265556905026</v>
      </c>
      <c r="BE2013" s="2">
        <v>23.007806538433801</v>
      </c>
      <c r="BF2013" s="2">
        <v>22.808941659334799</v>
      </c>
      <c r="BG2013" s="2">
        <v>22.922913664963801</v>
      </c>
      <c r="BH2013" s="2">
        <v>23.4323177157959</v>
      </c>
      <c r="BI2013" s="2">
        <v>23.071896944028701</v>
      </c>
      <c r="BJ2013" s="2">
        <v>23.304587486421099</v>
      </c>
      <c r="BK2013" s="2">
        <v>22.9042668452336</v>
      </c>
      <c r="BL2013" s="2">
        <v>23.403515268988301</v>
      </c>
      <c r="BM2013" s="2">
        <v>23.392144773315401</v>
      </c>
      <c r="BN2013" s="2">
        <v>22.336519861315399</v>
      </c>
      <c r="BO2013" s="2">
        <v>23.4545410954271</v>
      </c>
      <c r="BP2013" s="2">
        <v>22.9008865926141</v>
      </c>
      <c r="BQ2013" s="2">
        <v>23.4520680625156</v>
      </c>
      <c r="BR2013" s="2">
        <v>22.265621673135399</v>
      </c>
      <c r="BS2013" s="2">
        <v>23.540147254457999</v>
      </c>
      <c r="BT2013" s="2">
        <v>23.0270085725003</v>
      </c>
      <c r="BU2013" s="2">
        <v>23.1870348843436</v>
      </c>
      <c r="BV2013" s="2">
        <v>23.026702756508499</v>
      </c>
      <c r="BW2013" s="2">
        <v>22.151359069031901</v>
      </c>
      <c r="BX2013" s="2">
        <v>22.4823036961455</v>
      </c>
      <c r="BY2013" s="2">
        <v>22.6381342677177</v>
      </c>
      <c r="BZ2013" s="2">
        <v>22.7250430110346</v>
      </c>
      <c r="CA2013" s="2">
        <v>22.715417981398101</v>
      </c>
      <c r="CB2013" s="2">
        <v>23.018708762427799</v>
      </c>
      <c r="CC2013" s="2">
        <v>23.174455278758298</v>
      </c>
      <c r="CD2013" s="2">
        <v>23.2753171727942</v>
      </c>
      <c r="CE2013" s="2">
        <v>22.112799827547999</v>
      </c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</row>
    <row r="2014" spans="1:97">
      <c r="A2014" s="2" t="s">
        <v>17598</v>
      </c>
      <c r="B2014" s="2">
        <v>247.07319000000001</v>
      </c>
      <c r="C2014" s="2">
        <v>1.3149999999999999</v>
      </c>
      <c r="D2014" s="2" t="s">
        <v>146</v>
      </c>
      <c r="E2014" s="2" t="s">
        <v>17599</v>
      </c>
      <c r="F2014" s="2" t="s">
        <v>17600</v>
      </c>
      <c r="G2014" s="2">
        <v>1902</v>
      </c>
      <c r="H2014" s="3" t="str">
        <f>HYPERLINK("https://cloud.oebiotech.com/#/lm/network/1902", "https://cloud.oebiotech.com/#/lm/network/1902")</f>
        <v>https://cloud.oebiotech.com/#/lm/network/1902</v>
      </c>
      <c r="I2014" s="2"/>
      <c r="J2014" s="2"/>
      <c r="K2014" s="2" t="s">
        <v>17601</v>
      </c>
      <c r="L2014" s="2">
        <v>73242168</v>
      </c>
      <c r="M2014" s="2"/>
      <c r="N2014" s="2"/>
      <c r="O2014" s="2"/>
      <c r="P2014" s="2"/>
      <c r="Q2014" s="2"/>
      <c r="R2014" s="2"/>
      <c r="S2014" s="2"/>
      <c r="T2014" s="2" t="s">
        <v>17602</v>
      </c>
      <c r="U2014" s="2" t="s">
        <v>17603</v>
      </c>
      <c r="V2014" s="2" t="s">
        <v>95</v>
      </c>
      <c r="W2014" s="2" t="s">
        <v>96</v>
      </c>
      <c r="X2014" s="2" t="s">
        <v>141</v>
      </c>
      <c r="Y2014" s="2" t="s">
        <v>98</v>
      </c>
      <c r="Z2014" s="2" t="s">
        <v>99</v>
      </c>
      <c r="AA2014" s="2" t="s">
        <v>142</v>
      </c>
      <c r="AB2014" s="2" t="s">
        <v>8443</v>
      </c>
      <c r="AC2014" s="2">
        <v>38.479999999999997</v>
      </c>
      <c r="AD2014" s="2">
        <v>93.44</v>
      </c>
      <c r="AE2014" s="2">
        <v>0</v>
      </c>
      <c r="AF2014" s="2" t="s">
        <v>5614</v>
      </c>
      <c r="AG2014" s="2" t="s">
        <v>993</v>
      </c>
      <c r="AH2014" s="2" t="s">
        <v>17604</v>
      </c>
      <c r="AI2014" s="2">
        <v>1.21</v>
      </c>
      <c r="AJ2014" s="2">
        <v>19.0522924036643</v>
      </c>
      <c r="AK2014" s="2">
        <v>19.467548099193699</v>
      </c>
      <c r="AL2014" s="2">
        <v>19.047392879610001</v>
      </c>
      <c r="AM2014" s="2">
        <v>19.591022513249602</v>
      </c>
      <c r="AN2014" s="2">
        <v>18.1583079118749</v>
      </c>
      <c r="AO2014" s="2">
        <v>19.202563571932</v>
      </c>
      <c r="AP2014" s="2">
        <v>19.100252550246498</v>
      </c>
      <c r="AQ2014" s="2">
        <v>19.459570779035801</v>
      </c>
      <c r="AR2014" s="2">
        <v>18.484827456161401</v>
      </c>
      <c r="AS2014" s="2">
        <v>18.467173109778599</v>
      </c>
      <c r="AT2014" s="2">
        <v>21.101638833225799</v>
      </c>
      <c r="AU2014" s="2">
        <v>18.829239392162801</v>
      </c>
      <c r="AV2014" s="2">
        <v>17.449538725933898</v>
      </c>
      <c r="AW2014" s="2">
        <v>18.7059828273627</v>
      </c>
      <c r="AX2014" s="2">
        <v>19.767156331161502</v>
      </c>
      <c r="AY2014" s="2">
        <v>18.408286862018102</v>
      </c>
      <c r="AZ2014" s="2">
        <v>18.065100689474999</v>
      </c>
      <c r="BA2014" s="2">
        <v>18.1546833444424</v>
      </c>
      <c r="BB2014" s="2">
        <v>18.539866827728201</v>
      </c>
      <c r="BC2014" s="2">
        <v>20.373326559793401</v>
      </c>
      <c r="BD2014" s="2">
        <v>18.3925975785722</v>
      </c>
      <c r="BE2014" s="2">
        <v>18.833292663373602</v>
      </c>
      <c r="BF2014" s="2">
        <v>19.193574231391501</v>
      </c>
      <c r="BG2014" s="2">
        <v>19.0030816349093</v>
      </c>
      <c r="BH2014" s="2">
        <v>19.089654266432198</v>
      </c>
      <c r="BI2014" s="2">
        <v>19.336095779034402</v>
      </c>
      <c r="BJ2014" s="2">
        <v>19.107312513643802</v>
      </c>
      <c r="BK2014" s="2">
        <v>18.0769465649397</v>
      </c>
      <c r="BL2014" s="2">
        <v>18.578981892613498</v>
      </c>
      <c r="BM2014" s="2">
        <v>19.457771204787299</v>
      </c>
      <c r="BN2014" s="2">
        <v>18.180046279437299</v>
      </c>
      <c r="BO2014" s="2">
        <v>18.354119186344398</v>
      </c>
      <c r="BP2014" s="2">
        <v>18.182421124336699</v>
      </c>
      <c r="BQ2014" s="2">
        <v>19.172373032478902</v>
      </c>
      <c r="BR2014" s="2">
        <v>19.528692809214899</v>
      </c>
      <c r="BS2014" s="2">
        <v>17.789193945051402</v>
      </c>
      <c r="BT2014" s="2">
        <v>18.2667587744765</v>
      </c>
      <c r="BU2014" s="2">
        <v>17.461946361107501</v>
      </c>
      <c r="BV2014" s="2">
        <v>18.6644773195483</v>
      </c>
      <c r="BW2014" s="2">
        <v>19.420327078073601</v>
      </c>
      <c r="BX2014" s="2">
        <v>18.454467465953599</v>
      </c>
      <c r="BY2014" s="2">
        <v>18.722643457962501</v>
      </c>
      <c r="BZ2014" s="2">
        <v>19.0180293910269</v>
      </c>
      <c r="CA2014" s="2">
        <v>19.698256264093501</v>
      </c>
      <c r="CB2014" s="2">
        <v>19.019101663020599</v>
      </c>
      <c r="CC2014" s="2">
        <v>18.437531184992899</v>
      </c>
      <c r="CD2014" s="2">
        <v>18.8438655227976</v>
      </c>
      <c r="CE2014" s="2">
        <v>19.6157410860848</v>
      </c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</row>
    <row r="2015" spans="1:97">
      <c r="A2015" s="2" t="s">
        <v>17605</v>
      </c>
      <c r="B2015" s="2">
        <v>364.04664000000002</v>
      </c>
      <c r="C2015" s="2">
        <v>4.2969999999999997</v>
      </c>
      <c r="D2015" s="2" t="s">
        <v>146</v>
      </c>
      <c r="E2015" s="2" t="s">
        <v>17606</v>
      </c>
      <c r="F2015" s="2" t="s">
        <v>17607</v>
      </c>
      <c r="G2015" s="2">
        <v>202196</v>
      </c>
      <c r="H2015" s="3" t="str">
        <f>HYPERLINK("https://cloud.oebiotech.com/#/lm/network/202196", "https://cloud.oebiotech.com/#/lm/network/202196")</f>
        <v>https://cloud.oebiotech.com/#/lm/network/202196</v>
      </c>
      <c r="I2015" s="2" t="s">
        <v>17608</v>
      </c>
      <c r="J2015" s="2"/>
      <c r="K2015" s="2"/>
      <c r="L2015" s="2">
        <v>252682</v>
      </c>
      <c r="M2015" s="2"/>
      <c r="N2015" s="2"/>
      <c r="O2015" s="2"/>
      <c r="P2015" s="2">
        <v>91224</v>
      </c>
      <c r="Q2015" s="2"/>
      <c r="R2015" s="2"/>
      <c r="S2015" s="2"/>
      <c r="T2015" s="2" t="s">
        <v>17609</v>
      </c>
      <c r="U2015" s="2" t="s">
        <v>17610</v>
      </c>
      <c r="V2015" s="2" t="s">
        <v>385</v>
      </c>
      <c r="W2015" s="2" t="s">
        <v>386</v>
      </c>
      <c r="X2015" s="2" t="s">
        <v>1059</v>
      </c>
      <c r="Y2015" s="2" t="s">
        <v>388</v>
      </c>
      <c r="Z2015" s="2" t="s">
        <v>389</v>
      </c>
      <c r="AA2015" s="2" t="s">
        <v>1060</v>
      </c>
      <c r="AB2015" s="2" t="s">
        <v>5118</v>
      </c>
      <c r="AC2015" s="2">
        <v>38.479999999999997</v>
      </c>
      <c r="AD2015" s="2">
        <v>86.12</v>
      </c>
      <c r="AE2015" s="2">
        <v>59.26</v>
      </c>
      <c r="AF2015" s="2" t="s">
        <v>17611</v>
      </c>
      <c r="AG2015" s="2" t="s">
        <v>194</v>
      </c>
      <c r="AH2015" s="2" t="s">
        <v>17612</v>
      </c>
      <c r="AI2015" s="2">
        <v>8.52</v>
      </c>
      <c r="AJ2015" s="2">
        <v>18.9382444921218</v>
      </c>
      <c r="AK2015" s="2">
        <v>18.951899567982601</v>
      </c>
      <c r="AL2015" s="2">
        <v>18.835307464187501</v>
      </c>
      <c r="AM2015" s="2">
        <v>18.970108390918799</v>
      </c>
      <c r="AN2015" s="2">
        <v>18.862681696554102</v>
      </c>
      <c r="AO2015" s="2">
        <v>18.832161413567</v>
      </c>
      <c r="AP2015" s="2">
        <v>18.792352982253</v>
      </c>
      <c r="AQ2015" s="2">
        <v>18.724469121259599</v>
      </c>
      <c r="AR2015" s="2">
        <v>13.675057272631699</v>
      </c>
      <c r="AS2015" s="2">
        <v>13.5692741420161</v>
      </c>
      <c r="AT2015" s="2">
        <v>16.008177791936099</v>
      </c>
      <c r="AU2015" s="2">
        <v>17.3360526824485</v>
      </c>
      <c r="AV2015" s="2">
        <v>18.590172292957099</v>
      </c>
      <c r="AW2015" s="2">
        <v>17.233518570730201</v>
      </c>
      <c r="AX2015" s="2">
        <v>18.223465351252099</v>
      </c>
      <c r="AY2015" s="2">
        <v>18.0445027165824</v>
      </c>
      <c r="AZ2015" s="2">
        <v>17.174571224731</v>
      </c>
      <c r="BA2015" s="2">
        <v>16.087119489032801</v>
      </c>
      <c r="BB2015" s="2">
        <v>19.472487533475899</v>
      </c>
      <c r="BC2015" s="2">
        <v>17.909708892194701</v>
      </c>
      <c r="BD2015" s="2">
        <v>18.364432648711901</v>
      </c>
      <c r="BE2015" s="2">
        <v>21.5393532909229</v>
      </c>
      <c r="BF2015" s="2">
        <v>17.570968121801599</v>
      </c>
      <c r="BG2015" s="2">
        <v>19.714330635101799</v>
      </c>
      <c r="BH2015" s="2">
        <v>17.968332559826798</v>
      </c>
      <c r="BI2015" s="2">
        <v>21.250270274695801</v>
      </c>
      <c r="BJ2015" s="2">
        <v>18.599732617509201</v>
      </c>
      <c r="BK2015" s="2">
        <v>18.3176521038048</v>
      </c>
      <c r="BL2015" s="2">
        <v>18.0273377976104</v>
      </c>
      <c r="BM2015" s="2">
        <v>19.102228222006701</v>
      </c>
      <c r="BN2015" s="2">
        <v>18.530812236113501</v>
      </c>
      <c r="BO2015" s="2">
        <v>17.620538945815198</v>
      </c>
      <c r="BP2015" s="2">
        <v>18.674364186326699</v>
      </c>
      <c r="BQ2015" s="2">
        <v>18.096901655233999</v>
      </c>
      <c r="BR2015" s="2">
        <v>18.012221867060799</v>
      </c>
      <c r="BS2015" s="2">
        <v>17.676526811409101</v>
      </c>
      <c r="BT2015" s="2">
        <v>17.0013899406663</v>
      </c>
      <c r="BU2015" s="2">
        <v>16.0806988800454</v>
      </c>
      <c r="BV2015" s="2">
        <v>17.771826336704098</v>
      </c>
      <c r="BW2015" s="2">
        <v>11.830174497409001</v>
      </c>
      <c r="BX2015" s="2">
        <v>17.412814183908999</v>
      </c>
      <c r="BY2015" s="2">
        <v>21.580233592068598</v>
      </c>
      <c r="BZ2015" s="2">
        <v>16.7806144787275</v>
      </c>
      <c r="CA2015" s="2">
        <v>18.092168077088001</v>
      </c>
      <c r="CB2015" s="2">
        <v>17.490515604183098</v>
      </c>
      <c r="CC2015" s="2">
        <v>18.7591689704714</v>
      </c>
      <c r="CD2015" s="2">
        <v>18.979738897375299</v>
      </c>
      <c r="CE2015" s="2">
        <v>16.191632198687898</v>
      </c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</row>
    <row r="2016" spans="1:97">
      <c r="A2016" s="2" t="s">
        <v>17613</v>
      </c>
      <c r="B2016" s="2">
        <v>205.11795000000001</v>
      </c>
      <c r="C2016" s="2">
        <v>3.6760000000000002</v>
      </c>
      <c r="D2016" s="2" t="s">
        <v>84</v>
      </c>
      <c r="E2016" s="2" t="s">
        <v>17614</v>
      </c>
      <c r="F2016" s="2" t="s">
        <v>17615</v>
      </c>
      <c r="G2016" s="2">
        <v>197066</v>
      </c>
      <c r="H2016" s="3" t="str">
        <f>HYPERLINK("https://cloud.oebiotech.com/#/lm/network/197066", "https://cloud.oebiotech.com/#/lm/network/197066")</f>
        <v>https://cloud.oebiotech.com/#/lm/network/197066</v>
      </c>
      <c r="I2016" s="2" t="s">
        <v>17616</v>
      </c>
      <c r="J2016" s="2"/>
      <c r="K2016" s="2"/>
      <c r="L2016" s="2">
        <v>123800</v>
      </c>
      <c r="M2016" s="2"/>
      <c r="N2016" s="2"/>
      <c r="O2016" s="2"/>
      <c r="P2016" s="2">
        <v>53014</v>
      </c>
      <c r="Q2016" s="2" t="s">
        <v>17617</v>
      </c>
      <c r="R2016" s="2" t="s">
        <v>17618</v>
      </c>
      <c r="S2016" s="2" t="s">
        <v>17619</v>
      </c>
      <c r="T2016" s="2" t="s">
        <v>17620</v>
      </c>
      <c r="U2016" s="2" t="s">
        <v>17621</v>
      </c>
      <c r="V2016" s="2" t="s">
        <v>115</v>
      </c>
      <c r="W2016" s="2" t="s">
        <v>116</v>
      </c>
      <c r="X2016" s="2" t="s">
        <v>117</v>
      </c>
      <c r="Y2016" s="2" t="s">
        <v>118</v>
      </c>
      <c r="Z2016" s="2" t="s">
        <v>119</v>
      </c>
      <c r="AA2016" s="2" t="s">
        <v>120</v>
      </c>
      <c r="AB2016" s="2" t="s">
        <v>8443</v>
      </c>
      <c r="AC2016" s="2">
        <v>38.47</v>
      </c>
      <c r="AD2016" s="2">
        <v>94.67</v>
      </c>
      <c r="AE2016" s="2">
        <v>0</v>
      </c>
      <c r="AF2016" s="2" t="s">
        <v>5614</v>
      </c>
      <c r="AG2016" s="2" t="s">
        <v>103</v>
      </c>
      <c r="AH2016" s="2" t="s">
        <v>17622</v>
      </c>
      <c r="AI2016" s="2">
        <v>1.46</v>
      </c>
      <c r="AJ2016" s="2">
        <v>19.363115838376402</v>
      </c>
      <c r="AK2016" s="2">
        <v>18.9658925390838</v>
      </c>
      <c r="AL2016" s="2">
        <v>19.510457638366699</v>
      </c>
      <c r="AM2016" s="2">
        <v>19.610108679230802</v>
      </c>
      <c r="AN2016" s="2">
        <v>18.7609169338686</v>
      </c>
      <c r="AO2016" s="2">
        <v>19.568598783315899</v>
      </c>
      <c r="AP2016" s="2">
        <v>19.338578056905501</v>
      </c>
      <c r="AQ2016" s="2">
        <v>19.3415076172973</v>
      </c>
      <c r="AR2016" s="2">
        <v>17.3858779003648</v>
      </c>
      <c r="AS2016" s="2">
        <v>17.7653653598117</v>
      </c>
      <c r="AT2016" s="2">
        <v>18.0644155934399</v>
      </c>
      <c r="AU2016" s="2">
        <v>18.167412902331399</v>
      </c>
      <c r="AV2016" s="2">
        <v>19.226673365027601</v>
      </c>
      <c r="AW2016" s="2">
        <v>18.190679718627099</v>
      </c>
      <c r="AX2016" s="2">
        <v>17.960593258346101</v>
      </c>
      <c r="AY2016" s="2">
        <v>19.072771373978998</v>
      </c>
      <c r="AZ2016" s="2">
        <v>18.977140621965599</v>
      </c>
      <c r="BA2016" s="2">
        <v>18.428233183712798</v>
      </c>
      <c r="BB2016" s="2">
        <v>18.948521915099501</v>
      </c>
      <c r="BC2016" s="2">
        <v>18.414198351425998</v>
      </c>
      <c r="BD2016" s="2">
        <v>18.099610452421199</v>
      </c>
      <c r="BE2016" s="2">
        <v>19.407289758403898</v>
      </c>
      <c r="BF2016" s="2">
        <v>19.0702881395787</v>
      </c>
      <c r="BG2016" s="2">
        <v>19.9134453282031</v>
      </c>
      <c r="BH2016" s="2">
        <v>19.4002865837098</v>
      </c>
      <c r="BI2016" s="2">
        <v>17.917494575608298</v>
      </c>
      <c r="BJ2016" s="2">
        <v>19.2637105977816</v>
      </c>
      <c r="BK2016" s="2">
        <v>18.979015940493099</v>
      </c>
      <c r="BL2016" s="2">
        <v>19.146112068587801</v>
      </c>
      <c r="BM2016" s="2">
        <v>17.7502516893645</v>
      </c>
      <c r="BN2016" s="2">
        <v>19.8315955331609</v>
      </c>
      <c r="BO2016" s="2">
        <v>18.422373824498699</v>
      </c>
      <c r="BP2016" s="2">
        <v>18.764588361485099</v>
      </c>
      <c r="BQ2016" s="2">
        <v>19.1912300298399</v>
      </c>
      <c r="BR2016" s="2">
        <v>19.0907247009422</v>
      </c>
      <c r="BS2016" s="2">
        <v>18.1130817223201</v>
      </c>
      <c r="BT2016" s="2">
        <v>18.7561021513127</v>
      </c>
      <c r="BU2016" s="2">
        <v>18.126164560879399</v>
      </c>
      <c r="BV2016" s="2">
        <v>19.046329392939899</v>
      </c>
      <c r="BW2016" s="2">
        <v>18.248086699044102</v>
      </c>
      <c r="BX2016" s="2">
        <v>18.810038075047</v>
      </c>
      <c r="BY2016" s="2">
        <v>19.4270337009544</v>
      </c>
      <c r="BZ2016" s="2">
        <v>19.121222290348499</v>
      </c>
      <c r="CA2016" s="2">
        <v>19.929480908114598</v>
      </c>
      <c r="CB2016" s="2">
        <v>18.7624304119438</v>
      </c>
      <c r="CC2016" s="2">
        <v>18.069997062400098</v>
      </c>
      <c r="CD2016" s="2">
        <v>19.686518753622501</v>
      </c>
      <c r="CE2016" s="2">
        <v>19.1825011189358</v>
      </c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</row>
    <row r="2017" spans="1:97">
      <c r="A2017" s="2" t="s">
        <v>17623</v>
      </c>
      <c r="B2017" s="2">
        <v>452.13562000000002</v>
      </c>
      <c r="C2017" s="2">
        <v>7.5330000000000004</v>
      </c>
      <c r="D2017" s="2" t="s">
        <v>146</v>
      </c>
      <c r="E2017" s="2" t="s">
        <v>17624</v>
      </c>
      <c r="F2017" s="2" t="s">
        <v>17625</v>
      </c>
      <c r="G2017" s="2">
        <v>54718</v>
      </c>
      <c r="H2017" s="3" t="str">
        <f>HYPERLINK("https://cloud.oebiotech.com/#/lm/network/54718", "https://cloud.oebiotech.com/#/lm/network/54718")</f>
        <v>https://cloud.oebiotech.com/#/lm/network/54718</v>
      </c>
      <c r="I2017" s="2" t="s">
        <v>17626</v>
      </c>
      <c r="J2017" s="2">
        <v>86536</v>
      </c>
      <c r="K2017" s="2"/>
      <c r="L2017" s="2">
        <v>13946324</v>
      </c>
      <c r="M2017" s="2"/>
      <c r="N2017" s="2"/>
      <c r="O2017" s="2"/>
      <c r="P2017" s="2"/>
      <c r="Q2017" s="2"/>
      <c r="R2017" s="2"/>
      <c r="S2017" s="2"/>
      <c r="T2017" s="2" t="s">
        <v>17627</v>
      </c>
      <c r="U2017" s="2" t="s">
        <v>17628</v>
      </c>
      <c r="V2017" s="2" t="s">
        <v>374</v>
      </c>
      <c r="W2017" s="2" t="s">
        <v>5681</v>
      </c>
      <c r="X2017" s="2" t="s">
        <v>17629</v>
      </c>
      <c r="Y2017" s="2" t="s">
        <v>376</v>
      </c>
      <c r="Z2017" s="2" t="s">
        <v>5683</v>
      </c>
      <c r="AA2017" s="2" t="s">
        <v>17630</v>
      </c>
      <c r="AB2017" s="2" t="s">
        <v>8443</v>
      </c>
      <c r="AC2017" s="2">
        <v>38.47</v>
      </c>
      <c r="AD2017" s="2">
        <v>92.91</v>
      </c>
      <c r="AE2017" s="2">
        <v>0</v>
      </c>
      <c r="AF2017" s="2" t="s">
        <v>5614</v>
      </c>
      <c r="AG2017" s="2" t="s">
        <v>157</v>
      </c>
      <c r="AH2017" s="2" t="s">
        <v>17631</v>
      </c>
      <c r="AI2017" s="2">
        <v>-1.1100000000000001</v>
      </c>
      <c r="AJ2017" s="2">
        <v>19.539516762825301</v>
      </c>
      <c r="AK2017" s="2">
        <v>18.668335138638199</v>
      </c>
      <c r="AL2017" s="2">
        <v>19.688150642240501</v>
      </c>
      <c r="AM2017" s="2">
        <v>19.634190654336699</v>
      </c>
      <c r="AN2017" s="2">
        <v>19.451370185952801</v>
      </c>
      <c r="AO2017" s="2">
        <v>18.4676379858407</v>
      </c>
      <c r="AP2017" s="2">
        <v>19.6573136864186</v>
      </c>
      <c r="AQ2017" s="2">
        <v>19.725595888197802</v>
      </c>
      <c r="AR2017" s="2">
        <v>18.279111412753998</v>
      </c>
      <c r="AS2017" s="2">
        <v>16.854753720671201</v>
      </c>
      <c r="AT2017" s="2">
        <v>17.954347473220199</v>
      </c>
      <c r="AU2017" s="2">
        <v>18.700354336018201</v>
      </c>
      <c r="AV2017" s="2">
        <v>20.103940126920701</v>
      </c>
      <c r="AW2017" s="2">
        <v>20.177831692641199</v>
      </c>
      <c r="AX2017" s="2">
        <v>19.9599330140314</v>
      </c>
      <c r="AY2017" s="2">
        <v>20.504775149699402</v>
      </c>
      <c r="AZ2017" s="2">
        <v>19.577813250351401</v>
      </c>
      <c r="BA2017" s="2">
        <v>19.115048198213302</v>
      </c>
      <c r="BB2017" s="2">
        <v>18.7288681479445</v>
      </c>
      <c r="BC2017" s="2">
        <v>21.0895080249371</v>
      </c>
      <c r="BD2017" s="2">
        <v>19.8230375768972</v>
      </c>
      <c r="BE2017" s="2">
        <v>20.4602238571035</v>
      </c>
      <c r="BF2017" s="2">
        <v>19.435428116382699</v>
      </c>
      <c r="BG2017" s="2">
        <v>20.1812990594991</v>
      </c>
      <c r="BH2017" s="2">
        <v>19.665114643299798</v>
      </c>
      <c r="BI2017" s="2">
        <v>16.450578667041999</v>
      </c>
      <c r="BJ2017" s="2">
        <v>19.640432192365701</v>
      </c>
      <c r="BK2017" s="2">
        <v>18.949035440109501</v>
      </c>
      <c r="BL2017" s="2">
        <v>18.198718110872498</v>
      </c>
      <c r="BM2017" s="2">
        <v>18.0057199333739</v>
      </c>
      <c r="BN2017" s="2">
        <v>17.7409307216058</v>
      </c>
      <c r="BO2017" s="2">
        <v>18.895134016703899</v>
      </c>
      <c r="BP2017" s="2">
        <v>20.160051746122601</v>
      </c>
      <c r="BQ2017" s="2">
        <v>19.352313966112799</v>
      </c>
      <c r="BR2017" s="2">
        <v>20.170121045286301</v>
      </c>
      <c r="BS2017" s="2">
        <v>18.942541795008498</v>
      </c>
      <c r="BT2017" s="2">
        <v>19.190076374537401</v>
      </c>
      <c r="BU2017" s="2">
        <v>17.596139443258</v>
      </c>
      <c r="BV2017" s="2">
        <v>17.289669690057899</v>
      </c>
      <c r="BW2017" s="2">
        <v>19.7159135078216</v>
      </c>
      <c r="BX2017" s="2">
        <v>19.567310574031101</v>
      </c>
      <c r="BY2017" s="2">
        <v>19.9756663549202</v>
      </c>
      <c r="BZ2017" s="2">
        <v>18.482042921078399</v>
      </c>
      <c r="CA2017" s="2">
        <v>17.867543054317998</v>
      </c>
      <c r="CB2017" s="2">
        <v>19.115037069435999</v>
      </c>
      <c r="CC2017" s="2">
        <v>16.740086939025201</v>
      </c>
      <c r="CD2017" s="2">
        <v>18.912444008219001</v>
      </c>
      <c r="CE2017" s="2">
        <v>19.633457694054901</v>
      </c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</row>
    <row r="2018" spans="1:97">
      <c r="A2018" s="2" t="s">
        <v>17632</v>
      </c>
      <c r="B2018" s="2">
        <v>629.11773000000005</v>
      </c>
      <c r="C2018" s="2">
        <v>5.0670000000000002</v>
      </c>
      <c r="D2018" s="2" t="s">
        <v>146</v>
      </c>
      <c r="E2018" s="2" t="s">
        <v>17633</v>
      </c>
      <c r="F2018" s="2" t="s">
        <v>17634</v>
      </c>
      <c r="G2018" s="2">
        <v>212105</v>
      </c>
      <c r="H2018" s="3" t="str">
        <f>HYPERLINK("https://cloud.oebiotech.com/#/lm/network/212105", "https://cloud.oebiotech.com/#/lm/network/212105")</f>
        <v>https://cloud.oebiotech.com/#/lm/network/212105</v>
      </c>
      <c r="I2018" s="2" t="s">
        <v>17635</v>
      </c>
      <c r="J2018" s="2"/>
      <c r="K2018" s="2"/>
      <c r="L2018" s="2">
        <v>2175</v>
      </c>
      <c r="M2018" s="2"/>
      <c r="N2018" s="2"/>
      <c r="O2018" s="2"/>
      <c r="P2018" s="2"/>
      <c r="Q2018" s="2"/>
      <c r="R2018" s="2"/>
      <c r="S2018" s="2"/>
      <c r="T2018" s="2" t="s">
        <v>17636</v>
      </c>
      <c r="U2018" s="2" t="s">
        <v>17637</v>
      </c>
      <c r="V2018" s="2" t="s">
        <v>553</v>
      </c>
      <c r="W2018" s="2" t="s">
        <v>6375</v>
      </c>
      <c r="X2018" s="2" t="s">
        <v>6376</v>
      </c>
      <c r="Y2018" s="2" t="s">
        <v>556</v>
      </c>
      <c r="Z2018" s="2" t="s">
        <v>6377</v>
      </c>
      <c r="AA2018" s="2" t="s">
        <v>6378</v>
      </c>
      <c r="AB2018" s="2" t="s">
        <v>5118</v>
      </c>
      <c r="AC2018" s="2">
        <v>38.47</v>
      </c>
      <c r="AD2018" s="2">
        <v>63.26</v>
      </c>
      <c r="AE2018" s="2">
        <v>58.94</v>
      </c>
      <c r="AF2018" s="2" t="s">
        <v>17638</v>
      </c>
      <c r="AG2018" s="2" t="s">
        <v>4062</v>
      </c>
      <c r="AH2018" s="2" t="s">
        <v>17639</v>
      </c>
      <c r="AI2018" s="2">
        <v>-4.6100000000000003</v>
      </c>
      <c r="AJ2018" s="2">
        <v>18.298679702776901</v>
      </c>
      <c r="AK2018" s="2">
        <v>18.354456060551598</v>
      </c>
      <c r="AL2018" s="2">
        <v>18.458884012018402</v>
      </c>
      <c r="AM2018" s="2">
        <v>18.346644010983699</v>
      </c>
      <c r="AN2018" s="2">
        <v>18.404929533450499</v>
      </c>
      <c r="AO2018" s="2">
        <v>18.495355470317399</v>
      </c>
      <c r="AP2018" s="2">
        <v>18.609131185340001</v>
      </c>
      <c r="AQ2018" s="2">
        <v>18.279680128042202</v>
      </c>
      <c r="AR2018" s="2">
        <v>9.6233145402724691</v>
      </c>
      <c r="AS2018" s="2">
        <v>9.6233145402724691</v>
      </c>
      <c r="AT2018" s="2">
        <v>18.471316678859001</v>
      </c>
      <c r="AU2018" s="2">
        <v>9.6233145402724691</v>
      </c>
      <c r="AV2018" s="2">
        <v>18.583035522346201</v>
      </c>
      <c r="AW2018" s="2">
        <v>18.6047256507151</v>
      </c>
      <c r="AX2018" s="2">
        <v>15.984207486611201</v>
      </c>
      <c r="AY2018" s="2">
        <v>19.089159752746198</v>
      </c>
      <c r="AZ2018" s="2">
        <v>17.650958463644699</v>
      </c>
      <c r="BA2018" s="2">
        <v>19.768526051255101</v>
      </c>
      <c r="BB2018" s="2">
        <v>19.695372044668801</v>
      </c>
      <c r="BC2018" s="2">
        <v>9.6233145402724691</v>
      </c>
      <c r="BD2018" s="2">
        <v>14.953829045399999</v>
      </c>
      <c r="BE2018" s="2">
        <v>17.946329416861499</v>
      </c>
      <c r="BF2018" s="2">
        <v>14.237327989179001</v>
      </c>
      <c r="BG2018" s="2">
        <v>18.813021259382701</v>
      </c>
      <c r="BH2018" s="2">
        <v>19.983657656731999</v>
      </c>
      <c r="BI2018" s="2">
        <v>18.194704200708699</v>
      </c>
      <c r="BJ2018" s="2">
        <v>15.390095381714699</v>
      </c>
      <c r="BK2018" s="2">
        <v>16.090437899287501</v>
      </c>
      <c r="BL2018" s="2">
        <v>9.6233145402724691</v>
      </c>
      <c r="BM2018" s="2">
        <v>18.6569910982167</v>
      </c>
      <c r="BN2018" s="2">
        <v>19.019484691848302</v>
      </c>
      <c r="BO2018" s="2">
        <v>16.3461982476407</v>
      </c>
      <c r="BP2018" s="2">
        <v>17.3672191796413</v>
      </c>
      <c r="BQ2018" s="2">
        <v>17.292422385684699</v>
      </c>
      <c r="BR2018" s="2">
        <v>17.950810626599701</v>
      </c>
      <c r="BS2018" s="2">
        <v>21.188685043658801</v>
      </c>
      <c r="BT2018" s="2">
        <v>18.841367321149701</v>
      </c>
      <c r="BU2018" s="2">
        <v>18.545972100888399</v>
      </c>
      <c r="BV2018" s="2">
        <v>19.906110025358</v>
      </c>
      <c r="BW2018" s="2">
        <v>13.4966316151993</v>
      </c>
      <c r="BX2018" s="2">
        <v>14.9916963265135</v>
      </c>
      <c r="BY2018" s="2">
        <v>19.927560784097899</v>
      </c>
      <c r="BZ2018" s="2">
        <v>17.893924385880101</v>
      </c>
      <c r="CA2018" s="2">
        <v>17.879148135639401</v>
      </c>
      <c r="CB2018" s="2">
        <v>19.708600267902199</v>
      </c>
      <c r="CC2018" s="2">
        <v>18.274025098969499</v>
      </c>
      <c r="CD2018" s="2">
        <v>19.890324906659401</v>
      </c>
      <c r="CE2018" s="2">
        <v>20.3166342174048</v>
      </c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</row>
    <row r="2019" spans="1:97">
      <c r="A2019" s="2" t="s">
        <v>17640</v>
      </c>
      <c r="B2019" s="2">
        <v>167.08537999999999</v>
      </c>
      <c r="C2019" s="2">
        <v>8.6829999999999998</v>
      </c>
      <c r="D2019" s="2" t="s">
        <v>84</v>
      </c>
      <c r="E2019" s="2" t="s">
        <v>17641</v>
      </c>
      <c r="F2019" s="2" t="s">
        <v>17642</v>
      </c>
      <c r="G2019" s="2">
        <v>255440</v>
      </c>
      <c r="H2019" s="3" t="str">
        <f>HYPERLINK("https://cloud.oebiotech.com/#/lm/network/255440", "https://cloud.oebiotech.com/#/lm/network/255440")</f>
        <v>https://cloud.oebiotech.com/#/lm/network/255440</v>
      </c>
      <c r="I2019" s="2" t="s">
        <v>17643</v>
      </c>
      <c r="J2019" s="2"/>
      <c r="K2019" s="2"/>
      <c r="L2019" s="2">
        <v>5352706</v>
      </c>
      <c r="M2019" s="2"/>
      <c r="N2019" s="2"/>
      <c r="O2019" s="2"/>
      <c r="P2019" s="2"/>
      <c r="Q2019" s="2"/>
      <c r="R2019" s="2"/>
      <c r="S2019" s="2"/>
      <c r="T2019" s="2" t="s">
        <v>17644</v>
      </c>
      <c r="U2019" s="2" t="s">
        <v>17645</v>
      </c>
      <c r="V2019" s="2" t="s">
        <v>10755</v>
      </c>
      <c r="W2019" s="2" t="s">
        <v>10756</v>
      </c>
      <c r="X2019" s="2" t="s">
        <v>17646</v>
      </c>
      <c r="Y2019" s="2" t="s">
        <v>10758</v>
      </c>
      <c r="Z2019" s="2" t="s">
        <v>10759</v>
      </c>
      <c r="AA2019" s="2" t="s">
        <v>17647</v>
      </c>
      <c r="AB2019" s="2" t="s">
        <v>8443</v>
      </c>
      <c r="AC2019" s="2">
        <v>38.47</v>
      </c>
      <c r="AD2019" s="2">
        <v>92.33</v>
      </c>
      <c r="AE2019" s="2">
        <v>0</v>
      </c>
      <c r="AF2019" s="2" t="s">
        <v>17648</v>
      </c>
      <c r="AG2019" s="2" t="s">
        <v>103</v>
      </c>
      <c r="AH2019" s="2" t="s">
        <v>17649</v>
      </c>
      <c r="AI2019" s="2">
        <v>0.6</v>
      </c>
      <c r="AJ2019" s="2">
        <v>20.170140243457102</v>
      </c>
      <c r="AK2019" s="2">
        <v>20.150285469888701</v>
      </c>
      <c r="AL2019" s="2">
        <v>19.9869217311618</v>
      </c>
      <c r="AM2019" s="2">
        <v>20.307521235802</v>
      </c>
      <c r="AN2019" s="2">
        <v>20.287149663839799</v>
      </c>
      <c r="AO2019" s="2">
        <v>20.062423442034898</v>
      </c>
      <c r="AP2019" s="2">
        <v>20.164909368899199</v>
      </c>
      <c r="AQ2019" s="2">
        <v>19.968732216136601</v>
      </c>
      <c r="AR2019" s="2">
        <v>15.0313341939849</v>
      </c>
      <c r="AS2019" s="2">
        <v>14.846710728692999</v>
      </c>
      <c r="AT2019" s="2">
        <v>9.6233145402724691</v>
      </c>
      <c r="AU2019" s="2">
        <v>14.936637478959399</v>
      </c>
      <c r="AV2019" s="2">
        <v>15.5510593354504</v>
      </c>
      <c r="AW2019" s="2">
        <v>15.957496587923499</v>
      </c>
      <c r="AX2019" s="2">
        <v>9.6233145402724691</v>
      </c>
      <c r="AY2019" s="2">
        <v>15.221575415934099</v>
      </c>
      <c r="AZ2019" s="2">
        <v>15.1992363881731</v>
      </c>
      <c r="BA2019" s="2">
        <v>14.8402473366886</v>
      </c>
      <c r="BB2019" s="2">
        <v>15.810850246390499</v>
      </c>
      <c r="BC2019" s="2">
        <v>15.9939252942469</v>
      </c>
      <c r="BD2019" s="2">
        <v>13.7005502569458</v>
      </c>
      <c r="BE2019" s="2">
        <v>16.171336128139099</v>
      </c>
      <c r="BF2019" s="2">
        <v>21.003257276301401</v>
      </c>
      <c r="BG2019" s="2">
        <v>15.3351568888757</v>
      </c>
      <c r="BH2019" s="2">
        <v>15.6526889899702</v>
      </c>
      <c r="BI2019" s="2">
        <v>13.994712297974599</v>
      </c>
      <c r="BJ2019" s="2">
        <v>16.3216820479097</v>
      </c>
      <c r="BK2019" s="2">
        <v>14.940063031020401</v>
      </c>
      <c r="BL2019" s="2">
        <v>16.346705380311398</v>
      </c>
      <c r="BM2019" s="2">
        <v>15.0617854776171</v>
      </c>
      <c r="BN2019" s="2">
        <v>15.9538279089152</v>
      </c>
      <c r="BO2019" s="2">
        <v>16.7674843672538</v>
      </c>
      <c r="BP2019" s="2">
        <v>17.4394765609484</v>
      </c>
      <c r="BQ2019" s="2">
        <v>15.1471106982307</v>
      </c>
      <c r="BR2019" s="2">
        <v>15.8379183645665</v>
      </c>
      <c r="BS2019" s="2">
        <v>15.418182699236899</v>
      </c>
      <c r="BT2019" s="2">
        <v>13.823773239464501</v>
      </c>
      <c r="BU2019" s="2">
        <v>15.5543634129646</v>
      </c>
      <c r="BV2019" s="2">
        <v>17.313303874868001</v>
      </c>
      <c r="BW2019" s="2">
        <v>15.217582136422299</v>
      </c>
      <c r="BX2019" s="2">
        <v>16.382921686801801</v>
      </c>
      <c r="BY2019" s="2">
        <v>17.072967352535301</v>
      </c>
      <c r="BZ2019" s="2">
        <v>14.885186345401101</v>
      </c>
      <c r="CA2019" s="2">
        <v>22.719915187965501</v>
      </c>
      <c r="CB2019" s="2">
        <v>24.621336773856601</v>
      </c>
      <c r="CC2019" s="2">
        <v>16.341403806122401</v>
      </c>
      <c r="CD2019" s="2">
        <v>16.2481714518388</v>
      </c>
      <c r="CE2019" s="2">
        <v>16.4228229807436</v>
      </c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</row>
    <row r="2020" spans="1:97">
      <c r="A2020" s="2" t="s">
        <v>17650</v>
      </c>
      <c r="B2020" s="2">
        <v>194.13142999999999</v>
      </c>
      <c r="C2020" s="2">
        <v>4.8609999999999998</v>
      </c>
      <c r="D2020" s="2" t="s">
        <v>84</v>
      </c>
      <c r="E2020" s="2" t="s">
        <v>17651</v>
      </c>
      <c r="F2020" s="2" t="s">
        <v>17652</v>
      </c>
      <c r="G2020" s="2">
        <v>210092</v>
      </c>
      <c r="H2020" s="3" t="str">
        <f>HYPERLINK("https://cloud.oebiotech.com/#/lm/network/210092", "https://cloud.oebiotech.com/#/lm/network/210092")</f>
        <v>https://cloud.oebiotech.com/#/lm/network/210092</v>
      </c>
      <c r="I2020" s="2" t="s">
        <v>17653</v>
      </c>
      <c r="J2020" s="2">
        <v>44350</v>
      </c>
      <c r="K2020" s="2"/>
      <c r="L2020" s="2">
        <v>6603</v>
      </c>
      <c r="M2020" s="2"/>
      <c r="N2020" s="2"/>
      <c r="O2020" s="2"/>
      <c r="P2020" s="2"/>
      <c r="Q2020" s="2"/>
      <c r="R2020" s="2"/>
      <c r="S2020" s="2" t="s">
        <v>17654</v>
      </c>
      <c r="T2020" s="2" t="s">
        <v>17655</v>
      </c>
      <c r="U2020" s="2" t="s">
        <v>17656</v>
      </c>
      <c r="V2020" s="2" t="s">
        <v>553</v>
      </c>
      <c r="W2020" s="2" t="s">
        <v>3192</v>
      </c>
      <c r="X2020" s="2" t="s">
        <v>375</v>
      </c>
      <c r="Y2020" s="2" t="s">
        <v>556</v>
      </c>
      <c r="Z2020" s="2" t="s">
        <v>3194</v>
      </c>
      <c r="AA2020" s="2"/>
      <c r="AB2020" s="2" t="s">
        <v>8443</v>
      </c>
      <c r="AC2020" s="2">
        <v>38.47</v>
      </c>
      <c r="AD2020" s="2">
        <v>74.319999999999993</v>
      </c>
      <c r="AE2020" s="2">
        <v>0</v>
      </c>
      <c r="AF2020" s="2" t="s">
        <v>5614</v>
      </c>
      <c r="AG2020" s="2" t="s">
        <v>3544</v>
      </c>
      <c r="AH2020" s="2" t="s">
        <v>17657</v>
      </c>
      <c r="AI2020" s="2">
        <v>-4.12</v>
      </c>
      <c r="AJ2020" s="2">
        <v>18.428971976184599</v>
      </c>
      <c r="AK2020" s="2">
        <v>18.8185897601474</v>
      </c>
      <c r="AL2020" s="2">
        <v>18.9502306856178</v>
      </c>
      <c r="AM2020" s="2">
        <v>18.723360840522201</v>
      </c>
      <c r="AN2020" s="2">
        <v>19.504610694670799</v>
      </c>
      <c r="AO2020" s="2">
        <v>18.935303110543099</v>
      </c>
      <c r="AP2020" s="2">
        <v>19.2232765775234</v>
      </c>
      <c r="AQ2020" s="2">
        <v>18.989817864589298</v>
      </c>
      <c r="AR2020" s="2">
        <v>18.8681661528144</v>
      </c>
      <c r="AS2020" s="2">
        <v>18.6899084892943</v>
      </c>
      <c r="AT2020" s="2">
        <v>18.626956501420899</v>
      </c>
      <c r="AU2020" s="2">
        <v>18.763030384218901</v>
      </c>
      <c r="AV2020" s="2">
        <v>18.6216876454728</v>
      </c>
      <c r="AW2020" s="2">
        <v>18.7102463028377</v>
      </c>
      <c r="AX2020" s="2">
        <v>17.812236480473999</v>
      </c>
      <c r="AY2020" s="2">
        <v>18.873058405831902</v>
      </c>
      <c r="AZ2020" s="2">
        <v>19.069456480744101</v>
      </c>
      <c r="BA2020" s="2">
        <v>19.054329616145999</v>
      </c>
      <c r="BB2020" s="2">
        <v>18.826433382635901</v>
      </c>
      <c r="BC2020" s="2">
        <v>18.792968688696401</v>
      </c>
      <c r="BD2020" s="2">
        <v>19.1436985398595</v>
      </c>
      <c r="BE2020" s="2">
        <v>19.289833339728201</v>
      </c>
      <c r="BF2020" s="2">
        <v>18.7042109607481</v>
      </c>
      <c r="BG2020" s="2">
        <v>18.723528398446302</v>
      </c>
      <c r="BH2020" s="2">
        <v>19.3536752532967</v>
      </c>
      <c r="BI2020" s="2">
        <v>18.730044109342099</v>
      </c>
      <c r="BJ2020" s="2">
        <v>18.509222864364801</v>
      </c>
      <c r="BK2020" s="2">
        <v>18.641396687499501</v>
      </c>
      <c r="BL2020" s="2">
        <v>18.746350133593701</v>
      </c>
      <c r="BM2020" s="2">
        <v>18.6217946219517</v>
      </c>
      <c r="BN2020" s="2">
        <v>19.418487566605499</v>
      </c>
      <c r="BO2020" s="2">
        <v>19.230276451754602</v>
      </c>
      <c r="BP2020" s="2">
        <v>18.1171890428047</v>
      </c>
      <c r="BQ2020" s="2">
        <v>18.992854768661601</v>
      </c>
      <c r="BR2020" s="2">
        <v>19.5619958674617</v>
      </c>
      <c r="BS2020" s="2">
        <v>18.540317454052801</v>
      </c>
      <c r="BT2020" s="2">
        <v>19.360769877529801</v>
      </c>
      <c r="BU2020" s="2">
        <v>19.356659708921502</v>
      </c>
      <c r="BV2020" s="2">
        <v>18.825018325525999</v>
      </c>
      <c r="BW2020" s="2">
        <v>19.401343146490898</v>
      </c>
      <c r="BX2020" s="2">
        <v>19.685981455762199</v>
      </c>
      <c r="BY2020" s="2">
        <v>18.210815862859899</v>
      </c>
      <c r="BZ2020" s="2">
        <v>19.0964699496059</v>
      </c>
      <c r="CA2020" s="2">
        <v>17.045489749283799</v>
      </c>
      <c r="CB2020" s="2">
        <v>19.158369628298502</v>
      </c>
      <c r="CC2020" s="2">
        <v>19.3965062606031</v>
      </c>
      <c r="CD2020" s="2">
        <v>18.8792179410184</v>
      </c>
      <c r="CE2020" s="2">
        <v>19.811691606160601</v>
      </c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</row>
    <row r="2021" spans="1:97">
      <c r="A2021" s="2" t="s">
        <v>17658</v>
      </c>
      <c r="B2021" s="2">
        <v>246.07445000000001</v>
      </c>
      <c r="C2021" s="2">
        <v>5.0199999999999996</v>
      </c>
      <c r="D2021" s="2" t="s">
        <v>146</v>
      </c>
      <c r="E2021" s="2" t="s">
        <v>17659</v>
      </c>
      <c r="F2021" s="2"/>
      <c r="G2021" s="2">
        <v>595751</v>
      </c>
      <c r="H2021" s="3" t="str">
        <f>HYPERLINK("https://cloud.oebiotech.com/#/lm/network/595751", "https://cloud.oebiotech.com/#/lm/network/595751")</f>
        <v>https://cloud.oebiotech.com/#/lm/network/595751</v>
      </c>
      <c r="I2021" s="2"/>
      <c r="J2021" s="2"/>
      <c r="K2021" s="2"/>
      <c r="L2021" s="2">
        <v>3395855</v>
      </c>
      <c r="M2021" s="2"/>
      <c r="N2021" s="2"/>
      <c r="O2021" s="2"/>
      <c r="P2021" s="2"/>
      <c r="Q2021" s="2"/>
      <c r="R2021" s="2"/>
      <c r="S2021" s="2"/>
      <c r="T2021" s="2" t="s">
        <v>17660</v>
      </c>
      <c r="U2021" s="2" t="s">
        <v>17661</v>
      </c>
      <c r="V2021" s="2" t="s">
        <v>115</v>
      </c>
      <c r="W2021" s="2" t="s">
        <v>116</v>
      </c>
      <c r="X2021" s="2" t="s">
        <v>117</v>
      </c>
      <c r="Y2021" s="2" t="s">
        <v>118</v>
      </c>
      <c r="Z2021" s="2" t="s">
        <v>119</v>
      </c>
      <c r="AA2021" s="2" t="s">
        <v>120</v>
      </c>
      <c r="AB2021" s="2" t="s">
        <v>8443</v>
      </c>
      <c r="AC2021" s="2">
        <v>38.46</v>
      </c>
      <c r="AD2021" s="2">
        <v>91.54</v>
      </c>
      <c r="AE2021" s="2">
        <v>0</v>
      </c>
      <c r="AF2021" s="2" t="s">
        <v>17662</v>
      </c>
      <c r="AG2021" s="2" t="s">
        <v>993</v>
      </c>
      <c r="AH2021" s="2" t="s">
        <v>6534</v>
      </c>
      <c r="AI2021" s="2">
        <v>8.5299999999999994</v>
      </c>
      <c r="AJ2021" s="2">
        <v>22.222123352484299</v>
      </c>
      <c r="AK2021" s="2">
        <v>22.297166144167502</v>
      </c>
      <c r="AL2021" s="2">
        <v>22.204304599175</v>
      </c>
      <c r="AM2021" s="2">
        <v>22.203219040907602</v>
      </c>
      <c r="AN2021" s="2">
        <v>21.799578895011901</v>
      </c>
      <c r="AO2021" s="2">
        <v>22.223520521478601</v>
      </c>
      <c r="AP2021" s="2">
        <v>22.0437772481202</v>
      </c>
      <c r="AQ2021" s="2">
        <v>22.241692103629799</v>
      </c>
      <c r="AR2021" s="2">
        <v>21.449730825424901</v>
      </c>
      <c r="AS2021" s="2">
        <v>19.806209452155699</v>
      </c>
      <c r="AT2021" s="2">
        <v>21.720668739463001</v>
      </c>
      <c r="AU2021" s="2">
        <v>20.781978032117902</v>
      </c>
      <c r="AV2021" s="2">
        <v>21.467637498314701</v>
      </c>
      <c r="AW2021" s="2">
        <v>22.617026967767401</v>
      </c>
      <c r="AX2021" s="2">
        <v>20.347970162526501</v>
      </c>
      <c r="AY2021" s="2">
        <v>22.568681256145801</v>
      </c>
      <c r="AZ2021" s="2">
        <v>22.0050189455241</v>
      </c>
      <c r="BA2021" s="2">
        <v>23.148128389625601</v>
      </c>
      <c r="BB2021" s="2">
        <v>22.022785211792598</v>
      </c>
      <c r="BC2021" s="2">
        <v>23.087391082638501</v>
      </c>
      <c r="BD2021" s="2">
        <v>20.827309974691701</v>
      </c>
      <c r="BE2021" s="2">
        <v>22.442931431235099</v>
      </c>
      <c r="BF2021" s="2">
        <v>22.3270252174507</v>
      </c>
      <c r="BG2021" s="2">
        <v>21.689956842910401</v>
      </c>
      <c r="BH2021" s="2">
        <v>21.0454406416609</v>
      </c>
      <c r="BI2021" s="2">
        <v>20.820105913780999</v>
      </c>
      <c r="BJ2021" s="2">
        <v>21.762297990010001</v>
      </c>
      <c r="BK2021" s="2">
        <v>22.772358033929901</v>
      </c>
      <c r="BL2021" s="2">
        <v>21.8800566990611</v>
      </c>
      <c r="BM2021" s="2">
        <v>20.803652891321999</v>
      </c>
      <c r="BN2021" s="2">
        <v>21.837616989274199</v>
      </c>
      <c r="BO2021" s="2">
        <v>21.749646709508401</v>
      </c>
      <c r="BP2021" s="2">
        <v>21.587214934136298</v>
      </c>
      <c r="BQ2021" s="2">
        <v>21.9127532097502</v>
      </c>
      <c r="BR2021" s="2">
        <v>22.036027658426399</v>
      </c>
      <c r="BS2021" s="2">
        <v>22.1789366915798</v>
      </c>
      <c r="BT2021" s="2">
        <v>21.5445592987952</v>
      </c>
      <c r="BU2021" s="2">
        <v>23.2870224950961</v>
      </c>
      <c r="BV2021" s="2">
        <v>21.058928027939199</v>
      </c>
      <c r="BW2021" s="2">
        <v>22.5194733728733</v>
      </c>
      <c r="BX2021" s="2">
        <v>21.766059578358501</v>
      </c>
      <c r="BY2021" s="2">
        <v>23.2245746063364</v>
      </c>
      <c r="BZ2021" s="2">
        <v>22.846348036453101</v>
      </c>
      <c r="CA2021" s="2">
        <v>20.854680012889499</v>
      </c>
      <c r="CB2021" s="2">
        <v>21.9376367168732</v>
      </c>
      <c r="CC2021" s="2">
        <v>21.1199076067434</v>
      </c>
      <c r="CD2021" s="2">
        <v>21.966578178934899</v>
      </c>
      <c r="CE2021" s="2">
        <v>22.872659250989699</v>
      </c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</row>
    <row r="2022" spans="1:97">
      <c r="A2022" s="2" t="s">
        <v>17663</v>
      </c>
      <c r="B2022" s="2">
        <v>308.90625999999997</v>
      </c>
      <c r="C2022" s="2">
        <v>0.58499999999999996</v>
      </c>
      <c r="D2022" s="2" t="s">
        <v>146</v>
      </c>
      <c r="E2022" s="2" t="s">
        <v>17664</v>
      </c>
      <c r="F2022" s="2" t="s">
        <v>17665</v>
      </c>
      <c r="G2022" s="2">
        <v>211550</v>
      </c>
      <c r="H2022" s="3" t="str">
        <f>HYPERLINK("https://cloud.oebiotech.com/#/lm/network/211550", "https://cloud.oebiotech.com/#/lm/network/211550")</f>
        <v>https://cloud.oebiotech.com/#/lm/network/211550</v>
      </c>
      <c r="I2022" s="2" t="s">
        <v>17666</v>
      </c>
      <c r="J2022" s="2"/>
      <c r="K2022" s="2"/>
      <c r="L2022" s="2">
        <v>18521482</v>
      </c>
      <c r="M2022" s="2"/>
      <c r="N2022" s="2"/>
      <c r="O2022" s="2"/>
      <c r="P2022" s="2"/>
      <c r="Q2022" s="2"/>
      <c r="R2022" s="2"/>
      <c r="S2022" s="2"/>
      <c r="T2022" s="2" t="s">
        <v>17667</v>
      </c>
      <c r="U2022" s="2" t="s">
        <v>17668</v>
      </c>
      <c r="V2022" s="2" t="s">
        <v>385</v>
      </c>
      <c r="W2022" s="2" t="s">
        <v>386</v>
      </c>
      <c r="X2022" s="2" t="s">
        <v>1059</v>
      </c>
      <c r="Y2022" s="2" t="s">
        <v>388</v>
      </c>
      <c r="Z2022" s="2" t="s">
        <v>389</v>
      </c>
      <c r="AA2022" s="2" t="s">
        <v>1060</v>
      </c>
      <c r="AB2022" s="2" t="s">
        <v>5118</v>
      </c>
      <c r="AC2022" s="2">
        <v>38.46</v>
      </c>
      <c r="AD2022" s="2">
        <v>69.34</v>
      </c>
      <c r="AE2022" s="2">
        <v>52.85</v>
      </c>
      <c r="AF2022" s="2" t="s">
        <v>17669</v>
      </c>
      <c r="AG2022" s="2" t="s">
        <v>4062</v>
      </c>
      <c r="AH2022" s="2" t="s">
        <v>17670</v>
      </c>
      <c r="AI2022" s="2">
        <v>-4.8600000000000003</v>
      </c>
      <c r="AJ2022" s="2">
        <v>21.327523819276198</v>
      </c>
      <c r="AK2022" s="2">
        <v>21.498243381849399</v>
      </c>
      <c r="AL2022" s="2">
        <v>21.360671354301498</v>
      </c>
      <c r="AM2022" s="2">
        <v>21.539884732836601</v>
      </c>
      <c r="AN2022" s="2">
        <v>21.390848439939699</v>
      </c>
      <c r="AO2022" s="2">
        <v>21.437564070335</v>
      </c>
      <c r="AP2022" s="2">
        <v>21.583062327549701</v>
      </c>
      <c r="AQ2022" s="2">
        <v>21.403772556858801</v>
      </c>
      <c r="AR2022" s="2">
        <v>21.527820289492901</v>
      </c>
      <c r="AS2022" s="2">
        <v>21.035068135976701</v>
      </c>
      <c r="AT2022" s="2">
        <v>21.454092063644499</v>
      </c>
      <c r="AU2022" s="2">
        <v>21.270298264016301</v>
      </c>
      <c r="AV2022" s="2">
        <v>21.525211577043301</v>
      </c>
      <c r="AW2022" s="2">
        <v>21.323626789342299</v>
      </c>
      <c r="AX2022" s="2">
        <v>21.433182860405001</v>
      </c>
      <c r="AY2022" s="2">
        <v>21.012248626669699</v>
      </c>
      <c r="AZ2022" s="2">
        <v>21.157138715477998</v>
      </c>
      <c r="BA2022" s="2">
        <v>21.132586876852098</v>
      </c>
      <c r="BB2022" s="2">
        <v>21.384418121574999</v>
      </c>
      <c r="BC2022" s="2">
        <v>21.51403205866</v>
      </c>
      <c r="BD2022" s="2">
        <v>21.224798609071801</v>
      </c>
      <c r="BE2022" s="2">
        <v>21.040759118081102</v>
      </c>
      <c r="BF2022" s="2">
        <v>21.184450612652999</v>
      </c>
      <c r="BG2022" s="2">
        <v>21.456804234551701</v>
      </c>
      <c r="BH2022" s="2">
        <v>21.039320598646999</v>
      </c>
      <c r="BI2022" s="2">
        <v>21.303206882518801</v>
      </c>
      <c r="BJ2022" s="2">
        <v>21.136243391401099</v>
      </c>
      <c r="BK2022" s="2">
        <v>21.5429873151433</v>
      </c>
      <c r="BL2022" s="2">
        <v>21.318623021064699</v>
      </c>
      <c r="BM2022" s="2">
        <v>21.425004263472498</v>
      </c>
      <c r="BN2022" s="2">
        <v>21.3366304336726</v>
      </c>
      <c r="BO2022" s="2">
        <v>21.214249570405801</v>
      </c>
      <c r="BP2022" s="2">
        <v>21.365499630375101</v>
      </c>
      <c r="BQ2022" s="2">
        <v>21.509205420497299</v>
      </c>
      <c r="BR2022" s="2">
        <v>21.485594986919399</v>
      </c>
      <c r="BS2022" s="2">
        <v>21.295482119432101</v>
      </c>
      <c r="BT2022" s="2">
        <v>21.3121829245116</v>
      </c>
      <c r="BU2022" s="2">
        <v>21.0302935523498</v>
      </c>
      <c r="BV2022" s="2">
        <v>21.3736727947717</v>
      </c>
      <c r="BW2022" s="2">
        <v>21.490847748607901</v>
      </c>
      <c r="BX2022" s="2">
        <v>21.003681821708401</v>
      </c>
      <c r="BY2022" s="2">
        <v>21.190001273470799</v>
      </c>
      <c r="BZ2022" s="2">
        <v>21.315704360392399</v>
      </c>
      <c r="CA2022" s="2">
        <v>21.203904816123199</v>
      </c>
      <c r="CB2022" s="2">
        <v>21.489872615661501</v>
      </c>
      <c r="CC2022" s="2">
        <v>21.2607266061394</v>
      </c>
      <c r="CD2022" s="2">
        <v>21.243690126609199</v>
      </c>
      <c r="CE2022" s="2">
        <v>21.5053866320699</v>
      </c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</row>
    <row r="2023" spans="1:97">
      <c r="A2023" s="2" t="s">
        <v>17671</v>
      </c>
      <c r="B2023" s="2">
        <v>519.28120999999999</v>
      </c>
      <c r="C2023" s="2">
        <v>10.031000000000001</v>
      </c>
      <c r="D2023" s="2" t="s">
        <v>146</v>
      </c>
      <c r="E2023" s="2" t="s">
        <v>17672</v>
      </c>
      <c r="F2023" s="2" t="s">
        <v>17673</v>
      </c>
      <c r="G2023" s="2">
        <v>38891</v>
      </c>
      <c r="H2023" s="3" t="str">
        <f>HYPERLINK("https://cloud.oebiotech.com/#/lm/network/38891", "https://cloud.oebiotech.com/#/lm/network/38891")</f>
        <v>https://cloud.oebiotech.com/#/lm/network/38891</v>
      </c>
      <c r="I2023" s="2"/>
      <c r="J2023" s="2"/>
      <c r="K2023" s="2" t="s">
        <v>17674</v>
      </c>
      <c r="L2023" s="2">
        <v>155937543</v>
      </c>
      <c r="M2023" s="2"/>
      <c r="N2023" s="2"/>
      <c r="O2023" s="2"/>
      <c r="P2023" s="2"/>
      <c r="Q2023" s="2"/>
      <c r="R2023" s="2"/>
      <c r="S2023" s="2"/>
      <c r="T2023" s="2" t="s">
        <v>17675</v>
      </c>
      <c r="U2023" s="2" t="s">
        <v>17676</v>
      </c>
      <c r="V2023" s="2" t="s">
        <v>95</v>
      </c>
      <c r="W2023" s="2" t="s">
        <v>4009</v>
      </c>
      <c r="X2023" s="2" t="s">
        <v>375</v>
      </c>
      <c r="Y2023" s="2" t="s">
        <v>98</v>
      </c>
      <c r="Z2023" s="2" t="s">
        <v>4010</v>
      </c>
      <c r="AA2023" s="2"/>
      <c r="AB2023" s="2" t="s">
        <v>8443</v>
      </c>
      <c r="AC2023" s="2">
        <v>38.450000000000003</v>
      </c>
      <c r="AD2023" s="2">
        <v>92.24</v>
      </c>
      <c r="AE2023" s="2">
        <v>0</v>
      </c>
      <c r="AF2023" s="2" t="s">
        <v>17677</v>
      </c>
      <c r="AG2023" s="2" t="s">
        <v>157</v>
      </c>
      <c r="AH2023" s="2" t="s">
        <v>17678</v>
      </c>
      <c r="AI2023" s="2">
        <v>-0.19</v>
      </c>
      <c r="AJ2023" s="2">
        <v>20.9835706831675</v>
      </c>
      <c r="AK2023" s="2">
        <v>21.095218931192299</v>
      </c>
      <c r="AL2023" s="2">
        <v>20.972351140608701</v>
      </c>
      <c r="AM2023" s="2">
        <v>20.944652044715401</v>
      </c>
      <c r="AN2023" s="2">
        <v>21.060245889957699</v>
      </c>
      <c r="AO2023" s="2">
        <v>21.034472787685299</v>
      </c>
      <c r="AP2023" s="2">
        <v>20.887626835471899</v>
      </c>
      <c r="AQ2023" s="2">
        <v>21.006687137231101</v>
      </c>
      <c r="AR2023" s="2">
        <v>20.9051348827495</v>
      </c>
      <c r="AS2023" s="2">
        <v>21.1360361409794</v>
      </c>
      <c r="AT2023" s="2">
        <v>20.831222801209599</v>
      </c>
      <c r="AU2023" s="2">
        <v>20.872798405745101</v>
      </c>
      <c r="AV2023" s="2">
        <v>21.020321417727999</v>
      </c>
      <c r="AW2023" s="2">
        <v>21.0042757710739</v>
      </c>
      <c r="AX2023" s="2">
        <v>21.029455467314801</v>
      </c>
      <c r="AY2023" s="2">
        <v>20.982738902387201</v>
      </c>
      <c r="AZ2023" s="2">
        <v>20.9805314934733</v>
      </c>
      <c r="BA2023" s="2">
        <v>21.015986087821901</v>
      </c>
      <c r="BB2023" s="2">
        <v>20.925068449517099</v>
      </c>
      <c r="BC2023" s="2">
        <v>21.015440405231502</v>
      </c>
      <c r="BD2023" s="2">
        <v>20.860659845540098</v>
      </c>
      <c r="BE2023" s="2">
        <v>21.000353195368699</v>
      </c>
      <c r="BF2023" s="2">
        <v>20.873830797262201</v>
      </c>
      <c r="BG2023" s="2">
        <v>20.875780325494301</v>
      </c>
      <c r="BH2023" s="2">
        <v>20.937168271166001</v>
      </c>
      <c r="BI2023" s="2">
        <v>20.871783049196601</v>
      </c>
      <c r="BJ2023" s="2">
        <v>20.884030794495999</v>
      </c>
      <c r="BK2023" s="2">
        <v>20.9233496994413</v>
      </c>
      <c r="BL2023" s="2">
        <v>20.9593953417412</v>
      </c>
      <c r="BM2023" s="2">
        <v>21.016017342758602</v>
      </c>
      <c r="BN2023" s="2">
        <v>20.851919576182699</v>
      </c>
      <c r="BO2023" s="2">
        <v>20.9713347955974</v>
      </c>
      <c r="BP2023" s="2">
        <v>20.79162713266</v>
      </c>
      <c r="BQ2023" s="2">
        <v>21.064362665179601</v>
      </c>
      <c r="BR2023" s="2">
        <v>20.9292916939904</v>
      </c>
      <c r="BS2023" s="2">
        <v>20.966770186161501</v>
      </c>
      <c r="BT2023" s="2">
        <v>20.791274990488802</v>
      </c>
      <c r="BU2023" s="2">
        <v>20.895304256092199</v>
      </c>
      <c r="BV2023" s="2">
        <v>20.892044419203501</v>
      </c>
      <c r="BW2023" s="2">
        <v>20.920643936811299</v>
      </c>
      <c r="BX2023" s="2">
        <v>20.932261358239298</v>
      </c>
      <c r="BY2023" s="2">
        <v>20.850901389642502</v>
      </c>
      <c r="BZ2023" s="2">
        <v>20.9446813669637</v>
      </c>
      <c r="CA2023" s="2">
        <v>20.843162163472702</v>
      </c>
      <c r="CB2023" s="2">
        <v>20.818888487056199</v>
      </c>
      <c r="CC2023" s="2">
        <v>20.8307992764407</v>
      </c>
      <c r="CD2023" s="2">
        <v>20.788608047031801</v>
      </c>
      <c r="CE2023" s="2">
        <v>20.9035651140318</v>
      </c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</row>
    <row r="2024" spans="1:97">
      <c r="A2024" s="2" t="s">
        <v>17679</v>
      </c>
      <c r="B2024" s="2">
        <v>223.09460000000001</v>
      </c>
      <c r="C2024" s="2">
        <v>5.9690000000000003</v>
      </c>
      <c r="D2024" s="2" t="s">
        <v>146</v>
      </c>
      <c r="E2024" s="2" t="s">
        <v>17680</v>
      </c>
      <c r="F2024" s="2" t="s">
        <v>17681</v>
      </c>
      <c r="G2024" s="2">
        <v>202284</v>
      </c>
      <c r="H2024" s="3" t="str">
        <f>HYPERLINK("https://cloud.oebiotech.com/#/lm/network/202284", "https://cloud.oebiotech.com/#/lm/network/202284")</f>
        <v>https://cloud.oebiotech.com/#/lm/network/202284</v>
      </c>
      <c r="I2024" s="2" t="s">
        <v>17682</v>
      </c>
      <c r="J2024" s="2">
        <v>316920</v>
      </c>
      <c r="K2024" s="2"/>
      <c r="L2024" s="2">
        <v>94588</v>
      </c>
      <c r="M2024" s="2"/>
      <c r="N2024" s="2"/>
      <c r="O2024" s="2"/>
      <c r="P2024" s="2"/>
      <c r="Q2024" s="2"/>
      <c r="R2024" s="2"/>
      <c r="S2024" s="2"/>
      <c r="T2024" s="2" t="s">
        <v>17683</v>
      </c>
      <c r="U2024" s="2" t="s">
        <v>17684</v>
      </c>
      <c r="V2024" s="2" t="s">
        <v>553</v>
      </c>
      <c r="W2024" s="2" t="s">
        <v>949</v>
      </c>
      <c r="X2024" s="2" t="s">
        <v>950</v>
      </c>
      <c r="Y2024" s="2" t="s">
        <v>556</v>
      </c>
      <c r="Z2024" s="2" t="s">
        <v>951</v>
      </c>
      <c r="AA2024" s="2" t="s">
        <v>952</v>
      </c>
      <c r="AB2024" s="2" t="s">
        <v>8443</v>
      </c>
      <c r="AC2024" s="2">
        <v>38.450000000000003</v>
      </c>
      <c r="AD2024" s="2">
        <v>93.94</v>
      </c>
      <c r="AE2024" s="2">
        <v>0</v>
      </c>
      <c r="AF2024" s="2" t="s">
        <v>5614</v>
      </c>
      <c r="AG2024" s="2" t="s">
        <v>194</v>
      </c>
      <c r="AH2024" s="2" t="s">
        <v>17685</v>
      </c>
      <c r="AI2024" s="2">
        <v>1.34</v>
      </c>
      <c r="AJ2024" s="2">
        <v>17.621367527043301</v>
      </c>
      <c r="AK2024" s="2">
        <v>18.125301916024501</v>
      </c>
      <c r="AL2024" s="2">
        <v>17.821359321919999</v>
      </c>
      <c r="AM2024" s="2">
        <v>17.8755054345289</v>
      </c>
      <c r="AN2024" s="2">
        <v>17.565237771017301</v>
      </c>
      <c r="AO2024" s="2">
        <v>17.523370672348101</v>
      </c>
      <c r="AP2024" s="2">
        <v>17.653821234025301</v>
      </c>
      <c r="AQ2024" s="2">
        <v>17.663889179525199</v>
      </c>
      <c r="AR2024" s="2">
        <v>18.471903355842699</v>
      </c>
      <c r="AS2024" s="2">
        <v>16.684761904593</v>
      </c>
      <c r="AT2024" s="2">
        <v>17.4680861614126</v>
      </c>
      <c r="AU2024" s="2">
        <v>18.220847327632899</v>
      </c>
      <c r="AV2024" s="2">
        <v>17.192343966813599</v>
      </c>
      <c r="AW2024" s="2">
        <v>19.011519705288698</v>
      </c>
      <c r="AX2024" s="2">
        <v>16.257964908416799</v>
      </c>
      <c r="AY2024" s="2">
        <v>17.9716789910979</v>
      </c>
      <c r="AZ2024" s="2">
        <v>18.3658220598798</v>
      </c>
      <c r="BA2024" s="2">
        <v>15.855730616864999</v>
      </c>
      <c r="BB2024" s="2">
        <v>18.263514088882701</v>
      </c>
      <c r="BC2024" s="2">
        <v>16.073466505362401</v>
      </c>
      <c r="BD2024" s="2">
        <v>17.2443489680299</v>
      </c>
      <c r="BE2024" s="2">
        <v>17.532324189423701</v>
      </c>
      <c r="BF2024" s="2">
        <v>17.6115121664863</v>
      </c>
      <c r="BG2024" s="2">
        <v>17.028103766277901</v>
      </c>
      <c r="BH2024" s="2">
        <v>17.774625962012699</v>
      </c>
      <c r="BI2024" s="2">
        <v>17.4010825010585</v>
      </c>
      <c r="BJ2024" s="2">
        <v>17.554981261836499</v>
      </c>
      <c r="BK2024" s="2">
        <v>17.432131777956901</v>
      </c>
      <c r="BL2024" s="2">
        <v>17.0275033564414</v>
      </c>
      <c r="BM2024" s="2">
        <v>18.132802786254999</v>
      </c>
      <c r="BN2024" s="2">
        <v>17.905540078744298</v>
      </c>
      <c r="BO2024" s="2">
        <v>16.777383626112101</v>
      </c>
      <c r="BP2024" s="2">
        <v>16.633501879774499</v>
      </c>
      <c r="BQ2024" s="2">
        <v>18.035170515716999</v>
      </c>
      <c r="BR2024" s="2">
        <v>18.207285581911702</v>
      </c>
      <c r="BS2024" s="2">
        <v>18.579500608994799</v>
      </c>
      <c r="BT2024" s="2">
        <v>17.444274760633199</v>
      </c>
      <c r="BU2024" s="2">
        <v>18.622758375888001</v>
      </c>
      <c r="BV2024" s="2">
        <v>16.985069318310199</v>
      </c>
      <c r="BW2024" s="2">
        <v>16.8588895592402</v>
      </c>
      <c r="BX2024" s="2">
        <v>17.591395678603298</v>
      </c>
      <c r="BY2024" s="2">
        <v>18.308950364219399</v>
      </c>
      <c r="BZ2024" s="2">
        <v>19.004815585860001</v>
      </c>
      <c r="CA2024" s="2">
        <v>17.4866557731631</v>
      </c>
      <c r="CB2024" s="2">
        <v>17.070727566647101</v>
      </c>
      <c r="CC2024" s="2">
        <v>16.4012308636533</v>
      </c>
      <c r="CD2024" s="2">
        <v>17.1265837929047</v>
      </c>
      <c r="CE2024" s="2">
        <v>17.215463418972899</v>
      </c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</row>
    <row r="2025" spans="1:97">
      <c r="A2025" s="2" t="s">
        <v>17686</v>
      </c>
      <c r="B2025" s="2">
        <v>803.59795999999994</v>
      </c>
      <c r="C2025" s="2">
        <v>8.7769999999999992</v>
      </c>
      <c r="D2025" s="2" t="s">
        <v>146</v>
      </c>
      <c r="E2025" s="2" t="s">
        <v>17687</v>
      </c>
      <c r="F2025" s="2" t="s">
        <v>17688</v>
      </c>
      <c r="G2025" s="2">
        <v>39772</v>
      </c>
      <c r="H2025" s="3" t="str">
        <f>HYPERLINK("https://cloud.oebiotech.com/#/lm/network/39772", "https://cloud.oebiotech.com/#/lm/network/39772")</f>
        <v>https://cloud.oebiotech.com/#/lm/network/39772</v>
      </c>
      <c r="I2025" s="2"/>
      <c r="J2025" s="2">
        <v>103132</v>
      </c>
      <c r="K2025" s="2" t="s">
        <v>17689</v>
      </c>
      <c r="L2025" s="2">
        <v>70699076</v>
      </c>
      <c r="M2025" s="2"/>
      <c r="N2025" s="2"/>
      <c r="O2025" s="2"/>
      <c r="P2025" s="2"/>
      <c r="Q2025" s="2"/>
      <c r="R2025" s="2"/>
      <c r="S2025" s="2"/>
      <c r="T2025" s="2" t="s">
        <v>17690</v>
      </c>
      <c r="U2025" s="2" t="s">
        <v>17691</v>
      </c>
      <c r="V2025" s="2" t="s">
        <v>95</v>
      </c>
      <c r="W2025" s="2" t="s">
        <v>2361</v>
      </c>
      <c r="X2025" s="2" t="s">
        <v>2362</v>
      </c>
      <c r="Y2025" s="2" t="s">
        <v>98</v>
      </c>
      <c r="Z2025" s="2" t="s">
        <v>2363</v>
      </c>
      <c r="AA2025" s="2" t="s">
        <v>2364</v>
      </c>
      <c r="AB2025" s="2" t="s">
        <v>5118</v>
      </c>
      <c r="AC2025" s="2">
        <v>38.44</v>
      </c>
      <c r="AD2025" s="2">
        <v>67.41</v>
      </c>
      <c r="AE2025" s="2">
        <v>74.5</v>
      </c>
      <c r="AF2025" s="2" t="s">
        <v>17692</v>
      </c>
      <c r="AG2025" s="2" t="s">
        <v>157</v>
      </c>
      <c r="AH2025" s="2" t="s">
        <v>17693</v>
      </c>
      <c r="AI2025" s="2">
        <v>-7.47</v>
      </c>
      <c r="AJ2025" s="2">
        <v>17.069406759503799</v>
      </c>
      <c r="AK2025" s="2">
        <v>16.9029653991314</v>
      </c>
      <c r="AL2025" s="2">
        <v>17.523090899139799</v>
      </c>
      <c r="AM2025" s="2">
        <v>17.546698785322601</v>
      </c>
      <c r="AN2025" s="2">
        <v>17.359599014404399</v>
      </c>
      <c r="AO2025" s="2">
        <v>17.629511517614599</v>
      </c>
      <c r="AP2025" s="2">
        <v>17.350608520289001</v>
      </c>
      <c r="AQ2025" s="2">
        <v>17.369571447325701</v>
      </c>
      <c r="AR2025" s="2">
        <v>9.6233145402724691</v>
      </c>
      <c r="AS2025" s="2">
        <v>9.6233145402724691</v>
      </c>
      <c r="AT2025" s="2">
        <v>9.6233145402724691</v>
      </c>
      <c r="AU2025" s="2">
        <v>15.0514413545057</v>
      </c>
      <c r="AV2025" s="2">
        <v>9.6233145402724691</v>
      </c>
      <c r="AW2025" s="2">
        <v>18.240636975655701</v>
      </c>
      <c r="AX2025" s="2">
        <v>9.6233145402724691</v>
      </c>
      <c r="AY2025" s="2">
        <v>14.3207300479878</v>
      </c>
      <c r="AZ2025" s="2">
        <v>9.6233145402724691</v>
      </c>
      <c r="BA2025" s="2">
        <v>14.2628215902714</v>
      </c>
      <c r="BB2025" s="2">
        <v>18.576205052988598</v>
      </c>
      <c r="BC2025" s="2">
        <v>18.8147468599905</v>
      </c>
      <c r="BD2025" s="2">
        <v>9.6233145402724691</v>
      </c>
      <c r="BE2025" s="2">
        <v>9.6233145402724691</v>
      </c>
      <c r="BF2025" s="2">
        <v>13.239665650595899</v>
      </c>
      <c r="BG2025" s="2">
        <v>20.776739740895401</v>
      </c>
      <c r="BH2025" s="2">
        <v>9.6233145402724691</v>
      </c>
      <c r="BI2025" s="2">
        <v>17.3795522456169</v>
      </c>
      <c r="BJ2025" s="2">
        <v>19.1741049826067</v>
      </c>
      <c r="BK2025" s="2">
        <v>18.5810245897054</v>
      </c>
      <c r="BL2025" s="2">
        <v>15.628714938053999</v>
      </c>
      <c r="BM2025" s="2">
        <v>14.112332799441999</v>
      </c>
      <c r="BN2025" s="2">
        <v>9.6233145402724691</v>
      </c>
      <c r="BO2025" s="2">
        <v>17.531531555744799</v>
      </c>
      <c r="BP2025" s="2">
        <v>9.6233145402724691</v>
      </c>
      <c r="BQ2025" s="2">
        <v>14.7856757007923</v>
      </c>
      <c r="BR2025" s="2">
        <v>9.6233145402724691</v>
      </c>
      <c r="BS2025" s="2">
        <v>9.6233145402724691</v>
      </c>
      <c r="BT2025" s="2">
        <v>9.6233145402724691</v>
      </c>
      <c r="BU2025" s="2">
        <v>9.6233145402724691</v>
      </c>
      <c r="BV2025" s="2">
        <v>18.642129311591098</v>
      </c>
      <c r="BW2025" s="2">
        <v>16.325388558058901</v>
      </c>
      <c r="BX2025" s="2">
        <v>9.6233145402724691</v>
      </c>
      <c r="BY2025" s="2">
        <v>9.6233145402724691</v>
      </c>
      <c r="BZ2025" s="2">
        <v>9.6233145402724691</v>
      </c>
      <c r="CA2025" s="2">
        <v>18.6404846027845</v>
      </c>
      <c r="CB2025" s="2">
        <v>16.372816779069101</v>
      </c>
      <c r="CC2025" s="2">
        <v>17.431804852654501</v>
      </c>
      <c r="CD2025" s="2">
        <v>15.625991305144399</v>
      </c>
      <c r="CE2025" s="2">
        <v>18.220489664038801</v>
      </c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</row>
    <row r="2026" spans="1:97">
      <c r="A2026" s="2" t="s">
        <v>17694</v>
      </c>
      <c r="B2026" s="2">
        <v>349.08747</v>
      </c>
      <c r="C2026" s="2">
        <v>4.0730000000000004</v>
      </c>
      <c r="D2026" s="2" t="s">
        <v>146</v>
      </c>
      <c r="E2026" s="2" t="s">
        <v>17695</v>
      </c>
      <c r="F2026" s="2" t="s">
        <v>17696</v>
      </c>
      <c r="G2026" s="2">
        <v>34380</v>
      </c>
      <c r="H2026" s="3" t="str">
        <f>HYPERLINK("https://cloud.oebiotech.com/#/lm/network/34380", "https://cloud.oebiotech.com/#/lm/network/34380")</f>
        <v>https://cloud.oebiotech.com/#/lm/network/34380</v>
      </c>
      <c r="I2026" s="2"/>
      <c r="J2026" s="2">
        <v>52688</v>
      </c>
      <c r="K2026" s="2" t="s">
        <v>17697</v>
      </c>
      <c r="L2026" s="2">
        <v>10495449</v>
      </c>
      <c r="M2026" s="2"/>
      <c r="N2026" s="2"/>
      <c r="O2026" s="2"/>
      <c r="P2026" s="2"/>
      <c r="Q2026" s="2"/>
      <c r="R2026" s="2"/>
      <c r="S2026" s="2"/>
      <c r="T2026" s="2" t="s">
        <v>17698</v>
      </c>
      <c r="U2026" s="2" t="s">
        <v>17699</v>
      </c>
      <c r="V2026" s="2" t="s">
        <v>845</v>
      </c>
      <c r="W2026" s="2" t="s">
        <v>1853</v>
      </c>
      <c r="X2026" s="2" t="s">
        <v>1854</v>
      </c>
      <c r="Y2026" s="2" t="s">
        <v>847</v>
      </c>
      <c r="Z2026" s="2" t="s">
        <v>1855</v>
      </c>
      <c r="AA2026" s="2" t="s">
        <v>1856</v>
      </c>
      <c r="AB2026" s="2" t="s">
        <v>5118</v>
      </c>
      <c r="AC2026" s="2">
        <v>38.43</v>
      </c>
      <c r="AD2026" s="2">
        <v>68.95</v>
      </c>
      <c r="AE2026" s="2">
        <v>74.48</v>
      </c>
      <c r="AF2026" s="2" t="s">
        <v>17700</v>
      </c>
      <c r="AG2026" s="2" t="s">
        <v>4062</v>
      </c>
      <c r="AH2026" s="2" t="s">
        <v>17701</v>
      </c>
      <c r="AI2026" s="2">
        <v>-7.73</v>
      </c>
      <c r="AJ2026" s="2">
        <v>19.462354886638899</v>
      </c>
      <c r="AK2026" s="2">
        <v>19.500445471334899</v>
      </c>
      <c r="AL2026" s="2">
        <v>19.731384650277999</v>
      </c>
      <c r="AM2026" s="2">
        <v>19.770440954611601</v>
      </c>
      <c r="AN2026" s="2">
        <v>19.602991085541898</v>
      </c>
      <c r="AO2026" s="2">
        <v>19.647198322009501</v>
      </c>
      <c r="AP2026" s="2">
        <v>19.150335257398101</v>
      </c>
      <c r="AQ2026" s="2">
        <v>19.6624842791446</v>
      </c>
      <c r="AR2026" s="2">
        <v>17.991396674362001</v>
      </c>
      <c r="AS2026" s="2">
        <v>16.669843674595299</v>
      </c>
      <c r="AT2026" s="2">
        <v>18.425741694409101</v>
      </c>
      <c r="AU2026" s="2">
        <v>17.8283988936385</v>
      </c>
      <c r="AV2026" s="2">
        <v>19.161800288715501</v>
      </c>
      <c r="AW2026" s="2">
        <v>19.008954791363902</v>
      </c>
      <c r="AX2026" s="2">
        <v>18.905961403009702</v>
      </c>
      <c r="AY2026" s="2">
        <v>18.999088314018</v>
      </c>
      <c r="AZ2026" s="2">
        <v>18.306776725635299</v>
      </c>
      <c r="BA2026" s="2">
        <v>18.038944273946999</v>
      </c>
      <c r="BB2026" s="2">
        <v>20.077228966383998</v>
      </c>
      <c r="BC2026" s="2">
        <v>20.483634401837701</v>
      </c>
      <c r="BD2026" s="2">
        <v>18.945619921577201</v>
      </c>
      <c r="BE2026" s="2">
        <v>19.920375318836701</v>
      </c>
      <c r="BF2026" s="2">
        <v>19.8519382827035</v>
      </c>
      <c r="BG2026" s="2">
        <v>19.842301016357599</v>
      </c>
      <c r="BH2026" s="2">
        <v>18.719021094351</v>
      </c>
      <c r="BI2026" s="2">
        <v>19.0610101256208</v>
      </c>
      <c r="BJ2026" s="2">
        <v>19.851422247495499</v>
      </c>
      <c r="BK2026" s="2">
        <v>18.6148253174904</v>
      </c>
      <c r="BL2026" s="2">
        <v>18.8657451700408</v>
      </c>
      <c r="BM2026" s="2">
        <v>19.764293169273</v>
      </c>
      <c r="BN2026" s="2">
        <v>19.439187280051001</v>
      </c>
      <c r="BO2026" s="2">
        <v>18.476451940074298</v>
      </c>
      <c r="BP2026" s="2">
        <v>19.281340643151399</v>
      </c>
      <c r="BQ2026" s="2">
        <v>19.684474298907901</v>
      </c>
      <c r="BR2026" s="2">
        <v>19.061102445003598</v>
      </c>
      <c r="BS2026" s="2">
        <v>19.006887576818499</v>
      </c>
      <c r="BT2026" s="2">
        <v>17.986655468865202</v>
      </c>
      <c r="BU2026" s="2">
        <v>18.896834605795</v>
      </c>
      <c r="BV2026" s="2">
        <v>19.514307414520101</v>
      </c>
      <c r="BW2026" s="2">
        <v>19.193364924331199</v>
      </c>
      <c r="BX2026" s="2">
        <v>19.006743518387299</v>
      </c>
      <c r="BY2026" s="2">
        <v>19.723348790400799</v>
      </c>
      <c r="BZ2026" s="2">
        <v>19.622172642109099</v>
      </c>
      <c r="CA2026" s="2">
        <v>20.288643879425099</v>
      </c>
      <c r="CB2026" s="2">
        <v>18.363307303677399</v>
      </c>
      <c r="CC2026" s="2">
        <v>19.240515514259801</v>
      </c>
      <c r="CD2026" s="2">
        <v>20.055592832809701</v>
      </c>
      <c r="CE2026" s="2">
        <v>20.0120027238186</v>
      </c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</row>
    <row r="2027" spans="1:97">
      <c r="A2027" s="2" t="s">
        <v>17702</v>
      </c>
      <c r="B2027" s="2">
        <v>369.17347000000001</v>
      </c>
      <c r="C2027" s="2">
        <v>9.1509999999999998</v>
      </c>
      <c r="D2027" s="2" t="s">
        <v>146</v>
      </c>
      <c r="E2027" s="2" t="s">
        <v>17703</v>
      </c>
      <c r="F2027" s="2" t="s">
        <v>17704</v>
      </c>
      <c r="G2027" s="2">
        <v>64207</v>
      </c>
      <c r="H2027" s="3" t="str">
        <f>HYPERLINK("https://cloud.oebiotech.com/#/lm/network/64207", "https://cloud.oebiotech.com/#/lm/network/64207")</f>
        <v>https://cloud.oebiotech.com/#/lm/network/64207</v>
      </c>
      <c r="I2027" s="2" t="s">
        <v>17705</v>
      </c>
      <c r="J2027" s="2">
        <v>95532</v>
      </c>
      <c r="K2027" s="2"/>
      <c r="L2027" s="2">
        <v>131753027</v>
      </c>
      <c r="M2027" s="2"/>
      <c r="N2027" s="2"/>
      <c r="O2027" s="2"/>
      <c r="P2027" s="2">
        <v>175772</v>
      </c>
      <c r="Q2027" s="2"/>
      <c r="R2027" s="2"/>
      <c r="S2027" s="2" t="s">
        <v>17706</v>
      </c>
      <c r="T2027" s="2" t="s">
        <v>17707</v>
      </c>
      <c r="U2027" s="2" t="s">
        <v>17708</v>
      </c>
      <c r="V2027" s="2" t="s">
        <v>845</v>
      </c>
      <c r="W2027" s="2" t="s">
        <v>3853</v>
      </c>
      <c r="X2027" s="2" t="s">
        <v>10373</v>
      </c>
      <c r="Y2027" s="2" t="s">
        <v>847</v>
      </c>
      <c r="Z2027" s="2" t="s">
        <v>3855</v>
      </c>
      <c r="AA2027" s="2" t="s">
        <v>10374</v>
      </c>
      <c r="AB2027" s="2" t="s">
        <v>8443</v>
      </c>
      <c r="AC2027" s="2">
        <v>38.42</v>
      </c>
      <c r="AD2027" s="2">
        <v>85.64</v>
      </c>
      <c r="AE2027" s="2">
        <v>0</v>
      </c>
      <c r="AF2027" s="2" t="s">
        <v>17709</v>
      </c>
      <c r="AG2027" s="2" t="s">
        <v>194</v>
      </c>
      <c r="AH2027" s="2" t="s">
        <v>17710</v>
      </c>
      <c r="AI2027" s="2">
        <v>-7.58</v>
      </c>
      <c r="AJ2027" s="2">
        <v>21.9870445498834</v>
      </c>
      <c r="AK2027" s="2">
        <v>22.110408935376299</v>
      </c>
      <c r="AL2027" s="2">
        <v>22.102294387253799</v>
      </c>
      <c r="AM2027" s="2">
        <v>22.252328964928601</v>
      </c>
      <c r="AN2027" s="2">
        <v>21.949572804769399</v>
      </c>
      <c r="AO2027" s="2">
        <v>20.978049292087501</v>
      </c>
      <c r="AP2027" s="2">
        <v>22.210135301386199</v>
      </c>
      <c r="AQ2027" s="2">
        <v>22.212925353552201</v>
      </c>
      <c r="AR2027" s="2">
        <v>22.189434756785101</v>
      </c>
      <c r="AS2027" s="2">
        <v>17.977839565944699</v>
      </c>
      <c r="AT2027" s="2">
        <v>20.857178339267001</v>
      </c>
      <c r="AU2027" s="2">
        <v>21.4213864385632</v>
      </c>
      <c r="AV2027" s="2">
        <v>22.928935653693099</v>
      </c>
      <c r="AW2027" s="2">
        <v>23.624946782269799</v>
      </c>
      <c r="AX2027" s="2">
        <v>22.435743053025799</v>
      </c>
      <c r="AY2027" s="2">
        <v>23.152156355038599</v>
      </c>
      <c r="AZ2027" s="2">
        <v>22.0195371240215</v>
      </c>
      <c r="BA2027" s="2">
        <v>21.621586424507299</v>
      </c>
      <c r="BB2027" s="2">
        <v>20.7741919898804</v>
      </c>
      <c r="BC2027" s="2">
        <v>22.480322261079898</v>
      </c>
      <c r="BD2027" s="2">
        <v>21.7826767449443</v>
      </c>
      <c r="BE2027" s="2">
        <v>22.886905325102301</v>
      </c>
      <c r="BF2027" s="2">
        <v>22.566587762545701</v>
      </c>
      <c r="BG2027" s="2">
        <v>22.1608619184208</v>
      </c>
      <c r="BH2027" s="2">
        <v>21.743383988828501</v>
      </c>
      <c r="BI2027" s="2">
        <v>21.7351333098214</v>
      </c>
      <c r="BJ2027" s="2">
        <v>22.666676603380299</v>
      </c>
      <c r="BK2027" s="2">
        <v>22.257102941871299</v>
      </c>
      <c r="BL2027" s="2">
        <v>22.383988289727501</v>
      </c>
      <c r="BM2027" s="2">
        <v>18.6143445668149</v>
      </c>
      <c r="BN2027" s="2">
        <v>20.483995821526602</v>
      </c>
      <c r="BO2027" s="2">
        <v>21.0802333933574</v>
      </c>
      <c r="BP2027" s="2">
        <v>22.788269174712301</v>
      </c>
      <c r="BQ2027" s="2">
        <v>22.585026463090699</v>
      </c>
      <c r="BR2027" s="2">
        <v>22.925090263583101</v>
      </c>
      <c r="BS2027" s="2">
        <v>22.6285308159107</v>
      </c>
      <c r="BT2027" s="2">
        <v>20.8794545375764</v>
      </c>
      <c r="BU2027" s="2">
        <v>20.126501140982199</v>
      </c>
      <c r="BV2027" s="2">
        <v>18.4210100195153</v>
      </c>
      <c r="BW2027" s="2">
        <v>21.7813838324202</v>
      </c>
      <c r="BX2027" s="2">
        <v>22.199691782722802</v>
      </c>
      <c r="BY2027" s="2">
        <v>23.481117310028999</v>
      </c>
      <c r="BZ2027" s="2">
        <v>22.532047843370801</v>
      </c>
      <c r="CA2027" s="2">
        <v>21.186060386596701</v>
      </c>
      <c r="CB2027" s="2">
        <v>21.692488381748898</v>
      </c>
      <c r="CC2027" s="2">
        <v>21.787960407654602</v>
      </c>
      <c r="CD2027" s="2">
        <v>22.259445236006599</v>
      </c>
      <c r="CE2027" s="2">
        <v>22.111627936954999</v>
      </c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</row>
    <row r="2028" spans="1:97">
      <c r="A2028" s="2" t="s">
        <v>17711</v>
      </c>
      <c r="B2028" s="2">
        <v>318.29987999999997</v>
      </c>
      <c r="C2028" s="2">
        <v>9.234</v>
      </c>
      <c r="D2028" s="2" t="s">
        <v>84</v>
      </c>
      <c r="E2028" s="2" t="s">
        <v>17712</v>
      </c>
      <c r="F2028" s="2"/>
      <c r="G2028" s="2">
        <v>594700</v>
      </c>
      <c r="H2028" s="3" t="str">
        <f>HYPERLINK("https://cloud.oebiotech.com/#/lm/network/594700", "https://cloud.oebiotech.com/#/lm/network/594700")</f>
        <v>https://cloud.oebiotech.com/#/lm/network/594700</v>
      </c>
      <c r="I2028" s="2"/>
      <c r="J2028" s="2"/>
      <c r="K2028" s="2"/>
      <c r="L2028" s="2">
        <v>71357922</v>
      </c>
      <c r="M2028" s="2"/>
      <c r="N2028" s="2"/>
      <c r="O2028" s="2"/>
      <c r="P2028" s="2"/>
      <c r="Q2028" s="2"/>
      <c r="R2028" s="2"/>
      <c r="S2028" s="2"/>
      <c r="T2028" s="2" t="s">
        <v>17713</v>
      </c>
      <c r="U2028" s="2" t="s">
        <v>17714</v>
      </c>
      <c r="V2028" s="2" t="s">
        <v>166</v>
      </c>
      <c r="W2028" s="2" t="s">
        <v>167</v>
      </c>
      <c r="X2028" s="2" t="s">
        <v>482</v>
      </c>
      <c r="Y2028" s="2" t="s">
        <v>169</v>
      </c>
      <c r="Z2028" s="2" t="s">
        <v>169</v>
      </c>
      <c r="AA2028" s="2" t="s">
        <v>483</v>
      </c>
      <c r="AB2028" s="2" t="s">
        <v>8443</v>
      </c>
      <c r="AC2028" s="2">
        <v>38.42</v>
      </c>
      <c r="AD2028" s="2">
        <v>93.39</v>
      </c>
      <c r="AE2028" s="2">
        <v>0</v>
      </c>
      <c r="AF2028" s="2" t="s">
        <v>17715</v>
      </c>
      <c r="AG2028" s="2" t="s">
        <v>103</v>
      </c>
      <c r="AH2028" s="2" t="s">
        <v>17716</v>
      </c>
      <c r="AI2028" s="2">
        <v>1.26</v>
      </c>
      <c r="AJ2028" s="2">
        <v>19.963412582859998</v>
      </c>
      <c r="AK2028" s="2">
        <v>20.138770460666802</v>
      </c>
      <c r="AL2028" s="2">
        <v>20.040684341291499</v>
      </c>
      <c r="AM2028" s="2">
        <v>20.122534437356101</v>
      </c>
      <c r="AN2028" s="2">
        <v>20.1118225213309</v>
      </c>
      <c r="AO2028" s="2">
        <v>20.0669154890549</v>
      </c>
      <c r="AP2028" s="2">
        <v>20.0822205884241</v>
      </c>
      <c r="AQ2028" s="2">
        <v>19.936994428327399</v>
      </c>
      <c r="AR2028" s="2">
        <v>19.239506208989901</v>
      </c>
      <c r="AS2028" s="2">
        <v>19.2086153611491</v>
      </c>
      <c r="AT2028" s="2">
        <v>18.782770914861899</v>
      </c>
      <c r="AU2028" s="2">
        <v>18.345611680249899</v>
      </c>
      <c r="AV2028" s="2">
        <v>18.445152372057699</v>
      </c>
      <c r="AW2028" s="2">
        <v>18.976849004064199</v>
      </c>
      <c r="AX2028" s="2">
        <v>18.591797266914099</v>
      </c>
      <c r="AY2028" s="2">
        <v>18.533323686079399</v>
      </c>
      <c r="AZ2028" s="2">
        <v>18.650692241338302</v>
      </c>
      <c r="BA2028" s="2">
        <v>18.608631822358198</v>
      </c>
      <c r="BB2028" s="2">
        <v>18.387057580737</v>
      </c>
      <c r="BC2028" s="2">
        <v>18.399418461585402</v>
      </c>
      <c r="BD2028" s="2">
        <v>18.379349892991399</v>
      </c>
      <c r="BE2028" s="2">
        <v>19.244586939227698</v>
      </c>
      <c r="BF2028" s="2">
        <v>18.470961866024702</v>
      </c>
      <c r="BG2028" s="2">
        <v>18.648672364734999</v>
      </c>
      <c r="BH2028" s="2">
        <v>18.2455908639356</v>
      </c>
      <c r="BI2028" s="2">
        <v>18.6901147708449</v>
      </c>
      <c r="BJ2028" s="2">
        <v>18.6233173984408</v>
      </c>
      <c r="BK2028" s="2">
        <v>18.745458503589099</v>
      </c>
      <c r="BL2028" s="2">
        <v>18.2380141649314</v>
      </c>
      <c r="BM2028" s="2">
        <v>18.165928961189401</v>
      </c>
      <c r="BN2028" s="2">
        <v>18.8016642211687</v>
      </c>
      <c r="BO2028" s="2">
        <v>18.770112202530498</v>
      </c>
      <c r="BP2028" s="2">
        <v>18.553398155032099</v>
      </c>
      <c r="BQ2028" s="2">
        <v>18.408930987207398</v>
      </c>
      <c r="BR2028" s="2">
        <v>18.5064723561417</v>
      </c>
      <c r="BS2028" s="2">
        <v>18.540691367793301</v>
      </c>
      <c r="BT2028" s="2">
        <v>18.7269519552319</v>
      </c>
      <c r="BU2028" s="2">
        <v>18.4821000931654</v>
      </c>
      <c r="BV2028" s="2">
        <v>18.3773419211781</v>
      </c>
      <c r="BW2028" s="2">
        <v>18.476749684120701</v>
      </c>
      <c r="BX2028" s="2">
        <v>18.216841280148099</v>
      </c>
      <c r="BY2028" s="2">
        <v>18.793769222368301</v>
      </c>
      <c r="BZ2028" s="2">
        <v>19.010761703218101</v>
      </c>
      <c r="CA2028" s="2">
        <v>18.558078430222</v>
      </c>
      <c r="CB2028" s="2">
        <v>18.340791385372299</v>
      </c>
      <c r="CC2028" s="2">
        <v>18.1397212575447</v>
      </c>
      <c r="CD2028" s="2">
        <v>18.545863385190799</v>
      </c>
      <c r="CE2028" s="2">
        <v>18.483585615296398</v>
      </c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</row>
    <row r="2029" spans="1:97">
      <c r="A2029" s="2" t="s">
        <v>17717</v>
      </c>
      <c r="B2029" s="2">
        <v>211.02445</v>
      </c>
      <c r="C2029" s="2">
        <v>6.1349999999999998</v>
      </c>
      <c r="D2029" s="2" t="s">
        <v>146</v>
      </c>
      <c r="E2029" s="2" t="s">
        <v>17718</v>
      </c>
      <c r="F2029" s="2" t="s">
        <v>17719</v>
      </c>
      <c r="G2029" s="2">
        <v>47911</v>
      </c>
      <c r="H2029" s="3" t="str">
        <f>HYPERLINK("https://cloud.oebiotech.com/#/lm/network/47911", "https://cloud.oebiotech.com/#/lm/network/47911")</f>
        <v>https://cloud.oebiotech.com/#/lm/network/47911</v>
      </c>
      <c r="I2029" s="2" t="s">
        <v>17720</v>
      </c>
      <c r="J2029" s="2">
        <v>6628</v>
      </c>
      <c r="K2029" s="2"/>
      <c r="L2029" s="2">
        <v>21252288</v>
      </c>
      <c r="M2029" s="2"/>
      <c r="N2029" s="2"/>
      <c r="O2029" s="2"/>
      <c r="P2029" s="2"/>
      <c r="Q2029" s="2"/>
      <c r="R2029" s="2"/>
      <c r="S2029" s="2" t="s">
        <v>17721</v>
      </c>
      <c r="T2029" s="2" t="s">
        <v>17722</v>
      </c>
      <c r="U2029" s="2" t="s">
        <v>17723</v>
      </c>
      <c r="V2029" s="2" t="s">
        <v>338</v>
      </c>
      <c r="W2029" s="2" t="s">
        <v>339</v>
      </c>
      <c r="X2029" s="2" t="s">
        <v>340</v>
      </c>
      <c r="Y2029" s="2" t="s">
        <v>341</v>
      </c>
      <c r="Z2029" s="2" t="s">
        <v>341</v>
      </c>
      <c r="AA2029" s="2" t="s">
        <v>342</v>
      </c>
      <c r="AB2029" s="2" t="s">
        <v>8443</v>
      </c>
      <c r="AC2029" s="2">
        <v>38.42</v>
      </c>
      <c r="AD2029" s="2">
        <v>94.19</v>
      </c>
      <c r="AE2029" s="2">
        <v>0</v>
      </c>
      <c r="AF2029" s="2" t="s">
        <v>5614</v>
      </c>
      <c r="AG2029" s="2" t="s">
        <v>157</v>
      </c>
      <c r="AH2029" s="2" t="s">
        <v>1546</v>
      </c>
      <c r="AI2029" s="2">
        <v>1.42</v>
      </c>
      <c r="AJ2029" s="2">
        <v>18.332794544064299</v>
      </c>
      <c r="AK2029" s="2">
        <v>18.4691499958866</v>
      </c>
      <c r="AL2029" s="2">
        <v>17.445807482930601</v>
      </c>
      <c r="AM2029" s="2">
        <v>18.6509982437993</v>
      </c>
      <c r="AN2029" s="2">
        <v>18.573599225546701</v>
      </c>
      <c r="AO2029" s="2">
        <v>18.600532508179899</v>
      </c>
      <c r="AP2029" s="2">
        <v>18.6885322287349</v>
      </c>
      <c r="AQ2029" s="2">
        <v>18.3313403556011</v>
      </c>
      <c r="AR2029" s="2">
        <v>17.4947699750469</v>
      </c>
      <c r="AS2029" s="2">
        <v>18.384347636823598</v>
      </c>
      <c r="AT2029" s="2">
        <v>16.0362470335578</v>
      </c>
      <c r="AU2029" s="2">
        <v>18.9187517158886</v>
      </c>
      <c r="AV2029" s="2">
        <v>18.930911733894899</v>
      </c>
      <c r="AW2029" s="2">
        <v>17.5914890370411</v>
      </c>
      <c r="AX2029" s="2">
        <v>15.755914055198801</v>
      </c>
      <c r="AY2029" s="2">
        <v>19.931287937846399</v>
      </c>
      <c r="AZ2029" s="2">
        <v>17.970937158275401</v>
      </c>
      <c r="BA2029" s="2">
        <v>18.431310815849599</v>
      </c>
      <c r="BB2029" s="2">
        <v>19.096070064049702</v>
      </c>
      <c r="BC2029" s="2">
        <v>17.691007646465</v>
      </c>
      <c r="BD2029" s="2">
        <v>18.279200439522501</v>
      </c>
      <c r="BE2029" s="2">
        <v>17.843672674236299</v>
      </c>
      <c r="BF2029" s="2">
        <v>17.233933341208701</v>
      </c>
      <c r="BG2029" s="2">
        <v>17.6198393235221</v>
      </c>
      <c r="BH2029" s="2">
        <v>16.883155051241101</v>
      </c>
      <c r="BI2029" s="2">
        <v>17.893475563941401</v>
      </c>
      <c r="BJ2029" s="2">
        <v>17.354869630195701</v>
      </c>
      <c r="BK2029" s="2">
        <v>17.589690934765098</v>
      </c>
      <c r="BL2029" s="2">
        <v>18.997769105702901</v>
      </c>
      <c r="BM2029" s="2">
        <v>18.716293985807301</v>
      </c>
      <c r="BN2029" s="2">
        <v>17.218722620819999</v>
      </c>
      <c r="BO2029" s="2">
        <v>17.706129780330599</v>
      </c>
      <c r="BP2029" s="2">
        <v>18.740946297430199</v>
      </c>
      <c r="BQ2029" s="2">
        <v>17.861585836583199</v>
      </c>
      <c r="BR2029" s="2">
        <v>17.933612688952799</v>
      </c>
      <c r="BS2029" s="2">
        <v>19.624432116669301</v>
      </c>
      <c r="BT2029" s="2">
        <v>18.094918954015199</v>
      </c>
      <c r="BU2029" s="2">
        <v>18.040363521535301</v>
      </c>
      <c r="BV2029" s="2">
        <v>19.500202889381701</v>
      </c>
      <c r="BW2029" s="2">
        <v>17.066436637765399</v>
      </c>
      <c r="BX2029" s="2">
        <v>18.472322004131101</v>
      </c>
      <c r="BY2029" s="2">
        <v>19.102913330244299</v>
      </c>
      <c r="BZ2029" s="2">
        <v>17.756025768737999</v>
      </c>
      <c r="CA2029" s="2">
        <v>18.9864025463805</v>
      </c>
      <c r="CB2029" s="2">
        <v>18.4505930035956</v>
      </c>
      <c r="CC2029" s="2">
        <v>16.954452272426501</v>
      </c>
      <c r="CD2029" s="2">
        <v>17.419766829277201</v>
      </c>
      <c r="CE2029" s="2">
        <v>18.258777776171801</v>
      </c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</row>
    <row r="2030" spans="1:97">
      <c r="A2030" s="2" t="s">
        <v>17724</v>
      </c>
      <c r="B2030" s="2">
        <v>304.29944999999998</v>
      </c>
      <c r="C2030" s="2">
        <v>9.6069999999999993</v>
      </c>
      <c r="D2030" s="2" t="s">
        <v>84</v>
      </c>
      <c r="E2030" s="2" t="s">
        <v>17725</v>
      </c>
      <c r="F2030" s="2" t="s">
        <v>17726</v>
      </c>
      <c r="G2030" s="2">
        <v>210560</v>
      </c>
      <c r="H2030" s="3" t="str">
        <f>HYPERLINK("https://cloud.oebiotech.com/#/lm/network/210560", "https://cloud.oebiotech.com/#/lm/network/210560")</f>
        <v>https://cloud.oebiotech.com/#/lm/network/210560</v>
      </c>
      <c r="I2030" s="2" t="s">
        <v>17727</v>
      </c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 t="s">
        <v>17728</v>
      </c>
      <c r="U2030" s="2" t="s">
        <v>17729</v>
      </c>
      <c r="V2030" s="2" t="s">
        <v>95</v>
      </c>
      <c r="W2030" s="2" t="s">
        <v>152</v>
      </c>
      <c r="X2030" s="2" t="s">
        <v>4609</v>
      </c>
      <c r="Y2030" s="2" t="s">
        <v>98</v>
      </c>
      <c r="Z2030" s="2" t="s">
        <v>154</v>
      </c>
      <c r="AA2030" s="2" t="s">
        <v>4610</v>
      </c>
      <c r="AB2030" s="2" t="s">
        <v>8443</v>
      </c>
      <c r="AC2030" s="2">
        <v>38.42</v>
      </c>
      <c r="AD2030" s="2">
        <v>95.28</v>
      </c>
      <c r="AE2030" s="2">
        <v>0</v>
      </c>
      <c r="AF2030" s="2" t="s">
        <v>17730</v>
      </c>
      <c r="AG2030" s="2" t="s">
        <v>132</v>
      </c>
      <c r="AH2030" s="2" t="s">
        <v>17731</v>
      </c>
      <c r="AI2030" s="2">
        <v>1.64</v>
      </c>
      <c r="AJ2030" s="2">
        <v>20.230190641118998</v>
      </c>
      <c r="AK2030" s="2">
        <v>20.1567303622903</v>
      </c>
      <c r="AL2030" s="2">
        <v>20.0678751697038</v>
      </c>
      <c r="AM2030" s="2">
        <v>20.1008439681165</v>
      </c>
      <c r="AN2030" s="2">
        <v>20.116342730051901</v>
      </c>
      <c r="AO2030" s="2">
        <v>20.119557960126802</v>
      </c>
      <c r="AP2030" s="2">
        <v>19.939993024773401</v>
      </c>
      <c r="AQ2030" s="2">
        <v>20.0725589357017</v>
      </c>
      <c r="AR2030" s="2">
        <v>20.387008509770599</v>
      </c>
      <c r="AS2030" s="2">
        <v>19.843538670857601</v>
      </c>
      <c r="AT2030" s="2">
        <v>19.7693828628178</v>
      </c>
      <c r="AU2030" s="2">
        <v>19.689697247844599</v>
      </c>
      <c r="AV2030" s="2">
        <v>19.7725179251232</v>
      </c>
      <c r="AW2030" s="2">
        <v>20.280263245561201</v>
      </c>
      <c r="AX2030" s="2">
        <v>20.468473293630002</v>
      </c>
      <c r="AY2030" s="2">
        <v>20.160656919332201</v>
      </c>
      <c r="AZ2030" s="2">
        <v>19.676772507142001</v>
      </c>
      <c r="BA2030" s="2">
        <v>19.587995707160001</v>
      </c>
      <c r="BB2030" s="2">
        <v>20.2056102143682</v>
      </c>
      <c r="BC2030" s="2">
        <v>19.694158538345501</v>
      </c>
      <c r="BD2030" s="2">
        <v>19.887563110147099</v>
      </c>
      <c r="BE2030" s="2">
        <v>19.4370458942863</v>
      </c>
      <c r="BF2030" s="2">
        <v>20.187033758863102</v>
      </c>
      <c r="BG2030" s="2">
        <v>21.0363450029162</v>
      </c>
      <c r="BH2030" s="2">
        <v>20.642011497796901</v>
      </c>
      <c r="BI2030" s="2">
        <v>19.593217851832701</v>
      </c>
      <c r="BJ2030" s="2">
        <v>19.795539598922101</v>
      </c>
      <c r="BK2030" s="2">
        <v>20.4028623247107</v>
      </c>
      <c r="BL2030" s="2">
        <v>21.070857359258</v>
      </c>
      <c r="BM2030" s="2">
        <v>19.773182503022699</v>
      </c>
      <c r="BN2030" s="2">
        <v>19.885266585462301</v>
      </c>
      <c r="BO2030" s="2">
        <v>20.428215831772398</v>
      </c>
      <c r="BP2030" s="2">
        <v>19.970239341934299</v>
      </c>
      <c r="BQ2030" s="2">
        <v>20.1074536410554</v>
      </c>
      <c r="BR2030" s="2">
        <v>20.121944260489698</v>
      </c>
      <c r="BS2030" s="2">
        <v>19.918414464803799</v>
      </c>
      <c r="BT2030" s="2">
        <v>19.943384284927902</v>
      </c>
      <c r="BU2030" s="2">
        <v>19.610688536210201</v>
      </c>
      <c r="BV2030" s="2">
        <v>19.831051581002999</v>
      </c>
      <c r="BW2030" s="2">
        <v>19.588889692257101</v>
      </c>
      <c r="BX2030" s="2">
        <v>19.859231291315499</v>
      </c>
      <c r="BY2030" s="2">
        <v>19.5389368762064</v>
      </c>
      <c r="BZ2030" s="2">
        <v>20.836234862083</v>
      </c>
      <c r="CA2030" s="2">
        <v>19.141893440034401</v>
      </c>
      <c r="CB2030" s="2">
        <v>20.112086988707201</v>
      </c>
      <c r="CC2030" s="2">
        <v>20.1770570764563</v>
      </c>
      <c r="CD2030" s="2">
        <v>19.878292139251698</v>
      </c>
      <c r="CE2030" s="2">
        <v>19.524190666578601</v>
      </c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</row>
    <row r="2031" spans="1:97">
      <c r="A2031" s="2" t="s">
        <v>17732</v>
      </c>
      <c r="B2031" s="2">
        <v>510.25234999999998</v>
      </c>
      <c r="C2031" s="2">
        <v>8.0519999999999996</v>
      </c>
      <c r="D2031" s="2" t="s">
        <v>146</v>
      </c>
      <c r="E2031" s="2" t="s">
        <v>17733</v>
      </c>
      <c r="F2031" s="2" t="s">
        <v>17734</v>
      </c>
      <c r="G2031" s="2">
        <v>207109</v>
      </c>
      <c r="H2031" s="3" t="str">
        <f>HYPERLINK("https://cloud.oebiotech.com/#/lm/network/207109", "https://cloud.oebiotech.com/#/lm/network/207109")</f>
        <v>https://cloud.oebiotech.com/#/lm/network/207109</v>
      </c>
      <c r="I2031" s="2" t="s">
        <v>17735</v>
      </c>
      <c r="J2031" s="2"/>
      <c r="K2031" s="2"/>
      <c r="L2031" s="2">
        <v>53462919</v>
      </c>
      <c r="M2031" s="2"/>
      <c r="N2031" s="2"/>
      <c r="O2031" s="2"/>
      <c r="P2031" s="2"/>
      <c r="Q2031" s="2"/>
      <c r="R2031" s="2"/>
      <c r="S2031" s="2"/>
      <c r="T2031" s="2" t="s">
        <v>17736</v>
      </c>
      <c r="U2031" s="2" t="s">
        <v>17737</v>
      </c>
      <c r="V2031" s="2" t="s">
        <v>95</v>
      </c>
      <c r="W2031" s="2" t="s">
        <v>152</v>
      </c>
      <c r="X2031" s="2" t="s">
        <v>278</v>
      </c>
      <c r="Y2031" s="2" t="s">
        <v>98</v>
      </c>
      <c r="Z2031" s="2" t="s">
        <v>154</v>
      </c>
      <c r="AA2031" s="2" t="s">
        <v>279</v>
      </c>
      <c r="AB2031" s="2" t="s">
        <v>8443</v>
      </c>
      <c r="AC2031" s="2">
        <v>38.409999999999997</v>
      </c>
      <c r="AD2031" s="2">
        <v>92.03</v>
      </c>
      <c r="AE2031" s="2">
        <v>0</v>
      </c>
      <c r="AF2031" s="2" t="s">
        <v>17738</v>
      </c>
      <c r="AG2031" s="2" t="s">
        <v>993</v>
      </c>
      <c r="AH2031" s="2" t="s">
        <v>3449</v>
      </c>
      <c r="AI2031" s="2">
        <v>0.39</v>
      </c>
      <c r="AJ2031" s="2">
        <v>22.3568131323415</v>
      </c>
      <c r="AK2031" s="2">
        <v>22.394748292018999</v>
      </c>
      <c r="AL2031" s="2">
        <v>22.491502513652598</v>
      </c>
      <c r="AM2031" s="2">
        <v>22.252741524500099</v>
      </c>
      <c r="AN2031" s="2">
        <v>22.2920123759272</v>
      </c>
      <c r="AO2031" s="2">
        <v>22.315781687140198</v>
      </c>
      <c r="AP2031" s="2">
        <v>21.893637286412499</v>
      </c>
      <c r="AQ2031" s="2">
        <v>21.838710995187299</v>
      </c>
      <c r="AR2031" s="2">
        <v>21.443686641424001</v>
      </c>
      <c r="AS2031" s="2">
        <v>20.2591765083654</v>
      </c>
      <c r="AT2031" s="2">
        <v>22.429216660202101</v>
      </c>
      <c r="AU2031" s="2">
        <v>20.941294533678899</v>
      </c>
      <c r="AV2031" s="2">
        <v>22.505484760964102</v>
      </c>
      <c r="AW2031" s="2">
        <v>22.3013413966667</v>
      </c>
      <c r="AX2031" s="2">
        <v>21.574591836678401</v>
      </c>
      <c r="AY2031" s="2">
        <v>22.217068139442802</v>
      </c>
      <c r="AZ2031" s="2">
        <v>21.720496661572302</v>
      </c>
      <c r="BA2031" s="2">
        <v>22.103156318519002</v>
      </c>
      <c r="BB2031" s="2">
        <v>22.159678492419999</v>
      </c>
      <c r="BC2031" s="2">
        <v>22.3242635770454</v>
      </c>
      <c r="BD2031" s="2">
        <v>21.897493425189101</v>
      </c>
      <c r="BE2031" s="2">
        <v>22.311510115602498</v>
      </c>
      <c r="BF2031" s="2">
        <v>21.639991774308001</v>
      </c>
      <c r="BG2031" s="2">
        <v>22.429684220625699</v>
      </c>
      <c r="BH2031" s="2">
        <v>21.4126433176591</v>
      </c>
      <c r="BI2031" s="2">
        <v>22.0082808289472</v>
      </c>
      <c r="BJ2031" s="2">
        <v>22.969729704875501</v>
      </c>
      <c r="BK2031" s="2">
        <v>22.301258884368501</v>
      </c>
      <c r="BL2031" s="2">
        <v>22.588088974679401</v>
      </c>
      <c r="BM2031" s="2">
        <v>21.766973887312702</v>
      </c>
      <c r="BN2031" s="2">
        <v>22.2145921606995</v>
      </c>
      <c r="BO2031" s="2">
        <v>20.888310948687799</v>
      </c>
      <c r="BP2031" s="2">
        <v>22.914922111850402</v>
      </c>
      <c r="BQ2031" s="2">
        <v>22.8376946552733</v>
      </c>
      <c r="BR2031" s="2">
        <v>22.505818612846198</v>
      </c>
      <c r="BS2031" s="2">
        <v>21.635913389124202</v>
      </c>
      <c r="BT2031" s="2">
        <v>21.546231511544502</v>
      </c>
      <c r="BU2031" s="2">
        <v>22.721370775620102</v>
      </c>
      <c r="BV2031" s="2">
        <v>21.924191334913399</v>
      </c>
      <c r="BW2031" s="2">
        <v>22.207674293531301</v>
      </c>
      <c r="BX2031" s="2">
        <v>22.114929766342001</v>
      </c>
      <c r="BY2031" s="2">
        <v>22.859337318984199</v>
      </c>
      <c r="BZ2031" s="2">
        <v>21.1138038033146</v>
      </c>
      <c r="CA2031" s="2">
        <v>22.883486805281699</v>
      </c>
      <c r="CB2031" s="2">
        <v>21.659904586506698</v>
      </c>
      <c r="CC2031" s="2">
        <v>22.4396311086536</v>
      </c>
      <c r="CD2031" s="2">
        <v>22.8355631777216</v>
      </c>
      <c r="CE2031" s="2">
        <v>22.674144284314401</v>
      </c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</row>
    <row r="2032" spans="1:97">
      <c r="A2032" s="2" t="s">
        <v>17739</v>
      </c>
      <c r="B2032" s="2">
        <v>262.16480999999999</v>
      </c>
      <c r="C2032" s="2">
        <v>0.80500000000000005</v>
      </c>
      <c r="D2032" s="2" t="s">
        <v>84</v>
      </c>
      <c r="E2032" s="2" t="s">
        <v>17740</v>
      </c>
      <c r="F2032" s="2" t="s">
        <v>17741</v>
      </c>
      <c r="G2032" s="2">
        <v>596165</v>
      </c>
      <c r="H2032" s="3" t="str">
        <f>HYPERLINK("https://cloud.oebiotech.com/#/lm/network/596165", "https://cloud.oebiotech.com/#/lm/network/596165")</f>
        <v>https://cloud.oebiotech.com/#/lm/network/596165</v>
      </c>
      <c r="I2032" s="2"/>
      <c r="J2032" s="2"/>
      <c r="K2032" s="2"/>
      <c r="L2032" s="2">
        <v>9921168</v>
      </c>
      <c r="M2032" s="2"/>
      <c r="N2032" s="2"/>
      <c r="O2032" s="2"/>
      <c r="P2032" s="2"/>
      <c r="Q2032" s="2"/>
      <c r="R2032" s="2"/>
      <c r="S2032" s="2"/>
      <c r="T2032" s="2" t="s">
        <v>17742</v>
      </c>
      <c r="U2032" s="2" t="s">
        <v>17743</v>
      </c>
      <c r="V2032" s="2" t="s">
        <v>115</v>
      </c>
      <c r="W2032" s="2" t="s">
        <v>832</v>
      </c>
      <c r="X2032" s="2" t="s">
        <v>4084</v>
      </c>
      <c r="Y2032" s="2" t="s">
        <v>118</v>
      </c>
      <c r="Z2032" s="2" t="s">
        <v>834</v>
      </c>
      <c r="AA2032" s="2" t="s">
        <v>4085</v>
      </c>
      <c r="AB2032" s="2" t="s">
        <v>8443</v>
      </c>
      <c r="AC2032" s="2">
        <v>38.409999999999997</v>
      </c>
      <c r="AD2032" s="2">
        <v>92.03</v>
      </c>
      <c r="AE2032" s="2">
        <v>0</v>
      </c>
      <c r="AF2032" s="2" t="s">
        <v>5614</v>
      </c>
      <c r="AG2032" s="2" t="s">
        <v>132</v>
      </c>
      <c r="AH2032" s="2" t="s">
        <v>6018</v>
      </c>
      <c r="AI2032" s="2">
        <v>0.38</v>
      </c>
      <c r="AJ2032" s="2">
        <v>20.999781441651699</v>
      </c>
      <c r="AK2032" s="2">
        <v>20.8287366608103</v>
      </c>
      <c r="AL2032" s="2">
        <v>20.768185067994199</v>
      </c>
      <c r="AM2032" s="2">
        <v>20.986787898011599</v>
      </c>
      <c r="AN2032" s="2">
        <v>20.725766672627898</v>
      </c>
      <c r="AO2032" s="2">
        <v>21.085546986005301</v>
      </c>
      <c r="AP2032" s="2">
        <v>20.5498530050893</v>
      </c>
      <c r="AQ2032" s="2">
        <v>20.682203593364999</v>
      </c>
      <c r="AR2032" s="2">
        <v>21.113286667997599</v>
      </c>
      <c r="AS2032" s="2">
        <v>20.810885767077199</v>
      </c>
      <c r="AT2032" s="2">
        <v>17.309725645551399</v>
      </c>
      <c r="AU2032" s="2">
        <v>19.7911297015314</v>
      </c>
      <c r="AV2032" s="2">
        <v>20.568398645170301</v>
      </c>
      <c r="AW2032" s="2">
        <v>21.990340226607799</v>
      </c>
      <c r="AX2032" s="2">
        <v>20.576989213891402</v>
      </c>
      <c r="AY2032" s="2">
        <v>20.070205225915799</v>
      </c>
      <c r="AZ2032" s="2">
        <v>21.2256740344767</v>
      </c>
      <c r="BA2032" s="2">
        <v>19.9295974397028</v>
      </c>
      <c r="BB2032" s="2">
        <v>20.431957983181</v>
      </c>
      <c r="BC2032" s="2">
        <v>20.574465669106299</v>
      </c>
      <c r="BD2032" s="2">
        <v>19.698557633722999</v>
      </c>
      <c r="BE2032" s="2">
        <v>20.9096030036158</v>
      </c>
      <c r="BF2032" s="2">
        <v>19.186822594123601</v>
      </c>
      <c r="BG2032" s="2">
        <v>19.876290908234001</v>
      </c>
      <c r="BH2032" s="2">
        <v>20.5120055644941</v>
      </c>
      <c r="BI2032" s="2">
        <v>22.786530093708699</v>
      </c>
      <c r="BJ2032" s="2">
        <v>20.133634183325899</v>
      </c>
      <c r="BK2032" s="2">
        <v>21.866466710923898</v>
      </c>
      <c r="BL2032" s="2">
        <v>20.983481352379702</v>
      </c>
      <c r="BM2032" s="2">
        <v>21.011397833356899</v>
      </c>
      <c r="BN2032" s="2">
        <v>19.4842518744139</v>
      </c>
      <c r="BO2032" s="2">
        <v>20.065745221939501</v>
      </c>
      <c r="BP2032" s="2">
        <v>20.731628065170099</v>
      </c>
      <c r="BQ2032" s="2">
        <v>21.330981884297501</v>
      </c>
      <c r="BR2032" s="2">
        <v>19.490981654996801</v>
      </c>
      <c r="BS2032" s="2">
        <v>20.474547959619201</v>
      </c>
      <c r="BT2032" s="2">
        <v>22.589248567038901</v>
      </c>
      <c r="BU2032" s="2">
        <v>19.801642246507601</v>
      </c>
      <c r="BV2032" s="2">
        <v>21.441096000031401</v>
      </c>
      <c r="BW2032" s="2">
        <v>20.159583989858699</v>
      </c>
      <c r="BX2032" s="2">
        <v>18.881962595976301</v>
      </c>
      <c r="BY2032" s="2">
        <v>20.927374790511099</v>
      </c>
      <c r="BZ2032" s="2">
        <v>18.327852852698399</v>
      </c>
      <c r="CA2032" s="2">
        <v>19.2854806309421</v>
      </c>
      <c r="CB2032" s="2">
        <v>20.513010516614202</v>
      </c>
      <c r="CC2032" s="2">
        <v>21.618260489944198</v>
      </c>
      <c r="CD2032" s="2">
        <v>20.275192890500001</v>
      </c>
      <c r="CE2032" s="2">
        <v>21.761139550530601</v>
      </c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</row>
    <row r="2033" spans="1:97">
      <c r="A2033" s="2" t="s">
        <v>17744</v>
      </c>
      <c r="B2033" s="2">
        <v>251.10265999999999</v>
      </c>
      <c r="C2033" s="2">
        <v>5.2830000000000004</v>
      </c>
      <c r="D2033" s="2" t="s">
        <v>84</v>
      </c>
      <c r="E2033" s="2" t="s">
        <v>17745</v>
      </c>
      <c r="F2033" s="2"/>
      <c r="G2033" s="2">
        <v>595976</v>
      </c>
      <c r="H2033" s="3" t="str">
        <f>HYPERLINK("https://cloud.oebiotech.com/#/lm/network/595976", "https://cloud.oebiotech.com/#/lm/network/595976")</f>
        <v>https://cloud.oebiotech.com/#/lm/network/595976</v>
      </c>
      <c r="I2033" s="2"/>
      <c r="J2033" s="2"/>
      <c r="K2033" s="2"/>
      <c r="L2033" s="2">
        <v>43241144</v>
      </c>
      <c r="M2033" s="2"/>
      <c r="N2033" s="2"/>
      <c r="O2033" s="2"/>
      <c r="P2033" s="2"/>
      <c r="Q2033" s="2"/>
      <c r="R2033" s="2"/>
      <c r="S2033" s="2"/>
      <c r="T2033" s="2" t="s">
        <v>17746</v>
      </c>
      <c r="U2033" s="2" t="s">
        <v>17747</v>
      </c>
      <c r="V2033" s="2" t="s">
        <v>115</v>
      </c>
      <c r="W2033" s="2" t="s">
        <v>116</v>
      </c>
      <c r="X2033" s="2" t="s">
        <v>117</v>
      </c>
      <c r="Y2033" s="2" t="s">
        <v>118</v>
      </c>
      <c r="Z2033" s="2" t="s">
        <v>119</v>
      </c>
      <c r="AA2033" s="2" t="s">
        <v>120</v>
      </c>
      <c r="AB2033" s="2" t="s">
        <v>8443</v>
      </c>
      <c r="AC2033" s="2">
        <v>38.409999999999997</v>
      </c>
      <c r="AD2033" s="2">
        <v>92.03</v>
      </c>
      <c r="AE2033" s="2">
        <v>0</v>
      </c>
      <c r="AF2033" s="2" t="s">
        <v>5614</v>
      </c>
      <c r="AG2033" s="2" t="s">
        <v>103</v>
      </c>
      <c r="AH2033" s="2" t="s">
        <v>3292</v>
      </c>
      <c r="AI2033" s="2">
        <v>-0.4</v>
      </c>
      <c r="AJ2033" s="2">
        <v>19.0110611834704</v>
      </c>
      <c r="AK2033" s="2">
        <v>19.113163467480899</v>
      </c>
      <c r="AL2033" s="2">
        <v>19.251052516248802</v>
      </c>
      <c r="AM2033" s="2">
        <v>19.378454301620401</v>
      </c>
      <c r="AN2033" s="2">
        <v>19.263032181523101</v>
      </c>
      <c r="AO2033" s="2">
        <v>19.168067849343998</v>
      </c>
      <c r="AP2033" s="2">
        <v>18.991398916586899</v>
      </c>
      <c r="AQ2033" s="2">
        <v>19.1732309091758</v>
      </c>
      <c r="AR2033" s="2">
        <v>14.435288703583099</v>
      </c>
      <c r="AS2033" s="2">
        <v>14.203235574844401</v>
      </c>
      <c r="AT2033" s="2">
        <v>16.607447643551101</v>
      </c>
      <c r="AU2033" s="2">
        <v>15.397824014735001</v>
      </c>
      <c r="AV2033" s="2">
        <v>16.839732913843701</v>
      </c>
      <c r="AW2033" s="2">
        <v>17.723059807342501</v>
      </c>
      <c r="AX2033" s="2">
        <v>18.6969686126006</v>
      </c>
      <c r="AY2033" s="2">
        <v>9.6233145402724691</v>
      </c>
      <c r="AZ2033" s="2">
        <v>18.443869336117</v>
      </c>
      <c r="BA2033" s="2">
        <v>19.894205435727301</v>
      </c>
      <c r="BB2033" s="2">
        <v>19.512607379527299</v>
      </c>
      <c r="BC2033" s="2">
        <v>9.6233145402724691</v>
      </c>
      <c r="BD2033" s="2">
        <v>9.6233145402724691</v>
      </c>
      <c r="BE2033" s="2">
        <v>19.6172838236558</v>
      </c>
      <c r="BF2033" s="2">
        <v>9.6233145402724691</v>
      </c>
      <c r="BG2033" s="2">
        <v>20.257048255290702</v>
      </c>
      <c r="BH2033" s="2">
        <v>18.4345070016956</v>
      </c>
      <c r="BI2033" s="2">
        <v>18.069053364147798</v>
      </c>
      <c r="BJ2033" s="2">
        <v>18.025009376801201</v>
      </c>
      <c r="BK2033" s="2">
        <v>18.311854858455401</v>
      </c>
      <c r="BL2033" s="2">
        <v>18.087667528978301</v>
      </c>
      <c r="BM2033" s="2">
        <v>16.6979901138305</v>
      </c>
      <c r="BN2033" s="2">
        <v>13.947546538405099</v>
      </c>
      <c r="BO2033" s="2">
        <v>18.2518314105093</v>
      </c>
      <c r="BP2033" s="2">
        <v>18.570015210988601</v>
      </c>
      <c r="BQ2033" s="2">
        <v>18.857035854195999</v>
      </c>
      <c r="BR2033" s="2">
        <v>9.6233145402724691</v>
      </c>
      <c r="BS2033" s="2">
        <v>17.548243040972501</v>
      </c>
      <c r="BT2033" s="2">
        <v>18.334360631156699</v>
      </c>
      <c r="BU2033" s="2">
        <v>19.437233303315701</v>
      </c>
      <c r="BV2033" s="2">
        <v>19.2280977968923</v>
      </c>
      <c r="BW2033" s="2">
        <v>17.714170979180398</v>
      </c>
      <c r="BX2033" s="2">
        <v>18.574342918608501</v>
      </c>
      <c r="BY2033" s="2">
        <v>19.488874131697099</v>
      </c>
      <c r="BZ2033" s="2">
        <v>18.915783233299599</v>
      </c>
      <c r="CA2033" s="2">
        <v>18.7873232077533</v>
      </c>
      <c r="CB2033" s="2">
        <v>19.194997330034699</v>
      </c>
      <c r="CC2033" s="2">
        <v>16.497377844749401</v>
      </c>
      <c r="CD2033" s="2">
        <v>19.669875673012399</v>
      </c>
      <c r="CE2033" s="2">
        <v>18.131823358007999</v>
      </c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</row>
    <row r="2034" spans="1:97">
      <c r="A2034" s="2" t="s">
        <v>17748</v>
      </c>
      <c r="B2034" s="2">
        <v>309.08168000000001</v>
      </c>
      <c r="C2034" s="2">
        <v>4.2830000000000004</v>
      </c>
      <c r="D2034" s="2" t="s">
        <v>84</v>
      </c>
      <c r="E2034" s="2" t="s">
        <v>17749</v>
      </c>
      <c r="F2034" s="2" t="s">
        <v>17750</v>
      </c>
      <c r="G2034" s="2">
        <v>208912</v>
      </c>
      <c r="H2034" s="3" t="str">
        <f>HYPERLINK("https://cloud.oebiotech.com/#/lm/network/208912", "https://cloud.oebiotech.com/#/lm/network/208912")</f>
        <v>https://cloud.oebiotech.com/#/lm/network/208912</v>
      </c>
      <c r="I2034" s="2" t="s">
        <v>17751</v>
      </c>
      <c r="J2034" s="2"/>
      <c r="K2034" s="2"/>
      <c r="L2034" s="2">
        <v>129678935</v>
      </c>
      <c r="M2034" s="2"/>
      <c r="N2034" s="2"/>
      <c r="O2034" s="2"/>
      <c r="P2034" s="2"/>
      <c r="Q2034" s="2"/>
      <c r="R2034" s="2"/>
      <c r="S2034" s="2"/>
      <c r="T2034" s="2" t="s">
        <v>17752</v>
      </c>
      <c r="U2034" s="2" t="s">
        <v>17753</v>
      </c>
      <c r="V2034" s="2" t="s">
        <v>115</v>
      </c>
      <c r="W2034" s="2" t="s">
        <v>116</v>
      </c>
      <c r="X2034" s="2" t="s">
        <v>1642</v>
      </c>
      <c r="Y2034" s="2" t="s">
        <v>118</v>
      </c>
      <c r="Z2034" s="2" t="s">
        <v>119</v>
      </c>
      <c r="AA2034" s="2" t="s">
        <v>1643</v>
      </c>
      <c r="AB2034" s="2" t="s">
        <v>8443</v>
      </c>
      <c r="AC2034" s="2">
        <v>38.409999999999997</v>
      </c>
      <c r="AD2034" s="2">
        <v>92.06</v>
      </c>
      <c r="AE2034" s="2">
        <v>0</v>
      </c>
      <c r="AF2034" s="2" t="s">
        <v>17754</v>
      </c>
      <c r="AG2034" s="2" t="s">
        <v>103</v>
      </c>
      <c r="AH2034" s="2" t="s">
        <v>17755</v>
      </c>
      <c r="AI2034" s="2">
        <v>-0.32</v>
      </c>
      <c r="AJ2034" s="2">
        <v>19.387069343212101</v>
      </c>
      <c r="AK2034" s="2">
        <v>19.202009553961801</v>
      </c>
      <c r="AL2034" s="2">
        <v>19.1380952228395</v>
      </c>
      <c r="AM2034" s="2">
        <v>19.517196576016801</v>
      </c>
      <c r="AN2034" s="2">
        <v>19.354190442336801</v>
      </c>
      <c r="AO2034" s="2">
        <v>19.397913214519601</v>
      </c>
      <c r="AP2034" s="2">
        <v>19.488483678600598</v>
      </c>
      <c r="AQ2034" s="2">
        <v>19.564433211267499</v>
      </c>
      <c r="AR2034" s="2">
        <v>17.302618576846399</v>
      </c>
      <c r="AS2034" s="2">
        <v>16.0309524402875</v>
      </c>
      <c r="AT2034" s="2">
        <v>13.8594726668519</v>
      </c>
      <c r="AU2034" s="2">
        <v>15.0416612903557</v>
      </c>
      <c r="AV2034" s="2">
        <v>20.3037920726895</v>
      </c>
      <c r="AW2034" s="2">
        <v>19.1041626380735</v>
      </c>
      <c r="AX2034" s="2">
        <v>20.143425268064899</v>
      </c>
      <c r="AY2034" s="2">
        <v>18.524253482384399</v>
      </c>
      <c r="AZ2034" s="2">
        <v>18.699338202363801</v>
      </c>
      <c r="BA2034" s="2">
        <v>19.147760742273299</v>
      </c>
      <c r="BB2034" s="2">
        <v>20.1093877511396</v>
      </c>
      <c r="BC2034" s="2">
        <v>16.656849665034201</v>
      </c>
      <c r="BD2034" s="2">
        <v>19.307606470051901</v>
      </c>
      <c r="BE2034" s="2">
        <v>20.752202299670198</v>
      </c>
      <c r="BF2034" s="2">
        <v>18.548591615954798</v>
      </c>
      <c r="BG2034" s="2">
        <v>19.614425344125301</v>
      </c>
      <c r="BH2034" s="2">
        <v>19.910086169679399</v>
      </c>
      <c r="BI2034" s="2">
        <v>20.6333638015597</v>
      </c>
      <c r="BJ2034" s="2">
        <v>19.8978146788446</v>
      </c>
      <c r="BK2034" s="2">
        <v>19.849017281771399</v>
      </c>
      <c r="BL2034" s="2">
        <v>19.9849723782099</v>
      </c>
      <c r="BM2034" s="2">
        <v>18.787764373974401</v>
      </c>
      <c r="BN2034" s="2">
        <v>17.1704111794391</v>
      </c>
      <c r="BO2034" s="2">
        <v>16.3098433048003</v>
      </c>
      <c r="BP2034" s="2">
        <v>19.886236100500799</v>
      </c>
      <c r="BQ2034" s="2">
        <v>19.242562292136199</v>
      </c>
      <c r="BR2034" s="2">
        <v>18.431755893149401</v>
      </c>
      <c r="BS2034" s="2">
        <v>19.566863472054099</v>
      </c>
      <c r="BT2034" s="2">
        <v>20.025671688865099</v>
      </c>
      <c r="BU2034" s="2">
        <v>18.0775687869451</v>
      </c>
      <c r="BV2034" s="2">
        <v>18.493214764034601</v>
      </c>
      <c r="BW2034" s="2">
        <v>14.400228369296</v>
      </c>
      <c r="BX2034" s="2">
        <v>19.164292066636602</v>
      </c>
      <c r="BY2034" s="2">
        <v>20.7481156620949</v>
      </c>
      <c r="BZ2034" s="2">
        <v>18.777606023939601</v>
      </c>
      <c r="CA2034" s="2">
        <v>17.9687449685545</v>
      </c>
      <c r="CB2034" s="2">
        <v>19.4261358403465</v>
      </c>
      <c r="CC2034" s="2">
        <v>18.839451244050199</v>
      </c>
      <c r="CD2034" s="2">
        <v>19.8232709787906</v>
      </c>
      <c r="CE2034" s="2">
        <v>19.038722321691701</v>
      </c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</row>
    <row r="2035" spans="1:97">
      <c r="A2035" s="2" t="s">
        <v>17756</v>
      </c>
      <c r="B2035" s="2">
        <v>1047.73307</v>
      </c>
      <c r="C2035" s="2">
        <v>11.565</v>
      </c>
      <c r="D2035" s="2" t="s">
        <v>84</v>
      </c>
      <c r="E2035" s="2" t="s">
        <v>17757</v>
      </c>
      <c r="F2035" s="2" t="s">
        <v>17758</v>
      </c>
      <c r="G2035" s="2">
        <v>77581</v>
      </c>
      <c r="H2035" s="3" t="str">
        <f>HYPERLINK("https://cloud.oebiotech.com/#/lm/network/77581", "https://cloud.oebiotech.com/#/lm/network/77581")</f>
        <v>https://cloud.oebiotech.com/#/lm/network/77581</v>
      </c>
      <c r="I2035" s="2" t="s">
        <v>17759</v>
      </c>
      <c r="J2035" s="2"/>
      <c r="K2035" s="2"/>
      <c r="L2035" s="2">
        <v>131765682</v>
      </c>
      <c r="M2035" s="2"/>
      <c r="N2035" s="2"/>
      <c r="O2035" s="2"/>
      <c r="P2035" s="2"/>
      <c r="Q2035" s="2"/>
      <c r="R2035" s="2"/>
      <c r="S2035" s="2"/>
      <c r="T2035" s="2" t="s">
        <v>17760</v>
      </c>
      <c r="U2035" s="2" t="s">
        <v>17761</v>
      </c>
      <c r="V2035" s="2" t="s">
        <v>95</v>
      </c>
      <c r="W2035" s="2" t="s">
        <v>7709</v>
      </c>
      <c r="X2035" s="2" t="s">
        <v>10776</v>
      </c>
      <c r="Y2035" s="2" t="s">
        <v>98</v>
      </c>
      <c r="Z2035" s="2" t="s">
        <v>7711</v>
      </c>
      <c r="AA2035" s="2" t="s">
        <v>10777</v>
      </c>
      <c r="AB2035" s="2" t="s">
        <v>5118</v>
      </c>
      <c r="AC2035" s="2">
        <v>38.4</v>
      </c>
      <c r="AD2035" s="2">
        <v>90.46</v>
      </c>
      <c r="AE2035" s="2">
        <v>46.75</v>
      </c>
      <c r="AF2035" s="2" t="s">
        <v>17762</v>
      </c>
      <c r="AG2035" s="2" t="s">
        <v>1578</v>
      </c>
      <c r="AH2035" s="2" t="s">
        <v>17763</v>
      </c>
      <c r="AI2035" s="2">
        <v>7.64</v>
      </c>
      <c r="AJ2035" s="2">
        <v>24.061199642686599</v>
      </c>
      <c r="AK2035" s="2">
        <v>23.832542366016501</v>
      </c>
      <c r="AL2035" s="2">
        <v>23.8628234936902</v>
      </c>
      <c r="AM2035" s="2">
        <v>23.591469496553501</v>
      </c>
      <c r="AN2035" s="2">
        <v>23.6787825923779</v>
      </c>
      <c r="AO2035" s="2">
        <v>23.662142174958198</v>
      </c>
      <c r="AP2035" s="2">
        <v>23.562292677659201</v>
      </c>
      <c r="AQ2035" s="2">
        <v>23.6556028741403</v>
      </c>
      <c r="AR2035" s="2">
        <v>24.942382989385301</v>
      </c>
      <c r="AS2035" s="2">
        <v>21.460118590158402</v>
      </c>
      <c r="AT2035" s="2">
        <v>23.230165484006001</v>
      </c>
      <c r="AU2035" s="2">
        <v>23.581982834940298</v>
      </c>
      <c r="AV2035" s="2">
        <v>22.9084189765933</v>
      </c>
      <c r="AW2035" s="2">
        <v>23.516542890478298</v>
      </c>
      <c r="AX2035" s="2">
        <v>23.653522966049401</v>
      </c>
      <c r="AY2035" s="2">
        <v>23.4350871610194</v>
      </c>
      <c r="AZ2035" s="2">
        <v>24.093798258840199</v>
      </c>
      <c r="BA2035" s="2">
        <v>21.421516281353099</v>
      </c>
      <c r="BB2035" s="2">
        <v>23.550247931481099</v>
      </c>
      <c r="BC2035" s="2">
        <v>24.7353505284002</v>
      </c>
      <c r="BD2035" s="2">
        <v>23.767974342473199</v>
      </c>
      <c r="BE2035" s="2">
        <v>24.7358173271762</v>
      </c>
      <c r="BF2035" s="2">
        <v>22.6566718852884</v>
      </c>
      <c r="BG2035" s="2">
        <v>23.771569278073699</v>
      </c>
      <c r="BH2035" s="2">
        <v>23.301879631734199</v>
      </c>
      <c r="BI2035" s="2">
        <v>23.3636236029717</v>
      </c>
      <c r="BJ2035" s="2">
        <v>23.489925077025401</v>
      </c>
      <c r="BK2035" s="2">
        <v>22.5704972344978</v>
      </c>
      <c r="BL2035" s="2">
        <v>24.166546787159</v>
      </c>
      <c r="BM2035" s="2">
        <v>22.8506986971855</v>
      </c>
      <c r="BN2035" s="2">
        <v>23.361761090624402</v>
      </c>
      <c r="BO2035" s="2">
        <v>23.597851425071799</v>
      </c>
      <c r="BP2035" s="2">
        <v>23.4444303598709</v>
      </c>
      <c r="BQ2035" s="2">
        <v>23.482564032662399</v>
      </c>
      <c r="BR2035" s="2">
        <v>23.708840799938201</v>
      </c>
      <c r="BS2035" s="2">
        <v>23.812161340905998</v>
      </c>
      <c r="BT2035" s="2">
        <v>23.575012202442299</v>
      </c>
      <c r="BU2035" s="2">
        <v>23.000932541040701</v>
      </c>
      <c r="BV2035" s="2">
        <v>24.078091893503998</v>
      </c>
      <c r="BW2035" s="2">
        <v>22.1982767961584</v>
      </c>
      <c r="BX2035" s="2">
        <v>23.626619440118098</v>
      </c>
      <c r="BY2035" s="2">
        <v>25.117882412336701</v>
      </c>
      <c r="BZ2035" s="2">
        <v>23.160184541923901</v>
      </c>
      <c r="CA2035" s="2">
        <v>23.9035087903322</v>
      </c>
      <c r="CB2035" s="2">
        <v>23.213625500768298</v>
      </c>
      <c r="CC2035" s="2">
        <v>23.0062317224764</v>
      </c>
      <c r="CD2035" s="2">
        <v>24.480362347536399</v>
      </c>
      <c r="CE2035" s="2">
        <v>21.718048507300299</v>
      </c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</row>
    <row r="2036" spans="1:97">
      <c r="A2036" s="2" t="s">
        <v>17764</v>
      </c>
      <c r="B2036" s="2">
        <v>261.07386000000002</v>
      </c>
      <c r="C2036" s="2">
        <v>7.4089999999999998</v>
      </c>
      <c r="D2036" s="2" t="s">
        <v>146</v>
      </c>
      <c r="E2036" s="2" t="s">
        <v>17765</v>
      </c>
      <c r="F2036" s="2" t="s">
        <v>17766</v>
      </c>
      <c r="G2036" s="2">
        <v>257566</v>
      </c>
      <c r="H2036" s="3" t="str">
        <f>HYPERLINK("https://cloud.oebiotech.com/#/lm/network/257566", "https://cloud.oebiotech.com/#/lm/network/257566")</f>
        <v>https://cloud.oebiotech.com/#/lm/network/257566</v>
      </c>
      <c r="I2036" s="2" t="s">
        <v>17767</v>
      </c>
      <c r="J2036" s="2"/>
      <c r="K2036" s="2"/>
      <c r="L2036" s="2">
        <v>351667</v>
      </c>
      <c r="M2036" s="2"/>
      <c r="N2036" s="2"/>
      <c r="O2036" s="2"/>
      <c r="P2036" s="2"/>
      <c r="Q2036" s="2"/>
      <c r="R2036" s="2"/>
      <c r="S2036" s="2"/>
      <c r="T2036" s="2" t="s">
        <v>17768</v>
      </c>
      <c r="U2036" s="2" t="s">
        <v>17769</v>
      </c>
      <c r="V2036" s="2" t="s">
        <v>115</v>
      </c>
      <c r="W2036" s="2" t="s">
        <v>116</v>
      </c>
      <c r="X2036" s="2" t="s">
        <v>117</v>
      </c>
      <c r="Y2036" s="2" t="s">
        <v>118</v>
      </c>
      <c r="Z2036" s="2" t="s">
        <v>119</v>
      </c>
      <c r="AA2036" s="2" t="s">
        <v>120</v>
      </c>
      <c r="AB2036" s="2" t="s">
        <v>5118</v>
      </c>
      <c r="AC2036" s="2">
        <v>38.4</v>
      </c>
      <c r="AD2036" s="2">
        <v>81.44</v>
      </c>
      <c r="AE2036" s="2">
        <v>60.97</v>
      </c>
      <c r="AF2036" s="2" t="s">
        <v>17770</v>
      </c>
      <c r="AG2036" s="2" t="s">
        <v>4062</v>
      </c>
      <c r="AH2036" s="2" t="s">
        <v>17771</v>
      </c>
      <c r="AI2036" s="2">
        <v>8.0399999999999991</v>
      </c>
      <c r="AJ2036" s="2">
        <v>23.558480908312799</v>
      </c>
      <c r="AK2036" s="2">
        <v>23.445325615375001</v>
      </c>
      <c r="AL2036" s="2">
        <v>23.345552631678601</v>
      </c>
      <c r="AM2036" s="2">
        <v>23.638208466377499</v>
      </c>
      <c r="AN2036" s="2">
        <v>23.379861335968499</v>
      </c>
      <c r="AO2036" s="2">
        <v>23.5780377136144</v>
      </c>
      <c r="AP2036" s="2">
        <v>23.532955697936099</v>
      </c>
      <c r="AQ2036" s="2">
        <v>23.489859143028401</v>
      </c>
      <c r="AR2036" s="2">
        <v>23.390451522462801</v>
      </c>
      <c r="AS2036" s="2">
        <v>22.343932877375899</v>
      </c>
      <c r="AT2036" s="2">
        <v>23.743546319142599</v>
      </c>
      <c r="AU2036" s="2">
        <v>23.514508074723899</v>
      </c>
      <c r="AV2036" s="2">
        <v>22.588590788177399</v>
      </c>
      <c r="AW2036" s="2">
        <v>24.2324856605082</v>
      </c>
      <c r="AX2036" s="2">
        <v>22.124831997195301</v>
      </c>
      <c r="AY2036" s="2">
        <v>22.623756198546999</v>
      </c>
      <c r="AZ2036" s="2">
        <v>22.071739051683299</v>
      </c>
      <c r="BA2036" s="2">
        <v>24.084818405458101</v>
      </c>
      <c r="BB2036" s="2">
        <v>23.563042921289</v>
      </c>
      <c r="BC2036" s="2">
        <v>23.8466414738315</v>
      </c>
      <c r="BD2036" s="2">
        <v>23.982500473139801</v>
      </c>
      <c r="BE2036" s="2">
        <v>22.675361603669899</v>
      </c>
      <c r="BF2036" s="2">
        <v>23.046580742841002</v>
      </c>
      <c r="BG2036" s="2">
        <v>23.002350169339799</v>
      </c>
      <c r="BH2036" s="2">
        <v>23.1813096174157</v>
      </c>
      <c r="BI2036" s="2">
        <v>22.752489657221801</v>
      </c>
      <c r="BJ2036" s="2">
        <v>25.402024906749801</v>
      </c>
      <c r="BK2036" s="2">
        <v>24.102291887166899</v>
      </c>
      <c r="BL2036" s="2">
        <v>23.34696482811</v>
      </c>
      <c r="BM2036" s="2">
        <v>23.2078652745925</v>
      </c>
      <c r="BN2036" s="2">
        <v>24.166226419631201</v>
      </c>
      <c r="BO2036" s="2">
        <v>24.0090679494763</v>
      </c>
      <c r="BP2036" s="2">
        <v>20.328393605569602</v>
      </c>
      <c r="BQ2036" s="2">
        <v>23.578515425733698</v>
      </c>
      <c r="BR2036" s="2">
        <v>22.645003846426398</v>
      </c>
      <c r="BS2036" s="2">
        <v>22.883000271980698</v>
      </c>
      <c r="BT2036" s="2">
        <v>25.367033033145798</v>
      </c>
      <c r="BU2036" s="2">
        <v>23.936364107426801</v>
      </c>
      <c r="BV2036" s="2">
        <v>23.377120723291</v>
      </c>
      <c r="BW2036" s="2">
        <v>21.7949723823669</v>
      </c>
      <c r="BX2036" s="2">
        <v>23.5441083349614</v>
      </c>
      <c r="BY2036" s="2">
        <v>22.914367712649401</v>
      </c>
      <c r="BZ2036" s="2">
        <v>21.569671867311499</v>
      </c>
      <c r="CA2036" s="2">
        <v>22.936147359847201</v>
      </c>
      <c r="CB2036" s="2">
        <v>21.572350484445298</v>
      </c>
      <c r="CC2036" s="2">
        <v>23.5981724069329</v>
      </c>
      <c r="CD2036" s="2">
        <v>23.842727484635802</v>
      </c>
      <c r="CE2036" s="2">
        <v>23.875890229917299</v>
      </c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</row>
    <row r="2037" spans="1:97">
      <c r="A2037" s="2" t="s">
        <v>17772</v>
      </c>
      <c r="B2037" s="2">
        <v>206.04798</v>
      </c>
      <c r="C2037" s="2">
        <v>1.071</v>
      </c>
      <c r="D2037" s="2" t="s">
        <v>84</v>
      </c>
      <c r="E2037" s="2" t="s">
        <v>17773</v>
      </c>
      <c r="F2037" s="2" t="s">
        <v>17774</v>
      </c>
      <c r="G2037" s="2">
        <v>58754</v>
      </c>
      <c r="H2037" s="3" t="str">
        <f>HYPERLINK("https://cloud.oebiotech.com/#/lm/network/58754", "https://cloud.oebiotech.com/#/lm/network/58754")</f>
        <v>https://cloud.oebiotech.com/#/lm/network/58754</v>
      </c>
      <c r="I2037" s="2" t="s">
        <v>17775</v>
      </c>
      <c r="J2037" s="2">
        <v>90204</v>
      </c>
      <c r="K2037" s="2"/>
      <c r="L2037" s="2">
        <v>20818</v>
      </c>
      <c r="M2037" s="2"/>
      <c r="N2037" s="2"/>
      <c r="O2037" s="2"/>
      <c r="P2037" s="2"/>
      <c r="Q2037" s="2"/>
      <c r="R2037" s="2"/>
      <c r="S2037" s="2"/>
      <c r="T2037" s="2" t="s">
        <v>17776</v>
      </c>
      <c r="U2037" s="2" t="s">
        <v>17777</v>
      </c>
      <c r="V2037" s="2" t="s">
        <v>385</v>
      </c>
      <c r="W2037" s="2" t="s">
        <v>386</v>
      </c>
      <c r="X2037" s="2" t="s">
        <v>375</v>
      </c>
      <c r="Y2037" s="2" t="s">
        <v>388</v>
      </c>
      <c r="Z2037" s="2" t="s">
        <v>389</v>
      </c>
      <c r="AA2037" s="2"/>
      <c r="AB2037" s="2" t="s">
        <v>8443</v>
      </c>
      <c r="AC2037" s="2">
        <v>38.4</v>
      </c>
      <c r="AD2037" s="2">
        <v>91.99</v>
      </c>
      <c r="AE2037" s="2">
        <v>0</v>
      </c>
      <c r="AF2037" s="2" t="s">
        <v>5614</v>
      </c>
      <c r="AG2037" s="2" t="s">
        <v>132</v>
      </c>
      <c r="AH2037" s="2" t="s">
        <v>618</v>
      </c>
      <c r="AI2037" s="2">
        <v>0.97</v>
      </c>
      <c r="AJ2037" s="2">
        <v>20.097423603065799</v>
      </c>
      <c r="AK2037" s="2">
        <v>19.738344071154302</v>
      </c>
      <c r="AL2037" s="2">
        <v>19.794711383959701</v>
      </c>
      <c r="AM2037" s="2">
        <v>19.908451540447398</v>
      </c>
      <c r="AN2037" s="2">
        <v>19.771205972680299</v>
      </c>
      <c r="AO2037" s="2">
        <v>19.931434378017801</v>
      </c>
      <c r="AP2037" s="2">
        <v>19.6426759623014</v>
      </c>
      <c r="AQ2037" s="2">
        <v>19.411645766817902</v>
      </c>
      <c r="AR2037" s="2">
        <v>18.884800218952499</v>
      </c>
      <c r="AS2037" s="2">
        <v>17.5867136609554</v>
      </c>
      <c r="AT2037" s="2">
        <v>19.2008017875451</v>
      </c>
      <c r="AU2037" s="2">
        <v>20.042755337086099</v>
      </c>
      <c r="AV2037" s="2">
        <v>19.982877727097598</v>
      </c>
      <c r="AW2037" s="2">
        <v>19.1639949888526</v>
      </c>
      <c r="AX2037" s="2">
        <v>19.5135413841024</v>
      </c>
      <c r="AY2037" s="2">
        <v>19.924972950674899</v>
      </c>
      <c r="AZ2037" s="2">
        <v>19.6062619316045</v>
      </c>
      <c r="BA2037" s="2">
        <v>19.376850574430101</v>
      </c>
      <c r="BB2037" s="2">
        <v>19.778219519066099</v>
      </c>
      <c r="BC2037" s="2">
        <v>20.069007157220501</v>
      </c>
      <c r="BD2037" s="2">
        <v>19.614405338951101</v>
      </c>
      <c r="BE2037" s="2">
        <v>19.316198057224</v>
      </c>
      <c r="BF2037" s="2">
        <v>20.034788446290001</v>
      </c>
      <c r="BG2037" s="2">
        <v>19.292687221658301</v>
      </c>
      <c r="BH2037" s="2">
        <v>19.522360403180699</v>
      </c>
      <c r="BI2037" s="2">
        <v>20.065102254510101</v>
      </c>
      <c r="BJ2037" s="2">
        <v>19.385118091600798</v>
      </c>
      <c r="BK2037" s="2">
        <v>18.729862805327301</v>
      </c>
      <c r="BL2037" s="2">
        <v>20.134302950040301</v>
      </c>
      <c r="BM2037" s="2">
        <v>20.0765969298401</v>
      </c>
      <c r="BN2037" s="2">
        <v>20.084296870418498</v>
      </c>
      <c r="BO2037" s="2">
        <v>19.311404045625199</v>
      </c>
      <c r="BP2037" s="2">
        <v>19.411685773943098</v>
      </c>
      <c r="BQ2037" s="2">
        <v>19.369355526528199</v>
      </c>
      <c r="BR2037" s="2">
        <v>18.176370987855801</v>
      </c>
      <c r="BS2037" s="2">
        <v>19.9210031208362</v>
      </c>
      <c r="BT2037" s="2">
        <v>19.727453670321701</v>
      </c>
      <c r="BU2037" s="2">
        <v>15.440517532714701</v>
      </c>
      <c r="BV2037" s="2">
        <v>20.432120346611899</v>
      </c>
      <c r="BW2037" s="2">
        <v>19.741497599631099</v>
      </c>
      <c r="BX2037" s="2">
        <v>19.6636683784509</v>
      </c>
      <c r="BY2037" s="2">
        <v>20.058733296547501</v>
      </c>
      <c r="BZ2037" s="2">
        <v>19.004106406854198</v>
      </c>
      <c r="CA2037" s="2">
        <v>20.852878906371402</v>
      </c>
      <c r="CB2037" s="2">
        <v>19.025097484501799</v>
      </c>
      <c r="CC2037" s="2">
        <v>19.5119981064284</v>
      </c>
      <c r="CD2037" s="2">
        <v>19.282912944482501</v>
      </c>
      <c r="CE2037" s="2">
        <v>17.585496382831899</v>
      </c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</row>
    <row r="2038" spans="1:97">
      <c r="A2038" s="2" t="s">
        <v>17778</v>
      </c>
      <c r="B2038" s="2">
        <v>484.43538999999998</v>
      </c>
      <c r="C2038" s="2">
        <v>11.298999999999999</v>
      </c>
      <c r="D2038" s="2" t="s">
        <v>84</v>
      </c>
      <c r="E2038" s="2" t="s">
        <v>17779</v>
      </c>
      <c r="F2038" s="2" t="s">
        <v>17780</v>
      </c>
      <c r="G2038" s="2">
        <v>197500</v>
      </c>
      <c r="H2038" s="3" t="str">
        <f>HYPERLINK("https://cloud.oebiotech.com/#/lm/network/197500", "https://cloud.oebiotech.com/#/lm/network/197500")</f>
        <v>https://cloud.oebiotech.com/#/lm/network/197500</v>
      </c>
      <c r="I2038" s="2" t="s">
        <v>17781</v>
      </c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 t="s">
        <v>17782</v>
      </c>
      <c r="U2038" s="2" t="s">
        <v>17783</v>
      </c>
      <c r="V2038" s="2" t="s">
        <v>95</v>
      </c>
      <c r="W2038" s="2" t="s">
        <v>96</v>
      </c>
      <c r="X2038" s="2" t="s">
        <v>97</v>
      </c>
      <c r="Y2038" s="2" t="s">
        <v>98</v>
      </c>
      <c r="Z2038" s="2" t="s">
        <v>99</v>
      </c>
      <c r="AA2038" s="2" t="s">
        <v>100</v>
      </c>
      <c r="AB2038" s="2" t="s">
        <v>8443</v>
      </c>
      <c r="AC2038" s="2">
        <v>38.4</v>
      </c>
      <c r="AD2038" s="2">
        <v>93.2</v>
      </c>
      <c r="AE2038" s="2">
        <v>0</v>
      </c>
      <c r="AF2038" s="2" t="s">
        <v>17784</v>
      </c>
      <c r="AG2038" s="2" t="s">
        <v>103</v>
      </c>
      <c r="AH2038" s="2" t="s">
        <v>17785</v>
      </c>
      <c r="AI2038" s="2">
        <v>1.24</v>
      </c>
      <c r="AJ2038" s="2">
        <v>19.906802948752802</v>
      </c>
      <c r="AK2038" s="2">
        <v>19.7423690635359</v>
      </c>
      <c r="AL2038" s="2">
        <v>19.8939469091993</v>
      </c>
      <c r="AM2038" s="2">
        <v>19.8568028073413</v>
      </c>
      <c r="AN2038" s="2">
        <v>19.777117824247402</v>
      </c>
      <c r="AO2038" s="2">
        <v>19.805730082359201</v>
      </c>
      <c r="AP2038" s="2">
        <v>19.9724228828685</v>
      </c>
      <c r="AQ2038" s="2">
        <v>19.991558230198901</v>
      </c>
      <c r="AR2038" s="2">
        <v>19.9937709676379</v>
      </c>
      <c r="AS2038" s="2">
        <v>17.630944296038699</v>
      </c>
      <c r="AT2038" s="2">
        <v>19.1731920334466</v>
      </c>
      <c r="AU2038" s="2">
        <v>18.165777667029602</v>
      </c>
      <c r="AV2038" s="2">
        <v>18.832828806835799</v>
      </c>
      <c r="AW2038" s="2">
        <v>18.744449742909399</v>
      </c>
      <c r="AX2038" s="2">
        <v>19.288494694209501</v>
      </c>
      <c r="AY2038" s="2">
        <v>19.334301833707801</v>
      </c>
      <c r="AZ2038" s="2">
        <v>18.526200811867799</v>
      </c>
      <c r="BA2038" s="2">
        <v>19.688608684167299</v>
      </c>
      <c r="BB2038" s="2">
        <v>20.185169507786298</v>
      </c>
      <c r="BC2038" s="2">
        <v>21.2462854114635</v>
      </c>
      <c r="BD2038" s="2">
        <v>19.0598306082052</v>
      </c>
      <c r="BE2038" s="2">
        <v>19.3258097971495</v>
      </c>
      <c r="BF2038" s="2">
        <v>18.648306141542498</v>
      </c>
      <c r="BG2038" s="2">
        <v>16.9114691158466</v>
      </c>
      <c r="BH2038" s="2">
        <v>18.8717673501009</v>
      </c>
      <c r="BI2038" s="2">
        <v>20.119115157956099</v>
      </c>
      <c r="BJ2038" s="2">
        <v>20.577323923376898</v>
      </c>
      <c r="BK2038" s="2">
        <v>18.502103934452499</v>
      </c>
      <c r="BL2038" s="2">
        <v>20.761843221256601</v>
      </c>
      <c r="BM2038" s="2">
        <v>20.147635513874999</v>
      </c>
      <c r="BN2038" s="2">
        <v>19.9672577014715</v>
      </c>
      <c r="BO2038" s="2">
        <v>18.3724311102375</v>
      </c>
      <c r="BP2038" s="2">
        <v>19.455379219551801</v>
      </c>
      <c r="BQ2038" s="2">
        <v>20.599981006130999</v>
      </c>
      <c r="BR2038" s="2">
        <v>19.640561758612801</v>
      </c>
      <c r="BS2038" s="2">
        <v>19.454765163646599</v>
      </c>
      <c r="BT2038" s="2">
        <v>18.837282492493301</v>
      </c>
      <c r="BU2038" s="2">
        <v>19.226957108411401</v>
      </c>
      <c r="BV2038" s="2">
        <v>18.772963013269798</v>
      </c>
      <c r="BW2038" s="2">
        <v>19.249197219133599</v>
      </c>
      <c r="BX2038" s="2">
        <v>20.576256278126699</v>
      </c>
      <c r="BY2038" s="2">
        <v>20.721533239307401</v>
      </c>
      <c r="BZ2038" s="2">
        <v>18.254967232577201</v>
      </c>
      <c r="CA2038" s="2">
        <v>19.191817810631299</v>
      </c>
      <c r="CB2038" s="2">
        <v>16.980288325577799</v>
      </c>
      <c r="CC2038" s="2">
        <v>19.519998178755198</v>
      </c>
      <c r="CD2038" s="2">
        <v>20.6000857557346</v>
      </c>
      <c r="CE2038" s="2">
        <v>18.842339416096902</v>
      </c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</row>
    <row r="2039" spans="1:97">
      <c r="A2039" s="2" t="s">
        <v>17786</v>
      </c>
      <c r="B2039" s="2">
        <v>203.10659999999999</v>
      </c>
      <c r="C2039" s="2">
        <v>2.3889999999999998</v>
      </c>
      <c r="D2039" s="2" t="s">
        <v>84</v>
      </c>
      <c r="E2039" s="2" t="s">
        <v>17787</v>
      </c>
      <c r="F2039" s="2" t="s">
        <v>17788</v>
      </c>
      <c r="G2039" s="2">
        <v>56150</v>
      </c>
      <c r="H2039" s="3" t="str">
        <f>HYPERLINK("https://cloud.oebiotech.com/#/lm/network/56150", "https://cloud.oebiotech.com/#/lm/network/56150")</f>
        <v>https://cloud.oebiotech.com/#/lm/network/56150</v>
      </c>
      <c r="I2039" s="2" t="s">
        <v>17789</v>
      </c>
      <c r="J2039" s="2">
        <v>87843</v>
      </c>
      <c r="K2039" s="2"/>
      <c r="L2039" s="2">
        <v>10878223</v>
      </c>
      <c r="M2039" s="2"/>
      <c r="N2039" s="2"/>
      <c r="O2039" s="2"/>
      <c r="P2039" s="2"/>
      <c r="Q2039" s="2"/>
      <c r="R2039" s="2"/>
      <c r="S2039" s="2"/>
      <c r="T2039" s="2" t="s">
        <v>17790</v>
      </c>
      <c r="U2039" s="2" t="s">
        <v>17791</v>
      </c>
      <c r="V2039" s="2" t="s">
        <v>553</v>
      </c>
      <c r="W2039" s="2" t="s">
        <v>17792</v>
      </c>
      <c r="X2039" s="2" t="s">
        <v>17793</v>
      </c>
      <c r="Y2039" s="2" t="s">
        <v>556</v>
      </c>
      <c r="Z2039" s="2" t="s">
        <v>17794</v>
      </c>
      <c r="AA2039" s="2" t="s">
        <v>17795</v>
      </c>
      <c r="AB2039" s="2" t="s">
        <v>8443</v>
      </c>
      <c r="AC2039" s="2">
        <v>38.39</v>
      </c>
      <c r="AD2039" s="2">
        <v>91.96</v>
      </c>
      <c r="AE2039" s="2">
        <v>0</v>
      </c>
      <c r="AF2039" s="2" t="s">
        <v>5614</v>
      </c>
      <c r="AG2039" s="2" t="s">
        <v>103</v>
      </c>
      <c r="AH2039" s="2" t="s">
        <v>17796</v>
      </c>
      <c r="AI2039" s="2">
        <v>0.49</v>
      </c>
      <c r="AJ2039" s="2">
        <v>19.605612804066599</v>
      </c>
      <c r="AK2039" s="2">
        <v>19.455556155478799</v>
      </c>
      <c r="AL2039" s="2">
        <v>18.7637803472951</v>
      </c>
      <c r="AM2039" s="2">
        <v>19.116249347274699</v>
      </c>
      <c r="AN2039" s="2">
        <v>19.042087206426999</v>
      </c>
      <c r="AO2039" s="2">
        <v>19.5385108071765</v>
      </c>
      <c r="AP2039" s="2">
        <v>19.225471510447399</v>
      </c>
      <c r="AQ2039" s="2">
        <v>19.4050287689649</v>
      </c>
      <c r="AR2039" s="2">
        <v>19.356675804950498</v>
      </c>
      <c r="AS2039" s="2">
        <v>19.4319704254697</v>
      </c>
      <c r="AT2039" s="2">
        <v>19.511740514172502</v>
      </c>
      <c r="AU2039" s="2">
        <v>19.4830281035666</v>
      </c>
      <c r="AV2039" s="2">
        <v>19.2166707000851</v>
      </c>
      <c r="AW2039" s="2">
        <v>19.378146275263301</v>
      </c>
      <c r="AX2039" s="2">
        <v>19.623895882321801</v>
      </c>
      <c r="AY2039" s="2">
        <v>19.668373490253099</v>
      </c>
      <c r="AZ2039" s="2">
        <v>19.5681364158735</v>
      </c>
      <c r="BA2039" s="2">
        <v>19.383363631863801</v>
      </c>
      <c r="BB2039" s="2">
        <v>19.4580886134795</v>
      </c>
      <c r="BC2039" s="2">
        <v>19.539772850656099</v>
      </c>
      <c r="BD2039" s="2">
        <v>19.563993964866601</v>
      </c>
      <c r="BE2039" s="2">
        <v>19.5484093424039</v>
      </c>
      <c r="BF2039" s="2">
        <v>19.5061291472121</v>
      </c>
      <c r="BG2039" s="2">
        <v>19.604118572865499</v>
      </c>
      <c r="BH2039" s="2">
        <v>19.568552063395899</v>
      </c>
      <c r="BI2039" s="2">
        <v>19.006133164562101</v>
      </c>
      <c r="BJ2039" s="2">
        <v>19.680835494241499</v>
      </c>
      <c r="BK2039" s="2">
        <v>19.313437518391201</v>
      </c>
      <c r="BL2039" s="2">
        <v>19.676852307935899</v>
      </c>
      <c r="BM2039" s="2">
        <v>18.6203934637769</v>
      </c>
      <c r="BN2039" s="2">
        <v>19.132664920199801</v>
      </c>
      <c r="BO2039" s="2">
        <v>19.441997899161102</v>
      </c>
      <c r="BP2039" s="2">
        <v>19.495607944048199</v>
      </c>
      <c r="BQ2039" s="2">
        <v>19.529824072291401</v>
      </c>
      <c r="BR2039" s="2">
        <v>19.461378703718601</v>
      </c>
      <c r="BS2039" s="2">
        <v>19.333718137982601</v>
      </c>
      <c r="BT2039" s="2">
        <v>19.506423851547499</v>
      </c>
      <c r="BU2039" s="2">
        <v>19.409355817257602</v>
      </c>
      <c r="BV2039" s="2">
        <v>19.193573196722099</v>
      </c>
      <c r="BW2039" s="2">
        <v>19.444900170050101</v>
      </c>
      <c r="BX2039" s="2">
        <v>19.2051179017121</v>
      </c>
      <c r="BY2039" s="2">
        <v>19.650726595364201</v>
      </c>
      <c r="BZ2039" s="2">
        <v>19.404784128105302</v>
      </c>
      <c r="CA2039" s="2">
        <v>19.342545665632802</v>
      </c>
      <c r="CB2039" s="2">
        <v>19.160224450000399</v>
      </c>
      <c r="CC2039" s="2">
        <v>19.460548605557499</v>
      </c>
      <c r="CD2039" s="2">
        <v>19.218983699253201</v>
      </c>
      <c r="CE2039" s="2">
        <v>19.3705342732258</v>
      </c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</row>
    <row r="2040" spans="1:97">
      <c r="A2040" s="2" t="s">
        <v>17797</v>
      </c>
      <c r="B2040" s="2">
        <v>231.065</v>
      </c>
      <c r="C2040" s="2">
        <v>0.627</v>
      </c>
      <c r="D2040" s="2" t="s">
        <v>84</v>
      </c>
      <c r="E2040" s="2" t="s">
        <v>17798</v>
      </c>
      <c r="F2040" s="2" t="s">
        <v>17799</v>
      </c>
      <c r="G2040" s="2">
        <v>62442</v>
      </c>
      <c r="H2040" s="3" t="str">
        <f>HYPERLINK("https://cloud.oebiotech.com/#/lm/network/62442", "https://cloud.oebiotech.com/#/lm/network/62442")</f>
        <v>https://cloud.oebiotech.com/#/lm/network/62442</v>
      </c>
      <c r="I2040" s="2" t="s">
        <v>17800</v>
      </c>
      <c r="J2040" s="2">
        <v>93738</v>
      </c>
      <c r="K2040" s="2"/>
      <c r="L2040" s="2">
        <v>131752560</v>
      </c>
      <c r="M2040" s="2"/>
      <c r="N2040" s="2"/>
      <c r="O2040" s="2"/>
      <c r="P2040" s="2">
        <v>168520</v>
      </c>
      <c r="Q2040" s="2"/>
      <c r="R2040" s="2"/>
      <c r="S2040" s="2" t="s">
        <v>17801</v>
      </c>
      <c r="T2040" s="2" t="s">
        <v>17802</v>
      </c>
      <c r="U2040" s="2" t="s">
        <v>17803</v>
      </c>
      <c r="V2040" s="2" t="s">
        <v>95</v>
      </c>
      <c r="W2040" s="2" t="s">
        <v>96</v>
      </c>
      <c r="X2040" s="2" t="s">
        <v>141</v>
      </c>
      <c r="Y2040" s="2" t="s">
        <v>98</v>
      </c>
      <c r="Z2040" s="2" t="s">
        <v>99</v>
      </c>
      <c r="AA2040" s="2" t="s">
        <v>142</v>
      </c>
      <c r="AB2040" s="2" t="s">
        <v>8443</v>
      </c>
      <c r="AC2040" s="2">
        <v>38.39</v>
      </c>
      <c r="AD2040" s="2">
        <v>91.94</v>
      </c>
      <c r="AE2040" s="2">
        <v>0</v>
      </c>
      <c r="AF2040" s="2" t="s">
        <v>5614</v>
      </c>
      <c r="AG2040" s="2" t="s">
        <v>103</v>
      </c>
      <c r="AH2040" s="2" t="s">
        <v>17804</v>
      </c>
      <c r="AI2040" s="2">
        <v>0.87</v>
      </c>
      <c r="AJ2040" s="2">
        <v>20.587868417928501</v>
      </c>
      <c r="AK2040" s="2">
        <v>20.988301679377901</v>
      </c>
      <c r="AL2040" s="2">
        <v>21.0204535461775</v>
      </c>
      <c r="AM2040" s="2">
        <v>20.861887731505799</v>
      </c>
      <c r="AN2040" s="2">
        <v>20.689757213331699</v>
      </c>
      <c r="AO2040" s="2">
        <v>21.099184668840401</v>
      </c>
      <c r="AP2040" s="2">
        <v>21.228752735705498</v>
      </c>
      <c r="AQ2040" s="2">
        <v>21.2913031258914</v>
      </c>
      <c r="AR2040" s="2">
        <v>20.333911219440701</v>
      </c>
      <c r="AS2040" s="2">
        <v>20.147546743296399</v>
      </c>
      <c r="AT2040" s="2">
        <v>20.497563016488201</v>
      </c>
      <c r="AU2040" s="2">
        <v>20.530040762622001</v>
      </c>
      <c r="AV2040" s="2">
        <v>21.0410561605417</v>
      </c>
      <c r="AW2040" s="2">
        <v>21.188321586123099</v>
      </c>
      <c r="AX2040" s="2">
        <v>20.6158335018687</v>
      </c>
      <c r="AY2040" s="2">
        <v>20.9855168780065</v>
      </c>
      <c r="AZ2040" s="2">
        <v>21.354494489348301</v>
      </c>
      <c r="BA2040" s="2">
        <v>20.7142271182224</v>
      </c>
      <c r="BB2040" s="2">
        <v>21.325173279882701</v>
      </c>
      <c r="BC2040" s="2">
        <v>20.705459582290501</v>
      </c>
      <c r="BD2040" s="2">
        <v>19.0071311562114</v>
      </c>
      <c r="BE2040" s="2">
        <v>20.479983896231602</v>
      </c>
      <c r="BF2040" s="2">
        <v>19.674768070336</v>
      </c>
      <c r="BG2040" s="2">
        <v>20.973702557650899</v>
      </c>
      <c r="BH2040" s="2">
        <v>21.037033109868698</v>
      </c>
      <c r="BI2040" s="2">
        <v>20.4959882010562</v>
      </c>
      <c r="BJ2040" s="2">
        <v>21.231169876338299</v>
      </c>
      <c r="BK2040" s="2">
        <v>20.474668570432101</v>
      </c>
      <c r="BL2040" s="2">
        <v>20.181014978398402</v>
      </c>
      <c r="BM2040" s="2">
        <v>21.519856273086699</v>
      </c>
      <c r="BN2040" s="2">
        <v>21.2488817326571</v>
      </c>
      <c r="BO2040" s="2">
        <v>20.3848941170667</v>
      </c>
      <c r="BP2040" s="2">
        <v>20.260601013119999</v>
      </c>
      <c r="BQ2040" s="2">
        <v>20.654886843633999</v>
      </c>
      <c r="BR2040" s="2">
        <v>21.0318758369927</v>
      </c>
      <c r="BS2040" s="2">
        <v>20.354982212597498</v>
      </c>
      <c r="BT2040" s="2">
        <v>20.4419428427707</v>
      </c>
      <c r="BU2040" s="2">
        <v>20.8271974898216</v>
      </c>
      <c r="BV2040" s="2">
        <v>20.5005662024179</v>
      </c>
      <c r="BW2040" s="2">
        <v>20.2759200120286</v>
      </c>
      <c r="BX2040" s="2">
        <v>21.183391683686899</v>
      </c>
      <c r="BY2040" s="2">
        <v>21.223405161537102</v>
      </c>
      <c r="BZ2040" s="2">
        <v>20.481893193156001</v>
      </c>
      <c r="CA2040" s="2">
        <v>21.3514505980772</v>
      </c>
      <c r="CB2040" s="2">
        <v>20.962811117000999</v>
      </c>
      <c r="CC2040" s="2">
        <v>20.864407006261899</v>
      </c>
      <c r="CD2040" s="2">
        <v>21.5587915294719</v>
      </c>
      <c r="CE2040" s="2">
        <v>20.020911093245399</v>
      </c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</row>
    <row r="2041" spans="1:97">
      <c r="A2041" s="2" t="s">
        <v>17805</v>
      </c>
      <c r="B2041" s="2">
        <v>435.30121000000003</v>
      </c>
      <c r="C2041" s="2">
        <v>8.8149999999999995</v>
      </c>
      <c r="D2041" s="2" t="s">
        <v>84</v>
      </c>
      <c r="E2041" s="2" t="s">
        <v>17806</v>
      </c>
      <c r="F2041" s="2" t="s">
        <v>17807</v>
      </c>
      <c r="G2041" s="2">
        <v>45243</v>
      </c>
      <c r="H2041" s="3" t="str">
        <f>HYPERLINK("https://cloud.oebiotech.com/#/lm/network/45243", "https://cloud.oebiotech.com/#/lm/network/45243")</f>
        <v>https://cloud.oebiotech.com/#/lm/network/45243</v>
      </c>
      <c r="I2041" s="2"/>
      <c r="J2041" s="2"/>
      <c r="K2041" s="2" t="s">
        <v>17808</v>
      </c>
      <c r="L2041" s="2">
        <v>9547323</v>
      </c>
      <c r="M2041" s="2"/>
      <c r="N2041" s="2"/>
      <c r="O2041" s="2"/>
      <c r="P2041" s="2"/>
      <c r="Q2041" s="2"/>
      <c r="R2041" s="2"/>
      <c r="S2041" s="2"/>
      <c r="T2041" s="2" t="s">
        <v>17809</v>
      </c>
      <c r="U2041" s="2" t="s">
        <v>17810</v>
      </c>
      <c r="V2041" s="2" t="s">
        <v>95</v>
      </c>
      <c r="W2041" s="2" t="s">
        <v>152</v>
      </c>
      <c r="X2041" s="2" t="s">
        <v>1484</v>
      </c>
      <c r="Y2041" s="2" t="s">
        <v>98</v>
      </c>
      <c r="Z2041" s="2" t="s">
        <v>154</v>
      </c>
      <c r="AA2041" s="2" t="s">
        <v>1485</v>
      </c>
      <c r="AB2041" s="2" t="s">
        <v>8443</v>
      </c>
      <c r="AC2041" s="2">
        <v>38.380000000000003</v>
      </c>
      <c r="AD2041" s="2">
        <v>98.39</v>
      </c>
      <c r="AE2041" s="2">
        <v>0</v>
      </c>
      <c r="AF2041" s="2" t="s">
        <v>17811</v>
      </c>
      <c r="AG2041" s="2" t="s">
        <v>103</v>
      </c>
      <c r="AH2041" s="2" t="s">
        <v>17812</v>
      </c>
      <c r="AI2041" s="2">
        <v>2.2999999999999998</v>
      </c>
      <c r="AJ2041" s="2">
        <v>26.0841704218386</v>
      </c>
      <c r="AK2041" s="2">
        <v>26.075345334187499</v>
      </c>
      <c r="AL2041" s="2">
        <v>26.082660939654801</v>
      </c>
      <c r="AM2041" s="2">
        <v>26.0787221439939</v>
      </c>
      <c r="AN2041" s="2">
        <v>26.077886782360999</v>
      </c>
      <c r="AO2041" s="2">
        <v>26.0745901048743</v>
      </c>
      <c r="AP2041" s="2">
        <v>26.224383324975999</v>
      </c>
      <c r="AQ2041" s="2">
        <v>26.014054455868699</v>
      </c>
      <c r="AR2041" s="2">
        <v>26.033597781407899</v>
      </c>
      <c r="AS2041" s="2">
        <v>25.822080906539799</v>
      </c>
      <c r="AT2041" s="2">
        <v>25.9501030300118</v>
      </c>
      <c r="AU2041" s="2">
        <v>25.9435325985372</v>
      </c>
      <c r="AV2041" s="2">
        <v>26.1079038615588</v>
      </c>
      <c r="AW2041" s="2">
        <v>25.932904427060201</v>
      </c>
      <c r="AX2041" s="2">
        <v>25.9966818936342</v>
      </c>
      <c r="AY2041" s="2">
        <v>25.936572047560801</v>
      </c>
      <c r="AZ2041" s="2">
        <v>26.061651808398299</v>
      </c>
      <c r="BA2041" s="2">
        <v>26.011280911305999</v>
      </c>
      <c r="BB2041" s="2">
        <v>26.020485154233199</v>
      </c>
      <c r="BC2041" s="2">
        <v>25.981713982238901</v>
      </c>
      <c r="BD2041" s="2">
        <v>26.156712138082401</v>
      </c>
      <c r="BE2041" s="2">
        <v>26.148487979064399</v>
      </c>
      <c r="BF2041" s="2">
        <v>25.872255939377599</v>
      </c>
      <c r="BG2041" s="2">
        <v>26.080522932432199</v>
      </c>
      <c r="BH2041" s="2">
        <v>26.071664402986901</v>
      </c>
      <c r="BI2041" s="2">
        <v>25.344684438084801</v>
      </c>
      <c r="BJ2041" s="2">
        <v>26.0399291667852</v>
      </c>
      <c r="BK2041" s="2">
        <v>25.9939160780687</v>
      </c>
      <c r="BL2041" s="2">
        <v>26.072244077516199</v>
      </c>
      <c r="BM2041" s="2">
        <v>25.961810656009298</v>
      </c>
      <c r="BN2041" s="2">
        <v>25.8588320088617</v>
      </c>
      <c r="BO2041" s="2">
        <v>26.039370880653401</v>
      </c>
      <c r="BP2041" s="2">
        <v>25.989090959077501</v>
      </c>
      <c r="BQ2041" s="2">
        <v>25.910312135742799</v>
      </c>
      <c r="BR2041" s="2">
        <v>25.978033156292799</v>
      </c>
      <c r="BS2041" s="2">
        <v>26.031760202668501</v>
      </c>
      <c r="BT2041" s="2">
        <v>26.077054156958798</v>
      </c>
      <c r="BU2041" s="2">
        <v>26.085748511698402</v>
      </c>
      <c r="BV2041" s="2">
        <v>26.018513965015099</v>
      </c>
      <c r="BW2041" s="2">
        <v>26.0413096610305</v>
      </c>
      <c r="BX2041" s="2">
        <v>25.968757373538299</v>
      </c>
      <c r="BY2041" s="2">
        <v>25.901250190327001</v>
      </c>
      <c r="BZ2041" s="2">
        <v>26.136266550528099</v>
      </c>
      <c r="CA2041" s="2">
        <v>26.061663287691001</v>
      </c>
      <c r="CB2041" s="2">
        <v>26.097158269043</v>
      </c>
      <c r="CC2041" s="2">
        <v>26.0657418973089</v>
      </c>
      <c r="CD2041" s="2">
        <v>26.035674400436701</v>
      </c>
      <c r="CE2041" s="2">
        <v>26.039993621198601</v>
      </c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</row>
    <row r="2042" spans="1:97">
      <c r="A2042" s="2" t="s">
        <v>17813</v>
      </c>
      <c r="B2042" s="2">
        <v>248.16184000000001</v>
      </c>
      <c r="C2042" s="2">
        <v>7.5039999999999996</v>
      </c>
      <c r="D2042" s="2" t="s">
        <v>84</v>
      </c>
      <c r="E2042" s="2" t="s">
        <v>17814</v>
      </c>
      <c r="F2042" s="2" t="s">
        <v>17815</v>
      </c>
      <c r="G2042" s="2">
        <v>198774</v>
      </c>
      <c r="H2042" s="3" t="str">
        <f>HYPERLINK("https://cloud.oebiotech.com/#/lm/network/198774", "https://cloud.oebiotech.com/#/lm/network/198774")</f>
        <v>https://cloud.oebiotech.com/#/lm/network/198774</v>
      </c>
      <c r="I2042" s="2" t="s">
        <v>17816</v>
      </c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 t="s">
        <v>17817</v>
      </c>
      <c r="U2042" s="2" t="s">
        <v>17818</v>
      </c>
      <c r="V2042" s="2" t="s">
        <v>385</v>
      </c>
      <c r="W2042" s="2" t="s">
        <v>8683</v>
      </c>
      <c r="X2042" s="2" t="s">
        <v>375</v>
      </c>
      <c r="Y2042" s="2" t="s">
        <v>388</v>
      </c>
      <c r="Z2042" s="2" t="s">
        <v>8684</v>
      </c>
      <c r="AA2042" s="2"/>
      <c r="AB2042" s="2" t="s">
        <v>8443</v>
      </c>
      <c r="AC2042" s="2">
        <v>38.380000000000003</v>
      </c>
      <c r="AD2042" s="2">
        <v>91.92</v>
      </c>
      <c r="AE2042" s="2">
        <v>0</v>
      </c>
      <c r="AF2042" s="2" t="s">
        <v>5614</v>
      </c>
      <c r="AG2042" s="2" t="s">
        <v>132</v>
      </c>
      <c r="AH2042" s="2" t="s">
        <v>17819</v>
      </c>
      <c r="AI2042" s="2">
        <v>0</v>
      </c>
      <c r="AJ2042" s="2">
        <v>18.955598573940101</v>
      </c>
      <c r="AK2042" s="2">
        <v>18.804862477223999</v>
      </c>
      <c r="AL2042" s="2">
        <v>18.887570874242002</v>
      </c>
      <c r="AM2042" s="2">
        <v>18.7500129593022</v>
      </c>
      <c r="AN2042" s="2">
        <v>18.8066964654721</v>
      </c>
      <c r="AO2042" s="2">
        <v>18.667546860749201</v>
      </c>
      <c r="AP2042" s="2">
        <v>18.5518970638418</v>
      </c>
      <c r="AQ2042" s="2">
        <v>18.884802543709</v>
      </c>
      <c r="AR2042" s="2">
        <v>17.8249317121115</v>
      </c>
      <c r="AS2042" s="2">
        <v>18.269471711192399</v>
      </c>
      <c r="AT2042" s="2">
        <v>18.222667237194901</v>
      </c>
      <c r="AU2042" s="2">
        <v>18.587461174393201</v>
      </c>
      <c r="AV2042" s="2">
        <v>18.455108044253699</v>
      </c>
      <c r="AW2042" s="2">
        <v>18.622770599229099</v>
      </c>
      <c r="AX2042" s="2">
        <v>18.577921262533899</v>
      </c>
      <c r="AY2042" s="2">
        <v>18.247050403282302</v>
      </c>
      <c r="AZ2042" s="2">
        <v>18.283663460200302</v>
      </c>
      <c r="BA2042" s="2">
        <v>18.370873997101299</v>
      </c>
      <c r="BB2042" s="2">
        <v>18.867192816474699</v>
      </c>
      <c r="BC2042" s="2">
        <v>18.624519542032601</v>
      </c>
      <c r="BD2042" s="2">
        <v>18.8703770020911</v>
      </c>
      <c r="BE2042" s="2">
        <v>18.496715476084301</v>
      </c>
      <c r="BF2042" s="2">
        <v>18.153061820817701</v>
      </c>
      <c r="BG2042" s="2">
        <v>18.621625301459101</v>
      </c>
      <c r="BH2042" s="2">
        <v>18.0278743638561</v>
      </c>
      <c r="BI2042" s="2">
        <v>18.194328163670502</v>
      </c>
      <c r="BJ2042" s="2">
        <v>18.513744710585598</v>
      </c>
      <c r="BK2042" s="2">
        <v>18.621473346760201</v>
      </c>
      <c r="BL2042" s="2">
        <v>18.532541455776698</v>
      </c>
      <c r="BM2042" s="2">
        <v>18.632238922673199</v>
      </c>
      <c r="BN2042" s="2">
        <v>18.575208056954502</v>
      </c>
      <c r="BO2042" s="2">
        <v>18.2893827743648</v>
      </c>
      <c r="BP2042" s="2">
        <v>18.9723238410091</v>
      </c>
      <c r="BQ2042" s="2">
        <v>18.7446205846759</v>
      </c>
      <c r="BR2042" s="2">
        <v>18.814458923345299</v>
      </c>
      <c r="BS2042" s="2">
        <v>18.751680233680599</v>
      </c>
      <c r="BT2042" s="2">
        <v>19.270242027543201</v>
      </c>
      <c r="BU2042" s="2">
        <v>18.764695777476199</v>
      </c>
      <c r="BV2042" s="2">
        <v>18.709280571284602</v>
      </c>
      <c r="BW2042" s="2">
        <v>18.669283224010499</v>
      </c>
      <c r="BX2042" s="2">
        <v>18.9586429376883</v>
      </c>
      <c r="BY2042" s="2">
        <v>19.394807630554698</v>
      </c>
      <c r="BZ2042" s="2">
        <v>18.521028454488899</v>
      </c>
      <c r="CA2042" s="2">
        <v>18.4504113295955</v>
      </c>
      <c r="CB2042" s="2">
        <v>18.801130893829399</v>
      </c>
      <c r="CC2042" s="2">
        <v>18.598433956760399</v>
      </c>
      <c r="CD2042" s="2">
        <v>18.419857171536599</v>
      </c>
      <c r="CE2042" s="2">
        <v>18.774005368755301</v>
      </c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</row>
    <row r="2043" spans="1:97">
      <c r="A2043" s="2" t="s">
        <v>17820</v>
      </c>
      <c r="B2043" s="2">
        <v>425.36219999999997</v>
      </c>
      <c r="C2043" s="2">
        <v>12.069000000000001</v>
      </c>
      <c r="D2043" s="2" t="s">
        <v>84</v>
      </c>
      <c r="E2043" s="2" t="s">
        <v>17821</v>
      </c>
      <c r="F2043" s="2" t="s">
        <v>17822</v>
      </c>
      <c r="G2043" s="2">
        <v>8531</v>
      </c>
      <c r="H2043" s="3" t="str">
        <f>HYPERLINK("https://cloud.oebiotech.com/#/lm/network/8531", "https://cloud.oebiotech.com/#/lm/network/8531")</f>
        <v>https://cloud.oebiotech.com/#/lm/network/8531</v>
      </c>
      <c r="I2043" s="2"/>
      <c r="J2043" s="2"/>
      <c r="K2043" s="2" t="s">
        <v>17823</v>
      </c>
      <c r="L2043" s="2"/>
      <c r="M2043" s="2"/>
      <c r="N2043" s="2"/>
      <c r="O2043" s="2"/>
      <c r="P2043" s="2"/>
      <c r="Q2043" s="2"/>
      <c r="R2043" s="2"/>
      <c r="S2043" s="2"/>
      <c r="T2043" s="2" t="s">
        <v>17824</v>
      </c>
      <c r="U2043" s="2" t="s">
        <v>17825</v>
      </c>
      <c r="V2043" s="2" t="s">
        <v>95</v>
      </c>
      <c r="W2043" s="2" t="s">
        <v>96</v>
      </c>
      <c r="X2043" s="2" t="s">
        <v>141</v>
      </c>
      <c r="Y2043" s="2" t="s">
        <v>98</v>
      </c>
      <c r="Z2043" s="2" t="s">
        <v>99</v>
      </c>
      <c r="AA2043" s="2" t="s">
        <v>142</v>
      </c>
      <c r="AB2043" s="2" t="s">
        <v>8443</v>
      </c>
      <c r="AC2043" s="2">
        <v>38.36</v>
      </c>
      <c r="AD2043" s="2">
        <v>91.78</v>
      </c>
      <c r="AE2043" s="2">
        <v>0</v>
      </c>
      <c r="AF2043" s="2" t="s">
        <v>5614</v>
      </c>
      <c r="AG2043" s="2" t="s">
        <v>103</v>
      </c>
      <c r="AH2043" s="2" t="s">
        <v>17826</v>
      </c>
      <c r="AI2043" s="2">
        <v>0.71</v>
      </c>
      <c r="AJ2043" s="2">
        <v>20.379803729568099</v>
      </c>
      <c r="AK2043" s="2">
        <v>20.355195895974301</v>
      </c>
      <c r="AL2043" s="2">
        <v>20.161584844296101</v>
      </c>
      <c r="AM2043" s="2">
        <v>20.218513182472801</v>
      </c>
      <c r="AN2043" s="2">
        <v>20.396575464017101</v>
      </c>
      <c r="AO2043" s="2">
        <v>20.1006987539078</v>
      </c>
      <c r="AP2043" s="2">
        <v>20.0948427647191</v>
      </c>
      <c r="AQ2043" s="2">
        <v>20.134068088840699</v>
      </c>
      <c r="AR2043" s="2">
        <v>20.055846976815499</v>
      </c>
      <c r="AS2043" s="2">
        <v>20.119906796418999</v>
      </c>
      <c r="AT2043" s="2">
        <v>19.564715723310901</v>
      </c>
      <c r="AU2043" s="2">
        <v>19.154356070121601</v>
      </c>
      <c r="AV2043" s="2">
        <v>18.832605490840201</v>
      </c>
      <c r="AW2043" s="2">
        <v>20.7481222890938</v>
      </c>
      <c r="AX2043" s="2">
        <v>18.688251880249101</v>
      </c>
      <c r="AY2043" s="2">
        <v>20.4360430934363</v>
      </c>
      <c r="AZ2043" s="2">
        <v>20.516878573425601</v>
      </c>
      <c r="BA2043" s="2">
        <v>20.5822698138745</v>
      </c>
      <c r="BB2043" s="2">
        <v>19.9841575208515</v>
      </c>
      <c r="BC2043" s="2">
        <v>20.3112512632128</v>
      </c>
      <c r="BD2043" s="2">
        <v>19.5891068552299</v>
      </c>
      <c r="BE2043" s="2">
        <v>21.728453824593</v>
      </c>
      <c r="BF2043" s="2">
        <v>19.599697517740701</v>
      </c>
      <c r="BG2043" s="2">
        <v>20.2227899983003</v>
      </c>
      <c r="BH2043" s="2">
        <v>20.037000992726099</v>
      </c>
      <c r="BI2043" s="2">
        <v>19.4260089626286</v>
      </c>
      <c r="BJ2043" s="2">
        <v>20.7907655243772</v>
      </c>
      <c r="BK2043" s="2">
        <v>19.473079899924201</v>
      </c>
      <c r="BL2043" s="2">
        <v>20.436870728874499</v>
      </c>
      <c r="BM2043" s="2">
        <v>20.529663248729999</v>
      </c>
      <c r="BN2043" s="2">
        <v>19.580226009169799</v>
      </c>
      <c r="BO2043" s="2">
        <v>19.431156473730301</v>
      </c>
      <c r="BP2043" s="2">
        <v>18.965056272631401</v>
      </c>
      <c r="BQ2043" s="2">
        <v>20.023043972041499</v>
      </c>
      <c r="BR2043" s="2">
        <v>18.938507836820001</v>
      </c>
      <c r="BS2043" s="2">
        <v>20.4414957103088</v>
      </c>
      <c r="BT2043" s="2">
        <v>20.637999854839901</v>
      </c>
      <c r="BU2043" s="2">
        <v>20.519776999803</v>
      </c>
      <c r="BV2043" s="2">
        <v>20.142356744422202</v>
      </c>
      <c r="BW2043" s="2">
        <v>19.344549831107798</v>
      </c>
      <c r="BX2043" s="2">
        <v>19.242484838468599</v>
      </c>
      <c r="BY2043" s="2">
        <v>21.8378948223097</v>
      </c>
      <c r="BZ2043" s="2">
        <v>19.759938443841602</v>
      </c>
      <c r="CA2043" s="2">
        <v>19.8636048184248</v>
      </c>
      <c r="CB2043" s="2">
        <v>19.3241613144837</v>
      </c>
      <c r="CC2043" s="2">
        <v>19.1875765343617</v>
      </c>
      <c r="CD2043" s="2">
        <v>20.877191208741401</v>
      </c>
      <c r="CE2043" s="2">
        <v>19.9407855849824</v>
      </c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</row>
    <row r="2044" spans="1:97">
      <c r="A2044" s="2" t="s">
        <v>17827</v>
      </c>
      <c r="B2044" s="2">
        <v>266.10291000000001</v>
      </c>
      <c r="C2044" s="2">
        <v>9.9369999999999994</v>
      </c>
      <c r="D2044" s="2" t="s">
        <v>146</v>
      </c>
      <c r="E2044" s="2" t="s">
        <v>17828</v>
      </c>
      <c r="F2044" s="2" t="s">
        <v>17829</v>
      </c>
      <c r="G2044" s="2">
        <v>198202</v>
      </c>
      <c r="H2044" s="3" t="str">
        <f>HYPERLINK("https://cloud.oebiotech.com/#/lm/network/198202", "https://cloud.oebiotech.com/#/lm/network/198202")</f>
        <v>https://cloud.oebiotech.com/#/lm/network/198202</v>
      </c>
      <c r="I2044" s="2" t="s">
        <v>17830</v>
      </c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 t="s">
        <v>17831</v>
      </c>
      <c r="U2044" s="2" t="s">
        <v>17832</v>
      </c>
      <c r="V2044" s="2" t="s">
        <v>95</v>
      </c>
      <c r="W2044" s="2" t="s">
        <v>96</v>
      </c>
      <c r="X2044" s="2" t="s">
        <v>97</v>
      </c>
      <c r="Y2044" s="2" t="s">
        <v>98</v>
      </c>
      <c r="Z2044" s="2" t="s">
        <v>99</v>
      </c>
      <c r="AA2044" s="2" t="s">
        <v>100</v>
      </c>
      <c r="AB2044" s="2" t="s">
        <v>8443</v>
      </c>
      <c r="AC2044" s="2">
        <v>38.36</v>
      </c>
      <c r="AD2044" s="2">
        <v>91.82</v>
      </c>
      <c r="AE2044" s="2">
        <v>0</v>
      </c>
      <c r="AF2044" s="2" t="s">
        <v>5614</v>
      </c>
      <c r="AG2044" s="2" t="s">
        <v>993</v>
      </c>
      <c r="AH2044" s="2" t="s">
        <v>17833</v>
      </c>
      <c r="AI2044" s="2">
        <v>-0.38</v>
      </c>
      <c r="AJ2044" s="2">
        <v>17.023017269744201</v>
      </c>
      <c r="AK2044" s="2">
        <v>17.221121005786099</v>
      </c>
      <c r="AL2044" s="2">
        <v>17.157476813127701</v>
      </c>
      <c r="AM2044" s="2">
        <v>16.817132563433599</v>
      </c>
      <c r="AN2044" s="2">
        <v>17.2309939601043</v>
      </c>
      <c r="AO2044" s="2">
        <v>16.5007469786641</v>
      </c>
      <c r="AP2044" s="2">
        <v>17.337319189277</v>
      </c>
      <c r="AQ2044" s="2">
        <v>17.464811110216999</v>
      </c>
      <c r="AR2044" s="2">
        <v>16.812466637956401</v>
      </c>
      <c r="AS2044" s="2">
        <v>16.177955348917202</v>
      </c>
      <c r="AT2044" s="2">
        <v>17.270136519062099</v>
      </c>
      <c r="AU2044" s="2">
        <v>17.155008715706298</v>
      </c>
      <c r="AV2044" s="2">
        <v>17.3864158228996</v>
      </c>
      <c r="AW2044" s="2">
        <v>16.089347439613501</v>
      </c>
      <c r="AX2044" s="2">
        <v>15.397250464778599</v>
      </c>
      <c r="AY2044" s="2">
        <v>17.569771592033799</v>
      </c>
      <c r="AZ2044" s="2">
        <v>16.931853271524002</v>
      </c>
      <c r="BA2044" s="2">
        <v>16.738651744484201</v>
      </c>
      <c r="BB2044" s="2">
        <v>16.854819451932499</v>
      </c>
      <c r="BC2044" s="2">
        <v>16.617837762681599</v>
      </c>
      <c r="BD2044" s="2">
        <v>17.176341864110402</v>
      </c>
      <c r="BE2044" s="2">
        <v>16.6105800842113</v>
      </c>
      <c r="BF2044" s="2">
        <v>16.898399332656901</v>
      </c>
      <c r="BG2044" s="2">
        <v>17.094205239914402</v>
      </c>
      <c r="BH2044" s="2">
        <v>16.773835139196699</v>
      </c>
      <c r="BI2044" s="2">
        <v>17.3145473994844</v>
      </c>
      <c r="BJ2044" s="2">
        <v>17.001446020657099</v>
      </c>
      <c r="BK2044" s="2">
        <v>15.7270860489126</v>
      </c>
      <c r="BL2044" s="2">
        <v>17.210064576638501</v>
      </c>
      <c r="BM2044" s="2">
        <v>16.722609840660802</v>
      </c>
      <c r="BN2044" s="2">
        <v>16.918073814609901</v>
      </c>
      <c r="BO2044" s="2">
        <v>17.4670009573736</v>
      </c>
      <c r="BP2044" s="2">
        <v>17.310187347547</v>
      </c>
      <c r="BQ2044" s="2">
        <v>17.155603606351999</v>
      </c>
      <c r="BR2044" s="2">
        <v>17.1651550060072</v>
      </c>
      <c r="BS2044" s="2">
        <v>17.160275816364798</v>
      </c>
      <c r="BT2044" s="2">
        <v>16.895581908917499</v>
      </c>
      <c r="BU2044" s="2">
        <v>17.318884696105201</v>
      </c>
      <c r="BV2044" s="2">
        <v>16.643846609346198</v>
      </c>
      <c r="BW2044" s="2">
        <v>17.349758258151599</v>
      </c>
      <c r="BX2044" s="2">
        <v>17.305857709866601</v>
      </c>
      <c r="BY2044" s="2">
        <v>17.347838642230698</v>
      </c>
      <c r="BZ2044" s="2">
        <v>17.426242720276601</v>
      </c>
      <c r="CA2044" s="2">
        <v>17.104027717100099</v>
      </c>
      <c r="CB2044" s="2">
        <v>17.458707463760501</v>
      </c>
      <c r="CC2044" s="2">
        <v>17.517057038476299</v>
      </c>
      <c r="CD2044" s="2">
        <v>17.015904797323302</v>
      </c>
      <c r="CE2044" s="2">
        <v>17.503288632803802</v>
      </c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</row>
    <row r="2045" spans="1:97">
      <c r="A2045" s="2" t="s">
        <v>17834</v>
      </c>
      <c r="B2045" s="2">
        <v>214.03286</v>
      </c>
      <c r="C2045" s="2">
        <v>4.3310000000000004</v>
      </c>
      <c r="D2045" s="2" t="s">
        <v>146</v>
      </c>
      <c r="E2045" s="2" t="s">
        <v>17835</v>
      </c>
      <c r="F2045" s="2" t="s">
        <v>17836</v>
      </c>
      <c r="G2045" s="2">
        <v>61961</v>
      </c>
      <c r="H2045" s="3" t="str">
        <f>HYPERLINK("https://cloud.oebiotech.com/#/lm/network/61961", "https://cloud.oebiotech.com/#/lm/network/61961")</f>
        <v>https://cloud.oebiotech.com/#/lm/network/61961</v>
      </c>
      <c r="I2045" s="2" t="s">
        <v>17837</v>
      </c>
      <c r="J2045" s="2">
        <v>93257</v>
      </c>
      <c r="K2045" s="2"/>
      <c r="L2045" s="2">
        <v>368117</v>
      </c>
      <c r="M2045" s="2"/>
      <c r="N2045" s="2"/>
      <c r="O2045" s="2"/>
      <c r="P2045" s="2"/>
      <c r="Q2045" s="2"/>
      <c r="R2045" s="2"/>
      <c r="S2045" s="2" t="s">
        <v>17838</v>
      </c>
      <c r="T2045" s="2" t="s">
        <v>17839</v>
      </c>
      <c r="U2045" s="2" t="s">
        <v>17840</v>
      </c>
      <c r="V2045" s="2" t="s">
        <v>553</v>
      </c>
      <c r="W2045" s="2" t="s">
        <v>933</v>
      </c>
      <c r="X2045" s="2" t="s">
        <v>3434</v>
      </c>
      <c r="Y2045" s="2" t="s">
        <v>556</v>
      </c>
      <c r="Z2045" s="2" t="s">
        <v>935</v>
      </c>
      <c r="AA2045" s="2" t="s">
        <v>3435</v>
      </c>
      <c r="AB2045" s="2" t="s">
        <v>8443</v>
      </c>
      <c r="AC2045" s="2">
        <v>38.35</v>
      </c>
      <c r="AD2045" s="2">
        <v>91.75</v>
      </c>
      <c r="AE2045" s="2">
        <v>0</v>
      </c>
      <c r="AF2045" s="2" t="s">
        <v>17841</v>
      </c>
      <c r="AG2045" s="2" t="s">
        <v>993</v>
      </c>
      <c r="AH2045" s="2" t="s">
        <v>17842</v>
      </c>
      <c r="AI2045" s="2">
        <v>-0.93</v>
      </c>
      <c r="AJ2045" s="2">
        <v>22.892141325799699</v>
      </c>
      <c r="AK2045" s="2">
        <v>22.959238216062499</v>
      </c>
      <c r="AL2045" s="2">
        <v>22.824851274332801</v>
      </c>
      <c r="AM2045" s="2">
        <v>23.0326484883958</v>
      </c>
      <c r="AN2045" s="2">
        <v>22.9174415657662</v>
      </c>
      <c r="AO2045" s="2">
        <v>22.841960313958499</v>
      </c>
      <c r="AP2045" s="2">
        <v>22.758035478356899</v>
      </c>
      <c r="AQ2045" s="2">
        <v>22.901547937714501</v>
      </c>
      <c r="AR2045" s="2">
        <v>21.8386063623308</v>
      </c>
      <c r="AS2045" s="2">
        <v>21.510215203085899</v>
      </c>
      <c r="AT2045" s="2">
        <v>22.440797257095898</v>
      </c>
      <c r="AU2045" s="2">
        <v>22.0001215384594</v>
      </c>
      <c r="AV2045" s="2">
        <v>22.615337158824801</v>
      </c>
      <c r="AW2045" s="2">
        <v>22.7272016107589</v>
      </c>
      <c r="AX2045" s="2">
        <v>22.8344309433589</v>
      </c>
      <c r="AY2045" s="2">
        <v>22.781023075561599</v>
      </c>
      <c r="AZ2045" s="2">
        <v>21.964971902499101</v>
      </c>
      <c r="BA2045" s="2">
        <v>22.050447641778302</v>
      </c>
      <c r="BB2045" s="2">
        <v>23.217735730140301</v>
      </c>
      <c r="BC2045" s="2">
        <v>23.791529764396198</v>
      </c>
      <c r="BD2045" s="2">
        <v>22.5838642326875</v>
      </c>
      <c r="BE2045" s="2">
        <v>23.394760292827101</v>
      </c>
      <c r="BF2045" s="2">
        <v>22.8440216433277</v>
      </c>
      <c r="BG2045" s="2">
        <v>23.3561085372273</v>
      </c>
      <c r="BH2045" s="2">
        <v>22.847124849610999</v>
      </c>
      <c r="BI2045" s="2">
        <v>22.8516957842407</v>
      </c>
      <c r="BJ2045" s="2">
        <v>22.8157845289773</v>
      </c>
      <c r="BK2045" s="2">
        <v>22.300024078046501</v>
      </c>
      <c r="BL2045" s="2">
        <v>22.624744370719199</v>
      </c>
      <c r="BM2045" s="2">
        <v>23.1450661448315</v>
      </c>
      <c r="BN2045" s="2">
        <v>22.714952167194301</v>
      </c>
      <c r="BO2045" s="2">
        <v>22.390270117616001</v>
      </c>
      <c r="BP2045" s="2">
        <v>22.650161507930001</v>
      </c>
      <c r="BQ2045" s="2">
        <v>22.622720186214899</v>
      </c>
      <c r="BR2045" s="2">
        <v>22.538047693495098</v>
      </c>
      <c r="BS2045" s="2">
        <v>22.427476472853002</v>
      </c>
      <c r="BT2045" s="2">
        <v>21.886758001815199</v>
      </c>
      <c r="BU2045" s="2">
        <v>22.216875842411401</v>
      </c>
      <c r="BV2045" s="2">
        <v>23.085695908177001</v>
      </c>
      <c r="BW2045" s="2">
        <v>22.591742178853</v>
      </c>
      <c r="BX2045" s="2">
        <v>22.6146058522157</v>
      </c>
      <c r="BY2045" s="2">
        <v>22.994018638357201</v>
      </c>
      <c r="BZ2045" s="2">
        <v>22.685286520850099</v>
      </c>
      <c r="CA2045" s="2">
        <v>23.370050183336801</v>
      </c>
      <c r="CB2045" s="2">
        <v>22.683235571051998</v>
      </c>
      <c r="CC2045" s="2">
        <v>22.816501801265002</v>
      </c>
      <c r="CD2045" s="2">
        <v>22.9837087234264</v>
      </c>
      <c r="CE2045" s="2">
        <v>23.021963398786099</v>
      </c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</row>
    <row r="2046" spans="1:97">
      <c r="A2046" s="2" t="s">
        <v>17843</v>
      </c>
      <c r="B2046" s="2">
        <v>525.26975000000004</v>
      </c>
      <c r="C2046" s="2">
        <v>5.8529999999999998</v>
      </c>
      <c r="D2046" s="2" t="s">
        <v>146</v>
      </c>
      <c r="E2046" s="2" t="s">
        <v>17844</v>
      </c>
      <c r="F2046" s="2"/>
      <c r="G2046" s="2">
        <v>595949</v>
      </c>
      <c r="H2046" s="3" t="str">
        <f>HYPERLINK("https://cloud.oebiotech.com/#/lm/network/595949", "https://cloud.oebiotech.com/#/lm/network/595949")</f>
        <v>https://cloud.oebiotech.com/#/lm/network/595949</v>
      </c>
      <c r="I2046" s="2"/>
      <c r="J2046" s="2"/>
      <c r="K2046" s="2"/>
      <c r="L2046" s="2">
        <v>162907</v>
      </c>
      <c r="M2046" s="2"/>
      <c r="N2046" s="2"/>
      <c r="O2046" s="2"/>
      <c r="P2046" s="2"/>
      <c r="Q2046" s="2"/>
      <c r="R2046" s="2"/>
      <c r="S2046" s="2"/>
      <c r="T2046" s="2" t="s">
        <v>17845</v>
      </c>
      <c r="U2046" s="2" t="s">
        <v>17846</v>
      </c>
      <c r="V2046" s="2" t="s">
        <v>95</v>
      </c>
      <c r="W2046" s="2" t="s">
        <v>180</v>
      </c>
      <c r="X2046" s="2" t="s">
        <v>2714</v>
      </c>
      <c r="Y2046" s="2" t="s">
        <v>98</v>
      </c>
      <c r="Z2046" s="2" t="s">
        <v>182</v>
      </c>
      <c r="AA2046" s="2" t="s">
        <v>2715</v>
      </c>
      <c r="AB2046" s="2" t="s">
        <v>8443</v>
      </c>
      <c r="AC2046" s="2">
        <v>38.35</v>
      </c>
      <c r="AD2046" s="2">
        <v>93.38</v>
      </c>
      <c r="AE2046" s="2">
        <v>0</v>
      </c>
      <c r="AF2046" s="2" t="s">
        <v>17847</v>
      </c>
      <c r="AG2046" s="2" t="s">
        <v>157</v>
      </c>
      <c r="AH2046" s="2" t="s">
        <v>17848</v>
      </c>
      <c r="AI2046" s="2">
        <v>1.33</v>
      </c>
      <c r="AJ2046" s="2">
        <v>18.8944857203103</v>
      </c>
      <c r="AK2046" s="2">
        <v>18.898735376254201</v>
      </c>
      <c r="AL2046" s="2">
        <v>18.716366873896</v>
      </c>
      <c r="AM2046" s="2">
        <v>18.829499681005299</v>
      </c>
      <c r="AN2046" s="2">
        <v>18.907069600556198</v>
      </c>
      <c r="AO2046" s="2">
        <v>18.778964901214799</v>
      </c>
      <c r="AP2046" s="2">
        <v>18.773529744216201</v>
      </c>
      <c r="AQ2046" s="2">
        <v>18.857058763348</v>
      </c>
      <c r="AR2046" s="2">
        <v>16.316589485979399</v>
      </c>
      <c r="AS2046" s="2">
        <v>17.452541529293601</v>
      </c>
      <c r="AT2046" s="2">
        <v>19.4255208248365</v>
      </c>
      <c r="AU2046" s="2">
        <v>17.5108037203583</v>
      </c>
      <c r="AV2046" s="2">
        <v>18.927414442121499</v>
      </c>
      <c r="AW2046" s="2">
        <v>19.412967297272498</v>
      </c>
      <c r="AX2046" s="2">
        <v>17.792518022439701</v>
      </c>
      <c r="AY2046" s="2">
        <v>18.679677432560698</v>
      </c>
      <c r="AZ2046" s="2">
        <v>19.100733987466398</v>
      </c>
      <c r="BA2046" s="2">
        <v>17.528946458145001</v>
      </c>
      <c r="BB2046" s="2">
        <v>19.564409188493698</v>
      </c>
      <c r="BC2046" s="2">
        <v>19.582874138709901</v>
      </c>
      <c r="BD2046" s="2">
        <v>17.1040895723802</v>
      </c>
      <c r="BE2046" s="2">
        <v>20.054358010871798</v>
      </c>
      <c r="BF2046" s="2">
        <v>16.1947612782084</v>
      </c>
      <c r="BG2046" s="2">
        <v>19.8063222163508</v>
      </c>
      <c r="BH2046" s="2">
        <v>18.451622164999399</v>
      </c>
      <c r="BI2046" s="2">
        <v>15.646804219669701</v>
      </c>
      <c r="BJ2046" s="2">
        <v>18.809990079210198</v>
      </c>
      <c r="BK2046" s="2">
        <v>17.683192979000701</v>
      </c>
      <c r="BL2046" s="2">
        <v>18.969259020682198</v>
      </c>
      <c r="BM2046" s="2">
        <v>17.296914235787199</v>
      </c>
      <c r="BN2046" s="2">
        <v>18.1137824991795</v>
      </c>
      <c r="BO2046" s="2">
        <v>18.7279415876366</v>
      </c>
      <c r="BP2046" s="2">
        <v>18.9025235915121</v>
      </c>
      <c r="BQ2046" s="2">
        <v>18.3790569538914</v>
      </c>
      <c r="BR2046" s="2">
        <v>18.757847615847201</v>
      </c>
      <c r="BS2046" s="2">
        <v>17.938036424434401</v>
      </c>
      <c r="BT2046" s="2">
        <v>18.5120504567974</v>
      </c>
      <c r="BU2046" s="2">
        <v>18.4012654516157</v>
      </c>
      <c r="BV2046" s="2">
        <v>19.2007891701479</v>
      </c>
      <c r="BW2046" s="2">
        <v>17.9170382218066</v>
      </c>
      <c r="BX2046" s="2">
        <v>17.882497855584599</v>
      </c>
      <c r="BY2046" s="2">
        <v>19.585959490423299</v>
      </c>
      <c r="BZ2046" s="2">
        <v>18.3017090075273</v>
      </c>
      <c r="CA2046" s="2">
        <v>14.827853750161101</v>
      </c>
      <c r="CB2046" s="2">
        <v>18.001677684887799</v>
      </c>
      <c r="CC2046" s="2">
        <v>18.838444176215202</v>
      </c>
      <c r="CD2046" s="2">
        <v>18.084342473441499</v>
      </c>
      <c r="CE2046" s="2">
        <v>18.384677231740799</v>
      </c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</row>
    <row r="2047" spans="1:97">
      <c r="A2047" s="2" t="s">
        <v>17849</v>
      </c>
      <c r="B2047" s="2">
        <v>268.22437000000002</v>
      </c>
      <c r="C2047" s="2">
        <v>6.4740000000000002</v>
      </c>
      <c r="D2047" s="2" t="s">
        <v>84</v>
      </c>
      <c r="E2047" s="2" t="s">
        <v>17850</v>
      </c>
      <c r="F2047" s="2" t="s">
        <v>17851</v>
      </c>
      <c r="G2047" s="2">
        <v>201013</v>
      </c>
      <c r="H2047" s="3" t="str">
        <f>HYPERLINK("https://cloud.oebiotech.com/#/lm/network/201013", "https://cloud.oebiotech.com/#/lm/network/201013")</f>
        <v>https://cloud.oebiotech.com/#/lm/network/201013</v>
      </c>
      <c r="I2047" s="2" t="s">
        <v>17852</v>
      </c>
      <c r="J2047" s="2"/>
      <c r="K2047" s="2"/>
      <c r="L2047" s="2">
        <v>88715</v>
      </c>
      <c r="M2047" s="2"/>
      <c r="N2047" s="2"/>
      <c r="O2047" s="2"/>
      <c r="P2047" s="2"/>
      <c r="Q2047" s="2"/>
      <c r="R2047" s="2"/>
      <c r="S2047" s="2"/>
      <c r="T2047" s="2" t="s">
        <v>17853</v>
      </c>
      <c r="U2047" s="2" t="s">
        <v>17854</v>
      </c>
      <c r="V2047" s="2" t="s">
        <v>553</v>
      </c>
      <c r="W2047" s="2" t="s">
        <v>17855</v>
      </c>
      <c r="X2047" s="2" t="s">
        <v>375</v>
      </c>
      <c r="Y2047" s="2" t="s">
        <v>556</v>
      </c>
      <c r="Z2047" s="2" t="s">
        <v>17856</v>
      </c>
      <c r="AA2047" s="2"/>
      <c r="AB2047" s="2" t="s">
        <v>8443</v>
      </c>
      <c r="AC2047" s="2">
        <v>38.33</v>
      </c>
      <c r="AD2047" s="2">
        <v>91.66</v>
      </c>
      <c r="AE2047" s="2">
        <v>0</v>
      </c>
      <c r="AF2047" s="2" t="s">
        <v>17857</v>
      </c>
      <c r="AG2047" s="2" t="s">
        <v>132</v>
      </c>
      <c r="AH2047" s="2" t="s">
        <v>17858</v>
      </c>
      <c r="AI2047" s="2">
        <v>0</v>
      </c>
      <c r="AJ2047" s="2">
        <v>18.5813176651898</v>
      </c>
      <c r="AK2047" s="2">
        <v>18.851954168572298</v>
      </c>
      <c r="AL2047" s="2">
        <v>18.517097803215499</v>
      </c>
      <c r="AM2047" s="2">
        <v>18.614344638714801</v>
      </c>
      <c r="AN2047" s="2">
        <v>18.540186247221801</v>
      </c>
      <c r="AO2047" s="2">
        <v>18.504860332341998</v>
      </c>
      <c r="AP2047" s="2">
        <v>18.5598445133616</v>
      </c>
      <c r="AQ2047" s="2">
        <v>18.531558093028</v>
      </c>
      <c r="AR2047" s="2">
        <v>17.7773249307409</v>
      </c>
      <c r="AS2047" s="2">
        <v>17.719430668973501</v>
      </c>
      <c r="AT2047" s="2">
        <v>18.358426534878401</v>
      </c>
      <c r="AU2047" s="2">
        <v>17.718377547887499</v>
      </c>
      <c r="AV2047" s="2">
        <v>17.521983834667498</v>
      </c>
      <c r="AW2047" s="2">
        <v>17.935787413754401</v>
      </c>
      <c r="AX2047" s="2">
        <v>18.010648187068799</v>
      </c>
      <c r="AY2047" s="2">
        <v>17.776586025369699</v>
      </c>
      <c r="AZ2047" s="2">
        <v>17.317352105656798</v>
      </c>
      <c r="BA2047" s="2">
        <v>17.624200801232899</v>
      </c>
      <c r="BB2047" s="2">
        <v>17.9612066736027</v>
      </c>
      <c r="BC2047" s="2">
        <v>17.529730143978899</v>
      </c>
      <c r="BD2047" s="2">
        <v>18.814844505088299</v>
      </c>
      <c r="BE2047" s="2">
        <v>17.9957855310806</v>
      </c>
      <c r="BF2047" s="2">
        <v>19.106467069397102</v>
      </c>
      <c r="BG2047" s="2">
        <v>18.9187080772701</v>
      </c>
      <c r="BH2047" s="2">
        <v>18.3307257475653</v>
      </c>
      <c r="BI2047" s="2">
        <v>17.738138913642999</v>
      </c>
      <c r="BJ2047" s="2">
        <v>17.714434362566902</v>
      </c>
      <c r="BK2047" s="2">
        <v>18.894752408651598</v>
      </c>
      <c r="BL2047" s="2">
        <v>16.5360566957144</v>
      </c>
      <c r="BM2047" s="2">
        <v>16.421523292469601</v>
      </c>
      <c r="BN2047" s="2">
        <v>17.419231982673001</v>
      </c>
      <c r="BO2047" s="2">
        <v>17.668389609747202</v>
      </c>
      <c r="BP2047" s="2">
        <v>17.9845827309165</v>
      </c>
      <c r="BQ2047" s="2">
        <v>16.310763113725901</v>
      </c>
      <c r="BR2047" s="2">
        <v>17.353450112528499</v>
      </c>
      <c r="BS2047" s="2">
        <v>17.220722275889798</v>
      </c>
      <c r="BT2047" s="2">
        <v>17.589021483036799</v>
      </c>
      <c r="BU2047" s="2">
        <v>16.4872325561984</v>
      </c>
      <c r="BV2047" s="2">
        <v>17.7000375888903</v>
      </c>
      <c r="BW2047" s="2">
        <v>17.062583337003499</v>
      </c>
      <c r="BX2047" s="2">
        <v>17.592720320855499</v>
      </c>
      <c r="BY2047" s="2">
        <v>18.5496280000479</v>
      </c>
      <c r="BZ2047" s="2">
        <v>17.790058640507201</v>
      </c>
      <c r="CA2047" s="2">
        <v>17.648324014240401</v>
      </c>
      <c r="CB2047" s="2">
        <v>17.434898170208299</v>
      </c>
      <c r="CC2047" s="2">
        <v>17.3818374555891</v>
      </c>
      <c r="CD2047" s="2">
        <v>17.664463187550901</v>
      </c>
      <c r="CE2047" s="2">
        <v>17.559075003590699</v>
      </c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</row>
    <row r="2048" spans="1:97">
      <c r="A2048" s="2" t="s">
        <v>17859</v>
      </c>
      <c r="B2048" s="2">
        <v>497.27501999999998</v>
      </c>
      <c r="C2048" s="2">
        <v>7.8620000000000001</v>
      </c>
      <c r="D2048" s="2" t="s">
        <v>146</v>
      </c>
      <c r="E2048" s="2" t="s">
        <v>17860</v>
      </c>
      <c r="F2048" s="2" t="s">
        <v>17861</v>
      </c>
      <c r="G2048" s="2">
        <v>3831</v>
      </c>
      <c r="H2048" s="3" t="str">
        <f>HYPERLINK("https://cloud.oebiotech.com/#/lm/network/3831", "https://cloud.oebiotech.com/#/lm/network/3831")</f>
        <v>https://cloud.oebiotech.com/#/lm/network/3831</v>
      </c>
      <c r="I2048" s="2"/>
      <c r="J2048" s="2"/>
      <c r="K2048" s="2" t="s">
        <v>17862</v>
      </c>
      <c r="L2048" s="2"/>
      <c r="M2048" s="2"/>
      <c r="N2048" s="2"/>
      <c r="O2048" s="2"/>
      <c r="P2048" s="2"/>
      <c r="Q2048" s="2"/>
      <c r="R2048" s="2"/>
      <c r="S2048" s="2"/>
      <c r="T2048" s="2" t="s">
        <v>17863</v>
      </c>
      <c r="U2048" s="2" t="s">
        <v>17864</v>
      </c>
      <c r="V2048" s="2" t="s">
        <v>95</v>
      </c>
      <c r="W2048" s="2" t="s">
        <v>96</v>
      </c>
      <c r="X2048" s="2" t="s">
        <v>3216</v>
      </c>
      <c r="Y2048" s="2" t="s">
        <v>98</v>
      </c>
      <c r="Z2048" s="2" t="s">
        <v>99</v>
      </c>
      <c r="AA2048" s="2" t="s">
        <v>3217</v>
      </c>
      <c r="AB2048" s="2" t="s">
        <v>8443</v>
      </c>
      <c r="AC2048" s="2">
        <v>38.33</v>
      </c>
      <c r="AD2048" s="2">
        <v>92.72</v>
      </c>
      <c r="AE2048" s="2">
        <v>0</v>
      </c>
      <c r="AF2048" s="2" t="s">
        <v>17865</v>
      </c>
      <c r="AG2048" s="2" t="s">
        <v>157</v>
      </c>
      <c r="AH2048" s="2" t="s">
        <v>17866</v>
      </c>
      <c r="AI2048" s="2">
        <v>1.21</v>
      </c>
      <c r="AJ2048" s="2">
        <v>18.1835617252353</v>
      </c>
      <c r="AK2048" s="2">
        <v>18.586224952095002</v>
      </c>
      <c r="AL2048" s="2">
        <v>18.7188809324206</v>
      </c>
      <c r="AM2048" s="2">
        <v>18.6060756828713</v>
      </c>
      <c r="AN2048" s="2">
        <v>18.472142331929302</v>
      </c>
      <c r="AO2048" s="2">
        <v>18.484774088903301</v>
      </c>
      <c r="AP2048" s="2">
        <v>18.544777173257099</v>
      </c>
      <c r="AQ2048" s="2">
        <v>18.569798139636202</v>
      </c>
      <c r="AR2048" s="2">
        <v>16.824644061104401</v>
      </c>
      <c r="AS2048" s="2">
        <v>16.5621704129058</v>
      </c>
      <c r="AT2048" s="2">
        <v>18.406696628687101</v>
      </c>
      <c r="AU2048" s="2">
        <v>17.176943895041401</v>
      </c>
      <c r="AV2048" s="2">
        <v>19.177837032203598</v>
      </c>
      <c r="AW2048" s="2">
        <v>19.2209250308747</v>
      </c>
      <c r="AX2048" s="2">
        <v>17.133975006331301</v>
      </c>
      <c r="AY2048" s="2">
        <v>18.594586890921398</v>
      </c>
      <c r="AZ2048" s="2">
        <v>17.1127942926632</v>
      </c>
      <c r="BA2048" s="2">
        <v>17.981689853599899</v>
      </c>
      <c r="BB2048" s="2">
        <v>17.9550478076827</v>
      </c>
      <c r="BC2048" s="2">
        <v>19.603194579419402</v>
      </c>
      <c r="BD2048" s="2">
        <v>17.1466182933829</v>
      </c>
      <c r="BE2048" s="2">
        <v>18.105671664014299</v>
      </c>
      <c r="BF2048" s="2">
        <v>15.9496694316513</v>
      </c>
      <c r="BG2048" s="2">
        <v>18.968465486207698</v>
      </c>
      <c r="BH2048" s="2">
        <v>17.673862376177802</v>
      </c>
      <c r="BI2048" s="2">
        <v>18.742275583043501</v>
      </c>
      <c r="BJ2048" s="2">
        <v>18.752156939604902</v>
      </c>
      <c r="BK2048" s="2">
        <v>18.073472520089599</v>
      </c>
      <c r="BL2048" s="2">
        <v>16.823929812264101</v>
      </c>
      <c r="BM2048" s="2">
        <v>17.481077746032302</v>
      </c>
      <c r="BN2048" s="2">
        <v>18.8653405727535</v>
      </c>
      <c r="BO2048" s="2">
        <v>17.9942191172007</v>
      </c>
      <c r="BP2048" s="2">
        <v>18.276656682629099</v>
      </c>
      <c r="BQ2048" s="2">
        <v>18.908330605181401</v>
      </c>
      <c r="BR2048" s="2">
        <v>17.716712305312502</v>
      </c>
      <c r="BS2048" s="2">
        <v>19.682937421709202</v>
      </c>
      <c r="BT2048" s="2">
        <v>17.851004337510801</v>
      </c>
      <c r="BU2048" s="2">
        <v>18.351272226079001</v>
      </c>
      <c r="BV2048" s="2">
        <v>18.865626959020499</v>
      </c>
      <c r="BW2048" s="2">
        <v>17.638527550272698</v>
      </c>
      <c r="BX2048" s="2">
        <v>17.383389664126099</v>
      </c>
      <c r="BY2048" s="2">
        <v>19.565173311157299</v>
      </c>
      <c r="BZ2048" s="2">
        <v>16.697631550866902</v>
      </c>
      <c r="CA2048" s="2">
        <v>18.089048567283601</v>
      </c>
      <c r="CB2048" s="2">
        <v>19.4256530515331</v>
      </c>
      <c r="CC2048" s="2">
        <v>18.228869315429701</v>
      </c>
      <c r="CD2048" s="2">
        <v>19.212706093269901</v>
      </c>
      <c r="CE2048" s="2">
        <v>17.902637080897598</v>
      </c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</row>
    <row r="2049" spans="1:97">
      <c r="A2049" s="2" t="s">
        <v>17867</v>
      </c>
      <c r="B2049" s="2">
        <v>343.08503999999999</v>
      </c>
      <c r="C2049" s="2">
        <v>5.734</v>
      </c>
      <c r="D2049" s="2" t="s">
        <v>146</v>
      </c>
      <c r="E2049" s="2" t="s">
        <v>17868</v>
      </c>
      <c r="F2049" s="2" t="s">
        <v>17869</v>
      </c>
      <c r="G2049" s="2">
        <v>256995</v>
      </c>
      <c r="H2049" s="3" t="str">
        <f>HYPERLINK("https://cloud.oebiotech.com/#/lm/network/256995", "https://cloud.oebiotech.com/#/lm/network/256995")</f>
        <v>https://cloud.oebiotech.com/#/lm/network/256995</v>
      </c>
      <c r="I2049" s="2" t="s">
        <v>17870</v>
      </c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 t="s">
        <v>17871</v>
      </c>
      <c r="U2049" s="2" t="s">
        <v>17872</v>
      </c>
      <c r="V2049" s="2" t="s">
        <v>845</v>
      </c>
      <c r="W2049" s="2" t="s">
        <v>970</v>
      </c>
      <c r="X2049" s="2" t="s">
        <v>971</v>
      </c>
      <c r="Y2049" s="2" t="s">
        <v>847</v>
      </c>
      <c r="Z2049" s="2" t="s">
        <v>972</v>
      </c>
      <c r="AA2049" s="2" t="s">
        <v>973</v>
      </c>
      <c r="AB2049" s="2" t="s">
        <v>8443</v>
      </c>
      <c r="AC2049" s="2">
        <v>38.32</v>
      </c>
      <c r="AD2049" s="2">
        <v>88.19</v>
      </c>
      <c r="AE2049" s="2">
        <v>0</v>
      </c>
      <c r="AF2049" s="2" t="s">
        <v>5614</v>
      </c>
      <c r="AG2049" s="2" t="s">
        <v>11755</v>
      </c>
      <c r="AH2049" s="2" t="s">
        <v>17873</v>
      </c>
      <c r="AI2049" s="2">
        <v>-7.87</v>
      </c>
      <c r="AJ2049" s="2">
        <v>17.022014140330199</v>
      </c>
      <c r="AK2049" s="2">
        <v>17.180967112325401</v>
      </c>
      <c r="AL2049" s="2">
        <v>17.114138226193798</v>
      </c>
      <c r="AM2049" s="2">
        <v>16.759107188055701</v>
      </c>
      <c r="AN2049" s="2">
        <v>16.429743607829199</v>
      </c>
      <c r="AO2049" s="2">
        <v>17.084828106826599</v>
      </c>
      <c r="AP2049" s="2">
        <v>16.7174299648158</v>
      </c>
      <c r="AQ2049" s="2">
        <v>17.164805012317402</v>
      </c>
      <c r="AR2049" s="2">
        <v>17.854340275418799</v>
      </c>
      <c r="AS2049" s="2">
        <v>13.439563404923099</v>
      </c>
      <c r="AT2049" s="2">
        <v>14.3733369052469</v>
      </c>
      <c r="AU2049" s="2">
        <v>17.295172350802201</v>
      </c>
      <c r="AV2049" s="2">
        <v>15.9177391870913</v>
      </c>
      <c r="AW2049" s="2">
        <v>17.6914668952389</v>
      </c>
      <c r="AX2049" s="2">
        <v>16.712969177165199</v>
      </c>
      <c r="AY2049" s="2">
        <v>17.832757338354298</v>
      </c>
      <c r="AZ2049" s="2">
        <v>17.373072191253701</v>
      </c>
      <c r="BA2049" s="2">
        <v>15.114367024951999</v>
      </c>
      <c r="BB2049" s="2">
        <v>16.429774985839298</v>
      </c>
      <c r="BC2049" s="2">
        <v>15.523523977002201</v>
      </c>
      <c r="BD2049" s="2">
        <v>16.068587476001898</v>
      </c>
      <c r="BE2049" s="2">
        <v>17.1291440341171</v>
      </c>
      <c r="BF2049" s="2">
        <v>16.0772903642962</v>
      </c>
      <c r="BG2049" s="2">
        <v>15.1368890083242</v>
      </c>
      <c r="BH2049" s="2">
        <v>15.019203681838601</v>
      </c>
      <c r="BI2049" s="2">
        <v>17.089135229560402</v>
      </c>
      <c r="BJ2049" s="2">
        <v>17.685296251398299</v>
      </c>
      <c r="BK2049" s="2">
        <v>15.4825792094265</v>
      </c>
      <c r="BL2049" s="2">
        <v>17.0876109734306</v>
      </c>
      <c r="BM2049" s="2">
        <v>17.3960047319339</v>
      </c>
      <c r="BN2049" s="2">
        <v>15.436947027789699</v>
      </c>
      <c r="BO2049" s="2">
        <v>16.268028932161499</v>
      </c>
      <c r="BP2049" s="2">
        <v>15.7165207441004</v>
      </c>
      <c r="BQ2049" s="2">
        <v>18.3525855763551</v>
      </c>
      <c r="BR2049" s="2">
        <v>17.010685116305499</v>
      </c>
      <c r="BS2049" s="2">
        <v>17.7996185120947</v>
      </c>
      <c r="BT2049" s="2">
        <v>17.818083755988098</v>
      </c>
      <c r="BU2049" s="2">
        <v>15.085828856435599</v>
      </c>
      <c r="BV2049" s="2">
        <v>16.861588441353799</v>
      </c>
      <c r="BW2049" s="2">
        <v>12.899120860574399</v>
      </c>
      <c r="BX2049" s="2">
        <v>15.449011902777301</v>
      </c>
      <c r="BY2049" s="2">
        <v>17.779666973919799</v>
      </c>
      <c r="BZ2049" s="2">
        <v>15.9531788298564</v>
      </c>
      <c r="CA2049" s="2">
        <v>17.742252257211302</v>
      </c>
      <c r="CB2049" s="2">
        <v>17.0142053299341</v>
      </c>
      <c r="CC2049" s="2">
        <v>16.966649642105299</v>
      </c>
      <c r="CD2049" s="2">
        <v>17.352208903332901</v>
      </c>
      <c r="CE2049" s="2">
        <v>14.2322777598727</v>
      </c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</row>
    <row r="2050" spans="1:97">
      <c r="A2050" s="2" t="s">
        <v>17874</v>
      </c>
      <c r="B2050" s="2">
        <v>96.080960000000005</v>
      </c>
      <c r="C2050" s="2">
        <v>12.744999999999999</v>
      </c>
      <c r="D2050" s="2" t="s">
        <v>84</v>
      </c>
      <c r="E2050" s="2" t="s">
        <v>17875</v>
      </c>
      <c r="F2050" s="2" t="s">
        <v>17876</v>
      </c>
      <c r="G2050" s="2">
        <v>57235</v>
      </c>
      <c r="H2050" s="3" t="str">
        <f>HYPERLINK("https://cloud.oebiotech.com/#/lm/network/57235", "https://cloud.oebiotech.com/#/lm/network/57235")</f>
        <v>https://cloud.oebiotech.com/#/lm/network/57235</v>
      </c>
      <c r="I2050" s="2" t="s">
        <v>17877</v>
      </c>
      <c r="J2050" s="2">
        <v>88872</v>
      </c>
      <c r="K2050" s="2"/>
      <c r="L2050" s="2">
        <v>12265</v>
      </c>
      <c r="M2050" s="2"/>
      <c r="N2050" s="2"/>
      <c r="O2050" s="2"/>
      <c r="P2050" s="2"/>
      <c r="Q2050" s="2"/>
      <c r="R2050" s="2"/>
      <c r="S2050" s="2" t="s">
        <v>17878</v>
      </c>
      <c r="T2050" s="2" t="s">
        <v>17879</v>
      </c>
      <c r="U2050" s="2" t="s">
        <v>17880</v>
      </c>
      <c r="V2050" s="2" t="s">
        <v>553</v>
      </c>
      <c r="W2050" s="2" t="s">
        <v>16180</v>
      </c>
      <c r="X2050" s="2" t="s">
        <v>17881</v>
      </c>
      <c r="Y2050" s="2" t="s">
        <v>556</v>
      </c>
      <c r="Z2050" s="2" t="s">
        <v>16182</v>
      </c>
      <c r="AA2050" s="2" t="s">
        <v>17882</v>
      </c>
      <c r="AB2050" s="2" t="s">
        <v>8443</v>
      </c>
      <c r="AC2050" s="2">
        <v>38.31</v>
      </c>
      <c r="AD2050" s="2">
        <v>96.46</v>
      </c>
      <c r="AE2050" s="2">
        <v>0</v>
      </c>
      <c r="AF2050" s="2" t="s">
        <v>5614</v>
      </c>
      <c r="AG2050" s="2" t="s">
        <v>103</v>
      </c>
      <c r="AH2050" s="2" t="s">
        <v>17883</v>
      </c>
      <c r="AI2050" s="2">
        <v>-1.98</v>
      </c>
      <c r="AJ2050" s="2">
        <v>24.418178818743002</v>
      </c>
      <c r="AK2050" s="2">
        <v>23.926688403881201</v>
      </c>
      <c r="AL2050" s="2">
        <v>25.058715315507801</v>
      </c>
      <c r="AM2050" s="2">
        <v>24.532231850234002</v>
      </c>
      <c r="AN2050" s="2">
        <v>25.174946649521001</v>
      </c>
      <c r="AO2050" s="2">
        <v>24.936517865013101</v>
      </c>
      <c r="AP2050" s="2">
        <v>25.053233775037398</v>
      </c>
      <c r="AQ2050" s="2">
        <v>24.605051698926399</v>
      </c>
      <c r="AR2050" s="2">
        <v>25.075666212047999</v>
      </c>
      <c r="AS2050" s="2">
        <v>25.100689239271901</v>
      </c>
      <c r="AT2050" s="2">
        <v>24.925803679969899</v>
      </c>
      <c r="AU2050" s="2">
        <v>24.778373251167899</v>
      </c>
      <c r="AV2050" s="2">
        <v>25.216728164187899</v>
      </c>
      <c r="AW2050" s="2">
        <v>24.995009332032399</v>
      </c>
      <c r="AX2050" s="2">
        <v>23.7777235228445</v>
      </c>
      <c r="AY2050" s="2">
        <v>25.189511133809699</v>
      </c>
      <c r="AZ2050" s="2">
        <v>25.124406928910901</v>
      </c>
      <c r="BA2050" s="2">
        <v>25.1898606565031</v>
      </c>
      <c r="BB2050" s="2">
        <v>25.0986646423768</v>
      </c>
      <c r="BC2050" s="2">
        <v>24.376081198049299</v>
      </c>
      <c r="BD2050" s="2">
        <v>24.094912817891899</v>
      </c>
      <c r="BE2050" s="2">
        <v>24.698987902529101</v>
      </c>
      <c r="BF2050" s="2">
        <v>24.8441353537659</v>
      </c>
      <c r="BG2050" s="2">
        <v>25.003857206948901</v>
      </c>
      <c r="BH2050" s="2">
        <v>25.080807859806999</v>
      </c>
      <c r="BI2050" s="2">
        <v>23.838981711572899</v>
      </c>
      <c r="BJ2050" s="2">
        <v>25.0839085333944</v>
      </c>
      <c r="BK2050" s="2">
        <v>23.637350782962098</v>
      </c>
      <c r="BL2050" s="2">
        <v>25.0699924032625</v>
      </c>
      <c r="BM2050" s="2">
        <v>25.1760795922686</v>
      </c>
      <c r="BN2050" s="2">
        <v>25.270206739947898</v>
      </c>
      <c r="BO2050" s="2">
        <v>25.111687236861499</v>
      </c>
      <c r="BP2050" s="2">
        <v>25.045863289869899</v>
      </c>
      <c r="BQ2050" s="2">
        <v>23.8342956640073</v>
      </c>
      <c r="BR2050" s="2">
        <v>25.229524880004099</v>
      </c>
      <c r="BS2050" s="2">
        <v>25.1979997432075</v>
      </c>
      <c r="BT2050" s="2">
        <v>23.505764506042201</v>
      </c>
      <c r="BU2050" s="2">
        <v>23.844275036379202</v>
      </c>
      <c r="BV2050" s="2">
        <v>24.162105433257999</v>
      </c>
      <c r="BW2050" s="2">
        <v>25.055471060568799</v>
      </c>
      <c r="BX2050" s="2">
        <v>25.106286339396799</v>
      </c>
      <c r="BY2050" s="2">
        <v>24.9204791517306</v>
      </c>
      <c r="BZ2050" s="2">
        <v>25.037666117524601</v>
      </c>
      <c r="CA2050" s="2">
        <v>25.173390764458901</v>
      </c>
      <c r="CB2050" s="2">
        <v>25.0387181225916</v>
      </c>
      <c r="CC2050" s="2">
        <v>25.003629694028099</v>
      </c>
      <c r="CD2050" s="2">
        <v>25.053597891539798</v>
      </c>
      <c r="CE2050" s="2">
        <v>25.060467965115201</v>
      </c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</row>
    <row r="2051" spans="1:97">
      <c r="A2051" s="2" t="s">
        <v>17884</v>
      </c>
      <c r="B2051" s="2">
        <v>314.02535</v>
      </c>
      <c r="C2051" s="2">
        <v>4.3040000000000003</v>
      </c>
      <c r="D2051" s="2" t="s">
        <v>146</v>
      </c>
      <c r="E2051" s="2" t="s">
        <v>17885</v>
      </c>
      <c r="F2051" s="2" t="s">
        <v>17886</v>
      </c>
      <c r="G2051" s="2">
        <v>205541</v>
      </c>
      <c r="H2051" s="3" t="str">
        <f>HYPERLINK("https://cloud.oebiotech.com/#/lm/network/205541", "https://cloud.oebiotech.com/#/lm/network/205541")</f>
        <v>https://cloud.oebiotech.com/#/lm/network/205541</v>
      </c>
      <c r="I2051" s="2" t="s">
        <v>17887</v>
      </c>
      <c r="J2051" s="2">
        <v>339214</v>
      </c>
      <c r="K2051" s="2"/>
      <c r="L2051" s="2">
        <v>11801</v>
      </c>
      <c r="M2051" s="2"/>
      <c r="N2051" s="2"/>
      <c r="O2051" s="2"/>
      <c r="P2051" s="2">
        <v>51907</v>
      </c>
      <c r="Q2051" s="2"/>
      <c r="R2051" s="2"/>
      <c r="S2051" s="2"/>
      <c r="T2051" s="2" t="s">
        <v>17888</v>
      </c>
      <c r="U2051" s="2" t="s">
        <v>17889</v>
      </c>
      <c r="V2051" s="2" t="s">
        <v>385</v>
      </c>
      <c r="W2051" s="2" t="s">
        <v>4381</v>
      </c>
      <c r="X2051" s="2" t="s">
        <v>10854</v>
      </c>
      <c r="Y2051" s="2" t="s">
        <v>388</v>
      </c>
      <c r="Z2051" s="2" t="s">
        <v>4382</v>
      </c>
      <c r="AA2051" s="2" t="s">
        <v>10855</v>
      </c>
      <c r="AB2051" s="2" t="s">
        <v>8443</v>
      </c>
      <c r="AC2051" s="2">
        <v>38.31</v>
      </c>
      <c r="AD2051" s="2">
        <v>69.86</v>
      </c>
      <c r="AE2051" s="2">
        <v>30.78</v>
      </c>
      <c r="AF2051" s="2" t="s">
        <v>17890</v>
      </c>
      <c r="AG2051" s="2" t="s">
        <v>157</v>
      </c>
      <c r="AH2051" s="2" t="s">
        <v>17891</v>
      </c>
      <c r="AI2051" s="2">
        <v>1.59</v>
      </c>
      <c r="AJ2051" s="2">
        <v>19.280308415179299</v>
      </c>
      <c r="AK2051" s="2">
        <v>19.440826799174101</v>
      </c>
      <c r="AL2051" s="2">
        <v>19.360499610996602</v>
      </c>
      <c r="AM2051" s="2">
        <v>19.372315619069401</v>
      </c>
      <c r="AN2051" s="2">
        <v>19.1158294880127</v>
      </c>
      <c r="AO2051" s="2">
        <v>19.3794731144393</v>
      </c>
      <c r="AP2051" s="2">
        <v>19.180138743772201</v>
      </c>
      <c r="AQ2051" s="2">
        <v>19.274829880278201</v>
      </c>
      <c r="AR2051" s="2">
        <v>19.586939267348502</v>
      </c>
      <c r="AS2051" s="2">
        <v>17.310874920807102</v>
      </c>
      <c r="AT2051" s="2">
        <v>12.789138276057299</v>
      </c>
      <c r="AU2051" s="2">
        <v>17.643171592555301</v>
      </c>
      <c r="AV2051" s="2">
        <v>20.204634793262802</v>
      </c>
      <c r="AW2051" s="2">
        <v>16.1938404536224</v>
      </c>
      <c r="AX2051" s="2">
        <v>13.9067900918674</v>
      </c>
      <c r="AY2051" s="2">
        <v>20.073443296125902</v>
      </c>
      <c r="AZ2051" s="2">
        <v>17.461426288494199</v>
      </c>
      <c r="BA2051" s="2">
        <v>17.4939621373215</v>
      </c>
      <c r="BB2051" s="2">
        <v>17.9880113170789</v>
      </c>
      <c r="BC2051" s="2">
        <v>15.1682200300171</v>
      </c>
      <c r="BD2051" s="2">
        <v>18.467297035645501</v>
      </c>
      <c r="BE2051" s="2">
        <v>19.755323472179001</v>
      </c>
      <c r="BF2051" s="2">
        <v>19.041371866189898</v>
      </c>
      <c r="BG2051" s="2">
        <v>18.933947601751498</v>
      </c>
      <c r="BH2051" s="2">
        <v>14.4512568393879</v>
      </c>
      <c r="BI2051" s="2">
        <v>18.389260981067501</v>
      </c>
      <c r="BJ2051" s="2">
        <v>17.605130782173099</v>
      </c>
      <c r="BK2051" s="2">
        <v>17.721911170548999</v>
      </c>
      <c r="BL2051" s="2">
        <v>19.211709286542899</v>
      </c>
      <c r="BM2051" s="2">
        <v>18.957234022527398</v>
      </c>
      <c r="BN2051" s="2">
        <v>17.7779715397632</v>
      </c>
      <c r="BO2051" s="2">
        <v>17.356019805404799</v>
      </c>
      <c r="BP2051" s="2">
        <v>18.5244801169844</v>
      </c>
      <c r="BQ2051" s="2">
        <v>19.277778483868602</v>
      </c>
      <c r="BR2051" s="2">
        <v>15.8383577187452</v>
      </c>
      <c r="BS2051" s="2">
        <v>20.0192193764011</v>
      </c>
      <c r="BT2051" s="2">
        <v>17.278681576090101</v>
      </c>
      <c r="BU2051" s="2">
        <v>20.035323699139699</v>
      </c>
      <c r="BV2051" s="2">
        <v>19.116680479750901</v>
      </c>
      <c r="BW2051" s="2">
        <v>13.3746564362356</v>
      </c>
      <c r="BX2051" s="2">
        <v>18.980001054186801</v>
      </c>
      <c r="BY2051" s="2">
        <v>20.596370123615198</v>
      </c>
      <c r="BZ2051" s="2">
        <v>19.205943697252799</v>
      </c>
      <c r="CA2051" s="2">
        <v>18.749832511274001</v>
      </c>
      <c r="CB2051" s="2">
        <v>19.348609712535598</v>
      </c>
      <c r="CC2051" s="2">
        <v>13.547683820482399</v>
      </c>
      <c r="CD2051" s="2">
        <v>19.255994172330201</v>
      </c>
      <c r="CE2051" s="2">
        <v>16.8929995155687</v>
      </c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</row>
    <row r="2052" spans="1:97">
      <c r="A2052" s="2" t="s">
        <v>17892</v>
      </c>
      <c r="B2052" s="2">
        <v>233.16462999999999</v>
      </c>
      <c r="C2052" s="2">
        <v>6.0620000000000003</v>
      </c>
      <c r="D2052" s="2" t="s">
        <v>84</v>
      </c>
      <c r="E2052" s="2" t="s">
        <v>17893</v>
      </c>
      <c r="F2052" s="2" t="s">
        <v>17894</v>
      </c>
      <c r="G2052" s="2">
        <v>82589</v>
      </c>
      <c r="H2052" s="3" t="str">
        <f>HYPERLINK("https://cloud.oebiotech.com/#/lm/network/82589", "https://cloud.oebiotech.com/#/lm/network/82589")</f>
        <v>https://cloud.oebiotech.com/#/lm/network/82589</v>
      </c>
      <c r="I2052" s="2" t="s">
        <v>17895</v>
      </c>
      <c r="J2052" s="2">
        <v>2385</v>
      </c>
      <c r="K2052" s="2"/>
      <c r="L2052" s="2">
        <v>115282</v>
      </c>
      <c r="M2052" s="2" t="s">
        <v>17896</v>
      </c>
      <c r="N2052" s="2"/>
      <c r="O2052" s="2"/>
      <c r="P2052" s="2"/>
      <c r="Q2052" s="2"/>
      <c r="R2052" s="2"/>
      <c r="S2052" s="2" t="s">
        <v>17897</v>
      </c>
      <c r="T2052" s="2" t="s">
        <v>17898</v>
      </c>
      <c r="U2052" s="2" t="s">
        <v>17899</v>
      </c>
      <c r="V2052" s="2" t="s">
        <v>115</v>
      </c>
      <c r="W2052" s="2" t="s">
        <v>116</v>
      </c>
      <c r="X2052" s="2" t="s">
        <v>117</v>
      </c>
      <c r="Y2052" s="2" t="s">
        <v>118</v>
      </c>
      <c r="Z2052" s="2" t="s">
        <v>119</v>
      </c>
      <c r="AA2052" s="2" t="s">
        <v>120</v>
      </c>
      <c r="AB2052" s="2" t="s">
        <v>8443</v>
      </c>
      <c r="AC2052" s="2">
        <v>38.31</v>
      </c>
      <c r="AD2052" s="2">
        <v>91.57</v>
      </c>
      <c r="AE2052" s="2">
        <v>0</v>
      </c>
      <c r="AF2052" s="2" t="s">
        <v>5614</v>
      </c>
      <c r="AG2052" s="2" t="s">
        <v>103</v>
      </c>
      <c r="AH2052" s="2" t="s">
        <v>7124</v>
      </c>
      <c r="AI2052" s="2">
        <v>0.86</v>
      </c>
      <c r="AJ2052" s="2">
        <v>16.870197450320699</v>
      </c>
      <c r="AK2052" s="2">
        <v>17.128919479621899</v>
      </c>
      <c r="AL2052" s="2">
        <v>17.088313617153801</v>
      </c>
      <c r="AM2052" s="2">
        <v>17.3125773993625</v>
      </c>
      <c r="AN2052" s="2">
        <v>17.014978409896301</v>
      </c>
      <c r="AO2052" s="2">
        <v>17.033500326645999</v>
      </c>
      <c r="AP2052" s="2">
        <v>16.968601550084198</v>
      </c>
      <c r="AQ2052" s="2">
        <v>16.987520280886301</v>
      </c>
      <c r="AR2052" s="2">
        <v>16.4454287592383</v>
      </c>
      <c r="AS2052" s="2">
        <v>16.970386010376199</v>
      </c>
      <c r="AT2052" s="2">
        <v>17.1240595014938</v>
      </c>
      <c r="AU2052" s="2">
        <v>17.468671051280701</v>
      </c>
      <c r="AV2052" s="2">
        <v>17.183260761664702</v>
      </c>
      <c r="AW2052" s="2">
        <v>17.125490256916599</v>
      </c>
      <c r="AX2052" s="2">
        <v>17.306155789875501</v>
      </c>
      <c r="AY2052" s="2">
        <v>16.767715957103199</v>
      </c>
      <c r="AZ2052" s="2">
        <v>17.043689292810601</v>
      </c>
      <c r="BA2052" s="2">
        <v>16.7528969971465</v>
      </c>
      <c r="BB2052" s="2">
        <v>17.611662724796702</v>
      </c>
      <c r="BC2052" s="2">
        <v>16.58705669183</v>
      </c>
      <c r="BD2052" s="2">
        <v>16.9328066781591</v>
      </c>
      <c r="BE2052" s="2">
        <v>16.923181337355199</v>
      </c>
      <c r="BF2052" s="2">
        <v>17.273006227365499</v>
      </c>
      <c r="BG2052" s="2">
        <v>16.745840262199302</v>
      </c>
      <c r="BH2052" s="2">
        <v>16.869894654468698</v>
      </c>
      <c r="BI2052" s="2">
        <v>15.132105264088</v>
      </c>
      <c r="BJ2052" s="2">
        <v>17.022872104592601</v>
      </c>
      <c r="BK2052" s="2">
        <v>17.0052607157665</v>
      </c>
      <c r="BL2052" s="2">
        <v>17.327541416838798</v>
      </c>
      <c r="BM2052" s="2">
        <v>17.328455712318199</v>
      </c>
      <c r="BN2052" s="2">
        <v>16.911026071059201</v>
      </c>
      <c r="BO2052" s="2">
        <v>16.9379889127779</v>
      </c>
      <c r="BP2052" s="2">
        <v>17.6444715285763</v>
      </c>
      <c r="BQ2052" s="2">
        <v>16.959515701020599</v>
      </c>
      <c r="BR2052" s="2">
        <v>16.889324399637299</v>
      </c>
      <c r="BS2052" s="2">
        <v>17.1727900121126</v>
      </c>
      <c r="BT2052" s="2">
        <v>15.813671482110401</v>
      </c>
      <c r="BU2052" s="2">
        <v>17.328440635131699</v>
      </c>
      <c r="BV2052" s="2">
        <v>17.1375418472294</v>
      </c>
      <c r="BW2052" s="2">
        <v>16.700731354304601</v>
      </c>
      <c r="BX2052" s="2">
        <v>16.642741615558201</v>
      </c>
      <c r="BY2052" s="2">
        <v>17.003947279248099</v>
      </c>
      <c r="BZ2052" s="2">
        <v>17.282128094228799</v>
      </c>
      <c r="CA2052" s="2">
        <v>16.890937295355101</v>
      </c>
      <c r="CB2052" s="2">
        <v>17.291788720879499</v>
      </c>
      <c r="CC2052" s="2">
        <v>16.901604661150898</v>
      </c>
      <c r="CD2052" s="2">
        <v>16.538899735373398</v>
      </c>
      <c r="CE2052" s="2">
        <v>17.256738874418499</v>
      </c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</row>
    <row r="2053" spans="1:97">
      <c r="A2053" s="2" t="s">
        <v>17900</v>
      </c>
      <c r="B2053" s="2">
        <v>268.11772999999999</v>
      </c>
      <c r="C2053" s="2">
        <v>5.617</v>
      </c>
      <c r="D2053" s="2" t="s">
        <v>84</v>
      </c>
      <c r="E2053" s="2" t="s">
        <v>17901</v>
      </c>
      <c r="F2053" s="2"/>
      <c r="G2053" s="2">
        <v>595436</v>
      </c>
      <c r="H2053" s="3" t="str">
        <f>HYPERLINK("https://cloud.oebiotech.com/#/lm/network/595436", "https://cloud.oebiotech.com/#/lm/network/595436")</f>
        <v>https://cloud.oebiotech.com/#/lm/network/595436</v>
      </c>
      <c r="I2053" s="2"/>
      <c r="J2053" s="2"/>
      <c r="K2053" s="2"/>
      <c r="L2053" s="2">
        <v>95471902</v>
      </c>
      <c r="M2053" s="2"/>
      <c r="N2053" s="2"/>
      <c r="O2053" s="2"/>
      <c r="P2053" s="2"/>
      <c r="Q2053" s="2"/>
      <c r="R2053" s="2"/>
      <c r="S2053" s="2"/>
      <c r="T2053" s="2" t="s">
        <v>17902</v>
      </c>
      <c r="U2053" s="2" t="s">
        <v>17903</v>
      </c>
      <c r="V2053" s="2" t="s">
        <v>115</v>
      </c>
      <c r="W2053" s="2" t="s">
        <v>116</v>
      </c>
      <c r="X2053" s="2" t="s">
        <v>117</v>
      </c>
      <c r="Y2053" s="2" t="s">
        <v>118</v>
      </c>
      <c r="Z2053" s="2" t="s">
        <v>119</v>
      </c>
      <c r="AA2053" s="2" t="s">
        <v>120</v>
      </c>
      <c r="AB2053" s="2" t="s">
        <v>8443</v>
      </c>
      <c r="AC2053" s="2">
        <v>38.299999999999997</v>
      </c>
      <c r="AD2053" s="2">
        <v>92.08</v>
      </c>
      <c r="AE2053" s="2">
        <v>0</v>
      </c>
      <c r="AF2053" s="2" t="s">
        <v>17904</v>
      </c>
      <c r="AG2053" s="2" t="s">
        <v>103</v>
      </c>
      <c r="AH2053" s="2" t="s">
        <v>17905</v>
      </c>
      <c r="AI2053" s="2">
        <v>1.1200000000000001</v>
      </c>
      <c r="AJ2053" s="2">
        <v>17.111300854088601</v>
      </c>
      <c r="AK2053" s="2">
        <v>16.581550148274999</v>
      </c>
      <c r="AL2053" s="2">
        <v>17.204125200039801</v>
      </c>
      <c r="AM2053" s="2">
        <v>17.3054685462074</v>
      </c>
      <c r="AN2053" s="2">
        <v>17.1018106467024</v>
      </c>
      <c r="AO2053" s="2">
        <v>17.077819102389299</v>
      </c>
      <c r="AP2053" s="2">
        <v>17.108911745213099</v>
      </c>
      <c r="AQ2053" s="2">
        <v>17.087830450424701</v>
      </c>
      <c r="AR2053" s="2">
        <v>9.6233145402724691</v>
      </c>
      <c r="AS2053" s="2">
        <v>14.4560026832307</v>
      </c>
      <c r="AT2053" s="2">
        <v>16.719109089826102</v>
      </c>
      <c r="AU2053" s="2">
        <v>9.6233145402724691</v>
      </c>
      <c r="AV2053" s="2">
        <v>16.4782700364776</v>
      </c>
      <c r="AW2053" s="2">
        <v>9.6233145402724691</v>
      </c>
      <c r="AX2053" s="2">
        <v>17.1405977420903</v>
      </c>
      <c r="AY2053" s="2">
        <v>17.230696259146502</v>
      </c>
      <c r="AZ2053" s="2">
        <v>14.0953393270246</v>
      </c>
      <c r="BA2053" s="2">
        <v>17.950545018929201</v>
      </c>
      <c r="BB2053" s="2">
        <v>14.2062718796619</v>
      </c>
      <c r="BC2053" s="2">
        <v>14.4331687675854</v>
      </c>
      <c r="BD2053" s="2">
        <v>9.6233145402724691</v>
      </c>
      <c r="BE2053" s="2">
        <v>18.756459212276098</v>
      </c>
      <c r="BF2053" s="2">
        <v>18.416325913122101</v>
      </c>
      <c r="BG2053" s="2">
        <v>9.6233145402724691</v>
      </c>
      <c r="BH2053" s="2">
        <v>9.6233145402724691</v>
      </c>
      <c r="BI2053" s="2">
        <v>20.834127970376301</v>
      </c>
      <c r="BJ2053" s="2">
        <v>9.6233145402724691</v>
      </c>
      <c r="BK2053" s="2">
        <v>9.6233145402724691</v>
      </c>
      <c r="BL2053" s="2">
        <v>9.6233145402724691</v>
      </c>
      <c r="BM2053" s="2">
        <v>16.871330985226699</v>
      </c>
      <c r="BN2053" s="2">
        <v>14.2661540519721</v>
      </c>
      <c r="BO2053" s="2">
        <v>18.042902548754899</v>
      </c>
      <c r="BP2053" s="2">
        <v>9.6233145402724691</v>
      </c>
      <c r="BQ2053" s="2">
        <v>17.021975006641298</v>
      </c>
      <c r="BR2053" s="2">
        <v>18.584759923039901</v>
      </c>
      <c r="BS2053" s="2">
        <v>15.1460773789365</v>
      </c>
      <c r="BT2053" s="2">
        <v>9.6233145402724691</v>
      </c>
      <c r="BU2053" s="2">
        <v>17.182925799238198</v>
      </c>
      <c r="BV2053" s="2">
        <v>19.014781583495701</v>
      </c>
      <c r="BW2053" s="2">
        <v>9.6233145402724691</v>
      </c>
      <c r="BX2053" s="2">
        <v>16.2051237021847</v>
      </c>
      <c r="BY2053" s="2">
        <v>19.979857201708999</v>
      </c>
      <c r="BZ2053" s="2">
        <v>16.5896246691666</v>
      </c>
      <c r="CA2053" s="2">
        <v>16.387908608094701</v>
      </c>
      <c r="CB2053" s="2">
        <v>9.6233145402724691</v>
      </c>
      <c r="CC2053" s="2">
        <v>18.239949483432898</v>
      </c>
      <c r="CD2053" s="2">
        <v>9.6233145402724691</v>
      </c>
      <c r="CE2053" s="2">
        <v>9.6233145402724691</v>
      </c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</row>
    <row r="2054" spans="1:97">
      <c r="A2054" s="2" t="s">
        <v>17906</v>
      </c>
      <c r="B2054" s="2">
        <v>393.20895999999999</v>
      </c>
      <c r="C2054" s="2">
        <v>4.2789999999999999</v>
      </c>
      <c r="D2054" s="2" t="s">
        <v>84</v>
      </c>
      <c r="E2054" s="2" t="s">
        <v>17907</v>
      </c>
      <c r="F2054" s="2" t="s">
        <v>17908</v>
      </c>
      <c r="G2054" s="2">
        <v>45180</v>
      </c>
      <c r="H2054" s="3" t="str">
        <f>HYPERLINK("https://cloud.oebiotech.com/#/lm/network/45180", "https://cloud.oebiotech.com/#/lm/network/45180")</f>
        <v>https://cloud.oebiotech.com/#/lm/network/45180</v>
      </c>
      <c r="I2054" s="2"/>
      <c r="J2054" s="2"/>
      <c r="K2054" s="2" t="s">
        <v>17909</v>
      </c>
      <c r="L2054" s="2">
        <v>9547268</v>
      </c>
      <c r="M2054" s="2"/>
      <c r="N2054" s="2"/>
      <c r="O2054" s="2"/>
      <c r="P2054" s="2"/>
      <c r="Q2054" s="2"/>
      <c r="R2054" s="2"/>
      <c r="S2054" s="2"/>
      <c r="T2054" s="2" t="s">
        <v>17910</v>
      </c>
      <c r="U2054" s="2" t="s">
        <v>17911</v>
      </c>
      <c r="V2054" s="2" t="s">
        <v>553</v>
      </c>
      <c r="W2054" s="2" t="s">
        <v>16655</v>
      </c>
      <c r="X2054" s="2" t="s">
        <v>375</v>
      </c>
      <c r="Y2054" s="2" t="s">
        <v>556</v>
      </c>
      <c r="Z2054" s="2" t="s">
        <v>16656</v>
      </c>
      <c r="AA2054" s="2"/>
      <c r="AB2054" s="2" t="s">
        <v>8443</v>
      </c>
      <c r="AC2054" s="2">
        <v>38.299999999999997</v>
      </c>
      <c r="AD2054" s="2">
        <v>91.61</v>
      </c>
      <c r="AE2054" s="2">
        <v>0</v>
      </c>
      <c r="AF2054" s="2" t="s">
        <v>17912</v>
      </c>
      <c r="AG2054" s="2" t="s">
        <v>103</v>
      </c>
      <c r="AH2054" s="2" t="s">
        <v>17913</v>
      </c>
      <c r="AI2054" s="2">
        <v>1.02</v>
      </c>
      <c r="AJ2054" s="2">
        <v>22.111588562307301</v>
      </c>
      <c r="AK2054" s="2">
        <v>21.923553556247199</v>
      </c>
      <c r="AL2054" s="2">
        <v>21.997237351460999</v>
      </c>
      <c r="AM2054" s="2">
        <v>22.302005222834499</v>
      </c>
      <c r="AN2054" s="2">
        <v>21.951581965533698</v>
      </c>
      <c r="AO2054" s="2">
        <v>22.217983314208499</v>
      </c>
      <c r="AP2054" s="2">
        <v>21.933243006210699</v>
      </c>
      <c r="AQ2054" s="2">
        <v>22.135384452171699</v>
      </c>
      <c r="AR2054" s="2">
        <v>20.649449697184298</v>
      </c>
      <c r="AS2054" s="2">
        <v>21.017691635001501</v>
      </c>
      <c r="AT2054" s="2">
        <v>22.275751159526099</v>
      </c>
      <c r="AU2054" s="2">
        <v>22.476296710492001</v>
      </c>
      <c r="AV2054" s="2">
        <v>22.184217036716198</v>
      </c>
      <c r="AW2054" s="2">
        <v>22.5008932872725</v>
      </c>
      <c r="AX2054" s="2">
        <v>22.1164648407767</v>
      </c>
      <c r="AY2054" s="2">
        <v>22.278748650110199</v>
      </c>
      <c r="AZ2054" s="2">
        <v>21.2888876295596</v>
      </c>
      <c r="BA2054" s="2">
        <v>21.740412968498401</v>
      </c>
      <c r="BB2054" s="2">
        <v>20.245561073643501</v>
      </c>
      <c r="BC2054" s="2">
        <v>20.294491711527002</v>
      </c>
      <c r="BD2054" s="2">
        <v>22.646188875207699</v>
      </c>
      <c r="BE2054" s="2">
        <v>22.773388792705902</v>
      </c>
      <c r="BF2054" s="2">
        <v>22.6106799538777</v>
      </c>
      <c r="BG2054" s="2">
        <v>20.1377392270429</v>
      </c>
      <c r="BH2054" s="2">
        <v>22.354950197702799</v>
      </c>
      <c r="BI2054" s="2">
        <v>22.326185762341002</v>
      </c>
      <c r="BJ2054" s="2">
        <v>20.194367832771999</v>
      </c>
      <c r="BK2054" s="2">
        <v>22.426616947537099</v>
      </c>
      <c r="BL2054" s="2">
        <v>22.429044194948499</v>
      </c>
      <c r="BM2054" s="2">
        <v>23.332281115918502</v>
      </c>
      <c r="BN2054" s="2">
        <v>22.4135372474794</v>
      </c>
      <c r="BO2054" s="2">
        <v>21.599312108610398</v>
      </c>
      <c r="BP2054" s="2">
        <v>22.2271514487738</v>
      </c>
      <c r="BQ2054" s="2">
        <v>22.427709478869701</v>
      </c>
      <c r="BR2054" s="2">
        <v>20.351127793256602</v>
      </c>
      <c r="BS2054" s="2">
        <v>23.184408593447898</v>
      </c>
      <c r="BT2054" s="2">
        <v>20.747002148060101</v>
      </c>
      <c r="BU2054" s="2">
        <v>22.3743356409732</v>
      </c>
      <c r="BV2054" s="2">
        <v>20.374436393004299</v>
      </c>
      <c r="BW2054" s="2">
        <v>20.312820495717698</v>
      </c>
      <c r="BX2054" s="2">
        <v>22.628985053019601</v>
      </c>
      <c r="BY2054" s="2">
        <v>23.071125273395399</v>
      </c>
      <c r="BZ2054" s="2">
        <v>20.420628480923298</v>
      </c>
      <c r="CA2054" s="2">
        <v>23.168889049434</v>
      </c>
      <c r="CB2054" s="2">
        <v>20.836524102429699</v>
      </c>
      <c r="CC2054" s="2">
        <v>21.380314414488002</v>
      </c>
      <c r="CD2054" s="2">
        <v>22.672290432202701</v>
      </c>
      <c r="CE2054" s="2">
        <v>22.784114467775801</v>
      </c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</row>
    <row r="2055" spans="1:97">
      <c r="A2055" s="2" t="s">
        <v>17914</v>
      </c>
      <c r="B2055" s="2">
        <v>303.17741000000001</v>
      </c>
      <c r="C2055" s="2">
        <v>4.7560000000000002</v>
      </c>
      <c r="D2055" s="2" t="s">
        <v>84</v>
      </c>
      <c r="E2055" s="2" t="s">
        <v>17915</v>
      </c>
      <c r="F2055" s="2" t="s">
        <v>17916</v>
      </c>
      <c r="G2055" s="2">
        <v>53762</v>
      </c>
      <c r="H2055" s="3" t="str">
        <f>HYPERLINK("https://cloud.oebiotech.com/#/lm/network/53762", "https://cloud.oebiotech.com/#/lm/network/53762")</f>
        <v>https://cloud.oebiotech.com/#/lm/network/53762</v>
      </c>
      <c r="I2055" s="2" t="s">
        <v>17917</v>
      </c>
      <c r="J2055" s="2">
        <v>85638</v>
      </c>
      <c r="K2055" s="2"/>
      <c r="L2055" s="2">
        <v>131750732</v>
      </c>
      <c r="M2055" s="2"/>
      <c r="N2055" s="2"/>
      <c r="O2055" s="2"/>
      <c r="P2055" s="2">
        <v>174899</v>
      </c>
      <c r="Q2055" s="2"/>
      <c r="R2055" s="2"/>
      <c r="S2055" s="2"/>
      <c r="T2055" s="2" t="s">
        <v>17918</v>
      </c>
      <c r="U2055" s="2" t="s">
        <v>17919</v>
      </c>
      <c r="V2055" s="2" t="s">
        <v>115</v>
      </c>
      <c r="W2055" s="2" t="s">
        <v>116</v>
      </c>
      <c r="X2055" s="2" t="s">
        <v>117</v>
      </c>
      <c r="Y2055" s="2" t="s">
        <v>118</v>
      </c>
      <c r="Z2055" s="2" t="s">
        <v>119</v>
      </c>
      <c r="AA2055" s="2" t="s">
        <v>120</v>
      </c>
      <c r="AB2055" s="2" t="s">
        <v>8443</v>
      </c>
      <c r="AC2055" s="2">
        <v>38.299999999999997</v>
      </c>
      <c r="AD2055" s="2">
        <v>91.51</v>
      </c>
      <c r="AE2055" s="2">
        <v>0</v>
      </c>
      <c r="AF2055" s="2" t="s">
        <v>5614</v>
      </c>
      <c r="AG2055" s="2" t="s">
        <v>103</v>
      </c>
      <c r="AH2055" s="2" t="s">
        <v>17920</v>
      </c>
      <c r="AI2055" s="2">
        <v>0.33</v>
      </c>
      <c r="AJ2055" s="2">
        <v>18.626336211923299</v>
      </c>
      <c r="AK2055" s="2">
        <v>18.7101505324915</v>
      </c>
      <c r="AL2055" s="2">
        <v>18.584587777536498</v>
      </c>
      <c r="AM2055" s="2">
        <v>18.448681240123801</v>
      </c>
      <c r="AN2055" s="2">
        <v>18.470864026034999</v>
      </c>
      <c r="AO2055" s="2">
        <v>18.381465809142998</v>
      </c>
      <c r="AP2055" s="2">
        <v>18.417199173081801</v>
      </c>
      <c r="AQ2055" s="2">
        <v>18.18961292158</v>
      </c>
      <c r="AR2055" s="2">
        <v>20.177879529064299</v>
      </c>
      <c r="AS2055" s="2">
        <v>21.9127068021361</v>
      </c>
      <c r="AT2055" s="2">
        <v>21.029742291447501</v>
      </c>
      <c r="AU2055" s="2">
        <v>20.460741274153499</v>
      </c>
      <c r="AV2055" s="2">
        <v>18.8143366220621</v>
      </c>
      <c r="AW2055" s="2">
        <v>21.753986425129</v>
      </c>
      <c r="AX2055" s="2">
        <v>18.636143750622399</v>
      </c>
      <c r="AY2055" s="2">
        <v>18.585735234220401</v>
      </c>
      <c r="AZ2055" s="2">
        <v>20.112076791831399</v>
      </c>
      <c r="BA2055" s="2">
        <v>18.788112410152699</v>
      </c>
      <c r="BB2055" s="2">
        <v>20.575108476445799</v>
      </c>
      <c r="BC2055" s="2">
        <v>21.3491445084166</v>
      </c>
      <c r="BD2055" s="2">
        <v>20.0266316643627</v>
      </c>
      <c r="BE2055" s="2">
        <v>21.309055704089499</v>
      </c>
      <c r="BF2055" s="2">
        <v>21.050448037031401</v>
      </c>
      <c r="BG2055" s="2">
        <v>21.008545492979302</v>
      </c>
      <c r="BH2055" s="2">
        <v>19.8012912695959</v>
      </c>
      <c r="BI2055" s="2">
        <v>21.1194430072598</v>
      </c>
      <c r="BJ2055" s="2">
        <v>17.719029653417099</v>
      </c>
      <c r="BK2055" s="2">
        <v>18.077324687563799</v>
      </c>
      <c r="BL2055" s="2">
        <v>18.397929650403501</v>
      </c>
      <c r="BM2055" s="2">
        <v>18.185348572132099</v>
      </c>
      <c r="BN2055" s="2">
        <v>17.2740311978303</v>
      </c>
      <c r="BO2055" s="2">
        <v>19.0157683866369</v>
      </c>
      <c r="BP2055" s="2">
        <v>16.7255478615748</v>
      </c>
      <c r="BQ2055" s="2">
        <v>19.225565297987</v>
      </c>
      <c r="BR2055" s="2">
        <v>20.660781508912599</v>
      </c>
      <c r="BS2055" s="2">
        <v>18.733484993926002</v>
      </c>
      <c r="BT2055" s="2">
        <v>17.712089525833001</v>
      </c>
      <c r="BU2055" s="2">
        <v>21.273861080008601</v>
      </c>
      <c r="BV2055" s="2">
        <v>19.086401360786201</v>
      </c>
      <c r="BW2055" s="2">
        <v>17.9850925062286</v>
      </c>
      <c r="BX2055" s="2">
        <v>18.749395631483601</v>
      </c>
      <c r="BY2055" s="2">
        <v>18.809752619152999</v>
      </c>
      <c r="BZ2055" s="2">
        <v>21.201545522193602</v>
      </c>
      <c r="CA2055" s="2">
        <v>16.596622622033198</v>
      </c>
      <c r="CB2055" s="2">
        <v>21.162624340968101</v>
      </c>
      <c r="CC2055" s="2">
        <v>17.985868224776802</v>
      </c>
      <c r="CD2055" s="2">
        <v>20.458835562504099</v>
      </c>
      <c r="CE2055" s="2">
        <v>19.037982475350798</v>
      </c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</row>
    <row r="2056" spans="1:97">
      <c r="A2056" s="2" t="s">
        <v>17921</v>
      </c>
      <c r="B2056" s="2">
        <v>205.12616</v>
      </c>
      <c r="C2056" s="2">
        <v>0.97599999999999998</v>
      </c>
      <c r="D2056" s="2" t="s">
        <v>84</v>
      </c>
      <c r="E2056" s="2" t="s">
        <v>17922</v>
      </c>
      <c r="F2056" s="2" t="s">
        <v>17923</v>
      </c>
      <c r="G2056" s="2">
        <v>205600</v>
      </c>
      <c r="H2056" s="3" t="str">
        <f>HYPERLINK("https://cloud.oebiotech.com/#/lm/network/205600", "https://cloud.oebiotech.com/#/lm/network/205600")</f>
        <v>https://cloud.oebiotech.com/#/lm/network/205600</v>
      </c>
      <c r="I2056" s="2" t="s">
        <v>17924</v>
      </c>
      <c r="J2056" s="2">
        <v>449814</v>
      </c>
      <c r="K2056" s="2"/>
      <c r="L2056" s="2">
        <v>49957</v>
      </c>
      <c r="M2056" s="2"/>
      <c r="N2056" s="2"/>
      <c r="O2056" s="2"/>
      <c r="P2056" s="2"/>
      <c r="Q2056" s="2"/>
      <c r="R2056" s="2"/>
      <c r="S2056" s="2"/>
      <c r="T2056" s="2" t="s">
        <v>17925</v>
      </c>
      <c r="U2056" s="2" t="s">
        <v>17926</v>
      </c>
      <c r="V2056" s="2" t="s">
        <v>115</v>
      </c>
      <c r="W2056" s="2" t="s">
        <v>2162</v>
      </c>
      <c r="X2056" s="2" t="s">
        <v>2163</v>
      </c>
      <c r="Y2056" s="2" t="s">
        <v>118</v>
      </c>
      <c r="Z2056" s="2" t="s">
        <v>2164</v>
      </c>
      <c r="AA2056" s="2" t="s">
        <v>2164</v>
      </c>
      <c r="AB2056" s="2" t="s">
        <v>8443</v>
      </c>
      <c r="AC2056" s="2">
        <v>38.299999999999997</v>
      </c>
      <c r="AD2056" s="2">
        <v>91.5</v>
      </c>
      <c r="AE2056" s="2">
        <v>0</v>
      </c>
      <c r="AF2056" s="2" t="s">
        <v>5614</v>
      </c>
      <c r="AG2056" s="2" t="s">
        <v>1088</v>
      </c>
      <c r="AH2056" s="2" t="s">
        <v>17927</v>
      </c>
      <c r="AI2056" s="2">
        <v>0.49</v>
      </c>
      <c r="AJ2056" s="2">
        <v>20.945700584395802</v>
      </c>
      <c r="AK2056" s="2">
        <v>20.572715175543902</v>
      </c>
      <c r="AL2056" s="2">
        <v>20.700427161765401</v>
      </c>
      <c r="AM2056" s="2">
        <v>21.1513671492648</v>
      </c>
      <c r="AN2056" s="2">
        <v>20.619809419103401</v>
      </c>
      <c r="AO2056" s="2">
        <v>20.9589497955544</v>
      </c>
      <c r="AP2056" s="2">
        <v>20.665279994595402</v>
      </c>
      <c r="AQ2056" s="2">
        <v>20.554371039334601</v>
      </c>
      <c r="AR2056" s="2">
        <v>19.571848725677601</v>
      </c>
      <c r="AS2056" s="2">
        <v>19.3681519807954</v>
      </c>
      <c r="AT2056" s="2">
        <v>21.285275244569199</v>
      </c>
      <c r="AU2056" s="2">
        <v>20.138241547023298</v>
      </c>
      <c r="AV2056" s="2">
        <v>19.885102808163602</v>
      </c>
      <c r="AW2056" s="2">
        <v>20.166422261748501</v>
      </c>
      <c r="AX2056" s="2">
        <v>21.071729121983999</v>
      </c>
      <c r="AY2056" s="2">
        <v>20.407677599355701</v>
      </c>
      <c r="AZ2056" s="2">
        <v>19.643919341522601</v>
      </c>
      <c r="BA2056" s="2">
        <v>19.9839811801926</v>
      </c>
      <c r="BB2056" s="2">
        <v>20.461175586414999</v>
      </c>
      <c r="BC2056" s="2">
        <v>22.127306899236501</v>
      </c>
      <c r="BD2056" s="2">
        <v>19.398698920108298</v>
      </c>
      <c r="BE2056" s="2">
        <v>20.024138408578501</v>
      </c>
      <c r="BF2056" s="2">
        <v>19.893894650413898</v>
      </c>
      <c r="BG2056" s="2">
        <v>20.896094441433899</v>
      </c>
      <c r="BH2056" s="2">
        <v>19.858982016631298</v>
      </c>
      <c r="BI2056" s="2">
        <v>21.072606906470401</v>
      </c>
      <c r="BJ2056" s="2">
        <v>20.740712362458201</v>
      </c>
      <c r="BK2056" s="2">
        <v>20.022270976243501</v>
      </c>
      <c r="BL2056" s="2">
        <v>20.0540679025573</v>
      </c>
      <c r="BM2056" s="2">
        <v>19.67266476296</v>
      </c>
      <c r="BN2056" s="2">
        <v>20.399590869944099</v>
      </c>
      <c r="BO2056" s="2">
        <v>20.663021917219702</v>
      </c>
      <c r="BP2056" s="2">
        <v>20.094899140547501</v>
      </c>
      <c r="BQ2056" s="2">
        <v>20.274182682528899</v>
      </c>
      <c r="BR2056" s="2">
        <v>20.009802653259001</v>
      </c>
      <c r="BS2056" s="2">
        <v>19.9930940099051</v>
      </c>
      <c r="BT2056" s="2">
        <v>19.149187898347201</v>
      </c>
      <c r="BU2056" s="2">
        <v>20.415961231877301</v>
      </c>
      <c r="BV2056" s="2">
        <v>20.762463608799401</v>
      </c>
      <c r="BW2056" s="2">
        <v>19.8874158075336</v>
      </c>
      <c r="BX2056" s="2">
        <v>19.3020628293126</v>
      </c>
      <c r="BY2056" s="2">
        <v>20.654416901039902</v>
      </c>
      <c r="BZ2056" s="2">
        <v>20.183970578885699</v>
      </c>
      <c r="CA2056" s="2">
        <v>20.843328363656401</v>
      </c>
      <c r="CB2056" s="2">
        <v>20.288918666959098</v>
      </c>
      <c r="CC2056" s="2">
        <v>20.781254307698799</v>
      </c>
      <c r="CD2056" s="2">
        <v>20.019257077952499</v>
      </c>
      <c r="CE2056" s="2">
        <v>20.895011826693398</v>
      </c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</row>
    <row r="2057" spans="1:97">
      <c r="A2057" s="2" t="s">
        <v>17928</v>
      </c>
      <c r="B2057" s="2">
        <v>115.00342999999999</v>
      </c>
      <c r="C2057" s="2">
        <v>13.493</v>
      </c>
      <c r="D2057" s="2" t="s">
        <v>146</v>
      </c>
      <c r="E2057" s="2" t="s">
        <v>17929</v>
      </c>
      <c r="F2057" s="2" t="s">
        <v>17930</v>
      </c>
      <c r="G2057" s="2">
        <v>48884</v>
      </c>
      <c r="H2057" s="3" t="str">
        <f>HYPERLINK("https://cloud.oebiotech.com/#/lm/network/48884", "https://cloud.oebiotech.com/#/lm/network/48884")</f>
        <v>https://cloud.oebiotech.com/#/lm/network/48884</v>
      </c>
      <c r="I2057" s="2" t="s">
        <v>17931</v>
      </c>
      <c r="J2057" s="2">
        <v>4117</v>
      </c>
      <c r="K2057" s="2"/>
      <c r="L2057" s="2">
        <v>10110</v>
      </c>
      <c r="M2057" s="2" t="s">
        <v>17932</v>
      </c>
      <c r="N2057" s="2" t="s">
        <v>17933</v>
      </c>
      <c r="O2057" s="2" t="s">
        <v>17934</v>
      </c>
      <c r="P2057" s="2">
        <v>33199</v>
      </c>
      <c r="Q2057" s="2"/>
      <c r="R2057" s="2"/>
      <c r="S2057" s="2" t="s">
        <v>17935</v>
      </c>
      <c r="T2057" s="2" t="s">
        <v>17936</v>
      </c>
      <c r="U2057" s="2" t="s">
        <v>17937</v>
      </c>
      <c r="V2057" s="2" t="s">
        <v>115</v>
      </c>
      <c r="W2057" s="2" t="s">
        <v>116</v>
      </c>
      <c r="X2057" s="2" t="s">
        <v>2388</v>
      </c>
      <c r="Y2057" s="2" t="s">
        <v>118</v>
      </c>
      <c r="Z2057" s="2" t="s">
        <v>119</v>
      </c>
      <c r="AA2057" s="2" t="s">
        <v>2389</v>
      </c>
      <c r="AB2057" s="2" t="s">
        <v>8443</v>
      </c>
      <c r="AC2057" s="2">
        <v>38.29</v>
      </c>
      <c r="AD2057" s="2">
        <v>97.28</v>
      </c>
      <c r="AE2057" s="2">
        <v>0</v>
      </c>
      <c r="AF2057" s="2" t="s">
        <v>5614</v>
      </c>
      <c r="AG2057" s="2" t="s">
        <v>157</v>
      </c>
      <c r="AH2057" s="2" t="s">
        <v>17938</v>
      </c>
      <c r="AI2057" s="2">
        <v>2.17</v>
      </c>
      <c r="AJ2057" s="2">
        <v>18.8226218018557</v>
      </c>
      <c r="AK2057" s="2">
        <v>18.987802035211299</v>
      </c>
      <c r="AL2057" s="2">
        <v>18.933278332422201</v>
      </c>
      <c r="AM2057" s="2">
        <v>18.514517509914999</v>
      </c>
      <c r="AN2057" s="2">
        <v>18.877883154701902</v>
      </c>
      <c r="AO2057" s="2">
        <v>18.691852443604802</v>
      </c>
      <c r="AP2057" s="2">
        <v>18.429815065351701</v>
      </c>
      <c r="AQ2057" s="2">
        <v>18.702868873719499</v>
      </c>
      <c r="AR2057" s="2">
        <v>18.467413587106499</v>
      </c>
      <c r="AS2057" s="2">
        <v>18.096147578690498</v>
      </c>
      <c r="AT2057" s="2">
        <v>19.067581491467301</v>
      </c>
      <c r="AU2057" s="2">
        <v>18.692136214968802</v>
      </c>
      <c r="AV2057" s="2">
        <v>18.444485720779301</v>
      </c>
      <c r="AW2057" s="2">
        <v>18.392095213254301</v>
      </c>
      <c r="AX2057" s="2">
        <v>18.890308843913299</v>
      </c>
      <c r="AY2057" s="2">
        <v>18.656515329163501</v>
      </c>
      <c r="AZ2057" s="2">
        <v>18.433521382973201</v>
      </c>
      <c r="BA2057" s="2">
        <v>19.113704909034801</v>
      </c>
      <c r="BB2057" s="2">
        <v>18.511071404709401</v>
      </c>
      <c r="BC2057" s="2">
        <v>19.331989176800001</v>
      </c>
      <c r="BD2057" s="2">
        <v>18.284089826649598</v>
      </c>
      <c r="BE2057" s="2">
        <v>18.543170095573501</v>
      </c>
      <c r="BF2057" s="2">
        <v>18.262627460424099</v>
      </c>
      <c r="BG2057" s="2">
        <v>18.561293203986299</v>
      </c>
      <c r="BH2057" s="2">
        <v>17.916744108929901</v>
      </c>
      <c r="BI2057" s="2">
        <v>18.803804987360699</v>
      </c>
      <c r="BJ2057" s="2">
        <v>18.369408844098899</v>
      </c>
      <c r="BK2057" s="2">
        <v>18.524852993654001</v>
      </c>
      <c r="BL2057" s="2">
        <v>19.072639006024598</v>
      </c>
      <c r="BM2057" s="2">
        <v>18.614367790305501</v>
      </c>
      <c r="BN2057" s="2">
        <v>18.407996795694</v>
      </c>
      <c r="BO2057" s="2">
        <v>18.710815176137999</v>
      </c>
      <c r="BP2057" s="2">
        <v>18.6277921623001</v>
      </c>
      <c r="BQ2057" s="2">
        <v>18.878303531128601</v>
      </c>
      <c r="BR2057" s="2">
        <v>18.657342666443601</v>
      </c>
      <c r="BS2057" s="2">
        <v>18.372933441325699</v>
      </c>
      <c r="BT2057" s="2">
        <v>18.413786037396498</v>
      </c>
      <c r="BU2057" s="2">
        <v>18.826723500767098</v>
      </c>
      <c r="BV2057" s="2">
        <v>18.7068633429352</v>
      </c>
      <c r="BW2057" s="2">
        <v>18.301880940350902</v>
      </c>
      <c r="BX2057" s="2">
        <v>18.484305890446699</v>
      </c>
      <c r="BY2057" s="2">
        <v>18.1617491979903</v>
      </c>
      <c r="BZ2057" s="2">
        <v>18.668463815965101</v>
      </c>
      <c r="CA2057" s="2">
        <v>18.057390298262899</v>
      </c>
      <c r="CB2057" s="2">
        <v>18.092822009956599</v>
      </c>
      <c r="CC2057" s="2">
        <v>18.646654894117599</v>
      </c>
      <c r="CD2057" s="2">
        <v>18.653554210044099</v>
      </c>
      <c r="CE2057" s="2">
        <v>18.9340894084892</v>
      </c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</row>
    <row r="2058" spans="1:97">
      <c r="A2058" s="2" t="s">
        <v>17939</v>
      </c>
      <c r="B2058" s="2">
        <v>233.04265000000001</v>
      </c>
      <c r="C2058" s="2">
        <v>4.9059999999999997</v>
      </c>
      <c r="D2058" s="2" t="s">
        <v>146</v>
      </c>
      <c r="E2058" s="2" t="s">
        <v>17940</v>
      </c>
      <c r="F2058" s="2" t="s">
        <v>17941</v>
      </c>
      <c r="G2058" s="2">
        <v>200089</v>
      </c>
      <c r="H2058" s="3" t="str">
        <f>HYPERLINK("https://cloud.oebiotech.com/#/lm/network/200089", "https://cloud.oebiotech.com/#/lm/network/200089")</f>
        <v>https://cloud.oebiotech.com/#/lm/network/200089</v>
      </c>
      <c r="I2058" s="2" t="s">
        <v>17942</v>
      </c>
      <c r="J2058" s="2"/>
      <c r="K2058" s="2"/>
      <c r="L2058" s="2">
        <v>219104</v>
      </c>
      <c r="M2058" s="2"/>
      <c r="N2058" s="2"/>
      <c r="O2058" s="2"/>
      <c r="P2058" s="2"/>
      <c r="Q2058" s="2"/>
      <c r="R2058" s="2"/>
      <c r="S2058" s="2"/>
      <c r="T2058" s="2" t="s">
        <v>17943</v>
      </c>
      <c r="U2058" s="2" t="s">
        <v>17944</v>
      </c>
      <c r="V2058" s="2" t="s">
        <v>553</v>
      </c>
      <c r="W2058" s="2" t="s">
        <v>554</v>
      </c>
      <c r="X2058" s="2" t="s">
        <v>555</v>
      </c>
      <c r="Y2058" s="2" t="s">
        <v>556</v>
      </c>
      <c r="Z2058" s="2" t="s">
        <v>557</v>
      </c>
      <c r="AA2058" s="2" t="s">
        <v>558</v>
      </c>
      <c r="AB2058" s="2" t="s">
        <v>8443</v>
      </c>
      <c r="AC2058" s="2">
        <v>38.29</v>
      </c>
      <c r="AD2058" s="2">
        <v>92.92</v>
      </c>
      <c r="AE2058" s="2">
        <v>0</v>
      </c>
      <c r="AF2058" s="2" t="s">
        <v>5614</v>
      </c>
      <c r="AG2058" s="2" t="s">
        <v>157</v>
      </c>
      <c r="AH2058" s="2" t="s">
        <v>17945</v>
      </c>
      <c r="AI2058" s="2">
        <v>-1.29</v>
      </c>
      <c r="AJ2058" s="2">
        <v>20.303292505834001</v>
      </c>
      <c r="AK2058" s="2">
        <v>20.159417923309299</v>
      </c>
      <c r="AL2058" s="2">
        <v>20.000258624965699</v>
      </c>
      <c r="AM2058" s="2">
        <v>20.2717576775403</v>
      </c>
      <c r="AN2058" s="2">
        <v>20.2024865832425</v>
      </c>
      <c r="AO2058" s="2">
        <v>19.980391145739201</v>
      </c>
      <c r="AP2058" s="2">
        <v>20.1337244160243</v>
      </c>
      <c r="AQ2058" s="2">
        <v>19.959131090626599</v>
      </c>
      <c r="AR2058" s="2">
        <v>19.900734726627601</v>
      </c>
      <c r="AS2058" s="2">
        <v>19.363399304946899</v>
      </c>
      <c r="AT2058" s="2">
        <v>18.490096874088199</v>
      </c>
      <c r="AU2058" s="2">
        <v>19.286274694095798</v>
      </c>
      <c r="AV2058" s="2">
        <v>20.441645262873301</v>
      </c>
      <c r="AW2058" s="2">
        <v>19.330429944128699</v>
      </c>
      <c r="AX2058" s="2">
        <v>19.203481691191101</v>
      </c>
      <c r="AY2058" s="2">
        <v>19.841850379978499</v>
      </c>
      <c r="AZ2058" s="2">
        <v>19.312727504706601</v>
      </c>
      <c r="BA2058" s="2">
        <v>18.962898066425499</v>
      </c>
      <c r="BB2058" s="2">
        <v>20.1447411927237</v>
      </c>
      <c r="BC2058" s="2">
        <v>19.119129511037201</v>
      </c>
      <c r="BD2058" s="2">
        <v>19.5155614070738</v>
      </c>
      <c r="BE2058" s="2">
        <v>19.536641705598399</v>
      </c>
      <c r="BF2058" s="2">
        <v>20.288648959381</v>
      </c>
      <c r="BG2058" s="2">
        <v>20.70989403714</v>
      </c>
      <c r="BH2058" s="2">
        <v>18.858209313088199</v>
      </c>
      <c r="BI2058" s="2">
        <v>20.469097387350601</v>
      </c>
      <c r="BJ2058" s="2">
        <v>19.963259671248</v>
      </c>
      <c r="BK2058" s="2">
        <v>20.145304267154799</v>
      </c>
      <c r="BL2058" s="2">
        <v>20.2547852808319</v>
      </c>
      <c r="BM2058" s="2">
        <v>20.474601072790101</v>
      </c>
      <c r="BN2058" s="2">
        <v>19.402180106431601</v>
      </c>
      <c r="BO2058" s="2">
        <v>19.4533308267808</v>
      </c>
      <c r="BP2058" s="2">
        <v>21.504884111800401</v>
      </c>
      <c r="BQ2058" s="2">
        <v>19.5429654350846</v>
      </c>
      <c r="BR2058" s="2">
        <v>19.365560961066201</v>
      </c>
      <c r="BS2058" s="2">
        <v>20.3246810524446</v>
      </c>
      <c r="BT2058" s="2">
        <v>20.493673279669999</v>
      </c>
      <c r="BU2058" s="2">
        <v>20.438718757366399</v>
      </c>
      <c r="BV2058" s="2">
        <v>19.5288533118582</v>
      </c>
      <c r="BW2058" s="2">
        <v>17.934310026644699</v>
      </c>
      <c r="BX2058" s="2">
        <v>19.202063735800301</v>
      </c>
      <c r="BY2058" s="2">
        <v>20.583331862763998</v>
      </c>
      <c r="BZ2058" s="2">
        <v>19.915740875890599</v>
      </c>
      <c r="CA2058" s="2">
        <v>20.433596596028899</v>
      </c>
      <c r="CB2058" s="2">
        <v>19.5116896387018</v>
      </c>
      <c r="CC2058" s="2">
        <v>19.341648792851601</v>
      </c>
      <c r="CD2058" s="2">
        <v>20.8116378646335</v>
      </c>
      <c r="CE2058" s="2">
        <v>19.7749261558561</v>
      </c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</row>
    <row r="2059" spans="1:97">
      <c r="A2059" s="2" t="s">
        <v>17946</v>
      </c>
      <c r="B2059" s="2">
        <v>202.08942999999999</v>
      </c>
      <c r="C2059" s="2">
        <v>4.1959999999999997</v>
      </c>
      <c r="D2059" s="2" t="s">
        <v>84</v>
      </c>
      <c r="E2059" s="2" t="s">
        <v>17947</v>
      </c>
      <c r="F2059" s="2" t="s">
        <v>17948</v>
      </c>
      <c r="G2059" s="2">
        <v>56753</v>
      </c>
      <c r="H2059" s="3" t="str">
        <f>HYPERLINK("https://cloud.oebiotech.com/#/lm/network/56753", "https://cloud.oebiotech.com/#/lm/network/56753")</f>
        <v>https://cloud.oebiotech.com/#/lm/network/56753</v>
      </c>
      <c r="I2059" s="2" t="s">
        <v>17949</v>
      </c>
      <c r="J2059" s="2">
        <v>88425</v>
      </c>
      <c r="K2059" s="2"/>
      <c r="L2059" s="2">
        <v>12980878</v>
      </c>
      <c r="M2059" s="2"/>
      <c r="N2059" s="2"/>
      <c r="O2059" s="2"/>
      <c r="P2059" s="2"/>
      <c r="Q2059" s="2"/>
      <c r="R2059" s="2"/>
      <c r="S2059" s="2" t="s">
        <v>17950</v>
      </c>
      <c r="T2059" s="2" t="s">
        <v>17951</v>
      </c>
      <c r="U2059" s="2" t="s">
        <v>17952</v>
      </c>
      <c r="V2059" s="2" t="s">
        <v>9746</v>
      </c>
      <c r="W2059" s="2" t="s">
        <v>17953</v>
      </c>
      <c r="X2059" s="2" t="s">
        <v>17954</v>
      </c>
      <c r="Y2059" s="2" t="s">
        <v>9748</v>
      </c>
      <c r="Z2059" s="2" t="s">
        <v>17955</v>
      </c>
      <c r="AA2059" s="2" t="s">
        <v>17956</v>
      </c>
      <c r="AB2059" s="2" t="s">
        <v>8443</v>
      </c>
      <c r="AC2059" s="2">
        <v>38.29</v>
      </c>
      <c r="AD2059" s="2">
        <v>91.47</v>
      </c>
      <c r="AE2059" s="2">
        <v>0</v>
      </c>
      <c r="AF2059" s="2" t="s">
        <v>5614</v>
      </c>
      <c r="AG2059" s="2" t="s">
        <v>132</v>
      </c>
      <c r="AH2059" s="2" t="s">
        <v>17957</v>
      </c>
      <c r="AI2059" s="2">
        <v>0.99</v>
      </c>
      <c r="AJ2059" s="2">
        <v>17.3860520080977</v>
      </c>
      <c r="AK2059" s="2">
        <v>17.674857548435899</v>
      </c>
      <c r="AL2059" s="2">
        <v>17.586183895065599</v>
      </c>
      <c r="AM2059" s="2">
        <v>17.716510227591101</v>
      </c>
      <c r="AN2059" s="2">
        <v>17.388468309374201</v>
      </c>
      <c r="AO2059" s="2">
        <v>16.842438495595299</v>
      </c>
      <c r="AP2059" s="2">
        <v>17.306990317731199</v>
      </c>
      <c r="AQ2059" s="2">
        <v>18.010747282027399</v>
      </c>
      <c r="AR2059" s="2">
        <v>9.6233145402724691</v>
      </c>
      <c r="AS2059" s="2">
        <v>9.6233145402724691</v>
      </c>
      <c r="AT2059" s="2">
        <v>9.6233145402724691</v>
      </c>
      <c r="AU2059" s="2">
        <v>9.6233145402724691</v>
      </c>
      <c r="AV2059" s="2">
        <v>9.6233145402724691</v>
      </c>
      <c r="AW2059" s="2">
        <v>17.584738896775299</v>
      </c>
      <c r="AX2059" s="2">
        <v>9.6233145402724691</v>
      </c>
      <c r="AY2059" s="2">
        <v>16.471399285279901</v>
      </c>
      <c r="AZ2059" s="2">
        <v>9.6233145402724691</v>
      </c>
      <c r="BA2059" s="2">
        <v>15.9188401826597</v>
      </c>
      <c r="BB2059" s="2">
        <v>9.6233145402724691</v>
      </c>
      <c r="BC2059" s="2">
        <v>17.620454393325499</v>
      </c>
      <c r="BD2059" s="2">
        <v>18.094460417664699</v>
      </c>
      <c r="BE2059" s="2">
        <v>9.6233145402724691</v>
      </c>
      <c r="BF2059" s="2">
        <v>16.1203421789324</v>
      </c>
      <c r="BG2059" s="2">
        <v>9.6233145402724691</v>
      </c>
      <c r="BH2059" s="2">
        <v>9.6233145402724691</v>
      </c>
      <c r="BI2059" s="2">
        <v>9.6233145402724691</v>
      </c>
      <c r="BJ2059" s="2">
        <v>9.6233145402724691</v>
      </c>
      <c r="BK2059" s="2">
        <v>9.6233145402724691</v>
      </c>
      <c r="BL2059" s="2">
        <v>9.6233145402724691</v>
      </c>
      <c r="BM2059" s="2">
        <v>18.648681702544401</v>
      </c>
      <c r="BN2059" s="2">
        <v>17.6478388797949</v>
      </c>
      <c r="BO2059" s="2">
        <v>14.610272236518901</v>
      </c>
      <c r="BP2059" s="2">
        <v>14.1016819167361</v>
      </c>
      <c r="BQ2059" s="2">
        <v>9.6233145402724691</v>
      </c>
      <c r="BR2059" s="2">
        <v>9.6233145402724691</v>
      </c>
      <c r="BS2059" s="2">
        <v>9.6233145402724691</v>
      </c>
      <c r="BT2059" s="2">
        <v>9.6233145402724691</v>
      </c>
      <c r="BU2059" s="2">
        <v>9.6233145402724691</v>
      </c>
      <c r="BV2059" s="2">
        <v>20.586765192242002</v>
      </c>
      <c r="BW2059" s="2">
        <v>16.763533082821102</v>
      </c>
      <c r="BX2059" s="2">
        <v>9.6233145402724691</v>
      </c>
      <c r="BY2059" s="2">
        <v>20.223959630948201</v>
      </c>
      <c r="BZ2059" s="2">
        <v>9.6233145402724691</v>
      </c>
      <c r="CA2059" s="2">
        <v>15.475167551031999</v>
      </c>
      <c r="CB2059" s="2">
        <v>18.683605483992501</v>
      </c>
      <c r="CC2059" s="2">
        <v>9.6233145402724691</v>
      </c>
      <c r="CD2059" s="2">
        <v>14.483652684065699</v>
      </c>
      <c r="CE2059" s="2">
        <v>14.1491215197047</v>
      </c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</row>
    <row r="2060" spans="1:97">
      <c r="A2060" s="2" t="s">
        <v>17958</v>
      </c>
      <c r="B2060" s="2">
        <v>935.20036000000005</v>
      </c>
      <c r="C2060" s="2">
        <v>0.80100000000000005</v>
      </c>
      <c r="D2060" s="2" t="s">
        <v>146</v>
      </c>
      <c r="E2060" s="2" t="s">
        <v>17959</v>
      </c>
      <c r="F2060" s="2" t="s">
        <v>17960</v>
      </c>
      <c r="G2060" s="2">
        <v>82587</v>
      </c>
      <c r="H2060" s="3" t="str">
        <f>HYPERLINK("https://cloud.oebiotech.com/#/lm/network/82587", "https://cloud.oebiotech.com/#/lm/network/82587")</f>
        <v>https://cloud.oebiotech.com/#/lm/network/82587</v>
      </c>
      <c r="I2060" s="2" t="s">
        <v>17961</v>
      </c>
      <c r="J2060" s="2"/>
      <c r="K2060" s="2"/>
      <c r="L2060" s="2">
        <v>131769930</v>
      </c>
      <c r="M2060" s="2"/>
      <c r="N2060" s="2"/>
      <c r="O2060" s="2"/>
      <c r="P2060" s="2"/>
      <c r="Q2060" s="2"/>
      <c r="R2060" s="2"/>
      <c r="S2060" s="2"/>
      <c r="T2060" s="2" t="s">
        <v>17962</v>
      </c>
      <c r="U2060" s="2" t="s">
        <v>17963</v>
      </c>
      <c r="V2060" s="2" t="s">
        <v>95</v>
      </c>
      <c r="W2060" s="2" t="s">
        <v>96</v>
      </c>
      <c r="X2060" s="2" t="s">
        <v>10693</v>
      </c>
      <c r="Y2060" s="2" t="s">
        <v>98</v>
      </c>
      <c r="Z2060" s="2" t="s">
        <v>99</v>
      </c>
      <c r="AA2060" s="2" t="s">
        <v>10694</v>
      </c>
      <c r="AB2060" s="2" t="s">
        <v>5118</v>
      </c>
      <c r="AC2060" s="2">
        <v>38.29</v>
      </c>
      <c r="AD2060" s="2">
        <v>71.72</v>
      </c>
      <c r="AE2060" s="2">
        <v>60.29</v>
      </c>
      <c r="AF2060" s="2" t="s">
        <v>17964</v>
      </c>
      <c r="AG2060" s="2" t="s">
        <v>157</v>
      </c>
      <c r="AH2060" s="2" t="s">
        <v>17965</v>
      </c>
      <c r="AI2060" s="2">
        <v>-6.42</v>
      </c>
      <c r="AJ2060" s="2">
        <v>19.1957382419472</v>
      </c>
      <c r="AK2060" s="2">
        <v>19.103133668500799</v>
      </c>
      <c r="AL2060" s="2">
        <v>19.0120403279013</v>
      </c>
      <c r="AM2060" s="2">
        <v>18.508635582691799</v>
      </c>
      <c r="AN2060" s="2">
        <v>19.502852116679701</v>
      </c>
      <c r="AO2060" s="2">
        <v>18.991553732401499</v>
      </c>
      <c r="AP2060" s="2">
        <v>19.236055850276799</v>
      </c>
      <c r="AQ2060" s="2">
        <v>18.678082224034799</v>
      </c>
      <c r="AR2060" s="2">
        <v>19.044916005014301</v>
      </c>
      <c r="AS2060" s="2">
        <v>18.9817017534806</v>
      </c>
      <c r="AT2060" s="2">
        <v>18.128277580407399</v>
      </c>
      <c r="AU2060" s="2">
        <v>20.009186087032599</v>
      </c>
      <c r="AV2060" s="2">
        <v>18.4638922321232</v>
      </c>
      <c r="AW2060" s="2">
        <v>19.529963733605001</v>
      </c>
      <c r="AX2060" s="2">
        <v>16.161191928403301</v>
      </c>
      <c r="AY2060" s="2">
        <v>19.384309815860298</v>
      </c>
      <c r="AZ2060" s="2">
        <v>17.704277942827702</v>
      </c>
      <c r="BA2060" s="2">
        <v>19.626355250173201</v>
      </c>
      <c r="BB2060" s="2">
        <v>19.7318173244945</v>
      </c>
      <c r="BC2060" s="2">
        <v>20.7645772582453</v>
      </c>
      <c r="BD2060" s="2">
        <v>19.768352734496101</v>
      </c>
      <c r="BE2060" s="2">
        <v>19.362891631231399</v>
      </c>
      <c r="BF2060" s="2">
        <v>19.063684096962898</v>
      </c>
      <c r="BG2060" s="2">
        <v>18.518162316467102</v>
      </c>
      <c r="BH2060" s="2">
        <v>17.674069343569801</v>
      </c>
      <c r="BI2060" s="2">
        <v>17.250879528249701</v>
      </c>
      <c r="BJ2060" s="2">
        <v>18.470463503822099</v>
      </c>
      <c r="BK2060" s="2">
        <v>19.3050033712796</v>
      </c>
      <c r="BL2060" s="2">
        <v>19.431681145100299</v>
      </c>
      <c r="BM2060" s="2">
        <v>20.333607596031399</v>
      </c>
      <c r="BN2060" s="2">
        <v>16.6089648464418</v>
      </c>
      <c r="BO2060" s="2">
        <v>9.6233145402724691</v>
      </c>
      <c r="BP2060" s="2">
        <v>15.9718270986445</v>
      </c>
      <c r="BQ2060" s="2">
        <v>18.953685216137799</v>
      </c>
      <c r="BR2060" s="2">
        <v>18.461133480342198</v>
      </c>
      <c r="BS2060" s="2">
        <v>17.698538304002302</v>
      </c>
      <c r="BT2060" s="2">
        <v>18.314495666359502</v>
      </c>
      <c r="BU2060" s="2">
        <v>18.536888953828502</v>
      </c>
      <c r="BV2060" s="2">
        <v>19.118202411634702</v>
      </c>
      <c r="BW2060" s="2">
        <v>20.430450448550499</v>
      </c>
      <c r="BX2060" s="2">
        <v>19.659511862930099</v>
      </c>
      <c r="BY2060" s="2">
        <v>16.7509841896042</v>
      </c>
      <c r="BZ2060" s="2">
        <v>20.202352946279401</v>
      </c>
      <c r="CA2060" s="2">
        <v>18.641597887539401</v>
      </c>
      <c r="CB2060" s="2">
        <v>17.4731172678603</v>
      </c>
      <c r="CC2060" s="2">
        <v>18.827272483294198</v>
      </c>
      <c r="CD2060" s="2">
        <v>9.6233145402724691</v>
      </c>
      <c r="CE2060" s="2">
        <v>17.538894659448399</v>
      </c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</row>
    <row r="2061" spans="1:97">
      <c r="A2061" s="2" t="s">
        <v>17966</v>
      </c>
      <c r="B2061" s="2">
        <v>223.16985</v>
      </c>
      <c r="C2061" s="2">
        <v>8.5649999999999995</v>
      </c>
      <c r="D2061" s="2" t="s">
        <v>146</v>
      </c>
      <c r="E2061" s="2" t="s">
        <v>17967</v>
      </c>
      <c r="F2061" s="2" t="s">
        <v>17968</v>
      </c>
      <c r="G2061" s="2">
        <v>2081</v>
      </c>
      <c r="H2061" s="3" t="str">
        <f>HYPERLINK("https://cloud.oebiotech.com/#/lm/network/2081", "https://cloud.oebiotech.com/#/lm/network/2081")</f>
        <v>https://cloud.oebiotech.com/#/lm/network/2081</v>
      </c>
      <c r="I2061" s="2"/>
      <c r="J2061" s="2">
        <v>35740</v>
      </c>
      <c r="K2061" s="2" t="s">
        <v>17969</v>
      </c>
      <c r="L2061" s="2">
        <v>454061</v>
      </c>
      <c r="M2061" s="2"/>
      <c r="N2061" s="2"/>
      <c r="O2061" s="2"/>
      <c r="P2061" s="2"/>
      <c r="Q2061" s="2"/>
      <c r="R2061" s="2"/>
      <c r="S2061" s="2"/>
      <c r="T2061" s="2" t="s">
        <v>17970</v>
      </c>
      <c r="U2061" s="2" t="s">
        <v>17971</v>
      </c>
      <c r="V2061" s="2" t="s">
        <v>95</v>
      </c>
      <c r="W2061" s="2" t="s">
        <v>96</v>
      </c>
      <c r="X2061" s="2" t="s">
        <v>141</v>
      </c>
      <c r="Y2061" s="2" t="s">
        <v>98</v>
      </c>
      <c r="Z2061" s="2" t="s">
        <v>99</v>
      </c>
      <c r="AA2061" s="2" t="s">
        <v>142</v>
      </c>
      <c r="AB2061" s="2" t="s">
        <v>8443</v>
      </c>
      <c r="AC2061" s="2">
        <v>38.29</v>
      </c>
      <c r="AD2061" s="2">
        <v>91.46</v>
      </c>
      <c r="AE2061" s="2">
        <v>0</v>
      </c>
      <c r="AF2061" s="2" t="s">
        <v>17972</v>
      </c>
      <c r="AG2061" s="2" t="s">
        <v>993</v>
      </c>
      <c r="AH2061" s="2" t="s">
        <v>17973</v>
      </c>
      <c r="AI2061" s="2">
        <v>0</v>
      </c>
      <c r="AJ2061" s="2">
        <v>17.017224038318901</v>
      </c>
      <c r="AK2061" s="2">
        <v>16.603776135036</v>
      </c>
      <c r="AL2061" s="2">
        <v>16.891509137921702</v>
      </c>
      <c r="AM2061" s="2">
        <v>16.693040810656601</v>
      </c>
      <c r="AN2061" s="2">
        <v>16.564672300729601</v>
      </c>
      <c r="AO2061" s="2">
        <v>16.850114056299802</v>
      </c>
      <c r="AP2061" s="2">
        <v>16.724007632663199</v>
      </c>
      <c r="AQ2061" s="2">
        <v>16.819539712095501</v>
      </c>
      <c r="AR2061" s="2">
        <v>11.943741886643799</v>
      </c>
      <c r="AS2061" s="2">
        <v>15.9928286078854</v>
      </c>
      <c r="AT2061" s="2">
        <v>16.967640222109502</v>
      </c>
      <c r="AU2061" s="2">
        <v>14.096464802121501</v>
      </c>
      <c r="AV2061" s="2">
        <v>12.800562234186</v>
      </c>
      <c r="AW2061" s="2">
        <v>16.128871766096601</v>
      </c>
      <c r="AX2061" s="2">
        <v>16.383661097365099</v>
      </c>
      <c r="AY2061" s="2">
        <v>16.553202235457299</v>
      </c>
      <c r="AZ2061" s="2">
        <v>11.634448062362299</v>
      </c>
      <c r="BA2061" s="2">
        <v>17.0079193650256</v>
      </c>
      <c r="BB2061" s="2">
        <v>17.666693218542399</v>
      </c>
      <c r="BC2061" s="2">
        <v>17.9720093639853</v>
      </c>
      <c r="BD2061" s="2">
        <v>14.1127522522935</v>
      </c>
      <c r="BE2061" s="2">
        <v>15.9425023637045</v>
      </c>
      <c r="BF2061" s="2">
        <v>15.7250495950437</v>
      </c>
      <c r="BG2061" s="2">
        <v>17.269223037058101</v>
      </c>
      <c r="BH2061" s="2">
        <v>15.360331694924801</v>
      </c>
      <c r="BI2061" s="2">
        <v>16.864635344772601</v>
      </c>
      <c r="BJ2061" s="2">
        <v>16.3374487319604</v>
      </c>
      <c r="BK2061" s="2">
        <v>12.8654916417221</v>
      </c>
      <c r="BL2061" s="2">
        <v>17.559833387784</v>
      </c>
      <c r="BM2061" s="2">
        <v>14.742469972243599</v>
      </c>
      <c r="BN2061" s="2">
        <v>14.989291598594701</v>
      </c>
      <c r="BO2061" s="2">
        <v>17.024297124094801</v>
      </c>
      <c r="BP2061" s="2">
        <v>16.756839960383001</v>
      </c>
      <c r="BQ2061" s="2">
        <v>17.249112526579101</v>
      </c>
      <c r="BR2061" s="2">
        <v>17.020280508361001</v>
      </c>
      <c r="BS2061" s="2">
        <v>14.769309440378599</v>
      </c>
      <c r="BT2061" s="2">
        <v>16.712910890661799</v>
      </c>
      <c r="BU2061" s="2">
        <v>16.894469170924399</v>
      </c>
      <c r="BV2061" s="2">
        <v>17.768357839472198</v>
      </c>
      <c r="BW2061" s="2">
        <v>16.7516412065591</v>
      </c>
      <c r="BX2061" s="2">
        <v>16.126778670367099</v>
      </c>
      <c r="BY2061" s="2">
        <v>15.351921310345199</v>
      </c>
      <c r="BZ2061" s="2">
        <v>16.3396071677452</v>
      </c>
      <c r="CA2061" s="2">
        <v>15.785874129179801</v>
      </c>
      <c r="CB2061" s="2">
        <v>16.5386430378577</v>
      </c>
      <c r="CC2061" s="2">
        <v>17.370856462726898</v>
      </c>
      <c r="CD2061" s="2">
        <v>15.667940066322799</v>
      </c>
      <c r="CE2061" s="2">
        <v>16.645854853403801</v>
      </c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</row>
    <row r="2062" spans="1:97">
      <c r="A2062" s="2" t="s">
        <v>17974</v>
      </c>
      <c r="B2062" s="2">
        <v>168.07649000000001</v>
      </c>
      <c r="C2062" s="2">
        <v>15.345000000000001</v>
      </c>
      <c r="D2062" s="2" t="s">
        <v>84</v>
      </c>
      <c r="E2062" s="2" t="s">
        <v>17975</v>
      </c>
      <c r="F2062" s="2" t="s">
        <v>17976</v>
      </c>
      <c r="G2062" s="2">
        <v>82272</v>
      </c>
      <c r="H2062" s="3" t="str">
        <f>HYPERLINK("https://cloud.oebiotech.com/#/lm/network/82272", "https://cloud.oebiotech.com/#/lm/network/82272")</f>
        <v>https://cloud.oebiotech.com/#/lm/network/82272</v>
      </c>
      <c r="I2062" s="2" t="s">
        <v>17977</v>
      </c>
      <c r="J2062" s="2">
        <v>71184</v>
      </c>
      <c r="K2062" s="2"/>
      <c r="L2062" s="2">
        <v>96177</v>
      </c>
      <c r="M2062" s="2" t="s">
        <v>17978</v>
      </c>
      <c r="N2062" s="2"/>
      <c r="O2062" s="2"/>
      <c r="P2062" s="2">
        <v>19342</v>
      </c>
      <c r="Q2062" s="2"/>
      <c r="R2062" s="2"/>
      <c r="S2062" s="2" t="s">
        <v>17979</v>
      </c>
      <c r="T2062" s="2" t="s">
        <v>17980</v>
      </c>
      <c r="U2062" s="2" t="s">
        <v>17981</v>
      </c>
      <c r="V2062" s="2" t="s">
        <v>385</v>
      </c>
      <c r="W2062" s="2" t="s">
        <v>386</v>
      </c>
      <c r="X2062" s="2" t="s">
        <v>12519</v>
      </c>
      <c r="Y2062" s="2" t="s">
        <v>388</v>
      </c>
      <c r="Z2062" s="2" t="s">
        <v>389</v>
      </c>
      <c r="AA2062" s="2" t="s">
        <v>12520</v>
      </c>
      <c r="AB2062" s="2" t="s">
        <v>8443</v>
      </c>
      <c r="AC2062" s="2">
        <v>38.29</v>
      </c>
      <c r="AD2062" s="2">
        <v>95.34</v>
      </c>
      <c r="AE2062" s="2">
        <v>0</v>
      </c>
      <c r="AF2062" s="2" t="s">
        <v>5614</v>
      </c>
      <c r="AG2062" s="2" t="s">
        <v>103</v>
      </c>
      <c r="AH2062" s="2" t="s">
        <v>17982</v>
      </c>
      <c r="AI2062" s="2">
        <v>1.78</v>
      </c>
      <c r="AJ2062" s="2">
        <v>21.488361044521302</v>
      </c>
      <c r="AK2062" s="2">
        <v>21.1464935127003</v>
      </c>
      <c r="AL2062" s="2">
        <v>21.286552318959501</v>
      </c>
      <c r="AM2062" s="2">
        <v>21.1005154960155</v>
      </c>
      <c r="AN2062" s="2">
        <v>21.232498431164501</v>
      </c>
      <c r="AO2062" s="2">
        <v>21.127532041754598</v>
      </c>
      <c r="AP2062" s="2">
        <v>20.9622742057607</v>
      </c>
      <c r="AQ2062" s="2">
        <v>21.075548599555901</v>
      </c>
      <c r="AR2062" s="2">
        <v>21.290072399204199</v>
      </c>
      <c r="AS2062" s="2">
        <v>21.333832988921401</v>
      </c>
      <c r="AT2062" s="2">
        <v>21.3358016579426</v>
      </c>
      <c r="AU2062" s="2">
        <v>19.766620911636601</v>
      </c>
      <c r="AV2062" s="2">
        <v>21.147646890820301</v>
      </c>
      <c r="AW2062" s="2">
        <v>21.272451380115601</v>
      </c>
      <c r="AX2062" s="2">
        <v>21.303900960696101</v>
      </c>
      <c r="AY2062" s="2">
        <v>21.340575851008001</v>
      </c>
      <c r="AZ2062" s="2">
        <v>21.488413578041701</v>
      </c>
      <c r="BA2062" s="2">
        <v>19.824045583128498</v>
      </c>
      <c r="BB2062" s="2">
        <v>21.2596298304505</v>
      </c>
      <c r="BC2062" s="2">
        <v>21.437613178529801</v>
      </c>
      <c r="BD2062" s="2">
        <v>21.252413272525999</v>
      </c>
      <c r="BE2062" s="2">
        <v>21.3193943306071</v>
      </c>
      <c r="BF2062" s="2">
        <v>21.372780928499001</v>
      </c>
      <c r="BG2062" s="2">
        <v>21.2642539122599</v>
      </c>
      <c r="BH2062" s="2">
        <v>21.462277193399999</v>
      </c>
      <c r="BI2062" s="2">
        <v>21.0109218356634</v>
      </c>
      <c r="BJ2062" s="2">
        <v>21.2856031850249</v>
      </c>
      <c r="BK2062" s="2">
        <v>21.254702760804001</v>
      </c>
      <c r="BL2062" s="2">
        <v>21.049982925269799</v>
      </c>
      <c r="BM2062" s="2">
        <v>21.094107145568099</v>
      </c>
      <c r="BN2062" s="2">
        <v>21.2857090526701</v>
      </c>
      <c r="BO2062" s="2">
        <v>21.146579439632699</v>
      </c>
      <c r="BP2062" s="2">
        <v>20.951386101090499</v>
      </c>
      <c r="BQ2062" s="2">
        <v>21.057682845872399</v>
      </c>
      <c r="BR2062" s="2">
        <v>21.0761629284092</v>
      </c>
      <c r="BS2062" s="2">
        <v>21.089438939747399</v>
      </c>
      <c r="BT2062" s="2">
        <v>20.114463312958101</v>
      </c>
      <c r="BU2062" s="2">
        <v>21.123668264979798</v>
      </c>
      <c r="BV2062" s="2">
        <v>21.2029760592171</v>
      </c>
      <c r="BW2062" s="2">
        <v>21.291695999678002</v>
      </c>
      <c r="BX2062" s="2">
        <v>21.4150416337358</v>
      </c>
      <c r="BY2062" s="2">
        <v>21.275708827529201</v>
      </c>
      <c r="BZ2062" s="2">
        <v>21.522073870940499</v>
      </c>
      <c r="CA2062" s="2">
        <v>21.059602103430802</v>
      </c>
      <c r="CB2062" s="2">
        <v>21.163778508641599</v>
      </c>
      <c r="CC2062" s="2">
        <v>21.053931428247299</v>
      </c>
      <c r="CD2062" s="2">
        <v>21.041156899422099</v>
      </c>
      <c r="CE2062" s="2">
        <v>20.008926979243501</v>
      </c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</row>
    <row r="2063" spans="1:97">
      <c r="A2063" s="2" t="s">
        <v>17983</v>
      </c>
      <c r="B2063" s="2">
        <v>525.27009999999996</v>
      </c>
      <c r="C2063" s="2">
        <v>8.8409999999999993</v>
      </c>
      <c r="D2063" s="2" t="s">
        <v>84</v>
      </c>
      <c r="E2063" s="2" t="s">
        <v>17984</v>
      </c>
      <c r="F2063" s="2" t="s">
        <v>17985</v>
      </c>
      <c r="G2063" s="2">
        <v>205205</v>
      </c>
      <c r="H2063" s="3" t="str">
        <f>HYPERLINK("https://cloud.oebiotech.com/#/lm/network/205205", "https://cloud.oebiotech.com/#/lm/network/205205")</f>
        <v>https://cloud.oebiotech.com/#/lm/network/205205</v>
      </c>
      <c r="I2063" s="2" t="s">
        <v>17986</v>
      </c>
      <c r="J2063" s="2"/>
      <c r="K2063" s="2"/>
      <c r="L2063" s="2">
        <v>10052522</v>
      </c>
      <c r="M2063" s="2"/>
      <c r="N2063" s="2"/>
      <c r="O2063" s="2"/>
      <c r="P2063" s="2"/>
      <c r="Q2063" s="2"/>
      <c r="R2063" s="2"/>
      <c r="S2063" s="2"/>
      <c r="T2063" s="2" t="s">
        <v>17987</v>
      </c>
      <c r="U2063" s="2" t="s">
        <v>17988</v>
      </c>
      <c r="V2063" s="2" t="s">
        <v>115</v>
      </c>
      <c r="W2063" s="2" t="s">
        <v>116</v>
      </c>
      <c r="X2063" s="2" t="s">
        <v>117</v>
      </c>
      <c r="Y2063" s="2" t="s">
        <v>118</v>
      </c>
      <c r="Z2063" s="2" t="s">
        <v>119</v>
      </c>
      <c r="AA2063" s="2" t="s">
        <v>120</v>
      </c>
      <c r="AB2063" s="2" t="s">
        <v>8443</v>
      </c>
      <c r="AC2063" s="2">
        <v>38.29</v>
      </c>
      <c r="AD2063" s="2">
        <v>93.08</v>
      </c>
      <c r="AE2063" s="2">
        <v>0</v>
      </c>
      <c r="AF2063" s="2" t="s">
        <v>17989</v>
      </c>
      <c r="AG2063" s="2" t="s">
        <v>103</v>
      </c>
      <c r="AH2063" s="2" t="s">
        <v>17990</v>
      </c>
      <c r="AI2063" s="2">
        <v>1.33</v>
      </c>
      <c r="AJ2063" s="2">
        <v>20.657846836177399</v>
      </c>
      <c r="AK2063" s="2">
        <v>20.7331633791303</v>
      </c>
      <c r="AL2063" s="2">
        <v>20.861436046785698</v>
      </c>
      <c r="AM2063" s="2">
        <v>20.190443405358199</v>
      </c>
      <c r="AN2063" s="2">
        <v>20.6637900907118</v>
      </c>
      <c r="AO2063" s="2">
        <v>20.694923811721001</v>
      </c>
      <c r="AP2063" s="2">
        <v>20.933223746828801</v>
      </c>
      <c r="AQ2063" s="2">
        <v>20.5551406081834</v>
      </c>
      <c r="AR2063" s="2">
        <v>20.0796924031788</v>
      </c>
      <c r="AS2063" s="2">
        <v>20.930109158524399</v>
      </c>
      <c r="AT2063" s="2">
        <v>19.8790422542104</v>
      </c>
      <c r="AU2063" s="2">
        <v>19.781857251205199</v>
      </c>
      <c r="AV2063" s="2">
        <v>20.2248844525806</v>
      </c>
      <c r="AW2063" s="2">
        <v>20.257018286165302</v>
      </c>
      <c r="AX2063" s="2">
        <v>19.2964261508269</v>
      </c>
      <c r="AY2063" s="2">
        <v>20.701808613445898</v>
      </c>
      <c r="AZ2063" s="2">
        <v>20.823353664332501</v>
      </c>
      <c r="BA2063" s="2">
        <v>20.793221074635198</v>
      </c>
      <c r="BB2063" s="2">
        <v>20.4709654793064</v>
      </c>
      <c r="BC2063" s="2">
        <v>19.997074996569701</v>
      </c>
      <c r="BD2063" s="2">
        <v>20.917275261129301</v>
      </c>
      <c r="BE2063" s="2">
        <v>20.7803283315925</v>
      </c>
      <c r="BF2063" s="2">
        <v>20.675915747634001</v>
      </c>
      <c r="BG2063" s="2">
        <v>20.903423577514101</v>
      </c>
      <c r="BH2063" s="2">
        <v>20.7661927678114</v>
      </c>
      <c r="BI2063" s="2">
        <v>20.7277766932683</v>
      </c>
      <c r="BJ2063" s="2">
        <v>20.702111491575199</v>
      </c>
      <c r="BK2063" s="2">
        <v>20.607258115778301</v>
      </c>
      <c r="BL2063" s="2">
        <v>19.457253913789099</v>
      </c>
      <c r="BM2063" s="2">
        <v>20.613441463745701</v>
      </c>
      <c r="BN2063" s="2">
        <v>20.498522195933901</v>
      </c>
      <c r="BO2063" s="2">
        <v>20.8293999411699</v>
      </c>
      <c r="BP2063" s="2">
        <v>19.893459580675401</v>
      </c>
      <c r="BQ2063" s="2">
        <v>20.759246942606701</v>
      </c>
      <c r="BR2063" s="2">
        <v>20.795162737366802</v>
      </c>
      <c r="BS2063" s="2">
        <v>20.670540698890399</v>
      </c>
      <c r="BT2063" s="2">
        <v>20.707936582233099</v>
      </c>
      <c r="BU2063" s="2">
        <v>20.250962116940499</v>
      </c>
      <c r="BV2063" s="2">
        <v>20.660775738937101</v>
      </c>
      <c r="BW2063" s="2">
        <v>19.524675213090099</v>
      </c>
      <c r="BX2063" s="2">
        <v>20.780858536830898</v>
      </c>
      <c r="BY2063" s="2">
        <v>20.594731381718599</v>
      </c>
      <c r="BZ2063" s="2">
        <v>20.925784377147998</v>
      </c>
      <c r="CA2063" s="2">
        <v>20.7959691233943</v>
      </c>
      <c r="CB2063" s="2">
        <v>20.837820621468801</v>
      </c>
      <c r="CC2063" s="2">
        <v>20.715339728351399</v>
      </c>
      <c r="CD2063" s="2">
        <v>20.7386348245684</v>
      </c>
      <c r="CE2063" s="2">
        <v>20.707506812755501</v>
      </c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</row>
    <row r="2064" spans="1:97">
      <c r="A2064" s="2" t="s">
        <v>17991</v>
      </c>
      <c r="B2064" s="2">
        <v>290.26848999999999</v>
      </c>
      <c r="C2064" s="2">
        <v>8.0459999999999994</v>
      </c>
      <c r="D2064" s="2" t="s">
        <v>84</v>
      </c>
      <c r="E2064" s="2" t="s">
        <v>17992</v>
      </c>
      <c r="F2064" s="2" t="s">
        <v>17993</v>
      </c>
      <c r="G2064" s="2">
        <v>1816</v>
      </c>
      <c r="H2064" s="3" t="str">
        <f>HYPERLINK("https://cloud.oebiotech.com/#/lm/network/1816", "https://cloud.oebiotech.com/#/lm/network/1816")</f>
        <v>https://cloud.oebiotech.com/#/lm/network/1816</v>
      </c>
      <c r="I2064" s="2"/>
      <c r="J2064" s="2">
        <v>35619</v>
      </c>
      <c r="K2064" s="2" t="s">
        <v>17994</v>
      </c>
      <c r="L2064" s="2">
        <v>5312817</v>
      </c>
      <c r="M2064" s="2"/>
      <c r="N2064" s="2"/>
      <c r="O2064" s="2"/>
      <c r="P2064" s="2"/>
      <c r="Q2064" s="2"/>
      <c r="R2064" s="2"/>
      <c r="S2064" s="2"/>
      <c r="T2064" s="2" t="s">
        <v>17995</v>
      </c>
      <c r="U2064" s="2" t="s">
        <v>17996</v>
      </c>
      <c r="V2064" s="2" t="s">
        <v>95</v>
      </c>
      <c r="W2064" s="2" t="s">
        <v>96</v>
      </c>
      <c r="X2064" s="2" t="s">
        <v>141</v>
      </c>
      <c r="Y2064" s="2" t="s">
        <v>98</v>
      </c>
      <c r="Z2064" s="2" t="s">
        <v>99</v>
      </c>
      <c r="AA2064" s="2" t="s">
        <v>142</v>
      </c>
      <c r="AB2064" s="2" t="s">
        <v>8443</v>
      </c>
      <c r="AC2064" s="2">
        <v>38.28</v>
      </c>
      <c r="AD2064" s="2">
        <v>94.98</v>
      </c>
      <c r="AE2064" s="2">
        <v>0</v>
      </c>
      <c r="AF2064" s="2" t="s">
        <v>17997</v>
      </c>
      <c r="AG2064" s="2" t="s">
        <v>132</v>
      </c>
      <c r="AH2064" s="2" t="s">
        <v>512</v>
      </c>
      <c r="AI2064" s="2">
        <v>1.72</v>
      </c>
      <c r="AJ2064" s="2">
        <v>23.521091335021701</v>
      </c>
      <c r="AK2064" s="2">
        <v>23.5440053293873</v>
      </c>
      <c r="AL2064" s="2">
        <v>23.444287558503799</v>
      </c>
      <c r="AM2064" s="2">
        <v>23.573231064746899</v>
      </c>
      <c r="AN2064" s="2">
        <v>23.5811316903707</v>
      </c>
      <c r="AO2064" s="2">
        <v>23.647995710746098</v>
      </c>
      <c r="AP2064" s="2">
        <v>23.5053944939188</v>
      </c>
      <c r="AQ2064" s="2">
        <v>23.544112366428799</v>
      </c>
      <c r="AR2064" s="2">
        <v>20.245825126258101</v>
      </c>
      <c r="AS2064" s="2">
        <v>20.4920362002179</v>
      </c>
      <c r="AT2064" s="2">
        <v>20.013882109845198</v>
      </c>
      <c r="AU2064" s="2">
        <v>19.9861248249744</v>
      </c>
      <c r="AV2064" s="2">
        <v>19.900021732463902</v>
      </c>
      <c r="AW2064" s="2">
        <v>20.095777280633602</v>
      </c>
      <c r="AX2064" s="2">
        <v>19.689819718088099</v>
      </c>
      <c r="AY2064" s="2">
        <v>19.810688309917399</v>
      </c>
      <c r="AZ2064" s="2">
        <v>19.950259367776301</v>
      </c>
      <c r="BA2064" s="2">
        <v>19.955633704586401</v>
      </c>
      <c r="BB2064" s="2">
        <v>20.005213214916498</v>
      </c>
      <c r="BC2064" s="2">
        <v>19.7366718233943</v>
      </c>
      <c r="BD2064" s="2">
        <v>19.931966366487899</v>
      </c>
      <c r="BE2064" s="2">
        <v>20.245648655580201</v>
      </c>
      <c r="BF2064" s="2">
        <v>19.983637228852299</v>
      </c>
      <c r="BG2064" s="2">
        <v>19.7999797741208</v>
      </c>
      <c r="BH2064" s="2">
        <v>19.709070885117502</v>
      </c>
      <c r="BI2064" s="2">
        <v>19.792015900352801</v>
      </c>
      <c r="BJ2064" s="2">
        <v>19.976550712755301</v>
      </c>
      <c r="BK2064" s="2">
        <v>19.759677388044</v>
      </c>
      <c r="BL2064" s="2">
        <v>19.5667029258139</v>
      </c>
      <c r="BM2064" s="2">
        <v>19.561521459392399</v>
      </c>
      <c r="BN2064" s="2">
        <v>19.8687772890258</v>
      </c>
      <c r="BO2064" s="2">
        <v>19.7066102080131</v>
      </c>
      <c r="BP2064" s="2">
        <v>19.9474240705147</v>
      </c>
      <c r="BQ2064" s="2">
        <v>19.905997660579899</v>
      </c>
      <c r="BR2064" s="2">
        <v>20.173982105647099</v>
      </c>
      <c r="BS2064" s="2">
        <v>20.176110155978201</v>
      </c>
      <c r="BT2064" s="2">
        <v>20.100168183377601</v>
      </c>
      <c r="BU2064" s="2">
        <v>19.970870641914601</v>
      </c>
      <c r="BV2064" s="2">
        <v>20.981532080329998</v>
      </c>
      <c r="BW2064" s="2">
        <v>19.894004704115599</v>
      </c>
      <c r="BX2064" s="2">
        <v>19.8159429402432</v>
      </c>
      <c r="BY2064" s="2">
        <v>20.471920259652901</v>
      </c>
      <c r="BZ2064" s="2">
        <v>20.232638368134602</v>
      </c>
      <c r="CA2064" s="2">
        <v>19.554517113076201</v>
      </c>
      <c r="CB2064" s="2">
        <v>20.328004139253899</v>
      </c>
      <c r="CC2064" s="2">
        <v>19.562962060349999</v>
      </c>
      <c r="CD2064" s="2">
        <v>19.4108990807891</v>
      </c>
      <c r="CE2064" s="2">
        <v>19.8472483662012</v>
      </c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</row>
    <row r="2065" spans="1:97">
      <c r="A2065" s="2" t="s">
        <v>17998</v>
      </c>
      <c r="B2065" s="2">
        <v>664.45776000000001</v>
      </c>
      <c r="C2065" s="2">
        <v>11.382</v>
      </c>
      <c r="D2065" s="2" t="s">
        <v>84</v>
      </c>
      <c r="E2065" s="2" t="s">
        <v>17999</v>
      </c>
      <c r="F2065" s="2" t="s">
        <v>18000</v>
      </c>
      <c r="G2065" s="2">
        <v>243271</v>
      </c>
      <c r="H2065" s="3" t="str">
        <f>HYPERLINK("https://cloud.oebiotech.com/#/lm/network/243271", "https://cloud.oebiotech.com/#/lm/network/243271")</f>
        <v>https://cloud.oebiotech.com/#/lm/network/243271</v>
      </c>
      <c r="I2065" s="2" t="s">
        <v>18001</v>
      </c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 t="s">
        <v>18002</v>
      </c>
      <c r="U2065" s="2" t="s">
        <v>18003</v>
      </c>
      <c r="V2065" s="2" t="s">
        <v>95</v>
      </c>
      <c r="W2065" s="2" t="s">
        <v>2361</v>
      </c>
      <c r="X2065" s="2" t="s">
        <v>18004</v>
      </c>
      <c r="Y2065" s="2" t="s">
        <v>98</v>
      </c>
      <c r="Z2065" s="2" t="s">
        <v>2363</v>
      </c>
      <c r="AA2065" s="2" t="s">
        <v>18005</v>
      </c>
      <c r="AB2065" s="2" t="s">
        <v>8443</v>
      </c>
      <c r="AC2065" s="2">
        <v>38.28</v>
      </c>
      <c r="AD2065" s="2">
        <v>74.12</v>
      </c>
      <c r="AE2065" s="2">
        <v>0</v>
      </c>
      <c r="AF2065" s="2" t="s">
        <v>5614</v>
      </c>
      <c r="AG2065" s="2" t="s">
        <v>3544</v>
      </c>
      <c r="AH2065" s="2" t="s">
        <v>18006</v>
      </c>
      <c r="AI2065" s="2">
        <v>-4.3600000000000003</v>
      </c>
      <c r="AJ2065" s="2">
        <v>19.282651307305699</v>
      </c>
      <c r="AK2065" s="2">
        <v>19.659496532415002</v>
      </c>
      <c r="AL2065" s="2">
        <v>19.126288275988099</v>
      </c>
      <c r="AM2065" s="2">
        <v>19.169365180271399</v>
      </c>
      <c r="AN2065" s="2">
        <v>19.701349243947501</v>
      </c>
      <c r="AO2065" s="2">
        <v>19.287231791895099</v>
      </c>
      <c r="AP2065" s="2">
        <v>19.611135053414898</v>
      </c>
      <c r="AQ2065" s="2">
        <v>20.0490630700941</v>
      </c>
      <c r="AR2065" s="2">
        <v>19.337815060484999</v>
      </c>
      <c r="AS2065" s="2">
        <v>18.311080676431502</v>
      </c>
      <c r="AT2065" s="2">
        <v>18.2841578473844</v>
      </c>
      <c r="AU2065" s="2">
        <v>18.995350194066301</v>
      </c>
      <c r="AV2065" s="2">
        <v>19.389407055979198</v>
      </c>
      <c r="AW2065" s="2">
        <v>19.196914483898802</v>
      </c>
      <c r="AX2065" s="2">
        <v>19.702010730969899</v>
      </c>
      <c r="AY2065" s="2">
        <v>19.5789384367698</v>
      </c>
      <c r="AZ2065" s="2">
        <v>19.754911244236801</v>
      </c>
      <c r="BA2065" s="2">
        <v>18.849104477616802</v>
      </c>
      <c r="BB2065" s="2">
        <v>19.2779470283518</v>
      </c>
      <c r="BC2065" s="2">
        <v>19.558243601834999</v>
      </c>
      <c r="BD2065" s="2">
        <v>19.289519237539398</v>
      </c>
      <c r="BE2065" s="2">
        <v>19.117741986036801</v>
      </c>
      <c r="BF2065" s="2">
        <v>19.063264246848501</v>
      </c>
      <c r="BG2065" s="2">
        <v>19.749835522198801</v>
      </c>
      <c r="BH2065" s="2">
        <v>19.317727855285401</v>
      </c>
      <c r="BI2065" s="2">
        <v>19.206355237267601</v>
      </c>
      <c r="BJ2065" s="2">
        <v>19.543912367054201</v>
      </c>
      <c r="BK2065" s="2">
        <v>19.014668764560501</v>
      </c>
      <c r="BL2065" s="2">
        <v>19.966729447438201</v>
      </c>
      <c r="BM2065" s="2">
        <v>18.983280111697301</v>
      </c>
      <c r="BN2065" s="2">
        <v>19.3044533993152</v>
      </c>
      <c r="BO2065" s="2">
        <v>19.3506121889646</v>
      </c>
      <c r="BP2065" s="2">
        <v>19.574430087782499</v>
      </c>
      <c r="BQ2065" s="2">
        <v>19.6936849190452</v>
      </c>
      <c r="BR2065" s="2">
        <v>19.559968456946599</v>
      </c>
      <c r="BS2065" s="2">
        <v>19.511983151587799</v>
      </c>
      <c r="BT2065" s="2">
        <v>18.891655800735201</v>
      </c>
      <c r="BU2065" s="2">
        <v>19.056934938726499</v>
      </c>
      <c r="BV2065" s="2">
        <v>19.707335268525402</v>
      </c>
      <c r="BW2065" s="2">
        <v>18.7848149220086</v>
      </c>
      <c r="BX2065" s="2">
        <v>19.431959043839299</v>
      </c>
      <c r="BY2065" s="2">
        <v>20.133453876598601</v>
      </c>
      <c r="BZ2065" s="2">
        <v>19.1881576899933</v>
      </c>
      <c r="CA2065" s="2">
        <v>19.462663880569099</v>
      </c>
      <c r="CB2065" s="2">
        <v>19.756311758992901</v>
      </c>
      <c r="CC2065" s="2">
        <v>18.741263342513101</v>
      </c>
      <c r="CD2065" s="2">
        <v>19.427397497342199</v>
      </c>
      <c r="CE2065" s="2">
        <v>18.409581536976901</v>
      </c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</row>
    <row r="2066" spans="1:97">
      <c r="A2066" s="2" t="s">
        <v>18007</v>
      </c>
      <c r="B2066" s="2">
        <v>225.18555000000001</v>
      </c>
      <c r="C2066" s="2">
        <v>9.1620000000000008</v>
      </c>
      <c r="D2066" s="2" t="s">
        <v>146</v>
      </c>
      <c r="E2066" s="2" t="s">
        <v>18008</v>
      </c>
      <c r="F2066" s="2" t="s">
        <v>18009</v>
      </c>
      <c r="G2066" s="2">
        <v>56767</v>
      </c>
      <c r="H2066" s="3" t="str">
        <f>HYPERLINK("https://cloud.oebiotech.com/#/lm/network/56767", "https://cloud.oebiotech.com/#/lm/network/56767")</f>
        <v>https://cloud.oebiotech.com/#/lm/network/56767</v>
      </c>
      <c r="I2066" s="2" t="s">
        <v>18010</v>
      </c>
      <c r="J2066" s="2">
        <v>88441</v>
      </c>
      <c r="K2066" s="2"/>
      <c r="L2066" s="2">
        <v>16734862</v>
      </c>
      <c r="M2066" s="2"/>
      <c r="N2066" s="2"/>
      <c r="O2066" s="2"/>
      <c r="P2066" s="2"/>
      <c r="Q2066" s="2"/>
      <c r="R2066" s="2"/>
      <c r="S2066" s="2" t="s">
        <v>18011</v>
      </c>
      <c r="T2066" s="2" t="s">
        <v>18012</v>
      </c>
      <c r="U2066" s="2" t="s">
        <v>18013</v>
      </c>
      <c r="V2066" s="2" t="s">
        <v>95</v>
      </c>
      <c r="W2066" s="2" t="s">
        <v>180</v>
      </c>
      <c r="X2066" s="2" t="s">
        <v>5048</v>
      </c>
      <c r="Y2066" s="2" t="s">
        <v>98</v>
      </c>
      <c r="Z2066" s="2" t="s">
        <v>182</v>
      </c>
      <c r="AA2066" s="2" t="s">
        <v>5049</v>
      </c>
      <c r="AB2066" s="2" t="s">
        <v>8443</v>
      </c>
      <c r="AC2066" s="2">
        <v>38.28</v>
      </c>
      <c r="AD2066" s="2">
        <v>91.4</v>
      </c>
      <c r="AE2066" s="2">
        <v>0</v>
      </c>
      <c r="AF2066" s="2" t="s">
        <v>18014</v>
      </c>
      <c r="AG2066" s="2" t="s">
        <v>993</v>
      </c>
      <c r="AH2066" s="2" t="s">
        <v>3555</v>
      </c>
      <c r="AI2066" s="2">
        <v>-0.44</v>
      </c>
      <c r="AJ2066" s="2">
        <v>17.557359588295299</v>
      </c>
      <c r="AK2066" s="2">
        <v>17.339277639810302</v>
      </c>
      <c r="AL2066" s="2">
        <v>17.7130209481099</v>
      </c>
      <c r="AM2066" s="2">
        <v>17.928644728140199</v>
      </c>
      <c r="AN2066" s="2">
        <v>17.743969464394802</v>
      </c>
      <c r="AO2066" s="2">
        <v>17.579653955961799</v>
      </c>
      <c r="AP2066" s="2">
        <v>17.390459270037098</v>
      </c>
      <c r="AQ2066" s="2">
        <v>17.3052667097095</v>
      </c>
      <c r="AR2066" s="2">
        <v>14.6758104191043</v>
      </c>
      <c r="AS2066" s="2">
        <v>16.388030575035401</v>
      </c>
      <c r="AT2066" s="2">
        <v>18.130323503452999</v>
      </c>
      <c r="AU2066" s="2">
        <v>15.7352384162366</v>
      </c>
      <c r="AV2066" s="2">
        <v>15.8772376344289</v>
      </c>
      <c r="AW2066" s="2">
        <v>16.894048119117102</v>
      </c>
      <c r="AX2066" s="2">
        <v>17.057711716661</v>
      </c>
      <c r="AY2066" s="2">
        <v>17.156642964221898</v>
      </c>
      <c r="AZ2066" s="2">
        <v>13.703032979951701</v>
      </c>
      <c r="BA2066" s="2">
        <v>17.8986336828365</v>
      </c>
      <c r="BB2066" s="2">
        <v>18.941384695334001</v>
      </c>
      <c r="BC2066" s="2">
        <v>18.788284309493001</v>
      </c>
      <c r="BD2066" s="2">
        <v>14.8805525696571</v>
      </c>
      <c r="BE2066" s="2">
        <v>17.029896813705001</v>
      </c>
      <c r="BF2066" s="2">
        <v>16.860862921838599</v>
      </c>
      <c r="BG2066" s="2">
        <v>18.265837108547998</v>
      </c>
      <c r="BH2066" s="2">
        <v>16.790096196532399</v>
      </c>
      <c r="BI2066" s="2">
        <v>18.500823133236</v>
      </c>
      <c r="BJ2066" s="2">
        <v>17.033384713857799</v>
      </c>
      <c r="BK2066" s="2">
        <v>15.264689259465399</v>
      </c>
      <c r="BL2066" s="2">
        <v>18.403431422329099</v>
      </c>
      <c r="BM2066" s="2">
        <v>15.46376988896</v>
      </c>
      <c r="BN2066" s="2">
        <v>16.898825964440402</v>
      </c>
      <c r="BO2066" s="2">
        <v>18.138286801498399</v>
      </c>
      <c r="BP2066" s="2">
        <v>17.741074816260301</v>
      </c>
      <c r="BQ2066" s="2">
        <v>18.539889843133299</v>
      </c>
      <c r="BR2066" s="2">
        <v>17.728757632393499</v>
      </c>
      <c r="BS2066" s="2">
        <v>15.149164002387799</v>
      </c>
      <c r="BT2066" s="2">
        <v>16.940607360333701</v>
      </c>
      <c r="BU2066" s="2">
        <v>17.920120087607799</v>
      </c>
      <c r="BV2066" s="2">
        <v>17.725809841853799</v>
      </c>
      <c r="BW2066" s="2">
        <v>18.056578395336601</v>
      </c>
      <c r="BX2066" s="2">
        <v>17.374152581708898</v>
      </c>
      <c r="BY2066" s="2">
        <v>16.129524720572899</v>
      </c>
      <c r="BZ2066" s="2">
        <v>17.485738445731901</v>
      </c>
      <c r="CA2066" s="2">
        <v>16.604468241228499</v>
      </c>
      <c r="CB2066" s="2">
        <v>17.705531214284299</v>
      </c>
      <c r="CC2066" s="2">
        <v>18.186326342302198</v>
      </c>
      <c r="CD2066" s="2">
        <v>16.5588909116913</v>
      </c>
      <c r="CE2066" s="2">
        <v>17.462475672342698</v>
      </c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</row>
    <row r="2067" spans="1:97">
      <c r="A2067" s="2" t="s">
        <v>18015</v>
      </c>
      <c r="B2067" s="2">
        <v>85.963390000000004</v>
      </c>
      <c r="C2067" s="2">
        <v>0.58199999999999996</v>
      </c>
      <c r="D2067" s="2" t="s">
        <v>84</v>
      </c>
      <c r="E2067" s="2" t="s">
        <v>18016</v>
      </c>
      <c r="F2067" s="2" t="s">
        <v>18017</v>
      </c>
      <c r="G2067" s="2">
        <v>47987</v>
      </c>
      <c r="H2067" s="3" t="str">
        <f>HYPERLINK("https://cloud.oebiotech.com/#/lm/network/47987", "https://cloud.oebiotech.com/#/lm/network/47987")</f>
        <v>https://cloud.oebiotech.com/#/lm/network/47987</v>
      </c>
      <c r="I2067" s="2" t="s">
        <v>18018</v>
      </c>
      <c r="J2067" s="2">
        <v>354711</v>
      </c>
      <c r="K2067" s="2"/>
      <c r="L2067" s="2">
        <v>24529</v>
      </c>
      <c r="M2067" s="2" t="s">
        <v>18019</v>
      </c>
      <c r="N2067" s="2" t="s">
        <v>11024</v>
      </c>
      <c r="O2067" s="2" t="s">
        <v>11025</v>
      </c>
      <c r="P2067" s="2">
        <v>25567</v>
      </c>
      <c r="Q2067" s="2" t="s">
        <v>18020</v>
      </c>
      <c r="R2067" s="2" t="s">
        <v>18021</v>
      </c>
      <c r="S2067" s="2" t="s">
        <v>18022</v>
      </c>
      <c r="T2067" s="2" t="s">
        <v>18023</v>
      </c>
      <c r="U2067" s="2" t="s">
        <v>18024</v>
      </c>
      <c r="V2067" s="2" t="s">
        <v>2756</v>
      </c>
      <c r="W2067" s="2" t="s">
        <v>2757</v>
      </c>
      <c r="X2067" s="2" t="s">
        <v>18025</v>
      </c>
      <c r="Y2067" s="2" t="s">
        <v>2759</v>
      </c>
      <c r="Z2067" s="2" t="s">
        <v>2760</v>
      </c>
      <c r="AA2067" s="2" t="s">
        <v>18026</v>
      </c>
      <c r="AB2067" s="2" t="s">
        <v>8443</v>
      </c>
      <c r="AC2067" s="2">
        <v>38.270000000000003</v>
      </c>
      <c r="AD2067" s="2">
        <v>72.89</v>
      </c>
      <c r="AE2067" s="2">
        <v>0</v>
      </c>
      <c r="AF2067" s="2" t="s">
        <v>5614</v>
      </c>
      <c r="AG2067" s="2" t="s">
        <v>3544</v>
      </c>
      <c r="AH2067" s="2" t="s">
        <v>18027</v>
      </c>
      <c r="AI2067" s="2">
        <v>5.7</v>
      </c>
      <c r="AJ2067" s="2">
        <v>21.771527568451901</v>
      </c>
      <c r="AK2067" s="2">
        <v>21.6462802687162</v>
      </c>
      <c r="AL2067" s="2">
        <v>21.895683810275099</v>
      </c>
      <c r="AM2067" s="2">
        <v>21.642505285105099</v>
      </c>
      <c r="AN2067" s="2">
        <v>21.8591489301538</v>
      </c>
      <c r="AO2067" s="2">
        <v>21.682581981105901</v>
      </c>
      <c r="AP2067" s="2">
        <v>21.462463280690301</v>
      </c>
      <c r="AQ2067" s="2">
        <v>21.876418287737099</v>
      </c>
      <c r="AR2067" s="2">
        <v>21.302010707936301</v>
      </c>
      <c r="AS2067" s="2">
        <v>21.086358336885301</v>
      </c>
      <c r="AT2067" s="2">
        <v>21.7583332611236</v>
      </c>
      <c r="AU2067" s="2">
        <v>21.416747370745501</v>
      </c>
      <c r="AV2067" s="2">
        <v>21.6891272295011</v>
      </c>
      <c r="AW2067" s="2">
        <v>21.552307404770499</v>
      </c>
      <c r="AX2067" s="2">
        <v>21.5220806926575</v>
      </c>
      <c r="AY2067" s="2">
        <v>21.700097646961598</v>
      </c>
      <c r="AZ2067" s="2">
        <v>21.565604849978602</v>
      </c>
      <c r="BA2067" s="2">
        <v>21.516728965377698</v>
      </c>
      <c r="BB2067" s="2">
        <v>21.769935989974201</v>
      </c>
      <c r="BC2067" s="2">
        <v>21.392688176282299</v>
      </c>
      <c r="BD2067" s="2">
        <v>21.6256904249373</v>
      </c>
      <c r="BE2067" s="2">
        <v>21.190523914876302</v>
      </c>
      <c r="BF2067" s="2">
        <v>21.835193071696899</v>
      </c>
      <c r="BG2067" s="2">
        <v>21.530405946536799</v>
      </c>
      <c r="BH2067" s="2">
        <v>21.666509158322</v>
      </c>
      <c r="BI2067" s="2">
        <v>21.4219690165333</v>
      </c>
      <c r="BJ2067" s="2">
        <v>21.511228135926199</v>
      </c>
      <c r="BK2067" s="2">
        <v>21.615957822421102</v>
      </c>
      <c r="BL2067" s="2">
        <v>21.520783881439201</v>
      </c>
      <c r="BM2067" s="2">
        <v>21.533201924326999</v>
      </c>
      <c r="BN2067" s="2">
        <v>21.528602417291001</v>
      </c>
      <c r="BO2067" s="2">
        <v>21.392239240295599</v>
      </c>
      <c r="BP2067" s="2">
        <v>21.490993368461201</v>
      </c>
      <c r="BQ2067" s="2">
        <v>21.526736403711599</v>
      </c>
      <c r="BR2067" s="2">
        <v>21.3151794039237</v>
      </c>
      <c r="BS2067" s="2">
        <v>21.740840914478099</v>
      </c>
      <c r="BT2067" s="2">
        <v>21.531209838024701</v>
      </c>
      <c r="BU2067" s="2">
        <v>21.598460318363401</v>
      </c>
      <c r="BV2067" s="2">
        <v>21.834271971888001</v>
      </c>
      <c r="BW2067" s="2">
        <v>21.786559288934001</v>
      </c>
      <c r="BX2067" s="2">
        <v>21.621324166621399</v>
      </c>
      <c r="BY2067" s="2">
        <v>22.002984902202599</v>
      </c>
      <c r="BZ2067" s="2">
        <v>21.871220579665099</v>
      </c>
      <c r="CA2067" s="2">
        <v>21.2112662745484</v>
      </c>
      <c r="CB2067" s="2">
        <v>21.688993627270101</v>
      </c>
      <c r="CC2067" s="2">
        <v>21.3889852776833</v>
      </c>
      <c r="CD2067" s="2">
        <v>21.839923411109901</v>
      </c>
      <c r="CE2067" s="2">
        <v>21.8350488111769</v>
      </c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</row>
    <row r="2068" spans="1:97">
      <c r="A2068" s="2" t="s">
        <v>18028</v>
      </c>
      <c r="B2068" s="2">
        <v>215.00158999999999</v>
      </c>
      <c r="C2068" s="2">
        <v>5.226</v>
      </c>
      <c r="D2068" s="2" t="s">
        <v>146</v>
      </c>
      <c r="E2068" s="2" t="s">
        <v>18029</v>
      </c>
      <c r="F2068" s="2" t="s">
        <v>18030</v>
      </c>
      <c r="G2068" s="2">
        <v>197295</v>
      </c>
      <c r="H2068" s="3" t="str">
        <f>HYPERLINK("https://cloud.oebiotech.com/#/lm/network/197295", "https://cloud.oebiotech.com/#/lm/network/197295")</f>
        <v>https://cloud.oebiotech.com/#/lm/network/197295</v>
      </c>
      <c r="I2068" s="2" t="s">
        <v>18031</v>
      </c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 t="s">
        <v>18032</v>
      </c>
      <c r="U2068" s="2" t="s">
        <v>18033</v>
      </c>
      <c r="V2068" s="2" t="s">
        <v>115</v>
      </c>
      <c r="W2068" s="2" t="s">
        <v>613</v>
      </c>
      <c r="X2068" s="2" t="s">
        <v>614</v>
      </c>
      <c r="Y2068" s="2" t="s">
        <v>118</v>
      </c>
      <c r="Z2068" s="2" t="s">
        <v>615</v>
      </c>
      <c r="AA2068" s="2" t="s">
        <v>616</v>
      </c>
      <c r="AB2068" s="2" t="s">
        <v>8443</v>
      </c>
      <c r="AC2068" s="2">
        <v>38.270000000000003</v>
      </c>
      <c r="AD2068" s="2">
        <v>91.33</v>
      </c>
      <c r="AE2068" s="2">
        <v>0</v>
      </c>
      <c r="AF2068" s="2" t="s">
        <v>18034</v>
      </c>
      <c r="AG2068" s="2" t="s">
        <v>993</v>
      </c>
      <c r="AH2068" s="2" t="s">
        <v>12068</v>
      </c>
      <c r="AI2068" s="2">
        <v>-0.93</v>
      </c>
      <c r="AJ2068" s="2">
        <v>18.5205812377638</v>
      </c>
      <c r="AK2068" s="2">
        <v>18.715386730128198</v>
      </c>
      <c r="AL2068" s="2">
        <v>18.786227408441299</v>
      </c>
      <c r="AM2068" s="2">
        <v>18.614574736080499</v>
      </c>
      <c r="AN2068" s="2">
        <v>18.599578266571601</v>
      </c>
      <c r="AO2068" s="2">
        <v>18.7125882913768</v>
      </c>
      <c r="AP2068" s="2">
        <v>18.541554760152199</v>
      </c>
      <c r="AQ2068" s="2">
        <v>18.6500182812938</v>
      </c>
      <c r="AR2068" s="2">
        <v>15.158404171576599</v>
      </c>
      <c r="AS2068" s="2">
        <v>14.1628499661495</v>
      </c>
      <c r="AT2068" s="2">
        <v>11.658715802204901</v>
      </c>
      <c r="AU2068" s="2">
        <v>16.2479847944774</v>
      </c>
      <c r="AV2068" s="2">
        <v>19.1235819981103</v>
      </c>
      <c r="AW2068" s="2">
        <v>17.323080980044001</v>
      </c>
      <c r="AX2068" s="2">
        <v>13.951185435187799</v>
      </c>
      <c r="AY2068" s="2">
        <v>16.5205502393068</v>
      </c>
      <c r="AZ2068" s="2">
        <v>16.006926053870199</v>
      </c>
      <c r="BA2068" s="2">
        <v>16.9120966370525</v>
      </c>
      <c r="BB2068" s="2">
        <v>16.673806903871402</v>
      </c>
      <c r="BC2068" s="2">
        <v>21.434786000545799</v>
      </c>
      <c r="BD2068" s="2">
        <v>15.714626804638</v>
      </c>
      <c r="BE2068" s="2">
        <v>16.313857855622601</v>
      </c>
      <c r="BF2068" s="2">
        <v>18.7886173101727</v>
      </c>
      <c r="BG2068" s="2">
        <v>17.071323248405001</v>
      </c>
      <c r="BH2068" s="2">
        <v>17.049855567260199</v>
      </c>
      <c r="BI2068" s="2">
        <v>19.093005273737599</v>
      </c>
      <c r="BJ2068" s="2">
        <v>18.172268542851199</v>
      </c>
      <c r="BK2068" s="2">
        <v>17.331098883670901</v>
      </c>
      <c r="BL2068" s="2">
        <v>15.3794389519507</v>
      </c>
      <c r="BM2068" s="2">
        <v>18.491673648408799</v>
      </c>
      <c r="BN2068" s="2">
        <v>17.595514354119</v>
      </c>
      <c r="BO2068" s="2">
        <v>16.175192419142899</v>
      </c>
      <c r="BP2068" s="2">
        <v>17.9898148439651</v>
      </c>
      <c r="BQ2068" s="2">
        <v>18.253858746767499</v>
      </c>
      <c r="BR2068" s="2">
        <v>16.592424917323701</v>
      </c>
      <c r="BS2068" s="2">
        <v>19.832114735480602</v>
      </c>
      <c r="BT2068" s="2">
        <v>15.9861415781159</v>
      </c>
      <c r="BU2068" s="2">
        <v>16.378017075148499</v>
      </c>
      <c r="BV2068" s="2">
        <v>16.845432469405601</v>
      </c>
      <c r="BW2068" s="2">
        <v>18.814232651559202</v>
      </c>
      <c r="BX2068" s="2">
        <v>18.5841572688254</v>
      </c>
      <c r="BY2068" s="2">
        <v>21.977955738463699</v>
      </c>
      <c r="BZ2068" s="2">
        <v>15.4332003972645</v>
      </c>
      <c r="CA2068" s="2">
        <v>15.4722713458969</v>
      </c>
      <c r="CB2068" s="2">
        <v>15.5826530220846</v>
      </c>
      <c r="CC2068" s="2">
        <v>17.724158491346898</v>
      </c>
      <c r="CD2068" s="2">
        <v>20.557296299517098</v>
      </c>
      <c r="CE2068" s="2">
        <v>16.117865258995099</v>
      </c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</row>
    <row r="2069" spans="1:97">
      <c r="A2069" s="2" t="s">
        <v>18035</v>
      </c>
      <c r="B2069" s="2">
        <v>205.05986999999999</v>
      </c>
      <c r="C2069" s="2">
        <v>5.67</v>
      </c>
      <c r="D2069" s="2" t="s">
        <v>84</v>
      </c>
      <c r="E2069" s="2" t="s">
        <v>18036</v>
      </c>
      <c r="F2069" s="2" t="s">
        <v>18037</v>
      </c>
      <c r="G2069" s="2">
        <v>205986</v>
      </c>
      <c r="H2069" s="3" t="str">
        <f>HYPERLINK("https://cloud.oebiotech.com/#/lm/network/205986", "https://cloud.oebiotech.com/#/lm/network/205986")</f>
        <v>https://cloud.oebiotech.com/#/lm/network/205986</v>
      </c>
      <c r="I2069" s="2" t="s">
        <v>18038</v>
      </c>
      <c r="J2069" s="2">
        <v>436419</v>
      </c>
      <c r="K2069" s="2"/>
      <c r="L2069" s="2">
        <v>74162</v>
      </c>
      <c r="M2069" s="2" t="s">
        <v>18039</v>
      </c>
      <c r="N2069" s="2"/>
      <c r="O2069" s="2"/>
      <c r="P2069" s="2">
        <v>16785</v>
      </c>
      <c r="Q2069" s="2"/>
      <c r="R2069" s="2"/>
      <c r="S2069" s="2"/>
      <c r="T2069" s="2" t="s">
        <v>18040</v>
      </c>
      <c r="U2069" s="2" t="s">
        <v>18041</v>
      </c>
      <c r="V2069" s="2" t="s">
        <v>115</v>
      </c>
      <c r="W2069" s="2" t="s">
        <v>4566</v>
      </c>
      <c r="X2069" s="2" t="s">
        <v>4567</v>
      </c>
      <c r="Y2069" s="2" t="s">
        <v>118</v>
      </c>
      <c r="Z2069" s="2" t="s">
        <v>4568</v>
      </c>
      <c r="AA2069" s="2" t="s">
        <v>4569</v>
      </c>
      <c r="AB2069" s="2" t="s">
        <v>8443</v>
      </c>
      <c r="AC2069" s="2">
        <v>38.270000000000003</v>
      </c>
      <c r="AD2069" s="2">
        <v>91.35</v>
      </c>
      <c r="AE2069" s="2">
        <v>0</v>
      </c>
      <c r="AF2069" s="2" t="s">
        <v>18042</v>
      </c>
      <c r="AG2069" s="2" t="s">
        <v>1578</v>
      </c>
      <c r="AH2069" s="2" t="s">
        <v>18043</v>
      </c>
      <c r="AI2069" s="2">
        <v>0.49</v>
      </c>
      <c r="AJ2069" s="2">
        <v>22.150576496690501</v>
      </c>
      <c r="AK2069" s="2">
        <v>23.590060613837998</v>
      </c>
      <c r="AL2069" s="2">
        <v>23.069235860814899</v>
      </c>
      <c r="AM2069" s="2">
        <v>23.224095542611199</v>
      </c>
      <c r="AN2069" s="2">
        <v>23.2537517447679</v>
      </c>
      <c r="AO2069" s="2">
        <v>23.450049380877001</v>
      </c>
      <c r="AP2069" s="2">
        <v>23.2203600729346</v>
      </c>
      <c r="AQ2069" s="2">
        <v>23.191383332433201</v>
      </c>
      <c r="AR2069" s="2">
        <v>25.272796108800001</v>
      </c>
      <c r="AS2069" s="2">
        <v>23.0143879437693</v>
      </c>
      <c r="AT2069" s="2">
        <v>23.873803627363799</v>
      </c>
      <c r="AU2069" s="2">
        <v>26.280653207335199</v>
      </c>
      <c r="AV2069" s="2">
        <v>27.050394602148199</v>
      </c>
      <c r="AW2069" s="2">
        <v>23.341882735780501</v>
      </c>
      <c r="AX2069" s="2">
        <v>27.6943142279356</v>
      </c>
      <c r="AY2069" s="2">
        <v>25.941821552560199</v>
      </c>
      <c r="AZ2069" s="2">
        <v>22.591456222110999</v>
      </c>
      <c r="BA2069" s="2">
        <v>27.0449793952756</v>
      </c>
      <c r="BB2069" s="2">
        <v>24.8442505635252</v>
      </c>
      <c r="BC2069" s="2">
        <v>25.6027768398225</v>
      </c>
      <c r="BD2069" s="2">
        <v>25.549039139596001</v>
      </c>
      <c r="BE2069" s="2">
        <v>26.125776572721701</v>
      </c>
      <c r="BF2069" s="2">
        <v>24.528788979431301</v>
      </c>
      <c r="BG2069" s="2">
        <v>25.308992680522099</v>
      </c>
      <c r="BH2069" s="2">
        <v>26.585806047668299</v>
      </c>
      <c r="BI2069" s="2">
        <v>23.3518459276236</v>
      </c>
      <c r="BJ2069" s="2">
        <v>26.2615072622154</v>
      </c>
      <c r="BK2069" s="2">
        <v>27.0169588723519</v>
      </c>
      <c r="BL2069" s="2">
        <v>27.124827480276899</v>
      </c>
      <c r="BM2069" s="2">
        <v>26.707199104491099</v>
      </c>
      <c r="BN2069" s="2">
        <v>26.8472389522837</v>
      </c>
      <c r="BO2069" s="2">
        <v>24.1703574959067</v>
      </c>
      <c r="BP2069" s="2">
        <v>27.6391937141243</v>
      </c>
      <c r="BQ2069" s="2">
        <v>26.881458756685099</v>
      </c>
      <c r="BR2069" s="2">
        <v>24.509957617149599</v>
      </c>
      <c r="BS2069" s="2">
        <v>26.161938323557099</v>
      </c>
      <c r="BT2069" s="2">
        <v>27.006987807243199</v>
      </c>
      <c r="BU2069" s="2">
        <v>25.3420334592439</v>
      </c>
      <c r="BV2069" s="2">
        <v>27.6782634322315</v>
      </c>
      <c r="BW2069" s="2">
        <v>26.866935266781301</v>
      </c>
      <c r="BX2069" s="2">
        <v>27.1601988447214</v>
      </c>
      <c r="BY2069" s="2">
        <v>27.448465131369499</v>
      </c>
      <c r="BZ2069" s="2">
        <v>25.824376298075499</v>
      </c>
      <c r="CA2069" s="2">
        <v>26.619231271703299</v>
      </c>
      <c r="CB2069" s="2">
        <v>25.6303026938557</v>
      </c>
      <c r="CC2069" s="2">
        <v>26.046021419792002</v>
      </c>
      <c r="CD2069" s="2">
        <v>25.8551744642768</v>
      </c>
      <c r="CE2069" s="2">
        <v>27.0626362401125</v>
      </c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</row>
    <row r="2070" spans="1:97">
      <c r="A2070" s="2" t="s">
        <v>18044</v>
      </c>
      <c r="B2070" s="2">
        <v>304.07960000000003</v>
      </c>
      <c r="C2070" s="2">
        <v>4.9800000000000004</v>
      </c>
      <c r="D2070" s="2" t="s">
        <v>146</v>
      </c>
      <c r="E2070" s="2" t="s">
        <v>18045</v>
      </c>
      <c r="F2070" s="2" t="s">
        <v>18046</v>
      </c>
      <c r="G2070" s="2">
        <v>53772</v>
      </c>
      <c r="H2070" s="3" t="str">
        <f>HYPERLINK("https://cloud.oebiotech.com/#/lm/network/53772", "https://cloud.oebiotech.com/#/lm/network/53772")</f>
        <v>https://cloud.oebiotech.com/#/lm/network/53772</v>
      </c>
      <c r="I2070" s="2" t="s">
        <v>18047</v>
      </c>
      <c r="J2070" s="2">
        <v>23720</v>
      </c>
      <c r="K2070" s="2"/>
      <c r="L2070" s="2">
        <v>9835143</v>
      </c>
      <c r="M2070" s="2"/>
      <c r="N2070" s="2"/>
      <c r="O2070" s="2"/>
      <c r="P2070" s="2">
        <v>73424</v>
      </c>
      <c r="Q2070" s="2"/>
      <c r="R2070" s="2"/>
      <c r="S2070" s="2" t="s">
        <v>18048</v>
      </c>
      <c r="T2070" s="2" t="s">
        <v>18049</v>
      </c>
      <c r="U2070" s="2" t="s">
        <v>18050</v>
      </c>
      <c r="V2070" s="2" t="s">
        <v>115</v>
      </c>
      <c r="W2070" s="2" t="s">
        <v>116</v>
      </c>
      <c r="X2070" s="2" t="s">
        <v>117</v>
      </c>
      <c r="Y2070" s="2" t="s">
        <v>118</v>
      </c>
      <c r="Z2070" s="2" t="s">
        <v>119</v>
      </c>
      <c r="AA2070" s="2" t="s">
        <v>120</v>
      </c>
      <c r="AB2070" s="2" t="s">
        <v>5118</v>
      </c>
      <c r="AC2070" s="2">
        <v>38.270000000000003</v>
      </c>
      <c r="AD2070" s="2">
        <v>74.150000000000006</v>
      </c>
      <c r="AE2070" s="2">
        <v>63.21</v>
      </c>
      <c r="AF2070" s="2" t="s">
        <v>18051</v>
      </c>
      <c r="AG2070" s="2" t="s">
        <v>4062</v>
      </c>
      <c r="AH2070" s="2" t="s">
        <v>18052</v>
      </c>
      <c r="AI2070" s="2">
        <v>7.23</v>
      </c>
      <c r="AJ2070" s="2">
        <v>16.402789249040701</v>
      </c>
      <c r="AK2070" s="2">
        <v>15.878514616361301</v>
      </c>
      <c r="AL2070" s="2">
        <v>15.994898322607799</v>
      </c>
      <c r="AM2070" s="2">
        <v>16.189087313020099</v>
      </c>
      <c r="AN2070" s="2">
        <v>16.497911854460401</v>
      </c>
      <c r="AO2070" s="2">
        <v>16.132195052640402</v>
      </c>
      <c r="AP2070" s="2">
        <v>16.5646347932834</v>
      </c>
      <c r="AQ2070" s="2">
        <v>15.944755063108699</v>
      </c>
      <c r="AR2070" s="2">
        <v>16.2008727493705</v>
      </c>
      <c r="AS2070" s="2">
        <v>12.6805045769659</v>
      </c>
      <c r="AT2070" s="2">
        <v>14.1167370745656</v>
      </c>
      <c r="AU2070" s="2">
        <v>14.741753474492601</v>
      </c>
      <c r="AV2070" s="2">
        <v>15.373254649406601</v>
      </c>
      <c r="AW2070" s="2">
        <v>17.127248062725901</v>
      </c>
      <c r="AX2070" s="2">
        <v>13.7615865514472</v>
      </c>
      <c r="AY2070" s="2">
        <v>15.5001992318597</v>
      </c>
      <c r="AZ2070" s="2">
        <v>16.823580080582801</v>
      </c>
      <c r="BA2070" s="2">
        <v>14.356105973545899</v>
      </c>
      <c r="BB2070" s="2">
        <v>15.326106768801299</v>
      </c>
      <c r="BC2070" s="2">
        <v>13.4852192537476</v>
      </c>
      <c r="BD2070" s="2">
        <v>15.6893551324704</v>
      </c>
      <c r="BE2070" s="2">
        <v>15.3155858294365</v>
      </c>
      <c r="BF2070" s="2">
        <v>17.405686875763902</v>
      </c>
      <c r="BG2070" s="2">
        <v>16.266351368432701</v>
      </c>
      <c r="BH2070" s="2">
        <v>15.2195285441395</v>
      </c>
      <c r="BI2070" s="2">
        <v>16.6036341680623</v>
      </c>
      <c r="BJ2070" s="2">
        <v>14.7988286842458</v>
      </c>
      <c r="BK2070" s="2">
        <v>15.5248948774405</v>
      </c>
      <c r="BL2070" s="2">
        <v>14.9475611488166</v>
      </c>
      <c r="BM2070" s="2">
        <v>17.093584479830199</v>
      </c>
      <c r="BN2070" s="2">
        <v>16.817280863584799</v>
      </c>
      <c r="BO2070" s="2">
        <v>15.105933464230301</v>
      </c>
      <c r="BP2070" s="2">
        <v>13.0369479945248</v>
      </c>
      <c r="BQ2070" s="2">
        <v>15.337035060656801</v>
      </c>
      <c r="BR2070" s="2">
        <v>15.27541524529</v>
      </c>
      <c r="BS2070" s="2">
        <v>17.328109510908298</v>
      </c>
      <c r="BT2070" s="2">
        <v>9.6233145402724691</v>
      </c>
      <c r="BU2070" s="2">
        <v>16.002043192320901</v>
      </c>
      <c r="BV2070" s="2">
        <v>15.625746222534801</v>
      </c>
      <c r="BW2070" s="2">
        <v>11.770172450580301</v>
      </c>
      <c r="BX2070" s="2">
        <v>15.3975416133278</v>
      </c>
      <c r="BY2070" s="2">
        <v>17.3040674004083</v>
      </c>
      <c r="BZ2070" s="2">
        <v>15.682551626299301</v>
      </c>
      <c r="CA2070" s="2">
        <v>17.5808092054647</v>
      </c>
      <c r="CB2070" s="2">
        <v>13.269527047457</v>
      </c>
      <c r="CC2070" s="2">
        <v>15.848985720098099</v>
      </c>
      <c r="CD2070" s="2">
        <v>16.207427723670101</v>
      </c>
      <c r="CE2070" s="2">
        <v>15.3826584725341</v>
      </c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</row>
    <row r="2071" spans="1:97">
      <c r="A2071" s="2" t="s">
        <v>18053</v>
      </c>
      <c r="B2071" s="2">
        <v>307.11581999999999</v>
      </c>
      <c r="C2071" s="2">
        <v>9.6150000000000002</v>
      </c>
      <c r="D2071" s="2" t="s">
        <v>146</v>
      </c>
      <c r="E2071" s="2" t="s">
        <v>18054</v>
      </c>
      <c r="F2071" s="2" t="s">
        <v>18055</v>
      </c>
      <c r="G2071" s="2">
        <v>209484</v>
      </c>
      <c r="H2071" s="3" t="str">
        <f>HYPERLINK("https://cloud.oebiotech.com/#/lm/network/209484", "https://cloud.oebiotech.com/#/lm/network/209484")</f>
        <v>https://cloud.oebiotech.com/#/lm/network/209484</v>
      </c>
      <c r="I2071" s="2" t="s">
        <v>18056</v>
      </c>
      <c r="J2071" s="2"/>
      <c r="K2071" s="2"/>
      <c r="L2071" s="2">
        <v>2868392</v>
      </c>
      <c r="M2071" s="2"/>
      <c r="N2071" s="2"/>
      <c r="O2071" s="2"/>
      <c r="P2071" s="2">
        <v>91647</v>
      </c>
      <c r="Q2071" s="2"/>
      <c r="R2071" s="2"/>
      <c r="S2071" s="2"/>
      <c r="T2071" s="2" t="s">
        <v>18057</v>
      </c>
      <c r="U2071" s="2" t="s">
        <v>18058</v>
      </c>
      <c r="V2071" s="2" t="s">
        <v>818</v>
      </c>
      <c r="W2071" s="2" t="s">
        <v>819</v>
      </c>
      <c r="X2071" s="2" t="s">
        <v>375</v>
      </c>
      <c r="Y2071" s="2" t="s">
        <v>820</v>
      </c>
      <c r="Z2071" s="2" t="s">
        <v>821</v>
      </c>
      <c r="AA2071" s="2"/>
      <c r="AB2071" s="2" t="s">
        <v>8443</v>
      </c>
      <c r="AC2071" s="2">
        <v>38.270000000000003</v>
      </c>
      <c r="AD2071" s="2">
        <v>91.35</v>
      </c>
      <c r="AE2071" s="2">
        <v>0</v>
      </c>
      <c r="AF2071" s="2" t="s">
        <v>5614</v>
      </c>
      <c r="AG2071" s="2" t="s">
        <v>194</v>
      </c>
      <c r="AH2071" s="2" t="s">
        <v>18059</v>
      </c>
      <c r="AI2071" s="2">
        <v>0.65</v>
      </c>
      <c r="AJ2071" s="2">
        <v>17.132483463069899</v>
      </c>
      <c r="AK2071" s="2">
        <v>16.967711249284999</v>
      </c>
      <c r="AL2071" s="2">
        <v>17.343650539040201</v>
      </c>
      <c r="AM2071" s="2">
        <v>17.4111095766905</v>
      </c>
      <c r="AN2071" s="2">
        <v>17.596354589547602</v>
      </c>
      <c r="AO2071" s="2">
        <v>17.245895346486702</v>
      </c>
      <c r="AP2071" s="2">
        <v>17.406967697225099</v>
      </c>
      <c r="AQ2071" s="2">
        <v>16.9376183026272</v>
      </c>
      <c r="AR2071" s="2">
        <v>17.828803417758401</v>
      </c>
      <c r="AS2071" s="2">
        <v>19.722549674407301</v>
      </c>
      <c r="AT2071" s="2">
        <v>19.4002463843226</v>
      </c>
      <c r="AU2071" s="2">
        <v>19.134493202956101</v>
      </c>
      <c r="AV2071" s="2">
        <v>17.184187102165499</v>
      </c>
      <c r="AW2071" s="2">
        <v>19.539702718761699</v>
      </c>
      <c r="AX2071" s="2">
        <v>18.074188198188299</v>
      </c>
      <c r="AY2071" s="2">
        <v>18.338344584060302</v>
      </c>
      <c r="AZ2071" s="2">
        <v>19.093663907468098</v>
      </c>
      <c r="BA2071" s="2">
        <v>16.728335749110698</v>
      </c>
      <c r="BB2071" s="2">
        <v>19.296758981430202</v>
      </c>
      <c r="BC2071" s="2">
        <v>20.217266920148599</v>
      </c>
      <c r="BD2071" s="2">
        <v>19.061654523484101</v>
      </c>
      <c r="BE2071" s="2">
        <v>19.575089091478201</v>
      </c>
      <c r="BF2071" s="2">
        <v>19.028554179511801</v>
      </c>
      <c r="BG2071" s="2">
        <v>19.6120493679474</v>
      </c>
      <c r="BH2071" s="2">
        <v>19.020995749753698</v>
      </c>
      <c r="BI2071" s="2">
        <v>19.745604477217999</v>
      </c>
      <c r="BJ2071" s="2">
        <v>17.62615497945</v>
      </c>
      <c r="BK2071" s="2">
        <v>18.145283591093399</v>
      </c>
      <c r="BL2071" s="2">
        <v>18.238718018244999</v>
      </c>
      <c r="BM2071" s="2">
        <v>17.8457904177925</v>
      </c>
      <c r="BN2071" s="2">
        <v>17.4873414625145</v>
      </c>
      <c r="BO2071" s="2">
        <v>18.010343921922299</v>
      </c>
      <c r="BP2071" s="2">
        <v>17.876689898930099</v>
      </c>
      <c r="BQ2071" s="2">
        <v>18.3603459280382</v>
      </c>
      <c r="BR2071" s="2">
        <v>19.378729225751101</v>
      </c>
      <c r="BS2071" s="2">
        <v>17.887142358660999</v>
      </c>
      <c r="BT2071" s="2">
        <v>17.1959422323221</v>
      </c>
      <c r="BU2071" s="2">
        <v>19.465033043443899</v>
      </c>
      <c r="BV2071" s="2">
        <v>17.776910334709999</v>
      </c>
      <c r="BW2071" s="2">
        <v>17.786457955578499</v>
      </c>
      <c r="BX2071" s="2">
        <v>17.2144102920265</v>
      </c>
      <c r="BY2071" s="2">
        <v>18.3341157351188</v>
      </c>
      <c r="BZ2071" s="2">
        <v>19.008410785242202</v>
      </c>
      <c r="CA2071" s="2">
        <v>17.572718357748801</v>
      </c>
      <c r="CB2071" s="2">
        <v>19.475032242924399</v>
      </c>
      <c r="CC2071" s="2">
        <v>17.827460000318901</v>
      </c>
      <c r="CD2071" s="2">
        <v>19.0852519487505</v>
      </c>
      <c r="CE2071" s="2">
        <v>18.202605251002399</v>
      </c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</row>
    <row r="2072" spans="1:97">
      <c r="A2072" s="2" t="s">
        <v>18060</v>
      </c>
      <c r="B2072" s="2">
        <v>130.06589</v>
      </c>
      <c r="C2072" s="2">
        <v>6.2160000000000002</v>
      </c>
      <c r="D2072" s="2" t="s">
        <v>146</v>
      </c>
      <c r="E2072" s="2" t="s">
        <v>18061</v>
      </c>
      <c r="F2072" s="2" t="s">
        <v>18062</v>
      </c>
      <c r="G2072" s="2">
        <v>201956</v>
      </c>
      <c r="H2072" s="3" t="str">
        <f>HYPERLINK("https://cloud.oebiotech.com/#/lm/network/201956", "https://cloud.oebiotech.com/#/lm/network/201956")</f>
        <v>https://cloud.oebiotech.com/#/lm/network/201956</v>
      </c>
      <c r="I2072" s="2" t="s">
        <v>18063</v>
      </c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 t="s">
        <v>18064</v>
      </c>
      <c r="U2072" s="2" t="s">
        <v>18065</v>
      </c>
      <c r="V2072" s="2" t="s">
        <v>338</v>
      </c>
      <c r="W2072" s="2" t="s">
        <v>339</v>
      </c>
      <c r="X2072" s="2" t="s">
        <v>340</v>
      </c>
      <c r="Y2072" s="2" t="s">
        <v>341</v>
      </c>
      <c r="Z2072" s="2" t="s">
        <v>341</v>
      </c>
      <c r="AA2072" s="2" t="s">
        <v>342</v>
      </c>
      <c r="AB2072" s="2" t="s">
        <v>8443</v>
      </c>
      <c r="AC2072" s="2">
        <v>38.26</v>
      </c>
      <c r="AD2072" s="2">
        <v>94.75</v>
      </c>
      <c r="AE2072" s="2">
        <v>0</v>
      </c>
      <c r="AF2072" s="2" t="s">
        <v>5614</v>
      </c>
      <c r="AG2072" s="2" t="s">
        <v>993</v>
      </c>
      <c r="AH2072" s="2" t="s">
        <v>9728</v>
      </c>
      <c r="AI2072" s="2">
        <v>-1.69</v>
      </c>
      <c r="AJ2072" s="2">
        <v>19.226060611579999</v>
      </c>
      <c r="AK2072" s="2">
        <v>19.284044018188101</v>
      </c>
      <c r="AL2072" s="2">
        <v>19.134656210367801</v>
      </c>
      <c r="AM2072" s="2">
        <v>19.093011620341599</v>
      </c>
      <c r="AN2072" s="2">
        <v>19.458492845845701</v>
      </c>
      <c r="AO2072" s="2">
        <v>19.282432248355299</v>
      </c>
      <c r="AP2072" s="2">
        <v>19.358020746791301</v>
      </c>
      <c r="AQ2072" s="2">
        <v>19.185584886589499</v>
      </c>
      <c r="AR2072" s="2">
        <v>16.941827082140001</v>
      </c>
      <c r="AS2072" s="2">
        <v>16.489347652050501</v>
      </c>
      <c r="AT2072" s="2">
        <v>13.528833781653001</v>
      </c>
      <c r="AU2072" s="2">
        <v>12.0468341167568</v>
      </c>
      <c r="AV2072" s="2">
        <v>19.926078057742998</v>
      </c>
      <c r="AW2072" s="2">
        <v>19.558986621491101</v>
      </c>
      <c r="AX2072" s="2">
        <v>17.606977038525699</v>
      </c>
      <c r="AY2072" s="2">
        <v>18.467679216008801</v>
      </c>
      <c r="AZ2072" s="2">
        <v>20.077049830737199</v>
      </c>
      <c r="BA2072" s="2">
        <v>17.850281838643401</v>
      </c>
      <c r="BB2072" s="2">
        <v>17.439693661084</v>
      </c>
      <c r="BC2072" s="2">
        <v>17.534205216939299</v>
      </c>
      <c r="BD2072" s="2">
        <v>20.055969406383099</v>
      </c>
      <c r="BE2072" s="2">
        <v>20.935305599951</v>
      </c>
      <c r="BF2072" s="2">
        <v>17.188229807791799</v>
      </c>
      <c r="BG2072" s="2">
        <v>17.0706925620383</v>
      </c>
      <c r="BH2072" s="2">
        <v>21.172473632307899</v>
      </c>
      <c r="BI2072" s="2">
        <v>15.505327763161</v>
      </c>
      <c r="BJ2072" s="2">
        <v>18.616186186106699</v>
      </c>
      <c r="BK2072" s="2">
        <v>17.5385303583788</v>
      </c>
      <c r="BL2072" s="2">
        <v>18.867296086652001</v>
      </c>
      <c r="BM2072" s="2">
        <v>9.6233145402724691</v>
      </c>
      <c r="BN2072" s="2">
        <v>15.1162940021827</v>
      </c>
      <c r="BO2072" s="2">
        <v>14.922838951637599</v>
      </c>
      <c r="BP2072" s="2">
        <v>16.259627974394501</v>
      </c>
      <c r="BQ2072" s="2">
        <v>20.0717416110081</v>
      </c>
      <c r="BR2072" s="2">
        <v>15.556829930174899</v>
      </c>
      <c r="BS2072" s="2">
        <v>18.809582003016398</v>
      </c>
      <c r="BT2072" s="2">
        <v>19.6330902136921</v>
      </c>
      <c r="BU2072" s="2">
        <v>18.2840693972046</v>
      </c>
      <c r="BV2072" s="2">
        <v>15.057080446180199</v>
      </c>
      <c r="BW2072" s="2">
        <v>17.4361381169537</v>
      </c>
      <c r="BX2072" s="2">
        <v>19.838758291164002</v>
      </c>
      <c r="BY2072" s="2">
        <v>19.8596166326668</v>
      </c>
      <c r="BZ2072" s="2">
        <v>18.674317285906302</v>
      </c>
      <c r="CA2072" s="2">
        <v>9.6233145402724691</v>
      </c>
      <c r="CB2072" s="2">
        <v>18.453192369604999</v>
      </c>
      <c r="CC2072" s="2">
        <v>13.5879099213468</v>
      </c>
      <c r="CD2072" s="2">
        <v>18.662210124974202</v>
      </c>
      <c r="CE2072" s="2">
        <v>16.648343817914199</v>
      </c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</row>
    <row r="2073" spans="1:97">
      <c r="A2073" s="2" t="s">
        <v>18066</v>
      </c>
      <c r="B2073" s="2">
        <v>573.13577999999995</v>
      </c>
      <c r="C2073" s="2">
        <v>8.2270000000000003</v>
      </c>
      <c r="D2073" s="2" t="s">
        <v>146</v>
      </c>
      <c r="E2073" s="2" t="s">
        <v>18067</v>
      </c>
      <c r="F2073" s="2" t="s">
        <v>18068</v>
      </c>
      <c r="G2073" s="2">
        <v>55581</v>
      </c>
      <c r="H2073" s="3" t="str">
        <f>HYPERLINK("https://cloud.oebiotech.com/#/lm/network/55581", "https://cloud.oebiotech.com/#/lm/network/55581")</f>
        <v>https://cloud.oebiotech.com/#/lm/network/55581</v>
      </c>
      <c r="I2073" s="2" t="s">
        <v>18069</v>
      </c>
      <c r="J2073" s="2">
        <v>87233</v>
      </c>
      <c r="K2073" s="2"/>
      <c r="L2073" s="2">
        <v>179521</v>
      </c>
      <c r="M2073" s="2"/>
      <c r="N2073" s="2"/>
      <c r="O2073" s="2"/>
      <c r="P2073" s="2">
        <v>133815</v>
      </c>
      <c r="Q2073" s="2"/>
      <c r="R2073" s="2"/>
      <c r="S2073" s="2" t="s">
        <v>18070</v>
      </c>
      <c r="T2073" s="2" t="s">
        <v>18071</v>
      </c>
      <c r="U2073" s="2" t="s">
        <v>18072</v>
      </c>
      <c r="V2073" s="2" t="s">
        <v>553</v>
      </c>
      <c r="W2073" s="2" t="s">
        <v>2629</v>
      </c>
      <c r="X2073" s="2" t="s">
        <v>18073</v>
      </c>
      <c r="Y2073" s="2" t="s">
        <v>556</v>
      </c>
      <c r="Z2073" s="2" t="s">
        <v>2630</v>
      </c>
      <c r="AA2073" s="2" t="s">
        <v>18074</v>
      </c>
      <c r="AB2073" s="2" t="s">
        <v>8443</v>
      </c>
      <c r="AC2073" s="2">
        <v>38.26</v>
      </c>
      <c r="AD2073" s="2">
        <v>77.7</v>
      </c>
      <c r="AE2073" s="2">
        <v>0</v>
      </c>
      <c r="AF2073" s="2" t="s">
        <v>18075</v>
      </c>
      <c r="AG2073" s="2" t="s">
        <v>993</v>
      </c>
      <c r="AH2073" s="2" t="s">
        <v>18076</v>
      </c>
      <c r="AI2073" s="2">
        <v>6.8</v>
      </c>
      <c r="AJ2073" s="2">
        <v>17.6880091567118</v>
      </c>
      <c r="AK2073" s="2">
        <v>17.943335260516101</v>
      </c>
      <c r="AL2073" s="2">
        <v>18.060579628286099</v>
      </c>
      <c r="AM2073" s="2">
        <v>18.0625436020708</v>
      </c>
      <c r="AN2073" s="2">
        <v>18.442531015058599</v>
      </c>
      <c r="AO2073" s="2">
        <v>18.310338833515601</v>
      </c>
      <c r="AP2073" s="2">
        <v>18.1042196748725</v>
      </c>
      <c r="AQ2073" s="2">
        <v>18.242327010844601</v>
      </c>
      <c r="AR2073" s="2">
        <v>18.235363062119301</v>
      </c>
      <c r="AS2073" s="2">
        <v>9.6233145402724691</v>
      </c>
      <c r="AT2073" s="2">
        <v>15.799678014719399</v>
      </c>
      <c r="AU2073" s="2">
        <v>16.6260323859312</v>
      </c>
      <c r="AV2073" s="2">
        <v>20.123523258925101</v>
      </c>
      <c r="AW2073" s="2">
        <v>20.040592030316098</v>
      </c>
      <c r="AX2073" s="2">
        <v>19.699001586467201</v>
      </c>
      <c r="AY2073" s="2">
        <v>19.080718577257102</v>
      </c>
      <c r="AZ2073" s="2">
        <v>17.801186070410601</v>
      </c>
      <c r="BA2073" s="2">
        <v>15.5799107498484</v>
      </c>
      <c r="BB2073" s="2">
        <v>15.807863539383</v>
      </c>
      <c r="BC2073" s="2">
        <v>17.3716328780582</v>
      </c>
      <c r="BD2073" s="2">
        <v>19.540765215836998</v>
      </c>
      <c r="BE2073" s="2">
        <v>18.3911581937619</v>
      </c>
      <c r="BF2073" s="2">
        <v>18.6829840598784</v>
      </c>
      <c r="BG2073" s="2">
        <v>20.132808495879399</v>
      </c>
      <c r="BH2073" s="2">
        <v>16.8847225162834</v>
      </c>
      <c r="BI2073" s="2">
        <v>17.7466921015642</v>
      </c>
      <c r="BJ2073" s="2">
        <v>18.025510204735699</v>
      </c>
      <c r="BK2073" s="2">
        <v>17.959838119032099</v>
      </c>
      <c r="BL2073" s="2">
        <v>17.7094181349762</v>
      </c>
      <c r="BM2073" s="2">
        <v>9.6233145402724691</v>
      </c>
      <c r="BN2073" s="2">
        <v>14.592332641505401</v>
      </c>
      <c r="BO2073" s="2">
        <v>16.4037841422425</v>
      </c>
      <c r="BP2073" s="2">
        <v>19.671829741998401</v>
      </c>
      <c r="BQ2073" s="2">
        <v>20.0020826231152</v>
      </c>
      <c r="BR2073" s="2">
        <v>19.9026677700734</v>
      </c>
      <c r="BS2073" s="2">
        <v>18.664507909466501</v>
      </c>
      <c r="BT2073" s="2">
        <v>15.990459008270699</v>
      </c>
      <c r="BU2073" s="2">
        <v>13.415695561175299</v>
      </c>
      <c r="BV2073" s="2">
        <v>9.6233145402724691</v>
      </c>
      <c r="BW2073" s="2">
        <v>15.4923279679023</v>
      </c>
      <c r="BX2073" s="2">
        <v>18.862908878476802</v>
      </c>
      <c r="BY2073" s="2">
        <v>18.4324134030078</v>
      </c>
      <c r="BZ2073" s="2">
        <v>17.321240925235799</v>
      </c>
      <c r="CA2073" s="2">
        <v>15.372147478182001</v>
      </c>
      <c r="CB2073" s="2">
        <v>16.418183522955601</v>
      </c>
      <c r="CC2073" s="2">
        <v>17.6855906223958</v>
      </c>
      <c r="CD2073" s="2">
        <v>17.9005674926957</v>
      </c>
      <c r="CE2073" s="2">
        <v>17.3082768068851</v>
      </c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</row>
    <row r="2074" spans="1:97">
      <c r="A2074" s="2" t="s">
        <v>18077</v>
      </c>
      <c r="B2074" s="2">
        <v>397.20463999999998</v>
      </c>
      <c r="C2074" s="2">
        <v>7.0810000000000004</v>
      </c>
      <c r="D2074" s="2" t="s">
        <v>146</v>
      </c>
      <c r="E2074" s="2" t="s">
        <v>18078</v>
      </c>
      <c r="F2074" s="2" t="s">
        <v>18079</v>
      </c>
      <c r="G2074" s="2">
        <v>211997</v>
      </c>
      <c r="H2074" s="3" t="str">
        <f>HYPERLINK("https://cloud.oebiotech.com/#/lm/network/211997", "https://cloud.oebiotech.com/#/lm/network/211997")</f>
        <v>https://cloud.oebiotech.com/#/lm/network/211997</v>
      </c>
      <c r="I2074" s="2" t="s">
        <v>18080</v>
      </c>
      <c r="J2074" s="2"/>
      <c r="K2074" s="2"/>
      <c r="L2074" s="2">
        <v>578798</v>
      </c>
      <c r="M2074" s="2"/>
      <c r="N2074" s="2"/>
      <c r="O2074" s="2"/>
      <c r="P2074" s="2"/>
      <c r="Q2074" s="2"/>
      <c r="R2074" s="2"/>
      <c r="S2074" s="2"/>
      <c r="T2074" s="2" t="s">
        <v>18081</v>
      </c>
      <c r="U2074" s="2" t="s">
        <v>18082</v>
      </c>
      <c r="V2074" s="2" t="s">
        <v>95</v>
      </c>
      <c r="W2074" s="2" t="s">
        <v>152</v>
      </c>
      <c r="X2074" s="2" t="s">
        <v>153</v>
      </c>
      <c r="Y2074" s="2" t="s">
        <v>98</v>
      </c>
      <c r="Z2074" s="2" t="s">
        <v>154</v>
      </c>
      <c r="AA2074" s="2" t="s">
        <v>155</v>
      </c>
      <c r="AB2074" s="2" t="s">
        <v>8443</v>
      </c>
      <c r="AC2074" s="2">
        <v>38.25</v>
      </c>
      <c r="AD2074" s="2">
        <v>83.7</v>
      </c>
      <c r="AE2074" s="2">
        <v>0</v>
      </c>
      <c r="AF2074" s="2" t="s">
        <v>5614</v>
      </c>
      <c r="AG2074" s="2" t="s">
        <v>993</v>
      </c>
      <c r="AH2074" s="2" t="s">
        <v>18083</v>
      </c>
      <c r="AI2074" s="2">
        <v>-7.8</v>
      </c>
      <c r="AJ2074" s="2">
        <v>17.7389198640297</v>
      </c>
      <c r="AK2074" s="2">
        <v>17.087667218239499</v>
      </c>
      <c r="AL2074" s="2">
        <v>17.136031452023001</v>
      </c>
      <c r="AM2074" s="2">
        <v>17.230640069875399</v>
      </c>
      <c r="AN2074" s="2">
        <v>17.881942258943301</v>
      </c>
      <c r="AO2074" s="2">
        <v>17.6008148981253</v>
      </c>
      <c r="AP2074" s="2">
        <v>17.714564426436901</v>
      </c>
      <c r="AQ2074" s="2">
        <v>17.878287214220499</v>
      </c>
      <c r="AR2074" s="2">
        <v>16.291509780599402</v>
      </c>
      <c r="AS2074" s="2">
        <v>14.7587301929621</v>
      </c>
      <c r="AT2074" s="2">
        <v>17.992644362853898</v>
      </c>
      <c r="AU2074" s="2">
        <v>17.438976172898901</v>
      </c>
      <c r="AV2074" s="2">
        <v>17.4235126000242</v>
      </c>
      <c r="AW2074" s="2">
        <v>18.670266273230698</v>
      </c>
      <c r="AX2074" s="2">
        <v>17.389861867057999</v>
      </c>
      <c r="AY2074" s="2">
        <v>17.703552492776101</v>
      </c>
      <c r="AZ2074" s="2">
        <v>18.236991199792701</v>
      </c>
      <c r="BA2074" s="2">
        <v>18.014593392673699</v>
      </c>
      <c r="BB2074" s="2">
        <v>16.498215489197399</v>
      </c>
      <c r="BC2074" s="2">
        <v>18.746866088683301</v>
      </c>
      <c r="BD2074" s="2">
        <v>17.1163382749282</v>
      </c>
      <c r="BE2074" s="2">
        <v>19.0708890327513</v>
      </c>
      <c r="BF2074" s="2">
        <v>17.087169018023101</v>
      </c>
      <c r="BG2074" s="2">
        <v>17.9570721060553</v>
      </c>
      <c r="BH2074" s="2">
        <v>18.570050539921802</v>
      </c>
      <c r="BI2074" s="2">
        <v>16.3303701983899</v>
      </c>
      <c r="BJ2074" s="2">
        <v>17.314956685157199</v>
      </c>
      <c r="BK2074" s="2">
        <v>17.546196103278302</v>
      </c>
      <c r="BL2074" s="2">
        <v>16.531954799577701</v>
      </c>
      <c r="BM2074" s="2">
        <v>14.1324780408429</v>
      </c>
      <c r="BN2074" s="2">
        <v>16.943361990903899</v>
      </c>
      <c r="BO2074" s="2">
        <v>18.0180108844059</v>
      </c>
      <c r="BP2074" s="2">
        <v>17.176563345656</v>
      </c>
      <c r="BQ2074" s="2">
        <v>17.040078948675401</v>
      </c>
      <c r="BR2074" s="2">
        <v>18.091936504812502</v>
      </c>
      <c r="BS2074" s="2">
        <v>17.1707644116583</v>
      </c>
      <c r="BT2074" s="2">
        <v>17.941840146233901</v>
      </c>
      <c r="BU2074" s="2">
        <v>18.216767216212901</v>
      </c>
      <c r="BV2074" s="2">
        <v>15.8176387451369</v>
      </c>
      <c r="BW2074" s="2">
        <v>16.956077531309699</v>
      </c>
      <c r="BX2074" s="2">
        <v>16.985972759787099</v>
      </c>
      <c r="BY2074" s="2">
        <v>18.4012783697986</v>
      </c>
      <c r="BZ2074" s="2">
        <v>17.4212548630946</v>
      </c>
      <c r="CA2074" s="2">
        <v>15.4258862728355</v>
      </c>
      <c r="CB2074" s="2">
        <v>18.3056895897967</v>
      </c>
      <c r="CC2074" s="2">
        <v>17.0573034532988</v>
      </c>
      <c r="CD2074" s="2">
        <v>17.433906259732598</v>
      </c>
      <c r="CE2074" s="2">
        <v>17.773548320206601</v>
      </c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</row>
    <row r="2075" spans="1:97">
      <c r="A2075" s="2" t="s">
        <v>18084</v>
      </c>
      <c r="B2075" s="2">
        <v>303.03267</v>
      </c>
      <c r="C2075" s="2">
        <v>1.028</v>
      </c>
      <c r="D2075" s="2" t="s">
        <v>146</v>
      </c>
      <c r="E2075" s="2" t="s">
        <v>18085</v>
      </c>
      <c r="F2075" s="2"/>
      <c r="G2075" s="2">
        <v>596218</v>
      </c>
      <c r="H2075" s="3" t="str">
        <f>HYPERLINK("https://cloud.oebiotech.com/#/lm/network/596218", "https://cloud.oebiotech.com/#/lm/network/596218")</f>
        <v>https://cloud.oebiotech.com/#/lm/network/596218</v>
      </c>
      <c r="I2075" s="2"/>
      <c r="J2075" s="2"/>
      <c r="K2075" s="2"/>
      <c r="L2075" s="2">
        <v>45039149</v>
      </c>
      <c r="M2075" s="2"/>
      <c r="N2075" s="2"/>
      <c r="O2075" s="2"/>
      <c r="P2075" s="2"/>
      <c r="Q2075" s="2"/>
      <c r="R2075" s="2"/>
      <c r="S2075" s="2"/>
      <c r="T2075" s="2" t="s">
        <v>18086</v>
      </c>
      <c r="U2075" s="2" t="s">
        <v>18087</v>
      </c>
      <c r="V2075" s="2" t="s">
        <v>845</v>
      </c>
      <c r="W2075" s="2" t="s">
        <v>3853</v>
      </c>
      <c r="X2075" s="2" t="s">
        <v>5630</v>
      </c>
      <c r="Y2075" s="2" t="s">
        <v>847</v>
      </c>
      <c r="Z2075" s="2" t="s">
        <v>3855</v>
      </c>
      <c r="AA2075" s="2" t="s">
        <v>5631</v>
      </c>
      <c r="AB2075" s="2" t="s">
        <v>8443</v>
      </c>
      <c r="AC2075" s="2">
        <v>38.24</v>
      </c>
      <c r="AD2075" s="2">
        <v>91.22</v>
      </c>
      <c r="AE2075" s="2">
        <v>0</v>
      </c>
      <c r="AF2075" s="2" t="s">
        <v>18088</v>
      </c>
      <c r="AG2075" s="2" t="s">
        <v>993</v>
      </c>
      <c r="AH2075" s="2" t="s">
        <v>18089</v>
      </c>
      <c r="AI2075" s="2">
        <v>0</v>
      </c>
      <c r="AJ2075" s="2">
        <v>21.876855342034599</v>
      </c>
      <c r="AK2075" s="2">
        <v>21.767667077897901</v>
      </c>
      <c r="AL2075" s="2">
        <v>22.005045965890901</v>
      </c>
      <c r="AM2075" s="2">
        <v>22.137557331427502</v>
      </c>
      <c r="AN2075" s="2">
        <v>21.899088173960202</v>
      </c>
      <c r="AO2075" s="2">
        <v>21.9737676720714</v>
      </c>
      <c r="AP2075" s="2">
        <v>21.988575879131599</v>
      </c>
      <c r="AQ2075" s="2">
        <v>21.838343383047999</v>
      </c>
      <c r="AR2075" s="2">
        <v>21.399585248144</v>
      </c>
      <c r="AS2075" s="2">
        <v>21.391278139664902</v>
      </c>
      <c r="AT2075" s="2">
        <v>21.605100471812801</v>
      </c>
      <c r="AU2075" s="2">
        <v>20.697775446497399</v>
      </c>
      <c r="AV2075" s="2">
        <v>21.989275727530401</v>
      </c>
      <c r="AW2075" s="2">
        <v>22.0697070539115</v>
      </c>
      <c r="AX2075" s="2">
        <v>21.838078308577501</v>
      </c>
      <c r="AY2075" s="2">
        <v>21.557314522556801</v>
      </c>
      <c r="AZ2075" s="2">
        <v>21.732689843194098</v>
      </c>
      <c r="BA2075" s="2">
        <v>20.987879180562299</v>
      </c>
      <c r="BB2075" s="2">
        <v>21.666085024001099</v>
      </c>
      <c r="BC2075" s="2">
        <v>21.452298459409398</v>
      </c>
      <c r="BD2075" s="2">
        <v>22.0024380904709</v>
      </c>
      <c r="BE2075" s="2">
        <v>21.4241078098066</v>
      </c>
      <c r="BF2075" s="2">
        <v>22.1947729326561</v>
      </c>
      <c r="BG2075" s="2">
        <v>21.6688635479866</v>
      </c>
      <c r="BH2075" s="2">
        <v>21.461603793239</v>
      </c>
      <c r="BI2075" s="2">
        <v>21.911149590055999</v>
      </c>
      <c r="BJ2075" s="2">
        <v>22.714747382271401</v>
      </c>
      <c r="BK2075" s="2">
        <v>21.355444407633101</v>
      </c>
      <c r="BL2075" s="2">
        <v>21.769779607056002</v>
      </c>
      <c r="BM2075" s="2">
        <v>21.4078163820611</v>
      </c>
      <c r="BN2075" s="2">
        <v>21.800690005478</v>
      </c>
      <c r="BO2075" s="2">
        <v>20.886427555580202</v>
      </c>
      <c r="BP2075" s="2">
        <v>22.2030357775831</v>
      </c>
      <c r="BQ2075" s="2">
        <v>22.0452038990686</v>
      </c>
      <c r="BR2075" s="2">
        <v>21.588454723782299</v>
      </c>
      <c r="BS2075" s="2">
        <v>21.5881011795558</v>
      </c>
      <c r="BT2075" s="2">
        <v>20.974474220969</v>
      </c>
      <c r="BU2075" s="2">
        <v>22.333569695933701</v>
      </c>
      <c r="BV2075" s="2">
        <v>21.812133318423399</v>
      </c>
      <c r="BW2075" s="2">
        <v>20.867646699063101</v>
      </c>
      <c r="BX2075" s="2">
        <v>21.326201260930599</v>
      </c>
      <c r="BY2075" s="2">
        <v>21.8650843559717</v>
      </c>
      <c r="BZ2075" s="2">
        <v>21.344434892836698</v>
      </c>
      <c r="CA2075" s="2">
        <v>21.659250180925198</v>
      </c>
      <c r="CB2075" s="2">
        <v>20.608554627242299</v>
      </c>
      <c r="CC2075" s="2">
        <v>21.823071861672901</v>
      </c>
      <c r="CD2075" s="2">
        <v>22.097914148556999</v>
      </c>
      <c r="CE2075" s="2">
        <v>21.978404762886601</v>
      </c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</row>
    <row r="2076" spans="1:97">
      <c r="A2076" s="2" t="s">
        <v>18090</v>
      </c>
      <c r="B2076" s="2">
        <v>239.07758999999999</v>
      </c>
      <c r="C2076" s="2">
        <v>7.407</v>
      </c>
      <c r="D2076" s="2" t="s">
        <v>146</v>
      </c>
      <c r="E2076" s="2" t="s">
        <v>18091</v>
      </c>
      <c r="F2076" s="2" t="s">
        <v>18092</v>
      </c>
      <c r="G2076" s="2">
        <v>541426</v>
      </c>
      <c r="H2076" s="3" t="str">
        <f>HYPERLINK("https://cloud.oebiotech.com/#/lm/network/541426", "https://cloud.oebiotech.com/#/lm/network/541426")</f>
        <v>https://cloud.oebiotech.com/#/lm/network/541426</v>
      </c>
      <c r="I2076" s="2"/>
      <c r="J2076" s="2"/>
      <c r="K2076" s="2"/>
      <c r="L2076" s="2">
        <v>230881</v>
      </c>
      <c r="M2076" s="2"/>
      <c r="N2076" s="2"/>
      <c r="O2076" s="2"/>
      <c r="P2076" s="2"/>
      <c r="Q2076" s="2"/>
      <c r="R2076" s="2"/>
      <c r="S2076" s="2" t="s">
        <v>18093</v>
      </c>
      <c r="T2076" s="2" t="s">
        <v>18094</v>
      </c>
      <c r="U2076" s="2" t="s">
        <v>18095</v>
      </c>
      <c r="V2076" s="2" t="s">
        <v>338</v>
      </c>
      <c r="W2076" s="2" t="s">
        <v>339</v>
      </c>
      <c r="X2076" s="2" t="s">
        <v>3877</v>
      </c>
      <c r="Y2076" s="2" t="s">
        <v>341</v>
      </c>
      <c r="Z2076" s="2" t="s">
        <v>341</v>
      </c>
      <c r="AA2076" s="2" t="s">
        <v>3878</v>
      </c>
      <c r="AB2076" s="2" t="s">
        <v>8443</v>
      </c>
      <c r="AC2076" s="2">
        <v>38.24</v>
      </c>
      <c r="AD2076" s="2">
        <v>94.54</v>
      </c>
      <c r="AE2076" s="2">
        <v>0</v>
      </c>
      <c r="AF2076" s="2" t="s">
        <v>5614</v>
      </c>
      <c r="AG2076" s="2" t="s">
        <v>157</v>
      </c>
      <c r="AH2076" s="2" t="s">
        <v>18096</v>
      </c>
      <c r="AI2076" s="2">
        <v>-1.67</v>
      </c>
      <c r="AJ2076" s="2">
        <v>20.369999263562999</v>
      </c>
      <c r="AK2076" s="2">
        <v>20.038332188523</v>
      </c>
      <c r="AL2076" s="2">
        <v>19.873053102322402</v>
      </c>
      <c r="AM2076" s="2">
        <v>19.372636709677501</v>
      </c>
      <c r="AN2076" s="2">
        <v>19.933458343608599</v>
      </c>
      <c r="AO2076" s="2">
        <v>20.1518498432605</v>
      </c>
      <c r="AP2076" s="2">
        <v>19.8578603849394</v>
      </c>
      <c r="AQ2076" s="2">
        <v>19.859065487184299</v>
      </c>
      <c r="AR2076" s="2">
        <v>20.1000619380244</v>
      </c>
      <c r="AS2076" s="2">
        <v>18.532787220299699</v>
      </c>
      <c r="AT2076" s="2">
        <v>20.350874895833201</v>
      </c>
      <c r="AU2076" s="2">
        <v>20.2523845756923</v>
      </c>
      <c r="AV2076" s="2">
        <v>18.912077188345101</v>
      </c>
      <c r="AW2076" s="2">
        <v>21.035722256964501</v>
      </c>
      <c r="AX2076" s="2">
        <v>19.0479275232825</v>
      </c>
      <c r="AY2076" s="2">
        <v>18.955087238237699</v>
      </c>
      <c r="AZ2076" s="2">
        <v>18.525283592764598</v>
      </c>
      <c r="BA2076" s="2">
        <v>20.6983794344068</v>
      </c>
      <c r="BB2076" s="2">
        <v>20.276952862590701</v>
      </c>
      <c r="BC2076" s="2">
        <v>20.4467268743619</v>
      </c>
      <c r="BD2076" s="2">
        <v>20.589741701589599</v>
      </c>
      <c r="BE2076" s="2">
        <v>19.884408801735201</v>
      </c>
      <c r="BF2076" s="2">
        <v>19.3644528476357</v>
      </c>
      <c r="BG2076" s="2">
        <v>19.070210690737301</v>
      </c>
      <c r="BH2076" s="2">
        <v>19.6934675086728</v>
      </c>
      <c r="BI2076" s="2">
        <v>19.232915110612701</v>
      </c>
      <c r="BJ2076" s="2">
        <v>22.233306938958801</v>
      </c>
      <c r="BK2076" s="2">
        <v>20.7103833960896</v>
      </c>
      <c r="BL2076" s="2">
        <v>19.7176203846217</v>
      </c>
      <c r="BM2076" s="2">
        <v>19.454660034744801</v>
      </c>
      <c r="BN2076" s="2">
        <v>20.752764717880101</v>
      </c>
      <c r="BO2076" s="2">
        <v>20.5060732488867</v>
      </c>
      <c r="BP2076" s="2">
        <v>16.398399173969</v>
      </c>
      <c r="BQ2076" s="2">
        <v>19.818470773217399</v>
      </c>
      <c r="BR2076" s="2">
        <v>18.924225930048699</v>
      </c>
      <c r="BS2076" s="2">
        <v>19.2625778228435</v>
      </c>
      <c r="BT2076" s="2">
        <v>21.809770145882499</v>
      </c>
      <c r="BU2076" s="2">
        <v>20.662057472868302</v>
      </c>
      <c r="BV2076" s="2">
        <v>19.805997196780002</v>
      </c>
      <c r="BW2076" s="2">
        <v>18.619738792075399</v>
      </c>
      <c r="BX2076" s="2">
        <v>20.183229462211099</v>
      </c>
      <c r="BY2076" s="2">
        <v>19.163000387913701</v>
      </c>
      <c r="BZ2076" s="2">
        <v>18.167221133940899</v>
      </c>
      <c r="CA2076" s="2">
        <v>19.498573011985499</v>
      </c>
      <c r="CB2076" s="2">
        <v>17.769632032137899</v>
      </c>
      <c r="CC2076" s="2">
        <v>20.101981888476399</v>
      </c>
      <c r="CD2076" s="2">
        <v>20.430918418178699</v>
      </c>
      <c r="CE2076" s="2">
        <v>20.547181161462301</v>
      </c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</row>
    <row r="2077" spans="1:97">
      <c r="A2077" s="2" t="s">
        <v>18097</v>
      </c>
      <c r="B2077" s="2">
        <v>226.01751999999999</v>
      </c>
      <c r="C2077" s="2">
        <v>5.1689999999999996</v>
      </c>
      <c r="D2077" s="2" t="s">
        <v>146</v>
      </c>
      <c r="E2077" s="2" t="s">
        <v>18098</v>
      </c>
      <c r="F2077" s="2" t="s">
        <v>18099</v>
      </c>
      <c r="G2077" s="2">
        <v>257675</v>
      </c>
      <c r="H2077" s="3" t="str">
        <f>HYPERLINK("https://cloud.oebiotech.com/#/lm/network/257675", "https://cloud.oebiotech.com/#/lm/network/257675")</f>
        <v>https://cloud.oebiotech.com/#/lm/network/257675</v>
      </c>
      <c r="I2077" s="2" t="s">
        <v>18100</v>
      </c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 t="s">
        <v>18101</v>
      </c>
      <c r="U2077" s="2" t="s">
        <v>18102</v>
      </c>
      <c r="V2077" s="2" t="s">
        <v>553</v>
      </c>
      <c r="W2077" s="2" t="s">
        <v>933</v>
      </c>
      <c r="X2077" s="2" t="s">
        <v>2286</v>
      </c>
      <c r="Y2077" s="2" t="s">
        <v>556</v>
      </c>
      <c r="Z2077" s="2" t="s">
        <v>935</v>
      </c>
      <c r="AA2077" s="2" t="s">
        <v>2287</v>
      </c>
      <c r="AB2077" s="2" t="s">
        <v>8443</v>
      </c>
      <c r="AC2077" s="2">
        <v>38.22</v>
      </c>
      <c r="AD2077" s="2">
        <v>91.08</v>
      </c>
      <c r="AE2077" s="2">
        <v>0</v>
      </c>
      <c r="AF2077" s="2" t="s">
        <v>18103</v>
      </c>
      <c r="AG2077" s="2" t="s">
        <v>993</v>
      </c>
      <c r="AH2077" s="2" t="s">
        <v>18104</v>
      </c>
      <c r="AI2077" s="2">
        <v>-0.44</v>
      </c>
      <c r="AJ2077" s="2">
        <v>18.688849702263902</v>
      </c>
      <c r="AK2077" s="2">
        <v>18.844820891285501</v>
      </c>
      <c r="AL2077" s="2">
        <v>18.9363294759086</v>
      </c>
      <c r="AM2077" s="2">
        <v>18.861295041916101</v>
      </c>
      <c r="AN2077" s="2">
        <v>18.726925420960999</v>
      </c>
      <c r="AO2077" s="2">
        <v>18.673835882208</v>
      </c>
      <c r="AP2077" s="2">
        <v>18.822913247408</v>
      </c>
      <c r="AQ2077" s="2">
        <v>18.813162966641801</v>
      </c>
      <c r="AR2077" s="2">
        <v>16.133056296903099</v>
      </c>
      <c r="AS2077" s="2">
        <v>14.6563533524576</v>
      </c>
      <c r="AT2077" s="2">
        <v>11.8906024877926</v>
      </c>
      <c r="AU2077" s="2">
        <v>14.932785921022299</v>
      </c>
      <c r="AV2077" s="2">
        <v>22.604665695454901</v>
      </c>
      <c r="AW2077" s="2">
        <v>18.4219742334298</v>
      </c>
      <c r="AX2077" s="2">
        <v>14.922810154559899</v>
      </c>
      <c r="AY2077" s="2">
        <v>18.601231250778099</v>
      </c>
      <c r="AZ2077" s="2">
        <v>19.5294398195642</v>
      </c>
      <c r="BA2077" s="2">
        <v>18.5415780133136</v>
      </c>
      <c r="BB2077" s="2">
        <v>16.872020469670701</v>
      </c>
      <c r="BC2077" s="2">
        <v>11.7594180243261</v>
      </c>
      <c r="BD2077" s="2">
        <v>18.038926864009799</v>
      </c>
      <c r="BE2077" s="2">
        <v>20.2428611126767</v>
      </c>
      <c r="BF2077" s="2">
        <v>13.803277496937699</v>
      </c>
      <c r="BG2077" s="2">
        <v>14.330283880029899</v>
      </c>
      <c r="BH2077" s="2">
        <v>17.762092933463801</v>
      </c>
      <c r="BI2077" s="2">
        <v>14.537868122312201</v>
      </c>
      <c r="BJ2077" s="2">
        <v>18.287786315775701</v>
      </c>
      <c r="BK2077" s="2">
        <v>14.756414026581201</v>
      </c>
      <c r="BL2077" s="2">
        <v>16.5009627524745</v>
      </c>
      <c r="BM2077" s="2">
        <v>14.463687203686799</v>
      </c>
      <c r="BN2077" s="2">
        <v>16.4097558732587</v>
      </c>
      <c r="BO2077" s="2">
        <v>14.376036507187999</v>
      </c>
      <c r="BP2077" s="2">
        <v>19.1787165374467</v>
      </c>
      <c r="BQ2077" s="2">
        <v>18.187421524813701</v>
      </c>
      <c r="BR2077" s="2">
        <v>16.361082600005599</v>
      </c>
      <c r="BS2077" s="2">
        <v>20.622836029870999</v>
      </c>
      <c r="BT2077" s="2">
        <v>15.828693853557599</v>
      </c>
      <c r="BU2077" s="2">
        <v>19.467042822875001</v>
      </c>
      <c r="BV2077" s="2">
        <v>16.546986222644399</v>
      </c>
      <c r="BW2077" s="2">
        <v>11.836539588795199</v>
      </c>
      <c r="BX2077" s="2">
        <v>15.802210890979</v>
      </c>
      <c r="BY2077" s="2">
        <v>20.319974150076298</v>
      </c>
      <c r="BZ2077" s="2">
        <v>17.100467597343599</v>
      </c>
      <c r="CA2077" s="2">
        <v>16.484066835484501</v>
      </c>
      <c r="CB2077" s="2">
        <v>15.815764534845</v>
      </c>
      <c r="CC2077" s="2">
        <v>14.9226159915174</v>
      </c>
      <c r="CD2077" s="2">
        <v>15.0021104575845</v>
      </c>
      <c r="CE2077" s="2">
        <v>16.233848824197299</v>
      </c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</row>
    <row r="2078" spans="1:97">
      <c r="A2078" s="2" t="s">
        <v>18105</v>
      </c>
      <c r="B2078" s="2">
        <v>467.31348000000003</v>
      </c>
      <c r="C2078" s="2">
        <v>13.076000000000001</v>
      </c>
      <c r="D2078" s="2" t="s">
        <v>146</v>
      </c>
      <c r="E2078" s="2" t="s">
        <v>18106</v>
      </c>
      <c r="F2078" s="2" t="s">
        <v>18107</v>
      </c>
      <c r="G2078" s="2">
        <v>62877</v>
      </c>
      <c r="H2078" s="3" t="str">
        <f>HYPERLINK("https://cloud.oebiotech.com/#/lm/network/62877", "https://cloud.oebiotech.com/#/lm/network/62877")</f>
        <v>https://cloud.oebiotech.com/#/lm/network/62877</v>
      </c>
      <c r="I2078" s="2" t="s">
        <v>18108</v>
      </c>
      <c r="J2078" s="2">
        <v>94172</v>
      </c>
      <c r="K2078" s="2"/>
      <c r="L2078" s="2">
        <v>6482366</v>
      </c>
      <c r="M2078" s="2"/>
      <c r="N2078" s="2"/>
      <c r="O2078" s="2"/>
      <c r="P2078" s="2"/>
      <c r="Q2078" s="2"/>
      <c r="R2078" s="2"/>
      <c r="S2078" s="2" t="s">
        <v>18109</v>
      </c>
      <c r="T2078" s="2" t="s">
        <v>18110</v>
      </c>
      <c r="U2078" s="2" t="s">
        <v>18111</v>
      </c>
      <c r="V2078" s="2" t="s">
        <v>338</v>
      </c>
      <c r="W2078" s="2" t="s">
        <v>339</v>
      </c>
      <c r="X2078" s="2" t="s">
        <v>340</v>
      </c>
      <c r="Y2078" s="2" t="s">
        <v>341</v>
      </c>
      <c r="Z2078" s="2" t="s">
        <v>341</v>
      </c>
      <c r="AA2078" s="2" t="s">
        <v>342</v>
      </c>
      <c r="AB2078" s="2" t="s">
        <v>8443</v>
      </c>
      <c r="AC2078" s="2">
        <v>38.21</v>
      </c>
      <c r="AD2078" s="2">
        <v>79.44</v>
      </c>
      <c r="AE2078" s="2">
        <v>0</v>
      </c>
      <c r="AF2078" s="2" t="s">
        <v>18112</v>
      </c>
      <c r="AG2078" s="2" t="s">
        <v>194</v>
      </c>
      <c r="AH2078" s="2" t="s">
        <v>18113</v>
      </c>
      <c r="AI2078" s="2">
        <v>6.85</v>
      </c>
      <c r="AJ2078" s="2">
        <v>18.138438306149801</v>
      </c>
      <c r="AK2078" s="2">
        <v>17.559350201079301</v>
      </c>
      <c r="AL2078" s="2">
        <v>17.566391386903401</v>
      </c>
      <c r="AM2078" s="2">
        <v>17.375801638754599</v>
      </c>
      <c r="AN2078" s="2">
        <v>17.6579925314742</v>
      </c>
      <c r="AO2078" s="2">
        <v>16.879389283494</v>
      </c>
      <c r="AP2078" s="2">
        <v>17.467373185258602</v>
      </c>
      <c r="AQ2078" s="2">
        <v>17.772071410545699</v>
      </c>
      <c r="AR2078" s="2">
        <v>17.463726471801198</v>
      </c>
      <c r="AS2078" s="2">
        <v>17.424404405066699</v>
      </c>
      <c r="AT2078" s="2">
        <v>16.8683921412036</v>
      </c>
      <c r="AU2078" s="2">
        <v>17.6221229054504</v>
      </c>
      <c r="AV2078" s="2">
        <v>16.838243583256901</v>
      </c>
      <c r="AW2078" s="2">
        <v>16.7748691455432</v>
      </c>
      <c r="AX2078" s="2">
        <v>17.154181252768399</v>
      </c>
      <c r="AY2078" s="2">
        <v>17.912861801387798</v>
      </c>
      <c r="AZ2078" s="2">
        <v>18.418712912077801</v>
      </c>
      <c r="BA2078" s="2">
        <v>17.8167736189701</v>
      </c>
      <c r="BB2078" s="2">
        <v>17.9195887454234</v>
      </c>
      <c r="BC2078" s="2">
        <v>18.070077012905202</v>
      </c>
      <c r="BD2078" s="2">
        <v>17.2337555970335</v>
      </c>
      <c r="BE2078" s="2">
        <v>18.1466770567597</v>
      </c>
      <c r="BF2078" s="2">
        <v>17.169301142828299</v>
      </c>
      <c r="BG2078" s="2">
        <v>17.165313628760199</v>
      </c>
      <c r="BH2078" s="2">
        <v>16.9622410513118</v>
      </c>
      <c r="BI2078" s="2">
        <v>17.053632889176001</v>
      </c>
      <c r="BJ2078" s="2">
        <v>17.6380022596793</v>
      </c>
      <c r="BK2078" s="2">
        <v>17.4033015956966</v>
      </c>
      <c r="BL2078" s="2">
        <v>17.1192462306153</v>
      </c>
      <c r="BM2078" s="2">
        <v>18.091282325335602</v>
      </c>
      <c r="BN2078" s="2">
        <v>16.837127362225399</v>
      </c>
      <c r="BO2078" s="2">
        <v>17.469457637398499</v>
      </c>
      <c r="BP2078" s="2">
        <v>16.6686555294337</v>
      </c>
      <c r="BQ2078" s="2">
        <v>16.215790627939999</v>
      </c>
      <c r="BR2078" s="2">
        <v>17.004460463855299</v>
      </c>
      <c r="BS2078" s="2">
        <v>17.937863030921498</v>
      </c>
      <c r="BT2078" s="2">
        <v>18.638290563798201</v>
      </c>
      <c r="BU2078" s="2">
        <v>17.788006787385001</v>
      </c>
      <c r="BV2078" s="2">
        <v>17.020522515405599</v>
      </c>
      <c r="BW2078" s="2">
        <v>16.7489766302634</v>
      </c>
      <c r="BX2078" s="2">
        <v>17.684349969897699</v>
      </c>
      <c r="BY2078" s="2">
        <v>17.987668103304902</v>
      </c>
      <c r="BZ2078" s="2">
        <v>16.392480105917901</v>
      </c>
      <c r="CA2078" s="2">
        <v>16.8656345702415</v>
      </c>
      <c r="CB2078" s="2">
        <v>17.226038637850198</v>
      </c>
      <c r="CC2078" s="2">
        <v>17.2603146095786</v>
      </c>
      <c r="CD2078" s="2">
        <v>17.831573344828598</v>
      </c>
      <c r="CE2078" s="2">
        <v>17.118285236133801</v>
      </c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</row>
    <row r="2079" spans="1:97">
      <c r="A2079" s="2" t="s">
        <v>18114</v>
      </c>
      <c r="B2079" s="2">
        <v>430.34582999999998</v>
      </c>
      <c r="C2079" s="2">
        <v>8.8119999999999994</v>
      </c>
      <c r="D2079" s="2" t="s">
        <v>84</v>
      </c>
      <c r="E2079" s="2" t="s">
        <v>18115</v>
      </c>
      <c r="F2079" s="2" t="s">
        <v>18116</v>
      </c>
      <c r="G2079" s="2">
        <v>43690</v>
      </c>
      <c r="H2079" s="3" t="str">
        <f>HYPERLINK("https://cloud.oebiotech.com/#/lm/network/43690", "https://cloud.oebiotech.com/#/lm/network/43690")</f>
        <v>https://cloud.oebiotech.com/#/lm/network/43690</v>
      </c>
      <c r="I2079" s="2"/>
      <c r="J2079" s="2">
        <v>103336</v>
      </c>
      <c r="K2079" s="2" t="s">
        <v>18117</v>
      </c>
      <c r="L2079" s="2">
        <v>70699278</v>
      </c>
      <c r="M2079" s="2"/>
      <c r="N2079" s="2"/>
      <c r="O2079" s="2"/>
      <c r="P2079" s="2"/>
      <c r="Q2079" s="2"/>
      <c r="R2079" s="2"/>
      <c r="S2079" s="2"/>
      <c r="T2079" s="2" t="s">
        <v>18118</v>
      </c>
      <c r="U2079" s="2" t="s">
        <v>18119</v>
      </c>
      <c r="V2079" s="2" t="s">
        <v>95</v>
      </c>
      <c r="W2079" s="2" t="s">
        <v>152</v>
      </c>
      <c r="X2079" s="2" t="s">
        <v>1420</v>
      </c>
      <c r="Y2079" s="2" t="s">
        <v>98</v>
      </c>
      <c r="Z2079" s="2" t="s">
        <v>154</v>
      </c>
      <c r="AA2079" s="2" t="s">
        <v>1421</v>
      </c>
      <c r="AB2079" s="2" t="s">
        <v>8443</v>
      </c>
      <c r="AC2079" s="2">
        <v>38.21</v>
      </c>
      <c r="AD2079" s="2">
        <v>91.84</v>
      </c>
      <c r="AE2079" s="2">
        <v>0</v>
      </c>
      <c r="AF2079" s="2" t="s">
        <v>18120</v>
      </c>
      <c r="AG2079" s="2" t="s">
        <v>3544</v>
      </c>
      <c r="AH2079" s="2" t="s">
        <v>18121</v>
      </c>
      <c r="AI2079" s="2">
        <v>1.1599999999999999</v>
      </c>
      <c r="AJ2079" s="2">
        <v>27.5269573103173</v>
      </c>
      <c r="AK2079" s="2">
        <v>27.530238387714</v>
      </c>
      <c r="AL2079" s="2">
        <v>27.550215541466098</v>
      </c>
      <c r="AM2079" s="2">
        <v>27.535037570749999</v>
      </c>
      <c r="AN2079" s="2">
        <v>27.571113186293701</v>
      </c>
      <c r="AO2079" s="2">
        <v>27.4887149023855</v>
      </c>
      <c r="AP2079" s="2">
        <v>27.686271918748599</v>
      </c>
      <c r="AQ2079" s="2">
        <v>27.442564260874601</v>
      </c>
      <c r="AR2079" s="2">
        <v>27.477748804501498</v>
      </c>
      <c r="AS2079" s="2">
        <v>27.614543375732701</v>
      </c>
      <c r="AT2079" s="2">
        <v>27.414949548943099</v>
      </c>
      <c r="AU2079" s="2">
        <v>27.410127873786202</v>
      </c>
      <c r="AV2079" s="2">
        <v>27.580802920479101</v>
      </c>
      <c r="AW2079" s="2">
        <v>27.484816563097599</v>
      </c>
      <c r="AX2079" s="2">
        <v>27.470165090852198</v>
      </c>
      <c r="AY2079" s="2">
        <v>27.4274399732248</v>
      </c>
      <c r="AZ2079" s="2">
        <v>27.526851845071999</v>
      </c>
      <c r="BA2079" s="2">
        <v>27.4601153584983</v>
      </c>
      <c r="BB2079" s="2">
        <v>27.4152960848837</v>
      </c>
      <c r="BC2079" s="2">
        <v>27.4353688512779</v>
      </c>
      <c r="BD2079" s="2">
        <v>27.550990884776201</v>
      </c>
      <c r="BE2079" s="2">
        <v>27.5083125836784</v>
      </c>
      <c r="BF2079" s="2">
        <v>27.3296387067589</v>
      </c>
      <c r="BG2079" s="2">
        <v>27.515341852076801</v>
      </c>
      <c r="BH2079" s="2">
        <v>27.540614110381402</v>
      </c>
      <c r="BI2079" s="2">
        <v>27.420792217085101</v>
      </c>
      <c r="BJ2079" s="2">
        <v>27.422497523850499</v>
      </c>
      <c r="BK2079" s="2">
        <v>27.468853497113599</v>
      </c>
      <c r="BL2079" s="2">
        <v>27.571246455684498</v>
      </c>
      <c r="BM2079" s="2">
        <v>27.365917636650298</v>
      </c>
      <c r="BN2079" s="2">
        <v>27.400802634316701</v>
      </c>
      <c r="BO2079" s="2">
        <v>27.484960106474801</v>
      </c>
      <c r="BP2079" s="2">
        <v>27.483250469734099</v>
      </c>
      <c r="BQ2079" s="2">
        <v>27.4302142313059</v>
      </c>
      <c r="BR2079" s="2">
        <v>27.472624079247002</v>
      </c>
      <c r="BS2079" s="2">
        <v>27.416096368143101</v>
      </c>
      <c r="BT2079" s="2">
        <v>27.5121752039726</v>
      </c>
      <c r="BU2079" s="2">
        <v>27.5061344481161</v>
      </c>
      <c r="BV2079" s="2">
        <v>27.538278716091899</v>
      </c>
      <c r="BW2079" s="2">
        <v>27.378563516927699</v>
      </c>
      <c r="BX2079" s="2">
        <v>27.3916718289369</v>
      </c>
      <c r="BY2079" s="2">
        <v>27.334567339223</v>
      </c>
      <c r="BZ2079" s="2">
        <v>27.554492534958001</v>
      </c>
      <c r="CA2079" s="2">
        <v>27.395036897177501</v>
      </c>
      <c r="CB2079" s="2">
        <v>27.4746027757873</v>
      </c>
      <c r="CC2079" s="2">
        <v>27.426171179666799</v>
      </c>
      <c r="CD2079" s="2">
        <v>27.4285798885556</v>
      </c>
      <c r="CE2079" s="2">
        <v>27.450776280536299</v>
      </c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</row>
    <row r="2080" spans="1:97">
      <c r="A2080" s="2" t="s">
        <v>18122</v>
      </c>
      <c r="B2080" s="2">
        <v>245.11532</v>
      </c>
      <c r="C2080" s="2">
        <v>9.2129999999999992</v>
      </c>
      <c r="D2080" s="2" t="s">
        <v>146</v>
      </c>
      <c r="E2080" s="2" t="s">
        <v>18123</v>
      </c>
      <c r="F2080" s="2" t="s">
        <v>18124</v>
      </c>
      <c r="G2080" s="2">
        <v>205702</v>
      </c>
      <c r="H2080" s="3" t="str">
        <f>HYPERLINK("https://cloud.oebiotech.com/#/lm/network/205702", "https://cloud.oebiotech.com/#/lm/network/205702")</f>
        <v>https://cloud.oebiotech.com/#/lm/network/205702</v>
      </c>
      <c r="I2080" s="2" t="s">
        <v>18125</v>
      </c>
      <c r="J2080" s="2"/>
      <c r="K2080" s="2"/>
      <c r="L2080" s="2">
        <v>357075</v>
      </c>
      <c r="M2080" s="2"/>
      <c r="N2080" s="2"/>
      <c r="O2080" s="2"/>
      <c r="P2080" s="2"/>
      <c r="Q2080" s="2"/>
      <c r="R2080" s="2"/>
      <c r="S2080" s="2"/>
      <c r="T2080" s="2" t="s">
        <v>18126</v>
      </c>
      <c r="U2080" s="2" t="s">
        <v>18127</v>
      </c>
      <c r="V2080" s="2" t="s">
        <v>818</v>
      </c>
      <c r="W2080" s="2" t="s">
        <v>10627</v>
      </c>
      <c r="X2080" s="2" t="s">
        <v>18128</v>
      </c>
      <c r="Y2080" s="2" t="s">
        <v>820</v>
      </c>
      <c r="Z2080" s="2" t="s">
        <v>10629</v>
      </c>
      <c r="AA2080" s="2" t="s">
        <v>18129</v>
      </c>
      <c r="AB2080" s="2" t="s">
        <v>8443</v>
      </c>
      <c r="AC2080" s="2">
        <v>38.21</v>
      </c>
      <c r="AD2080" s="2">
        <v>92.14</v>
      </c>
      <c r="AE2080" s="2">
        <v>0</v>
      </c>
      <c r="AF2080" s="2" t="s">
        <v>5614</v>
      </c>
      <c r="AG2080" s="2" t="s">
        <v>194</v>
      </c>
      <c r="AH2080" s="2" t="s">
        <v>18130</v>
      </c>
      <c r="AI2080" s="2">
        <v>1.22</v>
      </c>
      <c r="AJ2080" s="2">
        <v>16.124698484446501</v>
      </c>
      <c r="AK2080" s="2">
        <v>16.537307595363298</v>
      </c>
      <c r="AL2080" s="2">
        <v>16.651045242551</v>
      </c>
      <c r="AM2080" s="2">
        <v>15.974291342389099</v>
      </c>
      <c r="AN2080" s="2">
        <v>16.2577539213633</v>
      </c>
      <c r="AO2080" s="2">
        <v>16.356653992531498</v>
      </c>
      <c r="AP2080" s="2">
        <v>16.611693410830998</v>
      </c>
      <c r="AQ2080" s="2">
        <v>16.454927861420099</v>
      </c>
      <c r="AR2080" s="2">
        <v>16.681036726794201</v>
      </c>
      <c r="AS2080" s="2">
        <v>15.022383419020199</v>
      </c>
      <c r="AT2080" s="2">
        <v>14.9155461091538</v>
      </c>
      <c r="AU2080" s="2">
        <v>16.712546479485599</v>
      </c>
      <c r="AV2080" s="2">
        <v>16.546784758817999</v>
      </c>
      <c r="AW2080" s="2">
        <v>16.704656807613102</v>
      </c>
      <c r="AX2080" s="2">
        <v>15.1537075816933</v>
      </c>
      <c r="AY2080" s="2">
        <v>15.646018329571</v>
      </c>
      <c r="AZ2080" s="2">
        <v>14.692473295514899</v>
      </c>
      <c r="BA2080" s="2">
        <v>15.7125227015805</v>
      </c>
      <c r="BB2080" s="2">
        <v>16.513407160200899</v>
      </c>
      <c r="BC2080" s="2">
        <v>17.0419436802893</v>
      </c>
      <c r="BD2080" s="2">
        <v>15.9211398698164</v>
      </c>
      <c r="BE2080" s="2">
        <v>16.4655719845288</v>
      </c>
      <c r="BF2080" s="2">
        <v>15.7464841422122</v>
      </c>
      <c r="BG2080" s="2">
        <v>15.555022242573401</v>
      </c>
      <c r="BH2080" s="2">
        <v>18.052045104318701</v>
      </c>
      <c r="BI2080" s="2">
        <v>14.258276729807699</v>
      </c>
      <c r="BJ2080" s="2">
        <v>15.580432886545101</v>
      </c>
      <c r="BK2080" s="2">
        <v>16.2643801040802</v>
      </c>
      <c r="BL2080" s="2">
        <v>13.389647470684</v>
      </c>
      <c r="BM2080" s="2">
        <v>15.488944425562201</v>
      </c>
      <c r="BN2080" s="2">
        <v>16.878137149891799</v>
      </c>
      <c r="BO2080" s="2">
        <v>17.440471706818499</v>
      </c>
      <c r="BP2080" s="2">
        <v>9.6233145402724691</v>
      </c>
      <c r="BQ2080" s="2">
        <v>16.7915050504369</v>
      </c>
      <c r="BR2080" s="2">
        <v>15.890942993534701</v>
      </c>
      <c r="BS2080" s="2">
        <v>16.212481946012002</v>
      </c>
      <c r="BT2080" s="2">
        <v>16.164759649276</v>
      </c>
      <c r="BU2080" s="2">
        <v>15.351333010597999</v>
      </c>
      <c r="BV2080" s="2">
        <v>15.8373364576511</v>
      </c>
      <c r="BW2080" s="2">
        <v>14.4354586588271</v>
      </c>
      <c r="BX2080" s="2">
        <v>15.1123250608166</v>
      </c>
      <c r="BY2080" s="2">
        <v>17.457476992478</v>
      </c>
      <c r="BZ2080" s="2">
        <v>15.581691363183101</v>
      </c>
      <c r="CA2080" s="2">
        <v>15.3528269264546</v>
      </c>
      <c r="CB2080" s="2">
        <v>14.226853183027901</v>
      </c>
      <c r="CC2080" s="2">
        <v>15.8143396265167</v>
      </c>
      <c r="CD2080" s="2">
        <v>16.933735484934601</v>
      </c>
      <c r="CE2080" s="2">
        <v>16.833550060256801</v>
      </c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</row>
    <row r="2081" spans="1:97">
      <c r="A2081" s="2" t="s">
        <v>18131</v>
      </c>
      <c r="B2081" s="2">
        <v>238.22755000000001</v>
      </c>
      <c r="C2081" s="2">
        <v>5.101</v>
      </c>
      <c r="D2081" s="2" t="s">
        <v>84</v>
      </c>
      <c r="E2081" s="2" t="s">
        <v>18132</v>
      </c>
      <c r="F2081" s="2" t="s">
        <v>18133</v>
      </c>
      <c r="G2081" s="2">
        <v>211274</v>
      </c>
      <c r="H2081" s="3" t="str">
        <f>HYPERLINK("https://cloud.oebiotech.com/#/lm/network/211274", "https://cloud.oebiotech.com/#/lm/network/211274")</f>
        <v>https://cloud.oebiotech.com/#/lm/network/211274</v>
      </c>
      <c r="I2081" s="2" t="s">
        <v>18134</v>
      </c>
      <c r="J2081" s="2"/>
      <c r="K2081" s="2"/>
      <c r="L2081" s="2">
        <v>22340974</v>
      </c>
      <c r="M2081" s="2"/>
      <c r="N2081" s="2"/>
      <c r="O2081" s="2"/>
      <c r="P2081" s="2"/>
      <c r="Q2081" s="2"/>
      <c r="R2081" s="2"/>
      <c r="S2081" s="2"/>
      <c r="T2081" s="2" t="s">
        <v>18135</v>
      </c>
      <c r="U2081" s="2" t="s">
        <v>18136</v>
      </c>
      <c r="V2081" s="2" t="s">
        <v>166</v>
      </c>
      <c r="W2081" s="2" t="s">
        <v>167</v>
      </c>
      <c r="X2081" s="2" t="s">
        <v>482</v>
      </c>
      <c r="Y2081" s="2" t="s">
        <v>169</v>
      </c>
      <c r="Z2081" s="2" t="s">
        <v>169</v>
      </c>
      <c r="AA2081" s="2" t="s">
        <v>483</v>
      </c>
      <c r="AB2081" s="2" t="s">
        <v>8443</v>
      </c>
      <c r="AC2081" s="2">
        <v>38.21</v>
      </c>
      <c r="AD2081" s="2">
        <v>91.04</v>
      </c>
      <c r="AE2081" s="2">
        <v>0</v>
      </c>
      <c r="AF2081" s="2" t="s">
        <v>5614</v>
      </c>
      <c r="AG2081" s="2" t="s">
        <v>132</v>
      </c>
      <c r="AH2081" s="2" t="s">
        <v>18137</v>
      </c>
      <c r="AI2081" s="2">
        <v>0.84</v>
      </c>
      <c r="AJ2081" s="2">
        <v>18.222428712167599</v>
      </c>
      <c r="AK2081" s="2">
        <v>18.434104973384098</v>
      </c>
      <c r="AL2081" s="2">
        <v>18.480844701808898</v>
      </c>
      <c r="AM2081" s="2">
        <v>18.549819330349099</v>
      </c>
      <c r="AN2081" s="2">
        <v>18.350298893613999</v>
      </c>
      <c r="AO2081" s="2">
        <v>18.2715897761104</v>
      </c>
      <c r="AP2081" s="2">
        <v>18.405523763902298</v>
      </c>
      <c r="AQ2081" s="2">
        <v>18.5097433862747</v>
      </c>
      <c r="AR2081" s="2">
        <v>16.926040433119901</v>
      </c>
      <c r="AS2081" s="2">
        <v>17.255675265352</v>
      </c>
      <c r="AT2081" s="2">
        <v>17.170857301671901</v>
      </c>
      <c r="AU2081" s="2">
        <v>17.406196782591799</v>
      </c>
      <c r="AV2081" s="2">
        <v>17.694850750131401</v>
      </c>
      <c r="AW2081" s="2">
        <v>17.6508784093303</v>
      </c>
      <c r="AX2081" s="2">
        <v>17.494826684060701</v>
      </c>
      <c r="AY2081" s="2">
        <v>17.595139520336701</v>
      </c>
      <c r="AZ2081" s="2">
        <v>17.3568392264255</v>
      </c>
      <c r="BA2081" s="2">
        <v>17.286805811781399</v>
      </c>
      <c r="BB2081" s="2">
        <v>17.402303204784801</v>
      </c>
      <c r="BC2081" s="2">
        <v>18.483082342621401</v>
      </c>
      <c r="BD2081" s="2">
        <v>17.531743155113801</v>
      </c>
      <c r="BE2081" s="2">
        <v>17.731978170845501</v>
      </c>
      <c r="BF2081" s="2">
        <v>17.601432834765401</v>
      </c>
      <c r="BG2081" s="2">
        <v>17.691176584118601</v>
      </c>
      <c r="BH2081" s="2">
        <v>17.512328906451799</v>
      </c>
      <c r="BI2081" s="2">
        <v>17.2934332997987</v>
      </c>
      <c r="BJ2081" s="2">
        <v>17.216512556908299</v>
      </c>
      <c r="BK2081" s="2">
        <v>17.203622822291798</v>
      </c>
      <c r="BL2081" s="2">
        <v>17.314998270932499</v>
      </c>
      <c r="BM2081" s="2">
        <v>17.7916551181507</v>
      </c>
      <c r="BN2081" s="2">
        <v>18.4352410425196</v>
      </c>
      <c r="BO2081" s="2">
        <v>17.384036986452902</v>
      </c>
      <c r="BP2081" s="2">
        <v>15.923008935578601</v>
      </c>
      <c r="BQ2081" s="2">
        <v>17.3473018857201</v>
      </c>
      <c r="BR2081" s="2">
        <v>17.437693074823599</v>
      </c>
      <c r="BS2081" s="2">
        <v>17.708442081535601</v>
      </c>
      <c r="BT2081" s="2">
        <v>17.647887491902999</v>
      </c>
      <c r="BU2081" s="2">
        <v>17.270537610993198</v>
      </c>
      <c r="BV2081" s="2">
        <v>15.9078842195253</v>
      </c>
      <c r="BW2081" s="2">
        <v>17.125240913126898</v>
      </c>
      <c r="BX2081" s="2">
        <v>16.599475586813501</v>
      </c>
      <c r="BY2081" s="2">
        <v>17.559872961595801</v>
      </c>
      <c r="BZ2081" s="2">
        <v>17.5927892907314</v>
      </c>
      <c r="CA2081" s="2">
        <v>15.580998395047899</v>
      </c>
      <c r="CB2081" s="2">
        <v>17.666097761463998</v>
      </c>
      <c r="CC2081" s="2">
        <v>17.2744879929357</v>
      </c>
      <c r="CD2081" s="2">
        <v>17.222442863457498</v>
      </c>
      <c r="CE2081" s="2">
        <v>17.459189286613299</v>
      </c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</row>
    <row r="2082" spans="1:97">
      <c r="A2082" s="2" t="s">
        <v>18138</v>
      </c>
      <c r="B2082" s="2">
        <v>787.60247000000004</v>
      </c>
      <c r="C2082" s="2">
        <v>12.53</v>
      </c>
      <c r="D2082" s="2" t="s">
        <v>84</v>
      </c>
      <c r="E2082" s="2" t="s">
        <v>18139</v>
      </c>
      <c r="F2082" s="2" t="s">
        <v>18140</v>
      </c>
      <c r="G2082" s="2">
        <v>251290</v>
      </c>
      <c r="H2082" s="3" t="str">
        <f>HYPERLINK("https://cloud.oebiotech.com/#/lm/network/251290", "https://cloud.oebiotech.com/#/lm/network/251290")</f>
        <v>https://cloud.oebiotech.com/#/lm/network/251290</v>
      </c>
      <c r="I2082" s="2" t="s">
        <v>18141</v>
      </c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 t="s">
        <v>18142</v>
      </c>
      <c r="U2082" s="2" t="s">
        <v>18143</v>
      </c>
      <c r="V2082" s="2" t="s">
        <v>95</v>
      </c>
      <c r="W2082" s="2" t="s">
        <v>96</v>
      </c>
      <c r="X2082" s="2" t="s">
        <v>3216</v>
      </c>
      <c r="Y2082" s="2" t="s">
        <v>98</v>
      </c>
      <c r="Z2082" s="2" t="s">
        <v>99</v>
      </c>
      <c r="AA2082" s="2" t="s">
        <v>3217</v>
      </c>
      <c r="AB2082" s="2" t="s">
        <v>8443</v>
      </c>
      <c r="AC2082" s="2">
        <v>38.21</v>
      </c>
      <c r="AD2082" s="2">
        <v>70.58</v>
      </c>
      <c r="AE2082" s="2">
        <v>0</v>
      </c>
      <c r="AF2082" s="2" t="s">
        <v>5614</v>
      </c>
      <c r="AG2082" s="2" t="s">
        <v>1578</v>
      </c>
      <c r="AH2082" s="2" t="s">
        <v>13418</v>
      </c>
      <c r="AI2082" s="2">
        <v>4.1900000000000004</v>
      </c>
      <c r="AJ2082" s="2">
        <v>27.316499852464901</v>
      </c>
      <c r="AK2082" s="2">
        <v>27.612751963009298</v>
      </c>
      <c r="AL2082" s="2">
        <v>28.036997573532499</v>
      </c>
      <c r="AM2082" s="2">
        <v>26.2473754119376</v>
      </c>
      <c r="AN2082" s="2">
        <v>27.677597916500901</v>
      </c>
      <c r="AO2082" s="2">
        <v>27.777893652449599</v>
      </c>
      <c r="AP2082" s="2">
        <v>27.894443925528901</v>
      </c>
      <c r="AQ2082" s="2">
        <v>27.9508301794042</v>
      </c>
      <c r="AR2082" s="2">
        <v>28.028995109408701</v>
      </c>
      <c r="AS2082" s="2">
        <v>27.969699033092201</v>
      </c>
      <c r="AT2082" s="2">
        <v>25.495175104055502</v>
      </c>
      <c r="AU2082" s="2">
        <v>25.954445963211299</v>
      </c>
      <c r="AV2082" s="2">
        <v>27.6531495549468</v>
      </c>
      <c r="AW2082" s="2">
        <v>27.770399668340101</v>
      </c>
      <c r="AX2082" s="2">
        <v>27.9163838680902</v>
      </c>
      <c r="AY2082" s="2">
        <v>28.025690693331502</v>
      </c>
      <c r="AZ2082" s="2">
        <v>25.722632775466099</v>
      </c>
      <c r="BA2082" s="2">
        <v>27.597616134632901</v>
      </c>
      <c r="BB2082" s="2">
        <v>25.987445516302099</v>
      </c>
      <c r="BC2082" s="2">
        <v>25.458981846109999</v>
      </c>
      <c r="BD2082" s="2">
        <v>27.8042809263703</v>
      </c>
      <c r="BE2082" s="2">
        <v>27.571667326448999</v>
      </c>
      <c r="BF2082" s="2">
        <v>27.884422528197099</v>
      </c>
      <c r="BG2082" s="2">
        <v>27.969313025342601</v>
      </c>
      <c r="BH2082" s="2">
        <v>27.806806432759899</v>
      </c>
      <c r="BI2082" s="2">
        <v>26.654093157145098</v>
      </c>
      <c r="BJ2082" s="2">
        <v>28.075331997363701</v>
      </c>
      <c r="BK2082" s="2">
        <v>28.079014397099598</v>
      </c>
      <c r="BL2082" s="2">
        <v>26.718306888950998</v>
      </c>
      <c r="BM2082" s="2">
        <v>28.1767411250304</v>
      </c>
      <c r="BN2082" s="2">
        <v>26.160704664169401</v>
      </c>
      <c r="BO2082" s="2">
        <v>27.902021321694701</v>
      </c>
      <c r="BP2082" s="2">
        <v>27.912236226157301</v>
      </c>
      <c r="BQ2082" s="2">
        <v>27.943158730416801</v>
      </c>
      <c r="BR2082" s="2">
        <v>27.864145362488799</v>
      </c>
      <c r="BS2082" s="2">
        <v>26.567788610009501</v>
      </c>
      <c r="BT2082" s="2">
        <v>26.682617378077801</v>
      </c>
      <c r="BU2082" s="2">
        <v>27.664605778579201</v>
      </c>
      <c r="BV2082" s="2">
        <v>26.6694805013375</v>
      </c>
      <c r="BW2082" s="2">
        <v>27.745408294492901</v>
      </c>
      <c r="BX2082" s="2">
        <v>27.6234811362824</v>
      </c>
      <c r="BY2082" s="2">
        <v>27.861366672582299</v>
      </c>
      <c r="BZ2082" s="2">
        <v>27.649733803145601</v>
      </c>
      <c r="CA2082" s="2">
        <v>26.212577467651901</v>
      </c>
      <c r="CB2082" s="2">
        <v>27.834076570073801</v>
      </c>
      <c r="CC2082" s="2">
        <v>27.698744932814801</v>
      </c>
      <c r="CD2082" s="2">
        <v>27.921755686649298</v>
      </c>
      <c r="CE2082" s="2">
        <v>28.394287157691998</v>
      </c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</row>
    <row r="2083" spans="1:97">
      <c r="A2083" s="2" t="s">
        <v>18144</v>
      </c>
      <c r="B2083" s="2">
        <v>347.21972</v>
      </c>
      <c r="C2083" s="2">
        <v>12.879</v>
      </c>
      <c r="D2083" s="2" t="s">
        <v>146</v>
      </c>
      <c r="E2083" s="2" t="s">
        <v>18145</v>
      </c>
      <c r="F2083" s="2" t="s">
        <v>18146</v>
      </c>
      <c r="G2083" s="2">
        <v>36032</v>
      </c>
      <c r="H2083" s="3" t="str">
        <f>HYPERLINK("https://cloud.oebiotech.com/#/lm/network/36032", "https://cloud.oebiotech.com/#/lm/network/36032")</f>
        <v>https://cloud.oebiotech.com/#/lm/network/36032</v>
      </c>
      <c r="I2083" s="2"/>
      <c r="J2083" s="2">
        <v>53658</v>
      </c>
      <c r="K2083" s="2" t="s">
        <v>18147</v>
      </c>
      <c r="L2083" s="2">
        <v>42608228</v>
      </c>
      <c r="M2083" s="2"/>
      <c r="N2083" s="2"/>
      <c r="O2083" s="2"/>
      <c r="P2083" s="2"/>
      <c r="Q2083" s="2"/>
      <c r="R2083" s="2"/>
      <c r="S2083" s="2"/>
      <c r="T2083" s="2" t="s">
        <v>18148</v>
      </c>
      <c r="U2083" s="2" t="s">
        <v>18149</v>
      </c>
      <c r="V2083" s="2" t="s">
        <v>95</v>
      </c>
      <c r="W2083" s="2" t="s">
        <v>180</v>
      </c>
      <c r="X2083" s="2" t="s">
        <v>181</v>
      </c>
      <c r="Y2083" s="2" t="s">
        <v>98</v>
      </c>
      <c r="Z2083" s="2" t="s">
        <v>182</v>
      </c>
      <c r="AA2083" s="2" t="s">
        <v>183</v>
      </c>
      <c r="AB2083" s="2" t="s">
        <v>5118</v>
      </c>
      <c r="AC2083" s="2">
        <v>38.19</v>
      </c>
      <c r="AD2083" s="2">
        <v>97.14</v>
      </c>
      <c r="AE2083" s="2">
        <v>46.74</v>
      </c>
      <c r="AF2083" s="2" t="s">
        <v>18150</v>
      </c>
      <c r="AG2083" s="2" t="s">
        <v>157</v>
      </c>
      <c r="AH2083" s="2" t="s">
        <v>785</v>
      </c>
      <c r="AI2083" s="2">
        <v>8.93</v>
      </c>
      <c r="AJ2083" s="2">
        <v>20.3987074466921</v>
      </c>
      <c r="AK2083" s="2">
        <v>20.284622155767298</v>
      </c>
      <c r="AL2083" s="2">
        <v>19.754287151192301</v>
      </c>
      <c r="AM2083" s="2">
        <v>20.4224580288484</v>
      </c>
      <c r="AN2083" s="2">
        <v>20.821834157874601</v>
      </c>
      <c r="AO2083" s="2">
        <v>20.924696585076902</v>
      </c>
      <c r="AP2083" s="2">
        <v>20.001952621064099</v>
      </c>
      <c r="AQ2083" s="2">
        <v>20.166617605353501</v>
      </c>
      <c r="AR2083" s="2">
        <v>19.433059851839101</v>
      </c>
      <c r="AS2083" s="2">
        <v>20.200369453114</v>
      </c>
      <c r="AT2083" s="2">
        <v>21.236900387907699</v>
      </c>
      <c r="AU2083" s="2">
        <v>19.975575749705701</v>
      </c>
      <c r="AV2083" s="2">
        <v>19.2453698881876</v>
      </c>
      <c r="AW2083" s="2">
        <v>20.834189585644101</v>
      </c>
      <c r="AX2083" s="2">
        <v>20.9098384336422</v>
      </c>
      <c r="AY2083" s="2">
        <v>19.795888459107299</v>
      </c>
      <c r="AZ2083" s="2">
        <v>19.123872741434798</v>
      </c>
      <c r="BA2083" s="2">
        <v>20.585228320133201</v>
      </c>
      <c r="BB2083" s="2">
        <v>19.772355204568399</v>
      </c>
      <c r="BC2083" s="2">
        <v>21.046458628006501</v>
      </c>
      <c r="BD2083" s="2">
        <v>17.994927262526399</v>
      </c>
      <c r="BE2083" s="2">
        <v>19.291252373928899</v>
      </c>
      <c r="BF2083" s="2">
        <v>19.921133345106401</v>
      </c>
      <c r="BG2083" s="2">
        <v>19.788796619480099</v>
      </c>
      <c r="BH2083" s="2">
        <v>19.0660113581487</v>
      </c>
      <c r="BI2083" s="2">
        <v>20.022376862356701</v>
      </c>
      <c r="BJ2083" s="2">
        <v>19.923526949570402</v>
      </c>
      <c r="BK2083" s="2">
        <v>19.2718296553623</v>
      </c>
      <c r="BL2083" s="2">
        <v>18.0708681005536</v>
      </c>
      <c r="BM2083" s="2">
        <v>19.568275850590702</v>
      </c>
      <c r="BN2083" s="2">
        <v>19.100494187238102</v>
      </c>
      <c r="BO2083" s="2">
        <v>20.158537541304501</v>
      </c>
      <c r="BP2083" s="2">
        <v>20.757173508777601</v>
      </c>
      <c r="BQ2083" s="2">
        <v>20.335257333537498</v>
      </c>
      <c r="BR2083" s="2">
        <v>20.092703429524001</v>
      </c>
      <c r="BS2083" s="2">
        <v>19.270813998362499</v>
      </c>
      <c r="BT2083" s="2">
        <v>20.919141682891301</v>
      </c>
      <c r="BU2083" s="2">
        <v>20.8495694611372</v>
      </c>
      <c r="BV2083" s="2">
        <v>20.626742146382199</v>
      </c>
      <c r="BW2083" s="2">
        <v>19.022951107662902</v>
      </c>
      <c r="BX2083" s="2">
        <v>20.060521130041501</v>
      </c>
      <c r="BY2083" s="2">
        <v>19.370426250533701</v>
      </c>
      <c r="BZ2083" s="2">
        <v>20.470951184952401</v>
      </c>
      <c r="CA2083" s="2">
        <v>18.853262794998798</v>
      </c>
      <c r="CB2083" s="2">
        <v>20.154942072972599</v>
      </c>
      <c r="CC2083" s="2">
        <v>19.851565051667901</v>
      </c>
      <c r="CD2083" s="2">
        <v>20.122687251383699</v>
      </c>
      <c r="CE2083" s="2">
        <v>21.472447878373298</v>
      </c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</row>
    <row r="2084" spans="1:97">
      <c r="A2084" s="2" t="s">
        <v>18151</v>
      </c>
      <c r="B2084" s="2">
        <v>299.13853999999998</v>
      </c>
      <c r="C2084" s="2">
        <v>6.4029999999999996</v>
      </c>
      <c r="D2084" s="2" t="s">
        <v>84</v>
      </c>
      <c r="E2084" s="2" t="s">
        <v>18152</v>
      </c>
      <c r="F2084" s="2" t="s">
        <v>18153</v>
      </c>
      <c r="G2084" s="2">
        <v>52759</v>
      </c>
      <c r="H2084" s="3" t="str">
        <f>HYPERLINK("https://cloud.oebiotech.com/#/lm/network/52759", "https://cloud.oebiotech.com/#/lm/network/52759")</f>
        <v>https://cloud.oebiotech.com/#/lm/network/52759</v>
      </c>
      <c r="I2084" s="2" t="s">
        <v>18154</v>
      </c>
      <c r="J2084" s="2">
        <v>3947</v>
      </c>
      <c r="K2084" s="2"/>
      <c r="L2084" s="2">
        <v>2576</v>
      </c>
      <c r="M2084" s="2" t="s">
        <v>18155</v>
      </c>
      <c r="N2084" s="2"/>
      <c r="O2084" s="2"/>
      <c r="P2084" s="2">
        <v>3419</v>
      </c>
      <c r="Q2084" s="2" t="s">
        <v>18156</v>
      </c>
      <c r="R2084" s="2" t="s">
        <v>18157</v>
      </c>
      <c r="S2084" s="2" t="s">
        <v>18158</v>
      </c>
      <c r="T2084" s="2" t="s">
        <v>18159</v>
      </c>
      <c r="U2084" s="2" t="s">
        <v>18160</v>
      </c>
      <c r="V2084" s="2" t="s">
        <v>115</v>
      </c>
      <c r="W2084" s="2" t="s">
        <v>116</v>
      </c>
      <c r="X2084" s="2" t="s">
        <v>117</v>
      </c>
      <c r="Y2084" s="2" t="s">
        <v>118</v>
      </c>
      <c r="Z2084" s="2" t="s">
        <v>119</v>
      </c>
      <c r="AA2084" s="2" t="s">
        <v>120</v>
      </c>
      <c r="AB2084" s="2" t="s">
        <v>8443</v>
      </c>
      <c r="AC2084" s="2">
        <v>38.18</v>
      </c>
      <c r="AD2084" s="2">
        <v>75.3</v>
      </c>
      <c r="AE2084" s="2">
        <v>0</v>
      </c>
      <c r="AF2084" s="2" t="s">
        <v>5614</v>
      </c>
      <c r="AG2084" s="2" t="s">
        <v>3544</v>
      </c>
      <c r="AH2084" s="2" t="s">
        <v>18161</v>
      </c>
      <c r="AI2084" s="2">
        <v>-5.68</v>
      </c>
      <c r="AJ2084" s="2">
        <v>17.5334374193386</v>
      </c>
      <c r="AK2084" s="2">
        <v>17.6420641770838</v>
      </c>
      <c r="AL2084" s="2">
        <v>17.527758907616398</v>
      </c>
      <c r="AM2084" s="2">
        <v>17.811161424619701</v>
      </c>
      <c r="AN2084" s="2">
        <v>17.509416960890999</v>
      </c>
      <c r="AO2084" s="2">
        <v>17.9428429207024</v>
      </c>
      <c r="AP2084" s="2">
        <v>17.797308597354</v>
      </c>
      <c r="AQ2084" s="2">
        <v>17.703654277794701</v>
      </c>
      <c r="AR2084" s="2">
        <v>9.6233145402724691</v>
      </c>
      <c r="AS2084" s="2">
        <v>17.140795428088602</v>
      </c>
      <c r="AT2084" s="2">
        <v>17.981749212684299</v>
      </c>
      <c r="AU2084" s="2">
        <v>15.6206614343246</v>
      </c>
      <c r="AV2084" s="2">
        <v>16.593206542899299</v>
      </c>
      <c r="AW2084" s="2">
        <v>16.295434440315098</v>
      </c>
      <c r="AX2084" s="2">
        <v>18.783084530337501</v>
      </c>
      <c r="AY2084" s="2">
        <v>18.033267908646799</v>
      </c>
      <c r="AZ2084" s="2">
        <v>16.126896612381099</v>
      </c>
      <c r="BA2084" s="2">
        <v>16.503440359275899</v>
      </c>
      <c r="BB2084" s="2">
        <v>17.8671652403069</v>
      </c>
      <c r="BC2084" s="2">
        <v>19.710056168767</v>
      </c>
      <c r="BD2084" s="2">
        <v>16.125549080026602</v>
      </c>
      <c r="BE2084" s="2">
        <v>19.216264958636099</v>
      </c>
      <c r="BF2084" s="2">
        <v>15.835869069589201</v>
      </c>
      <c r="BG2084" s="2">
        <v>18.1802372735795</v>
      </c>
      <c r="BH2084" s="2">
        <v>17.885686246034599</v>
      </c>
      <c r="BI2084" s="2">
        <v>17.114998321311401</v>
      </c>
      <c r="BJ2084" s="2">
        <v>18.707948618585601</v>
      </c>
      <c r="BK2084" s="2">
        <v>16.5041028302985</v>
      </c>
      <c r="BL2084" s="2">
        <v>17.395180564245202</v>
      </c>
      <c r="BM2084" s="2">
        <v>16.973197900940601</v>
      </c>
      <c r="BN2084" s="2">
        <v>17.230002980011101</v>
      </c>
      <c r="BO2084" s="2">
        <v>18.054664566770999</v>
      </c>
      <c r="BP2084" s="2">
        <v>17.5768827276422</v>
      </c>
      <c r="BQ2084" s="2">
        <v>15.941309006924399</v>
      </c>
      <c r="BR2084" s="2">
        <v>18.532134901311501</v>
      </c>
      <c r="BS2084" s="2">
        <v>17.243089820087501</v>
      </c>
      <c r="BT2084" s="2">
        <v>16.0656081979199</v>
      </c>
      <c r="BU2084" s="2">
        <v>17.821875853765999</v>
      </c>
      <c r="BV2084" s="2">
        <v>17.929421396225401</v>
      </c>
      <c r="BW2084" s="2">
        <v>17.645308579221599</v>
      </c>
      <c r="BX2084" s="2">
        <v>15.3133089240944</v>
      </c>
      <c r="BY2084" s="2">
        <v>18.9059267746375</v>
      </c>
      <c r="BZ2084" s="2">
        <v>15.354738715883601</v>
      </c>
      <c r="CA2084" s="2">
        <v>17.620518899949101</v>
      </c>
      <c r="CB2084" s="2">
        <v>17.929517619614298</v>
      </c>
      <c r="CC2084" s="2">
        <v>16.787067443656799</v>
      </c>
      <c r="CD2084" s="2">
        <v>19.193536357197399</v>
      </c>
      <c r="CE2084" s="2">
        <v>18.161764153960402</v>
      </c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</row>
    <row r="2085" spans="1:97">
      <c r="A2085" s="2" t="s">
        <v>18162</v>
      </c>
      <c r="B2085" s="2">
        <v>383.04671000000002</v>
      </c>
      <c r="C2085" s="2">
        <v>3.67</v>
      </c>
      <c r="D2085" s="2" t="s">
        <v>146</v>
      </c>
      <c r="E2085" s="2" t="s">
        <v>18163</v>
      </c>
      <c r="F2085" s="2"/>
      <c r="G2085" s="2">
        <v>596430</v>
      </c>
      <c r="H2085" s="3" t="str">
        <f>HYPERLINK("https://cloud.oebiotech.com/#/lm/network/596430", "https://cloud.oebiotech.com/#/lm/network/596430")</f>
        <v>https://cloud.oebiotech.com/#/lm/network/596430</v>
      </c>
      <c r="I2085" s="2"/>
      <c r="J2085" s="2"/>
      <c r="K2085" s="2"/>
      <c r="L2085" s="2">
        <v>78997</v>
      </c>
      <c r="M2085" s="2"/>
      <c r="N2085" s="2"/>
      <c r="O2085" s="2"/>
      <c r="P2085" s="2"/>
      <c r="Q2085" s="2"/>
      <c r="R2085" s="2"/>
      <c r="S2085" s="2"/>
      <c r="T2085" s="2" t="s">
        <v>18164</v>
      </c>
      <c r="U2085" s="2" t="s">
        <v>18165</v>
      </c>
      <c r="V2085" s="2" t="s">
        <v>553</v>
      </c>
      <c r="W2085" s="2" t="s">
        <v>3480</v>
      </c>
      <c r="X2085" s="2" t="s">
        <v>3481</v>
      </c>
      <c r="Y2085" s="2" t="s">
        <v>556</v>
      </c>
      <c r="Z2085" s="2" t="s">
        <v>3482</v>
      </c>
      <c r="AA2085" s="2" t="s">
        <v>3483</v>
      </c>
      <c r="AB2085" s="2" t="s">
        <v>8443</v>
      </c>
      <c r="AC2085" s="2">
        <v>38.17</v>
      </c>
      <c r="AD2085" s="2">
        <v>90.83</v>
      </c>
      <c r="AE2085" s="2">
        <v>0</v>
      </c>
      <c r="AF2085" s="2" t="s">
        <v>5614</v>
      </c>
      <c r="AG2085" s="2" t="s">
        <v>3880</v>
      </c>
      <c r="AH2085" s="2" t="s">
        <v>3165</v>
      </c>
      <c r="AI2085" s="2">
        <v>0</v>
      </c>
      <c r="AJ2085" s="2">
        <v>18.5562861924742</v>
      </c>
      <c r="AK2085" s="2">
        <v>18.6039202968932</v>
      </c>
      <c r="AL2085" s="2">
        <v>18.614999174998299</v>
      </c>
      <c r="AM2085" s="2">
        <v>18.653820744310799</v>
      </c>
      <c r="AN2085" s="2">
        <v>18.847704246481602</v>
      </c>
      <c r="AO2085" s="2">
        <v>18.673798417248399</v>
      </c>
      <c r="AP2085" s="2">
        <v>18.666096582234498</v>
      </c>
      <c r="AQ2085" s="2">
        <v>18.592410317112599</v>
      </c>
      <c r="AR2085" s="2">
        <v>17.824128022237598</v>
      </c>
      <c r="AS2085" s="2">
        <v>17.773603113156</v>
      </c>
      <c r="AT2085" s="2">
        <v>18.464830091109299</v>
      </c>
      <c r="AU2085" s="2">
        <v>17.9932487821671</v>
      </c>
      <c r="AV2085" s="2">
        <v>18.4111136327449</v>
      </c>
      <c r="AW2085" s="2">
        <v>18.350268156098299</v>
      </c>
      <c r="AX2085" s="2">
        <v>18.299421079265102</v>
      </c>
      <c r="AY2085" s="2">
        <v>18.6234076064686</v>
      </c>
      <c r="AZ2085" s="2">
        <v>18.408668869260499</v>
      </c>
      <c r="BA2085" s="2">
        <v>18.1115816028667</v>
      </c>
      <c r="BB2085" s="2">
        <v>18.974704879895501</v>
      </c>
      <c r="BC2085" s="2">
        <v>18.615678879647199</v>
      </c>
      <c r="BD2085" s="2">
        <v>18.0399468389801</v>
      </c>
      <c r="BE2085" s="2">
        <v>19.057493479363199</v>
      </c>
      <c r="BF2085" s="2">
        <v>18.5544337913982</v>
      </c>
      <c r="BG2085" s="2">
        <v>19.087251156758299</v>
      </c>
      <c r="BH2085" s="2">
        <v>18.715628343191401</v>
      </c>
      <c r="BI2085" s="2">
        <v>18.407483748964999</v>
      </c>
      <c r="BJ2085" s="2">
        <v>18.706998709909801</v>
      </c>
      <c r="BK2085" s="2">
        <v>18.624599430402501</v>
      </c>
      <c r="BL2085" s="2">
        <v>18.437214423278899</v>
      </c>
      <c r="BM2085" s="2">
        <v>18.9749074182097</v>
      </c>
      <c r="BN2085" s="2">
        <v>18.836418158903701</v>
      </c>
      <c r="BO2085" s="2">
        <v>18.584693797523101</v>
      </c>
      <c r="BP2085" s="2">
        <v>18.475264584965601</v>
      </c>
      <c r="BQ2085" s="2">
        <v>18.690476263811199</v>
      </c>
      <c r="BR2085" s="2">
        <v>18.700161301638001</v>
      </c>
      <c r="BS2085" s="2">
        <v>18.3252910916706</v>
      </c>
      <c r="BT2085" s="2">
        <v>18.395415269885401</v>
      </c>
      <c r="BU2085" s="2">
        <v>17.923724471409201</v>
      </c>
      <c r="BV2085" s="2">
        <v>18.807422911585299</v>
      </c>
      <c r="BW2085" s="2">
        <v>18.1036674393171</v>
      </c>
      <c r="BX2085" s="2">
        <v>18.589228584642001</v>
      </c>
      <c r="BY2085" s="2">
        <v>18.897349219775201</v>
      </c>
      <c r="BZ2085" s="2">
        <v>18.7377687414311</v>
      </c>
      <c r="CA2085" s="2">
        <v>18.915360478634099</v>
      </c>
      <c r="CB2085" s="2">
        <v>18.554856327086299</v>
      </c>
      <c r="CC2085" s="2">
        <v>18.124506051917098</v>
      </c>
      <c r="CD2085" s="2">
        <v>18.885737209485601</v>
      </c>
      <c r="CE2085" s="2">
        <v>18.5526791153613</v>
      </c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</row>
    <row r="2086" spans="1:97">
      <c r="A2086" s="2" t="s">
        <v>18166</v>
      </c>
      <c r="B2086" s="2">
        <v>228.26838000000001</v>
      </c>
      <c r="C2086" s="2">
        <v>9.4550000000000001</v>
      </c>
      <c r="D2086" s="2" t="s">
        <v>84</v>
      </c>
      <c r="E2086" s="2" t="s">
        <v>18167</v>
      </c>
      <c r="F2086" s="2" t="s">
        <v>18168</v>
      </c>
      <c r="G2086" s="2">
        <v>9633</v>
      </c>
      <c r="H2086" s="3" t="str">
        <f>HYPERLINK("https://cloud.oebiotech.com/#/lm/network/9633", "https://cloud.oebiotech.com/#/lm/network/9633")</f>
        <v>https://cloud.oebiotech.com/#/lm/network/9633</v>
      </c>
      <c r="I2086" s="2" t="s">
        <v>18169</v>
      </c>
      <c r="J2086" s="2">
        <v>87395</v>
      </c>
      <c r="K2086" s="2" t="s">
        <v>18170</v>
      </c>
      <c r="L2086" s="2">
        <v>5352968</v>
      </c>
      <c r="M2086" s="2"/>
      <c r="N2086" s="2"/>
      <c r="O2086" s="2"/>
      <c r="P2086" s="2"/>
      <c r="Q2086" s="2"/>
      <c r="R2086" s="2"/>
      <c r="S2086" s="2" t="s">
        <v>18171</v>
      </c>
      <c r="T2086" s="2" t="s">
        <v>18172</v>
      </c>
      <c r="U2086" s="2" t="s">
        <v>18173</v>
      </c>
      <c r="V2086" s="2" t="s">
        <v>10755</v>
      </c>
      <c r="W2086" s="2" t="s">
        <v>10756</v>
      </c>
      <c r="X2086" s="2" t="s">
        <v>16890</v>
      </c>
      <c r="Y2086" s="2" t="s">
        <v>10758</v>
      </c>
      <c r="Z2086" s="2" t="s">
        <v>10759</v>
      </c>
      <c r="AA2086" s="2" t="s">
        <v>16891</v>
      </c>
      <c r="AB2086" s="2" t="s">
        <v>8443</v>
      </c>
      <c r="AC2086" s="2">
        <v>38.17</v>
      </c>
      <c r="AD2086" s="2">
        <v>90.87</v>
      </c>
      <c r="AE2086" s="2">
        <v>0</v>
      </c>
      <c r="AF2086" s="2" t="s">
        <v>5614</v>
      </c>
      <c r="AG2086" s="2" t="s">
        <v>132</v>
      </c>
      <c r="AH2086" s="2" t="s">
        <v>18174</v>
      </c>
      <c r="AI2086" s="2">
        <v>0.88</v>
      </c>
      <c r="AJ2086" s="2">
        <v>18.661369324973801</v>
      </c>
      <c r="AK2086" s="2">
        <v>18.954874005164498</v>
      </c>
      <c r="AL2086" s="2">
        <v>18.682345940871802</v>
      </c>
      <c r="AM2086" s="2">
        <v>18.639765801520099</v>
      </c>
      <c r="AN2086" s="2">
        <v>18.862851927477099</v>
      </c>
      <c r="AO2086" s="2">
        <v>18.806926155721701</v>
      </c>
      <c r="AP2086" s="2">
        <v>18.670323576347801</v>
      </c>
      <c r="AQ2086" s="2">
        <v>18.776433225222199</v>
      </c>
      <c r="AR2086" s="2">
        <v>18.9367491501262</v>
      </c>
      <c r="AS2086" s="2">
        <v>18.691084345793499</v>
      </c>
      <c r="AT2086" s="2">
        <v>18.928035096270801</v>
      </c>
      <c r="AU2086" s="2">
        <v>18.4118458120344</v>
      </c>
      <c r="AV2086" s="2">
        <v>17.993201395639002</v>
      </c>
      <c r="AW2086" s="2">
        <v>18.539182065046202</v>
      </c>
      <c r="AX2086" s="2">
        <v>18.375589978431599</v>
      </c>
      <c r="AY2086" s="2">
        <v>18.200201728509398</v>
      </c>
      <c r="AZ2086" s="2">
        <v>18.377619662514</v>
      </c>
      <c r="BA2086" s="2">
        <v>18.448831360120401</v>
      </c>
      <c r="BB2086" s="2">
        <v>18.4275816218898</v>
      </c>
      <c r="BC2086" s="2">
        <v>18.442432604750099</v>
      </c>
      <c r="BD2086" s="2">
        <v>18.5623414898151</v>
      </c>
      <c r="BE2086" s="2">
        <v>17.387505707448199</v>
      </c>
      <c r="BF2086" s="2">
        <v>18.984614381606299</v>
      </c>
      <c r="BG2086" s="2">
        <v>19.030320585113799</v>
      </c>
      <c r="BH2086" s="2">
        <v>18.720924536877899</v>
      </c>
      <c r="BI2086" s="2">
        <v>18.693033866176201</v>
      </c>
      <c r="BJ2086" s="2">
        <v>18.329994246823599</v>
      </c>
      <c r="BK2086" s="2">
        <v>18.706105322943401</v>
      </c>
      <c r="BL2086" s="2">
        <v>20.2242114716109</v>
      </c>
      <c r="BM2086" s="2">
        <v>18.005209115924298</v>
      </c>
      <c r="BN2086" s="2">
        <v>17.809783261356699</v>
      </c>
      <c r="BO2086" s="2">
        <v>18.279469119203299</v>
      </c>
      <c r="BP2086" s="2">
        <v>18.5220610226472</v>
      </c>
      <c r="BQ2086" s="2">
        <v>17.487103381236199</v>
      </c>
      <c r="BR2086" s="2">
        <v>18.229969710374</v>
      </c>
      <c r="BS2086" s="2">
        <v>18.3777991322494</v>
      </c>
      <c r="BT2086" s="2">
        <v>18.726677411659999</v>
      </c>
      <c r="BU2086" s="2">
        <v>17.979866926259302</v>
      </c>
      <c r="BV2086" s="2">
        <v>17.9609806314763</v>
      </c>
      <c r="BW2086" s="2">
        <v>18.098430988189101</v>
      </c>
      <c r="BX2086" s="2">
        <v>18.082603191302098</v>
      </c>
      <c r="BY2086" s="2">
        <v>17.495450726516999</v>
      </c>
      <c r="BZ2086" s="2">
        <v>18.302833677684902</v>
      </c>
      <c r="CA2086" s="2">
        <v>17.944849297194899</v>
      </c>
      <c r="CB2086" s="2">
        <v>17.7673185721229</v>
      </c>
      <c r="CC2086" s="2">
        <v>18.2554738092383</v>
      </c>
      <c r="CD2086" s="2">
        <v>18.0879998774985</v>
      </c>
      <c r="CE2086" s="2">
        <v>17.9285856877359</v>
      </c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</row>
    <row r="2087" spans="1:97">
      <c r="A2087" s="2" t="s">
        <v>18175</v>
      </c>
      <c r="B2087" s="2">
        <v>387.18427000000003</v>
      </c>
      <c r="C2087" s="2">
        <v>5.1760000000000002</v>
      </c>
      <c r="D2087" s="2" t="s">
        <v>146</v>
      </c>
      <c r="E2087" s="2" t="s">
        <v>18176</v>
      </c>
      <c r="F2087" s="2" t="s">
        <v>18177</v>
      </c>
      <c r="G2087" s="2">
        <v>568758</v>
      </c>
      <c r="H2087" s="3" t="str">
        <f>HYPERLINK("https://cloud.oebiotech.com/#/lm/network/568758", "https://cloud.oebiotech.com/#/lm/network/568758")</f>
        <v>https://cloud.oebiotech.com/#/lm/network/568758</v>
      </c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 t="s">
        <v>18178</v>
      </c>
      <c r="U2087" s="2" t="s">
        <v>18179</v>
      </c>
      <c r="V2087" s="2" t="s">
        <v>385</v>
      </c>
      <c r="W2087" s="2" t="s">
        <v>9654</v>
      </c>
      <c r="X2087" s="2" t="s">
        <v>375</v>
      </c>
      <c r="Y2087" s="2" t="s">
        <v>388</v>
      </c>
      <c r="Z2087" s="2" t="s">
        <v>9655</v>
      </c>
      <c r="AA2087" s="2"/>
      <c r="AB2087" s="2" t="s">
        <v>8443</v>
      </c>
      <c r="AC2087" s="2">
        <v>38.17</v>
      </c>
      <c r="AD2087" s="2">
        <v>85.35</v>
      </c>
      <c r="AE2087" s="2">
        <v>0</v>
      </c>
      <c r="AF2087" s="2" t="s">
        <v>5614</v>
      </c>
      <c r="AG2087" s="2" t="s">
        <v>3880</v>
      </c>
      <c r="AH2087" s="2" t="s">
        <v>3324</v>
      </c>
      <c r="AI2087" s="2">
        <v>-7.75</v>
      </c>
      <c r="AJ2087" s="2">
        <v>16.862554910643802</v>
      </c>
      <c r="AK2087" s="2">
        <v>17.047892120779501</v>
      </c>
      <c r="AL2087" s="2">
        <v>17.307010958990901</v>
      </c>
      <c r="AM2087" s="2">
        <v>17.386255991492</v>
      </c>
      <c r="AN2087" s="2">
        <v>17.0792919546485</v>
      </c>
      <c r="AO2087" s="2">
        <v>17.203338347505898</v>
      </c>
      <c r="AP2087" s="2">
        <v>17.054371035423699</v>
      </c>
      <c r="AQ2087" s="2">
        <v>17.119540989751599</v>
      </c>
      <c r="AR2087" s="2">
        <v>17.024117666440599</v>
      </c>
      <c r="AS2087" s="2">
        <v>14.634522368863699</v>
      </c>
      <c r="AT2087" s="2">
        <v>17.673544209396301</v>
      </c>
      <c r="AU2087" s="2">
        <v>16.833253682304001</v>
      </c>
      <c r="AV2087" s="2">
        <v>16.121227729745002</v>
      </c>
      <c r="AW2087" s="2">
        <v>17.499792566535199</v>
      </c>
      <c r="AX2087" s="2">
        <v>17.104503238192599</v>
      </c>
      <c r="AY2087" s="2">
        <v>17.424557277456501</v>
      </c>
      <c r="AZ2087" s="2">
        <v>16.957136965535401</v>
      </c>
      <c r="BA2087" s="2">
        <v>16.211142273366601</v>
      </c>
      <c r="BB2087" s="2">
        <v>17.9642937068515</v>
      </c>
      <c r="BC2087" s="2">
        <v>16.380290086666498</v>
      </c>
      <c r="BD2087" s="2">
        <v>16.936191628204899</v>
      </c>
      <c r="BE2087" s="2">
        <v>16.9976838331369</v>
      </c>
      <c r="BF2087" s="2">
        <v>17.135442262624998</v>
      </c>
      <c r="BG2087" s="2">
        <v>17.280248709865301</v>
      </c>
      <c r="BH2087" s="2">
        <v>15.833918378506199</v>
      </c>
      <c r="BI2087" s="2">
        <v>17.646430525213098</v>
      </c>
      <c r="BJ2087" s="2">
        <v>15.766749136744499</v>
      </c>
      <c r="BK2087" s="2">
        <v>16.2708984528022</v>
      </c>
      <c r="BL2087" s="2">
        <v>16.622225022861201</v>
      </c>
      <c r="BM2087" s="2">
        <v>14.8475066497789</v>
      </c>
      <c r="BN2087" s="2">
        <v>17.7196844051631</v>
      </c>
      <c r="BO2087" s="2">
        <v>17.5029256358495</v>
      </c>
      <c r="BP2087" s="2">
        <v>16.6978100291891</v>
      </c>
      <c r="BQ2087" s="2">
        <v>17.2771480719009</v>
      </c>
      <c r="BR2087" s="2">
        <v>17.872777548414501</v>
      </c>
      <c r="BS2087" s="2">
        <v>16.863902405433901</v>
      </c>
      <c r="BT2087" s="2">
        <v>17.268316835753701</v>
      </c>
      <c r="BU2087" s="2">
        <v>16.640736795783599</v>
      </c>
      <c r="BV2087" s="2">
        <v>16.49846654748</v>
      </c>
      <c r="BW2087" s="2">
        <v>14.790451848178799</v>
      </c>
      <c r="BX2087" s="2">
        <v>17.163642699147101</v>
      </c>
      <c r="BY2087" s="2">
        <v>16.208527776085798</v>
      </c>
      <c r="BZ2087" s="2">
        <v>17.827813133593899</v>
      </c>
      <c r="CA2087" s="2">
        <v>16.078349523288601</v>
      </c>
      <c r="CB2087" s="2">
        <v>15.439757526942</v>
      </c>
      <c r="CC2087" s="2">
        <v>16.778149914580698</v>
      </c>
      <c r="CD2087" s="2">
        <v>16.589562057813499</v>
      </c>
      <c r="CE2087" s="2">
        <v>16.333572581125502</v>
      </c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</row>
    <row r="2088" spans="1:97">
      <c r="A2088" s="2" t="s">
        <v>18180</v>
      </c>
      <c r="B2088" s="2">
        <v>453.31504000000001</v>
      </c>
      <c r="C2088" s="2">
        <v>10.054</v>
      </c>
      <c r="D2088" s="2" t="s">
        <v>146</v>
      </c>
      <c r="E2088" s="2" t="s">
        <v>18181</v>
      </c>
      <c r="F2088" s="2" t="s">
        <v>18182</v>
      </c>
      <c r="G2088" s="2">
        <v>55955</v>
      </c>
      <c r="H2088" s="3" t="str">
        <f>HYPERLINK("https://cloud.oebiotech.com/#/lm/network/55955", "https://cloud.oebiotech.com/#/lm/network/55955")</f>
        <v>https://cloud.oebiotech.com/#/lm/network/55955</v>
      </c>
      <c r="I2088" s="2" t="s">
        <v>18183</v>
      </c>
      <c r="J2088" s="2">
        <v>87634</v>
      </c>
      <c r="K2088" s="2"/>
      <c r="L2088" s="2">
        <v>15285539</v>
      </c>
      <c r="M2088" s="2"/>
      <c r="N2088" s="2"/>
      <c r="O2088" s="2"/>
      <c r="P2088" s="2">
        <v>176157</v>
      </c>
      <c r="Q2088" s="2"/>
      <c r="R2088" s="2"/>
      <c r="S2088" s="2" t="s">
        <v>18184</v>
      </c>
      <c r="T2088" s="2" t="s">
        <v>18185</v>
      </c>
      <c r="U2088" s="2" t="s">
        <v>18186</v>
      </c>
      <c r="V2088" s="2" t="s">
        <v>95</v>
      </c>
      <c r="W2088" s="2" t="s">
        <v>180</v>
      </c>
      <c r="X2088" s="2" t="s">
        <v>1790</v>
      </c>
      <c r="Y2088" s="2" t="s">
        <v>98</v>
      </c>
      <c r="Z2088" s="2" t="s">
        <v>182</v>
      </c>
      <c r="AA2088" s="2" t="s">
        <v>1791</v>
      </c>
      <c r="AB2088" s="2" t="s">
        <v>8443</v>
      </c>
      <c r="AC2088" s="2">
        <v>38.159999999999997</v>
      </c>
      <c r="AD2088" s="2">
        <v>93.49</v>
      </c>
      <c r="AE2088" s="2">
        <v>0</v>
      </c>
      <c r="AF2088" s="2" t="s">
        <v>18187</v>
      </c>
      <c r="AG2088" s="2" t="s">
        <v>993</v>
      </c>
      <c r="AH2088" s="2" t="s">
        <v>18188</v>
      </c>
      <c r="AI2088" s="2">
        <v>1.54</v>
      </c>
      <c r="AJ2088" s="2">
        <v>19.705291583298202</v>
      </c>
      <c r="AK2088" s="2">
        <v>19.6782019181382</v>
      </c>
      <c r="AL2088" s="2">
        <v>19.7391110954906</v>
      </c>
      <c r="AM2088" s="2">
        <v>19.7615145653408</v>
      </c>
      <c r="AN2088" s="2">
        <v>19.650792899826701</v>
      </c>
      <c r="AO2088" s="2">
        <v>19.5599292217406</v>
      </c>
      <c r="AP2088" s="2">
        <v>19.691001033087499</v>
      </c>
      <c r="AQ2088" s="2">
        <v>19.6763591627201</v>
      </c>
      <c r="AR2088" s="2">
        <v>19.7833730251539</v>
      </c>
      <c r="AS2088" s="2">
        <v>19.665768285431199</v>
      </c>
      <c r="AT2088" s="2">
        <v>19.700010317813302</v>
      </c>
      <c r="AU2088" s="2">
        <v>19.603736153913701</v>
      </c>
      <c r="AV2088" s="2">
        <v>19.676342701554098</v>
      </c>
      <c r="AW2088" s="2">
        <v>19.687011857259201</v>
      </c>
      <c r="AX2088" s="2">
        <v>19.741541230590499</v>
      </c>
      <c r="AY2088" s="2">
        <v>19.7027993917233</v>
      </c>
      <c r="AZ2088" s="2">
        <v>19.6609351836738</v>
      </c>
      <c r="BA2088" s="2">
        <v>19.563392254580201</v>
      </c>
      <c r="BB2088" s="2">
        <v>19.764207368669599</v>
      </c>
      <c r="BC2088" s="2">
        <v>19.576894921615501</v>
      </c>
      <c r="BD2088" s="2">
        <v>19.550455324031599</v>
      </c>
      <c r="BE2088" s="2">
        <v>19.700199477006102</v>
      </c>
      <c r="BF2088" s="2">
        <v>19.590547798041602</v>
      </c>
      <c r="BG2088" s="2">
        <v>19.702152778217801</v>
      </c>
      <c r="BH2088" s="2">
        <v>19.4289411121439</v>
      </c>
      <c r="BI2088" s="2">
        <v>19.587286805104199</v>
      </c>
      <c r="BJ2088" s="2">
        <v>19.7690126613508</v>
      </c>
      <c r="BK2088" s="2">
        <v>19.5175975968004</v>
      </c>
      <c r="BL2088" s="2">
        <v>19.6741613655342</v>
      </c>
      <c r="BM2088" s="2">
        <v>19.820248594409801</v>
      </c>
      <c r="BN2088" s="2">
        <v>19.428773494565799</v>
      </c>
      <c r="BO2088" s="2">
        <v>19.651654510587601</v>
      </c>
      <c r="BP2088" s="2">
        <v>19.5284855121775</v>
      </c>
      <c r="BQ2088" s="2">
        <v>19.684822024210199</v>
      </c>
      <c r="BR2088" s="2">
        <v>19.655250928595699</v>
      </c>
      <c r="BS2088" s="2">
        <v>19.650062646598101</v>
      </c>
      <c r="BT2088" s="2">
        <v>19.6194906926081</v>
      </c>
      <c r="BU2088" s="2">
        <v>19.566650292036599</v>
      </c>
      <c r="BV2088" s="2">
        <v>19.5898199281872</v>
      </c>
      <c r="BW2088" s="2">
        <v>19.612734404370599</v>
      </c>
      <c r="BX2088" s="2">
        <v>19.669839506100601</v>
      </c>
      <c r="BY2088" s="2">
        <v>19.553311843436902</v>
      </c>
      <c r="BZ2088" s="2">
        <v>19.659332712205799</v>
      </c>
      <c r="CA2088" s="2">
        <v>19.6916699556037</v>
      </c>
      <c r="CB2088" s="2">
        <v>19.5569307148563</v>
      </c>
      <c r="CC2088" s="2">
        <v>19.650951453812102</v>
      </c>
      <c r="CD2088" s="2">
        <v>19.537016193805599</v>
      </c>
      <c r="CE2088" s="2">
        <v>19.706273817496498</v>
      </c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</row>
    <row r="2089" spans="1:97">
      <c r="A2089" s="2" t="s">
        <v>18189</v>
      </c>
      <c r="B2089" s="2">
        <v>98.009110000000007</v>
      </c>
      <c r="C2089" s="2">
        <v>0.58299999999999996</v>
      </c>
      <c r="D2089" s="2" t="s">
        <v>84</v>
      </c>
      <c r="E2089" s="2" t="s">
        <v>18190</v>
      </c>
      <c r="F2089" s="2" t="s">
        <v>18191</v>
      </c>
      <c r="G2089" s="2">
        <v>63406</v>
      </c>
      <c r="H2089" s="3" t="str">
        <f>HYPERLINK("https://cloud.oebiotech.com/#/lm/network/63406", "https://cloud.oebiotech.com/#/lm/network/63406")</f>
        <v>https://cloud.oebiotech.com/#/lm/network/63406</v>
      </c>
      <c r="I2089" s="2" t="s">
        <v>18192</v>
      </c>
      <c r="J2089" s="2">
        <v>94719</v>
      </c>
      <c r="K2089" s="2"/>
      <c r="L2089" s="2">
        <v>138818</v>
      </c>
      <c r="M2089" s="2"/>
      <c r="N2089" s="2"/>
      <c r="O2089" s="2"/>
      <c r="P2089" s="2"/>
      <c r="Q2089" s="2"/>
      <c r="R2089" s="2"/>
      <c r="S2089" s="2" t="s">
        <v>18193</v>
      </c>
      <c r="T2089" s="2" t="s">
        <v>18194</v>
      </c>
      <c r="U2089" s="2" t="s">
        <v>18195</v>
      </c>
      <c r="V2089" s="2" t="s">
        <v>9746</v>
      </c>
      <c r="W2089" s="2" t="s">
        <v>12529</v>
      </c>
      <c r="X2089" s="2" t="s">
        <v>12530</v>
      </c>
      <c r="Y2089" s="2" t="s">
        <v>9748</v>
      </c>
      <c r="Z2089" s="2" t="s">
        <v>12531</v>
      </c>
      <c r="AA2089" s="2" t="s">
        <v>12532</v>
      </c>
      <c r="AB2089" s="2" t="s">
        <v>8443</v>
      </c>
      <c r="AC2089" s="2">
        <v>38.159999999999997</v>
      </c>
      <c r="AD2089" s="2">
        <v>93.47</v>
      </c>
      <c r="AE2089" s="2">
        <v>0</v>
      </c>
      <c r="AF2089" s="2" t="s">
        <v>5614</v>
      </c>
      <c r="AG2089" s="2" t="s">
        <v>132</v>
      </c>
      <c r="AH2089" s="2" t="s">
        <v>18196</v>
      </c>
      <c r="AI2089" s="2">
        <v>1.53</v>
      </c>
      <c r="AJ2089" s="2">
        <v>21.4046353353745</v>
      </c>
      <c r="AK2089" s="2">
        <v>21.708511768017502</v>
      </c>
      <c r="AL2089" s="2">
        <v>21.299384218495899</v>
      </c>
      <c r="AM2089" s="2">
        <v>21.982582813932002</v>
      </c>
      <c r="AN2089" s="2">
        <v>21.1618193273579</v>
      </c>
      <c r="AO2089" s="2">
        <v>22.071058683032401</v>
      </c>
      <c r="AP2089" s="2">
        <v>21.285905225044701</v>
      </c>
      <c r="AQ2089" s="2">
        <v>21.731622675269598</v>
      </c>
      <c r="AR2089" s="2">
        <v>21.398220192135501</v>
      </c>
      <c r="AS2089" s="2">
        <v>21.120864851750198</v>
      </c>
      <c r="AT2089" s="2">
        <v>21.3497717376403</v>
      </c>
      <c r="AU2089" s="2">
        <v>21.150808927626699</v>
      </c>
      <c r="AV2089" s="2">
        <v>21.599277012232399</v>
      </c>
      <c r="AW2089" s="2">
        <v>21.400755987104901</v>
      </c>
      <c r="AX2089" s="2">
        <v>20.9597258864632</v>
      </c>
      <c r="AY2089" s="2">
        <v>21.662728158325699</v>
      </c>
      <c r="AZ2089" s="2">
        <v>21.345574437986901</v>
      </c>
      <c r="BA2089" s="2">
        <v>21.321489860568001</v>
      </c>
      <c r="BB2089" s="2">
        <v>21.891756255713702</v>
      </c>
      <c r="BC2089" s="2">
        <v>20.926799021254901</v>
      </c>
      <c r="BD2089" s="2">
        <v>21.881496328798399</v>
      </c>
      <c r="BE2089" s="2">
        <v>21.413262058812801</v>
      </c>
      <c r="BF2089" s="2">
        <v>20.350632075181998</v>
      </c>
      <c r="BG2089" s="2">
        <v>21.446761251692202</v>
      </c>
      <c r="BH2089" s="2">
        <v>21.853907250618999</v>
      </c>
      <c r="BI2089" s="2">
        <v>21.048285445699399</v>
      </c>
      <c r="BJ2089" s="2">
        <v>21.080068993423499</v>
      </c>
      <c r="BK2089" s="2">
        <v>21.3419678907735</v>
      </c>
      <c r="BL2089" s="2">
        <v>21.591050718643402</v>
      </c>
      <c r="BM2089" s="2">
        <v>21.564656398324001</v>
      </c>
      <c r="BN2089" s="2">
        <v>21.659510978816801</v>
      </c>
      <c r="BO2089" s="2">
        <v>21.140772603228701</v>
      </c>
      <c r="BP2089" s="2">
        <v>20.6266175085822</v>
      </c>
      <c r="BQ2089" s="2">
        <v>21.0318856343501</v>
      </c>
      <c r="BR2089" s="2">
        <v>21.215686499272401</v>
      </c>
      <c r="BS2089" s="2">
        <v>21.596740207208601</v>
      </c>
      <c r="BT2089" s="2">
        <v>21.402639344917201</v>
      </c>
      <c r="BU2089" s="2">
        <v>20.621756728649899</v>
      </c>
      <c r="BV2089" s="2">
        <v>21.573362503329101</v>
      </c>
      <c r="BW2089" s="2">
        <v>21.255615955122298</v>
      </c>
      <c r="BX2089" s="2">
        <v>21.245441273786501</v>
      </c>
      <c r="BY2089" s="2">
        <v>22.244443400488599</v>
      </c>
      <c r="BZ2089" s="2">
        <v>21.642234095451901</v>
      </c>
      <c r="CA2089" s="2">
        <v>21.141239186908098</v>
      </c>
      <c r="CB2089" s="2">
        <v>21.738272115936699</v>
      </c>
      <c r="CC2089" s="2">
        <v>21.296558896846498</v>
      </c>
      <c r="CD2089" s="2">
        <v>21.783096467488999</v>
      </c>
      <c r="CE2089" s="2">
        <v>21.082961220258198</v>
      </c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</row>
    <row r="2090" spans="1:97">
      <c r="A2090" s="2" t="s">
        <v>18197</v>
      </c>
      <c r="B2090" s="2">
        <v>184.13292999999999</v>
      </c>
      <c r="C2090" s="2">
        <v>0.79100000000000004</v>
      </c>
      <c r="D2090" s="2" t="s">
        <v>84</v>
      </c>
      <c r="E2090" s="2" t="s">
        <v>18198</v>
      </c>
      <c r="F2090" s="2" t="s">
        <v>18199</v>
      </c>
      <c r="G2090" s="2">
        <v>53332</v>
      </c>
      <c r="H2090" s="3" t="str">
        <f>HYPERLINK("https://cloud.oebiotech.com/#/lm/network/53332", "https://cloud.oebiotech.com/#/lm/network/53332")</f>
        <v>https://cloud.oebiotech.com/#/lm/network/53332</v>
      </c>
      <c r="I2090" s="2" t="s">
        <v>18200</v>
      </c>
      <c r="J2090" s="2">
        <v>85468</v>
      </c>
      <c r="K2090" s="2"/>
      <c r="L2090" s="2">
        <v>4162</v>
      </c>
      <c r="M2090" s="2"/>
      <c r="N2090" s="2"/>
      <c r="O2090" s="2"/>
      <c r="P2090" s="2"/>
      <c r="Q2090" s="2"/>
      <c r="R2090" s="2"/>
      <c r="S2090" s="2" t="s">
        <v>18201</v>
      </c>
      <c r="T2090" s="2" t="s">
        <v>18202</v>
      </c>
      <c r="U2090" s="2" t="s">
        <v>18203</v>
      </c>
      <c r="V2090" s="2" t="s">
        <v>553</v>
      </c>
      <c r="W2090" s="2" t="s">
        <v>3192</v>
      </c>
      <c r="X2090" s="2" t="s">
        <v>7779</v>
      </c>
      <c r="Y2090" s="2" t="s">
        <v>556</v>
      </c>
      <c r="Z2090" s="2" t="s">
        <v>3194</v>
      </c>
      <c r="AA2090" s="2" t="s">
        <v>7780</v>
      </c>
      <c r="AB2090" s="2" t="s">
        <v>8443</v>
      </c>
      <c r="AC2090" s="2">
        <v>38.15</v>
      </c>
      <c r="AD2090" s="2">
        <v>93.92</v>
      </c>
      <c r="AE2090" s="2">
        <v>0</v>
      </c>
      <c r="AF2090" s="2" t="s">
        <v>5614</v>
      </c>
      <c r="AG2090" s="2" t="s">
        <v>103</v>
      </c>
      <c r="AH2090" s="2" t="s">
        <v>18204</v>
      </c>
      <c r="AI2090" s="2">
        <v>1.63</v>
      </c>
      <c r="AJ2090" s="2">
        <v>19.578609647858901</v>
      </c>
      <c r="AK2090" s="2">
        <v>19.6156643871733</v>
      </c>
      <c r="AL2090" s="2">
        <v>19.534618255118001</v>
      </c>
      <c r="AM2090" s="2">
        <v>19.812372232074502</v>
      </c>
      <c r="AN2090" s="2">
        <v>19.204900856567299</v>
      </c>
      <c r="AO2090" s="2">
        <v>18.752847062148302</v>
      </c>
      <c r="AP2090" s="2">
        <v>19.426602478217202</v>
      </c>
      <c r="AQ2090" s="2">
        <v>19.479946774785901</v>
      </c>
      <c r="AR2090" s="2">
        <v>16.406812202267499</v>
      </c>
      <c r="AS2090" s="2">
        <v>18.507675306065</v>
      </c>
      <c r="AT2090" s="2">
        <v>9.6233145402724691</v>
      </c>
      <c r="AU2090" s="2">
        <v>19.086455268441298</v>
      </c>
      <c r="AV2090" s="2">
        <v>15.7522042192525</v>
      </c>
      <c r="AW2090" s="2">
        <v>9.6233145402724691</v>
      </c>
      <c r="AX2090" s="2">
        <v>19.764852433054202</v>
      </c>
      <c r="AY2090" s="2">
        <v>18.925569390604299</v>
      </c>
      <c r="AZ2090" s="2">
        <v>19.235215674652501</v>
      </c>
      <c r="BA2090" s="2">
        <v>17.991492228804901</v>
      </c>
      <c r="BB2090" s="2">
        <v>22.451970746962701</v>
      </c>
      <c r="BC2090" s="2">
        <v>20.763658033177499</v>
      </c>
      <c r="BD2090" s="2">
        <v>20.445494877365999</v>
      </c>
      <c r="BE2090" s="2">
        <v>19.517360400514601</v>
      </c>
      <c r="BF2090" s="2">
        <v>9.6233145402724691</v>
      </c>
      <c r="BG2090" s="2">
        <v>19.479553147812702</v>
      </c>
      <c r="BH2090" s="2">
        <v>20.462383715957699</v>
      </c>
      <c r="BI2090" s="2">
        <v>18.736912539982601</v>
      </c>
      <c r="BJ2090" s="2">
        <v>19.785059524192199</v>
      </c>
      <c r="BK2090" s="2">
        <v>9.6233145402724691</v>
      </c>
      <c r="BL2090" s="2">
        <v>9.6233145402724691</v>
      </c>
      <c r="BM2090" s="2">
        <v>15.900292530121501</v>
      </c>
      <c r="BN2090" s="2">
        <v>17.551911516761901</v>
      </c>
      <c r="BO2090" s="2">
        <v>17.693850906770901</v>
      </c>
      <c r="BP2090" s="2">
        <v>18.165432437164501</v>
      </c>
      <c r="BQ2090" s="2">
        <v>17.719367361656399</v>
      </c>
      <c r="BR2090" s="2">
        <v>20.151859812399401</v>
      </c>
      <c r="BS2090" s="2">
        <v>18.6100878569295</v>
      </c>
      <c r="BT2090" s="2">
        <v>18.960038822800598</v>
      </c>
      <c r="BU2090" s="2">
        <v>18.854812939802301</v>
      </c>
      <c r="BV2090" s="2">
        <v>21.182735191018502</v>
      </c>
      <c r="BW2090" s="2">
        <v>19.776031790711599</v>
      </c>
      <c r="BX2090" s="2">
        <v>20.815770920803999</v>
      </c>
      <c r="BY2090" s="2">
        <v>19.657629329706399</v>
      </c>
      <c r="BZ2090" s="2">
        <v>9.6233145402724691</v>
      </c>
      <c r="CA2090" s="2">
        <v>20.379570076501999</v>
      </c>
      <c r="CB2090" s="2">
        <v>20.696323464063401</v>
      </c>
      <c r="CC2090" s="2">
        <v>17.586824178418901</v>
      </c>
      <c r="CD2090" s="2">
        <v>20.687401485652199</v>
      </c>
      <c r="CE2090" s="2">
        <v>9.6233145402724691</v>
      </c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</row>
    <row r="2091" spans="1:97">
      <c r="A2091" s="2" t="s">
        <v>18205</v>
      </c>
      <c r="B2091" s="2">
        <v>286.2285</v>
      </c>
      <c r="C2091" s="2">
        <v>12.834</v>
      </c>
      <c r="D2091" s="2" t="s">
        <v>84</v>
      </c>
      <c r="E2091" s="2" t="s">
        <v>18206</v>
      </c>
      <c r="F2091" s="2" t="s">
        <v>18207</v>
      </c>
      <c r="G2091" s="2">
        <v>202633</v>
      </c>
      <c r="H2091" s="3" t="str">
        <f>HYPERLINK("https://cloud.oebiotech.com/#/lm/network/202633", "https://cloud.oebiotech.com/#/lm/network/202633")</f>
        <v>https://cloud.oebiotech.com/#/lm/network/202633</v>
      </c>
      <c r="I2091" s="2" t="s">
        <v>18208</v>
      </c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 t="s">
        <v>18209</v>
      </c>
      <c r="U2091" s="2" t="s">
        <v>18210</v>
      </c>
      <c r="V2091" s="2" t="s">
        <v>166</v>
      </c>
      <c r="W2091" s="2" t="s">
        <v>167</v>
      </c>
      <c r="X2091" s="2" t="s">
        <v>482</v>
      </c>
      <c r="Y2091" s="2" t="s">
        <v>169</v>
      </c>
      <c r="Z2091" s="2" t="s">
        <v>169</v>
      </c>
      <c r="AA2091" s="2" t="s">
        <v>483</v>
      </c>
      <c r="AB2091" s="2" t="s">
        <v>8443</v>
      </c>
      <c r="AC2091" s="2">
        <v>38.15</v>
      </c>
      <c r="AD2091" s="2">
        <v>98</v>
      </c>
      <c r="AE2091" s="2">
        <v>0</v>
      </c>
      <c r="AF2091" s="2" t="s">
        <v>18211</v>
      </c>
      <c r="AG2091" s="2" t="s">
        <v>132</v>
      </c>
      <c r="AH2091" s="2" t="s">
        <v>18212</v>
      </c>
      <c r="AI2091" s="2">
        <v>-2.4500000000000002</v>
      </c>
      <c r="AJ2091" s="2">
        <v>22.878849939926798</v>
      </c>
      <c r="AK2091" s="2">
        <v>22.864135037768399</v>
      </c>
      <c r="AL2091" s="2">
        <v>22.8322288506881</v>
      </c>
      <c r="AM2091" s="2">
        <v>22.837201808584201</v>
      </c>
      <c r="AN2091" s="2">
        <v>22.858796995400098</v>
      </c>
      <c r="AO2091" s="2">
        <v>22.786758393349601</v>
      </c>
      <c r="AP2091" s="2">
        <v>22.219161097810399</v>
      </c>
      <c r="AQ2091" s="2">
        <v>22.7427569560199</v>
      </c>
      <c r="AR2091" s="2">
        <v>22.678095399901199</v>
      </c>
      <c r="AS2091" s="2">
        <v>21.1355995394247</v>
      </c>
      <c r="AT2091" s="2">
        <v>21.809615321688302</v>
      </c>
      <c r="AU2091" s="2">
        <v>22.519050370621098</v>
      </c>
      <c r="AV2091" s="2">
        <v>22.512972220203199</v>
      </c>
      <c r="AW2091" s="2">
        <v>22.995973512819699</v>
      </c>
      <c r="AX2091" s="2">
        <v>22.4831315030012</v>
      </c>
      <c r="AY2091" s="2">
        <v>22.544327732794301</v>
      </c>
      <c r="AZ2091" s="2">
        <v>21.224362666790999</v>
      </c>
      <c r="BA2091" s="2">
        <v>22.128742628420799</v>
      </c>
      <c r="BB2091" s="2">
        <v>22.486169834264899</v>
      </c>
      <c r="BC2091" s="2">
        <v>22.4764724791882</v>
      </c>
      <c r="BD2091" s="2">
        <v>22.668956488874599</v>
      </c>
      <c r="BE2091" s="2">
        <v>23.308008643956398</v>
      </c>
      <c r="BF2091" s="2">
        <v>22.369592681945701</v>
      </c>
      <c r="BG2091" s="2">
        <v>22.668387999537298</v>
      </c>
      <c r="BH2091" s="2">
        <v>22.354501823094999</v>
      </c>
      <c r="BI2091" s="2">
        <v>23.190569223994899</v>
      </c>
      <c r="BJ2091" s="2">
        <v>22.685705225874301</v>
      </c>
      <c r="BK2091" s="2">
        <v>22.7675533021742</v>
      </c>
      <c r="BL2091" s="2">
        <v>22.935873479183002</v>
      </c>
      <c r="BM2091" s="2">
        <v>22.605189445067001</v>
      </c>
      <c r="BN2091" s="2">
        <v>22.336477248667599</v>
      </c>
      <c r="BO2091" s="2">
        <v>23.183825460490599</v>
      </c>
      <c r="BP2091" s="2">
        <v>22.899825386752202</v>
      </c>
      <c r="BQ2091" s="2">
        <v>22.816116967027799</v>
      </c>
      <c r="BR2091" s="2">
        <v>23.173612670893501</v>
      </c>
      <c r="BS2091" s="2">
        <v>22.778932360542601</v>
      </c>
      <c r="BT2091" s="2">
        <v>22.6914043957769</v>
      </c>
      <c r="BU2091" s="2">
        <v>22.289245192076301</v>
      </c>
      <c r="BV2091" s="2">
        <v>23.262736741952601</v>
      </c>
      <c r="BW2091" s="2">
        <v>21.7681096375631</v>
      </c>
      <c r="BX2091" s="2">
        <v>22.826319459863701</v>
      </c>
      <c r="BY2091" s="2">
        <v>23.796241707415899</v>
      </c>
      <c r="BZ2091" s="2">
        <v>22.506634701009499</v>
      </c>
      <c r="CA2091" s="2">
        <v>22.856869801342299</v>
      </c>
      <c r="CB2091" s="2">
        <v>22.925644102096499</v>
      </c>
      <c r="CC2091" s="2">
        <v>22.5117205024352</v>
      </c>
      <c r="CD2091" s="2">
        <v>23.124525546533601</v>
      </c>
      <c r="CE2091" s="2">
        <v>23.185118200266501</v>
      </c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</row>
    <row r="2092" spans="1:97">
      <c r="A2092" s="2" t="s">
        <v>18213</v>
      </c>
      <c r="B2092" s="2">
        <v>383.08292999999998</v>
      </c>
      <c r="C2092" s="2">
        <v>3.6669999999999998</v>
      </c>
      <c r="D2092" s="2" t="s">
        <v>146</v>
      </c>
      <c r="E2092" s="2" t="s">
        <v>18214</v>
      </c>
      <c r="F2092" s="2" t="s">
        <v>18215</v>
      </c>
      <c r="G2092" s="2">
        <v>207217</v>
      </c>
      <c r="H2092" s="3" t="str">
        <f>HYPERLINK("https://cloud.oebiotech.com/#/lm/network/207217", "https://cloud.oebiotech.com/#/lm/network/207217")</f>
        <v>https://cloud.oebiotech.com/#/lm/network/207217</v>
      </c>
      <c r="I2092" s="2" t="s">
        <v>18216</v>
      </c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 t="s">
        <v>18217</v>
      </c>
      <c r="U2092" s="2" t="s">
        <v>18218</v>
      </c>
      <c r="V2092" s="2" t="s">
        <v>338</v>
      </c>
      <c r="W2092" s="2" t="s">
        <v>339</v>
      </c>
      <c r="X2092" s="2" t="s">
        <v>663</v>
      </c>
      <c r="Y2092" s="2" t="s">
        <v>341</v>
      </c>
      <c r="Z2092" s="2" t="s">
        <v>341</v>
      </c>
      <c r="AA2092" s="2" t="s">
        <v>664</v>
      </c>
      <c r="AB2092" s="2" t="s">
        <v>8443</v>
      </c>
      <c r="AC2092" s="2">
        <v>38.14</v>
      </c>
      <c r="AD2092" s="2">
        <v>90.72</v>
      </c>
      <c r="AE2092" s="2">
        <v>0</v>
      </c>
      <c r="AF2092" s="2" t="s">
        <v>5614</v>
      </c>
      <c r="AG2092" s="2" t="s">
        <v>194</v>
      </c>
      <c r="AH2092" s="2" t="s">
        <v>18219</v>
      </c>
      <c r="AI2092" s="2">
        <v>0.52</v>
      </c>
      <c r="AJ2092" s="2">
        <v>17.366070386653099</v>
      </c>
      <c r="AK2092" s="2">
        <v>17.004370373438501</v>
      </c>
      <c r="AL2092" s="2">
        <v>17.0003188343597</v>
      </c>
      <c r="AM2092" s="2">
        <v>17.393137024997198</v>
      </c>
      <c r="AN2092" s="2">
        <v>17.218956888991801</v>
      </c>
      <c r="AO2092" s="2">
        <v>17.247419392291601</v>
      </c>
      <c r="AP2092" s="2">
        <v>17.1738558031766</v>
      </c>
      <c r="AQ2092" s="2">
        <v>17.363742081551901</v>
      </c>
      <c r="AR2092" s="2">
        <v>16.090591721789298</v>
      </c>
      <c r="AS2092" s="2">
        <v>16.186929588443402</v>
      </c>
      <c r="AT2092" s="2">
        <v>16.961050008352</v>
      </c>
      <c r="AU2092" s="2">
        <v>17.0092963417333</v>
      </c>
      <c r="AV2092" s="2">
        <v>16.660146072465899</v>
      </c>
      <c r="AW2092" s="2">
        <v>17.035940336527801</v>
      </c>
      <c r="AX2092" s="2">
        <v>16.854066649762999</v>
      </c>
      <c r="AY2092" s="2">
        <v>17.3587906874046</v>
      </c>
      <c r="AZ2092" s="2">
        <v>17.277896961847201</v>
      </c>
      <c r="BA2092" s="2">
        <v>16.663860487022799</v>
      </c>
      <c r="BB2092" s="2">
        <v>17.633163046604398</v>
      </c>
      <c r="BC2092" s="2">
        <v>17.667165262278001</v>
      </c>
      <c r="BD2092" s="2">
        <v>16.984777463433598</v>
      </c>
      <c r="BE2092" s="2">
        <v>17.5001725394503</v>
      </c>
      <c r="BF2092" s="2">
        <v>16.753344081666601</v>
      </c>
      <c r="BG2092" s="2">
        <v>17.563006223603601</v>
      </c>
      <c r="BH2092" s="2">
        <v>16.976725097542602</v>
      </c>
      <c r="BI2092" s="2">
        <v>16.7007860718468</v>
      </c>
      <c r="BJ2092" s="2">
        <v>17.6842774325583</v>
      </c>
      <c r="BK2092" s="2">
        <v>16.984954318521201</v>
      </c>
      <c r="BL2092" s="2">
        <v>16.7950712917599</v>
      </c>
      <c r="BM2092" s="2">
        <v>17.299498263581999</v>
      </c>
      <c r="BN2092" s="2">
        <v>17.231529554572901</v>
      </c>
      <c r="BO2092" s="2">
        <v>17.0546287993111</v>
      </c>
      <c r="BP2092" s="2">
        <v>16.516307608132099</v>
      </c>
      <c r="BQ2092" s="2">
        <v>17.2739726659083</v>
      </c>
      <c r="BR2092" s="2">
        <v>17.459672229192201</v>
      </c>
      <c r="BS2092" s="2">
        <v>17.187513590170099</v>
      </c>
      <c r="BT2092" s="2">
        <v>16.446248959265201</v>
      </c>
      <c r="BU2092" s="2">
        <v>16.8695905902335</v>
      </c>
      <c r="BV2092" s="2">
        <v>17.439691469956099</v>
      </c>
      <c r="BW2092" s="2">
        <v>16.856733109310699</v>
      </c>
      <c r="BX2092" s="2">
        <v>17.1636456471239</v>
      </c>
      <c r="BY2092" s="2">
        <v>17.6765384498473</v>
      </c>
      <c r="BZ2092" s="2">
        <v>17.274604102686101</v>
      </c>
      <c r="CA2092" s="2">
        <v>17.612289065994101</v>
      </c>
      <c r="CB2092" s="2">
        <v>17.013695164510999</v>
      </c>
      <c r="CC2092" s="2">
        <v>16.304213869747301</v>
      </c>
      <c r="CD2092" s="2">
        <v>17.7098897977204</v>
      </c>
      <c r="CE2092" s="2">
        <v>17.1606955435057</v>
      </c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</row>
    <row r="2093" spans="1:97">
      <c r="A2093" s="2" t="s">
        <v>18220</v>
      </c>
      <c r="B2093" s="2">
        <v>520.30218000000002</v>
      </c>
      <c r="C2093" s="2">
        <v>10.377000000000001</v>
      </c>
      <c r="D2093" s="2" t="s">
        <v>84</v>
      </c>
      <c r="E2093" s="2" t="s">
        <v>18221</v>
      </c>
      <c r="F2093" s="2" t="s">
        <v>18222</v>
      </c>
      <c r="G2093" s="2">
        <v>57832</v>
      </c>
      <c r="H2093" s="3" t="str">
        <f>HYPERLINK("https://cloud.oebiotech.com/#/lm/network/57832", "https://cloud.oebiotech.com/#/lm/network/57832")</f>
        <v>https://cloud.oebiotech.com/#/lm/network/57832</v>
      </c>
      <c r="I2093" s="2" t="s">
        <v>18223</v>
      </c>
      <c r="J2093" s="2">
        <v>89417</v>
      </c>
      <c r="K2093" s="2"/>
      <c r="L2093" s="2">
        <v>85261327</v>
      </c>
      <c r="M2093" s="2"/>
      <c r="N2093" s="2"/>
      <c r="O2093" s="2"/>
      <c r="P2093" s="2">
        <v>172729</v>
      </c>
      <c r="Q2093" s="2"/>
      <c r="R2093" s="2"/>
      <c r="S2093" s="2" t="s">
        <v>18224</v>
      </c>
      <c r="T2093" s="2" t="s">
        <v>18225</v>
      </c>
      <c r="U2093" s="2" t="s">
        <v>18226</v>
      </c>
      <c r="V2093" s="2" t="s">
        <v>115</v>
      </c>
      <c r="W2093" s="2" t="s">
        <v>116</v>
      </c>
      <c r="X2093" s="2" t="s">
        <v>117</v>
      </c>
      <c r="Y2093" s="2" t="s">
        <v>118</v>
      </c>
      <c r="Z2093" s="2" t="s">
        <v>119</v>
      </c>
      <c r="AA2093" s="2" t="s">
        <v>120</v>
      </c>
      <c r="AB2093" s="2" t="s">
        <v>8443</v>
      </c>
      <c r="AC2093" s="2">
        <v>38.14</v>
      </c>
      <c r="AD2093" s="2">
        <v>90.7</v>
      </c>
      <c r="AE2093" s="2">
        <v>0</v>
      </c>
      <c r="AF2093" s="2" t="s">
        <v>5614</v>
      </c>
      <c r="AG2093" s="2" t="s">
        <v>103</v>
      </c>
      <c r="AH2093" s="2" t="s">
        <v>18227</v>
      </c>
      <c r="AI2093" s="2">
        <v>-0.96</v>
      </c>
      <c r="AJ2093" s="2">
        <v>23.570067366504901</v>
      </c>
      <c r="AK2093" s="2">
        <v>23.581001759083001</v>
      </c>
      <c r="AL2093" s="2">
        <v>23.482477110917401</v>
      </c>
      <c r="AM2093" s="2">
        <v>23.455221122530599</v>
      </c>
      <c r="AN2093" s="2">
        <v>23.7112924213361</v>
      </c>
      <c r="AO2093" s="2">
        <v>23.275768426953299</v>
      </c>
      <c r="AP2093" s="2">
        <v>23.517713885914901</v>
      </c>
      <c r="AQ2093" s="2">
        <v>23.269592991918302</v>
      </c>
      <c r="AR2093" s="2">
        <v>23.9270837028606</v>
      </c>
      <c r="AS2093" s="2">
        <v>21.849229346546601</v>
      </c>
      <c r="AT2093" s="2">
        <v>22.590804087739599</v>
      </c>
      <c r="AU2093" s="2">
        <v>23.1509022888559</v>
      </c>
      <c r="AV2093" s="2">
        <v>23.770346064119</v>
      </c>
      <c r="AW2093" s="2">
        <v>23.257696789549399</v>
      </c>
      <c r="AX2093" s="2">
        <v>23.808590441016101</v>
      </c>
      <c r="AY2093" s="2">
        <v>23.477735181739501</v>
      </c>
      <c r="AZ2093" s="2">
        <v>23.305951580161999</v>
      </c>
      <c r="BA2093" s="2">
        <v>21.953099376473698</v>
      </c>
      <c r="BB2093" s="2">
        <v>22.851365096703098</v>
      </c>
      <c r="BC2093" s="2">
        <v>23.583831939220399</v>
      </c>
      <c r="BD2093" s="2">
        <v>23.079873196207998</v>
      </c>
      <c r="BE2093" s="2">
        <v>23.890341087988201</v>
      </c>
      <c r="BF2093" s="2">
        <v>23.389431901476001</v>
      </c>
      <c r="BG2093" s="2">
        <v>23.264387677128401</v>
      </c>
      <c r="BH2093" s="2">
        <v>23.8374623232673</v>
      </c>
      <c r="BI2093" s="2">
        <v>23.278923562080202</v>
      </c>
      <c r="BJ2093" s="2">
        <v>22.5662171795124</v>
      </c>
      <c r="BK2093" s="2">
        <v>23.0228241135997</v>
      </c>
      <c r="BL2093" s="2">
        <v>23.274627271195602</v>
      </c>
      <c r="BM2093" s="2">
        <v>23.9925241454626</v>
      </c>
      <c r="BN2093" s="2">
        <v>23.784230110633501</v>
      </c>
      <c r="BO2093" s="2">
        <v>23.148239622302999</v>
      </c>
      <c r="BP2093" s="2">
        <v>23.297002821676202</v>
      </c>
      <c r="BQ2093" s="2">
        <v>23.323285087542502</v>
      </c>
      <c r="BR2093" s="2">
        <v>23.823004977024301</v>
      </c>
      <c r="BS2093" s="2">
        <v>24.115575142340798</v>
      </c>
      <c r="BT2093" s="2">
        <v>23.278119152749799</v>
      </c>
      <c r="BU2093" s="2">
        <v>22.698440585332499</v>
      </c>
      <c r="BV2093" s="2">
        <v>23.1807535722475</v>
      </c>
      <c r="BW2093" s="2">
        <v>22.774761384671699</v>
      </c>
      <c r="BX2093" s="2">
        <v>23.381707325014101</v>
      </c>
      <c r="BY2093" s="2">
        <v>24.417394630932399</v>
      </c>
      <c r="BZ2093" s="2">
        <v>23.397905474239298</v>
      </c>
      <c r="CA2093" s="2">
        <v>23.6058176247845</v>
      </c>
      <c r="CB2093" s="2">
        <v>23.7672689307106</v>
      </c>
      <c r="CC2093" s="2">
        <v>22.941141792680799</v>
      </c>
      <c r="CD2093" s="2">
        <v>23.895176630218501</v>
      </c>
      <c r="CE2093" s="2">
        <v>22.484957889406399</v>
      </c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</row>
    <row r="2094" spans="1:97">
      <c r="A2094" s="2" t="s">
        <v>18228</v>
      </c>
      <c r="B2094" s="2">
        <v>321.13056999999998</v>
      </c>
      <c r="C2094" s="2">
        <v>6.6660000000000004</v>
      </c>
      <c r="D2094" s="2" t="s">
        <v>84</v>
      </c>
      <c r="E2094" s="2" t="s">
        <v>18229</v>
      </c>
      <c r="F2094" s="2" t="s">
        <v>18229</v>
      </c>
      <c r="G2094" s="2">
        <v>208435</v>
      </c>
      <c r="H2094" s="3" t="str">
        <f>HYPERLINK("https://cloud.oebiotech.com/#/lm/network/208435", "https://cloud.oebiotech.com/#/lm/network/208435")</f>
        <v>https://cloud.oebiotech.com/#/lm/network/208435</v>
      </c>
      <c r="I2094" s="2" t="s">
        <v>18230</v>
      </c>
      <c r="J2094" s="2"/>
      <c r="K2094" s="2"/>
      <c r="L2094" s="2">
        <v>72746762</v>
      </c>
      <c r="M2094" s="2"/>
      <c r="N2094" s="2"/>
      <c r="O2094" s="2"/>
      <c r="P2094" s="2"/>
      <c r="Q2094" s="2"/>
      <c r="R2094" s="2"/>
      <c r="S2094" s="2"/>
      <c r="T2094" s="2" t="s">
        <v>18231</v>
      </c>
      <c r="U2094" s="2" t="s">
        <v>18232</v>
      </c>
      <c r="V2094" s="2" t="s">
        <v>818</v>
      </c>
      <c r="W2094" s="2" t="s">
        <v>10627</v>
      </c>
      <c r="X2094" s="2" t="s">
        <v>375</v>
      </c>
      <c r="Y2094" s="2" t="s">
        <v>820</v>
      </c>
      <c r="Z2094" s="2" t="s">
        <v>10629</v>
      </c>
      <c r="AA2094" s="2"/>
      <c r="AB2094" s="2" t="s">
        <v>8443</v>
      </c>
      <c r="AC2094" s="2">
        <v>38.130000000000003</v>
      </c>
      <c r="AD2094" s="2">
        <v>90.63</v>
      </c>
      <c r="AE2094" s="2">
        <v>0</v>
      </c>
      <c r="AF2094" s="2" t="s">
        <v>18233</v>
      </c>
      <c r="AG2094" s="2" t="s">
        <v>132</v>
      </c>
      <c r="AH2094" s="2" t="s">
        <v>18234</v>
      </c>
      <c r="AI2094" s="2">
        <v>0</v>
      </c>
      <c r="AJ2094" s="2">
        <v>17.641617148775399</v>
      </c>
      <c r="AK2094" s="2">
        <v>18.007010015176</v>
      </c>
      <c r="AL2094" s="2">
        <v>17.4459023503323</v>
      </c>
      <c r="AM2094" s="2">
        <v>17.462933160347699</v>
      </c>
      <c r="AN2094" s="2">
        <v>17.638378214085801</v>
      </c>
      <c r="AO2094" s="2">
        <v>18.0617856885262</v>
      </c>
      <c r="AP2094" s="2">
        <v>17.765120180289699</v>
      </c>
      <c r="AQ2094" s="2">
        <v>18.104945647418401</v>
      </c>
      <c r="AR2094" s="2">
        <v>17.136240280486199</v>
      </c>
      <c r="AS2094" s="2">
        <v>17.348791595737801</v>
      </c>
      <c r="AT2094" s="2">
        <v>17.350815073780399</v>
      </c>
      <c r="AU2094" s="2">
        <v>16.0993802772519</v>
      </c>
      <c r="AV2094" s="2">
        <v>18.164894752314002</v>
      </c>
      <c r="AW2094" s="2">
        <v>16.871787831071099</v>
      </c>
      <c r="AX2094" s="2">
        <v>16.058474626726699</v>
      </c>
      <c r="AY2094" s="2">
        <v>16.880369496522501</v>
      </c>
      <c r="AZ2094" s="2">
        <v>17.571034138507301</v>
      </c>
      <c r="BA2094" s="2">
        <v>17.188262943093399</v>
      </c>
      <c r="BB2094" s="2">
        <v>17.085774925368501</v>
      </c>
      <c r="BC2094" s="2">
        <v>18.5458779363797</v>
      </c>
      <c r="BD2094" s="2">
        <v>16.932947588159099</v>
      </c>
      <c r="BE2094" s="2">
        <v>17.550653007157798</v>
      </c>
      <c r="BF2094" s="2">
        <v>16.820968966725399</v>
      </c>
      <c r="BG2094" s="2">
        <v>16.080622898849299</v>
      </c>
      <c r="BH2094" s="2">
        <v>17.800749653482601</v>
      </c>
      <c r="BI2094" s="2">
        <v>15.670698566814799</v>
      </c>
      <c r="BJ2094" s="2">
        <v>17.717605207517</v>
      </c>
      <c r="BK2094" s="2">
        <v>17.206805761979101</v>
      </c>
      <c r="BL2094" s="2">
        <v>16.4726667264394</v>
      </c>
      <c r="BM2094" s="2">
        <v>19.1442191574757</v>
      </c>
      <c r="BN2094" s="2">
        <v>18.410447790475601</v>
      </c>
      <c r="BO2094" s="2">
        <v>17.697006499114899</v>
      </c>
      <c r="BP2094" s="2">
        <v>17.041687489400399</v>
      </c>
      <c r="BQ2094" s="2">
        <v>17.3894261519801</v>
      </c>
      <c r="BR2094" s="2">
        <v>16.584271102404099</v>
      </c>
      <c r="BS2094" s="2">
        <v>18.054906119627201</v>
      </c>
      <c r="BT2094" s="2">
        <v>18.656794442293499</v>
      </c>
      <c r="BU2094" s="2">
        <v>17.549929703119702</v>
      </c>
      <c r="BV2094" s="2">
        <v>16.9044152986068</v>
      </c>
      <c r="BW2094" s="2">
        <v>16.223911766827499</v>
      </c>
      <c r="BX2094" s="2">
        <v>16.787420909149599</v>
      </c>
      <c r="BY2094" s="2">
        <v>18.349450392726101</v>
      </c>
      <c r="BZ2094" s="2">
        <v>15.7070341763173</v>
      </c>
      <c r="CA2094" s="2">
        <v>9.6233145402724691</v>
      </c>
      <c r="CB2094" s="2">
        <v>16.541705577648202</v>
      </c>
      <c r="CC2094" s="2">
        <v>16.602621741396899</v>
      </c>
      <c r="CD2094" s="2">
        <v>18.304132078751401</v>
      </c>
      <c r="CE2094" s="2">
        <v>17.8666023782263</v>
      </c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</row>
    <row r="2095" spans="1:97">
      <c r="A2095" s="2" t="s">
        <v>18235</v>
      </c>
      <c r="B2095" s="2">
        <v>249.06072</v>
      </c>
      <c r="C2095" s="2">
        <v>3.4249999999999998</v>
      </c>
      <c r="D2095" s="2" t="s">
        <v>84</v>
      </c>
      <c r="E2095" s="2" t="s">
        <v>18236</v>
      </c>
      <c r="F2095" s="2" t="s">
        <v>18237</v>
      </c>
      <c r="G2095" s="2">
        <v>595767</v>
      </c>
      <c r="H2095" s="3" t="str">
        <f>HYPERLINK("https://cloud.oebiotech.com/#/lm/network/595767", "https://cloud.oebiotech.com/#/lm/network/595767")</f>
        <v>https://cloud.oebiotech.com/#/lm/network/595767</v>
      </c>
      <c r="I2095" s="2"/>
      <c r="J2095" s="2"/>
      <c r="K2095" s="2"/>
      <c r="L2095" s="2">
        <v>14539316</v>
      </c>
      <c r="M2095" s="2"/>
      <c r="N2095" s="2"/>
      <c r="O2095" s="2"/>
      <c r="P2095" s="2"/>
      <c r="Q2095" s="2"/>
      <c r="R2095" s="2"/>
      <c r="S2095" s="2"/>
      <c r="T2095" s="2" t="s">
        <v>18238</v>
      </c>
      <c r="U2095" s="2" t="s">
        <v>18239</v>
      </c>
      <c r="V2095" s="2" t="s">
        <v>338</v>
      </c>
      <c r="W2095" s="2" t="s">
        <v>339</v>
      </c>
      <c r="X2095" s="2" t="s">
        <v>663</v>
      </c>
      <c r="Y2095" s="2" t="s">
        <v>341</v>
      </c>
      <c r="Z2095" s="2" t="s">
        <v>341</v>
      </c>
      <c r="AA2095" s="2" t="s">
        <v>664</v>
      </c>
      <c r="AB2095" s="2" t="s">
        <v>8443</v>
      </c>
      <c r="AC2095" s="2">
        <v>38.130000000000003</v>
      </c>
      <c r="AD2095" s="2">
        <v>93.68</v>
      </c>
      <c r="AE2095" s="2">
        <v>0</v>
      </c>
      <c r="AF2095" s="2" t="s">
        <v>18240</v>
      </c>
      <c r="AG2095" s="2" t="s">
        <v>1088</v>
      </c>
      <c r="AH2095" s="2" t="s">
        <v>18241</v>
      </c>
      <c r="AI2095" s="2">
        <v>1.61</v>
      </c>
      <c r="AJ2095" s="2">
        <v>17.297369844792598</v>
      </c>
      <c r="AK2095" s="2">
        <v>17.307911057685999</v>
      </c>
      <c r="AL2095" s="2">
        <v>18.129417458265401</v>
      </c>
      <c r="AM2095" s="2">
        <v>17.316540963685</v>
      </c>
      <c r="AN2095" s="2">
        <v>17.824188449723799</v>
      </c>
      <c r="AO2095" s="2">
        <v>18.2522220053525</v>
      </c>
      <c r="AP2095" s="2">
        <v>18.0608932144279</v>
      </c>
      <c r="AQ2095" s="2">
        <v>18.156712971965401</v>
      </c>
      <c r="AR2095" s="2">
        <v>17.197742131955302</v>
      </c>
      <c r="AS2095" s="2">
        <v>17.289358907180699</v>
      </c>
      <c r="AT2095" s="2">
        <v>17.816570271202501</v>
      </c>
      <c r="AU2095" s="2">
        <v>17.641822233242301</v>
      </c>
      <c r="AV2095" s="2">
        <v>17.535160990625101</v>
      </c>
      <c r="AW2095" s="2">
        <v>17.891841599686501</v>
      </c>
      <c r="AX2095" s="2">
        <v>17.718452805877899</v>
      </c>
      <c r="AY2095" s="2">
        <v>18.276907712702599</v>
      </c>
      <c r="AZ2095" s="2">
        <v>17.780059370111299</v>
      </c>
      <c r="BA2095" s="2">
        <v>17.296160005850499</v>
      </c>
      <c r="BB2095" s="2">
        <v>18.705575356045699</v>
      </c>
      <c r="BC2095" s="2">
        <v>17.3154270653895</v>
      </c>
      <c r="BD2095" s="2">
        <v>18.0298741731287</v>
      </c>
      <c r="BE2095" s="2">
        <v>17.6333508870941</v>
      </c>
      <c r="BF2095" s="2">
        <v>18.163876798883699</v>
      </c>
      <c r="BG2095" s="2">
        <v>18.588469871911801</v>
      </c>
      <c r="BH2095" s="2">
        <v>18.641702586542301</v>
      </c>
      <c r="BI2095" s="2">
        <v>17.659691653324401</v>
      </c>
      <c r="BJ2095" s="2">
        <v>18.544795658860998</v>
      </c>
      <c r="BK2095" s="2">
        <v>17.675356014481601</v>
      </c>
      <c r="BL2095" s="2">
        <v>17.814252870371501</v>
      </c>
      <c r="BM2095" s="2">
        <v>18.0618003466323</v>
      </c>
      <c r="BN2095" s="2">
        <v>18.9701017046958</v>
      </c>
      <c r="BO2095" s="2">
        <v>19.253635825633999</v>
      </c>
      <c r="BP2095" s="2">
        <v>18.154334212929498</v>
      </c>
      <c r="BQ2095" s="2">
        <v>18.588960711494</v>
      </c>
      <c r="BR2095" s="2">
        <v>18.509935093900602</v>
      </c>
      <c r="BS2095" s="2">
        <v>18.067002886894599</v>
      </c>
      <c r="BT2095" s="2">
        <v>18.328733560162899</v>
      </c>
      <c r="BU2095" s="2">
        <v>17.857005682834501</v>
      </c>
      <c r="BV2095" s="2">
        <v>18.330583608432601</v>
      </c>
      <c r="BW2095" s="2">
        <v>17.858356728999301</v>
      </c>
      <c r="BX2095" s="2">
        <v>17.507183272694999</v>
      </c>
      <c r="BY2095" s="2">
        <v>19.6097505659015</v>
      </c>
      <c r="BZ2095" s="2">
        <v>18.569406030818701</v>
      </c>
      <c r="CA2095" s="2">
        <v>18.550314738728499</v>
      </c>
      <c r="CB2095" s="2">
        <v>17.990101082365602</v>
      </c>
      <c r="CC2095" s="2">
        <v>17.990030206936702</v>
      </c>
      <c r="CD2095" s="2">
        <v>18.821056347933698</v>
      </c>
      <c r="CE2095" s="2">
        <v>18.7567911387763</v>
      </c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</row>
    <row r="2096" spans="1:97">
      <c r="A2096" s="2" t="s">
        <v>18242</v>
      </c>
      <c r="B2096" s="2">
        <v>186.00158999999999</v>
      </c>
      <c r="C2096" s="2">
        <v>1.319</v>
      </c>
      <c r="D2096" s="2" t="s">
        <v>146</v>
      </c>
      <c r="E2096" s="2" t="s">
        <v>18243</v>
      </c>
      <c r="F2096" s="2" t="s">
        <v>18244</v>
      </c>
      <c r="G2096" s="2">
        <v>204097</v>
      </c>
      <c r="H2096" s="3" t="str">
        <f>HYPERLINK("https://cloud.oebiotech.com/#/lm/network/204097", "https://cloud.oebiotech.com/#/lm/network/204097")</f>
        <v>https://cloud.oebiotech.com/#/lm/network/204097</v>
      </c>
      <c r="I2096" s="2" t="s">
        <v>18245</v>
      </c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 t="s">
        <v>18246</v>
      </c>
      <c r="U2096" s="2" t="s">
        <v>18247</v>
      </c>
      <c r="V2096" s="2" t="s">
        <v>553</v>
      </c>
      <c r="W2096" s="2" t="s">
        <v>4891</v>
      </c>
      <c r="X2096" s="2" t="s">
        <v>18248</v>
      </c>
      <c r="Y2096" s="2" t="s">
        <v>556</v>
      </c>
      <c r="Z2096" s="2" t="s">
        <v>4893</v>
      </c>
      <c r="AA2096" s="2" t="s">
        <v>18249</v>
      </c>
      <c r="AB2096" s="2" t="s">
        <v>8443</v>
      </c>
      <c r="AC2096" s="2">
        <v>38.130000000000003</v>
      </c>
      <c r="AD2096" s="2">
        <v>91.03</v>
      </c>
      <c r="AE2096" s="2">
        <v>0</v>
      </c>
      <c r="AF2096" s="2" t="s">
        <v>5614</v>
      </c>
      <c r="AG2096" s="2" t="s">
        <v>993</v>
      </c>
      <c r="AH2096" s="2" t="s">
        <v>18250</v>
      </c>
      <c r="AI2096" s="2">
        <v>-1.08</v>
      </c>
      <c r="AJ2096" s="2">
        <v>18.521948305346601</v>
      </c>
      <c r="AK2096" s="2">
        <v>18.693097420541701</v>
      </c>
      <c r="AL2096" s="2">
        <v>19.0928952873012</v>
      </c>
      <c r="AM2096" s="2">
        <v>18.799823630875899</v>
      </c>
      <c r="AN2096" s="2">
        <v>18.9082989952628</v>
      </c>
      <c r="AO2096" s="2">
        <v>18.930794990859798</v>
      </c>
      <c r="AP2096" s="2">
        <v>18.972917597661301</v>
      </c>
      <c r="AQ2096" s="2">
        <v>19.240379833399398</v>
      </c>
      <c r="AR2096" s="2">
        <v>18.577622997248199</v>
      </c>
      <c r="AS2096" s="2">
        <v>18.177927376063501</v>
      </c>
      <c r="AT2096" s="2">
        <v>18.554039283085199</v>
      </c>
      <c r="AU2096" s="2">
        <v>18.228541161036802</v>
      </c>
      <c r="AV2096" s="2">
        <v>18.803113840799501</v>
      </c>
      <c r="AW2096" s="2">
        <v>18.516150840946999</v>
      </c>
      <c r="AX2096" s="2">
        <v>19.508896475876899</v>
      </c>
      <c r="AY2096" s="2">
        <v>19.608039330895298</v>
      </c>
      <c r="AZ2096" s="2">
        <v>18.541498988847501</v>
      </c>
      <c r="BA2096" s="2">
        <v>19.0047964152891</v>
      </c>
      <c r="BB2096" s="2">
        <v>19.5190115260989</v>
      </c>
      <c r="BC2096" s="2">
        <v>19.684406031433301</v>
      </c>
      <c r="BD2096" s="2">
        <v>19.601339029345301</v>
      </c>
      <c r="BE2096" s="2">
        <v>18.617926879546101</v>
      </c>
      <c r="BF2096" s="2">
        <v>19.9524100152986</v>
      </c>
      <c r="BG2096" s="2">
        <v>18.6364139454625</v>
      </c>
      <c r="BH2096" s="2">
        <v>18.4174368760611</v>
      </c>
      <c r="BI2096" s="2">
        <v>19.8530804606375</v>
      </c>
      <c r="BJ2096" s="2">
        <v>18.3501176536965</v>
      </c>
      <c r="BK2096" s="2">
        <v>18.206535745428301</v>
      </c>
      <c r="BL2096" s="2">
        <v>19.005892321539299</v>
      </c>
      <c r="BM2096" s="2">
        <v>18.864476145630501</v>
      </c>
      <c r="BN2096" s="2">
        <v>18.758915092875998</v>
      </c>
      <c r="BO2096" s="2">
        <v>17.963819247461601</v>
      </c>
      <c r="BP2096" s="2">
        <v>17.436420140487101</v>
      </c>
      <c r="BQ2096" s="2">
        <v>18.099967277182699</v>
      </c>
      <c r="BR2096" s="2">
        <v>17.8616423529934</v>
      </c>
      <c r="BS2096" s="2">
        <v>18.568438355855001</v>
      </c>
      <c r="BT2096" s="2">
        <v>17.407989910368599</v>
      </c>
      <c r="BU2096" s="2">
        <v>18.402833165651899</v>
      </c>
      <c r="BV2096" s="2">
        <v>18.1319236612106</v>
      </c>
      <c r="BW2096" s="2">
        <v>19.2687435813937</v>
      </c>
      <c r="BX2096" s="2">
        <v>18.6735555958854</v>
      </c>
      <c r="BY2096" s="2">
        <v>19.3212615838505</v>
      </c>
      <c r="BZ2096" s="2">
        <v>18.791224871665399</v>
      </c>
      <c r="CA2096" s="2">
        <v>20.319532107894702</v>
      </c>
      <c r="CB2096" s="2">
        <v>18.185526380225799</v>
      </c>
      <c r="CC2096" s="2">
        <v>19.032174956114499</v>
      </c>
      <c r="CD2096" s="2">
        <v>18.266694091295498</v>
      </c>
      <c r="CE2096" s="2">
        <v>18.4066056661005</v>
      </c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</row>
    <row r="2097" spans="1:97">
      <c r="A2097" s="2" t="s">
        <v>18251</v>
      </c>
      <c r="B2097" s="2">
        <v>845.59902</v>
      </c>
      <c r="C2097" s="2">
        <v>8.7940000000000005</v>
      </c>
      <c r="D2097" s="2" t="s">
        <v>146</v>
      </c>
      <c r="E2097" s="2" t="s">
        <v>18252</v>
      </c>
      <c r="F2097" s="2" t="s">
        <v>18253</v>
      </c>
      <c r="G2097" s="2">
        <v>48697</v>
      </c>
      <c r="H2097" s="3" t="str">
        <f>HYPERLINK("https://cloud.oebiotech.com/#/lm/network/48697", "https://cloud.oebiotech.com/#/lm/network/48697")</f>
        <v>https://cloud.oebiotech.com/#/lm/network/48697</v>
      </c>
      <c r="I2097" s="2" t="s">
        <v>18254</v>
      </c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 t="s">
        <v>18255</v>
      </c>
      <c r="U2097" s="2" t="s">
        <v>18256</v>
      </c>
      <c r="V2097" s="2" t="s">
        <v>95</v>
      </c>
      <c r="W2097" s="2" t="s">
        <v>180</v>
      </c>
      <c r="X2097" s="2" t="s">
        <v>16265</v>
      </c>
      <c r="Y2097" s="2" t="s">
        <v>98</v>
      </c>
      <c r="Z2097" s="2" t="s">
        <v>182</v>
      </c>
      <c r="AA2097" s="2" t="s">
        <v>16266</v>
      </c>
      <c r="AB2097" s="2" t="s">
        <v>8443</v>
      </c>
      <c r="AC2097" s="2">
        <v>38.119999999999997</v>
      </c>
      <c r="AD2097" s="2">
        <v>92.72</v>
      </c>
      <c r="AE2097" s="2">
        <v>0</v>
      </c>
      <c r="AF2097" s="2" t="s">
        <v>18257</v>
      </c>
      <c r="AG2097" s="2" t="s">
        <v>993</v>
      </c>
      <c r="AH2097" s="2" t="s">
        <v>18258</v>
      </c>
      <c r="AI2097" s="2">
        <v>-1.42</v>
      </c>
      <c r="AJ2097" s="2">
        <v>22.364117062584</v>
      </c>
      <c r="AK2097" s="2">
        <v>22.319503265723</v>
      </c>
      <c r="AL2097" s="2">
        <v>22.329696202325099</v>
      </c>
      <c r="AM2097" s="2">
        <v>22.494775779816798</v>
      </c>
      <c r="AN2097" s="2">
        <v>22.349448872779998</v>
      </c>
      <c r="AO2097" s="2">
        <v>22.300267262355</v>
      </c>
      <c r="AP2097" s="2">
        <v>22.306633961995502</v>
      </c>
      <c r="AQ2097" s="2">
        <v>22.165409652203099</v>
      </c>
      <c r="AR2097" s="2">
        <v>22.180081364120198</v>
      </c>
      <c r="AS2097" s="2">
        <v>22.212816304834799</v>
      </c>
      <c r="AT2097" s="2">
        <v>22.3287484453151</v>
      </c>
      <c r="AU2097" s="2">
        <v>22.121000949601999</v>
      </c>
      <c r="AV2097" s="2">
        <v>22.2577016905141</v>
      </c>
      <c r="AW2097" s="2">
        <v>22.6660525316892</v>
      </c>
      <c r="AX2097" s="2">
        <v>22.1272714489752</v>
      </c>
      <c r="AY2097" s="2">
        <v>22.238277085830699</v>
      </c>
      <c r="AZ2097" s="2">
        <v>22.413736777569198</v>
      </c>
      <c r="BA2097" s="2">
        <v>22.060846066095198</v>
      </c>
      <c r="BB2097" s="2">
        <v>22.287206944818099</v>
      </c>
      <c r="BC2097" s="2">
        <v>22.2204093363443</v>
      </c>
      <c r="BD2097" s="2">
        <v>22.140841020569798</v>
      </c>
      <c r="BE2097" s="2">
        <v>22.334191882159299</v>
      </c>
      <c r="BF2097" s="2">
        <v>22.257911525946799</v>
      </c>
      <c r="BG2097" s="2">
        <v>22.247772687440001</v>
      </c>
      <c r="BH2097" s="2">
        <v>22.4177970365206</v>
      </c>
      <c r="BI2097" s="2">
        <v>22.1765163847178</v>
      </c>
      <c r="BJ2097" s="2">
        <v>22.318463291740802</v>
      </c>
      <c r="BK2097" s="2">
        <v>22.4005026909505</v>
      </c>
      <c r="BL2097" s="2">
        <v>22.1908210046448</v>
      </c>
      <c r="BM2097" s="2">
        <v>22.272990920935499</v>
      </c>
      <c r="BN2097" s="2">
        <v>21.924145674445199</v>
      </c>
      <c r="BO2097" s="2">
        <v>22.2504226700378</v>
      </c>
      <c r="BP2097" s="2">
        <v>22.0696870156901</v>
      </c>
      <c r="BQ2097" s="2">
        <v>22.2575811337469</v>
      </c>
      <c r="BR2097" s="2">
        <v>21.980396720999099</v>
      </c>
      <c r="BS2097" s="2">
        <v>21.999014378230498</v>
      </c>
      <c r="BT2097" s="2">
        <v>22.0085276302407</v>
      </c>
      <c r="BU2097" s="2">
        <v>21.984796505594801</v>
      </c>
      <c r="BV2097" s="2">
        <v>22.159029610715098</v>
      </c>
      <c r="BW2097" s="2">
        <v>21.9898984491834</v>
      </c>
      <c r="BX2097" s="2">
        <v>22.128822396287699</v>
      </c>
      <c r="BY2097" s="2">
        <v>22.185592220889301</v>
      </c>
      <c r="BZ2097" s="2">
        <v>22.217813315735501</v>
      </c>
      <c r="CA2097" s="2">
        <v>22.168670291236001</v>
      </c>
      <c r="CB2097" s="2">
        <v>22.122822694116799</v>
      </c>
      <c r="CC2097" s="2">
        <v>22.243354941373202</v>
      </c>
      <c r="CD2097" s="2">
        <v>22.229819553407999</v>
      </c>
      <c r="CE2097" s="2">
        <v>22.0658181293729</v>
      </c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</row>
    <row r="2098" spans="1:97">
      <c r="A2098" s="2" t="s">
        <v>18259</v>
      </c>
      <c r="B2098" s="2">
        <v>238.99144000000001</v>
      </c>
      <c r="C2098" s="2">
        <v>5.4880000000000004</v>
      </c>
      <c r="D2098" s="2" t="s">
        <v>146</v>
      </c>
      <c r="E2098" s="2" t="s">
        <v>18260</v>
      </c>
      <c r="F2098" s="2" t="s">
        <v>18261</v>
      </c>
      <c r="G2098" s="2">
        <v>212353</v>
      </c>
      <c r="H2098" s="3" t="str">
        <f>HYPERLINK("https://cloud.oebiotech.com/#/lm/network/212353", "https://cloud.oebiotech.com/#/lm/network/212353")</f>
        <v>https://cloud.oebiotech.com/#/lm/network/212353</v>
      </c>
      <c r="I2098" s="2" t="s">
        <v>18262</v>
      </c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 t="s">
        <v>18263</v>
      </c>
      <c r="U2098" s="2" t="s">
        <v>18264</v>
      </c>
      <c r="V2098" s="2" t="s">
        <v>115</v>
      </c>
      <c r="W2098" s="2" t="s">
        <v>613</v>
      </c>
      <c r="X2098" s="2" t="s">
        <v>18265</v>
      </c>
      <c r="Y2098" s="2" t="s">
        <v>118</v>
      </c>
      <c r="Z2098" s="2" t="s">
        <v>615</v>
      </c>
      <c r="AA2098" s="2" t="s">
        <v>18266</v>
      </c>
      <c r="AB2098" s="2" t="s">
        <v>8443</v>
      </c>
      <c r="AC2098" s="2">
        <v>38.119999999999997</v>
      </c>
      <c r="AD2098" s="2">
        <v>90.62</v>
      </c>
      <c r="AE2098" s="2">
        <v>0</v>
      </c>
      <c r="AF2098" s="2" t="s">
        <v>5614</v>
      </c>
      <c r="AG2098" s="2" t="s">
        <v>194</v>
      </c>
      <c r="AH2098" s="2" t="s">
        <v>18267</v>
      </c>
      <c r="AI2098" s="2">
        <v>0</v>
      </c>
      <c r="AJ2098" s="2">
        <v>18.051126450580899</v>
      </c>
      <c r="AK2098" s="2">
        <v>17.655846320099901</v>
      </c>
      <c r="AL2098" s="2">
        <v>18.1171148578666</v>
      </c>
      <c r="AM2098" s="2">
        <v>17.584824247562899</v>
      </c>
      <c r="AN2098" s="2">
        <v>17.794334250433799</v>
      </c>
      <c r="AO2098" s="2">
        <v>18.130070517895799</v>
      </c>
      <c r="AP2098" s="2">
        <v>18.0135893480034</v>
      </c>
      <c r="AQ2098" s="2">
        <v>17.7524248806819</v>
      </c>
      <c r="AR2098" s="2">
        <v>17.822932753831601</v>
      </c>
      <c r="AS2098" s="2">
        <v>18.153397355647002</v>
      </c>
      <c r="AT2098" s="2">
        <v>17.674620215049799</v>
      </c>
      <c r="AU2098" s="2">
        <v>17.962640181658902</v>
      </c>
      <c r="AV2098" s="2">
        <v>17.723160492096799</v>
      </c>
      <c r="AW2098" s="2">
        <v>17.994328629274499</v>
      </c>
      <c r="AX2098" s="2">
        <v>17.958434902608602</v>
      </c>
      <c r="AY2098" s="2">
        <v>17.7455845860209</v>
      </c>
      <c r="AZ2098" s="2">
        <v>17.294912994975501</v>
      </c>
      <c r="BA2098" s="2">
        <v>18.091622622451801</v>
      </c>
      <c r="BB2098" s="2">
        <v>18.159587660574601</v>
      </c>
      <c r="BC2098" s="2">
        <v>17.644491596442201</v>
      </c>
      <c r="BD2098" s="2">
        <v>18.031391599107501</v>
      </c>
      <c r="BE2098" s="2">
        <v>17.957228807014001</v>
      </c>
      <c r="BF2098" s="2">
        <v>18.167977130858802</v>
      </c>
      <c r="BG2098" s="2">
        <v>17.850725989098901</v>
      </c>
      <c r="BH2098" s="2">
        <v>17.713810241688702</v>
      </c>
      <c r="BI2098" s="2">
        <v>18.032677661092901</v>
      </c>
      <c r="BJ2098" s="2">
        <v>17.9579212282501</v>
      </c>
      <c r="BK2098" s="2">
        <v>18.108642267162399</v>
      </c>
      <c r="BL2098" s="2">
        <v>18.1292300822691</v>
      </c>
      <c r="BM2098" s="2">
        <v>17.956157980322601</v>
      </c>
      <c r="BN2098" s="2">
        <v>17.812205451534101</v>
      </c>
      <c r="BO2098" s="2">
        <v>18.038178252278801</v>
      </c>
      <c r="BP2098" s="2">
        <v>18.087274960834701</v>
      </c>
      <c r="BQ2098" s="2">
        <v>17.712637758820499</v>
      </c>
      <c r="BR2098" s="2">
        <v>17.576144329788001</v>
      </c>
      <c r="BS2098" s="2">
        <v>18.024267847394601</v>
      </c>
      <c r="BT2098" s="2">
        <v>17.647868103455099</v>
      </c>
      <c r="BU2098" s="2">
        <v>17.998422070244199</v>
      </c>
      <c r="BV2098" s="2">
        <v>17.925612039899399</v>
      </c>
      <c r="BW2098" s="2">
        <v>17.9578472807952</v>
      </c>
      <c r="BX2098" s="2">
        <v>17.7449706469076</v>
      </c>
      <c r="BY2098" s="2">
        <v>17.8062607368811</v>
      </c>
      <c r="BZ2098" s="2">
        <v>17.885124605487299</v>
      </c>
      <c r="CA2098" s="2">
        <v>17.6484516799609</v>
      </c>
      <c r="CB2098" s="2">
        <v>17.859241757725499</v>
      </c>
      <c r="CC2098" s="2">
        <v>17.984633071318498</v>
      </c>
      <c r="CD2098" s="2">
        <v>17.9383412201657</v>
      </c>
      <c r="CE2098" s="2">
        <v>17.698411874459399</v>
      </c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</row>
    <row r="2099" spans="1:97">
      <c r="A2099" s="2" t="s">
        <v>18268</v>
      </c>
      <c r="B2099" s="2">
        <v>235.20536999999999</v>
      </c>
      <c r="C2099" s="2">
        <v>9.8620000000000001</v>
      </c>
      <c r="D2099" s="2" t="s">
        <v>84</v>
      </c>
      <c r="E2099" s="2" t="s">
        <v>18269</v>
      </c>
      <c r="F2099" s="2" t="s">
        <v>18270</v>
      </c>
      <c r="G2099" s="2">
        <v>6660</v>
      </c>
      <c r="H2099" s="3" t="str">
        <f>HYPERLINK("https://cloud.oebiotech.com/#/lm/network/6660", "https://cloud.oebiotech.com/#/lm/network/6660")</f>
        <v>https://cloud.oebiotech.com/#/lm/network/6660</v>
      </c>
      <c r="I2099" s="2"/>
      <c r="J2099" s="2">
        <v>46489</v>
      </c>
      <c r="K2099" s="2" t="s">
        <v>18271</v>
      </c>
      <c r="L2099" s="2">
        <v>15024651</v>
      </c>
      <c r="M2099" s="2"/>
      <c r="N2099" s="2"/>
      <c r="O2099" s="2"/>
      <c r="P2099" s="2"/>
      <c r="Q2099" s="2"/>
      <c r="R2099" s="2"/>
      <c r="S2099" s="2"/>
      <c r="T2099" s="2" t="s">
        <v>18272</v>
      </c>
      <c r="U2099" s="2" t="s">
        <v>18273</v>
      </c>
      <c r="V2099" s="2" t="s">
        <v>95</v>
      </c>
      <c r="W2099" s="2" t="s">
        <v>96</v>
      </c>
      <c r="X2099" s="2" t="s">
        <v>129</v>
      </c>
      <c r="Y2099" s="2" t="s">
        <v>98</v>
      </c>
      <c r="Z2099" s="2" t="s">
        <v>99</v>
      </c>
      <c r="AA2099" s="2" t="s">
        <v>130</v>
      </c>
      <c r="AB2099" s="2" t="s">
        <v>8443</v>
      </c>
      <c r="AC2099" s="2">
        <v>38.119999999999997</v>
      </c>
      <c r="AD2099" s="2">
        <v>90.59</v>
      </c>
      <c r="AE2099" s="2">
        <v>0</v>
      </c>
      <c r="AF2099" s="2" t="s">
        <v>5614</v>
      </c>
      <c r="AG2099" s="2" t="s">
        <v>103</v>
      </c>
      <c r="AH2099" s="2" t="s">
        <v>18274</v>
      </c>
      <c r="AI2099" s="2">
        <v>0.85</v>
      </c>
      <c r="AJ2099" s="2">
        <v>18.9224542077339</v>
      </c>
      <c r="AK2099" s="2">
        <v>18.858406815408799</v>
      </c>
      <c r="AL2099" s="2">
        <v>18.9561833962855</v>
      </c>
      <c r="AM2099" s="2">
        <v>18.531622739918799</v>
      </c>
      <c r="AN2099" s="2">
        <v>18.779014293156902</v>
      </c>
      <c r="AO2099" s="2">
        <v>18.396758872020602</v>
      </c>
      <c r="AP2099" s="2">
        <v>17.606149404307299</v>
      </c>
      <c r="AQ2099" s="2">
        <v>18.850191447414399</v>
      </c>
      <c r="AR2099" s="2">
        <v>19.011919243618198</v>
      </c>
      <c r="AS2099" s="2">
        <v>18.9347366801669</v>
      </c>
      <c r="AT2099" s="2">
        <v>18.926335958399999</v>
      </c>
      <c r="AU2099" s="2">
        <v>18.790441920653802</v>
      </c>
      <c r="AV2099" s="2">
        <v>19.145131310610601</v>
      </c>
      <c r="AW2099" s="2">
        <v>18.912121291202499</v>
      </c>
      <c r="AX2099" s="2">
        <v>18.6700608347806</v>
      </c>
      <c r="AY2099" s="2">
        <v>18.7811473089467</v>
      </c>
      <c r="AZ2099" s="2">
        <v>18.698901286488098</v>
      </c>
      <c r="BA2099" s="2">
        <v>18.960696247543201</v>
      </c>
      <c r="BB2099" s="2">
        <v>18.6778119815175</v>
      </c>
      <c r="BC2099" s="2">
        <v>18.855582202412801</v>
      </c>
      <c r="BD2099" s="2">
        <v>18.716037575374099</v>
      </c>
      <c r="BE2099" s="2">
        <v>18.9703988184033</v>
      </c>
      <c r="BF2099" s="2">
        <v>18.787627865026199</v>
      </c>
      <c r="BG2099" s="2">
        <v>18.398067061267898</v>
      </c>
      <c r="BH2099" s="2">
        <v>18.3321736045256</v>
      </c>
      <c r="BI2099" s="2">
        <v>17.933039714179799</v>
      </c>
      <c r="BJ2099" s="2">
        <v>18.7541205013076</v>
      </c>
      <c r="BK2099" s="2">
        <v>18.547530162515901</v>
      </c>
      <c r="BL2099" s="2">
        <v>18.733907723776401</v>
      </c>
      <c r="BM2099" s="2">
        <v>19.012372636618199</v>
      </c>
      <c r="BN2099" s="2">
        <v>19.087331141041801</v>
      </c>
      <c r="BO2099" s="2">
        <v>19.051636534937899</v>
      </c>
      <c r="BP2099" s="2">
        <v>18.500863970344501</v>
      </c>
      <c r="BQ2099" s="2">
        <v>19.093749003656399</v>
      </c>
      <c r="BR2099" s="2">
        <v>19.0903447242891</v>
      </c>
      <c r="BS2099" s="2">
        <v>19.074020617971399</v>
      </c>
      <c r="BT2099" s="2">
        <v>18.7418165640076</v>
      </c>
      <c r="BU2099" s="2">
        <v>18.637206144987701</v>
      </c>
      <c r="BV2099" s="2">
        <v>18.8577953083363</v>
      </c>
      <c r="BW2099" s="2">
        <v>18.498998479920999</v>
      </c>
      <c r="BX2099" s="2">
        <v>18.979273734324099</v>
      </c>
      <c r="BY2099" s="2">
        <v>19.206197772018101</v>
      </c>
      <c r="BZ2099" s="2">
        <v>18.337021205668702</v>
      </c>
      <c r="CA2099" s="2">
        <v>18.331337075003301</v>
      </c>
      <c r="CB2099" s="2">
        <v>18.9701225217839</v>
      </c>
      <c r="CC2099" s="2">
        <v>18.898366411939399</v>
      </c>
      <c r="CD2099" s="2">
        <v>18.405232060955001</v>
      </c>
      <c r="CE2099" s="2">
        <v>19.0782512636405</v>
      </c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</row>
    <row r="2100" spans="1:97">
      <c r="A2100" s="2" t="s">
        <v>18275</v>
      </c>
      <c r="B2100" s="2">
        <v>235.01791</v>
      </c>
      <c r="C2100" s="2">
        <v>5.4880000000000004</v>
      </c>
      <c r="D2100" s="2" t="s">
        <v>146</v>
      </c>
      <c r="E2100" s="2" t="s">
        <v>18276</v>
      </c>
      <c r="F2100" s="2" t="s">
        <v>18277</v>
      </c>
      <c r="G2100" s="2">
        <v>82483</v>
      </c>
      <c r="H2100" s="3" t="str">
        <f>HYPERLINK("https://cloud.oebiotech.com/#/lm/network/82483", "https://cloud.oebiotech.com/#/lm/network/82483")</f>
        <v>https://cloud.oebiotech.com/#/lm/network/82483</v>
      </c>
      <c r="I2100" s="2" t="s">
        <v>18278</v>
      </c>
      <c r="J2100" s="2"/>
      <c r="K2100" s="2"/>
      <c r="L2100" s="2">
        <v>10467478</v>
      </c>
      <c r="M2100" s="2"/>
      <c r="N2100" s="2"/>
      <c r="O2100" s="2"/>
      <c r="P2100" s="2"/>
      <c r="Q2100" s="2"/>
      <c r="R2100" s="2"/>
      <c r="S2100" s="2" t="s">
        <v>18279</v>
      </c>
      <c r="T2100" s="2" t="s">
        <v>18280</v>
      </c>
      <c r="U2100" s="2" t="s">
        <v>18281</v>
      </c>
      <c r="V2100" s="2" t="s">
        <v>553</v>
      </c>
      <c r="W2100" s="2" t="s">
        <v>18282</v>
      </c>
      <c r="X2100" s="2" t="s">
        <v>375</v>
      </c>
      <c r="Y2100" s="2" t="s">
        <v>556</v>
      </c>
      <c r="Z2100" s="2" t="s">
        <v>18283</v>
      </c>
      <c r="AA2100" s="2"/>
      <c r="AB2100" s="2" t="s">
        <v>8443</v>
      </c>
      <c r="AC2100" s="2">
        <v>38.11</v>
      </c>
      <c r="AD2100" s="2">
        <v>90.56</v>
      </c>
      <c r="AE2100" s="2">
        <v>0</v>
      </c>
      <c r="AF2100" s="2" t="s">
        <v>5614</v>
      </c>
      <c r="AG2100" s="2" t="s">
        <v>993</v>
      </c>
      <c r="AH2100" s="2" t="s">
        <v>18284</v>
      </c>
      <c r="AI2100" s="2">
        <v>-0.85</v>
      </c>
      <c r="AJ2100" s="2">
        <v>17.942703661102399</v>
      </c>
      <c r="AK2100" s="2">
        <v>18.393442831284201</v>
      </c>
      <c r="AL2100" s="2">
        <v>18.543910272006201</v>
      </c>
      <c r="AM2100" s="2">
        <v>18.0724754066289</v>
      </c>
      <c r="AN2100" s="2">
        <v>18.365236198063201</v>
      </c>
      <c r="AO2100" s="2">
        <v>18.192302784984999</v>
      </c>
      <c r="AP2100" s="2">
        <v>17.802537506082899</v>
      </c>
      <c r="AQ2100" s="2">
        <v>18.421098968673199</v>
      </c>
      <c r="AR2100" s="2">
        <v>16.6182542874453</v>
      </c>
      <c r="AS2100" s="2">
        <v>17.934491564898501</v>
      </c>
      <c r="AT2100" s="2">
        <v>18.3106616368621</v>
      </c>
      <c r="AU2100" s="2">
        <v>16.358230513747898</v>
      </c>
      <c r="AV2100" s="2">
        <v>17.927988150788899</v>
      </c>
      <c r="AW2100" s="2">
        <v>17.730455476114098</v>
      </c>
      <c r="AX2100" s="2">
        <v>17.8992567191742</v>
      </c>
      <c r="AY2100" s="2">
        <v>18.322115375965399</v>
      </c>
      <c r="AZ2100" s="2">
        <v>16.972354415403998</v>
      </c>
      <c r="BA2100" s="2">
        <v>18.267426067893101</v>
      </c>
      <c r="BB2100" s="2">
        <v>17.959046914681402</v>
      </c>
      <c r="BC2100" s="2">
        <v>17.861563362668701</v>
      </c>
      <c r="BD2100" s="2">
        <v>17.3330384411429</v>
      </c>
      <c r="BE2100" s="2">
        <v>9.6233145402724691</v>
      </c>
      <c r="BF2100" s="2">
        <v>16.366926967428999</v>
      </c>
      <c r="BG2100" s="2">
        <v>17.177087986825999</v>
      </c>
      <c r="BH2100" s="2">
        <v>18.0644543821413</v>
      </c>
      <c r="BI2100" s="2">
        <v>17.718392532902602</v>
      </c>
      <c r="BJ2100" s="2">
        <v>17.867484777741801</v>
      </c>
      <c r="BK2100" s="2">
        <v>17.381228273624</v>
      </c>
      <c r="BL2100" s="2">
        <v>18.0829885634239</v>
      </c>
      <c r="BM2100" s="2">
        <v>18.3200328730697</v>
      </c>
      <c r="BN2100" s="2">
        <v>18.6120888493063</v>
      </c>
      <c r="BO2100" s="2">
        <v>18.4601176450164</v>
      </c>
      <c r="BP2100" s="2">
        <v>18.5375030310692</v>
      </c>
      <c r="BQ2100" s="2">
        <v>18.485818108342301</v>
      </c>
      <c r="BR2100" s="2">
        <v>18.443409687545898</v>
      </c>
      <c r="BS2100" s="2">
        <v>18.2972856046975</v>
      </c>
      <c r="BT2100" s="2">
        <v>16.6971143140733</v>
      </c>
      <c r="BU2100" s="2">
        <v>17.933240549266898</v>
      </c>
      <c r="BV2100" s="2">
        <v>17.848112474267399</v>
      </c>
      <c r="BW2100" s="2">
        <v>17.2593123986744</v>
      </c>
      <c r="BX2100" s="2">
        <v>17.084668374995701</v>
      </c>
      <c r="BY2100" s="2">
        <v>12.7615948616751</v>
      </c>
      <c r="BZ2100" s="2">
        <v>18.498570285221</v>
      </c>
      <c r="CA2100" s="2">
        <v>18.156468571912299</v>
      </c>
      <c r="CB2100" s="2">
        <v>18.1514099808665</v>
      </c>
      <c r="CC2100" s="2">
        <v>17.743238061582201</v>
      </c>
      <c r="CD2100" s="2">
        <v>18.736281188557601</v>
      </c>
      <c r="CE2100" s="2">
        <v>18.570921849032601</v>
      </c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</row>
    <row r="2101" spans="1:97">
      <c r="A2101" s="2" t="s">
        <v>18285</v>
      </c>
      <c r="B2101" s="2">
        <v>521.27161999999998</v>
      </c>
      <c r="C2101" s="2">
        <v>7.4189999999999996</v>
      </c>
      <c r="D2101" s="2" t="s">
        <v>84</v>
      </c>
      <c r="E2101" s="2" t="s">
        <v>18286</v>
      </c>
      <c r="F2101" s="2" t="s">
        <v>18287</v>
      </c>
      <c r="G2101" s="2">
        <v>5973</v>
      </c>
      <c r="H2101" s="3" t="str">
        <f>HYPERLINK("https://cloud.oebiotech.com/#/lm/network/5973", "https://cloud.oebiotech.com/#/lm/network/5973")</f>
        <v>https://cloud.oebiotech.com/#/lm/network/5973</v>
      </c>
      <c r="I2101" s="2"/>
      <c r="J2101" s="2"/>
      <c r="K2101" s="2" t="s">
        <v>18288</v>
      </c>
      <c r="L2101" s="2">
        <v>132562747</v>
      </c>
      <c r="M2101" s="2"/>
      <c r="N2101" s="2"/>
      <c r="O2101" s="2"/>
      <c r="P2101" s="2"/>
      <c r="Q2101" s="2"/>
      <c r="R2101" s="2"/>
      <c r="S2101" s="2"/>
      <c r="T2101" s="2" t="s">
        <v>18289</v>
      </c>
      <c r="U2101" s="2" t="s">
        <v>18290</v>
      </c>
      <c r="V2101" s="2" t="s">
        <v>95</v>
      </c>
      <c r="W2101" s="2" t="s">
        <v>96</v>
      </c>
      <c r="X2101" s="2" t="s">
        <v>141</v>
      </c>
      <c r="Y2101" s="2" t="s">
        <v>98</v>
      </c>
      <c r="Z2101" s="2" t="s">
        <v>99</v>
      </c>
      <c r="AA2101" s="2" t="s">
        <v>142</v>
      </c>
      <c r="AB2101" s="2" t="s">
        <v>8443</v>
      </c>
      <c r="AC2101" s="2">
        <v>38.11</v>
      </c>
      <c r="AD2101" s="2">
        <v>77.98</v>
      </c>
      <c r="AE2101" s="2">
        <v>0</v>
      </c>
      <c r="AF2101" s="2" t="s">
        <v>18291</v>
      </c>
      <c r="AG2101" s="2" t="s">
        <v>103</v>
      </c>
      <c r="AH2101" s="2" t="s">
        <v>18292</v>
      </c>
      <c r="AI2101" s="2">
        <v>-6.91</v>
      </c>
      <c r="AJ2101" s="2">
        <v>17.737488920869001</v>
      </c>
      <c r="AK2101" s="2">
        <v>17.6848355815908</v>
      </c>
      <c r="AL2101" s="2">
        <v>17.611051749578401</v>
      </c>
      <c r="AM2101" s="2">
        <v>17.330988283031399</v>
      </c>
      <c r="AN2101" s="2">
        <v>17.3546113190867</v>
      </c>
      <c r="AO2101" s="2">
        <v>17.578659857221801</v>
      </c>
      <c r="AP2101" s="2">
        <v>17.583534494149198</v>
      </c>
      <c r="AQ2101" s="2">
        <v>17.759387593941501</v>
      </c>
      <c r="AR2101" s="2">
        <v>9.6233145402724691</v>
      </c>
      <c r="AS2101" s="2">
        <v>18.122827843179099</v>
      </c>
      <c r="AT2101" s="2">
        <v>9.6233145402724691</v>
      </c>
      <c r="AU2101" s="2">
        <v>15.575021246658199</v>
      </c>
      <c r="AV2101" s="2">
        <v>14.664842238250399</v>
      </c>
      <c r="AW2101" s="2">
        <v>19.385453429983801</v>
      </c>
      <c r="AX2101" s="2">
        <v>17.5280815149871</v>
      </c>
      <c r="AY2101" s="2">
        <v>15.969599447057</v>
      </c>
      <c r="AZ2101" s="2">
        <v>9.6233145402724691</v>
      </c>
      <c r="BA2101" s="2">
        <v>9.6233145402724691</v>
      </c>
      <c r="BB2101" s="2">
        <v>17.961433810828002</v>
      </c>
      <c r="BC2101" s="2">
        <v>14.4191701650285</v>
      </c>
      <c r="BD2101" s="2">
        <v>9.6233145402724691</v>
      </c>
      <c r="BE2101" s="2">
        <v>15.775518463425099</v>
      </c>
      <c r="BF2101" s="2">
        <v>15.553783765841301</v>
      </c>
      <c r="BG2101" s="2">
        <v>15.225006672020299</v>
      </c>
      <c r="BH2101" s="2">
        <v>13.972685474970501</v>
      </c>
      <c r="BI2101" s="2">
        <v>19.942219769791201</v>
      </c>
      <c r="BJ2101" s="2">
        <v>17.022635692464501</v>
      </c>
      <c r="BK2101" s="2">
        <v>19.531723207163999</v>
      </c>
      <c r="BL2101" s="2">
        <v>13.8730605092014</v>
      </c>
      <c r="BM2101" s="2">
        <v>17.0773114382533</v>
      </c>
      <c r="BN2101" s="2">
        <v>9.6233145402724691</v>
      </c>
      <c r="BO2101" s="2">
        <v>9.6233145402724691</v>
      </c>
      <c r="BP2101" s="2">
        <v>15.196763091452</v>
      </c>
      <c r="BQ2101" s="2">
        <v>18.999775249324902</v>
      </c>
      <c r="BR2101" s="2">
        <v>13.944054061104801</v>
      </c>
      <c r="BS2101" s="2">
        <v>17.791236352082599</v>
      </c>
      <c r="BT2101" s="2">
        <v>9.6233145402724691</v>
      </c>
      <c r="BU2101" s="2">
        <v>16.8377806694381</v>
      </c>
      <c r="BV2101" s="2">
        <v>16.179912199268099</v>
      </c>
      <c r="BW2101" s="2">
        <v>9.6233145402724691</v>
      </c>
      <c r="BX2101" s="2">
        <v>9.6233145402724691</v>
      </c>
      <c r="BY2101" s="2">
        <v>16.1629292098965</v>
      </c>
      <c r="BZ2101" s="2">
        <v>9.6233145402724691</v>
      </c>
      <c r="CA2101" s="2">
        <v>9.6233145402724691</v>
      </c>
      <c r="CB2101" s="2">
        <v>17.769211602561601</v>
      </c>
      <c r="CC2101" s="2">
        <v>19.9673470995271</v>
      </c>
      <c r="CD2101" s="2">
        <v>16.006623029576701</v>
      </c>
      <c r="CE2101" s="2">
        <v>17.772315927220902</v>
      </c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</row>
    <row r="2102" spans="1:97">
      <c r="A2102" s="2" t="s">
        <v>18293</v>
      </c>
      <c r="B2102" s="2">
        <v>126.99781</v>
      </c>
      <c r="C2102" s="2">
        <v>0.86899999999999999</v>
      </c>
      <c r="D2102" s="2" t="s">
        <v>146</v>
      </c>
      <c r="E2102" s="2" t="s">
        <v>18294</v>
      </c>
      <c r="F2102" s="2" t="s">
        <v>18295</v>
      </c>
      <c r="G2102" s="2">
        <v>201031</v>
      </c>
      <c r="H2102" s="3" t="str">
        <f>HYPERLINK("https://cloud.oebiotech.com/#/lm/network/201031", "https://cloud.oebiotech.com/#/lm/network/201031")</f>
        <v>https://cloud.oebiotech.com/#/lm/network/201031</v>
      </c>
      <c r="I2102" s="2" t="s">
        <v>18296</v>
      </c>
      <c r="J2102" s="2"/>
      <c r="K2102" s="2"/>
      <c r="L2102" s="2"/>
      <c r="M2102" s="2"/>
      <c r="N2102" s="2"/>
      <c r="O2102" s="2"/>
      <c r="P2102" s="2">
        <v>64777</v>
      </c>
      <c r="Q2102" s="2"/>
      <c r="R2102" s="2"/>
      <c r="S2102" s="2"/>
      <c r="T2102" s="2" t="s">
        <v>18297</v>
      </c>
      <c r="U2102" s="2" t="s">
        <v>18298</v>
      </c>
      <c r="V2102" s="2" t="s">
        <v>115</v>
      </c>
      <c r="W2102" s="2" t="s">
        <v>116</v>
      </c>
      <c r="X2102" s="2" t="s">
        <v>117</v>
      </c>
      <c r="Y2102" s="2" t="s">
        <v>118</v>
      </c>
      <c r="Z2102" s="2" t="s">
        <v>119</v>
      </c>
      <c r="AA2102" s="2" t="s">
        <v>120</v>
      </c>
      <c r="AB2102" s="2" t="s">
        <v>8443</v>
      </c>
      <c r="AC2102" s="2">
        <v>38.11</v>
      </c>
      <c r="AD2102" s="2">
        <v>94.3</v>
      </c>
      <c r="AE2102" s="2">
        <v>0</v>
      </c>
      <c r="AF2102" s="2" t="s">
        <v>5614</v>
      </c>
      <c r="AG2102" s="2" t="s">
        <v>993</v>
      </c>
      <c r="AH2102" s="2" t="s">
        <v>18299</v>
      </c>
      <c r="AI2102" s="2">
        <v>-9.4499999999999993</v>
      </c>
      <c r="AJ2102" s="2">
        <v>20.159276836106301</v>
      </c>
      <c r="AK2102" s="2">
        <v>20.2515122406984</v>
      </c>
      <c r="AL2102" s="2">
        <v>20.4149443848668</v>
      </c>
      <c r="AM2102" s="2">
        <v>20.266797747666299</v>
      </c>
      <c r="AN2102" s="2">
        <v>19.951438474133301</v>
      </c>
      <c r="AO2102" s="2">
        <v>20.098182745754499</v>
      </c>
      <c r="AP2102" s="2">
        <v>20.315662264335401</v>
      </c>
      <c r="AQ2102" s="2">
        <v>20.1725100980136</v>
      </c>
      <c r="AR2102" s="2">
        <v>19.640697825949101</v>
      </c>
      <c r="AS2102" s="2">
        <v>19.463225862982501</v>
      </c>
      <c r="AT2102" s="2">
        <v>20.286137043560402</v>
      </c>
      <c r="AU2102" s="2">
        <v>19.225691695587098</v>
      </c>
      <c r="AV2102" s="2">
        <v>19.628338183438</v>
      </c>
      <c r="AW2102" s="2">
        <v>20.008590032604101</v>
      </c>
      <c r="AX2102" s="2">
        <v>20.164895157309601</v>
      </c>
      <c r="AY2102" s="2">
        <v>19.538819673834301</v>
      </c>
      <c r="AZ2102" s="2">
        <v>19.418169684418199</v>
      </c>
      <c r="BA2102" s="2">
        <v>18.759862800374702</v>
      </c>
      <c r="BB2102" s="2">
        <v>20.280927312876599</v>
      </c>
      <c r="BC2102" s="2">
        <v>19.694166395818002</v>
      </c>
      <c r="BD2102" s="2">
        <v>19.555809303818101</v>
      </c>
      <c r="BE2102" s="2">
        <v>19.822441404057599</v>
      </c>
      <c r="BF2102" s="2">
        <v>20.401345042451901</v>
      </c>
      <c r="BG2102" s="2">
        <v>20.417993416790299</v>
      </c>
      <c r="BH2102" s="2">
        <v>19.834020384303901</v>
      </c>
      <c r="BI2102" s="2">
        <v>20.230580149439302</v>
      </c>
      <c r="BJ2102" s="2">
        <v>20.7660039520329</v>
      </c>
      <c r="BK2102" s="2">
        <v>19.693698597550501</v>
      </c>
      <c r="BL2102" s="2">
        <v>19.708739411763499</v>
      </c>
      <c r="BM2102" s="2">
        <v>19.4901818209323</v>
      </c>
      <c r="BN2102" s="2">
        <v>19.8976632350162</v>
      </c>
      <c r="BO2102" s="2">
        <v>19.129063139141799</v>
      </c>
      <c r="BP2102" s="2">
        <v>20.210126604079498</v>
      </c>
      <c r="BQ2102" s="2">
        <v>19.722251924581599</v>
      </c>
      <c r="BR2102" s="2">
        <v>20.144716949197601</v>
      </c>
      <c r="BS2102" s="2">
        <v>20.212170589747299</v>
      </c>
      <c r="BT2102" s="2">
        <v>19.4187651980662</v>
      </c>
      <c r="BU2102" s="2">
        <v>20.6743695918471</v>
      </c>
      <c r="BV2102" s="2">
        <v>20.291230977517799</v>
      </c>
      <c r="BW2102" s="2">
        <v>19.306840570785401</v>
      </c>
      <c r="BX2102" s="2">
        <v>19.482417315711501</v>
      </c>
      <c r="BY2102" s="2">
        <v>20.597381771034499</v>
      </c>
      <c r="BZ2102" s="2">
        <v>19.483064151601301</v>
      </c>
      <c r="CA2102" s="2">
        <v>20.824665688190201</v>
      </c>
      <c r="CB2102" s="2">
        <v>19.493280116010599</v>
      </c>
      <c r="CC2102" s="2">
        <v>19.8643105199804</v>
      </c>
      <c r="CD2102" s="2">
        <v>20.458959275712399</v>
      </c>
      <c r="CE2102" s="2">
        <v>20.212735738702399</v>
      </c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</row>
    <row r="2103" spans="1:97">
      <c r="A2103" s="2" t="s">
        <v>18300</v>
      </c>
      <c r="B2103" s="2">
        <v>180.10267999999999</v>
      </c>
      <c r="C2103" s="2">
        <v>8.2240000000000002</v>
      </c>
      <c r="D2103" s="2" t="s">
        <v>146</v>
      </c>
      <c r="E2103" s="2" t="s">
        <v>18301</v>
      </c>
      <c r="F2103" s="2" t="s">
        <v>18302</v>
      </c>
      <c r="G2103" s="2">
        <v>8988</v>
      </c>
      <c r="H2103" s="3" t="str">
        <f>HYPERLINK("https://cloud.oebiotech.com/#/lm/network/8988", "https://cloud.oebiotech.com/#/lm/network/8988")</f>
        <v>https://cloud.oebiotech.com/#/lm/network/8988</v>
      </c>
      <c r="I2103" s="2"/>
      <c r="J2103" s="2">
        <v>45094</v>
      </c>
      <c r="K2103" s="2" t="s">
        <v>18303</v>
      </c>
      <c r="L2103" s="2">
        <v>10058590</v>
      </c>
      <c r="M2103" s="2"/>
      <c r="N2103" s="2"/>
      <c r="O2103" s="2"/>
      <c r="P2103" s="2"/>
      <c r="Q2103" s="2"/>
      <c r="R2103" s="2"/>
      <c r="S2103" s="2" t="s">
        <v>18304</v>
      </c>
      <c r="T2103" s="2" t="s">
        <v>18305</v>
      </c>
      <c r="U2103" s="2" t="s">
        <v>18306</v>
      </c>
      <c r="V2103" s="2" t="s">
        <v>115</v>
      </c>
      <c r="W2103" s="2" t="s">
        <v>116</v>
      </c>
      <c r="X2103" s="2" t="s">
        <v>117</v>
      </c>
      <c r="Y2103" s="2" t="s">
        <v>118</v>
      </c>
      <c r="Z2103" s="2" t="s">
        <v>119</v>
      </c>
      <c r="AA2103" s="2" t="s">
        <v>120</v>
      </c>
      <c r="AB2103" s="2" t="s">
        <v>8443</v>
      </c>
      <c r="AC2103" s="2">
        <v>38.11</v>
      </c>
      <c r="AD2103" s="2">
        <v>93.89</v>
      </c>
      <c r="AE2103" s="2">
        <v>0</v>
      </c>
      <c r="AF2103" s="2" t="s">
        <v>5614</v>
      </c>
      <c r="AG2103" s="2" t="s">
        <v>993</v>
      </c>
      <c r="AH2103" s="2" t="s">
        <v>18307</v>
      </c>
      <c r="AI2103" s="2">
        <v>-1.67</v>
      </c>
      <c r="AJ2103" s="2">
        <v>18.403236761228602</v>
      </c>
      <c r="AK2103" s="2">
        <v>18.336037858843699</v>
      </c>
      <c r="AL2103" s="2">
        <v>18.428423274509601</v>
      </c>
      <c r="AM2103" s="2">
        <v>18.438105803561601</v>
      </c>
      <c r="AN2103" s="2">
        <v>18.471172533022099</v>
      </c>
      <c r="AO2103" s="2">
        <v>17.787612211259699</v>
      </c>
      <c r="AP2103" s="2">
        <v>18.451700715831301</v>
      </c>
      <c r="AQ2103" s="2">
        <v>18.259299156226099</v>
      </c>
      <c r="AR2103" s="2">
        <v>18.109331683567</v>
      </c>
      <c r="AS2103" s="2">
        <v>16.517941528458898</v>
      </c>
      <c r="AT2103" s="2">
        <v>16.398832688782999</v>
      </c>
      <c r="AU2103" s="2">
        <v>18.1664075624054</v>
      </c>
      <c r="AV2103" s="2">
        <v>20.052102168994502</v>
      </c>
      <c r="AW2103" s="2">
        <v>17.4987695981279</v>
      </c>
      <c r="AX2103" s="2">
        <v>16.018444491121301</v>
      </c>
      <c r="AY2103" s="2">
        <v>18.519661512683999</v>
      </c>
      <c r="AZ2103" s="2">
        <v>17.053412071687799</v>
      </c>
      <c r="BA2103" s="2">
        <v>16.363675016928202</v>
      </c>
      <c r="BB2103" s="2">
        <v>19.211970235449801</v>
      </c>
      <c r="BC2103" s="2">
        <v>16.911360152321301</v>
      </c>
      <c r="BD2103" s="2">
        <v>17.064610052760699</v>
      </c>
      <c r="BE2103" s="2">
        <v>19.9427096308738</v>
      </c>
      <c r="BF2103" s="2">
        <v>18.650689997781601</v>
      </c>
      <c r="BG2103" s="2">
        <v>18.440429205040299</v>
      </c>
      <c r="BH2103" s="2">
        <v>17.542478359697199</v>
      </c>
      <c r="BI2103" s="2">
        <v>17.793118413688301</v>
      </c>
      <c r="BJ2103" s="2">
        <v>18.911221683035599</v>
      </c>
      <c r="BK2103" s="2">
        <v>17.3305576997911</v>
      </c>
      <c r="BL2103" s="2">
        <v>17.143979828694999</v>
      </c>
      <c r="BM2103" s="2">
        <v>17.596986228005299</v>
      </c>
      <c r="BN2103" s="2">
        <v>17.283330940729599</v>
      </c>
      <c r="BO2103" s="2">
        <v>18.890569418361601</v>
      </c>
      <c r="BP2103" s="2">
        <v>18.466933508161802</v>
      </c>
      <c r="BQ2103" s="2">
        <v>17.2002685524436</v>
      </c>
      <c r="BR2103" s="2">
        <v>17.163233363217099</v>
      </c>
      <c r="BS2103" s="2">
        <v>18.066238534720501</v>
      </c>
      <c r="BT2103" s="2">
        <v>16.914173945015602</v>
      </c>
      <c r="BU2103" s="2">
        <v>17.1553737441475</v>
      </c>
      <c r="BV2103" s="2">
        <v>17.947603209995499</v>
      </c>
      <c r="BW2103" s="2">
        <v>16.734629053745099</v>
      </c>
      <c r="BX2103" s="2">
        <v>17.225337843841402</v>
      </c>
      <c r="BY2103" s="2">
        <v>20.8222728267143</v>
      </c>
      <c r="BZ2103" s="2">
        <v>19.262018157937401</v>
      </c>
      <c r="CA2103" s="2">
        <v>18.216225638375398</v>
      </c>
      <c r="CB2103" s="2">
        <v>17.094685349063401</v>
      </c>
      <c r="CC2103" s="2">
        <v>17.333567689671</v>
      </c>
      <c r="CD2103" s="2">
        <v>18.402778966949001</v>
      </c>
      <c r="CE2103" s="2">
        <v>17.641538197240902</v>
      </c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</row>
    <row r="2104" spans="1:97">
      <c r="A2104" s="2" t="s">
        <v>18308</v>
      </c>
      <c r="B2104" s="2">
        <v>350.03798</v>
      </c>
      <c r="C2104" s="2">
        <v>1.097</v>
      </c>
      <c r="D2104" s="2" t="s">
        <v>146</v>
      </c>
      <c r="E2104" s="2" t="s">
        <v>18309</v>
      </c>
      <c r="F2104" s="2" t="s">
        <v>18310</v>
      </c>
      <c r="G2104" s="2">
        <v>203492</v>
      </c>
      <c r="H2104" s="3" t="str">
        <f>HYPERLINK("https://cloud.oebiotech.com/#/lm/network/203492", "https://cloud.oebiotech.com/#/lm/network/203492")</f>
        <v>https://cloud.oebiotech.com/#/lm/network/203492</v>
      </c>
      <c r="I2104" s="2" t="s">
        <v>18311</v>
      </c>
      <c r="J2104" s="2">
        <v>321162</v>
      </c>
      <c r="K2104" s="2"/>
      <c r="L2104" s="2">
        <v>3080866</v>
      </c>
      <c r="M2104" s="2"/>
      <c r="N2104" s="2"/>
      <c r="O2104" s="2"/>
      <c r="P2104" s="2"/>
      <c r="Q2104" s="2"/>
      <c r="R2104" s="2"/>
      <c r="S2104" s="2"/>
      <c r="T2104" s="2" t="s">
        <v>18312</v>
      </c>
      <c r="U2104" s="2" t="s">
        <v>18313</v>
      </c>
      <c r="V2104" s="2" t="s">
        <v>385</v>
      </c>
      <c r="W2104" s="2" t="s">
        <v>386</v>
      </c>
      <c r="X2104" s="2" t="s">
        <v>1059</v>
      </c>
      <c r="Y2104" s="2" t="s">
        <v>388</v>
      </c>
      <c r="Z2104" s="2" t="s">
        <v>389</v>
      </c>
      <c r="AA2104" s="2" t="s">
        <v>1060</v>
      </c>
      <c r="AB2104" s="2" t="s">
        <v>8443</v>
      </c>
      <c r="AC2104" s="2">
        <v>38.1</v>
      </c>
      <c r="AD2104" s="2">
        <v>90.52</v>
      </c>
      <c r="AE2104" s="2">
        <v>0</v>
      </c>
      <c r="AF2104" s="2" t="s">
        <v>5614</v>
      </c>
      <c r="AG2104" s="2" t="s">
        <v>157</v>
      </c>
      <c r="AH2104" s="2" t="s">
        <v>18314</v>
      </c>
      <c r="AI2104" s="2">
        <v>-0.56999999999999995</v>
      </c>
      <c r="AJ2104" s="2">
        <v>18.093760762007701</v>
      </c>
      <c r="AK2104" s="2">
        <v>17.9883053481547</v>
      </c>
      <c r="AL2104" s="2">
        <v>17.708934332034101</v>
      </c>
      <c r="AM2104" s="2">
        <v>17.712658781130902</v>
      </c>
      <c r="AN2104" s="2">
        <v>17.6660398393505</v>
      </c>
      <c r="AO2104" s="2">
        <v>17.8845831357626</v>
      </c>
      <c r="AP2104" s="2">
        <v>17.753304381255699</v>
      </c>
      <c r="AQ2104" s="2">
        <v>17.885343841727501</v>
      </c>
      <c r="AR2104" s="2">
        <v>17.3788157200302</v>
      </c>
      <c r="AS2104" s="2">
        <v>16.382203010240701</v>
      </c>
      <c r="AT2104" s="2">
        <v>17.113695270373999</v>
      </c>
      <c r="AU2104" s="2">
        <v>17.0630071784481</v>
      </c>
      <c r="AV2104" s="2">
        <v>17.713340060525798</v>
      </c>
      <c r="AW2104" s="2">
        <v>17.5640623116225</v>
      </c>
      <c r="AX2104" s="2">
        <v>17.475358287184601</v>
      </c>
      <c r="AY2104" s="2">
        <v>17.776227131433998</v>
      </c>
      <c r="AZ2104" s="2">
        <v>17.399838238748298</v>
      </c>
      <c r="BA2104" s="2">
        <v>16.972643297425499</v>
      </c>
      <c r="BB2104" s="2">
        <v>18.007733643405299</v>
      </c>
      <c r="BC2104" s="2">
        <v>17.067638338776</v>
      </c>
      <c r="BD2104" s="2">
        <v>15.939030478168901</v>
      </c>
      <c r="BE2104" s="2">
        <v>16.9559496433208</v>
      </c>
      <c r="BF2104" s="2">
        <v>17.9278932138523</v>
      </c>
      <c r="BG2104" s="2">
        <v>17.5357264520987</v>
      </c>
      <c r="BH2104" s="2">
        <v>17.848296751987</v>
      </c>
      <c r="BI2104" s="2">
        <v>17.606258732154402</v>
      </c>
      <c r="BJ2104" s="2">
        <v>17.4071532232037</v>
      </c>
      <c r="BK2104" s="2">
        <v>17.707044222726701</v>
      </c>
      <c r="BL2104" s="2">
        <v>16.742584968313899</v>
      </c>
      <c r="BM2104" s="2">
        <v>17.617165533004901</v>
      </c>
      <c r="BN2104" s="2">
        <v>17.5339772543424</v>
      </c>
      <c r="BO2104" s="2">
        <v>16.9381109347277</v>
      </c>
      <c r="BP2104" s="2">
        <v>17.856898118163802</v>
      </c>
      <c r="BQ2104" s="2">
        <v>17.759885713207701</v>
      </c>
      <c r="BR2104" s="2">
        <v>17.265814267624599</v>
      </c>
      <c r="BS2104" s="2">
        <v>18.019330754013701</v>
      </c>
      <c r="BT2104" s="2">
        <v>13.950691667289</v>
      </c>
      <c r="BU2104" s="2">
        <v>17.830253306030102</v>
      </c>
      <c r="BV2104" s="2">
        <v>17.895032868142501</v>
      </c>
      <c r="BW2104" s="2">
        <v>14.4378931364542</v>
      </c>
      <c r="BX2104" s="2">
        <v>16.7711875438617</v>
      </c>
      <c r="BY2104" s="2">
        <v>17.782026152820801</v>
      </c>
      <c r="BZ2104" s="2">
        <v>17.705514002681099</v>
      </c>
      <c r="CA2104" s="2">
        <v>18.549911734286301</v>
      </c>
      <c r="CB2104" s="2">
        <v>17.220893510921101</v>
      </c>
      <c r="CC2104" s="2">
        <v>17.887492190196699</v>
      </c>
      <c r="CD2104" s="2">
        <v>18.553791226566499</v>
      </c>
      <c r="CE2104" s="2">
        <v>17.066761301838199</v>
      </c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</row>
    <row r="2105" spans="1:97">
      <c r="A2105" s="2" t="s">
        <v>18315</v>
      </c>
      <c r="B2105" s="2">
        <v>279.0172</v>
      </c>
      <c r="C2105" s="2">
        <v>0.57999999999999996</v>
      </c>
      <c r="D2105" s="2" t="s">
        <v>84</v>
      </c>
      <c r="E2105" s="2" t="s">
        <v>18316</v>
      </c>
      <c r="F2105" s="2" t="s">
        <v>18317</v>
      </c>
      <c r="G2105" s="2">
        <v>596326</v>
      </c>
      <c r="H2105" s="3" t="str">
        <f>HYPERLINK("https://cloud.oebiotech.com/#/lm/network/596326", "https://cloud.oebiotech.com/#/lm/network/596326")</f>
        <v>https://cloud.oebiotech.com/#/lm/network/596326</v>
      </c>
      <c r="I2105" s="2"/>
      <c r="J2105" s="2"/>
      <c r="K2105" s="2"/>
      <c r="L2105" s="2">
        <v>131831531</v>
      </c>
      <c r="M2105" s="2"/>
      <c r="N2105" s="2"/>
      <c r="O2105" s="2"/>
      <c r="P2105" s="2"/>
      <c r="Q2105" s="2"/>
      <c r="R2105" s="2"/>
      <c r="S2105" s="2"/>
      <c r="T2105" s="2" t="s">
        <v>18318</v>
      </c>
      <c r="U2105" s="2" t="s">
        <v>18319</v>
      </c>
      <c r="V2105" s="2" t="s">
        <v>115</v>
      </c>
      <c r="W2105" s="2" t="s">
        <v>613</v>
      </c>
      <c r="X2105" s="2" t="s">
        <v>614</v>
      </c>
      <c r="Y2105" s="2" t="s">
        <v>118</v>
      </c>
      <c r="Z2105" s="2" t="s">
        <v>615</v>
      </c>
      <c r="AA2105" s="2" t="s">
        <v>616</v>
      </c>
      <c r="AB2105" s="2" t="s">
        <v>8443</v>
      </c>
      <c r="AC2105" s="2">
        <v>38.1</v>
      </c>
      <c r="AD2105" s="2">
        <v>90.89</v>
      </c>
      <c r="AE2105" s="2">
        <v>0</v>
      </c>
      <c r="AF2105" s="2" t="s">
        <v>5614</v>
      </c>
      <c r="AG2105" s="2" t="s">
        <v>103</v>
      </c>
      <c r="AH2105" s="2" t="s">
        <v>2640</v>
      </c>
      <c r="AI2105" s="2">
        <v>-1.08</v>
      </c>
      <c r="AJ2105" s="2">
        <v>20.551900677085399</v>
      </c>
      <c r="AK2105" s="2">
        <v>20.521192390917399</v>
      </c>
      <c r="AL2105" s="2">
        <v>20.816241574923101</v>
      </c>
      <c r="AM2105" s="2">
        <v>20.185085739958701</v>
      </c>
      <c r="AN2105" s="2">
        <v>20.3379794567253</v>
      </c>
      <c r="AO2105" s="2">
        <v>20.468543743364901</v>
      </c>
      <c r="AP2105" s="2">
        <v>20.3219985482677</v>
      </c>
      <c r="AQ2105" s="2">
        <v>19.7243345009683</v>
      </c>
      <c r="AR2105" s="2">
        <v>20.6054851608124</v>
      </c>
      <c r="AS2105" s="2">
        <v>19.224443119134001</v>
      </c>
      <c r="AT2105" s="2">
        <v>20.2206063761145</v>
      </c>
      <c r="AU2105" s="2">
        <v>20.065441195857399</v>
      </c>
      <c r="AV2105" s="2">
        <v>19.789312632582401</v>
      </c>
      <c r="AW2105" s="2">
        <v>18.5024119719228</v>
      </c>
      <c r="AX2105" s="2">
        <v>20.346809741125</v>
      </c>
      <c r="AY2105" s="2">
        <v>20.5498916976454</v>
      </c>
      <c r="AZ2105" s="2">
        <v>20.215690053680099</v>
      </c>
      <c r="BA2105" s="2">
        <v>20.250886442618</v>
      </c>
      <c r="BB2105" s="2">
        <v>20.632440028141801</v>
      </c>
      <c r="BC2105" s="2">
        <v>20.5016443398092</v>
      </c>
      <c r="BD2105" s="2">
        <v>20.336470111477599</v>
      </c>
      <c r="BE2105" s="2">
        <v>19.7573099344703</v>
      </c>
      <c r="BF2105" s="2">
        <v>19.8753313050725</v>
      </c>
      <c r="BG2105" s="2">
        <v>20.220924948238999</v>
      </c>
      <c r="BH2105" s="2">
        <v>20.870526069681201</v>
      </c>
      <c r="BI2105" s="2">
        <v>20.424494518903501</v>
      </c>
      <c r="BJ2105" s="2">
        <v>20.2549741850309</v>
      </c>
      <c r="BK2105" s="2">
        <v>19.8323420373491</v>
      </c>
      <c r="BL2105" s="2">
        <v>20.399872234434</v>
      </c>
      <c r="BM2105" s="2">
        <v>20.057584979646901</v>
      </c>
      <c r="BN2105" s="2">
        <v>20.194101274891199</v>
      </c>
      <c r="BO2105" s="2">
        <v>19.772182798379799</v>
      </c>
      <c r="BP2105" s="2">
        <v>20.412370201769299</v>
      </c>
      <c r="BQ2105" s="2">
        <v>20.723996196012099</v>
      </c>
      <c r="BR2105" s="2">
        <v>18.820008296828298</v>
      </c>
      <c r="BS2105" s="2">
        <v>19.2596196077473</v>
      </c>
      <c r="BT2105" s="2">
        <v>20.372986658706399</v>
      </c>
      <c r="BU2105" s="2">
        <v>20.483485498336801</v>
      </c>
      <c r="BV2105" s="2">
        <v>20.524052502363201</v>
      </c>
      <c r="BW2105" s="2">
        <v>20.534708968986099</v>
      </c>
      <c r="BX2105" s="2">
        <v>19.920638238448401</v>
      </c>
      <c r="BY2105" s="2">
        <v>20.1815781956903</v>
      </c>
      <c r="BZ2105" s="2">
        <v>19.904940780295298</v>
      </c>
      <c r="CA2105" s="2">
        <v>19.875627563100199</v>
      </c>
      <c r="CB2105" s="2">
        <v>20.198897934874299</v>
      </c>
      <c r="CC2105" s="2">
        <v>20.177927290927901</v>
      </c>
      <c r="CD2105" s="2">
        <v>20.529432517809699</v>
      </c>
      <c r="CE2105" s="2">
        <v>20.288259192582501</v>
      </c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</row>
    <row r="2106" spans="1:97">
      <c r="A2106" s="2" t="s">
        <v>18320</v>
      </c>
      <c r="B2106" s="2">
        <v>197.03201000000001</v>
      </c>
      <c r="C2106" s="2">
        <v>4.3330000000000002</v>
      </c>
      <c r="D2106" s="2" t="s">
        <v>146</v>
      </c>
      <c r="E2106" s="2" t="s">
        <v>18321</v>
      </c>
      <c r="F2106" s="2" t="s">
        <v>18322</v>
      </c>
      <c r="G2106" s="2">
        <v>47437</v>
      </c>
      <c r="H2106" s="3" t="str">
        <f>HYPERLINK("https://cloud.oebiotech.com/#/lm/network/47437", "https://cloud.oebiotech.com/#/lm/network/47437")</f>
        <v>https://cloud.oebiotech.com/#/lm/network/47437</v>
      </c>
      <c r="I2106" s="2" t="s">
        <v>18323</v>
      </c>
      <c r="J2106" s="2">
        <v>58027</v>
      </c>
      <c r="K2106" s="2"/>
      <c r="L2106" s="2">
        <v>83252</v>
      </c>
      <c r="M2106" s="2"/>
      <c r="N2106" s="2"/>
      <c r="O2106" s="2"/>
      <c r="P2106" s="2"/>
      <c r="Q2106" s="2"/>
      <c r="R2106" s="2"/>
      <c r="S2106" s="2" t="s">
        <v>18324</v>
      </c>
      <c r="T2106" s="2" t="s">
        <v>18325</v>
      </c>
      <c r="U2106" s="2" t="s">
        <v>18326</v>
      </c>
      <c r="V2106" s="2" t="s">
        <v>553</v>
      </c>
      <c r="W2106" s="2" t="s">
        <v>949</v>
      </c>
      <c r="X2106" s="2" t="s">
        <v>950</v>
      </c>
      <c r="Y2106" s="2" t="s">
        <v>556</v>
      </c>
      <c r="Z2106" s="2" t="s">
        <v>951</v>
      </c>
      <c r="AA2106" s="2" t="s">
        <v>952</v>
      </c>
      <c r="AB2106" s="2" t="s">
        <v>8443</v>
      </c>
      <c r="AC2106" s="2">
        <v>38.1</v>
      </c>
      <c r="AD2106" s="2">
        <v>95.67</v>
      </c>
      <c r="AE2106" s="2">
        <v>0</v>
      </c>
      <c r="AF2106" s="2" t="s">
        <v>5614</v>
      </c>
      <c r="AG2106" s="2" t="s">
        <v>157</v>
      </c>
      <c r="AH2106" s="2" t="s">
        <v>2475</v>
      </c>
      <c r="AI2106" s="2">
        <v>-2.0299999999999998</v>
      </c>
      <c r="AJ2106" s="2">
        <v>18.012946649949999</v>
      </c>
      <c r="AK2106" s="2">
        <v>18.282018925228599</v>
      </c>
      <c r="AL2106" s="2">
        <v>17.697165570878099</v>
      </c>
      <c r="AM2106" s="2">
        <v>18.661861410726701</v>
      </c>
      <c r="AN2106" s="2">
        <v>18.0361810728992</v>
      </c>
      <c r="AO2106" s="2">
        <v>18.4825087425946</v>
      </c>
      <c r="AP2106" s="2">
        <v>18.0999874576389</v>
      </c>
      <c r="AQ2106" s="2">
        <v>18.378399052248199</v>
      </c>
      <c r="AR2106" s="2">
        <v>16.649256177517302</v>
      </c>
      <c r="AS2106" s="2">
        <v>16.7007256657282</v>
      </c>
      <c r="AT2106" s="2">
        <v>17.804051970343199</v>
      </c>
      <c r="AU2106" s="2">
        <v>17.355535207254601</v>
      </c>
      <c r="AV2106" s="2">
        <v>18.094876028785599</v>
      </c>
      <c r="AW2106" s="2">
        <v>18.277983930293299</v>
      </c>
      <c r="AX2106" s="2">
        <v>17.901833601796</v>
      </c>
      <c r="AY2106" s="2">
        <v>18.214144873809499</v>
      </c>
      <c r="AZ2106" s="2">
        <v>17.289781433053498</v>
      </c>
      <c r="BA2106" s="2">
        <v>17.495914190907399</v>
      </c>
      <c r="BB2106" s="2">
        <v>18.531095695740898</v>
      </c>
      <c r="BC2106" s="2">
        <v>18.953913398483898</v>
      </c>
      <c r="BD2106" s="2">
        <v>17.943969501453299</v>
      </c>
      <c r="BE2106" s="2">
        <v>18.8614959691145</v>
      </c>
      <c r="BF2106" s="2">
        <v>18.594750267680102</v>
      </c>
      <c r="BG2106" s="2">
        <v>18.563539428695201</v>
      </c>
      <c r="BH2106" s="2">
        <v>17.965780565209101</v>
      </c>
      <c r="BI2106" s="2">
        <v>17.9253225098584</v>
      </c>
      <c r="BJ2106" s="2">
        <v>18.076115003953898</v>
      </c>
      <c r="BK2106" s="2">
        <v>17.235854089175699</v>
      </c>
      <c r="BL2106" s="2">
        <v>17.919420511245701</v>
      </c>
      <c r="BM2106" s="2">
        <v>18.763694937575298</v>
      </c>
      <c r="BN2106" s="2">
        <v>18.2074412602501</v>
      </c>
      <c r="BO2106" s="2">
        <v>18.029141396953399</v>
      </c>
      <c r="BP2106" s="2">
        <v>17.765573852664399</v>
      </c>
      <c r="BQ2106" s="2">
        <v>18.136175131253001</v>
      </c>
      <c r="BR2106" s="2">
        <v>17.9677253755092</v>
      </c>
      <c r="BS2106" s="2">
        <v>17.9476950326505</v>
      </c>
      <c r="BT2106" s="2">
        <v>15.7716697435333</v>
      </c>
      <c r="BU2106" s="2">
        <v>17.826166362819901</v>
      </c>
      <c r="BV2106" s="2">
        <v>18.811447072314699</v>
      </c>
      <c r="BW2106" s="2">
        <v>18.165629448124498</v>
      </c>
      <c r="BX2106" s="2">
        <v>18.222638042755399</v>
      </c>
      <c r="BY2106" s="2">
        <v>18.888788843637599</v>
      </c>
      <c r="BZ2106" s="2">
        <v>18.390451712708501</v>
      </c>
      <c r="CA2106" s="2">
        <v>18.906479759995399</v>
      </c>
      <c r="CB2106" s="2">
        <v>17.9632243306243</v>
      </c>
      <c r="CC2106" s="2">
        <v>18.555777218599999</v>
      </c>
      <c r="CD2106" s="2">
        <v>18.721654855536201</v>
      </c>
      <c r="CE2106" s="2">
        <v>18.676392928185301</v>
      </c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</row>
    <row r="2107" spans="1:97">
      <c r="A2107" s="2" t="s">
        <v>18327</v>
      </c>
      <c r="B2107" s="2">
        <v>153.06563</v>
      </c>
      <c r="C2107" s="2">
        <v>0.89</v>
      </c>
      <c r="D2107" s="2" t="s">
        <v>84</v>
      </c>
      <c r="E2107" s="2" t="s">
        <v>18328</v>
      </c>
      <c r="F2107" s="2" t="s">
        <v>18329</v>
      </c>
      <c r="G2107" s="2">
        <v>209189</v>
      </c>
      <c r="H2107" s="3" t="str">
        <f>HYPERLINK("https://cloud.oebiotech.com/#/lm/network/209189", "https://cloud.oebiotech.com/#/lm/network/209189")</f>
        <v>https://cloud.oebiotech.com/#/lm/network/209189</v>
      </c>
      <c r="I2107" s="2" t="s">
        <v>18330</v>
      </c>
      <c r="J2107" s="2"/>
      <c r="K2107" s="2"/>
      <c r="L2107" s="2">
        <v>7483</v>
      </c>
      <c r="M2107" s="2"/>
      <c r="N2107" s="2"/>
      <c r="O2107" s="2"/>
      <c r="P2107" s="2"/>
      <c r="Q2107" s="2"/>
      <c r="R2107" s="2"/>
      <c r="S2107" s="2"/>
      <c r="T2107" s="2" t="s">
        <v>18331</v>
      </c>
      <c r="U2107" s="2" t="s">
        <v>18332</v>
      </c>
      <c r="V2107" s="2" t="s">
        <v>385</v>
      </c>
      <c r="W2107" s="2" t="s">
        <v>386</v>
      </c>
      <c r="X2107" s="2" t="s">
        <v>12519</v>
      </c>
      <c r="Y2107" s="2" t="s">
        <v>388</v>
      </c>
      <c r="Z2107" s="2" t="s">
        <v>389</v>
      </c>
      <c r="AA2107" s="2" t="s">
        <v>12520</v>
      </c>
      <c r="AB2107" s="2" t="s">
        <v>8443</v>
      </c>
      <c r="AC2107" s="2">
        <v>38.090000000000003</v>
      </c>
      <c r="AD2107" s="2">
        <v>95.25</v>
      </c>
      <c r="AE2107" s="2">
        <v>0</v>
      </c>
      <c r="AF2107" s="2" t="s">
        <v>18333</v>
      </c>
      <c r="AG2107" s="2" t="s">
        <v>103</v>
      </c>
      <c r="AH2107" s="2" t="s">
        <v>2673</v>
      </c>
      <c r="AI2107" s="2">
        <v>1.96</v>
      </c>
      <c r="AJ2107" s="2">
        <v>23.212704100165499</v>
      </c>
      <c r="AK2107" s="2">
        <v>23.2988363234047</v>
      </c>
      <c r="AL2107" s="2">
        <v>23.076634387807498</v>
      </c>
      <c r="AM2107" s="2">
        <v>23.202596298951299</v>
      </c>
      <c r="AN2107" s="2">
        <v>23.2538685993106</v>
      </c>
      <c r="AO2107" s="2">
        <v>23.303153977280701</v>
      </c>
      <c r="AP2107" s="2">
        <v>23.228480356274499</v>
      </c>
      <c r="AQ2107" s="2">
        <v>23.3859855238188</v>
      </c>
      <c r="AR2107" s="2">
        <v>22.746157015040801</v>
      </c>
      <c r="AS2107" s="2">
        <v>22.753884187238999</v>
      </c>
      <c r="AT2107" s="2">
        <v>22.954829273605</v>
      </c>
      <c r="AU2107" s="2">
        <v>22.4364542254424</v>
      </c>
      <c r="AV2107" s="2">
        <v>22.6488218348304</v>
      </c>
      <c r="AW2107" s="2">
        <v>23.375811768986999</v>
      </c>
      <c r="AX2107" s="2">
        <v>22.8002818990315</v>
      </c>
      <c r="AY2107" s="2">
        <v>23.095449764750999</v>
      </c>
      <c r="AZ2107" s="2">
        <v>22.629971725145602</v>
      </c>
      <c r="BA2107" s="2">
        <v>22.958246799876601</v>
      </c>
      <c r="BB2107" s="2">
        <v>23.7673120114993</v>
      </c>
      <c r="BC2107" s="2">
        <v>23.699809552520001</v>
      </c>
      <c r="BD2107" s="2">
        <v>21.950361623433299</v>
      </c>
      <c r="BE2107" s="2">
        <v>22.642368526513401</v>
      </c>
      <c r="BF2107" s="2">
        <v>21.635374315733198</v>
      </c>
      <c r="BG2107" s="2">
        <v>23.7705772223037</v>
      </c>
      <c r="BH2107" s="2">
        <v>22.9909733781585</v>
      </c>
      <c r="BI2107" s="2">
        <v>23.753151173665302</v>
      </c>
      <c r="BJ2107" s="2">
        <v>23.305410669183701</v>
      </c>
      <c r="BK2107" s="2">
        <v>23.428568271939</v>
      </c>
      <c r="BL2107" s="2">
        <v>23.210396298774</v>
      </c>
      <c r="BM2107" s="2">
        <v>22.8875339014559</v>
      </c>
      <c r="BN2107" s="2">
        <v>22.966410072871501</v>
      </c>
      <c r="BO2107" s="2">
        <v>23.848804491589899</v>
      </c>
      <c r="BP2107" s="2">
        <v>22.871477303388399</v>
      </c>
      <c r="BQ2107" s="2">
        <v>23.300692609921501</v>
      </c>
      <c r="BR2107" s="2">
        <v>22.845033282692501</v>
      </c>
      <c r="BS2107" s="2">
        <v>23.220985147079301</v>
      </c>
      <c r="BT2107" s="2">
        <v>23.305793476154101</v>
      </c>
      <c r="BU2107" s="2">
        <v>22.947627689236899</v>
      </c>
      <c r="BV2107" s="2">
        <v>23.676492012822902</v>
      </c>
      <c r="BW2107" s="2">
        <v>22.887513940294099</v>
      </c>
      <c r="BX2107" s="2">
        <v>23.0382088408615</v>
      </c>
      <c r="BY2107" s="2">
        <v>23.401408590863099</v>
      </c>
      <c r="BZ2107" s="2">
        <v>21.8213111834588</v>
      </c>
      <c r="CA2107" s="2">
        <v>22.378671190516101</v>
      </c>
      <c r="CB2107" s="2">
        <v>23.482110486391701</v>
      </c>
      <c r="CC2107" s="2">
        <v>22.710617529445901</v>
      </c>
      <c r="CD2107" s="2">
        <v>23.2349740978749</v>
      </c>
      <c r="CE2107" s="2">
        <v>24.134145328877999</v>
      </c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</row>
    <row r="2108" spans="1:97">
      <c r="A2108" s="2" t="s">
        <v>18334</v>
      </c>
      <c r="B2108" s="2">
        <v>214.17989</v>
      </c>
      <c r="C2108" s="2">
        <v>7.218</v>
      </c>
      <c r="D2108" s="2" t="s">
        <v>84</v>
      </c>
      <c r="E2108" s="2" t="s">
        <v>18335</v>
      </c>
      <c r="F2108" s="2" t="s">
        <v>18336</v>
      </c>
      <c r="G2108" s="2">
        <v>58838</v>
      </c>
      <c r="H2108" s="3" t="str">
        <f>HYPERLINK("https://cloud.oebiotech.com/#/lm/network/58838", "https://cloud.oebiotech.com/#/lm/network/58838")</f>
        <v>https://cloud.oebiotech.com/#/lm/network/58838</v>
      </c>
      <c r="I2108" s="2" t="s">
        <v>18337</v>
      </c>
      <c r="J2108" s="2">
        <v>90291</v>
      </c>
      <c r="K2108" s="2"/>
      <c r="L2108" s="2">
        <v>12367055</v>
      </c>
      <c r="M2108" s="2"/>
      <c r="N2108" s="2"/>
      <c r="O2108" s="2"/>
      <c r="P2108" s="2"/>
      <c r="Q2108" s="2"/>
      <c r="R2108" s="2"/>
      <c r="S2108" s="2" t="s">
        <v>18338</v>
      </c>
      <c r="T2108" s="2" t="s">
        <v>18339</v>
      </c>
      <c r="U2108" s="2" t="s">
        <v>18340</v>
      </c>
      <c r="V2108" s="2" t="s">
        <v>553</v>
      </c>
      <c r="W2108" s="2" t="s">
        <v>4164</v>
      </c>
      <c r="X2108" s="2" t="s">
        <v>375</v>
      </c>
      <c r="Y2108" s="2" t="s">
        <v>556</v>
      </c>
      <c r="Z2108" s="2" t="s">
        <v>4165</v>
      </c>
      <c r="AA2108" s="2"/>
      <c r="AB2108" s="2" t="s">
        <v>8443</v>
      </c>
      <c r="AC2108" s="2">
        <v>38.090000000000003</v>
      </c>
      <c r="AD2108" s="2">
        <v>92.47</v>
      </c>
      <c r="AE2108" s="2">
        <v>0</v>
      </c>
      <c r="AF2108" s="2" t="s">
        <v>5614</v>
      </c>
      <c r="AG2108" s="2" t="s">
        <v>132</v>
      </c>
      <c r="AH2108" s="2" t="s">
        <v>3953</v>
      </c>
      <c r="AI2108" s="2">
        <v>1.4</v>
      </c>
      <c r="AJ2108" s="2">
        <v>21.388577018042199</v>
      </c>
      <c r="AK2108" s="2">
        <v>21.4972214925671</v>
      </c>
      <c r="AL2108" s="2">
        <v>21.052020313658598</v>
      </c>
      <c r="AM2108" s="2">
        <v>21.591007834900701</v>
      </c>
      <c r="AN2108" s="2">
        <v>21.695280707237501</v>
      </c>
      <c r="AO2108" s="2">
        <v>21.5909389898986</v>
      </c>
      <c r="AP2108" s="2">
        <v>21.515989760697799</v>
      </c>
      <c r="AQ2108" s="2">
        <v>21.022012209416499</v>
      </c>
      <c r="AR2108" s="2">
        <v>20.5729976058972</v>
      </c>
      <c r="AS2108" s="2">
        <v>20.491596970179</v>
      </c>
      <c r="AT2108" s="2">
        <v>20.303332076606299</v>
      </c>
      <c r="AU2108" s="2">
        <v>20.467769074589999</v>
      </c>
      <c r="AV2108" s="2">
        <v>20.478575877804701</v>
      </c>
      <c r="AW2108" s="2">
        <v>20.376596137678298</v>
      </c>
      <c r="AX2108" s="2">
        <v>20.736714865702801</v>
      </c>
      <c r="AY2108" s="2">
        <v>20.293165086232399</v>
      </c>
      <c r="AZ2108" s="2">
        <v>20.368859363500501</v>
      </c>
      <c r="BA2108" s="2">
        <v>20.396700828610999</v>
      </c>
      <c r="BB2108" s="2">
        <v>21.117352951606001</v>
      </c>
      <c r="BC2108" s="2">
        <v>20.5562238484269</v>
      </c>
      <c r="BD2108" s="2">
        <v>20.5104117595635</v>
      </c>
      <c r="BE2108" s="2">
        <v>20.049378836841498</v>
      </c>
      <c r="BF2108" s="2">
        <v>20.493289802239101</v>
      </c>
      <c r="BG2108" s="2">
        <v>20.627449651895098</v>
      </c>
      <c r="BH2108" s="2">
        <v>20.521664643054901</v>
      </c>
      <c r="BI2108" s="2">
        <v>20.337177317111301</v>
      </c>
      <c r="BJ2108" s="2">
        <v>21.010418512158001</v>
      </c>
      <c r="BK2108" s="2">
        <v>20.516113233914002</v>
      </c>
      <c r="BL2108" s="2">
        <v>20.5697481307398</v>
      </c>
      <c r="BM2108" s="2">
        <v>20.2005527950169</v>
      </c>
      <c r="BN2108" s="2">
        <v>20.698369403788099</v>
      </c>
      <c r="BO2108" s="2">
        <v>20.2344155690575</v>
      </c>
      <c r="BP2108" s="2">
        <v>20.455982281915801</v>
      </c>
      <c r="BQ2108" s="2">
        <v>20.436333920510101</v>
      </c>
      <c r="BR2108" s="2">
        <v>20.7524633230896</v>
      </c>
      <c r="BS2108" s="2">
        <v>20.651989554403801</v>
      </c>
      <c r="BT2108" s="2">
        <v>19.955735757383199</v>
      </c>
      <c r="BU2108" s="2">
        <v>20.3180611388362</v>
      </c>
      <c r="BV2108" s="2">
        <v>20.790748035644299</v>
      </c>
      <c r="BW2108" s="2">
        <v>20.388621737251999</v>
      </c>
      <c r="BX2108" s="2">
        <v>20.619979615318702</v>
      </c>
      <c r="BY2108" s="2">
        <v>20.205687907473799</v>
      </c>
      <c r="BZ2108" s="2">
        <v>20.8940944052957</v>
      </c>
      <c r="CA2108" s="2">
        <v>20.4628071020596</v>
      </c>
      <c r="CB2108" s="2">
        <v>20.8758891681106</v>
      </c>
      <c r="CC2108" s="2">
        <v>20.459086161070299</v>
      </c>
      <c r="CD2108" s="2">
        <v>20.196494970684</v>
      </c>
      <c r="CE2108" s="2">
        <v>20.733409216777101</v>
      </c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</row>
    <row r="2109" spans="1:97">
      <c r="A2109" s="2" t="s">
        <v>18341</v>
      </c>
      <c r="B2109" s="2">
        <v>355.03086000000002</v>
      </c>
      <c r="C2109" s="2">
        <v>3.6680000000000001</v>
      </c>
      <c r="D2109" s="2" t="s">
        <v>146</v>
      </c>
      <c r="E2109" s="2" t="s">
        <v>18342</v>
      </c>
      <c r="F2109" s="2" t="s">
        <v>18343</v>
      </c>
      <c r="G2109" s="2">
        <v>60304</v>
      </c>
      <c r="H2109" s="3" t="str">
        <f>HYPERLINK("https://cloud.oebiotech.com/#/lm/network/60304", "https://cloud.oebiotech.com/#/lm/network/60304")</f>
        <v>https://cloud.oebiotech.com/#/lm/network/60304</v>
      </c>
      <c r="I2109" s="2" t="s">
        <v>18344</v>
      </c>
      <c r="J2109" s="2">
        <v>91674</v>
      </c>
      <c r="K2109" s="2"/>
      <c r="L2109" s="2">
        <v>12302892</v>
      </c>
      <c r="M2109" s="2"/>
      <c r="N2109" s="2"/>
      <c r="O2109" s="2"/>
      <c r="P2109" s="2"/>
      <c r="Q2109" s="2"/>
      <c r="R2109" s="2"/>
      <c r="S2109" s="2"/>
      <c r="T2109" s="2" t="s">
        <v>18345</v>
      </c>
      <c r="U2109" s="2" t="s">
        <v>18346</v>
      </c>
      <c r="V2109" s="2" t="s">
        <v>115</v>
      </c>
      <c r="W2109" s="2" t="s">
        <v>116</v>
      </c>
      <c r="X2109" s="2" t="s">
        <v>769</v>
      </c>
      <c r="Y2109" s="2" t="s">
        <v>118</v>
      </c>
      <c r="Z2109" s="2" t="s">
        <v>119</v>
      </c>
      <c r="AA2109" s="2" t="s">
        <v>770</v>
      </c>
      <c r="AB2109" s="2" t="s">
        <v>8443</v>
      </c>
      <c r="AC2109" s="2">
        <v>38.090000000000003</v>
      </c>
      <c r="AD2109" s="2">
        <v>90.47</v>
      </c>
      <c r="AE2109" s="2">
        <v>0</v>
      </c>
      <c r="AF2109" s="2" t="s">
        <v>5614</v>
      </c>
      <c r="AG2109" s="2" t="s">
        <v>194</v>
      </c>
      <c r="AH2109" s="2" t="s">
        <v>18347</v>
      </c>
      <c r="AI2109" s="2">
        <v>-0.56000000000000005</v>
      </c>
      <c r="AJ2109" s="2">
        <v>18.172781321688898</v>
      </c>
      <c r="AK2109" s="2">
        <v>18.097664801382599</v>
      </c>
      <c r="AL2109" s="2">
        <v>18.212822605691301</v>
      </c>
      <c r="AM2109" s="2">
        <v>18.221853391885301</v>
      </c>
      <c r="AN2109" s="2">
        <v>18.353164662607899</v>
      </c>
      <c r="AO2109" s="2">
        <v>17.930970708053302</v>
      </c>
      <c r="AP2109" s="2">
        <v>18.128433865446802</v>
      </c>
      <c r="AQ2109" s="2">
        <v>18.094571650727602</v>
      </c>
      <c r="AR2109" s="2">
        <v>16.245165687650299</v>
      </c>
      <c r="AS2109" s="2">
        <v>17.178677395957099</v>
      </c>
      <c r="AT2109" s="2">
        <v>17.739335103626999</v>
      </c>
      <c r="AU2109" s="2">
        <v>17.396796827845201</v>
      </c>
      <c r="AV2109" s="2">
        <v>17.973114639899201</v>
      </c>
      <c r="AW2109" s="2">
        <v>17.798732448389199</v>
      </c>
      <c r="AX2109" s="2">
        <v>17.5199768779629</v>
      </c>
      <c r="AY2109" s="2">
        <v>18.026846733203001</v>
      </c>
      <c r="AZ2109" s="2">
        <v>17.591264250657801</v>
      </c>
      <c r="BA2109" s="2">
        <v>17.505914726119101</v>
      </c>
      <c r="BB2109" s="2">
        <v>18.4050753397607</v>
      </c>
      <c r="BC2109" s="2">
        <v>18.480450294184902</v>
      </c>
      <c r="BD2109" s="2">
        <v>17.6610088867521</v>
      </c>
      <c r="BE2109" s="2">
        <v>18.693402149846399</v>
      </c>
      <c r="BF2109" s="2">
        <v>18.128056265123099</v>
      </c>
      <c r="BG2109" s="2">
        <v>18.329414674514702</v>
      </c>
      <c r="BH2109" s="2">
        <v>18.124977193505199</v>
      </c>
      <c r="BI2109" s="2">
        <v>17.889435931454301</v>
      </c>
      <c r="BJ2109" s="2">
        <v>18.292862119746701</v>
      </c>
      <c r="BK2109" s="2">
        <v>17.7990308155861</v>
      </c>
      <c r="BL2109" s="2">
        <v>17.836636355553299</v>
      </c>
      <c r="BM2109" s="2">
        <v>18.571962164754598</v>
      </c>
      <c r="BN2109" s="2">
        <v>18.064483749284001</v>
      </c>
      <c r="BO2109" s="2">
        <v>17.7611089575413</v>
      </c>
      <c r="BP2109" s="2">
        <v>17.8387433978682</v>
      </c>
      <c r="BQ2109" s="2">
        <v>18.109803521891202</v>
      </c>
      <c r="BR2109" s="2">
        <v>18.204405220957799</v>
      </c>
      <c r="BS2109" s="2">
        <v>17.7899472397662</v>
      </c>
      <c r="BT2109" s="2">
        <v>17.904773313064901</v>
      </c>
      <c r="BU2109" s="2">
        <v>17.331092671359698</v>
      </c>
      <c r="BV2109" s="2">
        <v>18.180840594551501</v>
      </c>
      <c r="BW2109" s="2">
        <v>17.572242503167399</v>
      </c>
      <c r="BX2109" s="2">
        <v>18.2283845016977</v>
      </c>
      <c r="BY2109" s="2">
        <v>18.625574689872</v>
      </c>
      <c r="BZ2109" s="2">
        <v>18.3969815765197</v>
      </c>
      <c r="CA2109" s="2">
        <v>18.4291692451696</v>
      </c>
      <c r="CB2109" s="2">
        <v>17.994008689239301</v>
      </c>
      <c r="CC2109" s="2">
        <v>17.571151345911002</v>
      </c>
      <c r="CD2109" s="2">
        <v>18.341287780693602</v>
      </c>
      <c r="CE2109" s="2">
        <v>18.171881091089599</v>
      </c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</row>
    <row r="2110" spans="1:97">
      <c r="A2110" s="2" t="s">
        <v>18348</v>
      </c>
      <c r="B2110" s="2">
        <v>425.08008999999998</v>
      </c>
      <c r="C2110" s="2">
        <v>9.218</v>
      </c>
      <c r="D2110" s="2" t="s">
        <v>146</v>
      </c>
      <c r="E2110" s="2" t="s">
        <v>18349</v>
      </c>
      <c r="F2110" s="2"/>
      <c r="G2110" s="2">
        <v>594797</v>
      </c>
      <c r="H2110" s="3" t="str">
        <f>HYPERLINK("https://cloud.oebiotech.com/#/lm/network/594797", "https://cloud.oebiotech.com/#/lm/network/594797")</f>
        <v>https://cloud.oebiotech.com/#/lm/network/594797</v>
      </c>
      <c r="I2110" s="2"/>
      <c r="J2110" s="2"/>
      <c r="K2110" s="2"/>
      <c r="L2110" s="2">
        <v>4247235</v>
      </c>
      <c r="M2110" s="2"/>
      <c r="N2110" s="2"/>
      <c r="O2110" s="2"/>
      <c r="P2110" s="2"/>
      <c r="Q2110" s="2"/>
      <c r="R2110" s="2"/>
      <c r="S2110" s="2"/>
      <c r="T2110" s="2" t="s">
        <v>18350</v>
      </c>
      <c r="U2110" s="2" t="s">
        <v>18351</v>
      </c>
      <c r="V2110" s="2" t="s">
        <v>115</v>
      </c>
      <c r="W2110" s="2" t="s">
        <v>116</v>
      </c>
      <c r="X2110" s="2" t="s">
        <v>117</v>
      </c>
      <c r="Y2110" s="2" t="s">
        <v>118</v>
      </c>
      <c r="Z2110" s="2" t="s">
        <v>119</v>
      </c>
      <c r="AA2110" s="2" t="s">
        <v>120</v>
      </c>
      <c r="AB2110" s="2" t="s">
        <v>8443</v>
      </c>
      <c r="AC2110" s="2">
        <v>38.090000000000003</v>
      </c>
      <c r="AD2110" s="2">
        <v>91.34</v>
      </c>
      <c r="AE2110" s="2">
        <v>0</v>
      </c>
      <c r="AF2110" s="2" t="s">
        <v>18352</v>
      </c>
      <c r="AG2110" s="2" t="s">
        <v>194</v>
      </c>
      <c r="AH2110" s="2" t="s">
        <v>12280</v>
      </c>
      <c r="AI2110" s="2">
        <v>1.18</v>
      </c>
      <c r="AJ2110" s="2">
        <v>19.426308883975501</v>
      </c>
      <c r="AK2110" s="2">
        <v>19.0197643171356</v>
      </c>
      <c r="AL2110" s="2">
        <v>19.125020191267701</v>
      </c>
      <c r="AM2110" s="2">
        <v>19.315292743553901</v>
      </c>
      <c r="AN2110" s="2">
        <v>19.263475760453701</v>
      </c>
      <c r="AO2110" s="2">
        <v>19.077938430204501</v>
      </c>
      <c r="AP2110" s="2">
        <v>19.552150363144499</v>
      </c>
      <c r="AQ2110" s="2">
        <v>19.367153812539001</v>
      </c>
      <c r="AR2110" s="2">
        <v>19.5955500839172</v>
      </c>
      <c r="AS2110" s="2">
        <v>18.250356576488301</v>
      </c>
      <c r="AT2110" s="2">
        <v>18.633927880594602</v>
      </c>
      <c r="AU2110" s="2">
        <v>19.3258816309067</v>
      </c>
      <c r="AV2110" s="2">
        <v>19.287378154056899</v>
      </c>
      <c r="AW2110" s="2">
        <v>19.159071106434801</v>
      </c>
      <c r="AX2110" s="2">
        <v>18.556684763917399</v>
      </c>
      <c r="AY2110" s="2">
        <v>19.105939830922601</v>
      </c>
      <c r="AZ2110" s="2">
        <v>18.242653812356501</v>
      </c>
      <c r="BA2110" s="2">
        <v>18.923350033156801</v>
      </c>
      <c r="BB2110" s="2">
        <v>19.162624525346899</v>
      </c>
      <c r="BC2110" s="2">
        <v>19.879268355576102</v>
      </c>
      <c r="BD2110" s="2">
        <v>19.157267606470299</v>
      </c>
      <c r="BE2110" s="2">
        <v>19.488986717877602</v>
      </c>
      <c r="BF2110" s="2">
        <v>18.686533731274501</v>
      </c>
      <c r="BG2110" s="2">
        <v>18.412803022202201</v>
      </c>
      <c r="BH2110" s="2">
        <v>20.515953905448001</v>
      </c>
      <c r="BI2110" s="2">
        <v>18.124184886854302</v>
      </c>
      <c r="BJ2110" s="2">
        <v>18.970761693339199</v>
      </c>
      <c r="BK2110" s="2">
        <v>19.496497427643099</v>
      </c>
      <c r="BL2110" s="2">
        <v>18.334346619510001</v>
      </c>
      <c r="BM2110" s="2">
        <v>19.443310689561098</v>
      </c>
      <c r="BN2110" s="2">
        <v>19.927057270654501</v>
      </c>
      <c r="BO2110" s="2">
        <v>20.377893030457798</v>
      </c>
      <c r="BP2110" s="2">
        <v>17.383091003247301</v>
      </c>
      <c r="BQ2110" s="2">
        <v>19.679856565473099</v>
      </c>
      <c r="BR2110" s="2">
        <v>18.8011621618706</v>
      </c>
      <c r="BS2110" s="2">
        <v>18.957169224103598</v>
      </c>
      <c r="BT2110" s="2">
        <v>18.941629759827201</v>
      </c>
      <c r="BU2110" s="2">
        <v>18.870890215077999</v>
      </c>
      <c r="BV2110" s="2">
        <v>19.183164377046101</v>
      </c>
      <c r="BW2110" s="2">
        <v>17.712299546323202</v>
      </c>
      <c r="BX2110" s="2">
        <v>18.587177770093401</v>
      </c>
      <c r="BY2110" s="2">
        <v>20.3100745438609</v>
      </c>
      <c r="BZ2110" s="2">
        <v>18.713777458150702</v>
      </c>
      <c r="CA2110" s="2">
        <v>18.2381950246122</v>
      </c>
      <c r="CB2110" s="2">
        <v>18.332613451557499</v>
      </c>
      <c r="CC2110" s="2">
        <v>19.006941663484699</v>
      </c>
      <c r="CD2110" s="2">
        <v>19.576940062401899</v>
      </c>
      <c r="CE2110" s="2">
        <v>19.531651750125999</v>
      </c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</row>
    <row r="2111" spans="1:97">
      <c r="A2111" s="2" t="s">
        <v>18353</v>
      </c>
      <c r="B2111" s="2">
        <v>286.30991</v>
      </c>
      <c r="C2111" s="2">
        <v>9.8309999999999995</v>
      </c>
      <c r="D2111" s="2" t="s">
        <v>84</v>
      </c>
      <c r="E2111" s="2" t="s">
        <v>18354</v>
      </c>
      <c r="F2111" s="2" t="s">
        <v>18355</v>
      </c>
      <c r="G2111" s="2">
        <v>202818</v>
      </c>
      <c r="H2111" s="3" t="str">
        <f>HYPERLINK("https://cloud.oebiotech.com/#/lm/network/202818", "https://cloud.oebiotech.com/#/lm/network/202818")</f>
        <v>https://cloud.oebiotech.com/#/lm/network/202818</v>
      </c>
      <c r="I2111" s="2" t="s">
        <v>18356</v>
      </c>
      <c r="J2111" s="2"/>
      <c r="K2111" s="2"/>
      <c r="L2111" s="2">
        <v>8927</v>
      </c>
      <c r="M2111" s="2"/>
      <c r="N2111" s="2"/>
      <c r="O2111" s="2"/>
      <c r="P2111" s="2"/>
      <c r="Q2111" s="2"/>
      <c r="R2111" s="2"/>
      <c r="S2111" s="2"/>
      <c r="T2111" s="2" t="s">
        <v>18357</v>
      </c>
      <c r="U2111" s="2" t="s">
        <v>18358</v>
      </c>
      <c r="V2111" s="2" t="s">
        <v>95</v>
      </c>
      <c r="W2111" s="2" t="s">
        <v>96</v>
      </c>
      <c r="X2111" s="2" t="s">
        <v>353</v>
      </c>
      <c r="Y2111" s="2" t="s">
        <v>98</v>
      </c>
      <c r="Z2111" s="2" t="s">
        <v>99</v>
      </c>
      <c r="AA2111" s="2" t="s">
        <v>354</v>
      </c>
      <c r="AB2111" s="2" t="s">
        <v>8443</v>
      </c>
      <c r="AC2111" s="2">
        <v>38.08</v>
      </c>
      <c r="AD2111" s="2">
        <v>94.17</v>
      </c>
      <c r="AE2111" s="2">
        <v>0</v>
      </c>
      <c r="AF2111" s="2" t="s">
        <v>18359</v>
      </c>
      <c r="AG2111" s="2" t="s">
        <v>132</v>
      </c>
      <c r="AH2111" s="2" t="s">
        <v>3897</v>
      </c>
      <c r="AI2111" s="2">
        <v>1.75</v>
      </c>
      <c r="AJ2111" s="2">
        <v>20.670415906696999</v>
      </c>
      <c r="AK2111" s="2">
        <v>20.8196508155802</v>
      </c>
      <c r="AL2111" s="2">
        <v>20.7819821849322</v>
      </c>
      <c r="AM2111" s="2">
        <v>20.757128728057499</v>
      </c>
      <c r="AN2111" s="2">
        <v>20.825804039436299</v>
      </c>
      <c r="AO2111" s="2">
        <v>20.893811267891</v>
      </c>
      <c r="AP2111" s="2">
        <v>20.830637188862902</v>
      </c>
      <c r="AQ2111" s="2">
        <v>20.867244550538299</v>
      </c>
      <c r="AR2111" s="2">
        <v>20.3798369212019</v>
      </c>
      <c r="AS2111" s="2">
        <v>19.9926288605289</v>
      </c>
      <c r="AT2111" s="2">
        <v>20.484847070197301</v>
      </c>
      <c r="AU2111" s="2">
        <v>19.978699581771199</v>
      </c>
      <c r="AV2111" s="2">
        <v>19.4550129974016</v>
      </c>
      <c r="AW2111" s="2">
        <v>19.580007044976799</v>
      </c>
      <c r="AX2111" s="2">
        <v>19.468867240968098</v>
      </c>
      <c r="AY2111" s="2">
        <v>19.372676856918901</v>
      </c>
      <c r="AZ2111" s="2">
        <v>19.909856513888201</v>
      </c>
      <c r="BA2111" s="2">
        <v>19.2485729289243</v>
      </c>
      <c r="BB2111" s="2">
        <v>19.7825208372325</v>
      </c>
      <c r="BC2111" s="2">
        <v>19.415204250899201</v>
      </c>
      <c r="BD2111" s="2">
        <v>19.692432275826</v>
      </c>
      <c r="BE2111" s="2">
        <v>20.247947615359902</v>
      </c>
      <c r="BF2111" s="2">
        <v>19.6062871473613</v>
      </c>
      <c r="BG2111" s="2">
        <v>19.724549790817601</v>
      </c>
      <c r="BH2111" s="2">
        <v>19.332208052320802</v>
      </c>
      <c r="BI2111" s="2">
        <v>20.353161108129001</v>
      </c>
      <c r="BJ2111" s="2">
        <v>19.8897871231067</v>
      </c>
      <c r="BK2111" s="2">
        <v>19.568657079045</v>
      </c>
      <c r="BL2111" s="2">
        <v>19.286510925959401</v>
      </c>
      <c r="BM2111" s="2">
        <v>19.076167156961102</v>
      </c>
      <c r="BN2111" s="2">
        <v>19.680847921902799</v>
      </c>
      <c r="BO2111" s="2">
        <v>20.1975494580707</v>
      </c>
      <c r="BP2111" s="2">
        <v>19.328685882821901</v>
      </c>
      <c r="BQ2111" s="2">
        <v>19.580375285558901</v>
      </c>
      <c r="BR2111" s="2">
        <v>19.955154585631501</v>
      </c>
      <c r="BS2111" s="2">
        <v>19.658389866159698</v>
      </c>
      <c r="BT2111" s="2">
        <v>19.6020430921402</v>
      </c>
      <c r="BU2111" s="2">
        <v>19.605028750134</v>
      </c>
      <c r="BV2111" s="2">
        <v>19.283007142153799</v>
      </c>
      <c r="BW2111" s="2">
        <v>19.581714033507598</v>
      </c>
      <c r="BX2111" s="2">
        <v>19.0202642555364</v>
      </c>
      <c r="BY2111" s="2">
        <v>19.640946417076801</v>
      </c>
      <c r="BZ2111" s="2">
        <v>20.631076769321201</v>
      </c>
      <c r="CA2111" s="2">
        <v>19.8021549960961</v>
      </c>
      <c r="CB2111" s="2">
        <v>19.716197209120502</v>
      </c>
      <c r="CC2111" s="2">
        <v>19.350683532059701</v>
      </c>
      <c r="CD2111" s="2">
        <v>19.501430786701899</v>
      </c>
      <c r="CE2111" s="2">
        <v>19.759197015563299</v>
      </c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</row>
    <row r="2112" spans="1:97">
      <c r="A2112" s="2" t="s">
        <v>18360</v>
      </c>
      <c r="B2112" s="2">
        <v>100.00376</v>
      </c>
      <c r="C2112" s="2">
        <v>15.263</v>
      </c>
      <c r="D2112" s="2" t="s">
        <v>146</v>
      </c>
      <c r="E2112" s="2" t="s">
        <v>18361</v>
      </c>
      <c r="F2112" s="2" t="s">
        <v>18362</v>
      </c>
      <c r="G2112" s="2">
        <v>205360</v>
      </c>
      <c r="H2112" s="3" t="str">
        <f>HYPERLINK("https://cloud.oebiotech.com/#/lm/network/205360", "https://cloud.oebiotech.com/#/lm/network/205360")</f>
        <v>https://cloud.oebiotech.com/#/lm/network/205360</v>
      </c>
      <c r="I2112" s="2" t="s">
        <v>18363</v>
      </c>
      <c r="J2112" s="2">
        <v>268833</v>
      </c>
      <c r="K2112" s="2"/>
      <c r="L2112" s="2">
        <v>3843063</v>
      </c>
      <c r="M2112" s="2"/>
      <c r="N2112" s="2"/>
      <c r="O2112" s="2"/>
      <c r="P2112" s="2"/>
      <c r="Q2112" s="2"/>
      <c r="R2112" s="2"/>
      <c r="S2112" s="2"/>
      <c r="T2112" s="2" t="s">
        <v>18364</v>
      </c>
      <c r="U2112" s="2" t="s">
        <v>18365</v>
      </c>
      <c r="V2112" s="2" t="s">
        <v>166</v>
      </c>
      <c r="W2112" s="2" t="s">
        <v>167</v>
      </c>
      <c r="X2112" s="2" t="s">
        <v>16162</v>
      </c>
      <c r="Y2112" s="2" t="s">
        <v>169</v>
      </c>
      <c r="Z2112" s="2" t="s">
        <v>169</v>
      </c>
      <c r="AA2112" s="2" t="s">
        <v>16163</v>
      </c>
      <c r="AB2112" s="2" t="s">
        <v>8443</v>
      </c>
      <c r="AC2112" s="2">
        <v>38.08</v>
      </c>
      <c r="AD2112" s="2">
        <v>97.92</v>
      </c>
      <c r="AE2112" s="2">
        <v>0</v>
      </c>
      <c r="AF2112" s="2" t="s">
        <v>5614</v>
      </c>
      <c r="AG2112" s="2" t="s">
        <v>157</v>
      </c>
      <c r="AH2112" s="2" t="s">
        <v>18366</v>
      </c>
      <c r="AI2112" s="2">
        <v>2.5</v>
      </c>
      <c r="AJ2112" s="2">
        <v>19.5832049695127</v>
      </c>
      <c r="AK2112" s="2">
        <v>19.793014760801402</v>
      </c>
      <c r="AL2112" s="2">
        <v>19.7813536136936</v>
      </c>
      <c r="AM2112" s="2">
        <v>18.6000934437292</v>
      </c>
      <c r="AN2112" s="2">
        <v>19.469256300423101</v>
      </c>
      <c r="AO2112" s="2">
        <v>19.66869217611</v>
      </c>
      <c r="AP2112" s="2">
        <v>19.679364910222901</v>
      </c>
      <c r="AQ2112" s="2">
        <v>19.7020984169435</v>
      </c>
      <c r="AR2112" s="2">
        <v>19.871194893121299</v>
      </c>
      <c r="AS2112" s="2">
        <v>19.471072523633602</v>
      </c>
      <c r="AT2112" s="2">
        <v>19.691239709092802</v>
      </c>
      <c r="AU2112" s="2">
        <v>19.493946584019302</v>
      </c>
      <c r="AV2112" s="2">
        <v>19.814821713480399</v>
      </c>
      <c r="AW2112" s="2">
        <v>19.2420160503757</v>
      </c>
      <c r="AX2112" s="2">
        <v>19.4861451426939</v>
      </c>
      <c r="AY2112" s="2">
        <v>19.6700154199427</v>
      </c>
      <c r="AZ2112" s="2">
        <v>19.724918558454501</v>
      </c>
      <c r="BA2112" s="2">
        <v>19.8247771277968</v>
      </c>
      <c r="BB2112" s="2">
        <v>19.6193926624859</v>
      </c>
      <c r="BC2112" s="2">
        <v>19.640514628912999</v>
      </c>
      <c r="BD2112" s="2">
        <v>19.647482370221301</v>
      </c>
      <c r="BE2112" s="2">
        <v>19.681689011996699</v>
      </c>
      <c r="BF2112" s="2">
        <v>19.641689711232299</v>
      </c>
      <c r="BG2112" s="2">
        <v>19.764988166952701</v>
      </c>
      <c r="BH2112" s="2">
        <v>19.7946065763688</v>
      </c>
      <c r="BI2112" s="2">
        <v>19.773722365939499</v>
      </c>
      <c r="BJ2112" s="2">
        <v>19.792912911052799</v>
      </c>
      <c r="BK2112" s="2">
        <v>19.5789066776229</v>
      </c>
      <c r="BL2112" s="2">
        <v>19.718506437343301</v>
      </c>
      <c r="BM2112" s="2">
        <v>19.719363317113501</v>
      </c>
      <c r="BN2112" s="2">
        <v>19.671673431613598</v>
      </c>
      <c r="BO2112" s="2">
        <v>19.686870242906199</v>
      </c>
      <c r="BP2112" s="2">
        <v>19.959976371103199</v>
      </c>
      <c r="BQ2112" s="2">
        <v>19.856535772839599</v>
      </c>
      <c r="BR2112" s="2">
        <v>19.8094168151902</v>
      </c>
      <c r="BS2112" s="2">
        <v>19.430516011209999</v>
      </c>
      <c r="BT2112" s="2">
        <v>19.023857478142901</v>
      </c>
      <c r="BU2112" s="2">
        <v>19.647517485855399</v>
      </c>
      <c r="BV2112" s="2">
        <v>19.484719421794701</v>
      </c>
      <c r="BW2112" s="2">
        <v>18.825354943855402</v>
      </c>
      <c r="BX2112" s="2">
        <v>19.819244730277699</v>
      </c>
      <c r="BY2112" s="2">
        <v>19.837954895292199</v>
      </c>
      <c r="BZ2112" s="2">
        <v>19.700683186928899</v>
      </c>
      <c r="CA2112" s="2">
        <v>19.827121251638101</v>
      </c>
      <c r="CB2112" s="2">
        <v>19.626876387079001</v>
      </c>
      <c r="CC2112" s="2">
        <v>19.649007627941799</v>
      </c>
      <c r="CD2112" s="2">
        <v>19.338257109065601</v>
      </c>
      <c r="CE2112" s="2">
        <v>19.4775768590276</v>
      </c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</row>
    <row r="2113" spans="1:97">
      <c r="A2113" s="2" t="s">
        <v>18367</v>
      </c>
      <c r="B2113" s="2">
        <v>323.17095</v>
      </c>
      <c r="C2113" s="2">
        <v>11.345000000000001</v>
      </c>
      <c r="D2113" s="2" t="s">
        <v>146</v>
      </c>
      <c r="E2113" s="2" t="s">
        <v>18368</v>
      </c>
      <c r="F2113" s="2" t="s">
        <v>18369</v>
      </c>
      <c r="G2113" s="2">
        <v>81938</v>
      </c>
      <c r="H2113" s="3" t="str">
        <f>HYPERLINK("https://cloud.oebiotech.com/#/lm/network/81938", "https://cloud.oebiotech.com/#/lm/network/81938")</f>
        <v>https://cloud.oebiotech.com/#/lm/network/81938</v>
      </c>
      <c r="I2113" s="2" t="s">
        <v>18370</v>
      </c>
      <c r="J2113" s="2"/>
      <c r="K2113" s="2"/>
      <c r="L2113" s="2">
        <v>21286131</v>
      </c>
      <c r="M2113" s="2"/>
      <c r="N2113" s="2"/>
      <c r="O2113" s="2"/>
      <c r="P2113" s="2"/>
      <c r="Q2113" s="2"/>
      <c r="R2113" s="2"/>
      <c r="S2113" s="2"/>
      <c r="T2113" s="2" t="s">
        <v>18371</v>
      </c>
      <c r="U2113" s="2" t="s">
        <v>18372</v>
      </c>
      <c r="V2113" s="2" t="s">
        <v>115</v>
      </c>
      <c r="W2113" s="2" t="s">
        <v>116</v>
      </c>
      <c r="X2113" s="2" t="s">
        <v>2388</v>
      </c>
      <c r="Y2113" s="2" t="s">
        <v>118</v>
      </c>
      <c r="Z2113" s="2" t="s">
        <v>119</v>
      </c>
      <c r="AA2113" s="2" t="s">
        <v>2389</v>
      </c>
      <c r="AB2113" s="2" t="s">
        <v>8443</v>
      </c>
      <c r="AC2113" s="2">
        <v>38.08</v>
      </c>
      <c r="AD2113" s="2">
        <v>90.42</v>
      </c>
      <c r="AE2113" s="2">
        <v>0</v>
      </c>
      <c r="AF2113" s="2" t="s">
        <v>5614</v>
      </c>
      <c r="AG2113" s="2" t="s">
        <v>3880</v>
      </c>
      <c r="AH2113" s="2" t="s">
        <v>18373</v>
      </c>
      <c r="AI2113" s="2">
        <v>0.31</v>
      </c>
      <c r="AJ2113" s="2">
        <v>17.5214940125034</v>
      </c>
      <c r="AK2113" s="2">
        <v>17.310938008121699</v>
      </c>
      <c r="AL2113" s="2">
        <v>17.604240182646201</v>
      </c>
      <c r="AM2113" s="2">
        <v>17.542921069579201</v>
      </c>
      <c r="AN2113" s="2">
        <v>17.373951551197099</v>
      </c>
      <c r="AO2113" s="2">
        <v>17.6406299792148</v>
      </c>
      <c r="AP2113" s="2">
        <v>17.671219277104999</v>
      </c>
      <c r="AQ2113" s="2">
        <v>17.489220156208301</v>
      </c>
      <c r="AR2113" s="2">
        <v>9.6233145402724691</v>
      </c>
      <c r="AS2113" s="2">
        <v>13.478145192710899</v>
      </c>
      <c r="AT2113" s="2">
        <v>9.6233145402724691</v>
      </c>
      <c r="AU2113" s="2">
        <v>9.6233145402724691</v>
      </c>
      <c r="AV2113" s="2">
        <v>12.216767074142799</v>
      </c>
      <c r="AW2113" s="2">
        <v>9.6233145402724691</v>
      </c>
      <c r="AX2113" s="2">
        <v>12.9984793675678</v>
      </c>
      <c r="AY2113" s="2">
        <v>12.955422879495</v>
      </c>
      <c r="AZ2113" s="2">
        <v>11.5720464607982</v>
      </c>
      <c r="BA2113" s="2">
        <v>13.518686346128399</v>
      </c>
      <c r="BB2113" s="2">
        <v>9.6233145402724691</v>
      </c>
      <c r="BC2113" s="2">
        <v>9.6233145402724691</v>
      </c>
      <c r="BD2113" s="2">
        <v>14.034351919167699</v>
      </c>
      <c r="BE2113" s="2">
        <v>13.464319832945</v>
      </c>
      <c r="BF2113" s="2">
        <v>11.961333926861601</v>
      </c>
      <c r="BG2113" s="2">
        <v>14.181132840619499</v>
      </c>
      <c r="BH2113" s="2">
        <v>13.282952297919101</v>
      </c>
      <c r="BI2113" s="2">
        <v>11.984489666078399</v>
      </c>
      <c r="BJ2113" s="2">
        <v>12.1613901589763</v>
      </c>
      <c r="BK2113" s="2">
        <v>9.6233145402724691</v>
      </c>
      <c r="BL2113" s="2">
        <v>9.6233145402724691</v>
      </c>
      <c r="BM2113" s="2">
        <v>12.610360488100801</v>
      </c>
      <c r="BN2113" s="2">
        <v>14.215064260057</v>
      </c>
      <c r="BO2113" s="2">
        <v>12.329790733334001</v>
      </c>
      <c r="BP2113" s="2">
        <v>13.889006691699301</v>
      </c>
      <c r="BQ2113" s="2">
        <v>13.4874481623158</v>
      </c>
      <c r="BR2113" s="2">
        <v>13.6818961290115</v>
      </c>
      <c r="BS2113" s="2">
        <v>12.1288933078414</v>
      </c>
      <c r="BT2113" s="2">
        <v>9.6233145402724691</v>
      </c>
      <c r="BU2113" s="2">
        <v>13.325878820851401</v>
      </c>
      <c r="BV2113" s="2">
        <v>16.027668680319501</v>
      </c>
      <c r="BW2113" s="2">
        <v>13.1363743754894</v>
      </c>
      <c r="BX2113" s="2">
        <v>11.8480751756471</v>
      </c>
      <c r="BY2113" s="2">
        <v>14.107705847973399</v>
      </c>
      <c r="BZ2113" s="2">
        <v>12.1585560437008</v>
      </c>
      <c r="CA2113" s="2">
        <v>14.020997295573601</v>
      </c>
      <c r="CB2113" s="2">
        <v>14.366991491338499</v>
      </c>
      <c r="CC2113" s="2">
        <v>9.6233145402724691</v>
      </c>
      <c r="CD2113" s="2">
        <v>12.5696325428405</v>
      </c>
      <c r="CE2113" s="2">
        <v>11.960787523420899</v>
      </c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</row>
    <row r="2114" spans="1:97">
      <c r="A2114" s="2" t="s">
        <v>18374</v>
      </c>
      <c r="B2114" s="2">
        <v>218.1208</v>
      </c>
      <c r="C2114" s="2">
        <v>5.5570000000000004</v>
      </c>
      <c r="D2114" s="2" t="s">
        <v>84</v>
      </c>
      <c r="E2114" s="2" t="s">
        <v>18375</v>
      </c>
      <c r="F2114" s="2" t="s">
        <v>18376</v>
      </c>
      <c r="G2114" s="2">
        <v>204356</v>
      </c>
      <c r="H2114" s="3" t="str">
        <f>HYPERLINK("https://cloud.oebiotech.com/#/lm/network/204356", "https://cloud.oebiotech.com/#/lm/network/204356")</f>
        <v>https://cloud.oebiotech.com/#/lm/network/204356</v>
      </c>
      <c r="I2114" s="2" t="s">
        <v>18377</v>
      </c>
      <c r="J2114" s="2"/>
      <c r="K2114" s="2"/>
      <c r="L2114" s="2">
        <v>3021749</v>
      </c>
      <c r="M2114" s="2"/>
      <c r="N2114" s="2"/>
      <c r="O2114" s="2"/>
      <c r="P2114" s="2"/>
      <c r="Q2114" s="2"/>
      <c r="R2114" s="2"/>
      <c r="S2114" s="2"/>
      <c r="T2114" s="2" t="s">
        <v>18378</v>
      </c>
      <c r="U2114" s="2" t="s">
        <v>18379</v>
      </c>
      <c r="V2114" s="2" t="s">
        <v>95</v>
      </c>
      <c r="W2114" s="2" t="s">
        <v>96</v>
      </c>
      <c r="X2114" s="2" t="s">
        <v>141</v>
      </c>
      <c r="Y2114" s="2" t="s">
        <v>98</v>
      </c>
      <c r="Z2114" s="2" t="s">
        <v>99</v>
      </c>
      <c r="AA2114" s="2" t="s">
        <v>142</v>
      </c>
      <c r="AB2114" s="2" t="s">
        <v>8443</v>
      </c>
      <c r="AC2114" s="2">
        <v>38.08</v>
      </c>
      <c r="AD2114" s="2">
        <v>90.39</v>
      </c>
      <c r="AE2114" s="2">
        <v>0</v>
      </c>
      <c r="AF2114" s="2" t="s">
        <v>5614</v>
      </c>
      <c r="AG2114" s="2" t="s">
        <v>103</v>
      </c>
      <c r="AH2114" s="2" t="s">
        <v>18380</v>
      </c>
      <c r="AI2114" s="2">
        <v>0.46</v>
      </c>
      <c r="AJ2114" s="2">
        <v>18.598486697658299</v>
      </c>
      <c r="AK2114" s="2">
        <v>18.509235895168501</v>
      </c>
      <c r="AL2114" s="2">
        <v>18.384515985001599</v>
      </c>
      <c r="AM2114" s="2">
        <v>18.495131476348099</v>
      </c>
      <c r="AN2114" s="2">
        <v>18.5097726078729</v>
      </c>
      <c r="AO2114" s="2">
        <v>18.583670337102699</v>
      </c>
      <c r="AP2114" s="2">
        <v>18.573044089592599</v>
      </c>
      <c r="AQ2114" s="2">
        <v>18.876647576974499</v>
      </c>
      <c r="AR2114" s="2">
        <v>18.206951288619901</v>
      </c>
      <c r="AS2114" s="2">
        <v>18.016682026762702</v>
      </c>
      <c r="AT2114" s="2">
        <v>18.737782800338799</v>
      </c>
      <c r="AU2114" s="2">
        <v>19.448740596445699</v>
      </c>
      <c r="AV2114" s="2">
        <v>18.727351273643801</v>
      </c>
      <c r="AW2114" s="2">
        <v>18.916867416275601</v>
      </c>
      <c r="AX2114" s="2">
        <v>17.903084180473002</v>
      </c>
      <c r="AY2114" s="2">
        <v>18.405527627947301</v>
      </c>
      <c r="AZ2114" s="2">
        <v>18.474694006233399</v>
      </c>
      <c r="BA2114" s="2">
        <v>18.3792448767419</v>
      </c>
      <c r="BB2114" s="2">
        <v>18.101256975028399</v>
      </c>
      <c r="BC2114" s="2">
        <v>19.716698726067701</v>
      </c>
      <c r="BD2114" s="2">
        <v>18.390656208459699</v>
      </c>
      <c r="BE2114" s="2">
        <v>17.947186938676001</v>
      </c>
      <c r="BF2114" s="2">
        <v>18.671180223439499</v>
      </c>
      <c r="BG2114" s="2">
        <v>18.3313473979258</v>
      </c>
      <c r="BH2114" s="2">
        <v>18.0510961728423</v>
      </c>
      <c r="BI2114" s="2">
        <v>17.8488796947072</v>
      </c>
      <c r="BJ2114" s="2">
        <v>18.019427625452401</v>
      </c>
      <c r="BK2114" s="2">
        <v>18.178389515358099</v>
      </c>
      <c r="BL2114" s="2">
        <v>18.879323674923999</v>
      </c>
      <c r="BM2114" s="2">
        <v>18.502367060363198</v>
      </c>
      <c r="BN2114" s="2">
        <v>18.405435012666999</v>
      </c>
      <c r="BO2114" s="2">
        <v>18.369867170377599</v>
      </c>
      <c r="BP2114" s="2">
        <v>17.845184658790998</v>
      </c>
      <c r="BQ2114" s="2">
        <v>18.711478135749701</v>
      </c>
      <c r="BR2114" s="2">
        <v>18.281028196541801</v>
      </c>
      <c r="BS2114" s="2">
        <v>17.688411168859101</v>
      </c>
      <c r="BT2114" s="2">
        <v>18.221503010688899</v>
      </c>
      <c r="BU2114" s="2">
        <v>17.948871774036</v>
      </c>
      <c r="BV2114" s="2">
        <v>19.0544185217056</v>
      </c>
      <c r="BW2114" s="2">
        <v>18.391243967087501</v>
      </c>
      <c r="BX2114" s="2">
        <v>18.760427779933199</v>
      </c>
      <c r="BY2114" s="2">
        <v>17.400125445802399</v>
      </c>
      <c r="BZ2114" s="2">
        <v>18.568122458668402</v>
      </c>
      <c r="CA2114" s="2">
        <v>17.379116705941001</v>
      </c>
      <c r="CB2114" s="2">
        <v>18.027701505275498</v>
      </c>
      <c r="CC2114" s="2">
        <v>18.571541832714001</v>
      </c>
      <c r="CD2114" s="2">
        <v>16.718303423291399</v>
      </c>
      <c r="CE2114" s="2">
        <v>18.543013651985799</v>
      </c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</row>
    <row r="2115" spans="1:97">
      <c r="A2115" s="2" t="s">
        <v>18381</v>
      </c>
      <c r="B2115" s="2">
        <v>213.01242999999999</v>
      </c>
      <c r="C2115" s="2">
        <v>1.1040000000000001</v>
      </c>
      <c r="D2115" s="2" t="s">
        <v>146</v>
      </c>
      <c r="E2115" s="2" t="s">
        <v>18382</v>
      </c>
      <c r="F2115" s="2" t="s">
        <v>18383</v>
      </c>
      <c r="G2115" s="2">
        <v>255028</v>
      </c>
      <c r="H2115" s="3" t="str">
        <f>HYPERLINK("https://cloud.oebiotech.com/#/lm/network/255028", "https://cloud.oebiotech.com/#/lm/network/255028")</f>
        <v>https://cloud.oebiotech.com/#/lm/network/255028</v>
      </c>
      <c r="I2115" s="2" t="s">
        <v>18384</v>
      </c>
      <c r="J2115" s="2"/>
      <c r="K2115" s="2"/>
      <c r="L2115" s="2">
        <v>11195626</v>
      </c>
      <c r="M2115" s="2"/>
      <c r="N2115" s="2"/>
      <c r="O2115" s="2"/>
      <c r="P2115" s="2"/>
      <c r="Q2115" s="2"/>
      <c r="R2115" s="2"/>
      <c r="S2115" s="2"/>
      <c r="T2115" s="2" t="s">
        <v>18385</v>
      </c>
      <c r="U2115" s="2" t="s">
        <v>18386</v>
      </c>
      <c r="V2115" s="2" t="s">
        <v>553</v>
      </c>
      <c r="W2115" s="2" t="s">
        <v>933</v>
      </c>
      <c r="X2115" s="2" t="s">
        <v>3434</v>
      </c>
      <c r="Y2115" s="2" t="s">
        <v>556</v>
      </c>
      <c r="Z2115" s="2" t="s">
        <v>935</v>
      </c>
      <c r="AA2115" s="2" t="s">
        <v>3435</v>
      </c>
      <c r="AB2115" s="2" t="s">
        <v>8443</v>
      </c>
      <c r="AC2115" s="2">
        <v>38.07</v>
      </c>
      <c r="AD2115" s="2">
        <v>90.33</v>
      </c>
      <c r="AE2115" s="2">
        <v>0</v>
      </c>
      <c r="AF2115" s="2" t="s">
        <v>5614</v>
      </c>
      <c r="AG2115" s="2" t="s">
        <v>993</v>
      </c>
      <c r="AH2115" s="2" t="s">
        <v>18387</v>
      </c>
      <c r="AI2115" s="2">
        <v>-0.47</v>
      </c>
      <c r="AJ2115" s="2">
        <v>19.206474243070499</v>
      </c>
      <c r="AK2115" s="2">
        <v>18.998015772455901</v>
      </c>
      <c r="AL2115" s="2">
        <v>19.109799033778</v>
      </c>
      <c r="AM2115" s="2">
        <v>18.222074648886199</v>
      </c>
      <c r="AN2115" s="2">
        <v>19.202510150180899</v>
      </c>
      <c r="AO2115" s="2">
        <v>19.224150093918201</v>
      </c>
      <c r="AP2115" s="2">
        <v>19.005813173537099</v>
      </c>
      <c r="AQ2115" s="2">
        <v>19.261756031451402</v>
      </c>
      <c r="AR2115" s="2">
        <v>18.916362284882201</v>
      </c>
      <c r="AS2115" s="2">
        <v>19.3503062109457</v>
      </c>
      <c r="AT2115" s="2">
        <v>19.290865862889699</v>
      </c>
      <c r="AU2115" s="2">
        <v>19.099150707593498</v>
      </c>
      <c r="AV2115" s="2">
        <v>19.358354156984301</v>
      </c>
      <c r="AW2115" s="2">
        <v>19.192960494038399</v>
      </c>
      <c r="AX2115" s="2">
        <v>19.1083061146124</v>
      </c>
      <c r="AY2115" s="2">
        <v>18.6568806265436</v>
      </c>
      <c r="AZ2115" s="2">
        <v>19.024305620179401</v>
      </c>
      <c r="BA2115" s="2">
        <v>18.781950074324499</v>
      </c>
      <c r="BB2115" s="2">
        <v>18.678699539640998</v>
      </c>
      <c r="BC2115" s="2">
        <v>19.004076964493901</v>
      </c>
      <c r="BD2115" s="2">
        <v>17.782687997673101</v>
      </c>
      <c r="BE2115" s="2">
        <v>18.777409344720901</v>
      </c>
      <c r="BF2115" s="2">
        <v>19.5800770670673</v>
      </c>
      <c r="BG2115" s="2">
        <v>19.350154913785499</v>
      </c>
      <c r="BH2115" s="2">
        <v>18.784569735216099</v>
      </c>
      <c r="BI2115" s="2">
        <v>18.724717910065401</v>
      </c>
      <c r="BJ2115" s="2">
        <v>19.548367627722499</v>
      </c>
      <c r="BK2115" s="2">
        <v>18.6362496251582</v>
      </c>
      <c r="BL2115" s="2">
        <v>18.0987260731448</v>
      </c>
      <c r="BM2115" s="2">
        <v>18.347449091927601</v>
      </c>
      <c r="BN2115" s="2">
        <v>19.057248418811302</v>
      </c>
      <c r="BO2115" s="2">
        <v>19.143896698036801</v>
      </c>
      <c r="BP2115" s="2">
        <v>19.609038691011801</v>
      </c>
      <c r="BQ2115" s="2">
        <v>19.269381579762001</v>
      </c>
      <c r="BR2115" s="2">
        <v>19.510422654704001</v>
      </c>
      <c r="BS2115" s="2">
        <v>19.0225589477058</v>
      </c>
      <c r="BT2115" s="2">
        <v>18.926398507929001</v>
      </c>
      <c r="BU2115" s="2">
        <v>20.112896627340898</v>
      </c>
      <c r="BV2115" s="2">
        <v>18.759578553487099</v>
      </c>
      <c r="BW2115" s="2">
        <v>18.757033960274502</v>
      </c>
      <c r="BX2115" s="2">
        <v>18.572764498931299</v>
      </c>
      <c r="BY2115" s="2">
        <v>19.230240232688399</v>
      </c>
      <c r="BZ2115" s="2">
        <v>18.780331632011801</v>
      </c>
      <c r="CA2115" s="2">
        <v>19.2074841570236</v>
      </c>
      <c r="CB2115" s="2">
        <v>19.1883581666225</v>
      </c>
      <c r="CC2115" s="2">
        <v>18.656272130303101</v>
      </c>
      <c r="CD2115" s="2">
        <v>19.7752308213025</v>
      </c>
      <c r="CE2115" s="2">
        <v>18.868365040141899</v>
      </c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</row>
    <row r="2116" spans="1:97">
      <c r="A2116" s="2" t="s">
        <v>18388</v>
      </c>
      <c r="B2116" s="2">
        <v>506.35951</v>
      </c>
      <c r="C2116" s="2">
        <v>10.565</v>
      </c>
      <c r="D2116" s="2" t="s">
        <v>84</v>
      </c>
      <c r="E2116" s="2" t="s">
        <v>18389</v>
      </c>
      <c r="F2116" s="2" t="s">
        <v>18390</v>
      </c>
      <c r="G2116" s="2">
        <v>39587</v>
      </c>
      <c r="H2116" s="3" t="str">
        <f>HYPERLINK("https://cloud.oebiotech.com/#/lm/network/39587", "https://cloud.oebiotech.com/#/lm/network/39587")</f>
        <v>https://cloud.oebiotech.com/#/lm/network/39587</v>
      </c>
      <c r="I2116" s="2"/>
      <c r="J2116" s="2">
        <v>63016</v>
      </c>
      <c r="K2116" s="2" t="s">
        <v>18391</v>
      </c>
      <c r="L2116" s="2">
        <v>10864091</v>
      </c>
      <c r="M2116" s="2"/>
      <c r="N2116" s="2"/>
      <c r="O2116" s="2"/>
      <c r="P2116" s="2">
        <v>85881</v>
      </c>
      <c r="Q2116" s="2"/>
      <c r="R2116" s="2"/>
      <c r="S2116" s="2" t="s">
        <v>18392</v>
      </c>
      <c r="T2116" s="2" t="s">
        <v>18393</v>
      </c>
      <c r="U2116" s="2" t="s">
        <v>18394</v>
      </c>
      <c r="V2116" s="2" t="s">
        <v>95</v>
      </c>
      <c r="W2116" s="2" t="s">
        <v>2361</v>
      </c>
      <c r="X2116" s="2" t="s">
        <v>2362</v>
      </c>
      <c r="Y2116" s="2" t="s">
        <v>98</v>
      </c>
      <c r="Z2116" s="2" t="s">
        <v>2363</v>
      </c>
      <c r="AA2116" s="2" t="s">
        <v>2364</v>
      </c>
      <c r="AB2116" s="2" t="s">
        <v>8443</v>
      </c>
      <c r="AC2116" s="2">
        <v>38.06</v>
      </c>
      <c r="AD2116" s="2">
        <v>95.17</v>
      </c>
      <c r="AE2116" s="2">
        <v>0</v>
      </c>
      <c r="AF2116" s="2" t="s">
        <v>5614</v>
      </c>
      <c r="AG2116" s="2" t="s">
        <v>103</v>
      </c>
      <c r="AH2116" s="2" t="s">
        <v>6953</v>
      </c>
      <c r="AI2116" s="2">
        <v>1.97</v>
      </c>
      <c r="AJ2116" s="2">
        <v>20.280662381818399</v>
      </c>
      <c r="AK2116" s="2">
        <v>20.2987210780792</v>
      </c>
      <c r="AL2116" s="2">
        <v>19.931378957882298</v>
      </c>
      <c r="AM2116" s="2">
        <v>20.3219029219111</v>
      </c>
      <c r="AN2116" s="2">
        <v>20.273912788845099</v>
      </c>
      <c r="AO2116" s="2">
        <v>19.992137318650101</v>
      </c>
      <c r="AP2116" s="2">
        <v>20.117790145148501</v>
      </c>
      <c r="AQ2116" s="2">
        <v>20.588754175218799</v>
      </c>
      <c r="AR2116" s="2">
        <v>20.0789420408687</v>
      </c>
      <c r="AS2116" s="2">
        <v>19.736169273623599</v>
      </c>
      <c r="AT2116" s="2">
        <v>20.008886353988199</v>
      </c>
      <c r="AU2116" s="2">
        <v>19.6003368424266</v>
      </c>
      <c r="AV2116" s="2">
        <v>20.262567340012101</v>
      </c>
      <c r="AW2116" s="2">
        <v>19.602406929654599</v>
      </c>
      <c r="AX2116" s="2">
        <v>20.1558249228198</v>
      </c>
      <c r="AY2116" s="2">
        <v>20.233769731258</v>
      </c>
      <c r="AZ2116" s="2">
        <v>20.307993223753201</v>
      </c>
      <c r="BA2116" s="2">
        <v>19.370630092694601</v>
      </c>
      <c r="BB2116" s="2">
        <v>19.902786414026799</v>
      </c>
      <c r="BC2116" s="2">
        <v>20.083519905156201</v>
      </c>
      <c r="BD2116" s="2">
        <v>19.8395542587234</v>
      </c>
      <c r="BE2116" s="2">
        <v>20.293090055202899</v>
      </c>
      <c r="BF2116" s="2">
        <v>19.810624176606201</v>
      </c>
      <c r="BG2116" s="2">
        <v>20.0981115746165</v>
      </c>
      <c r="BH2116" s="2">
        <v>21.184210140441799</v>
      </c>
      <c r="BI2116" s="2">
        <v>19.826568472172902</v>
      </c>
      <c r="BJ2116" s="2">
        <v>19.8688777035355</v>
      </c>
      <c r="BK2116" s="2">
        <v>20.133733783848999</v>
      </c>
      <c r="BL2116" s="2">
        <v>20.136579324481001</v>
      </c>
      <c r="BM2116" s="2">
        <v>20.469383485854099</v>
      </c>
      <c r="BN2116" s="2">
        <v>20.2781477535306</v>
      </c>
      <c r="BO2116" s="2">
        <v>20.420248280848501</v>
      </c>
      <c r="BP2116" s="2">
        <v>20.6349353719948</v>
      </c>
      <c r="BQ2116" s="2">
        <v>20.362557384716101</v>
      </c>
      <c r="BR2116" s="2">
        <v>20.441850074684801</v>
      </c>
      <c r="BS2116" s="2">
        <v>20.171579940585001</v>
      </c>
      <c r="BT2116" s="2">
        <v>20.570052087628099</v>
      </c>
      <c r="BU2116" s="2">
        <v>20.0781246760626</v>
      </c>
      <c r="BV2116" s="2">
        <v>20.452096081086999</v>
      </c>
      <c r="BW2116" s="2">
        <v>20.0407351693318</v>
      </c>
      <c r="BX2116" s="2">
        <v>19.851861961013899</v>
      </c>
      <c r="BY2116" s="2">
        <v>20.628936011090399</v>
      </c>
      <c r="BZ2116" s="2">
        <v>19.3034953321967</v>
      </c>
      <c r="CA2116" s="2">
        <v>20.141412436023099</v>
      </c>
      <c r="CB2116" s="2">
        <v>19.780817880698098</v>
      </c>
      <c r="CC2116" s="2">
        <v>19.2815826420007</v>
      </c>
      <c r="CD2116" s="2">
        <v>20.281529758451001</v>
      </c>
      <c r="CE2116" s="2">
        <v>20.122723316772898</v>
      </c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</row>
    <row r="2117" spans="1:97">
      <c r="A2117" s="2" t="s">
        <v>18395</v>
      </c>
      <c r="B2117" s="2">
        <v>205.01124999999999</v>
      </c>
      <c r="C2117" s="2">
        <v>5.6310000000000002</v>
      </c>
      <c r="D2117" s="2" t="s">
        <v>146</v>
      </c>
      <c r="E2117" s="2" t="s">
        <v>18396</v>
      </c>
      <c r="F2117" s="2" t="s">
        <v>18397</v>
      </c>
      <c r="G2117" s="2">
        <v>212403</v>
      </c>
      <c r="H2117" s="3" t="str">
        <f>HYPERLINK("https://cloud.oebiotech.com/#/lm/network/212403", "https://cloud.oebiotech.com/#/lm/network/212403")</f>
        <v>https://cloud.oebiotech.com/#/lm/network/212403</v>
      </c>
      <c r="I2117" s="2" t="s">
        <v>18398</v>
      </c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 t="s">
        <v>18399</v>
      </c>
      <c r="U2117" s="2" t="s">
        <v>18400</v>
      </c>
      <c r="V2117" s="2" t="s">
        <v>553</v>
      </c>
      <c r="W2117" s="2" t="s">
        <v>4891</v>
      </c>
      <c r="X2117" s="2" t="s">
        <v>18248</v>
      </c>
      <c r="Y2117" s="2" t="s">
        <v>556</v>
      </c>
      <c r="Z2117" s="2" t="s">
        <v>4893</v>
      </c>
      <c r="AA2117" s="2" t="s">
        <v>18249</v>
      </c>
      <c r="AB2117" s="2" t="s">
        <v>8443</v>
      </c>
      <c r="AC2117" s="2">
        <v>38.06</v>
      </c>
      <c r="AD2117" s="2">
        <v>90.32</v>
      </c>
      <c r="AE2117" s="2">
        <v>0</v>
      </c>
      <c r="AF2117" s="2" t="s">
        <v>18401</v>
      </c>
      <c r="AG2117" s="2" t="s">
        <v>3880</v>
      </c>
      <c r="AH2117" s="2" t="s">
        <v>18402</v>
      </c>
      <c r="AI2117" s="2">
        <v>-0.49</v>
      </c>
      <c r="AJ2117" s="2">
        <v>17.9818517615921</v>
      </c>
      <c r="AK2117" s="2">
        <v>17.831740576144998</v>
      </c>
      <c r="AL2117" s="2">
        <v>18.230345955097299</v>
      </c>
      <c r="AM2117" s="2">
        <v>18.256022284754302</v>
      </c>
      <c r="AN2117" s="2">
        <v>18.313514598611601</v>
      </c>
      <c r="AO2117" s="2">
        <v>18.323484641724701</v>
      </c>
      <c r="AP2117" s="2">
        <v>18.193333325904401</v>
      </c>
      <c r="AQ2117" s="2">
        <v>18.135638401950398</v>
      </c>
      <c r="AR2117" s="2">
        <v>16.2977662132792</v>
      </c>
      <c r="AS2117" s="2">
        <v>13.7462928193758</v>
      </c>
      <c r="AT2117" s="2">
        <v>13.3380260006887</v>
      </c>
      <c r="AU2117" s="2">
        <v>14.704732582139201</v>
      </c>
      <c r="AV2117" s="2">
        <v>16.291902008107201</v>
      </c>
      <c r="AW2117" s="2">
        <v>15.2692297042394</v>
      </c>
      <c r="AX2117" s="2">
        <v>14.4604571762018</v>
      </c>
      <c r="AY2117" s="2">
        <v>18.1854203949148</v>
      </c>
      <c r="AZ2117" s="2">
        <v>17.175413199999799</v>
      </c>
      <c r="BA2117" s="2">
        <v>13.0966344535363</v>
      </c>
      <c r="BB2117" s="2">
        <v>14.4353941954018</v>
      </c>
      <c r="BC2117" s="2">
        <v>18.471071729565399</v>
      </c>
      <c r="BD2117" s="2">
        <v>16.4854156629961</v>
      </c>
      <c r="BE2117" s="2">
        <v>15.8103333916587</v>
      </c>
      <c r="BF2117" s="2">
        <v>15.7935664794465</v>
      </c>
      <c r="BG2117" s="2">
        <v>18.093664681092399</v>
      </c>
      <c r="BH2117" s="2">
        <v>17.994117719953099</v>
      </c>
      <c r="BI2117" s="2">
        <v>18.658920457355102</v>
      </c>
      <c r="BJ2117" s="2">
        <v>16.429311273582002</v>
      </c>
      <c r="BK2117" s="2">
        <v>16.8797177302432</v>
      </c>
      <c r="BL2117" s="2">
        <v>17.329223301028701</v>
      </c>
      <c r="BM2117" s="2">
        <v>20.1171962226082</v>
      </c>
      <c r="BN2117" s="2">
        <v>17.479290900439999</v>
      </c>
      <c r="BO2117" s="2">
        <v>16.168172815072701</v>
      </c>
      <c r="BP2117" s="2">
        <v>15.694341290038301</v>
      </c>
      <c r="BQ2117" s="2">
        <v>17.419525806628599</v>
      </c>
      <c r="BR2117" s="2">
        <v>18.124505950949001</v>
      </c>
      <c r="BS2117" s="2">
        <v>21.364111201958298</v>
      </c>
      <c r="BT2117" s="2">
        <v>17.8328407642515</v>
      </c>
      <c r="BU2117" s="2">
        <v>16.061410221522198</v>
      </c>
      <c r="BV2117" s="2">
        <v>18.955490395688798</v>
      </c>
      <c r="BW2117" s="2">
        <v>16.9473371823529</v>
      </c>
      <c r="BX2117" s="2">
        <v>19.1539240571948</v>
      </c>
      <c r="BY2117" s="2">
        <v>18.127488495340401</v>
      </c>
      <c r="BZ2117" s="2">
        <v>14.974710340654401</v>
      </c>
      <c r="CA2117" s="2">
        <v>15.954700238495599</v>
      </c>
      <c r="CB2117" s="2">
        <v>18.0809961570471</v>
      </c>
      <c r="CC2117" s="2">
        <v>19.658469958034299</v>
      </c>
      <c r="CD2117" s="2">
        <v>15.169784889163401</v>
      </c>
      <c r="CE2117" s="2">
        <v>14.4241833511586</v>
      </c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</row>
    <row r="2118" spans="1:97">
      <c r="A2118" s="2" t="s">
        <v>18403</v>
      </c>
      <c r="B2118" s="2">
        <v>306.05723</v>
      </c>
      <c r="C2118" s="2">
        <v>1.079</v>
      </c>
      <c r="D2118" s="2" t="s">
        <v>146</v>
      </c>
      <c r="E2118" s="2" t="s">
        <v>18404</v>
      </c>
      <c r="F2118" s="2" t="s">
        <v>18405</v>
      </c>
      <c r="G2118" s="2">
        <v>47619</v>
      </c>
      <c r="H2118" s="3" t="str">
        <f>HYPERLINK("https://cloud.oebiotech.com/#/lm/network/47619", "https://cloud.oebiotech.com/#/lm/network/47619")</f>
        <v>https://cloud.oebiotech.com/#/lm/network/47619</v>
      </c>
      <c r="I2118" s="2" t="s">
        <v>18406</v>
      </c>
      <c r="J2118" s="2">
        <v>6284</v>
      </c>
      <c r="K2118" s="2"/>
      <c r="L2118" s="2">
        <v>220</v>
      </c>
      <c r="M2118" s="2" t="s">
        <v>18407</v>
      </c>
      <c r="N2118" s="2"/>
      <c r="O2118" s="2"/>
      <c r="P2118" s="2">
        <v>28055</v>
      </c>
      <c r="Q2118" s="2"/>
      <c r="R2118" s="2"/>
      <c r="S2118" s="2" t="s">
        <v>18408</v>
      </c>
      <c r="T2118" s="2" t="s">
        <v>18409</v>
      </c>
      <c r="U2118" s="2" t="s">
        <v>18410</v>
      </c>
      <c r="V2118" s="2" t="s">
        <v>115</v>
      </c>
      <c r="W2118" s="2" t="s">
        <v>18411</v>
      </c>
      <c r="X2118" s="2" t="s">
        <v>18412</v>
      </c>
      <c r="Y2118" s="2" t="s">
        <v>118</v>
      </c>
      <c r="Z2118" s="2" t="s">
        <v>18413</v>
      </c>
      <c r="AA2118" s="2" t="s">
        <v>18414</v>
      </c>
      <c r="AB2118" s="2" t="s">
        <v>8443</v>
      </c>
      <c r="AC2118" s="2">
        <v>38.06</v>
      </c>
      <c r="AD2118" s="2">
        <v>90.29</v>
      </c>
      <c r="AE2118" s="2">
        <v>0</v>
      </c>
      <c r="AF2118" s="2" t="s">
        <v>18415</v>
      </c>
      <c r="AG2118" s="2" t="s">
        <v>157</v>
      </c>
      <c r="AH2118" s="2" t="s">
        <v>18416</v>
      </c>
      <c r="AI2118" s="2">
        <v>-0.65</v>
      </c>
      <c r="AJ2118" s="2">
        <v>20.598361875626601</v>
      </c>
      <c r="AK2118" s="2">
        <v>20.761487214548101</v>
      </c>
      <c r="AL2118" s="2">
        <v>20.725572207910901</v>
      </c>
      <c r="AM2118" s="2">
        <v>20.642388691965301</v>
      </c>
      <c r="AN2118" s="2">
        <v>20.711477295519099</v>
      </c>
      <c r="AO2118" s="2">
        <v>20.664304010727399</v>
      </c>
      <c r="AP2118" s="2">
        <v>20.486699772381499</v>
      </c>
      <c r="AQ2118" s="2">
        <v>20.6915801511757</v>
      </c>
      <c r="AR2118" s="2">
        <v>20.033534215568999</v>
      </c>
      <c r="AS2118" s="2">
        <v>20.346724811944998</v>
      </c>
      <c r="AT2118" s="2">
        <v>20.1087923746882</v>
      </c>
      <c r="AU2118" s="2">
        <v>19.3901742053779</v>
      </c>
      <c r="AV2118" s="2">
        <v>19.9133361778002</v>
      </c>
      <c r="AW2118" s="2">
        <v>20.598432057543199</v>
      </c>
      <c r="AX2118" s="2">
        <v>20.1338925385359</v>
      </c>
      <c r="AY2118" s="2">
        <v>20.619338835330598</v>
      </c>
      <c r="AZ2118" s="2">
        <v>20.451488041238399</v>
      </c>
      <c r="BA2118" s="2">
        <v>20.340725657214001</v>
      </c>
      <c r="BB2118" s="2">
        <v>20.548904830718499</v>
      </c>
      <c r="BC2118" s="2">
        <v>21.0538311268058</v>
      </c>
      <c r="BD2118" s="2">
        <v>20.1679238702784</v>
      </c>
      <c r="BE2118" s="2">
        <v>21.1197810323482</v>
      </c>
      <c r="BF2118" s="2">
        <v>19.053993792545398</v>
      </c>
      <c r="BG2118" s="2">
        <v>20.964915644779602</v>
      </c>
      <c r="BH2118" s="2">
        <v>19.845044607058199</v>
      </c>
      <c r="BI2118" s="2">
        <v>20.8616491145218</v>
      </c>
      <c r="BJ2118" s="2">
        <v>20.456660626399401</v>
      </c>
      <c r="BK2118" s="2">
        <v>20.251969045793999</v>
      </c>
      <c r="BL2118" s="2">
        <v>20.603680752515501</v>
      </c>
      <c r="BM2118" s="2">
        <v>19.932356902155799</v>
      </c>
      <c r="BN2118" s="2">
        <v>19.7692981070307</v>
      </c>
      <c r="BO2118" s="2">
        <v>19.975846946672</v>
      </c>
      <c r="BP2118" s="2">
        <v>19.9383840535682</v>
      </c>
      <c r="BQ2118" s="2">
        <v>18.9960503897438</v>
      </c>
      <c r="BR2118" s="2">
        <v>20.130146403135001</v>
      </c>
      <c r="BS2118" s="2">
        <v>20.322638183689801</v>
      </c>
      <c r="BT2118" s="2">
        <v>20.185786180683099</v>
      </c>
      <c r="BU2118" s="2">
        <v>20.480858760450399</v>
      </c>
      <c r="BV2118" s="2">
        <v>20.5006621168104</v>
      </c>
      <c r="BW2118" s="2">
        <v>19.9641845425394</v>
      </c>
      <c r="BX2118" s="2">
        <v>19.8122410877445</v>
      </c>
      <c r="BY2118" s="2">
        <v>20.819648313273401</v>
      </c>
      <c r="BZ2118" s="2">
        <v>19.1003394918623</v>
      </c>
      <c r="CA2118" s="2">
        <v>20.025767581365599</v>
      </c>
      <c r="CB2118" s="2">
        <v>20.3255148724317</v>
      </c>
      <c r="CC2118" s="2">
        <v>20.257944669450101</v>
      </c>
      <c r="CD2118" s="2">
        <v>20.337477555149999</v>
      </c>
      <c r="CE2118" s="2">
        <v>20.251681489576299</v>
      </c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</row>
    <row r="2119" spans="1:97">
      <c r="A2119" s="2" t="s">
        <v>18417</v>
      </c>
      <c r="B2119" s="2">
        <v>274.20096999999998</v>
      </c>
      <c r="C2119" s="2">
        <v>5.0209999999999999</v>
      </c>
      <c r="D2119" s="2" t="s">
        <v>84</v>
      </c>
      <c r="E2119" s="2" t="s">
        <v>18418</v>
      </c>
      <c r="F2119" s="2" t="s">
        <v>18419</v>
      </c>
      <c r="G2119" s="2">
        <v>83547</v>
      </c>
      <c r="H2119" s="3" t="str">
        <f>HYPERLINK("https://cloud.oebiotech.com/#/lm/network/83547", "https://cloud.oebiotech.com/#/lm/network/83547")</f>
        <v>https://cloud.oebiotech.com/#/lm/network/83547</v>
      </c>
      <c r="I2119" s="2" t="s">
        <v>18420</v>
      </c>
      <c r="J2119" s="2"/>
      <c r="K2119" s="2"/>
      <c r="L2119" s="2">
        <v>134819282</v>
      </c>
      <c r="M2119" s="2"/>
      <c r="N2119" s="2"/>
      <c r="O2119" s="2"/>
      <c r="P2119" s="2"/>
      <c r="Q2119" s="2"/>
      <c r="R2119" s="2"/>
      <c r="S2119" s="2"/>
      <c r="T2119" s="2" t="s">
        <v>18421</v>
      </c>
      <c r="U2119" s="2" t="s">
        <v>18422</v>
      </c>
      <c r="V2119" s="2" t="s">
        <v>95</v>
      </c>
      <c r="W2119" s="2" t="s">
        <v>96</v>
      </c>
      <c r="X2119" s="2" t="s">
        <v>141</v>
      </c>
      <c r="Y2119" s="2" t="s">
        <v>98</v>
      </c>
      <c r="Z2119" s="2" t="s">
        <v>99</v>
      </c>
      <c r="AA2119" s="2" t="s">
        <v>142</v>
      </c>
      <c r="AB2119" s="2" t="s">
        <v>8443</v>
      </c>
      <c r="AC2119" s="2">
        <v>38.06</v>
      </c>
      <c r="AD2119" s="2">
        <v>90.76</v>
      </c>
      <c r="AE2119" s="2">
        <v>0</v>
      </c>
      <c r="AF2119" s="2" t="s">
        <v>5614</v>
      </c>
      <c r="AG2119" s="2" t="s">
        <v>132</v>
      </c>
      <c r="AH2119" s="2" t="s">
        <v>2857</v>
      </c>
      <c r="AI2119" s="2">
        <v>1.0900000000000001</v>
      </c>
      <c r="AJ2119" s="2">
        <v>17.410346670163801</v>
      </c>
      <c r="AK2119" s="2">
        <v>17.788289599359199</v>
      </c>
      <c r="AL2119" s="2">
        <v>17.9306388856956</v>
      </c>
      <c r="AM2119" s="2">
        <v>17.218010408720101</v>
      </c>
      <c r="AN2119" s="2">
        <v>17.802191007672</v>
      </c>
      <c r="AO2119" s="2">
        <v>17.7454180275118</v>
      </c>
      <c r="AP2119" s="2">
        <v>17.9321451858473</v>
      </c>
      <c r="AQ2119" s="2">
        <v>17.988734884249201</v>
      </c>
      <c r="AR2119" s="2">
        <v>17.711374044258701</v>
      </c>
      <c r="AS2119" s="2">
        <v>15.716206153448001</v>
      </c>
      <c r="AT2119" s="2">
        <v>17.354303368341501</v>
      </c>
      <c r="AU2119" s="2">
        <v>17.932056521675001</v>
      </c>
      <c r="AV2119" s="2">
        <v>17.697267603838402</v>
      </c>
      <c r="AW2119" s="2">
        <v>16.692656499148999</v>
      </c>
      <c r="AX2119" s="2">
        <v>17.193277876573202</v>
      </c>
      <c r="AY2119" s="2">
        <v>17.401950205875401</v>
      </c>
      <c r="AZ2119" s="2">
        <v>16.582222413429601</v>
      </c>
      <c r="BA2119" s="2">
        <v>17.948877304946699</v>
      </c>
      <c r="BB2119" s="2">
        <v>18.551579663739499</v>
      </c>
      <c r="BC2119" s="2">
        <v>18.995803883451799</v>
      </c>
      <c r="BD2119" s="2">
        <v>16.782974029042499</v>
      </c>
      <c r="BE2119" s="2">
        <v>18.6059126796833</v>
      </c>
      <c r="BF2119" s="2">
        <v>17.604809972013701</v>
      </c>
      <c r="BG2119" s="2">
        <v>18.2273772480339</v>
      </c>
      <c r="BH2119" s="2">
        <v>16.5295353299732</v>
      </c>
      <c r="BI2119" s="2">
        <v>18.183430152267999</v>
      </c>
      <c r="BJ2119" s="2">
        <v>18.0455540592774</v>
      </c>
      <c r="BK2119" s="2">
        <v>17.1349210988596</v>
      </c>
      <c r="BL2119" s="2">
        <v>16.055766670612499</v>
      </c>
      <c r="BM2119" s="2">
        <v>17.521129202001401</v>
      </c>
      <c r="BN2119" s="2">
        <v>17.154417832206999</v>
      </c>
      <c r="BO2119" s="2">
        <v>17.7983653518375</v>
      </c>
      <c r="BP2119" s="2">
        <v>18.130636367776599</v>
      </c>
      <c r="BQ2119" s="2">
        <v>17.709045097236199</v>
      </c>
      <c r="BR2119" s="2">
        <v>17.625911850442499</v>
      </c>
      <c r="BS2119" s="2">
        <v>17.579822751355799</v>
      </c>
      <c r="BT2119" s="2">
        <v>15.1835593991875</v>
      </c>
      <c r="BU2119" s="2">
        <v>17.8512039268238</v>
      </c>
      <c r="BV2119" s="2">
        <v>17.830024111433499</v>
      </c>
      <c r="BW2119" s="2">
        <v>17.148407365316601</v>
      </c>
      <c r="BX2119" s="2">
        <v>17.178522472760001</v>
      </c>
      <c r="BY2119" s="2">
        <v>19.108485456767198</v>
      </c>
      <c r="BZ2119" s="2">
        <v>19.131320154610201</v>
      </c>
      <c r="CA2119" s="2">
        <v>18.001203376538001</v>
      </c>
      <c r="CB2119" s="2">
        <v>16.081706449392801</v>
      </c>
      <c r="CC2119" s="2">
        <v>17.2857424778949</v>
      </c>
      <c r="CD2119" s="2">
        <v>16.909316527927501</v>
      </c>
      <c r="CE2119" s="2">
        <v>18.503474328600198</v>
      </c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</row>
    <row r="2120" spans="1:97">
      <c r="A2120" s="2" t="s">
        <v>18423</v>
      </c>
      <c r="B2120" s="2">
        <v>327.07744000000002</v>
      </c>
      <c r="C2120" s="2">
        <v>6.9660000000000002</v>
      </c>
      <c r="D2120" s="2" t="s">
        <v>84</v>
      </c>
      <c r="E2120" s="2" t="s">
        <v>18424</v>
      </c>
      <c r="F2120" s="2" t="s">
        <v>18425</v>
      </c>
      <c r="G2120" s="2">
        <v>53686</v>
      </c>
      <c r="H2120" s="3" t="str">
        <f>HYPERLINK("https://cloud.oebiotech.com/#/lm/network/53686", "https://cloud.oebiotech.com/#/lm/network/53686")</f>
        <v>https://cloud.oebiotech.com/#/lm/network/53686</v>
      </c>
      <c r="I2120" s="2" t="s">
        <v>18426</v>
      </c>
      <c r="J2120" s="2"/>
      <c r="K2120" s="2"/>
      <c r="L2120" s="2">
        <v>3038498</v>
      </c>
      <c r="M2120" s="2"/>
      <c r="N2120" s="2"/>
      <c r="O2120" s="2"/>
      <c r="P2120" s="2"/>
      <c r="Q2120" s="2"/>
      <c r="R2120" s="2"/>
      <c r="S2120" s="2" t="s">
        <v>18427</v>
      </c>
      <c r="T2120" s="2" t="s">
        <v>18428</v>
      </c>
      <c r="U2120" s="2" t="s">
        <v>18429</v>
      </c>
      <c r="V2120" s="2" t="s">
        <v>385</v>
      </c>
      <c r="W2120" s="2" t="s">
        <v>386</v>
      </c>
      <c r="X2120" s="2" t="s">
        <v>18430</v>
      </c>
      <c r="Y2120" s="2" t="s">
        <v>388</v>
      </c>
      <c r="Z2120" s="2" t="s">
        <v>389</v>
      </c>
      <c r="AA2120" s="2" t="s">
        <v>18431</v>
      </c>
      <c r="AB2120" s="2" t="s">
        <v>8443</v>
      </c>
      <c r="AC2120" s="2">
        <v>38.049999999999997</v>
      </c>
      <c r="AD2120" s="2">
        <v>73.66</v>
      </c>
      <c r="AE2120" s="2">
        <v>0</v>
      </c>
      <c r="AF2120" s="2" t="s">
        <v>5614</v>
      </c>
      <c r="AG2120" s="2" t="s">
        <v>3544</v>
      </c>
      <c r="AH2120" s="2" t="s">
        <v>18432</v>
      </c>
      <c r="AI2120" s="2">
        <v>-4.8899999999999997</v>
      </c>
      <c r="AJ2120" s="2">
        <v>19.4933953495695</v>
      </c>
      <c r="AK2120" s="2">
        <v>20.147266434866999</v>
      </c>
      <c r="AL2120" s="2">
        <v>20.057810354163198</v>
      </c>
      <c r="AM2120" s="2">
        <v>20.0932126977733</v>
      </c>
      <c r="AN2120" s="2">
        <v>19.9616441267783</v>
      </c>
      <c r="AO2120" s="2">
        <v>20.1321907968494</v>
      </c>
      <c r="AP2120" s="2">
        <v>19.987186375734101</v>
      </c>
      <c r="AQ2120" s="2">
        <v>20.080192254459199</v>
      </c>
      <c r="AR2120" s="2">
        <v>20.284236440107001</v>
      </c>
      <c r="AS2120" s="2">
        <v>20.236125788318201</v>
      </c>
      <c r="AT2120" s="2">
        <v>18.7977517231345</v>
      </c>
      <c r="AU2120" s="2">
        <v>20.3150568650249</v>
      </c>
      <c r="AV2120" s="2">
        <v>20.214694714442398</v>
      </c>
      <c r="AW2120" s="2">
        <v>19.357052967956299</v>
      </c>
      <c r="AX2120" s="2">
        <v>18.950644997709698</v>
      </c>
      <c r="AY2120" s="2">
        <v>20.178416214810099</v>
      </c>
      <c r="AZ2120" s="2">
        <v>20.2043231836107</v>
      </c>
      <c r="BA2120" s="2">
        <v>18.667826827176601</v>
      </c>
      <c r="BB2120" s="2">
        <v>19.5784420188463</v>
      </c>
      <c r="BC2120" s="2">
        <v>18.8056401621246</v>
      </c>
      <c r="BD2120" s="2">
        <v>20.217213578509998</v>
      </c>
      <c r="BE2120" s="2">
        <v>20.245967419611201</v>
      </c>
      <c r="BF2120" s="2">
        <v>18.362683953393802</v>
      </c>
      <c r="BG2120" s="2">
        <v>20.092948153045899</v>
      </c>
      <c r="BH2120" s="2">
        <v>20.193789426488099</v>
      </c>
      <c r="BI2120" s="2">
        <v>20.276267751883399</v>
      </c>
      <c r="BJ2120" s="2">
        <v>20.1195013618816</v>
      </c>
      <c r="BK2120" s="2">
        <v>20.067684248235501</v>
      </c>
      <c r="BL2120" s="2">
        <v>20.076142672951299</v>
      </c>
      <c r="BM2120" s="2">
        <v>20.065755252065099</v>
      </c>
      <c r="BN2120" s="2">
        <v>20.036485116249001</v>
      </c>
      <c r="BO2120" s="2">
        <v>20.268787160322699</v>
      </c>
      <c r="BP2120" s="2">
        <v>18.6870949733683</v>
      </c>
      <c r="BQ2120" s="2">
        <v>20.042438838570099</v>
      </c>
      <c r="BR2120" s="2">
        <v>20.006682426148199</v>
      </c>
      <c r="BS2120" s="2">
        <v>20.116781828579001</v>
      </c>
      <c r="BT2120" s="2">
        <v>20.104524417454801</v>
      </c>
      <c r="BU2120" s="2">
        <v>20.184775410505999</v>
      </c>
      <c r="BV2120" s="2">
        <v>20.025103204014599</v>
      </c>
      <c r="BW2120" s="2">
        <v>20.1800318032655</v>
      </c>
      <c r="BX2120" s="2">
        <v>20.0799613681206</v>
      </c>
      <c r="BY2120" s="2">
        <v>20.0509686009703</v>
      </c>
      <c r="BZ2120" s="2">
        <v>20.130380608893201</v>
      </c>
      <c r="CA2120" s="2">
        <v>20.145682330555498</v>
      </c>
      <c r="CB2120" s="2">
        <v>20.009184952315501</v>
      </c>
      <c r="CC2120" s="2">
        <v>20.159704305641</v>
      </c>
      <c r="CD2120" s="2">
        <v>20.134291855984401</v>
      </c>
      <c r="CE2120" s="2">
        <v>20.080973575927398</v>
      </c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</row>
    <row r="2121" spans="1:97">
      <c r="A2121" s="2" t="s">
        <v>18433</v>
      </c>
      <c r="B2121" s="2">
        <v>617.25921000000005</v>
      </c>
      <c r="C2121" s="2">
        <v>8.3190000000000008</v>
      </c>
      <c r="D2121" s="2" t="s">
        <v>84</v>
      </c>
      <c r="E2121" s="2" t="s">
        <v>18434</v>
      </c>
      <c r="F2121" s="2" t="s">
        <v>18435</v>
      </c>
      <c r="G2121" s="2">
        <v>62633</v>
      </c>
      <c r="H2121" s="3" t="str">
        <f>HYPERLINK("https://cloud.oebiotech.com/#/lm/network/62633", "https://cloud.oebiotech.com/#/lm/network/62633")</f>
        <v>https://cloud.oebiotech.com/#/lm/network/62633</v>
      </c>
      <c r="I2121" s="2" t="s">
        <v>18436</v>
      </c>
      <c r="J2121" s="2">
        <v>93932</v>
      </c>
      <c r="K2121" s="2"/>
      <c r="L2121" s="2">
        <v>131752615</v>
      </c>
      <c r="M2121" s="2"/>
      <c r="N2121" s="2"/>
      <c r="O2121" s="2"/>
      <c r="P2121" s="2"/>
      <c r="Q2121" s="2"/>
      <c r="R2121" s="2"/>
      <c r="S2121" s="2"/>
      <c r="T2121" s="2" t="s">
        <v>18437</v>
      </c>
      <c r="U2121" s="2" t="s">
        <v>18438</v>
      </c>
      <c r="V2121" s="2" t="s">
        <v>845</v>
      </c>
      <c r="W2121" s="2" t="s">
        <v>18439</v>
      </c>
      <c r="X2121" s="2" t="s">
        <v>18440</v>
      </c>
      <c r="Y2121" s="2" t="s">
        <v>847</v>
      </c>
      <c r="Z2121" s="2" t="s">
        <v>18441</v>
      </c>
      <c r="AA2121" s="2" t="s">
        <v>18442</v>
      </c>
      <c r="AB2121" s="2" t="s">
        <v>8443</v>
      </c>
      <c r="AC2121" s="2">
        <v>38.049999999999997</v>
      </c>
      <c r="AD2121" s="2">
        <v>90.27</v>
      </c>
      <c r="AE2121" s="2">
        <v>0</v>
      </c>
      <c r="AF2121" s="2" t="s">
        <v>18443</v>
      </c>
      <c r="AG2121" s="2" t="s">
        <v>1088</v>
      </c>
      <c r="AH2121" s="2" t="s">
        <v>18444</v>
      </c>
      <c r="AI2121" s="2">
        <v>0.97</v>
      </c>
      <c r="AJ2121" s="2">
        <v>19.7564178382626</v>
      </c>
      <c r="AK2121" s="2">
        <v>19.272627347620102</v>
      </c>
      <c r="AL2121" s="2">
        <v>19.335370682555901</v>
      </c>
      <c r="AM2121" s="2">
        <v>19.904557186207398</v>
      </c>
      <c r="AN2121" s="2">
        <v>20.022084437379501</v>
      </c>
      <c r="AO2121" s="2">
        <v>19.669108830267898</v>
      </c>
      <c r="AP2121" s="2">
        <v>19.544942780733901</v>
      </c>
      <c r="AQ2121" s="2">
        <v>19.785265493826099</v>
      </c>
      <c r="AR2121" s="2">
        <v>17.8726585897471</v>
      </c>
      <c r="AS2121" s="2">
        <v>19.008074525235902</v>
      </c>
      <c r="AT2121" s="2">
        <v>20.144021454485099</v>
      </c>
      <c r="AU2121" s="2">
        <v>17.864787182683401</v>
      </c>
      <c r="AV2121" s="2">
        <v>18.918475422438199</v>
      </c>
      <c r="AW2121" s="2">
        <v>19.631164103881801</v>
      </c>
      <c r="AX2121" s="2">
        <v>19.350722503839499</v>
      </c>
      <c r="AY2121" s="2">
        <v>19.936770770321399</v>
      </c>
      <c r="AZ2121" s="2">
        <v>18.187690213552901</v>
      </c>
      <c r="BA2121" s="2">
        <v>18.9471618204254</v>
      </c>
      <c r="BB2121" s="2">
        <v>18.834690127597899</v>
      </c>
      <c r="BC2121" s="2">
        <v>21.398540835213499</v>
      </c>
      <c r="BD2121" s="2">
        <v>17.3656550184641</v>
      </c>
      <c r="BE2121" s="2">
        <v>21.2022208994624</v>
      </c>
      <c r="BF2121" s="2">
        <v>17.7715053314244</v>
      </c>
      <c r="BG2121" s="2">
        <v>19.656417356204901</v>
      </c>
      <c r="BH2121" s="2">
        <v>18.998303363884599</v>
      </c>
      <c r="BI2121" s="2">
        <v>19.537192289530498</v>
      </c>
      <c r="BJ2121" s="2">
        <v>19.650561513284998</v>
      </c>
      <c r="BK2121" s="2">
        <v>18.3846308198207</v>
      </c>
      <c r="BL2121" s="2">
        <v>19.323276271038399</v>
      </c>
      <c r="BM2121" s="2">
        <v>18.262698152034002</v>
      </c>
      <c r="BN2121" s="2">
        <v>19.1388008026994</v>
      </c>
      <c r="BO2121" s="2">
        <v>19.6786503043934</v>
      </c>
      <c r="BP2121" s="2">
        <v>19.901733938135699</v>
      </c>
      <c r="BQ2121" s="2">
        <v>19.2410091917255</v>
      </c>
      <c r="BR2121" s="2">
        <v>20.6190472471174</v>
      </c>
      <c r="BS2121" s="2">
        <v>19.266443084858398</v>
      </c>
      <c r="BT2121" s="2">
        <v>18.574281008109999</v>
      </c>
      <c r="BU2121" s="2">
        <v>18.9897241945832</v>
      </c>
      <c r="BV2121" s="2">
        <v>19.9808175089942</v>
      </c>
      <c r="BW2121" s="2">
        <v>19.128174656657599</v>
      </c>
      <c r="BX2121" s="2">
        <v>17.6569049554709</v>
      </c>
      <c r="BY2121" s="2">
        <v>20.146691076094999</v>
      </c>
      <c r="BZ2121" s="2">
        <v>17.902228359534799</v>
      </c>
      <c r="CA2121" s="2">
        <v>19.0129974829274</v>
      </c>
      <c r="CB2121" s="2">
        <v>20.276116133750499</v>
      </c>
      <c r="CC2121" s="2">
        <v>18.733427960758199</v>
      </c>
      <c r="CD2121" s="2">
        <v>20.188679629412299</v>
      </c>
      <c r="CE2121" s="2">
        <v>19.5779498911354</v>
      </c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</row>
    <row r="2122" spans="1:97">
      <c r="A2122" s="2" t="s">
        <v>18445</v>
      </c>
      <c r="B2122" s="2">
        <v>615.26679999999999</v>
      </c>
      <c r="C2122" s="2">
        <v>8.827</v>
      </c>
      <c r="D2122" s="2" t="s">
        <v>146</v>
      </c>
      <c r="E2122" s="2" t="s">
        <v>18446</v>
      </c>
      <c r="F2122" s="2" t="s">
        <v>18447</v>
      </c>
      <c r="G2122" s="2">
        <v>28050</v>
      </c>
      <c r="H2122" s="3" t="str">
        <f>HYPERLINK("https://cloud.oebiotech.com/#/lm/network/28050", "https://cloud.oebiotech.com/#/lm/network/28050")</f>
        <v>https://cloud.oebiotech.com/#/lm/network/28050</v>
      </c>
      <c r="I2122" s="2"/>
      <c r="J2122" s="2"/>
      <c r="K2122" s="2" t="s">
        <v>18448</v>
      </c>
      <c r="L2122" s="2">
        <v>134812496</v>
      </c>
      <c r="M2122" s="2"/>
      <c r="N2122" s="2"/>
      <c r="O2122" s="2"/>
      <c r="P2122" s="2"/>
      <c r="Q2122" s="2"/>
      <c r="R2122" s="2"/>
      <c r="S2122" s="2"/>
      <c r="T2122" s="2" t="s">
        <v>18449</v>
      </c>
      <c r="U2122" s="2" t="s">
        <v>18450</v>
      </c>
      <c r="V2122" s="2" t="s">
        <v>95</v>
      </c>
      <c r="W2122" s="2" t="s">
        <v>202</v>
      </c>
      <c r="X2122" s="2" t="s">
        <v>6038</v>
      </c>
      <c r="Y2122" s="2" t="s">
        <v>98</v>
      </c>
      <c r="Z2122" s="2" t="s">
        <v>204</v>
      </c>
      <c r="AA2122" s="2" t="s">
        <v>6039</v>
      </c>
      <c r="AB2122" s="2" t="s">
        <v>5118</v>
      </c>
      <c r="AC2122" s="2">
        <v>38.049999999999997</v>
      </c>
      <c r="AD2122" s="2">
        <v>74.61</v>
      </c>
      <c r="AE2122" s="2">
        <v>53.39</v>
      </c>
      <c r="AF2122" s="2" t="s">
        <v>18451</v>
      </c>
      <c r="AG2122" s="2" t="s">
        <v>4062</v>
      </c>
      <c r="AH2122" s="2" t="s">
        <v>18452</v>
      </c>
      <c r="AI2122" s="2">
        <v>6.18</v>
      </c>
      <c r="AJ2122" s="2">
        <v>22.486947924055102</v>
      </c>
      <c r="AK2122" s="2">
        <v>22.496621078612002</v>
      </c>
      <c r="AL2122" s="2">
        <v>22.516739392190299</v>
      </c>
      <c r="AM2122" s="2">
        <v>22.5919300931366</v>
      </c>
      <c r="AN2122" s="2">
        <v>22.3670614316555</v>
      </c>
      <c r="AO2122" s="2">
        <v>22.486702281111501</v>
      </c>
      <c r="AP2122" s="2">
        <v>22.4020343325924</v>
      </c>
      <c r="AQ2122" s="2">
        <v>22.348800471059899</v>
      </c>
      <c r="AR2122" s="2">
        <v>22.628354803244001</v>
      </c>
      <c r="AS2122" s="2">
        <v>22.016902935333299</v>
      </c>
      <c r="AT2122" s="2">
        <v>22.447426527148998</v>
      </c>
      <c r="AU2122" s="2">
        <v>22.4414699914193</v>
      </c>
      <c r="AV2122" s="2">
        <v>22.475631874612599</v>
      </c>
      <c r="AW2122" s="2">
        <v>22.651876229681001</v>
      </c>
      <c r="AX2122" s="2">
        <v>22.415969200726899</v>
      </c>
      <c r="AY2122" s="2">
        <v>22.410011143338</v>
      </c>
      <c r="AZ2122" s="2">
        <v>22.5053212107143</v>
      </c>
      <c r="BA2122" s="2">
        <v>22.098979020226601</v>
      </c>
      <c r="BB2122" s="2">
        <v>22.571543554725601</v>
      </c>
      <c r="BC2122" s="2">
        <v>22.4085343199616</v>
      </c>
      <c r="BD2122" s="2">
        <v>22.348707698828299</v>
      </c>
      <c r="BE2122" s="2">
        <v>22.5671846339878</v>
      </c>
      <c r="BF2122" s="2">
        <v>22.5150979426306</v>
      </c>
      <c r="BG2122" s="2">
        <v>22.316362374438199</v>
      </c>
      <c r="BH2122" s="2">
        <v>22.627833939763601</v>
      </c>
      <c r="BI2122" s="2">
        <v>22.278039414761601</v>
      </c>
      <c r="BJ2122" s="2">
        <v>22.4237542986744</v>
      </c>
      <c r="BK2122" s="2">
        <v>22.178730194173099</v>
      </c>
      <c r="BL2122" s="2">
        <v>22.4526910445888</v>
      </c>
      <c r="BM2122" s="2">
        <v>22.533509455746302</v>
      </c>
      <c r="BN2122" s="2">
        <v>21.932142864034599</v>
      </c>
      <c r="BO2122" s="2">
        <v>22.2133169338471</v>
      </c>
      <c r="BP2122" s="2">
        <v>21.815282864528299</v>
      </c>
      <c r="BQ2122" s="2">
        <v>22.451110617316701</v>
      </c>
      <c r="BR2122" s="2">
        <v>22.4205702412394</v>
      </c>
      <c r="BS2122" s="2">
        <v>22.327434178017299</v>
      </c>
      <c r="BT2122" s="2">
        <v>22.357820601413</v>
      </c>
      <c r="BU2122" s="2">
        <v>22.3695922400046</v>
      </c>
      <c r="BV2122" s="2">
        <v>21.936196158147801</v>
      </c>
      <c r="BW2122" s="2">
        <v>21.845775374906701</v>
      </c>
      <c r="BX2122" s="2">
        <v>22.3981358922994</v>
      </c>
      <c r="BY2122" s="2">
        <v>22.2676188702624</v>
      </c>
      <c r="BZ2122" s="2">
        <v>22.643725397781999</v>
      </c>
      <c r="CA2122" s="2">
        <v>22.394973227126201</v>
      </c>
      <c r="CB2122" s="2">
        <v>22.377015829373001</v>
      </c>
      <c r="CC2122" s="2">
        <v>22.404998580789101</v>
      </c>
      <c r="CD2122" s="2">
        <v>22.029633032316401</v>
      </c>
      <c r="CE2122" s="2">
        <v>21.898352974018099</v>
      </c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</row>
    <row r="2123" spans="1:97">
      <c r="A2123" s="2" t="s">
        <v>18453</v>
      </c>
      <c r="B2123" s="2">
        <v>199.02197000000001</v>
      </c>
      <c r="C2123" s="2">
        <v>0.96199999999999997</v>
      </c>
      <c r="D2123" s="2" t="s">
        <v>146</v>
      </c>
      <c r="E2123" s="2" t="s">
        <v>18454</v>
      </c>
      <c r="F2123" s="2" t="s">
        <v>18455</v>
      </c>
      <c r="G2123" s="2">
        <v>206075</v>
      </c>
      <c r="H2123" s="3" t="str">
        <f>HYPERLINK("https://cloud.oebiotech.com/#/lm/network/206075", "https://cloud.oebiotech.com/#/lm/network/206075")</f>
        <v>https://cloud.oebiotech.com/#/lm/network/206075</v>
      </c>
      <c r="I2123" s="2" t="s">
        <v>18456</v>
      </c>
      <c r="J2123" s="2"/>
      <c r="K2123" s="2"/>
      <c r="L2123" s="2">
        <v>31386</v>
      </c>
      <c r="M2123" s="2"/>
      <c r="N2123" s="2"/>
      <c r="O2123" s="2"/>
      <c r="P2123" s="2">
        <v>78360</v>
      </c>
      <c r="Q2123" s="2"/>
      <c r="R2123" s="2"/>
      <c r="S2123" s="2"/>
      <c r="T2123" s="2" t="s">
        <v>18457</v>
      </c>
      <c r="U2123" s="2" t="s">
        <v>18458</v>
      </c>
      <c r="V2123" s="2" t="s">
        <v>385</v>
      </c>
      <c r="W2123" s="2" t="s">
        <v>386</v>
      </c>
      <c r="X2123" s="2" t="s">
        <v>10971</v>
      </c>
      <c r="Y2123" s="2" t="s">
        <v>388</v>
      </c>
      <c r="Z2123" s="2" t="s">
        <v>389</v>
      </c>
      <c r="AA2123" s="2" t="s">
        <v>10972</v>
      </c>
      <c r="AB2123" s="2" t="s">
        <v>8443</v>
      </c>
      <c r="AC2123" s="2">
        <v>38.049999999999997</v>
      </c>
      <c r="AD2123" s="2">
        <v>90.23</v>
      </c>
      <c r="AE2123" s="2">
        <v>0</v>
      </c>
      <c r="AF2123" s="2" t="s">
        <v>5614</v>
      </c>
      <c r="AG2123" s="2" t="s">
        <v>993</v>
      </c>
      <c r="AH2123" s="2" t="s">
        <v>18459</v>
      </c>
      <c r="AI2123" s="2">
        <v>-1</v>
      </c>
      <c r="AJ2123" s="2">
        <v>19.1403068048687</v>
      </c>
      <c r="AK2123" s="2">
        <v>19.474100499582001</v>
      </c>
      <c r="AL2123" s="2">
        <v>19.2602911066876</v>
      </c>
      <c r="AM2123" s="2">
        <v>19.556488803717698</v>
      </c>
      <c r="AN2123" s="2">
        <v>19.3589049275413</v>
      </c>
      <c r="AO2123" s="2">
        <v>19.471871511859501</v>
      </c>
      <c r="AP2123" s="2">
        <v>19.294924837903899</v>
      </c>
      <c r="AQ2123" s="2">
        <v>19.309199124979099</v>
      </c>
      <c r="AR2123" s="2">
        <v>20.317914170225201</v>
      </c>
      <c r="AS2123" s="2">
        <v>18.877097319121201</v>
      </c>
      <c r="AT2123" s="2">
        <v>19.419862930869598</v>
      </c>
      <c r="AU2123" s="2">
        <v>18.522527780116999</v>
      </c>
      <c r="AV2123" s="2">
        <v>19.150517730791499</v>
      </c>
      <c r="AW2123" s="2">
        <v>19.593467957242002</v>
      </c>
      <c r="AX2123" s="2">
        <v>19.701045020873799</v>
      </c>
      <c r="AY2123" s="2">
        <v>19.243230012175701</v>
      </c>
      <c r="AZ2123" s="2">
        <v>19.095996278393802</v>
      </c>
      <c r="BA2123" s="2">
        <v>18.260580535459901</v>
      </c>
      <c r="BB2123" s="2">
        <v>20.051324515058599</v>
      </c>
      <c r="BC2123" s="2">
        <v>19.4812242961893</v>
      </c>
      <c r="BD2123" s="2">
        <v>20.630555983557901</v>
      </c>
      <c r="BE2123" s="2">
        <v>19.012656944148102</v>
      </c>
      <c r="BF2123" s="2">
        <v>20.599928728332198</v>
      </c>
      <c r="BG2123" s="2">
        <v>19.161710700413199</v>
      </c>
      <c r="BH2123" s="2">
        <v>19.2964195857462</v>
      </c>
      <c r="BI2123" s="2">
        <v>20.228121642192601</v>
      </c>
      <c r="BJ2123" s="2">
        <v>19.0647753620411</v>
      </c>
      <c r="BK2123" s="2">
        <v>18.761021895687801</v>
      </c>
      <c r="BL2123" s="2">
        <v>19.385858462505901</v>
      </c>
      <c r="BM2123" s="2">
        <v>18.562845620086499</v>
      </c>
      <c r="BN2123" s="2">
        <v>18.565731037220701</v>
      </c>
      <c r="BO2123" s="2">
        <v>18.218369444273101</v>
      </c>
      <c r="BP2123" s="2">
        <v>18.404011962285001</v>
      </c>
      <c r="BQ2123" s="2">
        <v>18.5593943069792</v>
      </c>
      <c r="BR2123" s="2">
        <v>18.1808987572084</v>
      </c>
      <c r="BS2123" s="2">
        <v>19.4579663781326</v>
      </c>
      <c r="BT2123" s="2">
        <v>15.2543694960819</v>
      </c>
      <c r="BU2123" s="2">
        <v>20.590018277637</v>
      </c>
      <c r="BV2123" s="2">
        <v>19.5271435512404</v>
      </c>
      <c r="BW2123" s="2">
        <v>18.9083809802251</v>
      </c>
      <c r="BX2123" s="2">
        <v>18.070537284349498</v>
      </c>
      <c r="BY2123" s="2">
        <v>19.7407128235484</v>
      </c>
      <c r="BZ2123" s="2">
        <v>18.969385931087398</v>
      </c>
      <c r="CA2123" s="2">
        <v>20.998651480001499</v>
      </c>
      <c r="CB2123" s="2">
        <v>17.634800062623398</v>
      </c>
      <c r="CC2123" s="2">
        <v>19.559425004785901</v>
      </c>
      <c r="CD2123" s="2">
        <v>19.000334653180499</v>
      </c>
      <c r="CE2123" s="2">
        <v>18.5832062001131</v>
      </c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</row>
    <row r="2124" spans="1:97">
      <c r="A2124" s="2" t="s">
        <v>18460</v>
      </c>
      <c r="B2124" s="2">
        <v>271.03813000000002</v>
      </c>
      <c r="C2124" s="2">
        <v>4.3239999999999998</v>
      </c>
      <c r="D2124" s="2" t="s">
        <v>84</v>
      </c>
      <c r="E2124" s="2" t="s">
        <v>18461</v>
      </c>
      <c r="F2124" s="2" t="s">
        <v>18462</v>
      </c>
      <c r="G2124" s="2">
        <v>200705</v>
      </c>
      <c r="H2124" s="3" t="str">
        <f>HYPERLINK("https://cloud.oebiotech.com/#/lm/network/200705", "https://cloud.oebiotech.com/#/lm/network/200705")</f>
        <v>https://cloud.oebiotech.com/#/lm/network/200705</v>
      </c>
      <c r="I2124" s="2" t="s">
        <v>18463</v>
      </c>
      <c r="J2124" s="2">
        <v>348507</v>
      </c>
      <c r="K2124" s="2"/>
      <c r="L2124" s="2">
        <v>77257</v>
      </c>
      <c r="M2124" s="2"/>
      <c r="N2124" s="2"/>
      <c r="O2124" s="2"/>
      <c r="P2124" s="2"/>
      <c r="Q2124" s="2"/>
      <c r="R2124" s="2"/>
      <c r="S2124" s="2"/>
      <c r="T2124" s="2" t="s">
        <v>18464</v>
      </c>
      <c r="U2124" s="2" t="s">
        <v>18465</v>
      </c>
      <c r="V2124" s="2" t="s">
        <v>385</v>
      </c>
      <c r="W2124" s="2" t="s">
        <v>4381</v>
      </c>
      <c r="X2124" s="2" t="s">
        <v>10854</v>
      </c>
      <c r="Y2124" s="2" t="s">
        <v>388</v>
      </c>
      <c r="Z2124" s="2" t="s">
        <v>4382</v>
      </c>
      <c r="AA2124" s="2" t="s">
        <v>10855</v>
      </c>
      <c r="AB2124" s="2" t="s">
        <v>8443</v>
      </c>
      <c r="AC2124" s="2">
        <v>38.04</v>
      </c>
      <c r="AD2124" s="2">
        <v>90.19</v>
      </c>
      <c r="AE2124" s="2">
        <v>0</v>
      </c>
      <c r="AF2124" s="2" t="s">
        <v>18466</v>
      </c>
      <c r="AG2124" s="2" t="s">
        <v>132</v>
      </c>
      <c r="AH2124" s="2" t="s">
        <v>18467</v>
      </c>
      <c r="AI2124" s="2">
        <v>0.74</v>
      </c>
      <c r="AJ2124" s="2">
        <v>17.3190833130759</v>
      </c>
      <c r="AK2124" s="2">
        <v>17.340591736331302</v>
      </c>
      <c r="AL2124" s="2">
        <v>17.6756254081081</v>
      </c>
      <c r="AM2124" s="2">
        <v>17.945043178190101</v>
      </c>
      <c r="AN2124" s="2">
        <v>18.094352320600699</v>
      </c>
      <c r="AO2124" s="2">
        <v>18.050015479003701</v>
      </c>
      <c r="AP2124" s="2">
        <v>17.004642712404799</v>
      </c>
      <c r="AQ2124" s="2">
        <v>17.637570809785299</v>
      </c>
      <c r="AR2124" s="2">
        <v>16.2693166487681</v>
      </c>
      <c r="AS2124" s="2">
        <v>16.730130174319601</v>
      </c>
      <c r="AT2124" s="2">
        <v>17.434753311379499</v>
      </c>
      <c r="AU2124" s="2">
        <v>16.455781202195499</v>
      </c>
      <c r="AV2124" s="2">
        <v>17.5552642823795</v>
      </c>
      <c r="AW2124" s="2">
        <v>17.301557371757401</v>
      </c>
      <c r="AX2124" s="2">
        <v>17.837898659450499</v>
      </c>
      <c r="AY2124" s="2">
        <v>17.724193405154701</v>
      </c>
      <c r="AZ2124" s="2">
        <v>16.920994197551</v>
      </c>
      <c r="BA2124" s="2">
        <v>16.513100690427201</v>
      </c>
      <c r="BB2124" s="2">
        <v>18.213393515862801</v>
      </c>
      <c r="BC2124" s="2">
        <v>18.588440737585</v>
      </c>
      <c r="BD2124" s="2">
        <v>17.848091195828399</v>
      </c>
      <c r="BE2124" s="2">
        <v>18.055289850649899</v>
      </c>
      <c r="BF2124" s="2">
        <v>18.024445663077401</v>
      </c>
      <c r="BG2124" s="2">
        <v>18.458153813448199</v>
      </c>
      <c r="BH2124" s="2">
        <v>17.457420158885999</v>
      </c>
      <c r="BI2124" s="2">
        <v>17.7843883180883</v>
      </c>
      <c r="BJ2124" s="2">
        <v>18.067994285914299</v>
      </c>
      <c r="BK2124" s="2">
        <v>17.5350462157467</v>
      </c>
      <c r="BL2124" s="2">
        <v>17.1388757302899</v>
      </c>
      <c r="BM2124" s="2">
        <v>17.850476339165098</v>
      </c>
      <c r="BN2124" s="2">
        <v>18.0866242092407</v>
      </c>
      <c r="BO2124" s="2">
        <v>17.589066044768899</v>
      </c>
      <c r="BP2124" s="2">
        <v>17.5809545400062</v>
      </c>
      <c r="BQ2124" s="2">
        <v>17.2905069666751</v>
      </c>
      <c r="BR2124" s="2">
        <v>17.8056652874603</v>
      </c>
      <c r="BS2124" s="2">
        <v>17.397495404521599</v>
      </c>
      <c r="BT2124" s="2">
        <v>16.997341810287899</v>
      </c>
      <c r="BU2124" s="2">
        <v>16.485355437862498</v>
      </c>
      <c r="BV2124" s="2">
        <v>18.1566782153721</v>
      </c>
      <c r="BW2124" s="2">
        <v>17.4021119730577</v>
      </c>
      <c r="BX2124" s="2">
        <v>17.480070219875799</v>
      </c>
      <c r="BY2124" s="2">
        <v>18.2841793150568</v>
      </c>
      <c r="BZ2124" s="2">
        <v>17.759839432160199</v>
      </c>
      <c r="CA2124" s="2">
        <v>18.371713822788099</v>
      </c>
      <c r="CB2124" s="2">
        <v>17.524348877582302</v>
      </c>
      <c r="CC2124" s="2">
        <v>18.048102712958102</v>
      </c>
      <c r="CD2124" s="2">
        <v>18.6527111842762</v>
      </c>
      <c r="CE2124" s="2">
        <v>18.101786953045199</v>
      </c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</row>
    <row r="2125" spans="1:97">
      <c r="A2125" s="2" t="s">
        <v>18468</v>
      </c>
      <c r="B2125" s="2">
        <v>144.1027</v>
      </c>
      <c r="C2125" s="2">
        <v>7.2370000000000001</v>
      </c>
      <c r="D2125" s="2" t="s">
        <v>146</v>
      </c>
      <c r="E2125" s="2" t="s">
        <v>18469</v>
      </c>
      <c r="F2125" s="2" t="s">
        <v>18470</v>
      </c>
      <c r="G2125" s="2">
        <v>55978</v>
      </c>
      <c r="H2125" s="3" t="str">
        <f>HYPERLINK("https://cloud.oebiotech.com/#/lm/network/55978", "https://cloud.oebiotech.com/#/lm/network/55978")</f>
        <v>https://cloud.oebiotech.com/#/lm/network/55978</v>
      </c>
      <c r="I2125" s="2" t="s">
        <v>18471</v>
      </c>
      <c r="J2125" s="2"/>
      <c r="K2125" s="2"/>
      <c r="L2125" s="2">
        <v>7965</v>
      </c>
      <c r="M2125" s="2" t="s">
        <v>18472</v>
      </c>
      <c r="N2125" s="2"/>
      <c r="O2125" s="2"/>
      <c r="P2125" s="2">
        <v>15773</v>
      </c>
      <c r="Q2125" s="2"/>
      <c r="R2125" s="2"/>
      <c r="S2125" s="2" t="s">
        <v>18473</v>
      </c>
      <c r="T2125" s="2" t="s">
        <v>18474</v>
      </c>
      <c r="U2125" s="2" t="s">
        <v>18475</v>
      </c>
      <c r="V2125" s="2" t="s">
        <v>166</v>
      </c>
      <c r="W2125" s="2" t="s">
        <v>167</v>
      </c>
      <c r="X2125" s="2" t="s">
        <v>18476</v>
      </c>
      <c r="Y2125" s="2" t="s">
        <v>169</v>
      </c>
      <c r="Z2125" s="2" t="s">
        <v>169</v>
      </c>
      <c r="AA2125" s="2" t="s">
        <v>18470</v>
      </c>
      <c r="AB2125" s="2" t="s">
        <v>8443</v>
      </c>
      <c r="AC2125" s="2">
        <v>38.020000000000003</v>
      </c>
      <c r="AD2125" s="2">
        <v>95.51</v>
      </c>
      <c r="AE2125" s="2">
        <v>0</v>
      </c>
      <c r="AF2125" s="2" t="s">
        <v>5614</v>
      </c>
      <c r="AG2125" s="2" t="s">
        <v>157</v>
      </c>
      <c r="AH2125" s="2" t="s">
        <v>18477</v>
      </c>
      <c r="AI2125" s="2">
        <v>2.08</v>
      </c>
      <c r="AJ2125" s="2">
        <v>16.7853264056392</v>
      </c>
      <c r="AK2125" s="2">
        <v>16.618954105259</v>
      </c>
      <c r="AL2125" s="2">
        <v>16.307376402736899</v>
      </c>
      <c r="AM2125" s="2">
        <v>16.677304796168698</v>
      </c>
      <c r="AN2125" s="2">
        <v>16.695824487315399</v>
      </c>
      <c r="AO2125" s="2">
        <v>16.652181158186799</v>
      </c>
      <c r="AP2125" s="2">
        <v>16.471959343995401</v>
      </c>
      <c r="AQ2125" s="2">
        <v>16.829356689009298</v>
      </c>
      <c r="AR2125" s="2">
        <v>13.515390621016801</v>
      </c>
      <c r="AS2125" s="2">
        <v>15.8334722345093</v>
      </c>
      <c r="AT2125" s="2">
        <v>15.9972302108217</v>
      </c>
      <c r="AU2125" s="2">
        <v>14.7357384646442</v>
      </c>
      <c r="AV2125" s="2">
        <v>14.473190137507499</v>
      </c>
      <c r="AW2125" s="2">
        <v>14.6946359296658</v>
      </c>
      <c r="AX2125" s="2">
        <v>15.5584524034201</v>
      </c>
      <c r="AY2125" s="2">
        <v>16.035050363633701</v>
      </c>
      <c r="AZ2125" s="2">
        <v>11.6268452025803</v>
      </c>
      <c r="BA2125" s="2">
        <v>16.993105014269101</v>
      </c>
      <c r="BB2125" s="2">
        <v>18.8756387960699</v>
      </c>
      <c r="BC2125" s="2">
        <v>17.515670890475299</v>
      </c>
      <c r="BD2125" s="2">
        <v>14.3357169340585</v>
      </c>
      <c r="BE2125" s="2">
        <v>16.549751583751299</v>
      </c>
      <c r="BF2125" s="2">
        <v>15.897332141815101</v>
      </c>
      <c r="BG2125" s="2">
        <v>17.680442697518401</v>
      </c>
      <c r="BH2125" s="2">
        <v>15.6104351804829</v>
      </c>
      <c r="BI2125" s="2">
        <v>17.001213109480702</v>
      </c>
      <c r="BJ2125" s="2">
        <v>16.358166798998699</v>
      </c>
      <c r="BK2125" s="2">
        <v>13.617672926802801</v>
      </c>
      <c r="BL2125" s="2">
        <v>16.642037727473099</v>
      </c>
      <c r="BM2125" s="2">
        <v>15.6299769639604</v>
      </c>
      <c r="BN2125" s="2">
        <v>15.9904858214349</v>
      </c>
      <c r="BO2125" s="2">
        <v>17.488186208329498</v>
      </c>
      <c r="BP2125" s="2">
        <v>17.070895032035999</v>
      </c>
      <c r="BQ2125" s="2">
        <v>17.7973562885932</v>
      </c>
      <c r="BR2125" s="2">
        <v>17.0037392535979</v>
      </c>
      <c r="BS2125" s="2">
        <v>13.388813777625201</v>
      </c>
      <c r="BT2125" s="2">
        <v>16.479164644697001</v>
      </c>
      <c r="BU2125" s="2">
        <v>16.3748284231249</v>
      </c>
      <c r="BV2125" s="2">
        <v>18.306931728754002</v>
      </c>
      <c r="BW2125" s="2">
        <v>16.099063180482901</v>
      </c>
      <c r="BX2125" s="2">
        <v>15.8541456862683</v>
      </c>
      <c r="BY2125" s="2">
        <v>14.998215781035199</v>
      </c>
      <c r="BZ2125" s="2">
        <v>17.314784047133099</v>
      </c>
      <c r="CA2125" s="2">
        <v>15.932957504383801</v>
      </c>
      <c r="CB2125" s="2">
        <v>16.522864390913899</v>
      </c>
      <c r="CC2125" s="2">
        <v>17.397708554331</v>
      </c>
      <c r="CD2125" s="2">
        <v>14.825707630132699</v>
      </c>
      <c r="CE2125" s="2">
        <v>16.598285901194</v>
      </c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</row>
    <row r="2126" spans="1:97">
      <c r="A2126" s="2" t="s">
        <v>18478</v>
      </c>
      <c r="B2126" s="2">
        <v>253.10526999999999</v>
      </c>
      <c r="C2126" s="2">
        <v>7.9109999999999996</v>
      </c>
      <c r="D2126" s="2" t="s">
        <v>146</v>
      </c>
      <c r="E2126" s="2" t="s">
        <v>18479</v>
      </c>
      <c r="F2126" s="2" t="s">
        <v>18480</v>
      </c>
      <c r="G2126" s="2">
        <v>57873</v>
      </c>
      <c r="H2126" s="3" t="str">
        <f>HYPERLINK("https://cloud.oebiotech.com/#/lm/network/57873", "https://cloud.oebiotech.com/#/lm/network/57873")</f>
        <v>https://cloud.oebiotech.com/#/lm/network/57873</v>
      </c>
      <c r="I2126" s="2" t="s">
        <v>18481</v>
      </c>
      <c r="J2126" s="2"/>
      <c r="K2126" s="2"/>
      <c r="L2126" s="2">
        <v>73001424</v>
      </c>
      <c r="M2126" s="2"/>
      <c r="N2126" s="2"/>
      <c r="O2126" s="2"/>
      <c r="P2126" s="2"/>
      <c r="Q2126" s="2"/>
      <c r="R2126" s="2"/>
      <c r="S2126" s="2" t="s">
        <v>18482</v>
      </c>
      <c r="T2126" s="2" t="s">
        <v>18483</v>
      </c>
      <c r="U2126" s="2" t="s">
        <v>18484</v>
      </c>
      <c r="V2126" s="2" t="s">
        <v>845</v>
      </c>
      <c r="W2126" s="2" t="s">
        <v>18485</v>
      </c>
      <c r="X2126" s="2" t="s">
        <v>375</v>
      </c>
      <c r="Y2126" s="2" t="s">
        <v>847</v>
      </c>
      <c r="Z2126" s="2" t="s">
        <v>18486</v>
      </c>
      <c r="AA2126" s="2"/>
      <c r="AB2126" s="2" t="s">
        <v>8443</v>
      </c>
      <c r="AC2126" s="2">
        <v>38.020000000000003</v>
      </c>
      <c r="AD2126" s="2">
        <v>92.99</v>
      </c>
      <c r="AE2126" s="2">
        <v>0</v>
      </c>
      <c r="AF2126" s="2" t="s">
        <v>18487</v>
      </c>
      <c r="AG2126" s="2" t="s">
        <v>993</v>
      </c>
      <c r="AH2126" s="2" t="s">
        <v>18488</v>
      </c>
      <c r="AI2126" s="2">
        <v>-1.58</v>
      </c>
      <c r="AJ2126" s="2">
        <v>19.134154972132499</v>
      </c>
      <c r="AK2126" s="2">
        <v>19.537751079496399</v>
      </c>
      <c r="AL2126" s="2">
        <v>19.6524084686218</v>
      </c>
      <c r="AM2126" s="2">
        <v>19.705444951714501</v>
      </c>
      <c r="AN2126" s="2">
        <v>19.472392176929699</v>
      </c>
      <c r="AO2126" s="2">
        <v>19.577660703243598</v>
      </c>
      <c r="AP2126" s="2">
        <v>19.6066249779164</v>
      </c>
      <c r="AQ2126" s="2">
        <v>19.617952573587399</v>
      </c>
      <c r="AR2126" s="2">
        <v>19.348289324514699</v>
      </c>
      <c r="AS2126" s="2">
        <v>17.230889949959</v>
      </c>
      <c r="AT2126" s="2">
        <v>18.106654895010699</v>
      </c>
      <c r="AU2126" s="2">
        <v>18.9329382772233</v>
      </c>
      <c r="AV2126" s="2">
        <v>19.898561563247199</v>
      </c>
      <c r="AW2126" s="2">
        <v>21.6365696934593</v>
      </c>
      <c r="AX2126" s="2">
        <v>18.5115713791111</v>
      </c>
      <c r="AY2126" s="2">
        <v>19.808560160350002</v>
      </c>
      <c r="AZ2126" s="2">
        <v>19.302862230456601</v>
      </c>
      <c r="BA2126" s="2">
        <v>17.947982846533002</v>
      </c>
      <c r="BB2126" s="2">
        <v>19.304047719964899</v>
      </c>
      <c r="BC2126" s="2">
        <v>18.429103151210299</v>
      </c>
      <c r="BD2126" s="2">
        <v>18.3569718410034</v>
      </c>
      <c r="BE2126" s="2">
        <v>19.526118647557201</v>
      </c>
      <c r="BF2126" s="2">
        <v>18.754432348481998</v>
      </c>
      <c r="BG2126" s="2">
        <v>17.898644428140098</v>
      </c>
      <c r="BH2126" s="2">
        <v>19.531074710515401</v>
      </c>
      <c r="BI2126" s="2">
        <v>19.6811495345063</v>
      </c>
      <c r="BJ2126" s="2">
        <v>19.312886831919499</v>
      </c>
      <c r="BK2126" s="2">
        <v>20.354989538486599</v>
      </c>
      <c r="BL2126" s="2">
        <v>19.146542797325498</v>
      </c>
      <c r="BM2126" s="2">
        <v>18.479442921695998</v>
      </c>
      <c r="BN2126" s="2">
        <v>19.9398350141687</v>
      </c>
      <c r="BO2126" s="2">
        <v>17.7086026589193</v>
      </c>
      <c r="BP2126" s="2">
        <v>17.917492244665802</v>
      </c>
      <c r="BQ2126" s="2">
        <v>19.149806499677201</v>
      </c>
      <c r="BR2126" s="2">
        <v>21.2183414044902</v>
      </c>
      <c r="BS2126" s="2">
        <v>21.5944511152411</v>
      </c>
      <c r="BT2126" s="2">
        <v>17.780313111114801</v>
      </c>
      <c r="BU2126" s="2">
        <v>17.846060290369898</v>
      </c>
      <c r="BV2126" s="2">
        <v>18.063270725644699</v>
      </c>
      <c r="BW2126" s="2">
        <v>18.861129777785401</v>
      </c>
      <c r="BX2126" s="2">
        <v>19.631246290015799</v>
      </c>
      <c r="BY2126" s="2">
        <v>21.311370732920899</v>
      </c>
      <c r="BZ2126" s="2">
        <v>19.236606968717801</v>
      </c>
      <c r="CA2126" s="2">
        <v>19.230547455987601</v>
      </c>
      <c r="CB2126" s="2">
        <v>18.571951539475599</v>
      </c>
      <c r="CC2126" s="2">
        <v>18.5493463535785</v>
      </c>
      <c r="CD2126" s="2">
        <v>19.2123753575801</v>
      </c>
      <c r="CE2126" s="2">
        <v>18.9526877058384</v>
      </c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</row>
    <row r="2127" spans="1:97">
      <c r="A2127" s="2" t="s">
        <v>18489</v>
      </c>
      <c r="B2127" s="2">
        <v>211.03559999999999</v>
      </c>
      <c r="C2127" s="2">
        <v>9.56</v>
      </c>
      <c r="D2127" s="2" t="s">
        <v>146</v>
      </c>
      <c r="E2127" s="2" t="s">
        <v>18490</v>
      </c>
      <c r="F2127" s="2" t="s">
        <v>18491</v>
      </c>
      <c r="G2127" s="2">
        <v>201324</v>
      </c>
      <c r="H2127" s="3" t="str">
        <f>HYPERLINK("https://cloud.oebiotech.com/#/lm/network/201324", "https://cloud.oebiotech.com/#/lm/network/201324")</f>
        <v>https://cloud.oebiotech.com/#/lm/network/201324</v>
      </c>
      <c r="I2127" s="2" t="s">
        <v>18492</v>
      </c>
      <c r="J2127" s="2"/>
      <c r="K2127" s="2"/>
      <c r="L2127" s="2">
        <v>219132</v>
      </c>
      <c r="M2127" s="2"/>
      <c r="N2127" s="2"/>
      <c r="O2127" s="2"/>
      <c r="P2127" s="2"/>
      <c r="Q2127" s="2"/>
      <c r="R2127" s="2"/>
      <c r="S2127" s="2"/>
      <c r="T2127" s="2" t="s">
        <v>18493</v>
      </c>
      <c r="U2127" s="2" t="s">
        <v>18494</v>
      </c>
      <c r="V2127" s="2" t="s">
        <v>385</v>
      </c>
      <c r="W2127" s="2" t="s">
        <v>386</v>
      </c>
      <c r="X2127" s="2" t="s">
        <v>12519</v>
      </c>
      <c r="Y2127" s="2" t="s">
        <v>388</v>
      </c>
      <c r="Z2127" s="2" t="s">
        <v>389</v>
      </c>
      <c r="AA2127" s="2" t="s">
        <v>12520</v>
      </c>
      <c r="AB2127" s="2" t="s">
        <v>8443</v>
      </c>
      <c r="AC2127" s="2">
        <v>38.01</v>
      </c>
      <c r="AD2127" s="2">
        <v>94.56</v>
      </c>
      <c r="AE2127" s="2">
        <v>0</v>
      </c>
      <c r="AF2127" s="2" t="s">
        <v>18495</v>
      </c>
      <c r="AG2127" s="2" t="s">
        <v>157</v>
      </c>
      <c r="AH2127" s="2" t="s">
        <v>18496</v>
      </c>
      <c r="AI2127" s="2">
        <v>1.9</v>
      </c>
      <c r="AJ2127" s="2">
        <v>20.086516417499102</v>
      </c>
      <c r="AK2127" s="2">
        <v>20.2735476351804</v>
      </c>
      <c r="AL2127" s="2">
        <v>20.546114363209</v>
      </c>
      <c r="AM2127" s="2">
        <v>20.561636589643498</v>
      </c>
      <c r="AN2127" s="2">
        <v>20.4625057473691</v>
      </c>
      <c r="AO2127" s="2">
        <v>20.44505818299</v>
      </c>
      <c r="AP2127" s="2">
        <v>19.800342415176701</v>
      </c>
      <c r="AQ2127" s="2">
        <v>19.869871300776602</v>
      </c>
      <c r="AR2127" s="2">
        <v>19.040349955154799</v>
      </c>
      <c r="AS2127" s="2">
        <v>19.890053567729598</v>
      </c>
      <c r="AT2127" s="2">
        <v>21.0473814361976</v>
      </c>
      <c r="AU2127" s="2">
        <v>20.503396246488201</v>
      </c>
      <c r="AV2127" s="2">
        <v>20.580202524016599</v>
      </c>
      <c r="AW2127" s="2">
        <v>20.6098127399733</v>
      </c>
      <c r="AX2127" s="2">
        <v>20.340307316939501</v>
      </c>
      <c r="AY2127" s="2">
        <v>19.893785299185598</v>
      </c>
      <c r="AZ2127" s="2">
        <v>20.394419359851302</v>
      </c>
      <c r="BA2127" s="2">
        <v>20.265923914490099</v>
      </c>
      <c r="BB2127" s="2">
        <v>20.347379621812902</v>
      </c>
      <c r="BC2127" s="2">
        <v>20.311706114440501</v>
      </c>
      <c r="BD2127" s="2">
        <v>20.0349068877563</v>
      </c>
      <c r="BE2127" s="2">
        <v>20.4422933102903</v>
      </c>
      <c r="BF2127" s="2">
        <v>20.0028765327244</v>
      </c>
      <c r="BG2127" s="2">
        <v>20.9914611853774</v>
      </c>
      <c r="BH2127" s="2">
        <v>20.274976675896799</v>
      </c>
      <c r="BI2127" s="2">
        <v>19.9060371772098</v>
      </c>
      <c r="BJ2127" s="2">
        <v>20.571176016041498</v>
      </c>
      <c r="BK2127" s="2">
        <v>21.284408151891299</v>
      </c>
      <c r="BL2127" s="2">
        <v>20.035923896820901</v>
      </c>
      <c r="BM2127" s="2">
        <v>20.2774978428974</v>
      </c>
      <c r="BN2127" s="2">
        <v>20.838133032827699</v>
      </c>
      <c r="BO2127" s="2">
        <v>20.137559957971298</v>
      </c>
      <c r="BP2127" s="2">
        <v>20.4632559922327</v>
      </c>
      <c r="BQ2127" s="2">
        <v>20.243632122816301</v>
      </c>
      <c r="BR2127" s="2">
        <v>20.1122427717136</v>
      </c>
      <c r="BS2127" s="2">
        <v>20.212626556919201</v>
      </c>
      <c r="BT2127" s="2">
        <v>20.2647922812715</v>
      </c>
      <c r="BU2127" s="2">
        <v>20.059617087377202</v>
      </c>
      <c r="BV2127" s="2">
        <v>19.664699385534401</v>
      </c>
      <c r="BW2127" s="2">
        <v>20.155085944765801</v>
      </c>
      <c r="BX2127" s="2">
        <v>19.4110786799429</v>
      </c>
      <c r="BY2127" s="2">
        <v>19.819947382248799</v>
      </c>
      <c r="BZ2127" s="2">
        <v>20.161927540294901</v>
      </c>
      <c r="CA2127" s="2">
        <v>20.578929529910202</v>
      </c>
      <c r="CB2127" s="2">
        <v>20.252504106455799</v>
      </c>
      <c r="CC2127" s="2">
        <v>20.148276891937201</v>
      </c>
      <c r="CD2127" s="2">
        <v>20.175360298525799</v>
      </c>
      <c r="CE2127" s="2">
        <v>21.1705117022214</v>
      </c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</row>
    <row r="2128" spans="1:97">
      <c r="A2128" s="2" t="s">
        <v>18497</v>
      </c>
      <c r="B2128" s="2">
        <v>215.04193000000001</v>
      </c>
      <c r="C2128" s="2">
        <v>0.70799999999999996</v>
      </c>
      <c r="D2128" s="2" t="s">
        <v>146</v>
      </c>
      <c r="E2128" s="2" t="s">
        <v>18498</v>
      </c>
      <c r="F2128" s="2" t="s">
        <v>18499</v>
      </c>
      <c r="G2128" s="2">
        <v>198991</v>
      </c>
      <c r="H2128" s="3" t="str">
        <f>HYPERLINK("https://cloud.oebiotech.com/#/lm/network/198991", "https://cloud.oebiotech.com/#/lm/network/198991")</f>
        <v>https://cloud.oebiotech.com/#/lm/network/198991</v>
      </c>
      <c r="I2128" s="2" t="s">
        <v>18500</v>
      </c>
      <c r="J2128" s="2">
        <v>315252</v>
      </c>
      <c r="K2128" s="2"/>
      <c r="L2128" s="2">
        <v>7291</v>
      </c>
      <c r="M2128" s="2"/>
      <c r="N2128" s="2"/>
      <c r="O2128" s="2"/>
      <c r="P2128" s="2">
        <v>74537</v>
      </c>
      <c r="Q2128" s="2"/>
      <c r="R2128" s="2"/>
      <c r="S2128" s="2"/>
      <c r="T2128" s="2" t="s">
        <v>18501</v>
      </c>
      <c r="U2128" s="2" t="s">
        <v>18502</v>
      </c>
      <c r="V2128" s="2" t="s">
        <v>338</v>
      </c>
      <c r="W2128" s="2" t="s">
        <v>339</v>
      </c>
      <c r="X2128" s="2" t="s">
        <v>3877</v>
      </c>
      <c r="Y2128" s="2" t="s">
        <v>341</v>
      </c>
      <c r="Z2128" s="2" t="s">
        <v>341</v>
      </c>
      <c r="AA2128" s="2" t="s">
        <v>3878</v>
      </c>
      <c r="AB2128" s="2" t="s">
        <v>8443</v>
      </c>
      <c r="AC2128" s="2">
        <v>38.01</v>
      </c>
      <c r="AD2128" s="2">
        <v>90.03</v>
      </c>
      <c r="AE2128" s="2">
        <v>0</v>
      </c>
      <c r="AF2128" s="2" t="s">
        <v>5614</v>
      </c>
      <c r="AG2128" s="2" t="s">
        <v>3880</v>
      </c>
      <c r="AH2128" s="2" t="s">
        <v>18503</v>
      </c>
      <c r="AI2128" s="2">
        <v>-0.93</v>
      </c>
      <c r="AJ2128" s="2">
        <v>23.1515171580483</v>
      </c>
      <c r="AK2128" s="2">
        <v>22.880365183979201</v>
      </c>
      <c r="AL2128" s="2">
        <v>22.746524258313901</v>
      </c>
      <c r="AM2128" s="2">
        <v>22.718086590747301</v>
      </c>
      <c r="AN2128" s="2">
        <v>22.405883885815602</v>
      </c>
      <c r="AO2128" s="2">
        <v>22.240784404172501</v>
      </c>
      <c r="AP2128" s="2">
        <v>22.665701078482499</v>
      </c>
      <c r="AQ2128" s="2">
        <v>22.621062596839799</v>
      </c>
      <c r="AR2128" s="2">
        <v>22.535883471961601</v>
      </c>
      <c r="AS2128" s="2">
        <v>22.2465402160644</v>
      </c>
      <c r="AT2128" s="2">
        <v>22.521658454300201</v>
      </c>
      <c r="AU2128" s="2">
        <v>22.713740716297899</v>
      </c>
      <c r="AV2128" s="2">
        <v>23.0583904829837</v>
      </c>
      <c r="AW2128" s="2">
        <v>22.4129457124345</v>
      </c>
      <c r="AX2128" s="2">
        <v>22.442972343732499</v>
      </c>
      <c r="AY2128" s="2">
        <v>23.0258016372124</v>
      </c>
      <c r="AZ2128" s="2">
        <v>23.194621970517598</v>
      </c>
      <c r="BA2128" s="2">
        <v>22.362750844756601</v>
      </c>
      <c r="BB2128" s="2">
        <v>22.7706778949733</v>
      </c>
      <c r="BC2128" s="2">
        <v>22.142565469537999</v>
      </c>
      <c r="BD2128" s="2">
        <v>23.419858047008201</v>
      </c>
      <c r="BE2128" s="2">
        <v>22.814878169762</v>
      </c>
      <c r="BF2128" s="2">
        <v>22.590942821811701</v>
      </c>
      <c r="BG2128" s="2">
        <v>22.633577820263898</v>
      </c>
      <c r="BH2128" s="2">
        <v>22.905745006108301</v>
      </c>
      <c r="BI2128" s="2">
        <v>22.663775789141599</v>
      </c>
      <c r="BJ2128" s="2">
        <v>23.202674066358899</v>
      </c>
      <c r="BK2128" s="2">
        <v>23.4471876825416</v>
      </c>
      <c r="BL2128" s="2">
        <v>22.659908740265799</v>
      </c>
      <c r="BM2128" s="2">
        <v>21.717472522367601</v>
      </c>
      <c r="BN2128" s="2">
        <v>22.364566442611899</v>
      </c>
      <c r="BO2128" s="2">
        <v>22.985113591202101</v>
      </c>
      <c r="BP2128" s="2">
        <v>22.7313187388892</v>
      </c>
      <c r="BQ2128" s="2">
        <v>22.427066580851399</v>
      </c>
      <c r="BR2128" s="2">
        <v>22.470101217924999</v>
      </c>
      <c r="BS2128" s="2">
        <v>23.013256731543599</v>
      </c>
      <c r="BT2128" s="2">
        <v>22.648957678171801</v>
      </c>
      <c r="BU2128" s="2">
        <v>22.4990774429195</v>
      </c>
      <c r="BV2128" s="2">
        <v>22.789575355628699</v>
      </c>
      <c r="BW2128" s="2">
        <v>23.057945503820701</v>
      </c>
      <c r="BX2128" s="2">
        <v>22.089011498168698</v>
      </c>
      <c r="BY2128" s="2">
        <v>23.044241470739198</v>
      </c>
      <c r="BZ2128" s="2">
        <v>22.611716983168701</v>
      </c>
      <c r="CA2128" s="2">
        <v>23.486733724554501</v>
      </c>
      <c r="CB2128" s="2">
        <v>22.561265511040698</v>
      </c>
      <c r="CC2128" s="2">
        <v>22.716850478581598</v>
      </c>
      <c r="CD2128" s="2">
        <v>22.299370422017901</v>
      </c>
      <c r="CE2128" s="2">
        <v>22.879773677267799</v>
      </c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</row>
    <row r="2129" spans="1:97">
      <c r="A2129" s="2" t="s">
        <v>18504</v>
      </c>
      <c r="B2129" s="2">
        <v>281.13799</v>
      </c>
      <c r="C2129" s="2">
        <v>9.81</v>
      </c>
      <c r="D2129" s="2" t="s">
        <v>84</v>
      </c>
      <c r="E2129" s="2" t="s">
        <v>18505</v>
      </c>
      <c r="F2129" s="2" t="s">
        <v>18506</v>
      </c>
      <c r="G2129" s="2">
        <v>35714</v>
      </c>
      <c r="H2129" s="3" t="str">
        <f>HYPERLINK("https://cloud.oebiotech.com/#/lm/network/35714", "https://cloud.oebiotech.com/#/lm/network/35714")</f>
        <v>https://cloud.oebiotech.com/#/lm/network/35714</v>
      </c>
      <c r="I2129" s="2"/>
      <c r="J2129" s="2">
        <v>53498</v>
      </c>
      <c r="K2129" s="2" t="s">
        <v>18507</v>
      </c>
      <c r="L2129" s="2">
        <v>10588810</v>
      </c>
      <c r="M2129" s="2"/>
      <c r="N2129" s="2"/>
      <c r="O2129" s="2"/>
      <c r="P2129" s="2"/>
      <c r="Q2129" s="2"/>
      <c r="R2129" s="2"/>
      <c r="S2129" s="2"/>
      <c r="T2129" s="2" t="s">
        <v>18508</v>
      </c>
      <c r="U2129" s="2" t="s">
        <v>18509</v>
      </c>
      <c r="V2129" s="2" t="s">
        <v>553</v>
      </c>
      <c r="W2129" s="2" t="s">
        <v>3480</v>
      </c>
      <c r="X2129" s="2" t="s">
        <v>3481</v>
      </c>
      <c r="Y2129" s="2" t="s">
        <v>556</v>
      </c>
      <c r="Z2129" s="2" t="s">
        <v>3482</v>
      </c>
      <c r="AA2129" s="2" t="s">
        <v>3483</v>
      </c>
      <c r="AB2129" s="2" t="s">
        <v>8443</v>
      </c>
      <c r="AC2129" s="2">
        <v>38.01</v>
      </c>
      <c r="AD2129" s="2">
        <v>90.41</v>
      </c>
      <c r="AE2129" s="2">
        <v>0</v>
      </c>
      <c r="AF2129" s="2" t="s">
        <v>5614</v>
      </c>
      <c r="AG2129" s="2" t="s">
        <v>103</v>
      </c>
      <c r="AH2129" s="2" t="s">
        <v>6904</v>
      </c>
      <c r="AI2129" s="2">
        <v>1.07</v>
      </c>
      <c r="AJ2129" s="2">
        <v>20.057177976364301</v>
      </c>
      <c r="AK2129" s="2">
        <v>20.246881514585699</v>
      </c>
      <c r="AL2129" s="2">
        <v>19.970792750137399</v>
      </c>
      <c r="AM2129" s="2">
        <v>20.255552735442699</v>
      </c>
      <c r="AN2129" s="2">
        <v>20.371719830722199</v>
      </c>
      <c r="AO2129" s="2">
        <v>20.274225540004199</v>
      </c>
      <c r="AP2129" s="2">
        <v>20.1609481752402</v>
      </c>
      <c r="AQ2129" s="2">
        <v>20.070324805109699</v>
      </c>
      <c r="AR2129" s="2">
        <v>20.6251400420233</v>
      </c>
      <c r="AS2129" s="2">
        <v>19.469877909830998</v>
      </c>
      <c r="AT2129" s="2">
        <v>19.4508741484468</v>
      </c>
      <c r="AU2129" s="2">
        <v>18.8419277704431</v>
      </c>
      <c r="AV2129" s="2">
        <v>19.4787920705792</v>
      </c>
      <c r="AW2129" s="2">
        <v>19.871365701926798</v>
      </c>
      <c r="AX2129" s="2">
        <v>19.6214994427555</v>
      </c>
      <c r="AY2129" s="2">
        <v>19.4660942503501</v>
      </c>
      <c r="AZ2129" s="2">
        <v>19.187814368539499</v>
      </c>
      <c r="BA2129" s="2">
        <v>19.363707180963299</v>
      </c>
      <c r="BB2129" s="2">
        <v>19.720380429856601</v>
      </c>
      <c r="BC2129" s="2">
        <v>19.358235451094099</v>
      </c>
      <c r="BD2129" s="2">
        <v>19.473193943438002</v>
      </c>
      <c r="BE2129" s="2">
        <v>20.372452759816699</v>
      </c>
      <c r="BF2129" s="2">
        <v>19.628979072168701</v>
      </c>
      <c r="BG2129" s="2">
        <v>19.732637556133199</v>
      </c>
      <c r="BH2129" s="2">
        <v>19.4290880068062</v>
      </c>
      <c r="BI2129" s="2">
        <v>19.2951573702574</v>
      </c>
      <c r="BJ2129" s="2">
        <v>19.304056456955902</v>
      </c>
      <c r="BK2129" s="2">
        <v>19.349292244946401</v>
      </c>
      <c r="BL2129" s="2">
        <v>19.178879024052701</v>
      </c>
      <c r="BM2129" s="2">
        <v>19.679443330656198</v>
      </c>
      <c r="BN2129" s="2">
        <v>19.5982808118546</v>
      </c>
      <c r="BO2129" s="2">
        <v>18.932577727719</v>
      </c>
      <c r="BP2129" s="2">
        <v>20.5419839380036</v>
      </c>
      <c r="BQ2129" s="2">
        <v>19.612057919632999</v>
      </c>
      <c r="BR2129" s="2">
        <v>19.201141817159598</v>
      </c>
      <c r="BS2129" s="2">
        <v>19.2165271689469</v>
      </c>
      <c r="BT2129" s="2">
        <v>19.431283062831799</v>
      </c>
      <c r="BU2129" s="2">
        <v>19.357938471861299</v>
      </c>
      <c r="BV2129" s="2">
        <v>19.305479924277801</v>
      </c>
      <c r="BW2129" s="2">
        <v>19.4400724327351</v>
      </c>
      <c r="BX2129" s="2">
        <v>19.5167604787881</v>
      </c>
      <c r="BY2129" s="2">
        <v>21.320158031698998</v>
      </c>
      <c r="BZ2129" s="2">
        <v>20.6752677218191</v>
      </c>
      <c r="CA2129" s="2">
        <v>19.656502759947099</v>
      </c>
      <c r="CB2129" s="2">
        <v>19.779657789378302</v>
      </c>
      <c r="CC2129" s="2">
        <v>18.9251523345891</v>
      </c>
      <c r="CD2129" s="2">
        <v>19.6688382342466</v>
      </c>
      <c r="CE2129" s="2">
        <v>19.613737855496101</v>
      </c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</row>
    <row r="2130" spans="1:97">
      <c r="A2130" s="2" t="s">
        <v>18510</v>
      </c>
      <c r="B2130" s="2">
        <v>246.14694</v>
      </c>
      <c r="C2130" s="2">
        <v>8.8170000000000002</v>
      </c>
      <c r="D2130" s="2" t="s">
        <v>84</v>
      </c>
      <c r="E2130" s="2" t="s">
        <v>18511</v>
      </c>
      <c r="F2130" s="2" t="s">
        <v>18512</v>
      </c>
      <c r="G2130" s="2">
        <v>56580</v>
      </c>
      <c r="H2130" s="3" t="str">
        <f>HYPERLINK("https://cloud.oebiotech.com/#/lm/network/56580", "https://cloud.oebiotech.com/#/lm/network/56580")</f>
        <v>https://cloud.oebiotech.com/#/lm/network/56580</v>
      </c>
      <c r="I2130" s="2" t="s">
        <v>18513</v>
      </c>
      <c r="J2130" s="2">
        <v>69602</v>
      </c>
      <c r="K2130" s="2"/>
      <c r="L2130" s="2">
        <v>6623</v>
      </c>
      <c r="M2130" s="2" t="s">
        <v>18514</v>
      </c>
      <c r="N2130" s="2" t="s">
        <v>4264</v>
      </c>
      <c r="O2130" s="2" t="s">
        <v>4265</v>
      </c>
      <c r="P2130" s="2">
        <v>33216</v>
      </c>
      <c r="Q2130" s="2"/>
      <c r="R2130" s="2"/>
      <c r="S2130" s="2" t="s">
        <v>18515</v>
      </c>
      <c r="T2130" s="2" t="s">
        <v>18516</v>
      </c>
      <c r="U2130" s="2" t="s">
        <v>18517</v>
      </c>
      <c r="V2130" s="2" t="s">
        <v>385</v>
      </c>
      <c r="W2130" s="2" t="s">
        <v>386</v>
      </c>
      <c r="X2130" s="2" t="s">
        <v>2011</v>
      </c>
      <c r="Y2130" s="2" t="s">
        <v>388</v>
      </c>
      <c r="Z2130" s="2" t="s">
        <v>389</v>
      </c>
      <c r="AA2130" s="2" t="s">
        <v>2012</v>
      </c>
      <c r="AB2130" s="2" t="s">
        <v>8443</v>
      </c>
      <c r="AC2130" s="2">
        <v>38</v>
      </c>
      <c r="AD2130" s="2">
        <v>90.78</v>
      </c>
      <c r="AE2130" s="2">
        <v>0</v>
      </c>
      <c r="AF2130" s="2" t="s">
        <v>5614</v>
      </c>
      <c r="AG2130" s="2" t="s">
        <v>132</v>
      </c>
      <c r="AH2130" s="2" t="s">
        <v>18518</v>
      </c>
      <c r="AI2130" s="2">
        <v>7.72</v>
      </c>
      <c r="AJ2130" s="2">
        <v>19.1896956549046</v>
      </c>
      <c r="AK2130" s="2">
        <v>19.188705873530601</v>
      </c>
      <c r="AL2130" s="2">
        <v>19.147231089654099</v>
      </c>
      <c r="AM2130" s="2">
        <v>19.272777590411899</v>
      </c>
      <c r="AN2130" s="2">
        <v>19.163024842257599</v>
      </c>
      <c r="AO2130" s="2">
        <v>19.1341241310435</v>
      </c>
      <c r="AP2130" s="2">
        <v>19.339934642024399</v>
      </c>
      <c r="AQ2130" s="2">
        <v>19.206252297677398</v>
      </c>
      <c r="AR2130" s="2">
        <v>18.9293246173408</v>
      </c>
      <c r="AS2130" s="2">
        <v>19.297708726002998</v>
      </c>
      <c r="AT2130" s="2">
        <v>19.138750440574299</v>
      </c>
      <c r="AU2130" s="2">
        <v>19.304526438004601</v>
      </c>
      <c r="AV2130" s="2">
        <v>19.2768395991062</v>
      </c>
      <c r="AW2130" s="2">
        <v>19.318241518036601</v>
      </c>
      <c r="AX2130" s="2">
        <v>18.3077445550799</v>
      </c>
      <c r="AY2130" s="2">
        <v>18.420364192707599</v>
      </c>
      <c r="AZ2130" s="2">
        <v>19.072556266614399</v>
      </c>
      <c r="BA2130" s="2">
        <v>18.988712281733999</v>
      </c>
      <c r="BB2130" s="2">
        <v>19.1142362581935</v>
      </c>
      <c r="BC2130" s="2">
        <v>18.844233853540999</v>
      </c>
      <c r="BD2130" s="2">
        <v>19.174510173143599</v>
      </c>
      <c r="BE2130" s="2">
        <v>19.262805329688099</v>
      </c>
      <c r="BF2130" s="2">
        <v>19.0316947421259</v>
      </c>
      <c r="BG2130" s="2">
        <v>18.871706867888498</v>
      </c>
      <c r="BH2130" s="2">
        <v>18.8469346258839</v>
      </c>
      <c r="BI2130" s="2">
        <v>18.743041934469701</v>
      </c>
      <c r="BJ2130" s="2">
        <v>19.053678543907001</v>
      </c>
      <c r="BK2130" s="2">
        <v>19.002859396076701</v>
      </c>
      <c r="BL2130" s="2">
        <v>19.136915210639099</v>
      </c>
      <c r="BM2130" s="2">
        <v>19.1094661604597</v>
      </c>
      <c r="BN2130" s="2">
        <v>19.028444914673901</v>
      </c>
      <c r="BO2130" s="2">
        <v>18.894337035476401</v>
      </c>
      <c r="BP2130" s="2">
        <v>18.353069830418701</v>
      </c>
      <c r="BQ2130" s="2">
        <v>19.351430653042701</v>
      </c>
      <c r="BR2130" s="2">
        <v>18.857858805887201</v>
      </c>
      <c r="BS2130" s="2">
        <v>19.1079188678127</v>
      </c>
      <c r="BT2130" s="2">
        <v>18.901027995105299</v>
      </c>
      <c r="BU2130" s="2">
        <v>18.5990889557551</v>
      </c>
      <c r="BV2130" s="2">
        <v>19.022733263209599</v>
      </c>
      <c r="BW2130" s="2">
        <v>18.889411035115401</v>
      </c>
      <c r="BX2130" s="2">
        <v>18.623371952643001</v>
      </c>
      <c r="BY2130" s="2">
        <v>18.856800938438699</v>
      </c>
      <c r="BZ2130" s="2">
        <v>19.076591071644401</v>
      </c>
      <c r="CA2130" s="2">
        <v>18.449829947945201</v>
      </c>
      <c r="CB2130" s="2">
        <v>18.5256368794699</v>
      </c>
      <c r="CC2130" s="2">
        <v>18.838052136714701</v>
      </c>
      <c r="CD2130" s="2">
        <v>19.265743339446399</v>
      </c>
      <c r="CE2130" s="2">
        <v>18.925226527910201</v>
      </c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</row>
    <row r="2131" spans="1:97">
      <c r="A2131" s="2" t="s">
        <v>18519</v>
      </c>
      <c r="B2131" s="2">
        <v>422.13751000000002</v>
      </c>
      <c r="C2131" s="2">
        <v>3.9140000000000001</v>
      </c>
      <c r="D2131" s="2" t="s">
        <v>84</v>
      </c>
      <c r="E2131" s="2" t="s">
        <v>18520</v>
      </c>
      <c r="F2131" s="2" t="s">
        <v>18521</v>
      </c>
      <c r="G2131" s="2">
        <v>56682</v>
      </c>
      <c r="H2131" s="3" t="str">
        <f>HYPERLINK("https://cloud.oebiotech.com/#/lm/network/56682", "https://cloud.oebiotech.com/#/lm/network/56682")</f>
        <v>https://cloud.oebiotech.com/#/lm/network/56682</v>
      </c>
      <c r="I2131" s="2" t="s">
        <v>18522</v>
      </c>
      <c r="J2131" s="2">
        <v>88343</v>
      </c>
      <c r="K2131" s="2"/>
      <c r="L2131" s="2">
        <v>665493</v>
      </c>
      <c r="M2131" s="2"/>
      <c r="N2131" s="2"/>
      <c r="O2131" s="2"/>
      <c r="P2131" s="2">
        <v>169065</v>
      </c>
      <c r="Q2131" s="2"/>
      <c r="R2131" s="2"/>
      <c r="S2131" s="2" t="s">
        <v>18523</v>
      </c>
      <c r="T2131" s="2" t="s">
        <v>18524</v>
      </c>
      <c r="U2131" s="2" t="s">
        <v>18525</v>
      </c>
      <c r="V2131" s="2" t="s">
        <v>553</v>
      </c>
      <c r="W2131" s="2" t="s">
        <v>554</v>
      </c>
      <c r="X2131" s="2" t="s">
        <v>15865</v>
      </c>
      <c r="Y2131" s="2" t="s">
        <v>556</v>
      </c>
      <c r="Z2131" s="2" t="s">
        <v>557</v>
      </c>
      <c r="AA2131" s="2" t="s">
        <v>15866</v>
      </c>
      <c r="AB2131" s="2" t="s">
        <v>8443</v>
      </c>
      <c r="AC2131" s="2">
        <v>38</v>
      </c>
      <c r="AD2131" s="2">
        <v>83.25</v>
      </c>
      <c r="AE2131" s="2">
        <v>30.34</v>
      </c>
      <c r="AF2131" s="2" t="s">
        <v>18526</v>
      </c>
      <c r="AG2131" s="2" t="s">
        <v>132</v>
      </c>
      <c r="AH2131" s="2" t="s">
        <v>18527</v>
      </c>
      <c r="AI2131" s="2">
        <v>4.5</v>
      </c>
      <c r="AJ2131" s="2">
        <v>19.364340563685399</v>
      </c>
      <c r="AK2131" s="2">
        <v>18.943682745546401</v>
      </c>
      <c r="AL2131" s="2">
        <v>19.2340368514228</v>
      </c>
      <c r="AM2131" s="2">
        <v>19.097063074190199</v>
      </c>
      <c r="AN2131" s="2">
        <v>19.377047980754099</v>
      </c>
      <c r="AO2131" s="2">
        <v>19.4184221962451</v>
      </c>
      <c r="AP2131" s="2">
        <v>19.171948922200201</v>
      </c>
      <c r="AQ2131" s="2">
        <v>19.1276140616189</v>
      </c>
      <c r="AR2131" s="2">
        <v>17.704498627283598</v>
      </c>
      <c r="AS2131" s="2">
        <v>18.0599944334881</v>
      </c>
      <c r="AT2131" s="2">
        <v>19.308316630077002</v>
      </c>
      <c r="AU2131" s="2">
        <v>17.8932206993689</v>
      </c>
      <c r="AV2131" s="2">
        <v>18.2443559834574</v>
      </c>
      <c r="AW2131" s="2">
        <v>19.2145213784177</v>
      </c>
      <c r="AX2131" s="2">
        <v>18.783344870549001</v>
      </c>
      <c r="AY2131" s="2">
        <v>19.3375754974243</v>
      </c>
      <c r="AZ2131" s="2">
        <v>17.960462602491901</v>
      </c>
      <c r="BA2131" s="2">
        <v>18.8342063163898</v>
      </c>
      <c r="BB2131" s="2">
        <v>18.866163180022902</v>
      </c>
      <c r="BC2131" s="2">
        <v>20.461439588368201</v>
      </c>
      <c r="BD2131" s="2">
        <v>18.1398025811244</v>
      </c>
      <c r="BE2131" s="2">
        <v>20.147661422377599</v>
      </c>
      <c r="BF2131" s="2">
        <v>18.440923089276399</v>
      </c>
      <c r="BG2131" s="2">
        <v>18.641421208381601</v>
      </c>
      <c r="BH2131" s="2">
        <v>18.420093655517899</v>
      </c>
      <c r="BI2131" s="2">
        <v>19.1088480549436</v>
      </c>
      <c r="BJ2131" s="2">
        <v>19.3991454282374</v>
      </c>
      <c r="BK2131" s="2">
        <v>18.454566343901298</v>
      </c>
      <c r="BL2131" s="2">
        <v>18.596677321621701</v>
      </c>
      <c r="BM2131" s="2">
        <v>17.4530503412246</v>
      </c>
      <c r="BN2131" s="2">
        <v>18.953334845786902</v>
      </c>
      <c r="BO2131" s="2">
        <v>19.324235845821001</v>
      </c>
      <c r="BP2131" s="2">
        <v>18.858241705808101</v>
      </c>
      <c r="BQ2131" s="2">
        <v>18.709199750285499</v>
      </c>
      <c r="BR2131" s="2">
        <v>19.9077957823501</v>
      </c>
      <c r="BS2131" s="2">
        <v>18.358591196084902</v>
      </c>
      <c r="BT2131" s="2">
        <v>18.525572422568899</v>
      </c>
      <c r="BU2131" s="2">
        <v>18.724318195121601</v>
      </c>
      <c r="BV2131" s="2">
        <v>19.399681326806299</v>
      </c>
      <c r="BW2131" s="2">
        <v>19.215488421987001</v>
      </c>
      <c r="BX2131" s="2">
        <v>17.909642216546501</v>
      </c>
      <c r="BY2131" s="2">
        <v>18.6730664824609</v>
      </c>
      <c r="BZ2131" s="2">
        <v>17.83896598123</v>
      </c>
      <c r="CA2131" s="2">
        <v>18.914233870171799</v>
      </c>
      <c r="CB2131" s="2">
        <v>19.2723194103366</v>
      </c>
      <c r="CC2131" s="2">
        <v>18.432227181796101</v>
      </c>
      <c r="CD2131" s="2">
        <v>19.128878057527299</v>
      </c>
      <c r="CE2131" s="2">
        <v>18.645859320404099</v>
      </c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</row>
    <row r="2132" spans="1:97">
      <c r="A2132" s="2" t="s">
        <v>18528</v>
      </c>
      <c r="B2132" s="2">
        <v>255.1027</v>
      </c>
      <c r="C2132" s="2">
        <v>4.9489999999999998</v>
      </c>
      <c r="D2132" s="2" t="s">
        <v>146</v>
      </c>
      <c r="E2132" s="2" t="s">
        <v>18529</v>
      </c>
      <c r="F2132" s="2"/>
      <c r="G2132" s="2">
        <v>595681</v>
      </c>
      <c r="H2132" s="3" t="str">
        <f>HYPERLINK("https://cloud.oebiotech.com/#/lm/network/595681", "https://cloud.oebiotech.com/#/lm/network/595681")</f>
        <v>https://cloud.oebiotech.com/#/lm/network/595681</v>
      </c>
      <c r="I2132" s="2"/>
      <c r="J2132" s="2"/>
      <c r="K2132" s="2"/>
      <c r="L2132" s="2">
        <v>16072199</v>
      </c>
      <c r="M2132" s="2"/>
      <c r="N2132" s="2"/>
      <c r="O2132" s="2"/>
      <c r="P2132" s="2"/>
      <c r="Q2132" s="2"/>
      <c r="R2132" s="2"/>
      <c r="S2132" s="2"/>
      <c r="T2132" s="2" t="s">
        <v>18530</v>
      </c>
      <c r="U2132" s="2" t="s">
        <v>18531</v>
      </c>
      <c r="V2132" s="2" t="s">
        <v>385</v>
      </c>
      <c r="W2132" s="2" t="s">
        <v>386</v>
      </c>
      <c r="X2132" s="2" t="s">
        <v>7744</v>
      </c>
      <c r="Y2132" s="2" t="s">
        <v>388</v>
      </c>
      <c r="Z2132" s="2" t="s">
        <v>389</v>
      </c>
      <c r="AA2132" s="2" t="s">
        <v>7745</v>
      </c>
      <c r="AB2132" s="2" t="s">
        <v>8443</v>
      </c>
      <c r="AC2132" s="2">
        <v>38</v>
      </c>
      <c r="AD2132" s="2">
        <v>90.02</v>
      </c>
      <c r="AE2132" s="2">
        <v>0</v>
      </c>
      <c r="AF2132" s="2" t="s">
        <v>5614</v>
      </c>
      <c r="AG2132" s="2" t="s">
        <v>194</v>
      </c>
      <c r="AH2132" s="2" t="s">
        <v>7040</v>
      </c>
      <c r="AI2132" s="2">
        <v>0</v>
      </c>
      <c r="AJ2132" s="2">
        <v>18.1685277219349</v>
      </c>
      <c r="AK2132" s="2">
        <v>17.9700243613852</v>
      </c>
      <c r="AL2132" s="2">
        <v>17.765713111695401</v>
      </c>
      <c r="AM2132" s="2">
        <v>18.053342648256201</v>
      </c>
      <c r="AN2132" s="2">
        <v>18.303922342773902</v>
      </c>
      <c r="AO2132" s="2">
        <v>18.139570986682799</v>
      </c>
      <c r="AP2132" s="2">
        <v>18.038895204170299</v>
      </c>
      <c r="AQ2132" s="2">
        <v>18.094791359792701</v>
      </c>
      <c r="AR2132" s="2">
        <v>16.0518215482988</v>
      </c>
      <c r="AS2132" s="2">
        <v>15.4262244535646</v>
      </c>
      <c r="AT2132" s="2">
        <v>16.5992417969337</v>
      </c>
      <c r="AU2132" s="2">
        <v>18.4787708832235</v>
      </c>
      <c r="AV2132" s="2">
        <v>17.3845329325653</v>
      </c>
      <c r="AW2132" s="2">
        <v>16.979885119502999</v>
      </c>
      <c r="AX2132" s="2">
        <v>16.242059094688699</v>
      </c>
      <c r="AY2132" s="2">
        <v>15.88168755887</v>
      </c>
      <c r="AZ2132" s="2">
        <v>16.445628720925701</v>
      </c>
      <c r="BA2132" s="2">
        <v>18.891188884159099</v>
      </c>
      <c r="BB2132" s="2">
        <v>19.143630837049699</v>
      </c>
      <c r="BC2132" s="2">
        <v>18.607798636764599</v>
      </c>
      <c r="BD2132" s="2">
        <v>18.6835258502785</v>
      </c>
      <c r="BE2132" s="2">
        <v>17.5745701720444</v>
      </c>
      <c r="BF2132" s="2">
        <v>17.536186494922099</v>
      </c>
      <c r="BG2132" s="2">
        <v>17.658866254976399</v>
      </c>
      <c r="BH2132" s="2">
        <v>18.542170445492701</v>
      </c>
      <c r="BI2132" s="2">
        <v>14.830162610739</v>
      </c>
      <c r="BJ2132" s="2">
        <v>19.123866428138498</v>
      </c>
      <c r="BK2132" s="2">
        <v>19.207277978696698</v>
      </c>
      <c r="BL2132" s="2">
        <v>18.2738723004374</v>
      </c>
      <c r="BM2132" s="2">
        <v>17.806663586667199</v>
      </c>
      <c r="BN2132" s="2">
        <v>18.4459020675171</v>
      </c>
      <c r="BO2132" s="2">
        <v>18.659549474265201</v>
      </c>
      <c r="BP2132" s="2">
        <v>16.452316378840798</v>
      </c>
      <c r="BQ2132" s="2">
        <v>16.785816416658999</v>
      </c>
      <c r="BR2132" s="2">
        <v>14.9716665873129</v>
      </c>
      <c r="BS2132" s="2">
        <v>15.595714079987101</v>
      </c>
      <c r="BT2132" s="2">
        <v>18.870839025381098</v>
      </c>
      <c r="BU2132" s="2">
        <v>18.399645470146801</v>
      </c>
      <c r="BV2132" s="2">
        <v>18.574990620317202</v>
      </c>
      <c r="BW2132" s="2">
        <v>17.584449855489002</v>
      </c>
      <c r="BX2132" s="2">
        <v>18.4182291562397</v>
      </c>
      <c r="BY2132" s="2">
        <v>17.884844180059002</v>
      </c>
      <c r="BZ2132" s="2">
        <v>17.097044808048501</v>
      </c>
      <c r="CA2132" s="2">
        <v>17.280239193040501</v>
      </c>
      <c r="CB2132" s="2">
        <v>17.871635043847601</v>
      </c>
      <c r="CC2132" s="2">
        <v>16.565536190446899</v>
      </c>
      <c r="CD2132" s="2">
        <v>18.995883941216</v>
      </c>
      <c r="CE2132" s="2">
        <v>19.337222394918399</v>
      </c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</row>
    <row r="2133" spans="1:97">
      <c r="A2133" s="2" t="s">
        <v>18532</v>
      </c>
      <c r="B2133" s="2">
        <v>269.07749000000001</v>
      </c>
      <c r="C2133" s="2">
        <v>8.6440000000000001</v>
      </c>
      <c r="D2133" s="2" t="s">
        <v>146</v>
      </c>
      <c r="E2133" s="2" t="s">
        <v>18533</v>
      </c>
      <c r="F2133" s="2"/>
      <c r="G2133" s="2">
        <v>594972</v>
      </c>
      <c r="H2133" s="3" t="str">
        <f>HYPERLINK("https://cloud.oebiotech.com/#/lm/network/594972", "https://cloud.oebiotech.com/#/lm/network/594972")</f>
        <v>https://cloud.oebiotech.com/#/lm/network/594972</v>
      </c>
      <c r="I2133" s="2"/>
      <c r="J2133" s="2"/>
      <c r="K2133" s="2"/>
      <c r="L2133" s="2">
        <v>131994622</v>
      </c>
      <c r="M2133" s="2"/>
      <c r="N2133" s="2"/>
      <c r="O2133" s="2"/>
      <c r="P2133" s="2"/>
      <c r="Q2133" s="2"/>
      <c r="R2133" s="2"/>
      <c r="S2133" s="2"/>
      <c r="T2133" s="2" t="s">
        <v>18534</v>
      </c>
      <c r="U2133" s="2" t="s">
        <v>18535</v>
      </c>
      <c r="V2133" s="2" t="s">
        <v>115</v>
      </c>
      <c r="W2133" s="2" t="s">
        <v>116</v>
      </c>
      <c r="X2133" s="2" t="s">
        <v>117</v>
      </c>
      <c r="Y2133" s="2" t="s">
        <v>118</v>
      </c>
      <c r="Z2133" s="2" t="s">
        <v>119</v>
      </c>
      <c r="AA2133" s="2" t="s">
        <v>120</v>
      </c>
      <c r="AB2133" s="2" t="s">
        <v>8443</v>
      </c>
      <c r="AC2133" s="2">
        <v>37.99</v>
      </c>
      <c r="AD2133" s="2">
        <v>92.39</v>
      </c>
      <c r="AE2133" s="2">
        <v>0</v>
      </c>
      <c r="AF2133" s="2" t="s">
        <v>18536</v>
      </c>
      <c r="AG2133" s="2" t="s">
        <v>157</v>
      </c>
      <c r="AH2133" s="2" t="s">
        <v>18537</v>
      </c>
      <c r="AI2133" s="2">
        <v>1.49</v>
      </c>
      <c r="AJ2133" s="2">
        <v>16.004572273491501</v>
      </c>
      <c r="AK2133" s="2">
        <v>16.3232433908037</v>
      </c>
      <c r="AL2133" s="2">
        <v>16.301909824483701</v>
      </c>
      <c r="AM2133" s="2">
        <v>16.489199297882401</v>
      </c>
      <c r="AN2133" s="2">
        <v>16.472105037919601</v>
      </c>
      <c r="AO2133" s="2">
        <v>16.398997310126799</v>
      </c>
      <c r="AP2133" s="2">
        <v>16.4564654367448</v>
      </c>
      <c r="AQ2133" s="2">
        <v>16.594896354492999</v>
      </c>
      <c r="AR2133" s="2">
        <v>9.6233145402724691</v>
      </c>
      <c r="AS2133" s="2">
        <v>9.6233145402724691</v>
      </c>
      <c r="AT2133" s="2">
        <v>11.9229039751825</v>
      </c>
      <c r="AU2133" s="2">
        <v>18.4220288659372</v>
      </c>
      <c r="AV2133" s="2">
        <v>9.6233145402724691</v>
      </c>
      <c r="AW2133" s="2">
        <v>11.825165506698101</v>
      </c>
      <c r="AX2133" s="2">
        <v>9.6233145402724691</v>
      </c>
      <c r="AY2133" s="2">
        <v>9.6233145402724691</v>
      </c>
      <c r="AZ2133" s="2">
        <v>11.741349004178799</v>
      </c>
      <c r="BA2133" s="2">
        <v>21.4125797802668</v>
      </c>
      <c r="BB2133" s="2">
        <v>12.9017814069975</v>
      </c>
      <c r="BC2133" s="2">
        <v>11.6377841102913</v>
      </c>
      <c r="BD2133" s="2">
        <v>9.6233145402724691</v>
      </c>
      <c r="BE2133" s="2">
        <v>9.6233145402724691</v>
      </c>
      <c r="BF2133" s="2">
        <v>19.454880985303099</v>
      </c>
      <c r="BG2133" s="2">
        <v>14.8476686192974</v>
      </c>
      <c r="BH2133" s="2">
        <v>9.6233145402724691</v>
      </c>
      <c r="BI2133" s="2">
        <v>9.6233145402724691</v>
      </c>
      <c r="BJ2133" s="2">
        <v>13.7471544904762</v>
      </c>
      <c r="BK2133" s="2">
        <v>12.52831491377</v>
      </c>
      <c r="BL2133" s="2">
        <v>9.6233145402724691</v>
      </c>
      <c r="BM2133" s="2">
        <v>9.6233145402724691</v>
      </c>
      <c r="BN2133" s="2">
        <v>12.645187813735401</v>
      </c>
      <c r="BO2133" s="2">
        <v>18.773789271303102</v>
      </c>
      <c r="BP2133" s="2">
        <v>9.6233145402724691</v>
      </c>
      <c r="BQ2133" s="2">
        <v>12.973891051792201</v>
      </c>
      <c r="BR2133" s="2">
        <v>13.3936733373796</v>
      </c>
      <c r="BS2133" s="2">
        <v>9.6233145402724691</v>
      </c>
      <c r="BT2133" s="2">
        <v>11.925591526672999</v>
      </c>
      <c r="BU2133" s="2">
        <v>20.785997143628901</v>
      </c>
      <c r="BV2133" s="2">
        <v>14.0639814783073</v>
      </c>
      <c r="BW2133" s="2">
        <v>9.6233145402724691</v>
      </c>
      <c r="BX2133" s="2">
        <v>9.6233145402724691</v>
      </c>
      <c r="BY2133" s="2">
        <v>9.6233145402724691</v>
      </c>
      <c r="BZ2133" s="2">
        <v>19.185938342312699</v>
      </c>
      <c r="CA2133" s="2">
        <v>14.3960896321065</v>
      </c>
      <c r="CB2133" s="2">
        <v>9.6233145402724691</v>
      </c>
      <c r="CC2133" s="2">
        <v>9.6233145402724691</v>
      </c>
      <c r="CD2133" s="2">
        <v>11.995290177253899</v>
      </c>
      <c r="CE2133" s="2">
        <v>11.9308962322109</v>
      </c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</row>
    <row r="2134" spans="1:97">
      <c r="A2134" s="2" t="s">
        <v>18538</v>
      </c>
      <c r="B2134" s="2">
        <v>317.05520999999999</v>
      </c>
      <c r="C2134" s="2">
        <v>4.8639999999999999</v>
      </c>
      <c r="D2134" s="2" t="s">
        <v>84</v>
      </c>
      <c r="E2134" s="2" t="s">
        <v>18539</v>
      </c>
      <c r="F2134" s="2" t="s">
        <v>18540</v>
      </c>
      <c r="G2134" s="2">
        <v>207916</v>
      </c>
      <c r="H2134" s="3" t="str">
        <f>HYPERLINK("https://cloud.oebiotech.com/#/lm/network/207916", "https://cloud.oebiotech.com/#/lm/network/207916")</f>
        <v>https://cloud.oebiotech.com/#/lm/network/207916</v>
      </c>
      <c r="I2134" s="2" t="s">
        <v>18541</v>
      </c>
      <c r="J2134" s="2"/>
      <c r="K2134" s="2"/>
      <c r="L2134" s="2">
        <v>14505732</v>
      </c>
      <c r="M2134" s="2"/>
      <c r="N2134" s="2"/>
      <c r="O2134" s="2"/>
      <c r="P2134" s="2"/>
      <c r="Q2134" s="2"/>
      <c r="R2134" s="2"/>
      <c r="S2134" s="2"/>
      <c r="T2134" s="2" t="s">
        <v>18542</v>
      </c>
      <c r="U2134" s="2" t="s">
        <v>18543</v>
      </c>
      <c r="V2134" s="2" t="s">
        <v>338</v>
      </c>
      <c r="W2134" s="2" t="s">
        <v>339</v>
      </c>
      <c r="X2134" s="2" t="s">
        <v>663</v>
      </c>
      <c r="Y2134" s="2" t="s">
        <v>341</v>
      </c>
      <c r="Z2134" s="2" t="s">
        <v>341</v>
      </c>
      <c r="AA2134" s="2" t="s">
        <v>664</v>
      </c>
      <c r="AB2134" s="2" t="s">
        <v>8443</v>
      </c>
      <c r="AC2134" s="2">
        <v>37.979999999999997</v>
      </c>
      <c r="AD2134" s="2">
        <v>89.91</v>
      </c>
      <c r="AE2134" s="2">
        <v>0</v>
      </c>
      <c r="AF2134" s="2" t="s">
        <v>5614</v>
      </c>
      <c r="AG2134" s="2" t="s">
        <v>103</v>
      </c>
      <c r="AH2134" s="2" t="s">
        <v>18544</v>
      </c>
      <c r="AI2134" s="2">
        <v>-0.63</v>
      </c>
      <c r="AJ2134" s="2">
        <v>16.8169418872595</v>
      </c>
      <c r="AK2134" s="2">
        <v>17.254508458006399</v>
      </c>
      <c r="AL2134" s="2">
        <v>17.522195765945799</v>
      </c>
      <c r="AM2134" s="2">
        <v>18.037207388217301</v>
      </c>
      <c r="AN2134" s="2">
        <v>17.996831878107798</v>
      </c>
      <c r="AO2134" s="2">
        <v>17.857679997412401</v>
      </c>
      <c r="AP2134" s="2">
        <v>17.453260424103</v>
      </c>
      <c r="AQ2134" s="2">
        <v>17.2887330858048</v>
      </c>
      <c r="AR2134" s="2">
        <v>17.0263765763316</v>
      </c>
      <c r="AS2134" s="2">
        <v>16.620579251481502</v>
      </c>
      <c r="AT2134" s="2">
        <v>17.215897343436399</v>
      </c>
      <c r="AU2134" s="2">
        <v>17.587634112673001</v>
      </c>
      <c r="AV2134" s="2">
        <v>16.957668771320598</v>
      </c>
      <c r="AW2134" s="2">
        <v>17.7284079649361</v>
      </c>
      <c r="AX2134" s="2">
        <v>17.410178948860601</v>
      </c>
      <c r="AY2134" s="2">
        <v>17.939236450888799</v>
      </c>
      <c r="AZ2134" s="2">
        <v>16.730050015275701</v>
      </c>
      <c r="BA2134" s="2">
        <v>17.137181085916399</v>
      </c>
      <c r="BB2134" s="2">
        <v>17.314700419545701</v>
      </c>
      <c r="BC2134" s="2">
        <v>17.589315901563499</v>
      </c>
      <c r="BD2134" s="2">
        <v>17.613717031560501</v>
      </c>
      <c r="BE2134" s="2">
        <v>17.011700736773602</v>
      </c>
      <c r="BF2134" s="2">
        <v>14.7215456884209</v>
      </c>
      <c r="BG2134" s="2">
        <v>18.1679265278431</v>
      </c>
      <c r="BH2134" s="2">
        <v>17.8737900131283</v>
      </c>
      <c r="BI2134" s="2">
        <v>17.9537424426942</v>
      </c>
      <c r="BJ2134" s="2">
        <v>17.633520610847299</v>
      </c>
      <c r="BK2134" s="2">
        <v>17.675652489412101</v>
      </c>
      <c r="BL2134" s="2">
        <v>17.8282067250877</v>
      </c>
      <c r="BM2134" s="2">
        <v>17.9205437760819</v>
      </c>
      <c r="BN2134" s="2">
        <v>17.919296374315898</v>
      </c>
      <c r="BO2134" s="2">
        <v>17.8207177279509</v>
      </c>
      <c r="BP2134" s="2">
        <v>17.345183447187701</v>
      </c>
      <c r="BQ2134" s="2">
        <v>18.3285966588587</v>
      </c>
      <c r="BR2134" s="2">
        <v>17.9074293923025</v>
      </c>
      <c r="BS2134" s="2">
        <v>17.267052648448601</v>
      </c>
      <c r="BT2134" s="2">
        <v>17.748911724448799</v>
      </c>
      <c r="BU2134" s="2">
        <v>18.075340265438701</v>
      </c>
      <c r="BV2134" s="2">
        <v>17.8260928561883</v>
      </c>
      <c r="BW2134" s="2">
        <v>18.082631307825</v>
      </c>
      <c r="BX2134" s="2">
        <v>18.089100461797599</v>
      </c>
      <c r="BY2134" s="2">
        <v>17.934359733076001</v>
      </c>
      <c r="BZ2134" s="2">
        <v>17.372030794874</v>
      </c>
      <c r="CA2134" s="2">
        <v>18.032852668077901</v>
      </c>
      <c r="CB2134" s="2">
        <v>17.9959762739547</v>
      </c>
      <c r="CC2134" s="2">
        <v>18.0160722719754</v>
      </c>
      <c r="CD2134" s="2">
        <v>17.8683949748781</v>
      </c>
      <c r="CE2134" s="2">
        <v>18.121298009963301</v>
      </c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</row>
    <row r="2135" spans="1:97">
      <c r="A2135" s="2" t="s">
        <v>18545</v>
      </c>
      <c r="B2135" s="2">
        <v>220.13059999999999</v>
      </c>
      <c r="C2135" s="2">
        <v>5.806</v>
      </c>
      <c r="D2135" s="2" t="s">
        <v>84</v>
      </c>
      <c r="E2135" s="2" t="s">
        <v>18546</v>
      </c>
      <c r="F2135" s="2" t="s">
        <v>18547</v>
      </c>
      <c r="G2135" s="2">
        <v>212005</v>
      </c>
      <c r="H2135" s="3" t="str">
        <f>HYPERLINK("https://cloud.oebiotech.com/#/lm/network/212005", "https://cloud.oebiotech.com/#/lm/network/212005")</f>
        <v>https://cloud.oebiotech.com/#/lm/network/212005</v>
      </c>
      <c r="I2135" s="2" t="s">
        <v>18548</v>
      </c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 t="s">
        <v>18549</v>
      </c>
      <c r="U2135" s="2" t="s">
        <v>18550</v>
      </c>
      <c r="V2135" s="2" t="s">
        <v>115</v>
      </c>
      <c r="W2135" s="2" t="s">
        <v>116</v>
      </c>
      <c r="X2135" s="2" t="s">
        <v>117</v>
      </c>
      <c r="Y2135" s="2" t="s">
        <v>118</v>
      </c>
      <c r="Z2135" s="2" t="s">
        <v>119</v>
      </c>
      <c r="AA2135" s="2" t="s">
        <v>120</v>
      </c>
      <c r="AB2135" s="2" t="s">
        <v>8443</v>
      </c>
      <c r="AC2135" s="2">
        <v>37.979999999999997</v>
      </c>
      <c r="AD2135" s="2">
        <v>89.91</v>
      </c>
      <c r="AE2135" s="2">
        <v>0</v>
      </c>
      <c r="AF2135" s="2" t="s">
        <v>18551</v>
      </c>
      <c r="AG2135" s="2" t="s">
        <v>1578</v>
      </c>
      <c r="AH2135" s="2" t="s">
        <v>18552</v>
      </c>
      <c r="AI2135" s="2">
        <v>0.91</v>
      </c>
      <c r="AJ2135" s="2">
        <v>22.179689888994499</v>
      </c>
      <c r="AK2135" s="2">
        <v>22.303512759863199</v>
      </c>
      <c r="AL2135" s="2">
        <v>22.312629874310598</v>
      </c>
      <c r="AM2135" s="2">
        <v>22.252355736791898</v>
      </c>
      <c r="AN2135" s="2">
        <v>22.353824757913699</v>
      </c>
      <c r="AO2135" s="2">
        <v>22.402979251611399</v>
      </c>
      <c r="AP2135" s="2">
        <v>22.5017474363353</v>
      </c>
      <c r="AQ2135" s="2">
        <v>22.578751959221901</v>
      </c>
      <c r="AR2135" s="2">
        <v>22.051637613521201</v>
      </c>
      <c r="AS2135" s="2">
        <v>22.118030862715099</v>
      </c>
      <c r="AT2135" s="2">
        <v>22.042369840343401</v>
      </c>
      <c r="AU2135" s="2">
        <v>21.961133339591601</v>
      </c>
      <c r="AV2135" s="2">
        <v>22.101339713563501</v>
      </c>
      <c r="AW2135" s="2">
        <v>22.135321409488299</v>
      </c>
      <c r="AX2135" s="2">
        <v>22.0163954711179</v>
      </c>
      <c r="AY2135" s="2">
        <v>22.119820263178099</v>
      </c>
      <c r="AZ2135" s="2">
        <v>22.121343884427102</v>
      </c>
      <c r="BA2135" s="2">
        <v>22.081129496816299</v>
      </c>
      <c r="BB2135" s="2">
        <v>22.1906078256687</v>
      </c>
      <c r="BC2135" s="2">
        <v>22.236333812631099</v>
      </c>
      <c r="BD2135" s="2">
        <v>22.062659579293499</v>
      </c>
      <c r="BE2135" s="2">
        <v>22.070241140029001</v>
      </c>
      <c r="BF2135" s="2">
        <v>22.093805560834902</v>
      </c>
      <c r="BG2135" s="2">
        <v>22.080377868012</v>
      </c>
      <c r="BH2135" s="2">
        <v>22.0933141255375</v>
      </c>
      <c r="BI2135" s="2">
        <v>21.983019430647001</v>
      </c>
      <c r="BJ2135" s="2">
        <v>22.0957361158741</v>
      </c>
      <c r="BK2135" s="2">
        <v>22.130810913615701</v>
      </c>
      <c r="BL2135" s="2">
        <v>22.117425339154501</v>
      </c>
      <c r="BM2135" s="2">
        <v>22.2304707442504</v>
      </c>
      <c r="BN2135" s="2">
        <v>22.289162038513101</v>
      </c>
      <c r="BO2135" s="2">
        <v>22.252111517181</v>
      </c>
      <c r="BP2135" s="2">
        <v>22.264567048954799</v>
      </c>
      <c r="BQ2135" s="2">
        <v>22.124137565639199</v>
      </c>
      <c r="BR2135" s="2">
        <v>22.128043272181099</v>
      </c>
      <c r="BS2135" s="2">
        <v>22.2748392224693</v>
      </c>
      <c r="BT2135" s="2">
        <v>22.227557777393599</v>
      </c>
      <c r="BU2135" s="2">
        <v>22.3492352382703</v>
      </c>
      <c r="BV2135" s="2">
        <v>22.1858588253486</v>
      </c>
      <c r="BW2135" s="2">
        <v>22.148280256337198</v>
      </c>
      <c r="BX2135" s="2">
        <v>22.231521705991099</v>
      </c>
      <c r="BY2135" s="2">
        <v>22.2978839733338</v>
      </c>
      <c r="BZ2135" s="2">
        <v>22.341854038463101</v>
      </c>
      <c r="CA2135" s="2">
        <v>21.941512963934802</v>
      </c>
      <c r="CB2135" s="2">
        <v>22.196539995115401</v>
      </c>
      <c r="CC2135" s="2">
        <v>22.256292553729001</v>
      </c>
      <c r="CD2135" s="2">
        <v>22.303946404894798</v>
      </c>
      <c r="CE2135" s="2">
        <v>22.283855274583701</v>
      </c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</row>
    <row r="2136" spans="1:97">
      <c r="A2136" s="2" t="s">
        <v>18553</v>
      </c>
      <c r="B2136" s="2">
        <v>219.0634</v>
      </c>
      <c r="C2136" s="2">
        <v>5.0780000000000003</v>
      </c>
      <c r="D2136" s="2" t="s">
        <v>146</v>
      </c>
      <c r="E2136" s="2" t="s">
        <v>18554</v>
      </c>
      <c r="F2136" s="2" t="s">
        <v>18555</v>
      </c>
      <c r="G2136" s="2">
        <v>209313</v>
      </c>
      <c r="H2136" s="3" t="str">
        <f>HYPERLINK("https://cloud.oebiotech.com/#/lm/network/209313", "https://cloud.oebiotech.com/#/lm/network/209313")</f>
        <v>https://cloud.oebiotech.com/#/lm/network/209313</v>
      </c>
      <c r="I2136" s="2" t="s">
        <v>18556</v>
      </c>
      <c r="J2136" s="2">
        <v>825115</v>
      </c>
      <c r="K2136" s="2"/>
      <c r="L2136" s="2">
        <v>136051299</v>
      </c>
      <c r="M2136" s="2"/>
      <c r="N2136" s="2"/>
      <c r="O2136" s="2"/>
      <c r="P2136" s="2"/>
      <c r="Q2136" s="2"/>
      <c r="R2136" s="2"/>
      <c r="S2136" s="2"/>
      <c r="T2136" s="2" t="s">
        <v>18557</v>
      </c>
      <c r="U2136" s="2" t="s">
        <v>18558</v>
      </c>
      <c r="V2136" s="2" t="s">
        <v>553</v>
      </c>
      <c r="W2136" s="2" t="s">
        <v>949</v>
      </c>
      <c r="X2136" s="2" t="s">
        <v>950</v>
      </c>
      <c r="Y2136" s="2" t="s">
        <v>556</v>
      </c>
      <c r="Z2136" s="2" t="s">
        <v>951</v>
      </c>
      <c r="AA2136" s="2" t="s">
        <v>952</v>
      </c>
      <c r="AB2136" s="2" t="s">
        <v>8443</v>
      </c>
      <c r="AC2136" s="2">
        <v>37.97</v>
      </c>
      <c r="AD2136" s="2">
        <v>93.98</v>
      </c>
      <c r="AE2136" s="2">
        <v>0</v>
      </c>
      <c r="AF2136" s="2" t="s">
        <v>18559</v>
      </c>
      <c r="AG2136" s="2" t="s">
        <v>993</v>
      </c>
      <c r="AH2136" s="2" t="s">
        <v>18560</v>
      </c>
      <c r="AI2136" s="2">
        <v>-1.83</v>
      </c>
      <c r="AJ2136" s="2">
        <v>18.322545097220001</v>
      </c>
      <c r="AK2136" s="2">
        <v>18.139602610807501</v>
      </c>
      <c r="AL2136" s="2">
        <v>18.107734398849299</v>
      </c>
      <c r="AM2136" s="2">
        <v>18.1320456028322</v>
      </c>
      <c r="AN2136" s="2">
        <v>18.273358119451501</v>
      </c>
      <c r="AO2136" s="2">
        <v>18.2179279820982</v>
      </c>
      <c r="AP2136" s="2">
        <v>18.241962766717599</v>
      </c>
      <c r="AQ2136" s="2">
        <v>18.1355359519129</v>
      </c>
      <c r="AR2136" s="2">
        <v>12.246143804902401</v>
      </c>
      <c r="AS2136" s="2">
        <v>14.6617953521234</v>
      </c>
      <c r="AT2136" s="2">
        <v>18.035453158606401</v>
      </c>
      <c r="AU2136" s="2">
        <v>12.1524971741493</v>
      </c>
      <c r="AV2136" s="2">
        <v>9.6233145402724691</v>
      </c>
      <c r="AW2136" s="2">
        <v>17.123857488463699</v>
      </c>
      <c r="AX2136" s="2">
        <v>18.813567714165199</v>
      </c>
      <c r="AY2136" s="2">
        <v>17.374579009975999</v>
      </c>
      <c r="AZ2136" s="2">
        <v>12.8395089110297</v>
      </c>
      <c r="BA2136" s="2">
        <v>16.0478394146919</v>
      </c>
      <c r="BB2136" s="2">
        <v>17.4673695231632</v>
      </c>
      <c r="BC2136" s="2">
        <v>19.4303364469597</v>
      </c>
      <c r="BD2136" s="2">
        <v>18.962248480234301</v>
      </c>
      <c r="BE2136" s="2">
        <v>18.441610231560301</v>
      </c>
      <c r="BF2136" s="2">
        <v>19.593419464292399</v>
      </c>
      <c r="BG2136" s="2">
        <v>18.405251468096498</v>
      </c>
      <c r="BH2136" s="2">
        <v>15.819520253293501</v>
      </c>
      <c r="BI2136" s="2">
        <v>19.7352315727539</v>
      </c>
      <c r="BJ2136" s="2">
        <v>17.118267388832201</v>
      </c>
      <c r="BK2136" s="2">
        <v>15.6306894611006</v>
      </c>
      <c r="BL2136" s="2">
        <v>16.963767949782898</v>
      </c>
      <c r="BM2136" s="2">
        <v>12.4737894478531</v>
      </c>
      <c r="BN2136" s="2">
        <v>15.6465471788981</v>
      </c>
      <c r="BO2136" s="2">
        <v>17.182686478884399</v>
      </c>
      <c r="BP2136" s="2">
        <v>17.0622911490176</v>
      </c>
      <c r="BQ2136" s="2">
        <v>18.5218642886278</v>
      </c>
      <c r="BR2136" s="2">
        <v>19.153131359150699</v>
      </c>
      <c r="BS2136" s="2">
        <v>17.2573815809818</v>
      </c>
      <c r="BT2136" s="2">
        <v>15.1971226045743</v>
      </c>
      <c r="BU2136" s="2">
        <v>15.3968780031405</v>
      </c>
      <c r="BV2136" s="2">
        <v>14.788715274402101</v>
      </c>
      <c r="BW2136" s="2">
        <v>18.410096406255299</v>
      </c>
      <c r="BX2136" s="2">
        <v>19.439010679592901</v>
      </c>
      <c r="BY2136" s="2">
        <v>18.17590834756</v>
      </c>
      <c r="BZ2136" s="2">
        <v>19.164745853522799</v>
      </c>
      <c r="CA2136" s="2">
        <v>17.632705797266802</v>
      </c>
      <c r="CB2136" s="2">
        <v>17.111309311482</v>
      </c>
      <c r="CC2136" s="2">
        <v>19.962600476920102</v>
      </c>
      <c r="CD2136" s="2">
        <v>14.928063991713699</v>
      </c>
      <c r="CE2136" s="2">
        <v>17.619743842094302</v>
      </c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</row>
    <row r="2137" spans="1:97">
      <c r="A2137" s="2" t="s">
        <v>18561</v>
      </c>
      <c r="B2137" s="2">
        <v>297.17012</v>
      </c>
      <c r="C2137" s="2">
        <v>9.4830000000000005</v>
      </c>
      <c r="D2137" s="2" t="s">
        <v>146</v>
      </c>
      <c r="E2137" s="2" t="s">
        <v>18562</v>
      </c>
      <c r="F2137" s="2" t="s">
        <v>18563</v>
      </c>
      <c r="G2137" s="2">
        <v>63713</v>
      </c>
      <c r="H2137" s="3" t="str">
        <f>HYPERLINK("https://cloud.oebiotech.com/#/lm/network/63713", "https://cloud.oebiotech.com/#/lm/network/63713")</f>
        <v>https://cloud.oebiotech.com/#/lm/network/63713</v>
      </c>
      <c r="I2137" s="2" t="s">
        <v>18564</v>
      </c>
      <c r="J2137" s="2">
        <v>95049</v>
      </c>
      <c r="K2137" s="2"/>
      <c r="L2137" s="2">
        <v>73815070</v>
      </c>
      <c r="M2137" s="2"/>
      <c r="N2137" s="2"/>
      <c r="O2137" s="2"/>
      <c r="P2137" s="2">
        <v>172108</v>
      </c>
      <c r="Q2137" s="2"/>
      <c r="R2137" s="2"/>
      <c r="S2137" s="2" t="s">
        <v>18565</v>
      </c>
      <c r="T2137" s="2" t="s">
        <v>18566</v>
      </c>
      <c r="U2137" s="2" t="s">
        <v>18567</v>
      </c>
      <c r="V2137" s="2" t="s">
        <v>95</v>
      </c>
      <c r="W2137" s="2" t="s">
        <v>180</v>
      </c>
      <c r="X2137" s="2" t="s">
        <v>2714</v>
      </c>
      <c r="Y2137" s="2" t="s">
        <v>98</v>
      </c>
      <c r="Z2137" s="2" t="s">
        <v>182</v>
      </c>
      <c r="AA2137" s="2" t="s">
        <v>2715</v>
      </c>
      <c r="AB2137" s="2" t="s">
        <v>8443</v>
      </c>
      <c r="AC2137" s="2">
        <v>37.97</v>
      </c>
      <c r="AD2137" s="2">
        <v>89.86</v>
      </c>
      <c r="AE2137" s="2">
        <v>0</v>
      </c>
      <c r="AF2137" s="2" t="s">
        <v>5614</v>
      </c>
      <c r="AG2137" s="2" t="s">
        <v>993</v>
      </c>
      <c r="AH2137" s="2" t="s">
        <v>18568</v>
      </c>
      <c r="AI2137" s="2">
        <v>0.34</v>
      </c>
      <c r="AJ2137" s="2">
        <v>16.5060182009668</v>
      </c>
      <c r="AK2137" s="2">
        <v>16.795582862293902</v>
      </c>
      <c r="AL2137" s="2">
        <v>17.035671158044298</v>
      </c>
      <c r="AM2137" s="2">
        <v>16.820502844208701</v>
      </c>
      <c r="AN2137" s="2">
        <v>16.813697782998901</v>
      </c>
      <c r="AO2137" s="2">
        <v>16.690291998641101</v>
      </c>
      <c r="AP2137" s="2">
        <v>16.9341704593404</v>
      </c>
      <c r="AQ2137" s="2">
        <v>16.793429311797301</v>
      </c>
      <c r="AR2137" s="2">
        <v>15.853199155765299</v>
      </c>
      <c r="AS2137" s="2">
        <v>14.9525142159456</v>
      </c>
      <c r="AT2137" s="2">
        <v>16.977252975587</v>
      </c>
      <c r="AU2137" s="2">
        <v>15.129442815553199</v>
      </c>
      <c r="AV2137" s="2">
        <v>16.256087586418801</v>
      </c>
      <c r="AW2137" s="2">
        <v>16.779870653750098</v>
      </c>
      <c r="AX2137" s="2">
        <v>17.055955681553002</v>
      </c>
      <c r="AY2137" s="2">
        <v>17.1974299057457</v>
      </c>
      <c r="AZ2137" s="2">
        <v>14.6470047021776</v>
      </c>
      <c r="BA2137" s="2">
        <v>16.027172543824001</v>
      </c>
      <c r="BB2137" s="2">
        <v>16.352603851418301</v>
      </c>
      <c r="BC2137" s="2">
        <v>18.1190950279309</v>
      </c>
      <c r="BD2137" s="2">
        <v>15.6393022664227</v>
      </c>
      <c r="BE2137" s="2">
        <v>17.414208469854199</v>
      </c>
      <c r="BF2137" s="2">
        <v>16.460964404039998</v>
      </c>
      <c r="BG2137" s="2">
        <v>13.921156610140001</v>
      </c>
      <c r="BH2137" s="2">
        <v>16.376862187314501</v>
      </c>
      <c r="BI2137" s="2">
        <v>16.128319019746002</v>
      </c>
      <c r="BJ2137" s="2">
        <v>16.5421532868281</v>
      </c>
      <c r="BK2137" s="2">
        <v>15.5471882609492</v>
      </c>
      <c r="BL2137" s="2">
        <v>16.375298608381399</v>
      </c>
      <c r="BM2137" s="2">
        <v>15.981882301923299</v>
      </c>
      <c r="BN2137" s="2">
        <v>17.155691055054</v>
      </c>
      <c r="BO2137" s="2">
        <v>16.464010894281699</v>
      </c>
      <c r="BP2137" s="2">
        <v>15.878763651831401</v>
      </c>
      <c r="BQ2137" s="2">
        <v>17.279826011682299</v>
      </c>
      <c r="BR2137" s="2">
        <v>16.7792946085039</v>
      </c>
      <c r="BS2137" s="2">
        <v>16.777211771655601</v>
      </c>
      <c r="BT2137" s="2">
        <v>13.870462013444101</v>
      </c>
      <c r="BU2137" s="2">
        <v>17.1817489848275</v>
      </c>
      <c r="BV2137" s="2">
        <v>17.167848733878898</v>
      </c>
      <c r="BW2137" s="2">
        <v>16.5296818813556</v>
      </c>
      <c r="BX2137" s="2">
        <v>15.7737094737869</v>
      </c>
      <c r="BY2137" s="2">
        <v>17.9062901695962</v>
      </c>
      <c r="BZ2137" s="2">
        <v>15.887176339894999</v>
      </c>
      <c r="CA2137" s="2">
        <v>15.8645310073908</v>
      </c>
      <c r="CB2137" s="2">
        <v>15.904941970646499</v>
      </c>
      <c r="CC2137" s="2">
        <v>17.257691318919601</v>
      </c>
      <c r="CD2137" s="2">
        <v>17.109033402143599</v>
      </c>
      <c r="CE2137" s="2">
        <v>16.3021826550243</v>
      </c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</row>
    <row r="2138" spans="1:97">
      <c r="A2138" s="2" t="s">
        <v>18569</v>
      </c>
      <c r="B2138" s="2">
        <v>202.04379</v>
      </c>
      <c r="C2138" s="2">
        <v>3.7280000000000002</v>
      </c>
      <c r="D2138" s="2" t="s">
        <v>84</v>
      </c>
      <c r="E2138" s="2" t="s">
        <v>18570</v>
      </c>
      <c r="F2138" s="2" t="s">
        <v>18571</v>
      </c>
      <c r="G2138" s="2">
        <v>53028</v>
      </c>
      <c r="H2138" s="3" t="str">
        <f>HYPERLINK("https://cloud.oebiotech.com/#/lm/network/53028", "https://cloud.oebiotech.com/#/lm/network/53028")</f>
        <v>https://cloud.oebiotech.com/#/lm/network/53028</v>
      </c>
      <c r="I2138" s="2" t="s">
        <v>18572</v>
      </c>
      <c r="J2138" s="2">
        <v>2823</v>
      </c>
      <c r="K2138" s="2"/>
      <c r="L2138" s="2">
        <v>5430</v>
      </c>
      <c r="M2138" s="2" t="s">
        <v>18573</v>
      </c>
      <c r="N2138" s="2"/>
      <c r="O2138" s="2"/>
      <c r="P2138" s="2">
        <v>45979</v>
      </c>
      <c r="Q2138" s="2"/>
      <c r="R2138" s="2"/>
      <c r="S2138" s="2" t="s">
        <v>18574</v>
      </c>
      <c r="T2138" s="2" t="s">
        <v>18575</v>
      </c>
      <c r="U2138" s="2" t="s">
        <v>18576</v>
      </c>
      <c r="V2138" s="2" t="s">
        <v>553</v>
      </c>
      <c r="W2138" s="2" t="s">
        <v>9812</v>
      </c>
      <c r="X2138" s="2" t="s">
        <v>375</v>
      </c>
      <c r="Y2138" s="2" t="s">
        <v>556</v>
      </c>
      <c r="Z2138" s="2" t="s">
        <v>9814</v>
      </c>
      <c r="AA2138" s="2"/>
      <c r="AB2138" s="2" t="s">
        <v>8443</v>
      </c>
      <c r="AC2138" s="2">
        <v>37.97</v>
      </c>
      <c r="AD2138" s="2">
        <v>94.75</v>
      </c>
      <c r="AE2138" s="2">
        <v>0</v>
      </c>
      <c r="AF2138" s="2" t="s">
        <v>5614</v>
      </c>
      <c r="AG2138" s="2" t="s">
        <v>103</v>
      </c>
      <c r="AH2138" s="2" t="s">
        <v>18577</v>
      </c>
      <c r="AI2138" s="2">
        <v>-1.98</v>
      </c>
      <c r="AJ2138" s="2">
        <v>30.338426536074898</v>
      </c>
      <c r="AK2138" s="2">
        <v>30.3705605206579</v>
      </c>
      <c r="AL2138" s="2">
        <v>30.3327785656024</v>
      </c>
      <c r="AM2138" s="2">
        <v>30.4249812133014</v>
      </c>
      <c r="AN2138" s="2">
        <v>30.144367108258201</v>
      </c>
      <c r="AO2138" s="2">
        <v>30.289916618976999</v>
      </c>
      <c r="AP2138" s="2">
        <v>30.207171153847199</v>
      </c>
      <c r="AQ2138" s="2">
        <v>30.545838213927698</v>
      </c>
      <c r="AR2138" s="2">
        <v>30.2305095704276</v>
      </c>
      <c r="AS2138" s="2">
        <v>30.095696793262299</v>
      </c>
      <c r="AT2138" s="2">
        <v>30.192111200167599</v>
      </c>
      <c r="AU2138" s="2">
        <v>30.094527622141701</v>
      </c>
      <c r="AV2138" s="2">
        <v>30.236628723330401</v>
      </c>
      <c r="AW2138" s="2">
        <v>30.226177813722199</v>
      </c>
      <c r="AX2138" s="2">
        <v>30.148699124600899</v>
      </c>
      <c r="AY2138" s="2">
        <v>30.335174212080702</v>
      </c>
      <c r="AZ2138" s="2">
        <v>30.250062254605201</v>
      </c>
      <c r="BA2138" s="2">
        <v>30.128649921521799</v>
      </c>
      <c r="BB2138" s="2">
        <v>30.244433088776201</v>
      </c>
      <c r="BC2138" s="2">
        <v>30.2742999561079</v>
      </c>
      <c r="BD2138" s="2">
        <v>30.1952621376869</v>
      </c>
      <c r="BE2138" s="2">
        <v>30.230220688475399</v>
      </c>
      <c r="BF2138" s="2">
        <v>30.262332823478999</v>
      </c>
      <c r="BG2138" s="2">
        <v>30.230869029739701</v>
      </c>
      <c r="BH2138" s="2">
        <v>30.311443775205401</v>
      </c>
      <c r="BI2138" s="2">
        <v>30.3056288341091</v>
      </c>
      <c r="BJ2138" s="2">
        <v>30.180735672142401</v>
      </c>
      <c r="BK2138" s="2">
        <v>30.158136876198501</v>
      </c>
      <c r="BL2138" s="2">
        <v>30.1608377742584</v>
      </c>
      <c r="BM2138" s="2">
        <v>30.2181411121969</v>
      </c>
      <c r="BN2138" s="2">
        <v>30.1729540681157</v>
      </c>
      <c r="BO2138" s="2">
        <v>30.163770011759102</v>
      </c>
      <c r="BP2138" s="2">
        <v>30.2690460920054</v>
      </c>
      <c r="BQ2138" s="2">
        <v>30.2660418791483</v>
      </c>
      <c r="BR2138" s="2">
        <v>30.1954383038921</v>
      </c>
      <c r="BS2138" s="2">
        <v>30.198344286381399</v>
      </c>
      <c r="BT2138" s="2">
        <v>30.1244521955633</v>
      </c>
      <c r="BU2138" s="2">
        <v>30.215018313257801</v>
      </c>
      <c r="BV2138" s="2">
        <v>29.9457265675461</v>
      </c>
      <c r="BW2138" s="2">
        <v>30.127816186930101</v>
      </c>
      <c r="BX2138" s="2">
        <v>30.153510469676299</v>
      </c>
      <c r="BY2138" s="2">
        <v>30.082347756451298</v>
      </c>
      <c r="BZ2138" s="2">
        <v>30.1213730983443</v>
      </c>
      <c r="CA2138" s="2">
        <v>30.307010335014699</v>
      </c>
      <c r="CB2138" s="2">
        <v>30.319728530347401</v>
      </c>
      <c r="CC2138" s="2">
        <v>30.3202282302884</v>
      </c>
      <c r="CD2138" s="2">
        <v>29.9760377217513</v>
      </c>
      <c r="CE2138" s="2">
        <v>30.340124174695099</v>
      </c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</row>
    <row r="2139" spans="1:97">
      <c r="A2139" s="2" t="s">
        <v>18578</v>
      </c>
      <c r="B2139" s="2">
        <v>122.00667</v>
      </c>
      <c r="C2139" s="2">
        <v>5.4880000000000004</v>
      </c>
      <c r="D2139" s="2" t="s">
        <v>146</v>
      </c>
      <c r="E2139" s="2" t="s">
        <v>18579</v>
      </c>
      <c r="F2139" s="2" t="s">
        <v>18580</v>
      </c>
      <c r="G2139" s="2">
        <v>60802</v>
      </c>
      <c r="H2139" s="3" t="str">
        <f>HYPERLINK("https://cloud.oebiotech.com/#/lm/network/60802", "https://cloud.oebiotech.com/#/lm/network/60802")</f>
        <v>https://cloud.oebiotech.com/#/lm/network/60802</v>
      </c>
      <c r="I2139" s="2" t="s">
        <v>18581</v>
      </c>
      <c r="J2139" s="2">
        <v>92136</v>
      </c>
      <c r="K2139" s="2"/>
      <c r="L2139" s="2">
        <v>65288</v>
      </c>
      <c r="M2139" s="2"/>
      <c r="N2139" s="2"/>
      <c r="O2139" s="2"/>
      <c r="P2139" s="2"/>
      <c r="Q2139" s="2"/>
      <c r="R2139" s="2"/>
      <c r="S2139" s="2" t="s">
        <v>18582</v>
      </c>
      <c r="T2139" s="2" t="s">
        <v>18583</v>
      </c>
      <c r="U2139" s="2" t="s">
        <v>18584</v>
      </c>
      <c r="V2139" s="2" t="s">
        <v>338</v>
      </c>
      <c r="W2139" s="2" t="s">
        <v>339</v>
      </c>
      <c r="X2139" s="2" t="s">
        <v>340</v>
      </c>
      <c r="Y2139" s="2" t="s">
        <v>341</v>
      </c>
      <c r="Z2139" s="2" t="s">
        <v>341</v>
      </c>
      <c r="AA2139" s="2" t="s">
        <v>342</v>
      </c>
      <c r="AB2139" s="2" t="s">
        <v>8443</v>
      </c>
      <c r="AC2139" s="2">
        <v>37.96</v>
      </c>
      <c r="AD2139" s="2">
        <v>93.81</v>
      </c>
      <c r="AE2139" s="2">
        <v>0</v>
      </c>
      <c r="AF2139" s="2" t="s">
        <v>5614</v>
      </c>
      <c r="AG2139" s="2" t="s">
        <v>993</v>
      </c>
      <c r="AH2139" s="2" t="s">
        <v>18585</v>
      </c>
      <c r="AI2139" s="2">
        <v>-1.8</v>
      </c>
      <c r="AJ2139" s="2">
        <v>18.012664854418201</v>
      </c>
      <c r="AK2139" s="2">
        <v>17.747940998163699</v>
      </c>
      <c r="AL2139" s="2">
        <v>17.5604741260161</v>
      </c>
      <c r="AM2139" s="2">
        <v>17.872914948795199</v>
      </c>
      <c r="AN2139" s="2">
        <v>17.870850461214602</v>
      </c>
      <c r="AO2139" s="2">
        <v>17.867770045080199</v>
      </c>
      <c r="AP2139" s="2">
        <v>17.855081616835701</v>
      </c>
      <c r="AQ2139" s="2">
        <v>17.832640101366501</v>
      </c>
      <c r="AR2139" s="2">
        <v>17.6597582611879</v>
      </c>
      <c r="AS2139" s="2">
        <v>17.7474655521894</v>
      </c>
      <c r="AT2139" s="2">
        <v>17.659637514751299</v>
      </c>
      <c r="AU2139" s="2">
        <v>17.902345199359001</v>
      </c>
      <c r="AV2139" s="2">
        <v>17.760666611977399</v>
      </c>
      <c r="AW2139" s="2">
        <v>17.734655975885701</v>
      </c>
      <c r="AX2139" s="2">
        <v>17.731005197461499</v>
      </c>
      <c r="AY2139" s="2">
        <v>17.876998164329599</v>
      </c>
      <c r="AZ2139" s="2">
        <v>17.725700422949501</v>
      </c>
      <c r="BA2139" s="2">
        <v>17.701405359538001</v>
      </c>
      <c r="BB2139" s="2">
        <v>17.785912688028901</v>
      </c>
      <c r="BC2139" s="2">
        <v>17.159504094044301</v>
      </c>
      <c r="BD2139" s="2">
        <v>17.895544752585799</v>
      </c>
      <c r="BE2139" s="2">
        <v>17.824327448201799</v>
      </c>
      <c r="BF2139" s="2">
        <v>17.7680455626274</v>
      </c>
      <c r="BG2139" s="2">
        <v>17.6245346062191</v>
      </c>
      <c r="BH2139" s="2">
        <v>17.763281690567698</v>
      </c>
      <c r="BI2139" s="2">
        <v>17.749049195567402</v>
      </c>
      <c r="BJ2139" s="2">
        <v>17.248388014548901</v>
      </c>
      <c r="BK2139" s="2">
        <v>17.734358878452799</v>
      </c>
      <c r="BL2139" s="2">
        <v>17.912147348689601</v>
      </c>
      <c r="BM2139" s="2">
        <v>17.8656796930842</v>
      </c>
      <c r="BN2139" s="2">
        <v>17.7717506532016</v>
      </c>
      <c r="BO2139" s="2">
        <v>17.7659280271928</v>
      </c>
      <c r="BP2139" s="2">
        <v>17.827170495559798</v>
      </c>
      <c r="BQ2139" s="2">
        <v>17.6235588217688</v>
      </c>
      <c r="BR2139" s="2">
        <v>17.28930684833</v>
      </c>
      <c r="BS2139" s="2">
        <v>17.696260467736298</v>
      </c>
      <c r="BT2139" s="2">
        <v>17.732896116414601</v>
      </c>
      <c r="BU2139" s="2">
        <v>17.583614774877699</v>
      </c>
      <c r="BV2139" s="2">
        <v>17.9318776769009</v>
      </c>
      <c r="BW2139" s="2">
        <v>17.6930216792131</v>
      </c>
      <c r="BX2139" s="2">
        <v>17.595417394795099</v>
      </c>
      <c r="BY2139" s="2">
        <v>17.645727590845102</v>
      </c>
      <c r="BZ2139" s="2">
        <v>17.6734676070432</v>
      </c>
      <c r="CA2139" s="2">
        <v>17.742477340687699</v>
      </c>
      <c r="CB2139" s="2">
        <v>17.387043440389601</v>
      </c>
      <c r="CC2139" s="2">
        <v>17.718779681028401</v>
      </c>
      <c r="CD2139" s="2">
        <v>17.294336880623899</v>
      </c>
      <c r="CE2139" s="2">
        <v>17.396492902425599</v>
      </c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</row>
    <row r="2140" spans="1:97">
      <c r="A2140" s="2" t="s">
        <v>18586</v>
      </c>
      <c r="B2140" s="2">
        <v>84.008880000000005</v>
      </c>
      <c r="C2140" s="2">
        <v>13.494</v>
      </c>
      <c r="D2140" s="2" t="s">
        <v>146</v>
      </c>
      <c r="E2140" s="2" t="s">
        <v>18587</v>
      </c>
      <c r="F2140" s="2" t="s">
        <v>18588</v>
      </c>
      <c r="G2140" s="2">
        <v>205358</v>
      </c>
      <c r="H2140" s="3" t="str">
        <f>HYPERLINK("https://cloud.oebiotech.com/#/lm/network/205358", "https://cloud.oebiotech.com/#/lm/network/205358")</f>
        <v>https://cloud.oebiotech.com/#/lm/network/205358</v>
      </c>
      <c r="I2140" s="2" t="s">
        <v>18589</v>
      </c>
      <c r="J2140" s="2"/>
      <c r="K2140" s="2"/>
      <c r="L2140" s="2">
        <v>9740</v>
      </c>
      <c r="M2140" s="2"/>
      <c r="N2140" s="2"/>
      <c r="O2140" s="2"/>
      <c r="P2140" s="2">
        <v>51889</v>
      </c>
      <c r="Q2140" s="2"/>
      <c r="R2140" s="2"/>
      <c r="S2140" s="2"/>
      <c r="T2140" s="2" t="s">
        <v>18590</v>
      </c>
      <c r="U2140" s="2" t="s">
        <v>18591</v>
      </c>
      <c r="V2140" s="2" t="s">
        <v>115</v>
      </c>
      <c r="W2140" s="2" t="s">
        <v>116</v>
      </c>
      <c r="X2140" s="2" t="s">
        <v>2388</v>
      </c>
      <c r="Y2140" s="2" t="s">
        <v>118</v>
      </c>
      <c r="Z2140" s="2" t="s">
        <v>119</v>
      </c>
      <c r="AA2140" s="2" t="s">
        <v>2389</v>
      </c>
      <c r="AB2140" s="2" t="s">
        <v>8443</v>
      </c>
      <c r="AC2140" s="2">
        <v>37.96</v>
      </c>
      <c r="AD2140" s="2">
        <v>97.92</v>
      </c>
      <c r="AE2140" s="2">
        <v>0</v>
      </c>
      <c r="AF2140" s="2" t="s">
        <v>5614</v>
      </c>
      <c r="AG2140" s="2" t="s">
        <v>194</v>
      </c>
      <c r="AH2140" s="2" t="s">
        <v>18592</v>
      </c>
      <c r="AI2140" s="2">
        <v>2.62</v>
      </c>
      <c r="AJ2140" s="2">
        <v>19.7780636504203</v>
      </c>
      <c r="AK2140" s="2">
        <v>19.5383206995999</v>
      </c>
      <c r="AL2140" s="2">
        <v>19.661548379557502</v>
      </c>
      <c r="AM2140" s="2">
        <v>19.170428197591999</v>
      </c>
      <c r="AN2140" s="2">
        <v>19.121183632093299</v>
      </c>
      <c r="AO2140" s="2">
        <v>18.755992073091502</v>
      </c>
      <c r="AP2140" s="2">
        <v>18.840936072287899</v>
      </c>
      <c r="AQ2140" s="2">
        <v>18.975360555258099</v>
      </c>
      <c r="AR2140" s="2">
        <v>18.9271817979931</v>
      </c>
      <c r="AS2140" s="2">
        <v>18.610634257166002</v>
      </c>
      <c r="AT2140" s="2">
        <v>19.2793995166959</v>
      </c>
      <c r="AU2140" s="2">
        <v>19.2688825131888</v>
      </c>
      <c r="AV2140" s="2">
        <v>19.066146622279099</v>
      </c>
      <c r="AW2140" s="2">
        <v>18.827033290831899</v>
      </c>
      <c r="AX2140" s="2">
        <v>19.459861043555101</v>
      </c>
      <c r="AY2140" s="2">
        <v>18.323235736969298</v>
      </c>
      <c r="AZ2140" s="2">
        <v>19.1119539399098</v>
      </c>
      <c r="BA2140" s="2">
        <v>19.620240108251402</v>
      </c>
      <c r="BB2140" s="2">
        <v>19.208492340487499</v>
      </c>
      <c r="BC2140" s="2">
        <v>19.629189643683699</v>
      </c>
      <c r="BD2140" s="2">
        <v>19.0884359623047</v>
      </c>
      <c r="BE2140" s="2">
        <v>18.4153843259555</v>
      </c>
      <c r="BF2140" s="2">
        <v>19.131472417715202</v>
      </c>
      <c r="BG2140" s="2">
        <v>18.822433188061101</v>
      </c>
      <c r="BH2140" s="2">
        <v>18.512799362699699</v>
      </c>
      <c r="BI2140" s="2">
        <v>19.4039781679929</v>
      </c>
      <c r="BJ2140" s="2">
        <v>18.406923823276301</v>
      </c>
      <c r="BK2140" s="2">
        <v>18.965751513697501</v>
      </c>
      <c r="BL2140" s="2">
        <v>19.513251889804501</v>
      </c>
      <c r="BM2140" s="2">
        <v>18.9298183269023</v>
      </c>
      <c r="BN2140" s="2">
        <v>19.015833436438101</v>
      </c>
      <c r="BO2140" s="2">
        <v>19.4127225726799</v>
      </c>
      <c r="BP2140" s="2">
        <v>18.763027854719599</v>
      </c>
      <c r="BQ2140" s="2">
        <v>19.2909859474351</v>
      </c>
      <c r="BR2140" s="2">
        <v>19.102426032618698</v>
      </c>
      <c r="BS2140" s="2">
        <v>18.5900811159722</v>
      </c>
      <c r="BT2140" s="2">
        <v>19.027987882131299</v>
      </c>
      <c r="BU2140" s="2">
        <v>19.064952674193801</v>
      </c>
      <c r="BV2140" s="2">
        <v>18.993437787506</v>
      </c>
      <c r="BW2140" s="2">
        <v>18.5158752834515</v>
      </c>
      <c r="BX2140" s="2">
        <v>18.520032796669199</v>
      </c>
      <c r="BY2140" s="2">
        <v>18.5086569742273</v>
      </c>
      <c r="BZ2140" s="2">
        <v>18.872349125034599</v>
      </c>
      <c r="CA2140" s="2">
        <v>17.987829397307902</v>
      </c>
      <c r="CB2140" s="2">
        <v>18.3023350284234</v>
      </c>
      <c r="CC2140" s="2">
        <v>19.262498110123701</v>
      </c>
      <c r="CD2140" s="2">
        <v>18.535797555759501</v>
      </c>
      <c r="CE2140" s="2">
        <v>18.950204965183399</v>
      </c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</row>
    <row r="2141" spans="1:97">
      <c r="A2141" s="2" t="s">
        <v>18593</v>
      </c>
      <c r="B2141" s="2">
        <v>275.08969000000002</v>
      </c>
      <c r="C2141" s="2">
        <v>6.6349999999999998</v>
      </c>
      <c r="D2141" s="2" t="s">
        <v>146</v>
      </c>
      <c r="E2141" s="2" t="s">
        <v>18594</v>
      </c>
      <c r="F2141" s="2" t="s">
        <v>18595</v>
      </c>
      <c r="G2141" s="2">
        <v>202191</v>
      </c>
      <c r="H2141" s="3" t="str">
        <f>HYPERLINK("https://cloud.oebiotech.com/#/lm/network/202191", "https://cloud.oebiotech.com/#/lm/network/202191")</f>
        <v>https://cloud.oebiotech.com/#/lm/network/202191</v>
      </c>
      <c r="I2141" s="2" t="s">
        <v>18596</v>
      </c>
      <c r="J2141" s="2"/>
      <c r="K2141" s="2"/>
      <c r="L2141" s="2">
        <v>288044</v>
      </c>
      <c r="M2141" s="2"/>
      <c r="N2141" s="2"/>
      <c r="O2141" s="2"/>
      <c r="P2141" s="2"/>
      <c r="Q2141" s="2"/>
      <c r="R2141" s="2"/>
      <c r="S2141" s="2"/>
      <c r="T2141" s="2" t="s">
        <v>18597</v>
      </c>
      <c r="U2141" s="2" t="s">
        <v>18598</v>
      </c>
      <c r="V2141" s="2" t="s">
        <v>818</v>
      </c>
      <c r="W2141" s="2" t="s">
        <v>819</v>
      </c>
      <c r="X2141" s="2" t="s">
        <v>375</v>
      </c>
      <c r="Y2141" s="2" t="s">
        <v>820</v>
      </c>
      <c r="Z2141" s="2" t="s">
        <v>821</v>
      </c>
      <c r="AA2141" s="2"/>
      <c r="AB2141" s="2" t="s">
        <v>8443</v>
      </c>
      <c r="AC2141" s="2">
        <v>37.96</v>
      </c>
      <c r="AD2141" s="2">
        <v>92.04</v>
      </c>
      <c r="AE2141" s="2">
        <v>0</v>
      </c>
      <c r="AF2141" s="2" t="s">
        <v>18599</v>
      </c>
      <c r="AG2141" s="2" t="s">
        <v>993</v>
      </c>
      <c r="AH2141" s="2" t="s">
        <v>18600</v>
      </c>
      <c r="AI2141" s="2">
        <v>-1.45</v>
      </c>
      <c r="AJ2141" s="2">
        <v>19.075021993478501</v>
      </c>
      <c r="AK2141" s="2">
        <v>19.199744033099002</v>
      </c>
      <c r="AL2141" s="2">
        <v>19.066030810048101</v>
      </c>
      <c r="AM2141" s="2">
        <v>19.234195424774398</v>
      </c>
      <c r="AN2141" s="2">
        <v>19.2437337542903</v>
      </c>
      <c r="AO2141" s="2">
        <v>19.0755685891701</v>
      </c>
      <c r="AP2141" s="2">
        <v>19.067364479573499</v>
      </c>
      <c r="AQ2141" s="2">
        <v>19.098408704022699</v>
      </c>
      <c r="AR2141" s="2">
        <v>19.1682729245926</v>
      </c>
      <c r="AS2141" s="2">
        <v>18.131524114682801</v>
      </c>
      <c r="AT2141" s="2">
        <v>19.032315017573701</v>
      </c>
      <c r="AU2141" s="2">
        <v>18.074223693106202</v>
      </c>
      <c r="AV2141" s="2">
        <v>17.316446742692602</v>
      </c>
      <c r="AW2141" s="2">
        <v>18.7055152851214</v>
      </c>
      <c r="AX2141" s="2">
        <v>19.0113253550449</v>
      </c>
      <c r="AY2141" s="2">
        <v>19.674142189027201</v>
      </c>
      <c r="AZ2141" s="2">
        <v>19.4017464092179</v>
      </c>
      <c r="BA2141" s="2">
        <v>18.1687368444592</v>
      </c>
      <c r="BB2141" s="2">
        <v>21.024055120256499</v>
      </c>
      <c r="BC2141" s="2">
        <v>21.1426456670467</v>
      </c>
      <c r="BD2141" s="2">
        <v>19.054072620447698</v>
      </c>
      <c r="BE2141" s="2">
        <v>19.0247895167807</v>
      </c>
      <c r="BF2141" s="2">
        <v>18.475907235361799</v>
      </c>
      <c r="BG2141" s="2">
        <v>19.963823917209201</v>
      </c>
      <c r="BH2141" s="2">
        <v>19.777689362121802</v>
      </c>
      <c r="BI2141" s="2">
        <v>17.582864163010498</v>
      </c>
      <c r="BJ2141" s="2">
        <v>18.562099851748599</v>
      </c>
      <c r="BK2141" s="2">
        <v>18.711807098838399</v>
      </c>
      <c r="BL2141" s="2">
        <v>16.6854067930052</v>
      </c>
      <c r="BM2141" s="2">
        <v>18.293879773934002</v>
      </c>
      <c r="BN2141" s="2">
        <v>17.499745238032901</v>
      </c>
      <c r="BO2141" s="2">
        <v>20.410806188748701</v>
      </c>
      <c r="BP2141" s="2">
        <v>17.3324694877731</v>
      </c>
      <c r="BQ2141" s="2">
        <v>18.3324473718448</v>
      </c>
      <c r="BR2141" s="2">
        <v>18.759979213294201</v>
      </c>
      <c r="BS2141" s="2">
        <v>19.007576913635301</v>
      </c>
      <c r="BT2141" s="2">
        <v>19.7168686499739</v>
      </c>
      <c r="BU2141" s="2">
        <v>18.3637357088359</v>
      </c>
      <c r="BV2141" s="2">
        <v>18.370192510700502</v>
      </c>
      <c r="BW2141" s="2">
        <v>19.072848528506299</v>
      </c>
      <c r="BX2141" s="2">
        <v>18.922639479434999</v>
      </c>
      <c r="BY2141" s="2">
        <v>19.579428146513902</v>
      </c>
      <c r="BZ2141" s="2">
        <v>18.6706021747001</v>
      </c>
      <c r="CA2141" s="2">
        <v>18.478171545127001</v>
      </c>
      <c r="CB2141" s="2">
        <v>17.8586175235477</v>
      </c>
      <c r="CC2141" s="2">
        <v>16.937321516031101</v>
      </c>
      <c r="CD2141" s="2">
        <v>19.2020340975103</v>
      </c>
      <c r="CE2141" s="2">
        <v>18.5155136305947</v>
      </c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</row>
    <row r="2142" spans="1:97">
      <c r="A2142" s="2" t="s">
        <v>18601</v>
      </c>
      <c r="B2142" s="2">
        <v>240.0702</v>
      </c>
      <c r="C2142" s="2">
        <v>10.733000000000001</v>
      </c>
      <c r="D2142" s="2" t="s">
        <v>146</v>
      </c>
      <c r="E2142" s="2" t="s">
        <v>18602</v>
      </c>
      <c r="F2142" s="2" t="s">
        <v>18603</v>
      </c>
      <c r="G2142" s="2">
        <v>63488</v>
      </c>
      <c r="H2142" s="3" t="str">
        <f>HYPERLINK("https://cloud.oebiotech.com/#/lm/network/63488", "https://cloud.oebiotech.com/#/lm/network/63488")</f>
        <v>https://cloud.oebiotech.com/#/lm/network/63488</v>
      </c>
      <c r="I2142" s="2" t="s">
        <v>18604</v>
      </c>
      <c r="J2142" s="2">
        <v>94814</v>
      </c>
      <c r="K2142" s="2"/>
      <c r="L2142" s="2">
        <v>3035207</v>
      </c>
      <c r="M2142" s="2"/>
      <c r="N2142" s="2"/>
      <c r="O2142" s="2"/>
      <c r="P2142" s="2"/>
      <c r="Q2142" s="2"/>
      <c r="R2142" s="2"/>
      <c r="S2142" s="2" t="s">
        <v>18605</v>
      </c>
      <c r="T2142" s="2" t="s">
        <v>18606</v>
      </c>
      <c r="U2142" s="2" t="s">
        <v>18607</v>
      </c>
      <c r="V2142" s="2" t="s">
        <v>385</v>
      </c>
      <c r="W2142" s="2" t="s">
        <v>386</v>
      </c>
      <c r="X2142" s="2" t="s">
        <v>17297</v>
      </c>
      <c r="Y2142" s="2" t="s">
        <v>388</v>
      </c>
      <c r="Z2142" s="2" t="s">
        <v>389</v>
      </c>
      <c r="AA2142" s="2" t="s">
        <v>17298</v>
      </c>
      <c r="AB2142" s="2" t="s">
        <v>8443</v>
      </c>
      <c r="AC2142" s="2">
        <v>37.96</v>
      </c>
      <c r="AD2142" s="2">
        <v>89.78</v>
      </c>
      <c r="AE2142" s="2">
        <v>0</v>
      </c>
      <c r="AF2142" s="2" t="s">
        <v>5614</v>
      </c>
      <c r="AG2142" s="2" t="s">
        <v>194</v>
      </c>
      <c r="AH2142" s="2" t="s">
        <v>18608</v>
      </c>
      <c r="AI2142" s="2">
        <v>-0.83</v>
      </c>
      <c r="AJ2142" s="2">
        <v>18.595850856588001</v>
      </c>
      <c r="AK2142" s="2">
        <v>18.598532240107801</v>
      </c>
      <c r="AL2142" s="2">
        <v>18.5712309481648</v>
      </c>
      <c r="AM2142" s="2">
        <v>18.757779950794198</v>
      </c>
      <c r="AN2142" s="2">
        <v>18.391456532029199</v>
      </c>
      <c r="AO2142" s="2">
        <v>18.697746851744899</v>
      </c>
      <c r="AP2142" s="2">
        <v>18.892574625456302</v>
      </c>
      <c r="AQ2142" s="2">
        <v>18.789244198168198</v>
      </c>
      <c r="AR2142" s="2">
        <v>18.977302286531</v>
      </c>
      <c r="AS2142" s="2">
        <v>18.868472024574899</v>
      </c>
      <c r="AT2142" s="2">
        <v>18.230457322355399</v>
      </c>
      <c r="AU2142" s="2">
        <v>18.887561355039399</v>
      </c>
      <c r="AV2142" s="2">
        <v>17.9283425036956</v>
      </c>
      <c r="AW2142" s="2">
        <v>18.548462739951699</v>
      </c>
      <c r="AX2142" s="2">
        <v>18.375751759278799</v>
      </c>
      <c r="AY2142" s="2">
        <v>18.691652918577802</v>
      </c>
      <c r="AZ2142" s="2">
        <v>18.681360898646599</v>
      </c>
      <c r="BA2142" s="2">
        <v>18.352991710898099</v>
      </c>
      <c r="BB2142" s="2">
        <v>18.581514842388099</v>
      </c>
      <c r="BC2142" s="2">
        <v>18.637739082810501</v>
      </c>
      <c r="BD2142" s="2">
        <v>18.464826462428601</v>
      </c>
      <c r="BE2142" s="2">
        <v>18.5146181737963</v>
      </c>
      <c r="BF2142" s="2">
        <v>18.562263520022999</v>
      </c>
      <c r="BG2142" s="2">
        <v>18.327323345410399</v>
      </c>
      <c r="BH2142" s="2">
        <v>17.690622042730801</v>
      </c>
      <c r="BI2142" s="2">
        <v>18.7465982939589</v>
      </c>
      <c r="BJ2142" s="2">
        <v>18.468966429187098</v>
      </c>
      <c r="BK2142" s="2">
        <v>18.481479550462801</v>
      </c>
      <c r="BL2142" s="2">
        <v>18.925303296591899</v>
      </c>
      <c r="BM2142" s="2">
        <v>18.056205752090399</v>
      </c>
      <c r="BN2142" s="2">
        <v>18.930144041671301</v>
      </c>
      <c r="BO2142" s="2">
        <v>18.5081042126452</v>
      </c>
      <c r="BP2142" s="2">
        <v>18.600926699252199</v>
      </c>
      <c r="BQ2142" s="2">
        <v>18.580190726079799</v>
      </c>
      <c r="BR2142" s="2">
        <v>18.2580943666538</v>
      </c>
      <c r="BS2142" s="2">
        <v>19.266189197509899</v>
      </c>
      <c r="BT2142" s="2">
        <v>18.915493095140501</v>
      </c>
      <c r="BU2142" s="2">
        <v>18.010660751856001</v>
      </c>
      <c r="BV2142" s="2">
        <v>18.7736651470799</v>
      </c>
      <c r="BW2142" s="2">
        <v>17.632479177295</v>
      </c>
      <c r="BX2142" s="2">
        <v>17.4164872310349</v>
      </c>
      <c r="BY2142" s="2">
        <v>16.967105886603701</v>
      </c>
      <c r="BZ2142" s="2">
        <v>18.585932431926299</v>
      </c>
      <c r="CA2142" s="2">
        <v>19.0447812430968</v>
      </c>
      <c r="CB2142" s="2">
        <v>18.9166637640052</v>
      </c>
      <c r="CC2142" s="2">
        <v>18.344053950096502</v>
      </c>
      <c r="CD2142" s="2">
        <v>18.507961877169699</v>
      </c>
      <c r="CE2142" s="2">
        <v>18.507257268446999</v>
      </c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</row>
    <row r="2143" spans="1:97">
      <c r="A2143" s="2" t="s">
        <v>18609</v>
      </c>
      <c r="B2143" s="2">
        <v>200.23703</v>
      </c>
      <c r="C2143" s="2">
        <v>8.3179999999999996</v>
      </c>
      <c r="D2143" s="2" t="s">
        <v>84</v>
      </c>
      <c r="E2143" s="2" t="s">
        <v>18610</v>
      </c>
      <c r="F2143" s="2" t="s">
        <v>18611</v>
      </c>
      <c r="G2143" s="2">
        <v>9195</v>
      </c>
      <c r="H2143" s="3" t="str">
        <f>HYPERLINK("https://cloud.oebiotech.com/#/lm/network/9195", "https://cloud.oebiotech.com/#/lm/network/9195")</f>
        <v>https://cloud.oebiotech.com/#/lm/network/9195</v>
      </c>
      <c r="I2143" s="2"/>
      <c r="J2143" s="2">
        <v>97496</v>
      </c>
      <c r="K2143" s="2" t="s">
        <v>18612</v>
      </c>
      <c r="L2143" s="2">
        <v>5362712</v>
      </c>
      <c r="M2143" s="2"/>
      <c r="N2143" s="2"/>
      <c r="O2143" s="2"/>
      <c r="P2143" s="2"/>
      <c r="Q2143" s="2"/>
      <c r="R2143" s="2"/>
      <c r="S2143" s="2"/>
      <c r="T2143" s="2" t="s">
        <v>18613</v>
      </c>
      <c r="U2143" s="2" t="s">
        <v>18614</v>
      </c>
      <c r="V2143" s="2" t="s">
        <v>10755</v>
      </c>
      <c r="W2143" s="2" t="s">
        <v>10756</v>
      </c>
      <c r="X2143" s="2" t="s">
        <v>16890</v>
      </c>
      <c r="Y2143" s="2" t="s">
        <v>10758</v>
      </c>
      <c r="Z2143" s="2" t="s">
        <v>10759</v>
      </c>
      <c r="AA2143" s="2" t="s">
        <v>16891</v>
      </c>
      <c r="AB2143" s="2" t="s">
        <v>8443</v>
      </c>
      <c r="AC2143" s="2">
        <v>37.94</v>
      </c>
      <c r="AD2143" s="2">
        <v>92.22</v>
      </c>
      <c r="AE2143" s="2">
        <v>0</v>
      </c>
      <c r="AF2143" s="2" t="s">
        <v>5614</v>
      </c>
      <c r="AG2143" s="2" t="s">
        <v>132</v>
      </c>
      <c r="AH2143" s="2" t="s">
        <v>18615</v>
      </c>
      <c r="AI2143" s="2">
        <v>1.5</v>
      </c>
      <c r="AJ2143" s="2">
        <v>19.424585078151299</v>
      </c>
      <c r="AK2143" s="2">
        <v>19.248415696462999</v>
      </c>
      <c r="AL2143" s="2">
        <v>19.174350510054801</v>
      </c>
      <c r="AM2143" s="2">
        <v>19.627077769249301</v>
      </c>
      <c r="AN2143" s="2">
        <v>19.698514972345201</v>
      </c>
      <c r="AO2143" s="2">
        <v>19.561048387385402</v>
      </c>
      <c r="AP2143" s="2">
        <v>19.292002565546401</v>
      </c>
      <c r="AQ2143" s="2">
        <v>19.3585525221356</v>
      </c>
      <c r="AR2143" s="2">
        <v>19.747793032152298</v>
      </c>
      <c r="AS2143" s="2">
        <v>18.825475817790199</v>
      </c>
      <c r="AT2143" s="2">
        <v>19.673154461256001</v>
      </c>
      <c r="AU2143" s="2">
        <v>19.391432302214501</v>
      </c>
      <c r="AV2143" s="2">
        <v>18.471152245850401</v>
      </c>
      <c r="AW2143" s="2">
        <v>19.479109863322702</v>
      </c>
      <c r="AX2143" s="2">
        <v>18.7974116097223</v>
      </c>
      <c r="AY2143" s="2">
        <v>18.6052733616689</v>
      </c>
      <c r="AZ2143" s="2">
        <v>18.843140819564599</v>
      </c>
      <c r="BA2143" s="2">
        <v>19.024653997728201</v>
      </c>
      <c r="BB2143" s="2">
        <v>19.824260903418999</v>
      </c>
      <c r="BC2143" s="2">
        <v>19.133995569255902</v>
      </c>
      <c r="BD2143" s="2">
        <v>19.6044264693851</v>
      </c>
      <c r="BE2143" s="2">
        <v>18.250913845390301</v>
      </c>
      <c r="BF2143" s="2">
        <v>20.203854621550299</v>
      </c>
      <c r="BG2143" s="2">
        <v>20.332894170209901</v>
      </c>
      <c r="BH2143" s="2">
        <v>19.714505785114699</v>
      </c>
      <c r="BI2143" s="2">
        <v>19.3795216385898</v>
      </c>
      <c r="BJ2143" s="2">
        <v>19.039982303163601</v>
      </c>
      <c r="BK2143" s="2">
        <v>19.574347778932101</v>
      </c>
      <c r="BL2143" s="2">
        <v>18.322942793330999</v>
      </c>
      <c r="BM2143" s="2">
        <v>18.313602103252801</v>
      </c>
      <c r="BN2143" s="2">
        <v>18.3164477591808</v>
      </c>
      <c r="BO2143" s="2">
        <v>18.859711120906798</v>
      </c>
      <c r="BP2143" s="2">
        <v>19.053669264607102</v>
      </c>
      <c r="BQ2143" s="2">
        <v>18.067123243993802</v>
      </c>
      <c r="BR2143" s="2">
        <v>18.549252973193301</v>
      </c>
      <c r="BS2143" s="2">
        <v>17.7150291127743</v>
      </c>
      <c r="BT2143" s="2">
        <v>18.274828970505901</v>
      </c>
      <c r="BU2143" s="2">
        <v>18.555928540761499</v>
      </c>
      <c r="BV2143" s="2">
        <v>18.796163090694499</v>
      </c>
      <c r="BW2143" s="2">
        <v>18.841938209624701</v>
      </c>
      <c r="BX2143" s="2">
        <v>18.712801597120599</v>
      </c>
      <c r="BY2143" s="2">
        <v>18.826985577877799</v>
      </c>
      <c r="BZ2143" s="2">
        <v>18.917466866285199</v>
      </c>
      <c r="CA2143" s="2">
        <v>17.916329917324301</v>
      </c>
      <c r="CB2143" s="2">
        <v>18.021591798135798</v>
      </c>
      <c r="CC2143" s="2">
        <v>18.9320533488157</v>
      </c>
      <c r="CD2143" s="2">
        <v>18.817455943087001</v>
      </c>
      <c r="CE2143" s="2">
        <v>18.366464077406299</v>
      </c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</row>
    <row r="2144" spans="1:97">
      <c r="A2144" s="2" t="s">
        <v>18616</v>
      </c>
      <c r="B2144" s="2">
        <v>343.07686999999999</v>
      </c>
      <c r="C2144" s="2">
        <v>6.6319999999999997</v>
      </c>
      <c r="D2144" s="2" t="s">
        <v>146</v>
      </c>
      <c r="E2144" s="2" t="s">
        <v>18617</v>
      </c>
      <c r="F2144" s="2" t="s">
        <v>18618</v>
      </c>
      <c r="G2144" s="2">
        <v>211892</v>
      </c>
      <c r="H2144" s="3" t="str">
        <f>HYPERLINK("https://cloud.oebiotech.com/#/lm/network/211892", "https://cloud.oebiotech.com/#/lm/network/211892")</f>
        <v>https://cloud.oebiotech.com/#/lm/network/211892</v>
      </c>
      <c r="I2144" s="2" t="s">
        <v>18619</v>
      </c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 t="s">
        <v>18620</v>
      </c>
      <c r="U2144" s="2" t="s">
        <v>18621</v>
      </c>
      <c r="V2144" s="2" t="s">
        <v>553</v>
      </c>
      <c r="W2144" s="2" t="s">
        <v>18622</v>
      </c>
      <c r="X2144" s="2" t="s">
        <v>375</v>
      </c>
      <c r="Y2144" s="2" t="s">
        <v>556</v>
      </c>
      <c r="Z2144" s="2" t="s">
        <v>18623</v>
      </c>
      <c r="AA2144" s="2"/>
      <c r="AB2144" s="2" t="s">
        <v>8443</v>
      </c>
      <c r="AC2144" s="2">
        <v>37.94</v>
      </c>
      <c r="AD2144" s="2">
        <v>89.68</v>
      </c>
      <c r="AE2144" s="2">
        <v>0</v>
      </c>
      <c r="AF2144" s="2" t="s">
        <v>5614</v>
      </c>
      <c r="AG2144" s="2" t="s">
        <v>993</v>
      </c>
      <c r="AH2144" s="2" t="s">
        <v>18624</v>
      </c>
      <c r="AI2144" s="2">
        <v>0.87</v>
      </c>
      <c r="AJ2144" s="2">
        <v>17.342042799564101</v>
      </c>
      <c r="AK2144" s="2">
        <v>17.239090543154099</v>
      </c>
      <c r="AL2144" s="2">
        <v>17.0600141250588</v>
      </c>
      <c r="AM2144" s="2">
        <v>16.941637868710099</v>
      </c>
      <c r="AN2144" s="2">
        <v>17.355753700834502</v>
      </c>
      <c r="AO2144" s="2">
        <v>17.204075610323201</v>
      </c>
      <c r="AP2144" s="2">
        <v>17.169094108947299</v>
      </c>
      <c r="AQ2144" s="2">
        <v>17.112869310812101</v>
      </c>
      <c r="AR2144" s="2">
        <v>16.8600525068554</v>
      </c>
      <c r="AS2144" s="2">
        <v>16.1574726682733</v>
      </c>
      <c r="AT2144" s="2">
        <v>17.251217854056701</v>
      </c>
      <c r="AU2144" s="2">
        <v>16.568781789114301</v>
      </c>
      <c r="AV2144" s="2">
        <v>14.881063759980901</v>
      </c>
      <c r="AW2144" s="2">
        <v>16.680505675799999</v>
      </c>
      <c r="AX2144" s="2">
        <v>17.0534010405331</v>
      </c>
      <c r="AY2144" s="2">
        <v>17.850596103277599</v>
      </c>
      <c r="AZ2144" s="2">
        <v>17.085368614431001</v>
      </c>
      <c r="BA2144" s="2">
        <v>15.449522041448001</v>
      </c>
      <c r="BB2144" s="2">
        <v>18.947208488644801</v>
      </c>
      <c r="BC2144" s="2">
        <v>19.176552024040198</v>
      </c>
      <c r="BD2144" s="2">
        <v>16.858601498426601</v>
      </c>
      <c r="BE2144" s="2">
        <v>16.5316022953673</v>
      </c>
      <c r="BF2144" s="2">
        <v>16.591016777111101</v>
      </c>
      <c r="BG2144" s="2">
        <v>17.6306854800583</v>
      </c>
      <c r="BH2144" s="2">
        <v>17.7797879543592</v>
      </c>
      <c r="BI2144" s="2">
        <v>15.576262894536001</v>
      </c>
      <c r="BJ2144" s="2">
        <v>16.057516060813501</v>
      </c>
      <c r="BK2144" s="2">
        <v>16.384943913263299</v>
      </c>
      <c r="BL2144" s="2">
        <v>12.805963483591499</v>
      </c>
      <c r="BM2144" s="2">
        <v>16.040912331180099</v>
      </c>
      <c r="BN2144" s="2">
        <v>15.1595749485254</v>
      </c>
      <c r="BO2144" s="2">
        <v>18.391589274823001</v>
      </c>
      <c r="BP2144" s="2">
        <v>14.442435561207001</v>
      </c>
      <c r="BQ2144" s="2">
        <v>16.4641977653975</v>
      </c>
      <c r="BR2144" s="2">
        <v>17.018373744793099</v>
      </c>
      <c r="BS2144" s="2">
        <v>17.099148061562602</v>
      </c>
      <c r="BT2144" s="2">
        <v>17.846139766702301</v>
      </c>
      <c r="BU2144" s="2">
        <v>16.457466010703101</v>
      </c>
      <c r="BV2144" s="2">
        <v>16.3473249863654</v>
      </c>
      <c r="BW2144" s="2">
        <v>17.1610182820273</v>
      </c>
      <c r="BX2144" s="2">
        <v>16.822466767539701</v>
      </c>
      <c r="BY2144" s="2">
        <v>17.644558276083199</v>
      </c>
      <c r="BZ2144" s="2">
        <v>16.4370202026575</v>
      </c>
      <c r="CA2144" s="2">
        <v>16.042128524340299</v>
      </c>
      <c r="CB2144" s="2">
        <v>15.9144414279328</v>
      </c>
      <c r="CC2144" s="2">
        <v>14.6253247200322</v>
      </c>
      <c r="CD2144" s="2">
        <v>17.328001136038001</v>
      </c>
      <c r="CE2144" s="2">
        <v>16.532115263245899</v>
      </c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</row>
    <row r="2145" spans="1:97">
      <c r="A2145" s="2" t="s">
        <v>18625</v>
      </c>
      <c r="B2145" s="2">
        <v>225.04008999999999</v>
      </c>
      <c r="C2145" s="2">
        <v>6.5839999999999996</v>
      </c>
      <c r="D2145" s="2" t="s">
        <v>146</v>
      </c>
      <c r="E2145" s="2" t="s">
        <v>18626</v>
      </c>
      <c r="F2145" s="2" t="s">
        <v>18627</v>
      </c>
      <c r="G2145" s="2">
        <v>58011</v>
      </c>
      <c r="H2145" s="3" t="str">
        <f>HYPERLINK("https://cloud.oebiotech.com/#/lm/network/58011", "https://cloud.oebiotech.com/#/lm/network/58011")</f>
        <v>https://cloud.oebiotech.com/#/lm/network/58011</v>
      </c>
      <c r="I2145" s="2" t="s">
        <v>18628</v>
      </c>
      <c r="J2145" s="2">
        <v>89565</v>
      </c>
      <c r="K2145" s="2"/>
      <c r="L2145" s="2">
        <v>68209</v>
      </c>
      <c r="M2145" s="2"/>
      <c r="N2145" s="2"/>
      <c r="O2145" s="2"/>
      <c r="P2145" s="2"/>
      <c r="Q2145" s="2"/>
      <c r="R2145" s="2"/>
      <c r="S2145" s="2" t="s">
        <v>18629</v>
      </c>
      <c r="T2145" s="2" t="s">
        <v>18630</v>
      </c>
      <c r="U2145" s="2" t="s">
        <v>18631</v>
      </c>
      <c r="V2145" s="2" t="s">
        <v>385</v>
      </c>
      <c r="W2145" s="2" t="s">
        <v>386</v>
      </c>
      <c r="X2145" s="2" t="s">
        <v>1059</v>
      </c>
      <c r="Y2145" s="2" t="s">
        <v>388</v>
      </c>
      <c r="Z2145" s="2" t="s">
        <v>389</v>
      </c>
      <c r="AA2145" s="2" t="s">
        <v>1060</v>
      </c>
      <c r="AB2145" s="2" t="s">
        <v>8443</v>
      </c>
      <c r="AC2145" s="2">
        <v>37.94</v>
      </c>
      <c r="AD2145" s="2">
        <v>93.62</v>
      </c>
      <c r="AE2145" s="2">
        <v>0</v>
      </c>
      <c r="AF2145" s="2" t="s">
        <v>5614</v>
      </c>
      <c r="AG2145" s="2" t="s">
        <v>194</v>
      </c>
      <c r="AH2145" s="2" t="s">
        <v>18632</v>
      </c>
      <c r="AI2145" s="2">
        <v>1.78</v>
      </c>
      <c r="AJ2145" s="2">
        <v>16.250876845743399</v>
      </c>
      <c r="AK2145" s="2">
        <v>16.244855849377299</v>
      </c>
      <c r="AL2145" s="2">
        <v>16.624404663512401</v>
      </c>
      <c r="AM2145" s="2">
        <v>16.592666091431301</v>
      </c>
      <c r="AN2145" s="2">
        <v>15.7066228202887</v>
      </c>
      <c r="AO2145" s="2">
        <v>16.699765329284599</v>
      </c>
      <c r="AP2145" s="2">
        <v>16.0816613090301</v>
      </c>
      <c r="AQ2145" s="2">
        <v>16.384129425317202</v>
      </c>
      <c r="AR2145" s="2">
        <v>13.518044528636</v>
      </c>
      <c r="AS2145" s="2">
        <v>13.7677727174518</v>
      </c>
      <c r="AT2145" s="2">
        <v>16.508122051963198</v>
      </c>
      <c r="AU2145" s="2">
        <v>13.2772786811573</v>
      </c>
      <c r="AV2145" s="2">
        <v>15.642182876965499</v>
      </c>
      <c r="AW2145" s="2">
        <v>13.380933137666901</v>
      </c>
      <c r="AX2145" s="2">
        <v>17.945791928235099</v>
      </c>
      <c r="AY2145" s="2">
        <v>15.3820981170187</v>
      </c>
      <c r="AZ2145" s="2">
        <v>14.051755287092901</v>
      </c>
      <c r="BA2145" s="2">
        <v>18.055548403644298</v>
      </c>
      <c r="BB2145" s="2">
        <v>13.808025997536101</v>
      </c>
      <c r="BC2145" s="2">
        <v>9.6233145402724691</v>
      </c>
      <c r="BD2145" s="2">
        <v>15.774225713626601</v>
      </c>
      <c r="BE2145" s="2">
        <v>17.5256325212649</v>
      </c>
      <c r="BF2145" s="2">
        <v>16.672607103908199</v>
      </c>
      <c r="BG2145" s="2">
        <v>15.3611912602851</v>
      </c>
      <c r="BH2145" s="2">
        <v>9.6233145402724691</v>
      </c>
      <c r="BI2145" s="2">
        <v>19.001459490526301</v>
      </c>
      <c r="BJ2145" s="2">
        <v>14.196273225870801</v>
      </c>
      <c r="BK2145" s="2">
        <v>9.6233145402724691</v>
      </c>
      <c r="BL2145" s="2">
        <v>9.6233145402724691</v>
      </c>
      <c r="BM2145" s="2">
        <v>14.9468998795174</v>
      </c>
      <c r="BN2145" s="2">
        <v>15.071839411776001</v>
      </c>
      <c r="BO2145" s="2">
        <v>17.921607479531701</v>
      </c>
      <c r="BP2145" s="2">
        <v>14.6689946444175</v>
      </c>
      <c r="BQ2145" s="2">
        <v>16.911865224304499</v>
      </c>
      <c r="BR2145" s="2">
        <v>18.8611256270034</v>
      </c>
      <c r="BS2145" s="2">
        <v>15.7738853507977</v>
      </c>
      <c r="BT2145" s="2">
        <v>11.6046644151637</v>
      </c>
      <c r="BU2145" s="2">
        <v>17.778120839513601</v>
      </c>
      <c r="BV2145" s="2">
        <v>17.627481304256801</v>
      </c>
      <c r="BW2145" s="2">
        <v>15.498595877651001</v>
      </c>
      <c r="BX2145" s="2">
        <v>13.5595049579294</v>
      </c>
      <c r="BY2145" s="2">
        <v>16.9391458678469</v>
      </c>
      <c r="BZ2145" s="2">
        <v>14.813476590110501</v>
      </c>
      <c r="CA2145" s="2">
        <v>16.244357144948701</v>
      </c>
      <c r="CB2145" s="2">
        <v>9.6233145402724691</v>
      </c>
      <c r="CC2145" s="2">
        <v>17.4633814824242</v>
      </c>
      <c r="CD2145" s="2">
        <v>9.6233145402724691</v>
      </c>
      <c r="CE2145" s="2">
        <v>9.6233145402724691</v>
      </c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</row>
    <row r="2146" spans="1:97">
      <c r="A2146" s="2" t="s">
        <v>18633</v>
      </c>
      <c r="B2146" s="2">
        <v>233.05753999999999</v>
      </c>
      <c r="C2146" s="2">
        <v>1.28</v>
      </c>
      <c r="D2146" s="2" t="s">
        <v>146</v>
      </c>
      <c r="E2146" s="2" t="s">
        <v>18634</v>
      </c>
      <c r="F2146" s="2" t="s">
        <v>18635</v>
      </c>
      <c r="G2146" s="2">
        <v>595013</v>
      </c>
      <c r="H2146" s="3" t="str">
        <f>HYPERLINK("https://cloud.oebiotech.com/#/lm/network/595013", "https://cloud.oebiotech.com/#/lm/network/595013")</f>
        <v>https://cloud.oebiotech.com/#/lm/network/595013</v>
      </c>
      <c r="I2146" s="2"/>
      <c r="J2146" s="2"/>
      <c r="K2146" s="2"/>
      <c r="L2146" s="2">
        <v>2760556</v>
      </c>
      <c r="M2146" s="2"/>
      <c r="N2146" s="2"/>
      <c r="O2146" s="2"/>
      <c r="P2146" s="2"/>
      <c r="Q2146" s="2"/>
      <c r="R2146" s="2"/>
      <c r="S2146" s="2"/>
      <c r="T2146" s="2" t="s">
        <v>18636</v>
      </c>
      <c r="U2146" s="2" t="s">
        <v>18637</v>
      </c>
      <c r="V2146" s="2" t="s">
        <v>115</v>
      </c>
      <c r="W2146" s="2" t="s">
        <v>116</v>
      </c>
      <c r="X2146" s="2" t="s">
        <v>117</v>
      </c>
      <c r="Y2146" s="2" t="s">
        <v>118</v>
      </c>
      <c r="Z2146" s="2" t="s">
        <v>119</v>
      </c>
      <c r="AA2146" s="2" t="s">
        <v>120</v>
      </c>
      <c r="AB2146" s="2" t="s">
        <v>8443</v>
      </c>
      <c r="AC2146" s="2">
        <v>37.94</v>
      </c>
      <c r="AD2146" s="2">
        <v>91.8</v>
      </c>
      <c r="AE2146" s="2">
        <v>0</v>
      </c>
      <c r="AF2146" s="2" t="s">
        <v>5614</v>
      </c>
      <c r="AG2146" s="2" t="s">
        <v>993</v>
      </c>
      <c r="AH2146" s="2" t="s">
        <v>18638</v>
      </c>
      <c r="AI2146" s="2">
        <v>9.01</v>
      </c>
      <c r="AJ2146" s="2">
        <v>19.1838786868488</v>
      </c>
      <c r="AK2146" s="2">
        <v>19.670085461269299</v>
      </c>
      <c r="AL2146" s="2">
        <v>19.501976686612501</v>
      </c>
      <c r="AM2146" s="2">
        <v>18.485656381176501</v>
      </c>
      <c r="AN2146" s="2">
        <v>18.903787015163001</v>
      </c>
      <c r="AO2146" s="2">
        <v>19.519870119794898</v>
      </c>
      <c r="AP2146" s="2">
        <v>18.560231092559</v>
      </c>
      <c r="AQ2146" s="2">
        <v>19.229188920625202</v>
      </c>
      <c r="AR2146" s="2">
        <v>18.7649692051342</v>
      </c>
      <c r="AS2146" s="2">
        <v>19.053773480971898</v>
      </c>
      <c r="AT2146" s="2">
        <v>18.660663189340099</v>
      </c>
      <c r="AU2146" s="2">
        <v>18.303038531304399</v>
      </c>
      <c r="AV2146" s="2">
        <v>18.633631644220898</v>
      </c>
      <c r="AW2146" s="2">
        <v>19.104814945068799</v>
      </c>
      <c r="AX2146" s="2">
        <v>19.030889630834899</v>
      </c>
      <c r="AY2146" s="2">
        <v>18.1985707921685</v>
      </c>
      <c r="AZ2146" s="2">
        <v>18.341453453988599</v>
      </c>
      <c r="BA2146" s="2">
        <v>17.700814107011102</v>
      </c>
      <c r="BB2146" s="2">
        <v>19.360415012375402</v>
      </c>
      <c r="BC2146" s="2">
        <v>18.6425248515215</v>
      </c>
      <c r="BD2146" s="2">
        <v>18.931489796024401</v>
      </c>
      <c r="BE2146" s="2">
        <v>18.194599079876099</v>
      </c>
      <c r="BF2146" s="2">
        <v>19.444461334133798</v>
      </c>
      <c r="BG2146" s="2">
        <v>19.211108423298398</v>
      </c>
      <c r="BH2146" s="2">
        <v>18.9059454546769</v>
      </c>
      <c r="BI2146" s="2">
        <v>19.275118544802801</v>
      </c>
      <c r="BJ2146" s="2">
        <v>19.5639119147021</v>
      </c>
      <c r="BK2146" s="2">
        <v>18.368281150701101</v>
      </c>
      <c r="BL2146" s="2">
        <v>18.257469150381599</v>
      </c>
      <c r="BM2146" s="2">
        <v>18.065880787057001</v>
      </c>
      <c r="BN2146" s="2">
        <v>18.968766676931502</v>
      </c>
      <c r="BO2146" s="2">
        <v>18.4983186216222</v>
      </c>
      <c r="BP2146" s="2">
        <v>18.993299208128199</v>
      </c>
      <c r="BQ2146" s="2">
        <v>19.066172301580401</v>
      </c>
      <c r="BR2146" s="2">
        <v>18.598438209543801</v>
      </c>
      <c r="BS2146" s="2">
        <v>18.921642837587498</v>
      </c>
      <c r="BT2146" s="2">
        <v>17.8382776278508</v>
      </c>
      <c r="BU2146" s="2">
        <v>19.5901114236366</v>
      </c>
      <c r="BV2146" s="2">
        <v>18.7512748427364</v>
      </c>
      <c r="BW2146" s="2">
        <v>18.469047500401398</v>
      </c>
      <c r="BX2146" s="2">
        <v>18.2370693225098</v>
      </c>
      <c r="BY2146" s="2">
        <v>18.752934781997102</v>
      </c>
      <c r="BZ2146" s="2">
        <v>18.337998004827099</v>
      </c>
      <c r="CA2146" s="2">
        <v>19.6379619427248</v>
      </c>
      <c r="CB2146" s="2">
        <v>18.0406403869687</v>
      </c>
      <c r="CC2146" s="2">
        <v>19.069353181375799</v>
      </c>
      <c r="CD2146" s="2">
        <v>19.3255715478005</v>
      </c>
      <c r="CE2146" s="2">
        <v>19.3771846406276</v>
      </c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</row>
    <row r="2147" spans="1:97">
      <c r="A2147" s="2" t="s">
        <v>18639</v>
      </c>
      <c r="B2147" s="2">
        <v>213.03758999999999</v>
      </c>
      <c r="C2147" s="2">
        <v>1.083</v>
      </c>
      <c r="D2147" s="2" t="s">
        <v>146</v>
      </c>
      <c r="E2147" s="2" t="s">
        <v>18640</v>
      </c>
      <c r="F2147" s="2" t="s">
        <v>18641</v>
      </c>
      <c r="G2147" s="2">
        <v>55709</v>
      </c>
      <c r="H2147" s="3" t="str">
        <f>HYPERLINK("https://cloud.oebiotech.com/#/lm/network/55709", "https://cloud.oebiotech.com/#/lm/network/55709")</f>
        <v>https://cloud.oebiotech.com/#/lm/network/55709</v>
      </c>
      <c r="I2147" s="2" t="s">
        <v>18642</v>
      </c>
      <c r="J2147" s="2">
        <v>87387</v>
      </c>
      <c r="K2147" s="2"/>
      <c r="L2147" s="2">
        <v>131751128</v>
      </c>
      <c r="M2147" s="2"/>
      <c r="N2147" s="2"/>
      <c r="O2147" s="2"/>
      <c r="P2147" s="2"/>
      <c r="Q2147" s="2"/>
      <c r="R2147" s="2"/>
      <c r="S2147" s="2" t="s">
        <v>18643</v>
      </c>
      <c r="T2147" s="2" t="s">
        <v>18644</v>
      </c>
      <c r="U2147" s="2" t="s">
        <v>18645</v>
      </c>
      <c r="V2147" s="2" t="s">
        <v>95</v>
      </c>
      <c r="W2147" s="2" t="s">
        <v>96</v>
      </c>
      <c r="X2147" s="2" t="s">
        <v>141</v>
      </c>
      <c r="Y2147" s="2" t="s">
        <v>98</v>
      </c>
      <c r="Z2147" s="2" t="s">
        <v>99</v>
      </c>
      <c r="AA2147" s="2" t="s">
        <v>142</v>
      </c>
      <c r="AB2147" s="2" t="s">
        <v>8443</v>
      </c>
      <c r="AC2147" s="2">
        <v>37.94</v>
      </c>
      <c r="AD2147" s="2">
        <v>89.68</v>
      </c>
      <c r="AE2147" s="2">
        <v>0</v>
      </c>
      <c r="AF2147" s="2" t="s">
        <v>5614</v>
      </c>
      <c r="AG2147" s="2" t="s">
        <v>993</v>
      </c>
      <c r="AH2147" s="2" t="s">
        <v>18646</v>
      </c>
      <c r="AI2147" s="2">
        <v>-0.94</v>
      </c>
      <c r="AJ2147" s="2">
        <v>17.720330843047201</v>
      </c>
      <c r="AK2147" s="2">
        <v>17.955249973683198</v>
      </c>
      <c r="AL2147" s="2">
        <v>17.722418327160799</v>
      </c>
      <c r="AM2147" s="2">
        <v>18.147918134841799</v>
      </c>
      <c r="AN2147" s="2">
        <v>16.8395287171832</v>
      </c>
      <c r="AO2147" s="2">
        <v>17.960462149983499</v>
      </c>
      <c r="AP2147" s="2">
        <v>16.981013656521199</v>
      </c>
      <c r="AQ2147" s="2">
        <v>17.7102186185612</v>
      </c>
      <c r="AR2147" s="2">
        <v>17.479650972604901</v>
      </c>
      <c r="AS2147" s="2">
        <v>14.7871092874691</v>
      </c>
      <c r="AT2147" s="2">
        <v>17.353150358469701</v>
      </c>
      <c r="AU2147" s="2">
        <v>13.6054135396456</v>
      </c>
      <c r="AV2147" s="2">
        <v>16.6847146562109</v>
      </c>
      <c r="AW2147" s="2">
        <v>16.892038643820101</v>
      </c>
      <c r="AX2147" s="2">
        <v>18.099814707907299</v>
      </c>
      <c r="AY2147" s="2">
        <v>18.6375870825769</v>
      </c>
      <c r="AZ2147" s="2">
        <v>15.7461245707859</v>
      </c>
      <c r="BA2147" s="2">
        <v>15.9562810847251</v>
      </c>
      <c r="BB2147" s="2">
        <v>18.334195494596401</v>
      </c>
      <c r="BC2147" s="2">
        <v>18.712808715723099</v>
      </c>
      <c r="BD2147" s="2">
        <v>17.9571859483849</v>
      </c>
      <c r="BE2147" s="2">
        <v>17.205613244859499</v>
      </c>
      <c r="BF2147" s="2">
        <v>19.038867641866101</v>
      </c>
      <c r="BG2147" s="2">
        <v>16.222528145625599</v>
      </c>
      <c r="BH2147" s="2">
        <v>16.5841768351846</v>
      </c>
      <c r="BI2147" s="2">
        <v>18.8875568631438</v>
      </c>
      <c r="BJ2147" s="2">
        <v>16.881197624617201</v>
      </c>
      <c r="BK2147" s="2">
        <v>16.336712440184598</v>
      </c>
      <c r="BL2147" s="2">
        <v>16.300371866685001</v>
      </c>
      <c r="BM2147" s="2">
        <v>17.2638067909682</v>
      </c>
      <c r="BN2147" s="2">
        <v>17.494325833576099</v>
      </c>
      <c r="BO2147" s="2">
        <v>15.3889909777151</v>
      </c>
      <c r="BP2147" s="2">
        <v>9.6233145402724691</v>
      </c>
      <c r="BQ2147" s="2">
        <v>16.185763584884999</v>
      </c>
      <c r="BR2147" s="2">
        <v>14.410683875912699</v>
      </c>
      <c r="BS2147" s="2">
        <v>16.471611237830299</v>
      </c>
      <c r="BT2147" s="2">
        <v>9.6233145402724691</v>
      </c>
      <c r="BU2147" s="2">
        <v>16.788133189581799</v>
      </c>
      <c r="BV2147" s="2">
        <v>17.248659390210101</v>
      </c>
      <c r="BW2147" s="2">
        <v>17.613213497146099</v>
      </c>
      <c r="BX2147" s="2">
        <v>15.7128711363042</v>
      </c>
      <c r="BY2147" s="2">
        <v>17.832637320194198</v>
      </c>
      <c r="BZ2147" s="2">
        <v>17.480118198239801</v>
      </c>
      <c r="CA2147" s="2">
        <v>19.820981303216801</v>
      </c>
      <c r="CB2147" s="2">
        <v>9.6233145402724691</v>
      </c>
      <c r="CC2147" s="2">
        <v>17.8344808642868</v>
      </c>
      <c r="CD2147" s="2">
        <v>16.046751216053799</v>
      </c>
      <c r="CE2147" s="2">
        <v>17.209465360113999</v>
      </c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</row>
    <row r="2148" spans="1:97">
      <c r="A2148" s="2" t="s">
        <v>18647</v>
      </c>
      <c r="B2148" s="2">
        <v>239.06691000000001</v>
      </c>
      <c r="C2148" s="2">
        <v>9.6750000000000007</v>
      </c>
      <c r="D2148" s="2" t="s">
        <v>146</v>
      </c>
      <c r="E2148" s="2" t="s">
        <v>18648</v>
      </c>
      <c r="F2148" s="2" t="s">
        <v>18649</v>
      </c>
      <c r="G2148" s="2">
        <v>200469</v>
      </c>
      <c r="H2148" s="3" t="str">
        <f>HYPERLINK("https://cloud.oebiotech.com/#/lm/network/200469", "https://cloud.oebiotech.com/#/lm/network/200469")</f>
        <v>https://cloud.oebiotech.com/#/lm/network/200469</v>
      </c>
      <c r="I2148" s="2" t="s">
        <v>18650</v>
      </c>
      <c r="J2148" s="2"/>
      <c r="K2148" s="2"/>
      <c r="L2148" s="2">
        <v>3080562</v>
      </c>
      <c r="M2148" s="2"/>
      <c r="N2148" s="2"/>
      <c r="O2148" s="2"/>
      <c r="P2148" s="2"/>
      <c r="Q2148" s="2"/>
      <c r="R2148" s="2"/>
      <c r="S2148" s="2"/>
      <c r="T2148" s="2" t="s">
        <v>18651</v>
      </c>
      <c r="U2148" s="2" t="s">
        <v>18652</v>
      </c>
      <c r="V2148" s="2" t="s">
        <v>385</v>
      </c>
      <c r="W2148" s="2" t="s">
        <v>386</v>
      </c>
      <c r="X2148" s="2" t="s">
        <v>1059</v>
      </c>
      <c r="Y2148" s="2" t="s">
        <v>388</v>
      </c>
      <c r="Z2148" s="2" t="s">
        <v>389</v>
      </c>
      <c r="AA2148" s="2" t="s">
        <v>1060</v>
      </c>
      <c r="AB2148" s="2" t="s">
        <v>8443</v>
      </c>
      <c r="AC2148" s="2">
        <v>37.92</v>
      </c>
      <c r="AD2148" s="2">
        <v>92.97</v>
      </c>
      <c r="AE2148" s="2">
        <v>0</v>
      </c>
      <c r="AF2148" s="2" t="s">
        <v>18653</v>
      </c>
      <c r="AG2148" s="2" t="s">
        <v>157</v>
      </c>
      <c r="AH2148" s="2" t="s">
        <v>18654</v>
      </c>
      <c r="AI2148" s="2">
        <v>1.67</v>
      </c>
      <c r="AJ2148" s="2">
        <v>19.289889138446199</v>
      </c>
      <c r="AK2148" s="2">
        <v>18.348390069404601</v>
      </c>
      <c r="AL2148" s="2">
        <v>19.3389667027756</v>
      </c>
      <c r="AM2148" s="2">
        <v>18.660553555571799</v>
      </c>
      <c r="AN2148" s="2">
        <v>19.263831634675601</v>
      </c>
      <c r="AO2148" s="2">
        <v>19.430817569239402</v>
      </c>
      <c r="AP2148" s="2">
        <v>19.180453471557399</v>
      </c>
      <c r="AQ2148" s="2">
        <v>18.4664024843444</v>
      </c>
      <c r="AR2148" s="2">
        <v>18.379233198394999</v>
      </c>
      <c r="AS2148" s="2">
        <v>18.8798785760637</v>
      </c>
      <c r="AT2148" s="2">
        <v>19.424308872102198</v>
      </c>
      <c r="AU2148" s="2">
        <v>17.951281242567099</v>
      </c>
      <c r="AV2148" s="2">
        <v>18.434213565875901</v>
      </c>
      <c r="AW2148" s="2">
        <v>18.752263357473801</v>
      </c>
      <c r="AX2148" s="2">
        <v>18.711599224666301</v>
      </c>
      <c r="AY2148" s="2">
        <v>18.700025054422099</v>
      </c>
      <c r="AZ2148" s="2">
        <v>18.8573671203754</v>
      </c>
      <c r="BA2148" s="2">
        <v>18.708326992327599</v>
      </c>
      <c r="BB2148" s="2">
        <v>18.8311920851507</v>
      </c>
      <c r="BC2148" s="2">
        <v>19.116476186992202</v>
      </c>
      <c r="BD2148" s="2">
        <v>18.6730051115725</v>
      </c>
      <c r="BE2148" s="2">
        <v>19.143078933177701</v>
      </c>
      <c r="BF2148" s="2">
        <v>19.860091998462</v>
      </c>
      <c r="BG2148" s="2">
        <v>19.3473563922674</v>
      </c>
      <c r="BH2148" s="2">
        <v>18.525626366233599</v>
      </c>
      <c r="BI2148" s="2">
        <v>18.825027676232899</v>
      </c>
      <c r="BJ2148" s="2">
        <v>19.108914296847999</v>
      </c>
      <c r="BK2148" s="2">
        <v>20.226050154102499</v>
      </c>
      <c r="BL2148" s="2">
        <v>18.7084785228536</v>
      </c>
      <c r="BM2148" s="2">
        <v>18.5619713567202</v>
      </c>
      <c r="BN2148" s="2">
        <v>18.529721566616399</v>
      </c>
      <c r="BO2148" s="2">
        <v>18.394008515167801</v>
      </c>
      <c r="BP2148" s="2">
        <v>17.671453093134399</v>
      </c>
      <c r="BQ2148" s="2">
        <v>19.2591387658114</v>
      </c>
      <c r="BR2148" s="2">
        <v>18.131547626393399</v>
      </c>
      <c r="BS2148" s="2">
        <v>18.144175956226</v>
      </c>
      <c r="BT2148" s="2">
        <v>19.348617168101502</v>
      </c>
      <c r="BU2148" s="2">
        <v>18.239381062605101</v>
      </c>
      <c r="BV2148" s="2">
        <v>18.165919444449798</v>
      </c>
      <c r="BW2148" s="2">
        <v>17.9876110410944</v>
      </c>
      <c r="BX2148" s="2">
        <v>18.412111944387</v>
      </c>
      <c r="BY2148" s="2">
        <v>19.1892620303352</v>
      </c>
      <c r="BZ2148" s="2">
        <v>18.812333762844101</v>
      </c>
      <c r="CA2148" s="2">
        <v>19.837970166185301</v>
      </c>
      <c r="CB2148" s="2">
        <v>18.2882295831707</v>
      </c>
      <c r="CC2148" s="2">
        <v>19.069099949934898</v>
      </c>
      <c r="CD2148" s="2">
        <v>19.0773509250125</v>
      </c>
      <c r="CE2148" s="2">
        <v>20.081992964151802</v>
      </c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</row>
    <row r="2149" spans="1:97">
      <c r="A2149" s="2" t="s">
        <v>18655</v>
      </c>
      <c r="B2149" s="2">
        <v>117.07742</v>
      </c>
      <c r="C2149" s="2">
        <v>9.8160000000000007</v>
      </c>
      <c r="D2149" s="2" t="s">
        <v>84</v>
      </c>
      <c r="E2149" s="2" t="s">
        <v>18656</v>
      </c>
      <c r="F2149" s="2" t="s">
        <v>18657</v>
      </c>
      <c r="G2149" s="2">
        <v>200436</v>
      </c>
      <c r="H2149" s="3" t="str">
        <f>HYPERLINK("https://cloud.oebiotech.com/#/lm/network/200436", "https://cloud.oebiotech.com/#/lm/network/200436")</f>
        <v>https://cloud.oebiotech.com/#/lm/network/200436</v>
      </c>
      <c r="I2149" s="2" t="s">
        <v>18658</v>
      </c>
      <c r="J2149" s="2"/>
      <c r="K2149" s="2"/>
      <c r="L2149" s="2">
        <v>459429</v>
      </c>
      <c r="M2149" s="2"/>
      <c r="N2149" s="2"/>
      <c r="O2149" s="2"/>
      <c r="P2149" s="2"/>
      <c r="Q2149" s="2"/>
      <c r="R2149" s="2"/>
      <c r="S2149" s="2"/>
      <c r="T2149" s="2" t="s">
        <v>18659</v>
      </c>
      <c r="U2149" s="2" t="s">
        <v>18660</v>
      </c>
      <c r="V2149" s="2" t="s">
        <v>115</v>
      </c>
      <c r="W2149" s="2" t="s">
        <v>116</v>
      </c>
      <c r="X2149" s="2" t="s">
        <v>117</v>
      </c>
      <c r="Y2149" s="2" t="s">
        <v>118</v>
      </c>
      <c r="Z2149" s="2" t="s">
        <v>119</v>
      </c>
      <c r="AA2149" s="2" t="s">
        <v>120</v>
      </c>
      <c r="AB2149" s="2" t="s">
        <v>8443</v>
      </c>
      <c r="AC2149" s="2">
        <v>37.92</v>
      </c>
      <c r="AD2149" s="2">
        <v>97.42</v>
      </c>
      <c r="AE2149" s="2">
        <v>0</v>
      </c>
      <c r="AF2149" s="2" t="s">
        <v>5614</v>
      </c>
      <c r="AG2149" s="2" t="s">
        <v>132</v>
      </c>
      <c r="AH2149" s="2" t="s">
        <v>18661</v>
      </c>
      <c r="AI2149" s="2">
        <v>-2.56</v>
      </c>
      <c r="AJ2149" s="2">
        <v>18.1872103080694</v>
      </c>
      <c r="AK2149" s="2">
        <v>18.246042830326498</v>
      </c>
      <c r="AL2149" s="2">
        <v>18.271189204649499</v>
      </c>
      <c r="AM2149" s="2">
        <v>18.0101356143626</v>
      </c>
      <c r="AN2149" s="2">
        <v>18.1295452464094</v>
      </c>
      <c r="AO2149" s="2">
        <v>18.495964259881202</v>
      </c>
      <c r="AP2149" s="2">
        <v>17.958881747402799</v>
      </c>
      <c r="AQ2149" s="2">
        <v>17.691361315728201</v>
      </c>
      <c r="AR2149" s="2">
        <v>18.378837517378798</v>
      </c>
      <c r="AS2149" s="2">
        <v>16.0907806694584</v>
      </c>
      <c r="AT2149" s="2">
        <v>17.968437810628402</v>
      </c>
      <c r="AU2149" s="2">
        <v>18.101650219707199</v>
      </c>
      <c r="AV2149" s="2">
        <v>17.988806377971802</v>
      </c>
      <c r="AW2149" s="2">
        <v>18.044064595489601</v>
      </c>
      <c r="AX2149" s="2">
        <v>17.502695084585199</v>
      </c>
      <c r="AY2149" s="2">
        <v>17.271317299299302</v>
      </c>
      <c r="AZ2149" s="2">
        <v>18.259983052465099</v>
      </c>
      <c r="BA2149" s="2">
        <v>17.689323938623499</v>
      </c>
      <c r="BB2149" s="2">
        <v>18.272007236958899</v>
      </c>
      <c r="BC2149" s="2">
        <v>17.584821458880899</v>
      </c>
      <c r="BD2149" s="2">
        <v>17.142426800649599</v>
      </c>
      <c r="BE2149" s="2">
        <v>18.017628143613301</v>
      </c>
      <c r="BF2149" s="2">
        <v>15.981222085452099</v>
      </c>
      <c r="BG2149" s="2">
        <v>18.7649009988213</v>
      </c>
      <c r="BH2149" s="2">
        <v>16.672094907520599</v>
      </c>
      <c r="BI2149" s="2">
        <v>19.1710540620793</v>
      </c>
      <c r="BJ2149" s="2">
        <v>17.627633624874601</v>
      </c>
      <c r="BK2149" s="2">
        <v>17.862208848560201</v>
      </c>
      <c r="BL2149" s="2">
        <v>18.245598616041701</v>
      </c>
      <c r="BM2149" s="2">
        <v>17.546204017920999</v>
      </c>
      <c r="BN2149" s="2">
        <v>17.756838006247701</v>
      </c>
      <c r="BO2149" s="2">
        <v>18.296808688834702</v>
      </c>
      <c r="BP2149" s="2">
        <v>18.3079561367949</v>
      </c>
      <c r="BQ2149" s="2">
        <v>17.520626966944601</v>
      </c>
      <c r="BR2149" s="2">
        <v>19.2273986842863</v>
      </c>
      <c r="BS2149" s="2">
        <v>18.764943263796901</v>
      </c>
      <c r="BT2149" s="2">
        <v>17.3702538657503</v>
      </c>
      <c r="BU2149" s="2">
        <v>18.699449367844998</v>
      </c>
      <c r="BV2149" s="2">
        <v>18.5822281478818</v>
      </c>
      <c r="BW2149" s="2">
        <v>14.8416424752171</v>
      </c>
      <c r="BX2149" s="2">
        <v>17.631605235395199</v>
      </c>
      <c r="BY2149" s="2">
        <v>18.619050893117599</v>
      </c>
      <c r="BZ2149" s="2">
        <v>17.6639917175576</v>
      </c>
      <c r="CA2149" s="2">
        <v>18.231278800719402</v>
      </c>
      <c r="CB2149" s="2">
        <v>18.776689917656899</v>
      </c>
      <c r="CC2149" s="2">
        <v>18.2753348063559</v>
      </c>
      <c r="CD2149" s="2">
        <v>18.570237550136</v>
      </c>
      <c r="CE2149" s="2">
        <v>17.916880941546399</v>
      </c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</row>
    <row r="2150" spans="1:97">
      <c r="A2150" s="2" t="s">
        <v>18662</v>
      </c>
      <c r="B2150" s="2">
        <v>285.06538999999998</v>
      </c>
      <c r="C2150" s="2">
        <v>4.3280000000000003</v>
      </c>
      <c r="D2150" s="2" t="s">
        <v>84</v>
      </c>
      <c r="E2150" s="2" t="s">
        <v>18663</v>
      </c>
      <c r="F2150" s="2" t="s">
        <v>18664</v>
      </c>
      <c r="G2150" s="2">
        <v>82651</v>
      </c>
      <c r="H2150" s="3" t="str">
        <f>HYPERLINK("https://cloud.oebiotech.com/#/lm/network/82651", "https://cloud.oebiotech.com/#/lm/network/82651")</f>
        <v>https://cloud.oebiotech.com/#/lm/network/82651</v>
      </c>
      <c r="I2150" s="2" t="s">
        <v>18665</v>
      </c>
      <c r="J2150" s="2">
        <v>313872</v>
      </c>
      <c r="K2150" s="2"/>
      <c r="L2150" s="2">
        <v>676166</v>
      </c>
      <c r="M2150" s="2"/>
      <c r="N2150" s="2"/>
      <c r="O2150" s="2"/>
      <c r="P2150" s="2"/>
      <c r="Q2150" s="2"/>
      <c r="R2150" s="2"/>
      <c r="S2150" s="2"/>
      <c r="T2150" s="2" t="s">
        <v>18666</v>
      </c>
      <c r="U2150" s="2" t="s">
        <v>18667</v>
      </c>
      <c r="V2150" s="2" t="s">
        <v>818</v>
      </c>
      <c r="W2150" s="2" t="s">
        <v>819</v>
      </c>
      <c r="X2150" s="2" t="s">
        <v>375</v>
      </c>
      <c r="Y2150" s="2" t="s">
        <v>820</v>
      </c>
      <c r="Z2150" s="2" t="s">
        <v>821</v>
      </c>
      <c r="AA2150" s="2"/>
      <c r="AB2150" s="2" t="s">
        <v>8443</v>
      </c>
      <c r="AC2150" s="2">
        <v>37.92</v>
      </c>
      <c r="AD2150" s="2">
        <v>89.6</v>
      </c>
      <c r="AE2150" s="2">
        <v>0</v>
      </c>
      <c r="AF2150" s="2" t="s">
        <v>5614</v>
      </c>
      <c r="AG2150" s="2" t="s">
        <v>103</v>
      </c>
      <c r="AH2150" s="2" t="s">
        <v>18668</v>
      </c>
      <c r="AI2150" s="2">
        <v>-0.7</v>
      </c>
      <c r="AJ2150" s="2">
        <v>18.7900507154244</v>
      </c>
      <c r="AK2150" s="2">
        <v>18.788810492443599</v>
      </c>
      <c r="AL2150" s="2">
        <v>18.707846529611</v>
      </c>
      <c r="AM2150" s="2">
        <v>18.997059073033402</v>
      </c>
      <c r="AN2150" s="2">
        <v>19.211423288595199</v>
      </c>
      <c r="AO2150" s="2">
        <v>19.185530275884599</v>
      </c>
      <c r="AP2150" s="2">
        <v>18.454431158133598</v>
      </c>
      <c r="AQ2150" s="2">
        <v>18.917063607728402</v>
      </c>
      <c r="AR2150" s="2">
        <v>18.016280866931801</v>
      </c>
      <c r="AS2150" s="2">
        <v>17.3645016445038</v>
      </c>
      <c r="AT2150" s="2">
        <v>18.496222226093401</v>
      </c>
      <c r="AU2150" s="2">
        <v>17.974388036479301</v>
      </c>
      <c r="AV2150" s="2">
        <v>18.684837190665501</v>
      </c>
      <c r="AW2150" s="2">
        <v>18.733591606470899</v>
      </c>
      <c r="AX2150" s="2">
        <v>18.3600917686637</v>
      </c>
      <c r="AY2150" s="2">
        <v>18.814358685879899</v>
      </c>
      <c r="AZ2150" s="2">
        <v>18.154951773617601</v>
      </c>
      <c r="BA2150" s="2">
        <v>18.447807306643401</v>
      </c>
      <c r="BB2150" s="2">
        <v>19.476980721690399</v>
      </c>
      <c r="BC2150" s="2">
        <v>19.630092964270698</v>
      </c>
      <c r="BD2150" s="2">
        <v>18.798471674531701</v>
      </c>
      <c r="BE2150" s="2">
        <v>19.420544961251998</v>
      </c>
      <c r="BF2150" s="2">
        <v>19.054621672207599</v>
      </c>
      <c r="BG2150" s="2">
        <v>19.658448671533201</v>
      </c>
      <c r="BH2150" s="2">
        <v>19.158536764716398</v>
      </c>
      <c r="BI2150" s="2">
        <v>19.35327086209</v>
      </c>
      <c r="BJ2150" s="2">
        <v>19.045105002600401</v>
      </c>
      <c r="BK2150" s="2">
        <v>18.123187006523398</v>
      </c>
      <c r="BL2150" s="2">
        <v>19.0257302523014</v>
      </c>
      <c r="BM2150" s="2">
        <v>19.081223795575301</v>
      </c>
      <c r="BN2150" s="2">
        <v>18.910436206540101</v>
      </c>
      <c r="BO2150" s="2">
        <v>18.9502539276093</v>
      </c>
      <c r="BP2150" s="2">
        <v>18.2461907630972</v>
      </c>
      <c r="BQ2150" s="2">
        <v>19.0365915203095</v>
      </c>
      <c r="BR2150" s="2">
        <v>18.341195031829901</v>
      </c>
      <c r="BS2150" s="2">
        <v>18.437337860510699</v>
      </c>
      <c r="BT2150" s="2">
        <v>18.332939567737501</v>
      </c>
      <c r="BU2150" s="2">
        <v>18.4437946466137</v>
      </c>
      <c r="BV2150" s="2">
        <v>19.3311152455456</v>
      </c>
      <c r="BW2150" s="2">
        <v>18.4933096143324</v>
      </c>
      <c r="BX2150" s="2">
        <v>18.519964903325398</v>
      </c>
      <c r="BY2150" s="2">
        <v>18.266292112266001</v>
      </c>
      <c r="BZ2150" s="2">
        <v>18.3426952240495</v>
      </c>
      <c r="CA2150" s="2">
        <v>19.558839934852401</v>
      </c>
      <c r="CB2150" s="2">
        <v>17.811557326981099</v>
      </c>
      <c r="CC2150" s="2">
        <v>18.992111684388799</v>
      </c>
      <c r="CD2150" s="2">
        <v>19.2881160747956</v>
      </c>
      <c r="CE2150" s="2">
        <v>19.3064071913577</v>
      </c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</row>
    <row r="2151" spans="1:97">
      <c r="A2151" s="2" t="s">
        <v>18669</v>
      </c>
      <c r="B2151" s="2">
        <v>290.13837999999998</v>
      </c>
      <c r="C2151" s="2">
        <v>11.515000000000001</v>
      </c>
      <c r="D2151" s="2" t="s">
        <v>84</v>
      </c>
      <c r="E2151" s="2" t="s">
        <v>18670</v>
      </c>
      <c r="F2151" s="2" t="s">
        <v>18671</v>
      </c>
      <c r="G2151" s="2">
        <v>57590</v>
      </c>
      <c r="H2151" s="3" t="str">
        <f>HYPERLINK("https://cloud.oebiotech.com/#/lm/network/57590", "https://cloud.oebiotech.com/#/lm/network/57590")</f>
        <v>https://cloud.oebiotech.com/#/lm/network/57590</v>
      </c>
      <c r="I2151" s="2" t="s">
        <v>18672</v>
      </c>
      <c r="J2151" s="2">
        <v>89193</v>
      </c>
      <c r="K2151" s="2"/>
      <c r="L2151" s="2">
        <v>3083987</v>
      </c>
      <c r="M2151" s="2" t="s">
        <v>18673</v>
      </c>
      <c r="N2151" s="2"/>
      <c r="O2151" s="2"/>
      <c r="P2151" s="2"/>
      <c r="Q2151" s="2"/>
      <c r="R2151" s="2"/>
      <c r="S2151" s="2" t="s">
        <v>18674</v>
      </c>
      <c r="T2151" s="2" t="s">
        <v>18675</v>
      </c>
      <c r="U2151" s="2" t="s">
        <v>18676</v>
      </c>
      <c r="V2151" s="2" t="s">
        <v>553</v>
      </c>
      <c r="W2151" s="2" t="s">
        <v>1599</v>
      </c>
      <c r="X2151" s="2" t="s">
        <v>18677</v>
      </c>
      <c r="Y2151" s="2" t="s">
        <v>556</v>
      </c>
      <c r="Z2151" s="2" t="s">
        <v>1601</v>
      </c>
      <c r="AA2151" s="2" t="s">
        <v>18678</v>
      </c>
      <c r="AB2151" s="2" t="s">
        <v>8443</v>
      </c>
      <c r="AC2151" s="2">
        <v>37.92</v>
      </c>
      <c r="AD2151" s="2">
        <v>89.75</v>
      </c>
      <c r="AE2151" s="2">
        <v>0</v>
      </c>
      <c r="AF2151" s="2" t="s">
        <v>5614</v>
      </c>
      <c r="AG2151" s="2" t="s">
        <v>4104</v>
      </c>
      <c r="AH2151" s="2" t="s">
        <v>18679</v>
      </c>
      <c r="AI2151" s="2">
        <v>1.03</v>
      </c>
      <c r="AJ2151" s="2">
        <v>18.454572287607501</v>
      </c>
      <c r="AK2151" s="2">
        <v>18.0205284294194</v>
      </c>
      <c r="AL2151" s="2">
        <v>18.127505574003902</v>
      </c>
      <c r="AM2151" s="2">
        <v>18.1075733011761</v>
      </c>
      <c r="AN2151" s="2">
        <v>17.882326971491899</v>
      </c>
      <c r="AO2151" s="2">
        <v>18.745248035284799</v>
      </c>
      <c r="AP2151" s="2">
        <v>18.1588158657474</v>
      </c>
      <c r="AQ2151" s="2">
        <v>18.600498534915399</v>
      </c>
      <c r="AR2151" s="2">
        <v>18.553248292450899</v>
      </c>
      <c r="AS2151" s="2">
        <v>16.5480167589525</v>
      </c>
      <c r="AT2151" s="2">
        <v>16.693951473418799</v>
      </c>
      <c r="AU2151" s="2">
        <v>18.417103635781899</v>
      </c>
      <c r="AV2151" s="2">
        <v>16.636040559735399</v>
      </c>
      <c r="AW2151" s="2">
        <v>18.2645426159186</v>
      </c>
      <c r="AX2151" s="2">
        <v>18.479749599803601</v>
      </c>
      <c r="AY2151" s="2">
        <v>17.883050015542398</v>
      </c>
      <c r="AZ2151" s="2">
        <v>18.593688151992598</v>
      </c>
      <c r="BA2151" s="2">
        <v>17.0418963162032</v>
      </c>
      <c r="BB2151" s="2">
        <v>17.992032108756199</v>
      </c>
      <c r="BC2151" s="2">
        <v>18.479847509932899</v>
      </c>
      <c r="BD2151" s="2">
        <v>16.3928354293087</v>
      </c>
      <c r="BE2151" s="2">
        <v>18.027257495275201</v>
      </c>
      <c r="BF2151" s="2">
        <v>18.348725388325398</v>
      </c>
      <c r="BG2151" s="2">
        <v>18.2580095505004</v>
      </c>
      <c r="BH2151" s="2">
        <v>18.520716618019701</v>
      </c>
      <c r="BI2151" s="2">
        <v>18.596329945821399</v>
      </c>
      <c r="BJ2151" s="2">
        <v>17.507840621654601</v>
      </c>
      <c r="BK2151" s="2">
        <v>18.181757718439801</v>
      </c>
      <c r="BL2151" s="2">
        <v>18.229202935334801</v>
      </c>
      <c r="BM2151" s="2">
        <v>17.225037843265898</v>
      </c>
      <c r="BN2151" s="2">
        <v>17.7121579235788</v>
      </c>
      <c r="BO2151" s="2">
        <v>17.1985259989291</v>
      </c>
      <c r="BP2151" s="2">
        <v>17.9963848843759</v>
      </c>
      <c r="BQ2151" s="2">
        <v>18.341697759148701</v>
      </c>
      <c r="BR2151" s="2">
        <v>18.038135266712199</v>
      </c>
      <c r="BS2151" s="2">
        <v>18.9868663333245</v>
      </c>
      <c r="BT2151" s="2">
        <v>18.629394509965799</v>
      </c>
      <c r="BU2151" s="2">
        <v>17.147744820749502</v>
      </c>
      <c r="BV2151" s="2">
        <v>18.162816241994001</v>
      </c>
      <c r="BW2151" s="2">
        <v>16.186791698218698</v>
      </c>
      <c r="BX2151" s="2">
        <v>18.572868949420702</v>
      </c>
      <c r="BY2151" s="2">
        <v>18.0882803308516</v>
      </c>
      <c r="BZ2151" s="2">
        <v>17.1232044898914</v>
      </c>
      <c r="CA2151" s="2">
        <v>18.954854556830799</v>
      </c>
      <c r="CB2151" s="2">
        <v>17.802028269863101</v>
      </c>
      <c r="CC2151" s="2">
        <v>17.023695019340199</v>
      </c>
      <c r="CD2151" s="2">
        <v>17.570927295144099</v>
      </c>
      <c r="CE2151" s="2">
        <v>16.885994203456899</v>
      </c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</row>
    <row r="2152" spans="1:97">
      <c r="A2152" s="2" t="s">
        <v>18680</v>
      </c>
      <c r="B2152" s="2">
        <v>244.26318000000001</v>
      </c>
      <c r="C2152" s="2">
        <v>8.1620000000000008</v>
      </c>
      <c r="D2152" s="2" t="s">
        <v>84</v>
      </c>
      <c r="E2152" s="2" t="s">
        <v>18681</v>
      </c>
      <c r="F2152" s="2" t="s">
        <v>18682</v>
      </c>
      <c r="G2152" s="2">
        <v>81851</v>
      </c>
      <c r="H2152" s="3" t="str">
        <f>HYPERLINK("https://cloud.oebiotech.com/#/lm/network/81851", "https://cloud.oebiotech.com/#/lm/network/81851")</f>
        <v>https://cloud.oebiotech.com/#/lm/network/81851</v>
      </c>
      <c r="I2152" s="2" t="s">
        <v>18683</v>
      </c>
      <c r="J2152" s="2"/>
      <c r="K2152" s="2"/>
      <c r="L2152" s="2">
        <v>13162</v>
      </c>
      <c r="M2152" s="2"/>
      <c r="N2152" s="2"/>
      <c r="O2152" s="2"/>
      <c r="P2152" s="2"/>
      <c r="Q2152" s="2"/>
      <c r="R2152" s="2"/>
      <c r="S2152" s="2"/>
      <c r="T2152" s="2" t="s">
        <v>18684</v>
      </c>
      <c r="U2152" s="2" t="s">
        <v>18685</v>
      </c>
      <c r="V2152" s="2" t="s">
        <v>338</v>
      </c>
      <c r="W2152" s="2" t="s">
        <v>339</v>
      </c>
      <c r="X2152" s="2" t="s">
        <v>340</v>
      </c>
      <c r="Y2152" s="2" t="s">
        <v>341</v>
      </c>
      <c r="Z2152" s="2" t="s">
        <v>341</v>
      </c>
      <c r="AA2152" s="2" t="s">
        <v>342</v>
      </c>
      <c r="AB2152" s="2" t="s">
        <v>8443</v>
      </c>
      <c r="AC2152" s="2">
        <v>37.9</v>
      </c>
      <c r="AD2152" s="2">
        <v>90.66</v>
      </c>
      <c r="AE2152" s="2">
        <v>0</v>
      </c>
      <c r="AF2152" s="2" t="s">
        <v>18686</v>
      </c>
      <c r="AG2152" s="2" t="s">
        <v>132</v>
      </c>
      <c r="AH2152" s="2" t="s">
        <v>18687</v>
      </c>
      <c r="AI2152" s="2">
        <v>1.23</v>
      </c>
      <c r="AJ2152" s="2">
        <v>19.332594047440701</v>
      </c>
      <c r="AK2152" s="2">
        <v>19.286640848277798</v>
      </c>
      <c r="AL2152" s="2">
        <v>19.109765959012499</v>
      </c>
      <c r="AM2152" s="2">
        <v>18.8923699755466</v>
      </c>
      <c r="AN2152" s="2">
        <v>19.5458873041011</v>
      </c>
      <c r="AO2152" s="2">
        <v>19.1585238954811</v>
      </c>
      <c r="AP2152" s="2">
        <v>19.495908766338999</v>
      </c>
      <c r="AQ2152" s="2">
        <v>19.183434635154001</v>
      </c>
      <c r="AR2152" s="2">
        <v>17.369536091096599</v>
      </c>
      <c r="AS2152" s="2">
        <v>16.884633929539199</v>
      </c>
      <c r="AT2152" s="2">
        <v>16.5064969564907</v>
      </c>
      <c r="AU2152" s="2">
        <v>17.1316418703443</v>
      </c>
      <c r="AV2152" s="2">
        <v>13.863992637170799</v>
      </c>
      <c r="AW2152" s="2">
        <v>17.171298300959901</v>
      </c>
      <c r="AX2152" s="2">
        <v>16.642594689124898</v>
      </c>
      <c r="AY2152" s="2">
        <v>16.752815349751099</v>
      </c>
      <c r="AZ2152" s="2">
        <v>16.241667227735</v>
      </c>
      <c r="BA2152" s="2">
        <v>15.942160981583701</v>
      </c>
      <c r="BB2152" s="2">
        <v>17.1354108978997</v>
      </c>
      <c r="BC2152" s="2">
        <v>17.1975334767398</v>
      </c>
      <c r="BD2152" s="2">
        <v>15.500189893463601</v>
      </c>
      <c r="BE2152" s="2">
        <v>17.089961028009999</v>
      </c>
      <c r="BF2152" s="2">
        <v>18.1131571325873</v>
      </c>
      <c r="BG2152" s="2">
        <v>17.766722418729099</v>
      </c>
      <c r="BH2152" s="2">
        <v>16.611724384335101</v>
      </c>
      <c r="BI2152" s="2">
        <v>16.186253742336</v>
      </c>
      <c r="BJ2152" s="2">
        <v>15.1295225069849</v>
      </c>
      <c r="BK2152" s="2">
        <v>16.894616362017899</v>
      </c>
      <c r="BL2152" s="2">
        <v>15.430654763089301</v>
      </c>
      <c r="BM2152" s="2">
        <v>14.8302329387786</v>
      </c>
      <c r="BN2152" s="2">
        <v>14.327496506995301</v>
      </c>
      <c r="BO2152" s="2">
        <v>9.6233145402724691</v>
      </c>
      <c r="BP2152" s="2">
        <v>17.0012993283882</v>
      </c>
      <c r="BQ2152" s="2">
        <v>14.987797817073201</v>
      </c>
      <c r="BR2152" s="2">
        <v>16.076621053874099</v>
      </c>
      <c r="BS2152" s="2">
        <v>16.2469513471897</v>
      </c>
      <c r="BT2152" s="2">
        <v>16.195851424010701</v>
      </c>
      <c r="BU2152" s="2">
        <v>16.5637818310576</v>
      </c>
      <c r="BV2152" s="2">
        <v>16.621005577818099</v>
      </c>
      <c r="BW2152" s="2">
        <v>15.9441105840079</v>
      </c>
      <c r="BX2152" s="2">
        <v>16.625880038805501</v>
      </c>
      <c r="BY2152" s="2">
        <v>17.657428992412001</v>
      </c>
      <c r="BZ2152" s="2">
        <v>16.8040515920991</v>
      </c>
      <c r="CA2152" s="2">
        <v>16.3395485402433</v>
      </c>
      <c r="CB2152" s="2">
        <v>15.0144581655849</v>
      </c>
      <c r="CC2152" s="2">
        <v>15.8418203345949</v>
      </c>
      <c r="CD2152" s="2">
        <v>16.588862761843501</v>
      </c>
      <c r="CE2152" s="2">
        <v>9.6233145402724691</v>
      </c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</row>
    <row r="2153" spans="1:97">
      <c r="A2153" s="2" t="s">
        <v>18688</v>
      </c>
      <c r="B2153" s="2">
        <v>161.02003999999999</v>
      </c>
      <c r="C2153" s="2">
        <v>1.012</v>
      </c>
      <c r="D2153" s="2" t="s">
        <v>146</v>
      </c>
      <c r="E2153" s="2" t="s">
        <v>18689</v>
      </c>
      <c r="F2153" s="2" t="s">
        <v>18690</v>
      </c>
      <c r="G2153" s="2">
        <v>210725</v>
      </c>
      <c r="H2153" s="3" t="str">
        <f>HYPERLINK("https://cloud.oebiotech.com/#/lm/network/210725", "https://cloud.oebiotech.com/#/lm/network/210725")</f>
        <v>https://cloud.oebiotech.com/#/lm/network/210725</v>
      </c>
      <c r="I2153" s="2" t="s">
        <v>18691</v>
      </c>
      <c r="J2153" s="2"/>
      <c r="K2153" s="2"/>
      <c r="L2153" s="2">
        <v>87214463</v>
      </c>
      <c r="M2153" s="2"/>
      <c r="N2153" s="2"/>
      <c r="O2153" s="2"/>
      <c r="P2153" s="2"/>
      <c r="Q2153" s="2"/>
      <c r="R2153" s="2"/>
      <c r="S2153" s="2"/>
      <c r="T2153" s="2" t="s">
        <v>18692</v>
      </c>
      <c r="U2153" s="2" t="s">
        <v>18693</v>
      </c>
      <c r="V2153" s="2" t="s">
        <v>553</v>
      </c>
      <c r="W2153" s="2" t="s">
        <v>5114</v>
      </c>
      <c r="X2153" s="2" t="s">
        <v>18694</v>
      </c>
      <c r="Y2153" s="2" t="s">
        <v>556</v>
      </c>
      <c r="Z2153" s="2" t="s">
        <v>5116</v>
      </c>
      <c r="AA2153" s="2" t="s">
        <v>18695</v>
      </c>
      <c r="AB2153" s="2" t="s">
        <v>8443</v>
      </c>
      <c r="AC2153" s="2">
        <v>37.9</v>
      </c>
      <c r="AD2153" s="2">
        <v>96.89</v>
      </c>
      <c r="AE2153" s="2">
        <v>0</v>
      </c>
      <c r="AF2153" s="2" t="s">
        <v>5614</v>
      </c>
      <c r="AG2153" s="2" t="s">
        <v>157</v>
      </c>
      <c r="AH2153" s="2" t="s">
        <v>18696</v>
      </c>
      <c r="AI2153" s="2">
        <v>2.48</v>
      </c>
      <c r="AJ2153" s="2">
        <v>18.864898602926601</v>
      </c>
      <c r="AK2153" s="2">
        <v>18.608644562990101</v>
      </c>
      <c r="AL2153" s="2">
        <v>19.005104402601599</v>
      </c>
      <c r="AM2153" s="2">
        <v>18.9104764069514</v>
      </c>
      <c r="AN2153" s="2">
        <v>19.101062005755399</v>
      </c>
      <c r="AO2153" s="2">
        <v>19.146274042055701</v>
      </c>
      <c r="AP2153" s="2">
        <v>19.426909481246799</v>
      </c>
      <c r="AQ2153" s="2">
        <v>19.079794834731398</v>
      </c>
      <c r="AR2153" s="2">
        <v>18.389161642518999</v>
      </c>
      <c r="AS2153" s="2">
        <v>9.6233145402724691</v>
      </c>
      <c r="AT2153" s="2">
        <v>19.395799110616501</v>
      </c>
      <c r="AU2153" s="2">
        <v>20.2552155516059</v>
      </c>
      <c r="AV2153" s="2">
        <v>18.818573689839699</v>
      </c>
      <c r="AW2153" s="2">
        <v>18.109490493520202</v>
      </c>
      <c r="AX2153" s="2">
        <v>20.180218743592199</v>
      </c>
      <c r="AY2153" s="2">
        <v>18.632462314266999</v>
      </c>
      <c r="AZ2153" s="2">
        <v>19.284568615415601</v>
      </c>
      <c r="BA2153" s="2">
        <v>16.896289471550599</v>
      </c>
      <c r="BB2153" s="2">
        <v>17.863693859022401</v>
      </c>
      <c r="BC2153" s="2">
        <v>17.413791449213299</v>
      </c>
      <c r="BD2153" s="2">
        <v>19.911871279180701</v>
      </c>
      <c r="BE2153" s="2">
        <v>20.094553443214799</v>
      </c>
      <c r="BF2153" s="2">
        <v>18.826817298010301</v>
      </c>
      <c r="BG2153" s="2">
        <v>15.7219370631408</v>
      </c>
      <c r="BH2153" s="2">
        <v>19.2705104871876</v>
      </c>
      <c r="BI2153" s="2">
        <v>19.164779925357202</v>
      </c>
      <c r="BJ2153" s="2">
        <v>16.986826873216799</v>
      </c>
      <c r="BK2153" s="2">
        <v>18.604353963045298</v>
      </c>
      <c r="BL2153" s="2">
        <v>18.308334052377798</v>
      </c>
      <c r="BM2153" s="2">
        <v>20.804243947943899</v>
      </c>
      <c r="BN2153" s="2">
        <v>18.714402062784799</v>
      </c>
      <c r="BO2153" s="2">
        <v>18.1219068606669</v>
      </c>
      <c r="BP2153" s="2">
        <v>17.8366821480049</v>
      </c>
      <c r="BQ2153" s="2">
        <v>19.484338602013501</v>
      </c>
      <c r="BR2153" s="2">
        <v>16.769202625690301</v>
      </c>
      <c r="BS2153" s="2">
        <v>17.8969939683912</v>
      </c>
      <c r="BT2153" s="2">
        <v>17.611148096227101</v>
      </c>
      <c r="BU2153" s="2">
        <v>18.623591649077401</v>
      </c>
      <c r="BV2153" s="2">
        <v>18.462875263547001</v>
      </c>
      <c r="BW2153" s="2">
        <v>17.872536855842799</v>
      </c>
      <c r="BX2153" s="2">
        <v>19.357515643839498</v>
      </c>
      <c r="BY2153" s="2">
        <v>21.458609660180901</v>
      </c>
      <c r="BZ2153" s="2">
        <v>14.8444242976715</v>
      </c>
      <c r="CA2153" s="2">
        <v>18.1819871509054</v>
      </c>
      <c r="CB2153" s="2">
        <v>16.812203382914401</v>
      </c>
      <c r="CC2153" s="2">
        <v>18.868737054960601</v>
      </c>
      <c r="CD2153" s="2">
        <v>18.560266400636799</v>
      </c>
      <c r="CE2153" s="2">
        <v>18.482117823538399</v>
      </c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</row>
    <row r="2154" spans="1:97">
      <c r="A2154" s="2" t="s">
        <v>18697</v>
      </c>
      <c r="B2154" s="2">
        <v>289.10525000000001</v>
      </c>
      <c r="C2154" s="2">
        <v>9.2189999999999994</v>
      </c>
      <c r="D2154" s="2" t="s">
        <v>146</v>
      </c>
      <c r="E2154" s="2" t="s">
        <v>18698</v>
      </c>
      <c r="F2154" s="2" t="s">
        <v>18699</v>
      </c>
      <c r="G2154" s="2">
        <v>48599</v>
      </c>
      <c r="H2154" s="3" t="str">
        <f>HYPERLINK("https://cloud.oebiotech.com/#/lm/network/48599", "https://cloud.oebiotech.com/#/lm/network/48599")</f>
        <v>https://cloud.oebiotech.com/#/lm/network/48599</v>
      </c>
      <c r="I2154" s="2" t="s">
        <v>18700</v>
      </c>
      <c r="J2154" s="2">
        <v>58302</v>
      </c>
      <c r="K2154" s="2"/>
      <c r="L2154" s="2">
        <v>20849429</v>
      </c>
      <c r="M2154" s="2"/>
      <c r="N2154" s="2"/>
      <c r="O2154" s="2"/>
      <c r="P2154" s="2">
        <v>172495</v>
      </c>
      <c r="Q2154" s="2"/>
      <c r="R2154" s="2"/>
      <c r="S2154" s="2" t="s">
        <v>18701</v>
      </c>
      <c r="T2154" s="2" t="s">
        <v>18702</v>
      </c>
      <c r="U2154" s="2" t="s">
        <v>18703</v>
      </c>
      <c r="V2154" s="2" t="s">
        <v>115</v>
      </c>
      <c r="W2154" s="2" t="s">
        <v>7559</v>
      </c>
      <c r="X2154" s="2" t="s">
        <v>7560</v>
      </c>
      <c r="Y2154" s="2" t="s">
        <v>118</v>
      </c>
      <c r="Z2154" s="2" t="s">
        <v>7561</v>
      </c>
      <c r="AA2154" s="2" t="s">
        <v>7562</v>
      </c>
      <c r="AB2154" s="2" t="s">
        <v>5118</v>
      </c>
      <c r="AC2154" s="2">
        <v>37.89</v>
      </c>
      <c r="AD2154" s="2">
        <v>79.680000000000007</v>
      </c>
      <c r="AE2154" s="2">
        <v>51.61</v>
      </c>
      <c r="AF2154" s="2" t="s">
        <v>18704</v>
      </c>
      <c r="AG2154" s="2" t="s">
        <v>4062</v>
      </c>
      <c r="AH2154" s="2" t="s">
        <v>18705</v>
      </c>
      <c r="AI2154" s="2">
        <v>6.92</v>
      </c>
      <c r="AJ2154" s="2">
        <v>20.848274429284299</v>
      </c>
      <c r="AK2154" s="2">
        <v>20.5754382949773</v>
      </c>
      <c r="AL2154" s="2">
        <v>20.658117347888599</v>
      </c>
      <c r="AM2154" s="2">
        <v>20.706345122378099</v>
      </c>
      <c r="AN2154" s="2">
        <v>20.458978453863502</v>
      </c>
      <c r="AO2154" s="2">
        <v>20.422989854349101</v>
      </c>
      <c r="AP2154" s="2">
        <v>20.845405416008798</v>
      </c>
      <c r="AQ2154" s="2">
        <v>20.716656405221599</v>
      </c>
      <c r="AR2154" s="2">
        <v>21.324914440130598</v>
      </c>
      <c r="AS2154" s="2">
        <v>19.8198100967948</v>
      </c>
      <c r="AT2154" s="2">
        <v>19.896555043287499</v>
      </c>
      <c r="AU2154" s="2">
        <v>20.8125844525321</v>
      </c>
      <c r="AV2154" s="2">
        <v>20.734531804075999</v>
      </c>
      <c r="AW2154" s="2">
        <v>20.6627789002833</v>
      </c>
      <c r="AX2154" s="2">
        <v>20.085810823459401</v>
      </c>
      <c r="AY2154" s="2">
        <v>20.461312739950301</v>
      </c>
      <c r="AZ2154" s="2">
        <v>19.710154417924301</v>
      </c>
      <c r="BA2154" s="2">
        <v>20.0142722348854</v>
      </c>
      <c r="BB2154" s="2">
        <v>20.674757762157601</v>
      </c>
      <c r="BC2154" s="2">
        <v>21.2042170834163</v>
      </c>
      <c r="BD2154" s="2">
        <v>20.603616774336601</v>
      </c>
      <c r="BE2154" s="2">
        <v>20.930066165383799</v>
      </c>
      <c r="BF2154" s="2">
        <v>20.017781067290201</v>
      </c>
      <c r="BG2154" s="2">
        <v>20.181114334266699</v>
      </c>
      <c r="BH2154" s="2">
        <v>21.9918708896247</v>
      </c>
      <c r="BI2154" s="2">
        <v>19.5329157354304</v>
      </c>
      <c r="BJ2154" s="2">
        <v>20.245596979747301</v>
      </c>
      <c r="BK2154" s="2">
        <v>20.928575018570601</v>
      </c>
      <c r="BL2154" s="2">
        <v>19.662091339954401</v>
      </c>
      <c r="BM2154" s="2">
        <v>20.828251701021902</v>
      </c>
      <c r="BN2154" s="2">
        <v>21.306685780347699</v>
      </c>
      <c r="BO2154" s="2">
        <v>21.666410856124301</v>
      </c>
      <c r="BP2154" s="2">
        <v>19.160672600526699</v>
      </c>
      <c r="BQ2154" s="2">
        <v>21.1117459143858</v>
      </c>
      <c r="BR2154" s="2">
        <v>20.192036471530599</v>
      </c>
      <c r="BS2154" s="2">
        <v>20.6516158958594</v>
      </c>
      <c r="BT2154" s="2">
        <v>20.4769363953991</v>
      </c>
      <c r="BU2154" s="2">
        <v>20.360467643288999</v>
      </c>
      <c r="BV2154" s="2">
        <v>20.676923274606001</v>
      </c>
      <c r="BW2154" s="2">
        <v>19.042429553494099</v>
      </c>
      <c r="BX2154" s="2">
        <v>19.955618735857499</v>
      </c>
      <c r="BY2154" s="2">
        <v>21.600550238566999</v>
      </c>
      <c r="BZ2154" s="2">
        <v>20.415490158828</v>
      </c>
      <c r="CA2154" s="2">
        <v>19.945425117846199</v>
      </c>
      <c r="CB2154" s="2">
        <v>19.832783231797201</v>
      </c>
      <c r="CC2154" s="2">
        <v>20.211826057688</v>
      </c>
      <c r="CD2154" s="2">
        <v>20.9735747021953</v>
      </c>
      <c r="CE2154" s="2">
        <v>21.1534689188898</v>
      </c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</row>
    <row r="2155" spans="1:97">
      <c r="A2155" s="2" t="s">
        <v>18706</v>
      </c>
      <c r="B2155" s="2">
        <v>265.06808999999998</v>
      </c>
      <c r="C2155" s="2">
        <v>5.2329999999999997</v>
      </c>
      <c r="D2155" s="2" t="s">
        <v>84</v>
      </c>
      <c r="E2155" s="2" t="s">
        <v>18707</v>
      </c>
      <c r="F2155" s="2"/>
      <c r="G2155" s="2">
        <v>596566</v>
      </c>
      <c r="H2155" s="3" t="str">
        <f>HYPERLINK("https://cloud.oebiotech.com/#/lm/network/596566", "https://cloud.oebiotech.com/#/lm/network/596566")</f>
        <v>https://cloud.oebiotech.com/#/lm/network/596566</v>
      </c>
      <c r="I2155" s="2"/>
      <c r="J2155" s="2"/>
      <c r="K2155" s="2"/>
      <c r="L2155" s="2">
        <v>126706249</v>
      </c>
      <c r="M2155" s="2"/>
      <c r="N2155" s="2"/>
      <c r="O2155" s="2"/>
      <c r="P2155" s="2"/>
      <c r="Q2155" s="2"/>
      <c r="R2155" s="2"/>
      <c r="S2155" s="2"/>
      <c r="T2155" s="2" t="s">
        <v>18708</v>
      </c>
      <c r="U2155" s="2" t="s">
        <v>18709</v>
      </c>
      <c r="V2155" s="2" t="s">
        <v>95</v>
      </c>
      <c r="W2155" s="2" t="s">
        <v>180</v>
      </c>
      <c r="X2155" s="2" t="s">
        <v>5048</v>
      </c>
      <c r="Y2155" s="2" t="s">
        <v>98</v>
      </c>
      <c r="Z2155" s="2" t="s">
        <v>182</v>
      </c>
      <c r="AA2155" s="2" t="s">
        <v>5049</v>
      </c>
      <c r="AB2155" s="2" t="s">
        <v>8443</v>
      </c>
      <c r="AC2155" s="2">
        <v>37.880000000000003</v>
      </c>
      <c r="AD2155" s="2">
        <v>89.42</v>
      </c>
      <c r="AE2155" s="2">
        <v>0</v>
      </c>
      <c r="AF2155" s="2" t="s">
        <v>18710</v>
      </c>
      <c r="AG2155" s="2" t="s">
        <v>1578</v>
      </c>
      <c r="AH2155" s="2" t="s">
        <v>8529</v>
      </c>
      <c r="AI2155" s="2">
        <v>0.75</v>
      </c>
      <c r="AJ2155" s="2">
        <v>21.3052545672214</v>
      </c>
      <c r="AK2155" s="2">
        <v>21.435738907962801</v>
      </c>
      <c r="AL2155" s="2">
        <v>21.245433555653701</v>
      </c>
      <c r="AM2155" s="2">
        <v>21.433003622701101</v>
      </c>
      <c r="AN2155" s="2">
        <v>21.341723435932899</v>
      </c>
      <c r="AO2155" s="2">
        <v>21.4027928758541</v>
      </c>
      <c r="AP2155" s="2">
        <v>21.239233094292299</v>
      </c>
      <c r="AQ2155" s="2">
        <v>21.411215185593299</v>
      </c>
      <c r="AR2155" s="2">
        <v>20.5541167053231</v>
      </c>
      <c r="AS2155" s="2">
        <v>20.108781057196602</v>
      </c>
      <c r="AT2155" s="2">
        <v>20.170503224225001</v>
      </c>
      <c r="AU2155" s="2">
        <v>20.747843273476398</v>
      </c>
      <c r="AV2155" s="2">
        <v>20.7671689667255</v>
      </c>
      <c r="AW2155" s="2">
        <v>19.613893773704302</v>
      </c>
      <c r="AX2155" s="2">
        <v>19.9938133058135</v>
      </c>
      <c r="AY2155" s="2">
        <v>21.720505533359699</v>
      </c>
      <c r="AZ2155" s="2">
        <v>20.177255852642801</v>
      </c>
      <c r="BA2155" s="2">
        <v>20.749828968520202</v>
      </c>
      <c r="BB2155" s="2">
        <v>20.6562960853778</v>
      </c>
      <c r="BC2155" s="2">
        <v>22.673219699815</v>
      </c>
      <c r="BD2155" s="2">
        <v>22.692496893226899</v>
      </c>
      <c r="BE2155" s="2">
        <v>20.967012651745499</v>
      </c>
      <c r="BF2155" s="2">
        <v>22.152805514659399</v>
      </c>
      <c r="BG2155" s="2">
        <v>21.268366687508301</v>
      </c>
      <c r="BH2155" s="2">
        <v>21.549610394054401</v>
      </c>
      <c r="BI2155" s="2">
        <v>21.187178586637</v>
      </c>
      <c r="BJ2155" s="2">
        <v>21.635534834498099</v>
      </c>
      <c r="BK2155" s="2">
        <v>21.0092980163367</v>
      </c>
      <c r="BL2155" s="2">
        <v>20.4059967208897</v>
      </c>
      <c r="BM2155" s="2">
        <v>21.949257055316998</v>
      </c>
      <c r="BN2155" s="2">
        <v>22.209335482974399</v>
      </c>
      <c r="BO2155" s="2">
        <v>21.087686755805699</v>
      </c>
      <c r="BP2155" s="2">
        <v>21.0163043340177</v>
      </c>
      <c r="BQ2155" s="2">
        <v>20.1880849647447</v>
      </c>
      <c r="BR2155" s="2">
        <v>22.576548771487499</v>
      </c>
      <c r="BS2155" s="2">
        <v>21.6930438573666</v>
      </c>
      <c r="BT2155" s="2">
        <v>21.097970134534201</v>
      </c>
      <c r="BU2155" s="2">
        <v>20.484012269453299</v>
      </c>
      <c r="BV2155" s="2">
        <v>9.6233145402724691</v>
      </c>
      <c r="BW2155" s="2">
        <v>9.6233145402724691</v>
      </c>
      <c r="BX2155" s="2">
        <v>21.010608293144099</v>
      </c>
      <c r="BY2155" s="2">
        <v>21.086370654551899</v>
      </c>
      <c r="BZ2155" s="2">
        <v>21.350029135538801</v>
      </c>
      <c r="CA2155" s="2">
        <v>20.3289786156753</v>
      </c>
      <c r="CB2155" s="2">
        <v>9.6233145402724691</v>
      </c>
      <c r="CC2155" s="2">
        <v>20.586418417621001</v>
      </c>
      <c r="CD2155" s="2">
        <v>20.743713965858699</v>
      </c>
      <c r="CE2155" s="2">
        <v>20.784892829973298</v>
      </c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</row>
    <row r="2156" spans="1:97">
      <c r="A2156" s="2" t="s">
        <v>18711</v>
      </c>
      <c r="B2156" s="2">
        <v>318.96933000000001</v>
      </c>
      <c r="C2156" s="2">
        <v>0.71599999999999997</v>
      </c>
      <c r="D2156" s="2" t="s">
        <v>84</v>
      </c>
      <c r="E2156" s="2" t="s">
        <v>18712</v>
      </c>
      <c r="F2156" s="2" t="s">
        <v>18713</v>
      </c>
      <c r="G2156" s="2">
        <v>204231</v>
      </c>
      <c r="H2156" s="3" t="str">
        <f>HYPERLINK("https://cloud.oebiotech.com/#/lm/network/204231", "https://cloud.oebiotech.com/#/lm/network/204231")</f>
        <v>https://cloud.oebiotech.com/#/lm/network/204231</v>
      </c>
      <c r="I2156" s="2" t="s">
        <v>18714</v>
      </c>
      <c r="J2156" s="2"/>
      <c r="K2156" s="2"/>
      <c r="L2156" s="2">
        <v>6730</v>
      </c>
      <c r="M2156" s="2" t="s">
        <v>18715</v>
      </c>
      <c r="N2156" s="2"/>
      <c r="O2156" s="2"/>
      <c r="P2156" s="2">
        <v>28139</v>
      </c>
      <c r="Q2156" s="2"/>
      <c r="R2156" s="2"/>
      <c r="S2156" s="2"/>
      <c r="T2156" s="2" t="s">
        <v>18716</v>
      </c>
      <c r="U2156" s="2" t="s">
        <v>18717</v>
      </c>
      <c r="V2156" s="2" t="s">
        <v>385</v>
      </c>
      <c r="W2156" s="2" t="s">
        <v>386</v>
      </c>
      <c r="X2156" s="2" t="s">
        <v>2011</v>
      </c>
      <c r="Y2156" s="2" t="s">
        <v>388</v>
      </c>
      <c r="Z2156" s="2" t="s">
        <v>389</v>
      </c>
      <c r="AA2156" s="2" t="s">
        <v>2012</v>
      </c>
      <c r="AB2156" s="2" t="s">
        <v>8443</v>
      </c>
      <c r="AC2156" s="2">
        <v>37.880000000000003</v>
      </c>
      <c r="AD2156" s="2">
        <v>90.64</v>
      </c>
      <c r="AE2156" s="2">
        <v>0</v>
      </c>
      <c r="AF2156" s="2" t="s">
        <v>18718</v>
      </c>
      <c r="AG2156" s="2" t="s">
        <v>3544</v>
      </c>
      <c r="AH2156" s="2" t="s">
        <v>18719</v>
      </c>
      <c r="AI2156" s="2">
        <v>-1.25</v>
      </c>
      <c r="AJ2156" s="2">
        <v>23.981532029812399</v>
      </c>
      <c r="AK2156" s="2">
        <v>24.071381448600899</v>
      </c>
      <c r="AL2156" s="2">
        <v>23.705722658432499</v>
      </c>
      <c r="AM2156" s="2">
        <v>24.084914829216999</v>
      </c>
      <c r="AN2156" s="2">
        <v>23.740303319412799</v>
      </c>
      <c r="AO2156" s="2">
        <v>24.109626956061302</v>
      </c>
      <c r="AP2156" s="2">
        <v>23.881276951481102</v>
      </c>
      <c r="AQ2156" s="2">
        <v>24.021263362095201</v>
      </c>
      <c r="AR2156" s="2">
        <v>23.417548615484598</v>
      </c>
      <c r="AS2156" s="2">
        <v>23.380604752258499</v>
      </c>
      <c r="AT2156" s="2">
        <v>23.727555279707499</v>
      </c>
      <c r="AU2156" s="2">
        <v>23.083558587745198</v>
      </c>
      <c r="AV2156" s="2">
        <v>23.943137317886301</v>
      </c>
      <c r="AW2156" s="2">
        <v>23.5405773938704</v>
      </c>
      <c r="AX2156" s="2">
        <v>23.4652815663392</v>
      </c>
      <c r="AY2156" s="2">
        <v>23.9800694491881</v>
      </c>
      <c r="AZ2156" s="2">
        <v>24.005035394142698</v>
      </c>
      <c r="BA2156" s="2">
        <v>23.4131016365763</v>
      </c>
      <c r="BB2156" s="2">
        <v>23.372014301805301</v>
      </c>
      <c r="BC2156" s="2">
        <v>22.525012848351299</v>
      </c>
      <c r="BD2156" s="2">
        <v>24.196468780076302</v>
      </c>
      <c r="BE2156" s="2">
        <v>24.036282884815598</v>
      </c>
      <c r="BF2156" s="2">
        <v>23.908207153413901</v>
      </c>
      <c r="BG2156" s="2">
        <v>23.469348491848201</v>
      </c>
      <c r="BH2156" s="2">
        <v>23.669593127320301</v>
      </c>
      <c r="BI2156" s="2">
        <v>23.744051909664702</v>
      </c>
      <c r="BJ2156" s="2">
        <v>24.041568978374102</v>
      </c>
      <c r="BK2156" s="2">
        <v>24.421973060143198</v>
      </c>
      <c r="BL2156" s="2">
        <v>23.887242931270599</v>
      </c>
      <c r="BM2156" s="2">
        <v>22.9360059152642</v>
      </c>
      <c r="BN2156" s="2">
        <v>24.036391098169702</v>
      </c>
      <c r="BO2156" s="2">
        <v>24.241428738035601</v>
      </c>
      <c r="BP2156" s="2">
        <v>24.1355737617396</v>
      </c>
      <c r="BQ2156" s="2">
        <v>23.460234944164601</v>
      </c>
      <c r="BR2156" s="2">
        <v>23.303621696820901</v>
      </c>
      <c r="BS2156" s="2">
        <v>24.500003295869298</v>
      </c>
      <c r="BT2156" s="2">
        <v>23.819037293110298</v>
      </c>
      <c r="BU2156" s="2">
        <v>23.292116393605301</v>
      </c>
      <c r="BV2156" s="2">
        <v>23.579714303780101</v>
      </c>
      <c r="BW2156" s="2">
        <v>23.497868589248601</v>
      </c>
      <c r="BX2156" s="2">
        <v>23.726854641814601</v>
      </c>
      <c r="BY2156" s="2">
        <v>23.930449791809501</v>
      </c>
      <c r="BZ2156" s="2">
        <v>23.421994108554401</v>
      </c>
      <c r="CA2156" s="2">
        <v>24.8512016979188</v>
      </c>
      <c r="CB2156" s="2">
        <v>24.1443995857428</v>
      </c>
      <c r="CC2156" s="2">
        <v>23.792611720973198</v>
      </c>
      <c r="CD2156" s="2">
        <v>24.6081990381801</v>
      </c>
      <c r="CE2156" s="2">
        <v>23.995059917389199</v>
      </c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</row>
    <row r="2157" spans="1:97">
      <c r="A2157" s="2" t="s">
        <v>18720</v>
      </c>
      <c r="B2157" s="2">
        <v>307.00186000000002</v>
      </c>
      <c r="C2157" s="2">
        <v>1.387</v>
      </c>
      <c r="D2157" s="2" t="s">
        <v>146</v>
      </c>
      <c r="E2157" s="2" t="s">
        <v>18721</v>
      </c>
      <c r="F2157" s="2" t="s">
        <v>18722</v>
      </c>
      <c r="G2157" s="2">
        <v>47750</v>
      </c>
      <c r="H2157" s="3" t="str">
        <f>HYPERLINK("https://cloud.oebiotech.com/#/lm/network/47750", "https://cloud.oebiotech.com/#/lm/network/47750")</f>
        <v>https://cloud.oebiotech.com/#/lm/network/47750</v>
      </c>
      <c r="I2157" s="2" t="s">
        <v>18723</v>
      </c>
      <c r="J2157" s="2">
        <v>6415</v>
      </c>
      <c r="K2157" s="2"/>
      <c r="L2157" s="2">
        <v>22833574</v>
      </c>
      <c r="M2157" s="2"/>
      <c r="N2157" s="2"/>
      <c r="O2157" s="2"/>
      <c r="P2157" s="2"/>
      <c r="Q2157" s="2"/>
      <c r="R2157" s="2"/>
      <c r="S2157" s="2" t="s">
        <v>18724</v>
      </c>
      <c r="T2157" s="2" t="s">
        <v>18725</v>
      </c>
      <c r="U2157" s="2" t="s">
        <v>18726</v>
      </c>
      <c r="V2157" s="2" t="s">
        <v>338</v>
      </c>
      <c r="W2157" s="2" t="s">
        <v>11029</v>
      </c>
      <c r="X2157" s="2" t="s">
        <v>14228</v>
      </c>
      <c r="Y2157" s="2" t="s">
        <v>341</v>
      </c>
      <c r="Z2157" s="2" t="s">
        <v>11031</v>
      </c>
      <c r="AA2157" s="2" t="s">
        <v>14229</v>
      </c>
      <c r="AB2157" s="2" t="s">
        <v>8443</v>
      </c>
      <c r="AC2157" s="2">
        <v>37.880000000000003</v>
      </c>
      <c r="AD2157" s="2">
        <v>95.46</v>
      </c>
      <c r="AE2157" s="2">
        <v>0</v>
      </c>
      <c r="AF2157" s="2" t="s">
        <v>5614</v>
      </c>
      <c r="AG2157" s="2" t="s">
        <v>194</v>
      </c>
      <c r="AH2157" s="2" t="s">
        <v>18727</v>
      </c>
      <c r="AI2157" s="2">
        <v>-9.77</v>
      </c>
      <c r="AJ2157" s="2">
        <v>19.541358549043</v>
      </c>
      <c r="AK2157" s="2">
        <v>19.922086395703399</v>
      </c>
      <c r="AL2157" s="2">
        <v>19.721631594388601</v>
      </c>
      <c r="AM2157" s="2">
        <v>19.259991210189899</v>
      </c>
      <c r="AN2157" s="2">
        <v>19.713968612260299</v>
      </c>
      <c r="AO2157" s="2">
        <v>19.437314673650601</v>
      </c>
      <c r="AP2157" s="2">
        <v>19.764621743577699</v>
      </c>
      <c r="AQ2157" s="2">
        <v>19.693028538647699</v>
      </c>
      <c r="AR2157" s="2">
        <v>18.405816654096501</v>
      </c>
      <c r="AS2157" s="2">
        <v>18.6002719534332</v>
      </c>
      <c r="AT2157" s="2">
        <v>21.329925282916999</v>
      </c>
      <c r="AU2157" s="2">
        <v>18.215878389217799</v>
      </c>
      <c r="AV2157" s="2">
        <v>18.9739412903225</v>
      </c>
      <c r="AW2157" s="2">
        <v>18.811650014657999</v>
      </c>
      <c r="AX2157" s="2">
        <v>19.777788697128901</v>
      </c>
      <c r="AY2157" s="2">
        <v>19.132713813583599</v>
      </c>
      <c r="AZ2157" s="2">
        <v>18.545832623645101</v>
      </c>
      <c r="BA2157" s="2">
        <v>17.685068570603399</v>
      </c>
      <c r="BB2157" s="2">
        <v>19.689331378792701</v>
      </c>
      <c r="BC2157" s="2">
        <v>20.9253054990306</v>
      </c>
      <c r="BD2157" s="2">
        <v>18.604455065491699</v>
      </c>
      <c r="BE2157" s="2">
        <v>19.102040383198599</v>
      </c>
      <c r="BF2157" s="2">
        <v>19.39583951777</v>
      </c>
      <c r="BG2157" s="2">
        <v>19.6011008065393</v>
      </c>
      <c r="BH2157" s="2">
        <v>19.712274084815</v>
      </c>
      <c r="BI2157" s="2">
        <v>19.527309763233799</v>
      </c>
      <c r="BJ2157" s="2">
        <v>18.985621806732102</v>
      </c>
      <c r="BK2157" s="2">
        <v>18.280998393054801</v>
      </c>
      <c r="BL2157" s="2">
        <v>19.8609840994033</v>
      </c>
      <c r="BM2157" s="2">
        <v>20.192279809348701</v>
      </c>
      <c r="BN2157" s="2">
        <v>19.022504874467799</v>
      </c>
      <c r="BO2157" s="2">
        <v>18.841468218091599</v>
      </c>
      <c r="BP2157" s="2">
        <v>19.139286238423001</v>
      </c>
      <c r="BQ2157" s="2">
        <v>19.858455913579999</v>
      </c>
      <c r="BR2157" s="2">
        <v>20.099931151920501</v>
      </c>
      <c r="BS2157" s="2">
        <v>18.808461099109799</v>
      </c>
      <c r="BT2157" s="2">
        <v>18.440550826545799</v>
      </c>
      <c r="BU2157" s="2">
        <v>19.156546735058701</v>
      </c>
      <c r="BV2157" s="2">
        <v>19.0801594049681</v>
      </c>
      <c r="BW2157" s="2">
        <v>19.909066864601801</v>
      </c>
      <c r="BX2157" s="2">
        <v>19.358949985963999</v>
      </c>
      <c r="BY2157" s="2">
        <v>19.709717535528299</v>
      </c>
      <c r="BZ2157" s="2">
        <v>19.643005361726001</v>
      </c>
      <c r="CA2157" s="2">
        <v>20.457126636663101</v>
      </c>
      <c r="CB2157" s="2">
        <v>19.178671755605201</v>
      </c>
      <c r="CC2157" s="2">
        <v>19.148888090774701</v>
      </c>
      <c r="CD2157" s="2">
        <v>19.290931833029699</v>
      </c>
      <c r="CE2157" s="2">
        <v>19.426836344424601</v>
      </c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</row>
    <row r="2158" spans="1:97">
      <c r="A2158" s="2" t="s">
        <v>18728</v>
      </c>
      <c r="B2158" s="2">
        <v>299.18579999999997</v>
      </c>
      <c r="C2158" s="2">
        <v>10.015000000000001</v>
      </c>
      <c r="D2158" s="2" t="s">
        <v>146</v>
      </c>
      <c r="E2158" s="2" t="s">
        <v>18729</v>
      </c>
      <c r="F2158" s="2"/>
      <c r="G2158" s="2">
        <v>594963</v>
      </c>
      <c r="H2158" s="3" t="str">
        <f>HYPERLINK("https://cloud.oebiotech.com/#/lm/network/594963", "https://cloud.oebiotech.com/#/lm/network/594963")</f>
        <v>https://cloud.oebiotech.com/#/lm/network/594963</v>
      </c>
      <c r="I2158" s="2"/>
      <c r="J2158" s="2"/>
      <c r="K2158" s="2"/>
      <c r="L2158" s="2">
        <v>14556981</v>
      </c>
      <c r="M2158" s="2"/>
      <c r="N2158" s="2"/>
      <c r="O2158" s="2"/>
      <c r="P2158" s="2"/>
      <c r="Q2158" s="2"/>
      <c r="R2158" s="2"/>
      <c r="S2158" s="2"/>
      <c r="T2158" s="2" t="s">
        <v>18730</v>
      </c>
      <c r="U2158" s="2" t="s">
        <v>18731</v>
      </c>
      <c r="V2158" s="2" t="s">
        <v>95</v>
      </c>
      <c r="W2158" s="2" t="s">
        <v>96</v>
      </c>
      <c r="X2158" s="2" t="s">
        <v>141</v>
      </c>
      <c r="Y2158" s="2" t="s">
        <v>98</v>
      </c>
      <c r="Z2158" s="2" t="s">
        <v>99</v>
      </c>
      <c r="AA2158" s="2" t="s">
        <v>142</v>
      </c>
      <c r="AB2158" s="2" t="s">
        <v>8443</v>
      </c>
      <c r="AC2158" s="2">
        <v>37.880000000000003</v>
      </c>
      <c r="AD2158" s="2">
        <v>89.38</v>
      </c>
      <c r="AE2158" s="2">
        <v>0</v>
      </c>
      <c r="AF2158" s="2" t="s">
        <v>5614</v>
      </c>
      <c r="AG2158" s="2" t="s">
        <v>993</v>
      </c>
      <c r="AH2158" s="2" t="s">
        <v>18732</v>
      </c>
      <c r="AI2158" s="2">
        <v>0.33</v>
      </c>
      <c r="AJ2158" s="2">
        <v>17.9526540104502</v>
      </c>
      <c r="AK2158" s="2">
        <v>17.543950436000099</v>
      </c>
      <c r="AL2158" s="2">
        <v>17.557317028323599</v>
      </c>
      <c r="AM2158" s="2">
        <v>17.410367126687401</v>
      </c>
      <c r="AN2158" s="2">
        <v>17.815997881473699</v>
      </c>
      <c r="AO2158" s="2">
        <v>17.243036622575499</v>
      </c>
      <c r="AP2158" s="2">
        <v>17.760600086022698</v>
      </c>
      <c r="AQ2158" s="2">
        <v>17.507158877659201</v>
      </c>
      <c r="AR2158" s="2">
        <v>16.5132893305077</v>
      </c>
      <c r="AS2158" s="2">
        <v>16.731650096852</v>
      </c>
      <c r="AT2158" s="2">
        <v>18.048681204118399</v>
      </c>
      <c r="AU2158" s="2">
        <v>15.761634853977499</v>
      </c>
      <c r="AV2158" s="2">
        <v>18.610769878869199</v>
      </c>
      <c r="AW2158" s="2">
        <v>17.724403536449099</v>
      </c>
      <c r="AX2158" s="2">
        <v>17.2928614458928</v>
      </c>
      <c r="AY2158" s="2">
        <v>17.734229528345399</v>
      </c>
      <c r="AZ2158" s="2">
        <v>15.713247952848199</v>
      </c>
      <c r="BA2158" s="2">
        <v>17.588459257715101</v>
      </c>
      <c r="BB2158" s="2">
        <v>17.115096091628601</v>
      </c>
      <c r="BC2158" s="2">
        <v>18.7506822917404</v>
      </c>
      <c r="BD2158" s="2">
        <v>16.5166603297302</v>
      </c>
      <c r="BE2158" s="2">
        <v>18.850026829858301</v>
      </c>
      <c r="BF2158" s="2">
        <v>16.680597700188301</v>
      </c>
      <c r="BG2158" s="2">
        <v>16.138176588118601</v>
      </c>
      <c r="BH2158" s="2">
        <v>17.7888093775146</v>
      </c>
      <c r="BI2158" s="2">
        <v>17.829810485631299</v>
      </c>
      <c r="BJ2158" s="2">
        <v>17.210409279845599</v>
      </c>
      <c r="BK2158" s="2">
        <v>16.304085498155501</v>
      </c>
      <c r="BL2158" s="2">
        <v>17.665526346580599</v>
      </c>
      <c r="BM2158" s="2">
        <v>17.022066172399999</v>
      </c>
      <c r="BN2158" s="2">
        <v>18.866263112458199</v>
      </c>
      <c r="BO2158" s="2">
        <v>17.350087819026399</v>
      </c>
      <c r="BP2158" s="2">
        <v>17.0612375371784</v>
      </c>
      <c r="BQ2158" s="2">
        <v>18.0874194346043</v>
      </c>
      <c r="BR2158" s="2">
        <v>17.585235739225102</v>
      </c>
      <c r="BS2158" s="2">
        <v>17.203477246269099</v>
      </c>
      <c r="BT2158" s="2">
        <v>15.7975419717325</v>
      </c>
      <c r="BU2158" s="2">
        <v>18.078940764321299</v>
      </c>
      <c r="BV2158" s="2">
        <v>17.4090194407488</v>
      </c>
      <c r="BW2158" s="2">
        <v>17.671366496463602</v>
      </c>
      <c r="BX2158" s="2">
        <v>17.269834006472401</v>
      </c>
      <c r="BY2158" s="2">
        <v>18.713315255137299</v>
      </c>
      <c r="BZ2158" s="2">
        <v>15.839347253126499</v>
      </c>
      <c r="CA2158" s="2">
        <v>16.780163589422401</v>
      </c>
      <c r="CB2158" s="2">
        <v>17.331156280660899</v>
      </c>
      <c r="CC2158" s="2">
        <v>17.957443251109499</v>
      </c>
      <c r="CD2158" s="2">
        <v>17.619716407026999</v>
      </c>
      <c r="CE2158" s="2">
        <v>16.8460874156812</v>
      </c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</row>
    <row r="2159" spans="1:97">
      <c r="A2159" s="2" t="s">
        <v>18733</v>
      </c>
      <c r="B2159" s="2">
        <v>270.95767000000001</v>
      </c>
      <c r="C2159" s="2">
        <v>0.78</v>
      </c>
      <c r="D2159" s="2" t="s">
        <v>84</v>
      </c>
      <c r="E2159" s="2" t="s">
        <v>18734</v>
      </c>
      <c r="F2159" s="2" t="s">
        <v>18735</v>
      </c>
      <c r="G2159" s="2">
        <v>54730</v>
      </c>
      <c r="H2159" s="3" t="str">
        <f>HYPERLINK("https://cloud.oebiotech.com/#/lm/network/54730", "https://cloud.oebiotech.com/#/lm/network/54730")</f>
        <v>https://cloud.oebiotech.com/#/lm/network/54730</v>
      </c>
      <c r="I2159" s="2" t="s">
        <v>18736</v>
      </c>
      <c r="J2159" s="2"/>
      <c r="K2159" s="2"/>
      <c r="L2159" s="2">
        <v>9002</v>
      </c>
      <c r="M2159" s="2" t="s">
        <v>18737</v>
      </c>
      <c r="N2159" s="2"/>
      <c r="O2159" s="2"/>
      <c r="P2159" s="2">
        <v>278533</v>
      </c>
      <c r="Q2159" s="2"/>
      <c r="R2159" s="2"/>
      <c r="S2159" s="2" t="s">
        <v>18738</v>
      </c>
      <c r="T2159" s="2" t="s">
        <v>18739</v>
      </c>
      <c r="U2159" s="2" t="s">
        <v>18740</v>
      </c>
      <c r="V2159" s="2" t="s">
        <v>385</v>
      </c>
      <c r="W2159" s="2" t="s">
        <v>386</v>
      </c>
      <c r="X2159" s="2" t="s">
        <v>1447</v>
      </c>
      <c r="Y2159" s="2" t="s">
        <v>388</v>
      </c>
      <c r="Z2159" s="2" t="s">
        <v>389</v>
      </c>
      <c r="AA2159" s="2" t="s">
        <v>1448</v>
      </c>
      <c r="AB2159" s="2" t="s">
        <v>8443</v>
      </c>
      <c r="AC2159" s="2">
        <v>37.869999999999997</v>
      </c>
      <c r="AD2159" s="2">
        <v>89.37</v>
      </c>
      <c r="AE2159" s="2">
        <v>0</v>
      </c>
      <c r="AF2159" s="2" t="s">
        <v>18741</v>
      </c>
      <c r="AG2159" s="2" t="s">
        <v>103</v>
      </c>
      <c r="AH2159" s="2" t="s">
        <v>18742</v>
      </c>
      <c r="AI2159" s="2">
        <v>0</v>
      </c>
      <c r="AJ2159" s="2">
        <v>22.9380575747332</v>
      </c>
      <c r="AK2159" s="2">
        <v>22.721731734381802</v>
      </c>
      <c r="AL2159" s="2">
        <v>22.8764633349906</v>
      </c>
      <c r="AM2159" s="2">
        <v>22.8393307241538</v>
      </c>
      <c r="AN2159" s="2">
        <v>22.870636848200601</v>
      </c>
      <c r="AO2159" s="2">
        <v>22.840530261004901</v>
      </c>
      <c r="AP2159" s="2">
        <v>22.6652631961399</v>
      </c>
      <c r="AQ2159" s="2">
        <v>22.9770954991385</v>
      </c>
      <c r="AR2159" s="2">
        <v>22.313062067103299</v>
      </c>
      <c r="AS2159" s="2">
        <v>21.0633552633671</v>
      </c>
      <c r="AT2159" s="2">
        <v>22.7070638454719</v>
      </c>
      <c r="AU2159" s="2">
        <v>21.877691962531799</v>
      </c>
      <c r="AV2159" s="2">
        <v>22.623469989612399</v>
      </c>
      <c r="AW2159" s="2">
        <v>22.270618369161699</v>
      </c>
      <c r="AX2159" s="2">
        <v>23.142545335330901</v>
      </c>
      <c r="AY2159" s="2">
        <v>22.4084506621356</v>
      </c>
      <c r="AZ2159" s="2">
        <v>21.951592938989901</v>
      </c>
      <c r="BA2159" s="2">
        <v>22.392609568462198</v>
      </c>
      <c r="BB2159" s="2">
        <v>22.514260853616801</v>
      </c>
      <c r="BC2159" s="2">
        <v>21.9217949298116</v>
      </c>
      <c r="BD2159" s="2">
        <v>22.223906927903901</v>
      </c>
      <c r="BE2159" s="2">
        <v>23.215121795588399</v>
      </c>
      <c r="BF2159" s="2">
        <v>22.405465126789199</v>
      </c>
      <c r="BG2159" s="2">
        <v>23.369749716847</v>
      </c>
      <c r="BH2159" s="2">
        <v>22.906102187860899</v>
      </c>
      <c r="BI2159" s="2">
        <v>23.459576268182001</v>
      </c>
      <c r="BJ2159" s="2">
        <v>22.905545508376498</v>
      </c>
      <c r="BK2159" s="2">
        <v>22.512808238940799</v>
      </c>
      <c r="BL2159" s="2">
        <v>22.531667149664301</v>
      </c>
      <c r="BM2159" s="2">
        <v>20.895255057175302</v>
      </c>
      <c r="BN2159" s="2">
        <v>23.027300937800401</v>
      </c>
      <c r="BO2159" s="2">
        <v>23.4997666535454</v>
      </c>
      <c r="BP2159" s="2">
        <v>23.206627800306102</v>
      </c>
      <c r="BQ2159" s="2">
        <v>22.399024110448298</v>
      </c>
      <c r="BR2159" s="2">
        <v>23.0036067828478</v>
      </c>
      <c r="BS2159" s="2">
        <v>22.824941094446899</v>
      </c>
      <c r="BT2159" s="2">
        <v>22.2998975599582</v>
      </c>
      <c r="BU2159" s="2">
        <v>22.929837750963799</v>
      </c>
      <c r="BV2159" s="2">
        <v>22.615904441534202</v>
      </c>
      <c r="BW2159" s="2">
        <v>21.502725595126599</v>
      </c>
      <c r="BX2159" s="2">
        <v>22.1893517913037</v>
      </c>
      <c r="BY2159" s="2">
        <v>23.849584558046502</v>
      </c>
      <c r="BZ2159" s="2">
        <v>21.572455103696399</v>
      </c>
      <c r="CA2159" s="2">
        <v>22.384766191651199</v>
      </c>
      <c r="CB2159" s="2">
        <v>22.5375831894026</v>
      </c>
      <c r="CC2159" s="2">
        <v>21.7680371965624</v>
      </c>
      <c r="CD2159" s="2">
        <v>23.7443330392252</v>
      </c>
      <c r="CE2159" s="2">
        <v>22.1765799718357</v>
      </c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</row>
    <row r="2160" spans="1:97">
      <c r="A2160" s="2" t="s">
        <v>18743</v>
      </c>
      <c r="B2160" s="2">
        <v>600.27602000000002</v>
      </c>
      <c r="C2160" s="2">
        <v>7.5010000000000003</v>
      </c>
      <c r="D2160" s="2" t="s">
        <v>146</v>
      </c>
      <c r="E2160" s="2" t="s">
        <v>18744</v>
      </c>
      <c r="F2160" s="2" t="s">
        <v>18745</v>
      </c>
      <c r="G2160" s="2">
        <v>207350</v>
      </c>
      <c r="H2160" s="3" t="str">
        <f>HYPERLINK("https://cloud.oebiotech.com/#/lm/network/207350", "https://cloud.oebiotech.com/#/lm/network/207350")</f>
        <v>https://cloud.oebiotech.com/#/lm/network/207350</v>
      </c>
      <c r="I2160" s="2" t="s">
        <v>18746</v>
      </c>
      <c r="J2160" s="2"/>
      <c r="K2160" s="2"/>
      <c r="L2160" s="2">
        <v>14796483</v>
      </c>
      <c r="M2160" s="2"/>
      <c r="N2160" s="2"/>
      <c r="O2160" s="2"/>
      <c r="P2160" s="2"/>
      <c r="Q2160" s="2"/>
      <c r="R2160" s="2"/>
      <c r="S2160" s="2"/>
      <c r="T2160" s="2" t="s">
        <v>18747</v>
      </c>
      <c r="U2160" s="2" t="s">
        <v>18748</v>
      </c>
      <c r="V2160" s="2" t="s">
        <v>115</v>
      </c>
      <c r="W2160" s="2" t="s">
        <v>116</v>
      </c>
      <c r="X2160" s="2" t="s">
        <v>117</v>
      </c>
      <c r="Y2160" s="2" t="s">
        <v>118</v>
      </c>
      <c r="Z2160" s="2" t="s">
        <v>119</v>
      </c>
      <c r="AA2160" s="2" t="s">
        <v>120</v>
      </c>
      <c r="AB2160" s="2" t="s">
        <v>8443</v>
      </c>
      <c r="AC2160" s="2">
        <v>37.869999999999997</v>
      </c>
      <c r="AD2160" s="2">
        <v>95.18</v>
      </c>
      <c r="AE2160" s="2">
        <v>0</v>
      </c>
      <c r="AF2160" s="2" t="s">
        <v>18749</v>
      </c>
      <c r="AG2160" s="2" t="s">
        <v>194</v>
      </c>
      <c r="AH2160" s="2" t="s">
        <v>18750</v>
      </c>
      <c r="AI2160" s="2">
        <v>-2.17</v>
      </c>
      <c r="AJ2160" s="2">
        <v>20.0498449873675</v>
      </c>
      <c r="AK2160" s="2">
        <v>19.8038316421225</v>
      </c>
      <c r="AL2160" s="2">
        <v>20.042693546983699</v>
      </c>
      <c r="AM2160" s="2">
        <v>20.340064569639001</v>
      </c>
      <c r="AN2160" s="2">
        <v>20.029041629190399</v>
      </c>
      <c r="AO2160" s="2">
        <v>20.299359431698299</v>
      </c>
      <c r="AP2160" s="2">
        <v>20.151962657693399</v>
      </c>
      <c r="AQ2160" s="2">
        <v>20.1887141546942</v>
      </c>
      <c r="AR2160" s="2">
        <v>19.356994744360598</v>
      </c>
      <c r="AS2160" s="2">
        <v>12.504493773674399</v>
      </c>
      <c r="AT2160" s="2">
        <v>17.325391369069301</v>
      </c>
      <c r="AU2160" s="2">
        <v>18.979988805451001</v>
      </c>
      <c r="AV2160" s="2">
        <v>17.1543884596955</v>
      </c>
      <c r="AW2160" s="2">
        <v>21.048594471836399</v>
      </c>
      <c r="AX2160" s="2">
        <v>17.4446869454226</v>
      </c>
      <c r="AY2160" s="2">
        <v>19.428890808474598</v>
      </c>
      <c r="AZ2160" s="2">
        <v>14.7620009657326</v>
      </c>
      <c r="BA2160" s="2">
        <v>13.3202505505212</v>
      </c>
      <c r="BB2160" s="2">
        <v>21.6760222654536</v>
      </c>
      <c r="BC2160" s="2">
        <v>17.329782238385999</v>
      </c>
      <c r="BD2160" s="2">
        <v>16.560691821165001</v>
      </c>
      <c r="BE2160" s="2">
        <v>17.8465168828351</v>
      </c>
      <c r="BF2160" s="2">
        <v>16.0605460653073</v>
      </c>
      <c r="BG2160" s="2">
        <v>12.9832305592316</v>
      </c>
      <c r="BH2160" s="2">
        <v>17.418101313505499</v>
      </c>
      <c r="BI2160" s="2">
        <v>14.0286520252209</v>
      </c>
      <c r="BJ2160" s="2">
        <v>16.573558880068401</v>
      </c>
      <c r="BK2160" s="2">
        <v>19.405486535584501</v>
      </c>
      <c r="BL2160" s="2">
        <v>15.356270727838799</v>
      </c>
      <c r="BM2160" s="2">
        <v>19.848277035273298</v>
      </c>
      <c r="BN2160" s="2">
        <v>18.870192663171899</v>
      </c>
      <c r="BO2160" s="2">
        <v>15.114124192022301</v>
      </c>
      <c r="BP2160" s="2">
        <v>9.6233145402724691</v>
      </c>
      <c r="BQ2160" s="2">
        <v>18.575918764092101</v>
      </c>
      <c r="BR2160" s="2">
        <v>18.131170840269899</v>
      </c>
      <c r="BS2160" s="2">
        <v>18.479004460081299</v>
      </c>
      <c r="BT2160" s="2">
        <v>16.040834439355599</v>
      </c>
      <c r="BU2160" s="2">
        <v>13.4547169771712</v>
      </c>
      <c r="BV2160" s="2">
        <v>21.1117379115807</v>
      </c>
      <c r="BW2160" s="2">
        <v>15.9678843563429</v>
      </c>
      <c r="BX2160" s="2">
        <v>17.194240909453299</v>
      </c>
      <c r="BY2160" s="2">
        <v>16.654156019889498</v>
      </c>
      <c r="BZ2160" s="2">
        <v>18.4973328931612</v>
      </c>
      <c r="CA2160" s="2">
        <v>17.2692448651121</v>
      </c>
      <c r="CB2160" s="2">
        <v>18.070340529855301</v>
      </c>
      <c r="CC2160" s="2">
        <v>15.038425635581101</v>
      </c>
      <c r="CD2160" s="2">
        <v>17.533606994909398</v>
      </c>
      <c r="CE2160" s="2">
        <v>15.0342792615279</v>
      </c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</row>
    <row r="2161" spans="1:97">
      <c r="A2161" s="2" t="s">
        <v>18751</v>
      </c>
      <c r="B2161" s="2">
        <v>239.07348999999999</v>
      </c>
      <c r="C2161" s="2">
        <v>7.4020000000000001</v>
      </c>
      <c r="D2161" s="2" t="s">
        <v>146</v>
      </c>
      <c r="E2161" s="2" t="s">
        <v>18752</v>
      </c>
      <c r="F2161" s="2" t="s">
        <v>18753</v>
      </c>
      <c r="G2161" s="2">
        <v>201466</v>
      </c>
      <c r="H2161" s="3" t="str">
        <f>HYPERLINK("https://cloud.oebiotech.com/#/lm/network/201466", "https://cloud.oebiotech.com/#/lm/network/201466")</f>
        <v>https://cloud.oebiotech.com/#/lm/network/201466</v>
      </c>
      <c r="I2161" s="2" t="s">
        <v>18754</v>
      </c>
      <c r="J2161" s="2">
        <v>70691</v>
      </c>
      <c r="K2161" s="2"/>
      <c r="L2161" s="2">
        <v>3534982</v>
      </c>
      <c r="M2161" s="2" t="s">
        <v>18755</v>
      </c>
      <c r="N2161" s="2"/>
      <c r="O2161" s="2"/>
      <c r="P2161" s="2">
        <v>48022</v>
      </c>
      <c r="Q2161" s="2"/>
      <c r="R2161" s="2"/>
      <c r="S2161" s="2"/>
      <c r="T2161" s="2" t="s">
        <v>18756</v>
      </c>
      <c r="U2161" s="2" t="s">
        <v>18757</v>
      </c>
      <c r="V2161" s="2" t="s">
        <v>845</v>
      </c>
      <c r="W2161" s="2" t="s">
        <v>1853</v>
      </c>
      <c r="X2161" s="2" t="s">
        <v>10201</v>
      </c>
      <c r="Y2161" s="2" t="s">
        <v>847</v>
      </c>
      <c r="Z2161" s="2" t="s">
        <v>1855</v>
      </c>
      <c r="AA2161" s="2" t="s">
        <v>10202</v>
      </c>
      <c r="AB2161" s="2" t="s">
        <v>8443</v>
      </c>
      <c r="AC2161" s="2">
        <v>37.86</v>
      </c>
      <c r="AD2161" s="2">
        <v>90.46</v>
      </c>
      <c r="AE2161" s="2">
        <v>0</v>
      </c>
      <c r="AF2161" s="2" t="s">
        <v>5614</v>
      </c>
      <c r="AG2161" s="2" t="s">
        <v>194</v>
      </c>
      <c r="AH2161" s="2" t="s">
        <v>18758</v>
      </c>
      <c r="AI2161" s="2">
        <v>-8.7799999999999994</v>
      </c>
      <c r="AJ2161" s="2">
        <v>17.508746482565201</v>
      </c>
      <c r="AK2161" s="2">
        <v>17.357402260194</v>
      </c>
      <c r="AL2161" s="2">
        <v>18.041141274558601</v>
      </c>
      <c r="AM2161" s="2">
        <v>17.794490052862201</v>
      </c>
      <c r="AN2161" s="2">
        <v>17.686025122210498</v>
      </c>
      <c r="AO2161" s="2">
        <v>17.5813773618586</v>
      </c>
      <c r="AP2161" s="2">
        <v>17.862510174259199</v>
      </c>
      <c r="AQ2161" s="2">
        <v>16.3918790932996</v>
      </c>
      <c r="AR2161" s="2">
        <v>17.631808835516399</v>
      </c>
      <c r="AS2161" s="2">
        <v>15.784163991329599</v>
      </c>
      <c r="AT2161" s="2">
        <v>18.183283251290401</v>
      </c>
      <c r="AU2161" s="2">
        <v>17.680821212597898</v>
      </c>
      <c r="AV2161" s="2">
        <v>16.156483681479902</v>
      </c>
      <c r="AW2161" s="2">
        <v>18.587663995713498</v>
      </c>
      <c r="AX2161" s="2">
        <v>15.0858865189618</v>
      </c>
      <c r="AY2161" s="2">
        <v>16.4077324751654</v>
      </c>
      <c r="AZ2161" s="2">
        <v>14.4115732174582</v>
      </c>
      <c r="BA2161" s="2">
        <v>18.4734343310352</v>
      </c>
      <c r="BB2161" s="2">
        <v>17.968957145497502</v>
      </c>
      <c r="BC2161" s="2">
        <v>18.520870243301701</v>
      </c>
      <c r="BD2161" s="2">
        <v>18.359696420693901</v>
      </c>
      <c r="BE2161" s="2">
        <v>16.191977190407901</v>
      </c>
      <c r="BF2161" s="2">
        <v>17.094896022928999</v>
      </c>
      <c r="BG2161" s="2">
        <v>17.0808555135817</v>
      </c>
      <c r="BH2161" s="2">
        <v>17.309648917672199</v>
      </c>
      <c r="BI2161" s="2">
        <v>16.462899700273201</v>
      </c>
      <c r="BJ2161" s="2">
        <v>20.544980077517199</v>
      </c>
      <c r="BK2161" s="2">
        <v>18.794230510321</v>
      </c>
      <c r="BL2161" s="2">
        <v>17.667939927767101</v>
      </c>
      <c r="BM2161" s="2">
        <v>16.5966479522402</v>
      </c>
      <c r="BN2161" s="2">
        <v>17.8637103720617</v>
      </c>
      <c r="BO2161" s="2">
        <v>18.598350970451602</v>
      </c>
      <c r="BP2161" s="2">
        <v>9.6233145402724691</v>
      </c>
      <c r="BQ2161" s="2">
        <v>17.765397801207001</v>
      </c>
      <c r="BR2161" s="2">
        <v>16.437227186129601</v>
      </c>
      <c r="BS2161" s="2">
        <v>16.7323214088144</v>
      </c>
      <c r="BT2161" s="2">
        <v>19.841313015095299</v>
      </c>
      <c r="BU2161" s="2">
        <v>18.404576303545198</v>
      </c>
      <c r="BV2161" s="2">
        <v>17.443904049640299</v>
      </c>
      <c r="BW2161" s="2">
        <v>14.2761454929005</v>
      </c>
      <c r="BX2161" s="2">
        <v>18.003735411153301</v>
      </c>
      <c r="BY2161" s="2">
        <v>16.379163761054102</v>
      </c>
      <c r="BZ2161" s="2">
        <v>9.6233145402724691</v>
      </c>
      <c r="CA2161" s="2">
        <v>17.410036391130198</v>
      </c>
      <c r="CB2161" s="2">
        <v>9.6233145402724691</v>
      </c>
      <c r="CC2161" s="2">
        <v>17.627995838266202</v>
      </c>
      <c r="CD2161" s="2">
        <v>18.070777032789898</v>
      </c>
      <c r="CE2161" s="2">
        <v>17.910582714512799</v>
      </c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</row>
    <row r="2162" spans="1:97">
      <c r="A2162" s="2" t="s">
        <v>18759</v>
      </c>
      <c r="B2162" s="2">
        <v>288.15960999999999</v>
      </c>
      <c r="C2162" s="2">
        <v>10.653</v>
      </c>
      <c r="D2162" s="2" t="s">
        <v>84</v>
      </c>
      <c r="E2162" s="2" t="s">
        <v>18760</v>
      </c>
      <c r="F2162" s="2" t="s">
        <v>18761</v>
      </c>
      <c r="G2162" s="2">
        <v>82778</v>
      </c>
      <c r="H2162" s="3" t="str">
        <f>HYPERLINK("https://cloud.oebiotech.com/#/lm/network/82778", "https://cloud.oebiotech.com/#/lm/network/82778")</f>
        <v>https://cloud.oebiotech.com/#/lm/network/82778</v>
      </c>
      <c r="I2162" s="2" t="s">
        <v>18762</v>
      </c>
      <c r="J2162" s="2"/>
      <c r="K2162" s="2"/>
      <c r="L2162" s="2">
        <v>9814448</v>
      </c>
      <c r="M2162" s="2"/>
      <c r="N2162" s="2"/>
      <c r="O2162" s="2"/>
      <c r="P2162" s="2"/>
      <c r="Q2162" s="2"/>
      <c r="R2162" s="2"/>
      <c r="S2162" s="2" t="s">
        <v>18763</v>
      </c>
      <c r="T2162" s="2" t="s">
        <v>18764</v>
      </c>
      <c r="U2162" s="2" t="s">
        <v>18765</v>
      </c>
      <c r="V2162" s="2" t="s">
        <v>374</v>
      </c>
      <c r="W2162" s="2" t="s">
        <v>18766</v>
      </c>
      <c r="X2162" s="2" t="s">
        <v>375</v>
      </c>
      <c r="Y2162" s="2" t="s">
        <v>376</v>
      </c>
      <c r="Z2162" s="2" t="s">
        <v>18767</v>
      </c>
      <c r="AA2162" s="2"/>
      <c r="AB2162" s="2" t="s">
        <v>8443</v>
      </c>
      <c r="AC2162" s="2">
        <v>37.86</v>
      </c>
      <c r="AD2162" s="2">
        <v>89.31</v>
      </c>
      <c r="AE2162" s="2">
        <v>0</v>
      </c>
      <c r="AF2162" s="2" t="s">
        <v>5614</v>
      </c>
      <c r="AG2162" s="2" t="s">
        <v>103</v>
      </c>
      <c r="AH2162" s="2" t="s">
        <v>18768</v>
      </c>
      <c r="AI2162" s="2">
        <v>-0.69</v>
      </c>
      <c r="AJ2162" s="2">
        <v>20.0797950039691</v>
      </c>
      <c r="AK2162" s="2">
        <v>19.563520325210899</v>
      </c>
      <c r="AL2162" s="2">
        <v>19.917349146718799</v>
      </c>
      <c r="AM2162" s="2">
        <v>19.658047760690799</v>
      </c>
      <c r="AN2162" s="2">
        <v>19.404020426331499</v>
      </c>
      <c r="AO2162" s="2">
        <v>20.462499037457398</v>
      </c>
      <c r="AP2162" s="2">
        <v>19.597309837383399</v>
      </c>
      <c r="AQ2162" s="2">
        <v>20.280832413058398</v>
      </c>
      <c r="AR2162" s="2">
        <v>19.5886976923059</v>
      </c>
      <c r="AS2162" s="2">
        <v>19.243629217626602</v>
      </c>
      <c r="AT2162" s="2">
        <v>19.3797679993325</v>
      </c>
      <c r="AU2162" s="2">
        <v>20.1771243604246</v>
      </c>
      <c r="AV2162" s="2">
        <v>19.213953429288999</v>
      </c>
      <c r="AW2162" s="2">
        <v>20.016622469223599</v>
      </c>
      <c r="AX2162" s="2">
        <v>20.169304666552101</v>
      </c>
      <c r="AY2162" s="2">
        <v>19.476951994771099</v>
      </c>
      <c r="AZ2162" s="2">
        <v>19.6751394259141</v>
      </c>
      <c r="BA2162" s="2">
        <v>19.5525562887535</v>
      </c>
      <c r="BB2162" s="2">
        <v>19.836504933006701</v>
      </c>
      <c r="BC2162" s="2">
        <v>20.016139158433202</v>
      </c>
      <c r="BD2162" s="2">
        <v>20.0912859802886</v>
      </c>
      <c r="BE2162" s="2">
        <v>19.829301959927299</v>
      </c>
      <c r="BF2162" s="2">
        <v>19.249308437123599</v>
      </c>
      <c r="BG2162" s="2">
        <v>19.935917892588702</v>
      </c>
      <c r="BH2162" s="2">
        <v>19.795015817378498</v>
      </c>
      <c r="BI2162" s="2">
        <v>19.209749842921799</v>
      </c>
      <c r="BJ2162" s="2">
        <v>19.623281974617399</v>
      </c>
      <c r="BK2162" s="2">
        <v>19.74287097142</v>
      </c>
      <c r="BL2162" s="2">
        <v>19.423580632912099</v>
      </c>
      <c r="BM2162" s="2">
        <v>19.6101558933617</v>
      </c>
      <c r="BN2162" s="2">
        <v>19.1189456085052</v>
      </c>
      <c r="BO2162" s="2">
        <v>19.916883215178601</v>
      </c>
      <c r="BP2162" s="2">
        <v>19.8780629053926</v>
      </c>
      <c r="BQ2162" s="2">
        <v>19.664742121329098</v>
      </c>
      <c r="BR2162" s="2">
        <v>19.122777754342401</v>
      </c>
      <c r="BS2162" s="2">
        <v>19.2948330078036</v>
      </c>
      <c r="BT2162" s="2">
        <v>19.122675498977301</v>
      </c>
      <c r="BU2162" s="2">
        <v>19.8445105302782</v>
      </c>
      <c r="BV2162" s="2">
        <v>19.624447253166899</v>
      </c>
      <c r="BW2162" s="2">
        <v>19.2235804324173</v>
      </c>
      <c r="BX2162" s="2">
        <v>19.489418824487402</v>
      </c>
      <c r="BY2162" s="2">
        <v>19.915046716926199</v>
      </c>
      <c r="BZ2162" s="2">
        <v>19.929113264827699</v>
      </c>
      <c r="CA2162" s="2">
        <v>20.3469836734632</v>
      </c>
      <c r="CB2162" s="2">
        <v>20.284547085760501</v>
      </c>
      <c r="CC2162" s="2">
        <v>19.208926199953201</v>
      </c>
      <c r="CD2162" s="2">
        <v>19.7946318311418</v>
      </c>
      <c r="CE2162" s="2">
        <v>19.477482609068598</v>
      </c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</row>
    <row r="2163" spans="1:97">
      <c r="A2163" s="2" t="s">
        <v>18769</v>
      </c>
      <c r="B2163" s="2">
        <v>185.04271</v>
      </c>
      <c r="C2163" s="2">
        <v>3.5270000000000001</v>
      </c>
      <c r="D2163" s="2" t="s">
        <v>146</v>
      </c>
      <c r="E2163" s="2" t="s">
        <v>18770</v>
      </c>
      <c r="F2163" s="2" t="s">
        <v>18771</v>
      </c>
      <c r="G2163" s="2">
        <v>206074</v>
      </c>
      <c r="H2163" s="3" t="str">
        <f>HYPERLINK("https://cloud.oebiotech.com/#/lm/network/206074", "https://cloud.oebiotech.com/#/lm/network/206074")</f>
        <v>https://cloud.oebiotech.com/#/lm/network/206074</v>
      </c>
      <c r="I2163" s="2" t="s">
        <v>18772</v>
      </c>
      <c r="J2163" s="2"/>
      <c r="K2163" s="2"/>
      <c r="L2163" s="2">
        <v>8766</v>
      </c>
      <c r="M2163" s="2"/>
      <c r="N2163" s="2"/>
      <c r="O2163" s="2"/>
      <c r="P2163" s="2">
        <v>38959</v>
      </c>
      <c r="Q2163" s="2"/>
      <c r="R2163" s="2"/>
      <c r="S2163" s="2"/>
      <c r="T2163" s="2" t="s">
        <v>18773</v>
      </c>
      <c r="U2163" s="2" t="s">
        <v>18774</v>
      </c>
      <c r="V2163" s="2" t="s">
        <v>9746</v>
      </c>
      <c r="W2163" s="2" t="s">
        <v>17953</v>
      </c>
      <c r="X2163" s="2" t="s">
        <v>17954</v>
      </c>
      <c r="Y2163" s="2" t="s">
        <v>9748</v>
      </c>
      <c r="Z2163" s="2" t="s">
        <v>17955</v>
      </c>
      <c r="AA2163" s="2" t="s">
        <v>17956</v>
      </c>
      <c r="AB2163" s="2" t="s">
        <v>8443</v>
      </c>
      <c r="AC2163" s="2">
        <v>37.86</v>
      </c>
      <c r="AD2163" s="2">
        <v>92.42</v>
      </c>
      <c r="AE2163" s="2">
        <v>0</v>
      </c>
      <c r="AF2163" s="2" t="s">
        <v>18775</v>
      </c>
      <c r="AG2163" s="2" t="s">
        <v>194</v>
      </c>
      <c r="AH2163" s="2" t="s">
        <v>18776</v>
      </c>
      <c r="AI2163" s="2">
        <v>1.62</v>
      </c>
      <c r="AJ2163" s="2">
        <v>24.072854396195599</v>
      </c>
      <c r="AK2163" s="2">
        <v>24.0645232819809</v>
      </c>
      <c r="AL2163" s="2">
        <v>24.019450496737701</v>
      </c>
      <c r="AM2163" s="2">
        <v>24.057933415215999</v>
      </c>
      <c r="AN2163" s="2">
        <v>23.943271839151102</v>
      </c>
      <c r="AO2163" s="2">
        <v>23.998981568677898</v>
      </c>
      <c r="AP2163" s="2">
        <v>24.046119523669901</v>
      </c>
      <c r="AQ2163" s="2">
        <v>23.9746253342479</v>
      </c>
      <c r="AR2163" s="2">
        <v>24.0791335989271</v>
      </c>
      <c r="AS2163" s="2">
        <v>23.002528236389001</v>
      </c>
      <c r="AT2163" s="2">
        <v>23.595236414094199</v>
      </c>
      <c r="AU2163" s="2">
        <v>22.984950509135299</v>
      </c>
      <c r="AV2163" s="2">
        <v>23.866524765466298</v>
      </c>
      <c r="AW2163" s="2">
        <v>23.861436826784001</v>
      </c>
      <c r="AX2163" s="2">
        <v>23.986796117153499</v>
      </c>
      <c r="AY2163" s="2">
        <v>23.192392158295601</v>
      </c>
      <c r="AZ2163" s="2">
        <v>23.546138058883301</v>
      </c>
      <c r="BA2163" s="2">
        <v>22.773257215877099</v>
      </c>
      <c r="BB2163" s="2">
        <v>23.424881185864901</v>
      </c>
      <c r="BC2163" s="2">
        <v>23.482378393024899</v>
      </c>
      <c r="BD2163" s="2">
        <v>24.0726294840054</v>
      </c>
      <c r="BE2163" s="2">
        <v>23.025602044546101</v>
      </c>
      <c r="BF2163" s="2">
        <v>23.420982923151499</v>
      </c>
      <c r="BG2163" s="2">
        <v>25.9813551518954</v>
      </c>
      <c r="BH2163" s="2">
        <v>23.187239013854001</v>
      </c>
      <c r="BI2163" s="2">
        <v>24.778413007167099</v>
      </c>
      <c r="BJ2163" s="2">
        <v>24.164105368728801</v>
      </c>
      <c r="BK2163" s="2">
        <v>23.6410983064211</v>
      </c>
      <c r="BL2163" s="2">
        <v>23.835431331602699</v>
      </c>
      <c r="BM2163" s="2">
        <v>22.9631025900851</v>
      </c>
      <c r="BN2163" s="2">
        <v>23.739726021776999</v>
      </c>
      <c r="BO2163" s="2">
        <v>23.248297771005799</v>
      </c>
      <c r="BP2163" s="2">
        <v>23.765757018839199</v>
      </c>
      <c r="BQ2163" s="2">
        <v>23.7620738220036</v>
      </c>
      <c r="BR2163" s="2">
        <v>24.1796845790617</v>
      </c>
      <c r="BS2163" s="2">
        <v>23.253759425740402</v>
      </c>
      <c r="BT2163" s="2">
        <v>22.9206406624359</v>
      </c>
      <c r="BU2163" s="2">
        <v>23.375454808691199</v>
      </c>
      <c r="BV2163" s="2">
        <v>23.957395654237899</v>
      </c>
      <c r="BW2163" s="2">
        <v>22.7897889543591</v>
      </c>
      <c r="BX2163" s="2">
        <v>23.9226236264027</v>
      </c>
      <c r="BY2163" s="2">
        <v>24.140948929617601</v>
      </c>
      <c r="BZ2163" s="2">
        <v>23.153746126454799</v>
      </c>
      <c r="CA2163" s="2">
        <v>25.029890705922298</v>
      </c>
      <c r="CB2163" s="2">
        <v>23.4988618068171</v>
      </c>
      <c r="CC2163" s="2">
        <v>24.3729497817884</v>
      </c>
      <c r="CD2163" s="2">
        <v>24.351013209997902</v>
      </c>
      <c r="CE2163" s="2">
        <v>24.054919510083501</v>
      </c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</row>
    <row r="2164" spans="1:97">
      <c r="A2164" s="2" t="s">
        <v>18777</v>
      </c>
      <c r="B2164" s="2">
        <v>306.15132</v>
      </c>
      <c r="C2164" s="2">
        <v>10.686</v>
      </c>
      <c r="D2164" s="2" t="s">
        <v>84</v>
      </c>
      <c r="E2164" s="2" t="s">
        <v>18778</v>
      </c>
      <c r="F2164" s="2" t="s">
        <v>18779</v>
      </c>
      <c r="G2164" s="2">
        <v>64033</v>
      </c>
      <c r="H2164" s="3" t="str">
        <f>HYPERLINK("https://cloud.oebiotech.com/#/lm/network/64033", "https://cloud.oebiotech.com/#/lm/network/64033")</f>
        <v>https://cloud.oebiotech.com/#/lm/network/64033</v>
      </c>
      <c r="I2164" s="2" t="s">
        <v>18780</v>
      </c>
      <c r="J2164" s="2"/>
      <c r="K2164" s="2"/>
      <c r="L2164" s="2">
        <v>102387796</v>
      </c>
      <c r="M2164" s="2"/>
      <c r="N2164" s="2"/>
      <c r="O2164" s="2"/>
      <c r="P2164" s="2"/>
      <c r="Q2164" s="2"/>
      <c r="R2164" s="2"/>
      <c r="S2164" s="2" t="s">
        <v>18781</v>
      </c>
      <c r="T2164" s="2" t="s">
        <v>18782</v>
      </c>
      <c r="U2164" s="2" t="s">
        <v>18783</v>
      </c>
      <c r="V2164" s="2" t="s">
        <v>385</v>
      </c>
      <c r="W2164" s="2" t="s">
        <v>11163</v>
      </c>
      <c r="X2164" s="2" t="s">
        <v>11925</v>
      </c>
      <c r="Y2164" s="2" t="s">
        <v>388</v>
      </c>
      <c r="Z2164" s="2" t="s">
        <v>11164</v>
      </c>
      <c r="AA2164" s="2" t="s">
        <v>11926</v>
      </c>
      <c r="AB2164" s="2" t="s">
        <v>8443</v>
      </c>
      <c r="AC2164" s="2">
        <v>37.86</v>
      </c>
      <c r="AD2164" s="2">
        <v>86.88</v>
      </c>
      <c r="AE2164" s="2">
        <v>0</v>
      </c>
      <c r="AF2164" s="2" t="s">
        <v>18784</v>
      </c>
      <c r="AG2164" s="2" t="s">
        <v>132</v>
      </c>
      <c r="AH2164" s="2" t="s">
        <v>18785</v>
      </c>
      <c r="AI2164" s="2">
        <v>-7.84</v>
      </c>
      <c r="AJ2164" s="2">
        <v>23.117351702255601</v>
      </c>
      <c r="AK2164" s="2">
        <v>23.1328500201686</v>
      </c>
      <c r="AL2164" s="2">
        <v>22.478985264964798</v>
      </c>
      <c r="AM2164" s="2">
        <v>23.289554043601999</v>
      </c>
      <c r="AN2164" s="2">
        <v>23.225250483998401</v>
      </c>
      <c r="AO2164" s="2">
        <v>23.318468398796298</v>
      </c>
      <c r="AP2164" s="2">
        <v>23.22131808116</v>
      </c>
      <c r="AQ2164" s="2">
        <v>22.422442555307398</v>
      </c>
      <c r="AR2164" s="2">
        <v>23.1921761043576</v>
      </c>
      <c r="AS2164" s="2">
        <v>22.8148963734257</v>
      </c>
      <c r="AT2164" s="2">
        <v>23.126270072039901</v>
      </c>
      <c r="AU2164" s="2">
        <v>23.224925890568901</v>
      </c>
      <c r="AV2164" s="2">
        <v>23.059894998168801</v>
      </c>
      <c r="AW2164" s="2">
        <v>23.2271696001728</v>
      </c>
      <c r="AX2164" s="2">
        <v>23.136440851921201</v>
      </c>
      <c r="AY2164" s="2">
        <v>23.199515493373902</v>
      </c>
      <c r="AZ2164" s="2">
        <v>23.266358965457801</v>
      </c>
      <c r="BA2164" s="2">
        <v>22.6663645785227</v>
      </c>
      <c r="BB2164" s="2">
        <v>23.0604186649932</v>
      </c>
      <c r="BC2164" s="2">
        <v>22.4131259972729</v>
      </c>
      <c r="BD2164" s="2">
        <v>22.912349356842899</v>
      </c>
      <c r="BE2164" s="2">
        <v>23.4753078443192</v>
      </c>
      <c r="BF2164" s="2">
        <v>23.052477714370401</v>
      </c>
      <c r="BG2164" s="2">
        <v>22.331691448528499</v>
      </c>
      <c r="BH2164" s="2">
        <v>23.040167736535</v>
      </c>
      <c r="BI2164" s="2">
        <v>23.207898475686399</v>
      </c>
      <c r="BJ2164" s="2">
        <v>23.316767584551201</v>
      </c>
      <c r="BK2164" s="2">
        <v>23.116973684416799</v>
      </c>
      <c r="BL2164" s="2">
        <v>23.240416529634299</v>
      </c>
      <c r="BM2164" s="2">
        <v>23.331158525418601</v>
      </c>
      <c r="BN2164" s="2">
        <v>23.134458919047798</v>
      </c>
      <c r="BO2164" s="2">
        <v>23.280194018422499</v>
      </c>
      <c r="BP2164" s="2">
        <v>23.202627566624798</v>
      </c>
      <c r="BQ2164" s="2">
        <v>23.0876621930027</v>
      </c>
      <c r="BR2164" s="2">
        <v>23.093830604252499</v>
      </c>
      <c r="BS2164" s="2">
        <v>23.2045478601989</v>
      </c>
      <c r="BT2164" s="2">
        <v>22.788736031212501</v>
      </c>
      <c r="BU2164" s="2">
        <v>23.0741879237397</v>
      </c>
      <c r="BV2164" s="2">
        <v>23.124532969153499</v>
      </c>
      <c r="BW2164" s="2">
        <v>22.9535116685506</v>
      </c>
      <c r="BX2164" s="2">
        <v>23.001415463861299</v>
      </c>
      <c r="BY2164" s="2">
        <v>23.466836810692101</v>
      </c>
      <c r="BZ2164" s="2">
        <v>23.2678373901804</v>
      </c>
      <c r="CA2164" s="2">
        <v>23.306431262136702</v>
      </c>
      <c r="CB2164" s="2">
        <v>23.2143950937635</v>
      </c>
      <c r="CC2164" s="2">
        <v>23.017053129831201</v>
      </c>
      <c r="CD2164" s="2">
        <v>22.765743773096801</v>
      </c>
      <c r="CE2164" s="2">
        <v>22.9266400727833</v>
      </c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</row>
    <row r="2165" spans="1:97">
      <c r="A2165" s="2" t="s">
        <v>18786</v>
      </c>
      <c r="B2165" s="2">
        <v>292.04327000000001</v>
      </c>
      <c r="C2165" s="2">
        <v>7.0110000000000001</v>
      </c>
      <c r="D2165" s="2" t="s">
        <v>146</v>
      </c>
      <c r="E2165" s="2" t="s">
        <v>18787</v>
      </c>
      <c r="F2165" s="2" t="s">
        <v>18788</v>
      </c>
      <c r="G2165" s="2">
        <v>63487</v>
      </c>
      <c r="H2165" s="3" t="str">
        <f>HYPERLINK("https://cloud.oebiotech.com/#/lm/network/63487", "https://cloud.oebiotech.com/#/lm/network/63487")</f>
        <v>https://cloud.oebiotech.com/#/lm/network/63487</v>
      </c>
      <c r="I2165" s="2" t="s">
        <v>18789</v>
      </c>
      <c r="J2165" s="2">
        <v>94813</v>
      </c>
      <c r="K2165" s="2"/>
      <c r="L2165" s="2">
        <v>119490</v>
      </c>
      <c r="M2165" s="2"/>
      <c r="N2165" s="2"/>
      <c r="O2165" s="2"/>
      <c r="P2165" s="2">
        <v>174373</v>
      </c>
      <c r="Q2165" s="2"/>
      <c r="R2165" s="2"/>
      <c r="S2165" s="2" t="s">
        <v>18790</v>
      </c>
      <c r="T2165" s="2" t="s">
        <v>18791</v>
      </c>
      <c r="U2165" s="2" t="s">
        <v>18792</v>
      </c>
      <c r="V2165" s="2" t="s">
        <v>385</v>
      </c>
      <c r="W2165" s="2" t="s">
        <v>386</v>
      </c>
      <c r="X2165" s="2" t="s">
        <v>17297</v>
      </c>
      <c r="Y2165" s="2" t="s">
        <v>388</v>
      </c>
      <c r="Z2165" s="2" t="s">
        <v>389</v>
      </c>
      <c r="AA2165" s="2" t="s">
        <v>17298</v>
      </c>
      <c r="AB2165" s="2" t="s">
        <v>5118</v>
      </c>
      <c r="AC2165" s="2">
        <v>37.85</v>
      </c>
      <c r="AD2165" s="2">
        <v>69.61</v>
      </c>
      <c r="AE2165" s="2">
        <v>55.7</v>
      </c>
      <c r="AF2165" s="2" t="s">
        <v>18793</v>
      </c>
      <c r="AG2165" s="2" t="s">
        <v>4062</v>
      </c>
      <c r="AH2165" s="2" t="s">
        <v>18794</v>
      </c>
      <c r="AI2165" s="2">
        <v>-5.82</v>
      </c>
      <c r="AJ2165" s="2">
        <v>18.021046652461099</v>
      </c>
      <c r="AK2165" s="2">
        <v>17.894500848473701</v>
      </c>
      <c r="AL2165" s="2">
        <v>17.983338069219599</v>
      </c>
      <c r="AM2165" s="2">
        <v>18.227230523378601</v>
      </c>
      <c r="AN2165" s="2">
        <v>18.2864307423262</v>
      </c>
      <c r="AO2165" s="2">
        <v>18.321812782103098</v>
      </c>
      <c r="AP2165" s="2">
        <v>18.091736914935499</v>
      </c>
      <c r="AQ2165" s="2">
        <v>18.318641174327499</v>
      </c>
      <c r="AR2165" s="2">
        <v>15.0137736632424</v>
      </c>
      <c r="AS2165" s="2">
        <v>16.891183483680699</v>
      </c>
      <c r="AT2165" s="2">
        <v>19.264327502585999</v>
      </c>
      <c r="AU2165" s="2">
        <v>15.3760941793958</v>
      </c>
      <c r="AV2165" s="2">
        <v>18.449183070862301</v>
      </c>
      <c r="AW2165" s="2">
        <v>14.7030378480839</v>
      </c>
      <c r="AX2165" s="2">
        <v>18.224983316688</v>
      </c>
      <c r="AY2165" s="2">
        <v>18.159082886442398</v>
      </c>
      <c r="AZ2165" s="2">
        <v>18.989614942176999</v>
      </c>
      <c r="BA2165" s="2">
        <v>15.053315015846399</v>
      </c>
      <c r="BB2165" s="2">
        <v>19.2930624200736</v>
      </c>
      <c r="BC2165" s="2">
        <v>17.9568301612737</v>
      </c>
      <c r="BD2165" s="2">
        <v>17.760035401428699</v>
      </c>
      <c r="BE2165" s="2">
        <v>17.529753855355601</v>
      </c>
      <c r="BF2165" s="2">
        <v>19.8666999412285</v>
      </c>
      <c r="BG2165" s="2">
        <v>18.906822967693401</v>
      </c>
      <c r="BH2165" s="2">
        <v>14.6952761484989</v>
      </c>
      <c r="BI2165" s="2">
        <v>19.177494506077</v>
      </c>
      <c r="BJ2165" s="2">
        <v>18.342405945141799</v>
      </c>
      <c r="BK2165" s="2">
        <v>9.6233145402724691</v>
      </c>
      <c r="BL2165" s="2">
        <v>15.6611807473555</v>
      </c>
      <c r="BM2165" s="2">
        <v>17.4287769288775</v>
      </c>
      <c r="BN2165" s="2">
        <v>18.719797489213899</v>
      </c>
      <c r="BO2165" s="2">
        <v>15.6329679419414</v>
      </c>
      <c r="BP2165" s="2">
        <v>17.4851252068664</v>
      </c>
      <c r="BQ2165" s="2">
        <v>14.7459321501417</v>
      </c>
      <c r="BR2165" s="2">
        <v>17.277113101491</v>
      </c>
      <c r="BS2165" s="2">
        <v>17.890614717946701</v>
      </c>
      <c r="BT2165" s="2">
        <v>18.333693945031101</v>
      </c>
      <c r="BU2165" s="2">
        <v>14.5792900065538</v>
      </c>
      <c r="BV2165" s="2">
        <v>18.1081696914178</v>
      </c>
      <c r="BW2165" s="2">
        <v>15.470369721476001</v>
      </c>
      <c r="BX2165" s="2">
        <v>17.300312874227899</v>
      </c>
      <c r="BY2165" s="2">
        <v>17.5693905282046</v>
      </c>
      <c r="BZ2165" s="2">
        <v>18.950531349973101</v>
      </c>
      <c r="CA2165" s="2">
        <v>18.550176357243799</v>
      </c>
      <c r="CB2165" s="2">
        <v>9.6233145402724691</v>
      </c>
      <c r="CC2165" s="2">
        <v>18.4127735052726</v>
      </c>
      <c r="CD2165" s="2">
        <v>17.2295484006595</v>
      </c>
      <c r="CE2165" s="2">
        <v>9.6233145402724691</v>
      </c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</row>
    <row r="2166" spans="1:97">
      <c r="A2166" s="2" t="s">
        <v>18795</v>
      </c>
      <c r="B2166" s="2">
        <v>548.28394000000003</v>
      </c>
      <c r="C2166" s="2">
        <v>8.8170000000000002</v>
      </c>
      <c r="D2166" s="2" t="s">
        <v>84</v>
      </c>
      <c r="E2166" s="2" t="s">
        <v>18796</v>
      </c>
      <c r="F2166" s="2" t="s">
        <v>18797</v>
      </c>
      <c r="G2166" s="2">
        <v>208820</v>
      </c>
      <c r="H2166" s="3" t="str">
        <f>HYPERLINK("https://cloud.oebiotech.com/#/lm/network/208820", "https://cloud.oebiotech.com/#/lm/network/208820")</f>
        <v>https://cloud.oebiotech.com/#/lm/network/208820</v>
      </c>
      <c r="I2166" s="2" t="s">
        <v>18798</v>
      </c>
      <c r="J2166" s="2"/>
      <c r="K2166" s="2"/>
      <c r="L2166" s="2">
        <v>435765</v>
      </c>
      <c r="M2166" s="2"/>
      <c r="N2166" s="2"/>
      <c r="O2166" s="2"/>
      <c r="P2166" s="2"/>
      <c r="Q2166" s="2"/>
      <c r="R2166" s="2"/>
      <c r="S2166" s="2"/>
      <c r="T2166" s="2" t="s">
        <v>18799</v>
      </c>
      <c r="U2166" s="2" t="s">
        <v>18800</v>
      </c>
      <c r="V2166" s="2" t="s">
        <v>95</v>
      </c>
      <c r="W2166" s="2" t="s">
        <v>180</v>
      </c>
      <c r="X2166" s="2" t="s">
        <v>181</v>
      </c>
      <c r="Y2166" s="2" t="s">
        <v>98</v>
      </c>
      <c r="Z2166" s="2" t="s">
        <v>182</v>
      </c>
      <c r="AA2166" s="2" t="s">
        <v>183</v>
      </c>
      <c r="AB2166" s="2" t="s">
        <v>8443</v>
      </c>
      <c r="AC2166" s="2">
        <v>37.85</v>
      </c>
      <c r="AD2166" s="2">
        <v>67.099999999999994</v>
      </c>
      <c r="AE2166" s="2">
        <v>38.590000000000003</v>
      </c>
      <c r="AF2166" s="2" t="s">
        <v>18801</v>
      </c>
      <c r="AG2166" s="2" t="s">
        <v>132</v>
      </c>
      <c r="AH2166" s="2" t="s">
        <v>18802</v>
      </c>
      <c r="AI2166" s="2">
        <v>2.74</v>
      </c>
      <c r="AJ2166" s="2">
        <v>21.5245179369693</v>
      </c>
      <c r="AK2166" s="2">
        <v>21.600935067658899</v>
      </c>
      <c r="AL2166" s="2">
        <v>21.651499594385601</v>
      </c>
      <c r="AM2166" s="2">
        <v>21.3876405915784</v>
      </c>
      <c r="AN2166" s="2">
        <v>21.478459844478301</v>
      </c>
      <c r="AO2166" s="2">
        <v>21.632708184325601</v>
      </c>
      <c r="AP2166" s="2">
        <v>21.219817866488299</v>
      </c>
      <c r="AQ2166" s="2">
        <v>21.746845128528701</v>
      </c>
      <c r="AR2166" s="2">
        <v>21.579504020258199</v>
      </c>
      <c r="AS2166" s="2">
        <v>21.655746917479899</v>
      </c>
      <c r="AT2166" s="2">
        <v>21.520240405168099</v>
      </c>
      <c r="AU2166" s="2">
        <v>21.501447785419899</v>
      </c>
      <c r="AV2166" s="2">
        <v>21.664963747392299</v>
      </c>
      <c r="AW2166" s="2">
        <v>21.411741061178201</v>
      </c>
      <c r="AX2166" s="2">
        <v>21.623689921144098</v>
      </c>
      <c r="AY2166" s="2">
        <v>20.841349951420799</v>
      </c>
      <c r="AZ2166" s="2">
        <v>21.715355360864798</v>
      </c>
      <c r="BA2166" s="2">
        <v>21.536154876417601</v>
      </c>
      <c r="BB2166" s="2">
        <v>21.480920420664901</v>
      </c>
      <c r="BC2166" s="2">
        <v>21.497701665321902</v>
      </c>
      <c r="BD2166" s="2">
        <v>21.792607497372501</v>
      </c>
      <c r="BE2166" s="2">
        <v>21.745566573747201</v>
      </c>
      <c r="BF2166" s="2">
        <v>21.492784839237</v>
      </c>
      <c r="BG2166" s="2">
        <v>21.861819932924199</v>
      </c>
      <c r="BH2166" s="2">
        <v>21.225798481279899</v>
      </c>
      <c r="BI2166" s="2">
        <v>21.582516178288099</v>
      </c>
      <c r="BJ2166" s="2">
        <v>21.4857372519383</v>
      </c>
      <c r="BK2166" s="2">
        <v>20.922032590377299</v>
      </c>
      <c r="BL2166" s="2">
        <v>21.594501774066899</v>
      </c>
      <c r="BM2166" s="2">
        <v>21.6839654256231</v>
      </c>
      <c r="BN2166" s="2">
        <v>21.455774832106499</v>
      </c>
      <c r="BO2166" s="2">
        <v>21.7164672187916</v>
      </c>
      <c r="BP2166" s="2">
        <v>21.737783353121699</v>
      </c>
      <c r="BQ2166" s="2">
        <v>21.6153177231391</v>
      </c>
      <c r="BR2166" s="2">
        <v>21.463991339038699</v>
      </c>
      <c r="BS2166" s="2">
        <v>21.3640019756341</v>
      </c>
      <c r="BT2166" s="2">
        <v>21.5667877712104</v>
      </c>
      <c r="BU2166" s="2">
        <v>21.947776849188202</v>
      </c>
      <c r="BV2166" s="2">
        <v>21.778290151028699</v>
      </c>
      <c r="BW2166" s="2">
        <v>20.768106535273901</v>
      </c>
      <c r="BX2166" s="2">
        <v>21.6300060893787</v>
      </c>
      <c r="BY2166" s="2">
        <v>21.495921713071802</v>
      </c>
      <c r="BZ2166" s="2">
        <v>21.3582513363543</v>
      </c>
      <c r="CA2166" s="2">
        <v>21.3177082333622</v>
      </c>
      <c r="CB2166" s="2">
        <v>21.594829207047301</v>
      </c>
      <c r="CC2166" s="2">
        <v>21.636527955796002</v>
      </c>
      <c r="CD2166" s="2">
        <v>21.663468304746701</v>
      </c>
      <c r="CE2166" s="2">
        <v>21.7594899525714</v>
      </c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</row>
    <row r="2167" spans="1:97">
      <c r="A2167" s="2" t="s">
        <v>18803</v>
      </c>
      <c r="B2167" s="2">
        <v>304.15413000000001</v>
      </c>
      <c r="C2167" s="2">
        <v>11.084</v>
      </c>
      <c r="D2167" s="2" t="s">
        <v>84</v>
      </c>
      <c r="E2167" s="2" t="s">
        <v>18804</v>
      </c>
      <c r="F2167" s="2" t="s">
        <v>18805</v>
      </c>
      <c r="G2167" s="2">
        <v>28826</v>
      </c>
      <c r="H2167" s="3" t="str">
        <f>HYPERLINK("https://cloud.oebiotech.com/#/lm/network/28826", "https://cloud.oebiotech.com/#/lm/network/28826")</f>
        <v>https://cloud.oebiotech.com/#/lm/network/28826</v>
      </c>
      <c r="I2167" s="2"/>
      <c r="J2167" s="2">
        <v>47222</v>
      </c>
      <c r="K2167" s="2" t="s">
        <v>18806</v>
      </c>
      <c r="L2167" s="2">
        <v>637885</v>
      </c>
      <c r="M2167" s="2"/>
      <c r="N2167" s="2"/>
      <c r="O2167" s="2"/>
      <c r="P2167" s="2"/>
      <c r="Q2167" s="2"/>
      <c r="R2167" s="2"/>
      <c r="S2167" s="2"/>
      <c r="T2167" s="2" t="s">
        <v>18807</v>
      </c>
      <c r="U2167" s="2" t="s">
        <v>18808</v>
      </c>
      <c r="V2167" s="2" t="s">
        <v>845</v>
      </c>
      <c r="W2167" s="2" t="s">
        <v>1853</v>
      </c>
      <c r="X2167" s="2" t="s">
        <v>1854</v>
      </c>
      <c r="Y2167" s="2" t="s">
        <v>847</v>
      </c>
      <c r="Z2167" s="2" t="s">
        <v>1855</v>
      </c>
      <c r="AA2167" s="2" t="s">
        <v>1856</v>
      </c>
      <c r="AB2167" s="2" t="s">
        <v>8443</v>
      </c>
      <c r="AC2167" s="2">
        <v>37.840000000000003</v>
      </c>
      <c r="AD2167" s="2">
        <v>89.22</v>
      </c>
      <c r="AE2167" s="2">
        <v>0</v>
      </c>
      <c r="AF2167" s="2" t="s">
        <v>5614</v>
      </c>
      <c r="AG2167" s="2" t="s">
        <v>132</v>
      </c>
      <c r="AH2167" s="2" t="s">
        <v>18809</v>
      </c>
      <c r="AI2167" s="2">
        <v>0.66</v>
      </c>
      <c r="AJ2167" s="2">
        <v>18.6422293527493</v>
      </c>
      <c r="AK2167" s="2">
        <v>19.401979715994401</v>
      </c>
      <c r="AL2167" s="2">
        <v>18.9221383693075</v>
      </c>
      <c r="AM2167" s="2">
        <v>18.542780692589901</v>
      </c>
      <c r="AN2167" s="2">
        <v>18.8222762037454</v>
      </c>
      <c r="AO2167" s="2">
        <v>18.733394329000099</v>
      </c>
      <c r="AP2167" s="2">
        <v>18.8420273387371</v>
      </c>
      <c r="AQ2167" s="2">
        <v>18.865610467903899</v>
      </c>
      <c r="AR2167" s="2">
        <v>19.574563704926501</v>
      </c>
      <c r="AS2167" s="2">
        <v>18.126787239128799</v>
      </c>
      <c r="AT2167" s="2">
        <v>18.138078519135099</v>
      </c>
      <c r="AU2167" s="2">
        <v>18.9835731602472</v>
      </c>
      <c r="AV2167" s="2">
        <v>18.059666236269301</v>
      </c>
      <c r="AW2167" s="2">
        <v>18.253799944537199</v>
      </c>
      <c r="AX2167" s="2">
        <v>18.737907905382201</v>
      </c>
      <c r="AY2167" s="2">
        <v>18.781524799418801</v>
      </c>
      <c r="AZ2167" s="2">
        <v>19.349865831435402</v>
      </c>
      <c r="BA2167" s="2">
        <v>16.184570101294899</v>
      </c>
      <c r="BB2167" s="2">
        <v>18.588187214827499</v>
      </c>
      <c r="BC2167" s="2">
        <v>19.3006047962864</v>
      </c>
      <c r="BD2167" s="2">
        <v>18.091365030910101</v>
      </c>
      <c r="BE2167" s="2">
        <v>19.209988689008899</v>
      </c>
      <c r="BF2167" s="2">
        <v>18.1345885581357</v>
      </c>
      <c r="BG2167" s="2">
        <v>19.000164983842001</v>
      </c>
      <c r="BH2167" s="2">
        <v>18.739466238323299</v>
      </c>
      <c r="BI2167" s="2">
        <v>15.895745432736099</v>
      </c>
      <c r="BJ2167" s="2">
        <v>18.548834473598902</v>
      </c>
      <c r="BK2167" s="2">
        <v>16.751842018276101</v>
      </c>
      <c r="BL2167" s="2">
        <v>18.767953941270701</v>
      </c>
      <c r="BM2167" s="2">
        <v>18.603630256529499</v>
      </c>
      <c r="BN2167" s="2">
        <v>17.727040898006202</v>
      </c>
      <c r="BO2167" s="2">
        <v>18.541670719753199</v>
      </c>
      <c r="BP2167" s="2">
        <v>18.707618774408601</v>
      </c>
      <c r="BQ2167" s="2">
        <v>18.771415896264401</v>
      </c>
      <c r="BR2167" s="2">
        <v>18.3186268767905</v>
      </c>
      <c r="BS2167" s="2">
        <v>19.209485445893399</v>
      </c>
      <c r="BT2167" s="2">
        <v>19.195553157769101</v>
      </c>
      <c r="BU2167" s="2">
        <v>18.222719634780098</v>
      </c>
      <c r="BV2167" s="2">
        <v>19.023909985073502</v>
      </c>
      <c r="BW2167" s="2">
        <v>17.348466925611099</v>
      </c>
      <c r="BX2167" s="2">
        <v>17.9931530675183</v>
      </c>
      <c r="BY2167" s="2">
        <v>19.511898012174299</v>
      </c>
      <c r="BZ2167" s="2">
        <v>18.520444847244502</v>
      </c>
      <c r="CA2167" s="2">
        <v>19.592884346981901</v>
      </c>
      <c r="CB2167" s="2">
        <v>17.636905236856599</v>
      </c>
      <c r="CC2167" s="2">
        <v>17.062112876848602</v>
      </c>
      <c r="CD2167" s="2">
        <v>18.465034279411899</v>
      </c>
      <c r="CE2167" s="2">
        <v>16.733106970596999</v>
      </c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</row>
    <row r="2168" spans="1:97">
      <c r="A2168" s="2" t="s">
        <v>18810</v>
      </c>
      <c r="B2168" s="2">
        <v>205.07568000000001</v>
      </c>
      <c r="C2168" s="2">
        <v>3.6779999999999999</v>
      </c>
      <c r="D2168" s="2" t="s">
        <v>84</v>
      </c>
      <c r="E2168" s="2" t="s">
        <v>18811</v>
      </c>
      <c r="F2168" s="2" t="s">
        <v>18812</v>
      </c>
      <c r="G2168" s="2">
        <v>55007</v>
      </c>
      <c r="H2168" s="3" t="str">
        <f>HYPERLINK("https://cloud.oebiotech.com/#/lm/network/55007", "https://cloud.oebiotech.com/#/lm/network/55007")</f>
        <v>https://cloud.oebiotech.com/#/lm/network/55007</v>
      </c>
      <c r="I2168" s="2" t="s">
        <v>18813</v>
      </c>
      <c r="J2168" s="2">
        <v>86776</v>
      </c>
      <c r="K2168" s="2"/>
      <c r="L2168" s="2">
        <v>181561</v>
      </c>
      <c r="M2168" s="2"/>
      <c r="N2168" s="2"/>
      <c r="O2168" s="2"/>
      <c r="P2168" s="2"/>
      <c r="Q2168" s="2"/>
      <c r="R2168" s="2"/>
      <c r="S2168" s="2" t="s">
        <v>18814</v>
      </c>
      <c r="T2168" s="2" t="s">
        <v>18815</v>
      </c>
      <c r="U2168" s="2" t="s">
        <v>18816</v>
      </c>
      <c r="V2168" s="2" t="s">
        <v>553</v>
      </c>
      <c r="W2168" s="2" t="s">
        <v>10339</v>
      </c>
      <c r="X2168" s="2" t="s">
        <v>12776</v>
      </c>
      <c r="Y2168" s="2" t="s">
        <v>556</v>
      </c>
      <c r="Z2168" s="2" t="s">
        <v>10341</v>
      </c>
      <c r="AA2168" s="2" t="s">
        <v>12777</v>
      </c>
      <c r="AB2168" s="2" t="s">
        <v>8443</v>
      </c>
      <c r="AC2168" s="2">
        <v>37.840000000000003</v>
      </c>
      <c r="AD2168" s="2">
        <v>91.48</v>
      </c>
      <c r="AE2168" s="2">
        <v>0</v>
      </c>
      <c r="AF2168" s="2" t="s">
        <v>5614</v>
      </c>
      <c r="AG2168" s="2" t="s">
        <v>103</v>
      </c>
      <c r="AH2168" s="2" t="s">
        <v>18817</v>
      </c>
      <c r="AI2168" s="2">
        <v>1.46</v>
      </c>
      <c r="AJ2168" s="2">
        <v>18.575226563044801</v>
      </c>
      <c r="AK2168" s="2">
        <v>19.0554735487915</v>
      </c>
      <c r="AL2168" s="2">
        <v>19.0650562891155</v>
      </c>
      <c r="AM2168" s="2">
        <v>18.525212772076699</v>
      </c>
      <c r="AN2168" s="2">
        <v>19.2080647585327</v>
      </c>
      <c r="AO2168" s="2">
        <v>18.381639013874899</v>
      </c>
      <c r="AP2168" s="2">
        <v>18.8541053465283</v>
      </c>
      <c r="AQ2168" s="2">
        <v>18.5311733498461</v>
      </c>
      <c r="AR2168" s="2">
        <v>18.3522375732543</v>
      </c>
      <c r="AS2168" s="2">
        <v>17.350711412310599</v>
      </c>
      <c r="AT2168" s="2">
        <v>18.590165968516601</v>
      </c>
      <c r="AU2168" s="2">
        <v>18.574238316039601</v>
      </c>
      <c r="AV2168" s="2">
        <v>18.2033461866084</v>
      </c>
      <c r="AW2168" s="2">
        <v>16.471834429101701</v>
      </c>
      <c r="AX2168" s="2">
        <v>18.639485847100499</v>
      </c>
      <c r="AY2168" s="2">
        <v>18.633820274942799</v>
      </c>
      <c r="AZ2168" s="2">
        <v>17.670922442729498</v>
      </c>
      <c r="BA2168" s="2">
        <v>17.4678453584614</v>
      </c>
      <c r="BB2168" s="2">
        <v>18.860952828748101</v>
      </c>
      <c r="BC2168" s="2">
        <v>19.292204962778399</v>
      </c>
      <c r="BD2168" s="2">
        <v>16.871589685785398</v>
      </c>
      <c r="BE2168" s="2">
        <v>19.267865167072401</v>
      </c>
      <c r="BF2168" s="2">
        <v>18.020444111739199</v>
      </c>
      <c r="BG2168" s="2">
        <v>19.125317330327</v>
      </c>
      <c r="BH2168" s="2">
        <v>17.663646352072199</v>
      </c>
      <c r="BI2168" s="2">
        <v>19.091977039098399</v>
      </c>
      <c r="BJ2168" s="2">
        <v>18.278026096300898</v>
      </c>
      <c r="BK2168" s="2">
        <v>18.656626876160601</v>
      </c>
      <c r="BL2168" s="2">
        <v>17.004069885066901</v>
      </c>
      <c r="BM2168" s="2">
        <v>19.616599311378199</v>
      </c>
      <c r="BN2168" s="2">
        <v>19.1525067550849</v>
      </c>
      <c r="BO2168" s="2">
        <v>18.760923136960699</v>
      </c>
      <c r="BP2168" s="2">
        <v>18.887412401085001</v>
      </c>
      <c r="BQ2168" s="2">
        <v>18.7971106903676</v>
      </c>
      <c r="BR2168" s="2">
        <v>18.476092136768099</v>
      </c>
      <c r="BS2168" s="2">
        <v>18.8272126501234</v>
      </c>
      <c r="BT2168" s="2">
        <v>18.408125578405301</v>
      </c>
      <c r="BU2168" s="2">
        <v>18.021909962150701</v>
      </c>
      <c r="BV2168" s="2">
        <v>18.818393128408299</v>
      </c>
      <c r="BW2168" s="2">
        <v>17.547912112217901</v>
      </c>
      <c r="BX2168" s="2">
        <v>18.941653627892901</v>
      </c>
      <c r="BY2168" s="2">
        <v>18.978312957236898</v>
      </c>
      <c r="BZ2168" s="2">
        <v>18.2915001129399</v>
      </c>
      <c r="CA2168" s="2">
        <v>18.446858756506298</v>
      </c>
      <c r="CB2168" s="2">
        <v>18.817536198974501</v>
      </c>
      <c r="CC2168" s="2">
        <v>17.951052785829901</v>
      </c>
      <c r="CD2168" s="2">
        <v>18.880463307964199</v>
      </c>
      <c r="CE2168" s="2">
        <v>18.587215721732601</v>
      </c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</row>
    <row r="2169" spans="1:97">
      <c r="A2169" s="2" t="s">
        <v>18818</v>
      </c>
      <c r="B2169" s="2">
        <v>801.98569999999995</v>
      </c>
      <c r="C2169" s="2">
        <v>10.374000000000001</v>
      </c>
      <c r="D2169" s="2" t="s">
        <v>84</v>
      </c>
      <c r="E2169" s="2" t="s">
        <v>18819</v>
      </c>
      <c r="F2169" s="2" t="s">
        <v>18820</v>
      </c>
      <c r="G2169" s="2">
        <v>57626</v>
      </c>
      <c r="H2169" s="3" t="str">
        <f>HYPERLINK("https://cloud.oebiotech.com/#/lm/network/57626", "https://cloud.oebiotech.com/#/lm/network/57626")</f>
        <v>https://cloud.oebiotech.com/#/lm/network/57626</v>
      </c>
      <c r="I2169" s="2" t="s">
        <v>18821</v>
      </c>
      <c r="J2169" s="2"/>
      <c r="K2169" s="2"/>
      <c r="L2169" s="2"/>
      <c r="M2169" s="2"/>
      <c r="N2169" s="2"/>
      <c r="O2169" s="2"/>
      <c r="P2169" s="2"/>
      <c r="Q2169" s="2"/>
      <c r="R2169" s="2"/>
      <c r="S2169" s="2" t="s">
        <v>18822</v>
      </c>
      <c r="T2169" s="2" t="s">
        <v>18823</v>
      </c>
      <c r="U2169" s="2" t="s">
        <v>18824</v>
      </c>
      <c r="V2169" s="2" t="s">
        <v>385</v>
      </c>
      <c r="W2169" s="2" t="s">
        <v>4381</v>
      </c>
      <c r="X2169" s="2" t="s">
        <v>10854</v>
      </c>
      <c r="Y2169" s="2" t="s">
        <v>388</v>
      </c>
      <c r="Z2169" s="2" t="s">
        <v>4382</v>
      </c>
      <c r="AA2169" s="2" t="s">
        <v>10855</v>
      </c>
      <c r="AB2169" s="2" t="s">
        <v>8443</v>
      </c>
      <c r="AC2169" s="2">
        <v>37.840000000000003</v>
      </c>
      <c r="AD2169" s="2">
        <v>89.22</v>
      </c>
      <c r="AE2169" s="2">
        <v>0</v>
      </c>
      <c r="AF2169" s="2" t="s">
        <v>18825</v>
      </c>
      <c r="AG2169" s="2" t="s">
        <v>1578</v>
      </c>
      <c r="AH2169" s="2" t="s">
        <v>18826</v>
      </c>
      <c r="AI2169" s="2">
        <v>0.37</v>
      </c>
      <c r="AJ2169" s="2">
        <v>21.451699674618101</v>
      </c>
      <c r="AK2169" s="2">
        <v>20.9702176557055</v>
      </c>
      <c r="AL2169" s="2">
        <v>21.180132076920302</v>
      </c>
      <c r="AM2169" s="2">
        <v>20.755236345773898</v>
      </c>
      <c r="AN2169" s="2">
        <v>21.108786511804801</v>
      </c>
      <c r="AO2169" s="2">
        <v>21.053806539131301</v>
      </c>
      <c r="AP2169" s="2">
        <v>20.985282027077101</v>
      </c>
      <c r="AQ2169" s="2">
        <v>20.881477288415699</v>
      </c>
      <c r="AR2169" s="2">
        <v>21.465109541887699</v>
      </c>
      <c r="AS2169" s="2">
        <v>19.794876281473599</v>
      </c>
      <c r="AT2169" s="2">
        <v>20.137820074682899</v>
      </c>
      <c r="AU2169" s="2">
        <v>20.931526391518101</v>
      </c>
      <c r="AV2169" s="2">
        <v>21.601338861571001</v>
      </c>
      <c r="AW2169" s="2">
        <v>21.039131752264801</v>
      </c>
      <c r="AX2169" s="2">
        <v>21.268420569788798</v>
      </c>
      <c r="AY2169" s="2">
        <v>20.687446749482401</v>
      </c>
      <c r="AZ2169" s="2">
        <v>20.886835234063302</v>
      </c>
      <c r="BA2169" s="2">
        <v>19.7051725123975</v>
      </c>
      <c r="BB2169" s="2">
        <v>20.5948117888301</v>
      </c>
      <c r="BC2169" s="2">
        <v>21.171681634004798</v>
      </c>
      <c r="BD2169" s="2">
        <v>20.733261573551601</v>
      </c>
      <c r="BE2169" s="2">
        <v>21.280309701025601</v>
      </c>
      <c r="BF2169" s="2">
        <v>20.992676106836502</v>
      </c>
      <c r="BG2169" s="2">
        <v>20.708647102489898</v>
      </c>
      <c r="BH2169" s="2">
        <v>21.2632579201026</v>
      </c>
      <c r="BI2169" s="2">
        <v>20.510562825711101</v>
      </c>
      <c r="BJ2169" s="2">
        <v>20.625003150606499</v>
      </c>
      <c r="BK2169" s="2">
        <v>20.1372297889572</v>
      </c>
      <c r="BL2169" s="2">
        <v>20.9693672114505</v>
      </c>
      <c r="BM2169" s="2">
        <v>21.767980729404201</v>
      </c>
      <c r="BN2169" s="2">
        <v>21.4181190089087</v>
      </c>
      <c r="BO2169" s="2">
        <v>20.706933952810399</v>
      </c>
      <c r="BP2169" s="2">
        <v>20.7267799559393</v>
      </c>
      <c r="BQ2169" s="2">
        <v>21.021616270090298</v>
      </c>
      <c r="BR2169" s="2">
        <v>21.467945228723899</v>
      </c>
      <c r="BS2169" s="2">
        <v>21.569434226234701</v>
      </c>
      <c r="BT2169" s="2">
        <v>20.511819217075502</v>
      </c>
      <c r="BU2169" s="2">
        <v>19.6294101815011</v>
      </c>
      <c r="BV2169" s="2">
        <v>20.546675586294199</v>
      </c>
      <c r="BW2169" s="2">
        <v>20.155588524620399</v>
      </c>
      <c r="BX2169" s="2">
        <v>21.4793637895453</v>
      </c>
      <c r="BY2169" s="2">
        <v>22.067814945004901</v>
      </c>
      <c r="BZ2169" s="2">
        <v>20.836912675205099</v>
      </c>
      <c r="CA2169" s="2">
        <v>21.1874988685652</v>
      </c>
      <c r="CB2169" s="2">
        <v>20.8316697263012</v>
      </c>
      <c r="CC2169" s="2">
        <v>19.986911179356799</v>
      </c>
      <c r="CD2169" s="2">
        <v>20.600711226680499</v>
      </c>
      <c r="CE2169" s="2">
        <v>19.444000923464301</v>
      </c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</row>
    <row r="2170" spans="1:97">
      <c r="A2170" s="2" t="s">
        <v>18827</v>
      </c>
      <c r="B2170" s="2">
        <v>312.05910999999998</v>
      </c>
      <c r="C2170" s="2">
        <v>4.5869999999999997</v>
      </c>
      <c r="D2170" s="2" t="s">
        <v>146</v>
      </c>
      <c r="E2170" s="2" t="s">
        <v>18828</v>
      </c>
      <c r="F2170" s="2" t="s">
        <v>18829</v>
      </c>
      <c r="G2170" s="2">
        <v>47567</v>
      </c>
      <c r="H2170" s="3" t="str">
        <f>HYPERLINK("https://cloud.oebiotech.com/#/lm/network/47567", "https://cloud.oebiotech.com/#/lm/network/47567")</f>
        <v>https://cloud.oebiotech.com/#/lm/network/47567</v>
      </c>
      <c r="I2170" s="2" t="s">
        <v>18830</v>
      </c>
      <c r="J2170" s="2"/>
      <c r="K2170" s="2"/>
      <c r="L2170" s="2">
        <v>135532281</v>
      </c>
      <c r="M2170" s="2" t="s">
        <v>18831</v>
      </c>
      <c r="N2170" s="2"/>
      <c r="O2170" s="2"/>
      <c r="P2170" s="2"/>
      <c r="Q2170" s="2"/>
      <c r="R2170" s="2"/>
      <c r="S2170" s="2"/>
      <c r="T2170" s="2" t="s">
        <v>18832</v>
      </c>
      <c r="U2170" s="2" t="s">
        <v>18833</v>
      </c>
      <c r="V2170" s="2" t="s">
        <v>553</v>
      </c>
      <c r="W2170" s="2" t="s">
        <v>3468</v>
      </c>
      <c r="X2170" s="2" t="s">
        <v>6622</v>
      </c>
      <c r="Y2170" s="2" t="s">
        <v>556</v>
      </c>
      <c r="Z2170" s="2" t="s">
        <v>3470</v>
      </c>
      <c r="AA2170" s="2" t="s">
        <v>6623</v>
      </c>
      <c r="AB2170" s="2" t="s">
        <v>8443</v>
      </c>
      <c r="AC2170" s="2">
        <v>37.840000000000003</v>
      </c>
      <c r="AD2170" s="2">
        <v>92.22</v>
      </c>
      <c r="AE2170" s="2">
        <v>0</v>
      </c>
      <c r="AF2170" s="2" t="s">
        <v>5614</v>
      </c>
      <c r="AG2170" s="2" t="s">
        <v>157</v>
      </c>
      <c r="AH2170" s="2" t="s">
        <v>18834</v>
      </c>
      <c r="AI2170" s="2">
        <v>-1.6</v>
      </c>
      <c r="AJ2170" s="2">
        <v>17.018893882933799</v>
      </c>
      <c r="AK2170" s="2">
        <v>16.928205944102601</v>
      </c>
      <c r="AL2170" s="2">
        <v>17.039094901307799</v>
      </c>
      <c r="AM2170" s="2">
        <v>16.8932323147299</v>
      </c>
      <c r="AN2170" s="2">
        <v>16.9727012912319</v>
      </c>
      <c r="AO2170" s="2">
        <v>16.771558848010802</v>
      </c>
      <c r="AP2170" s="2">
        <v>16.647508597236399</v>
      </c>
      <c r="AQ2170" s="2">
        <v>16.992809581568501</v>
      </c>
      <c r="AR2170" s="2">
        <v>16.617118027447798</v>
      </c>
      <c r="AS2170" s="2">
        <v>16.554096558323899</v>
      </c>
      <c r="AT2170" s="2">
        <v>16.5206693188528</v>
      </c>
      <c r="AU2170" s="2">
        <v>16.173366002120801</v>
      </c>
      <c r="AV2170" s="2">
        <v>16.2717775982976</v>
      </c>
      <c r="AW2170" s="2">
        <v>16.284657486793002</v>
      </c>
      <c r="AX2170" s="2">
        <v>16.511064183175002</v>
      </c>
      <c r="AY2170" s="2">
        <v>16.2071840435094</v>
      </c>
      <c r="AZ2170" s="2">
        <v>16.643683873230898</v>
      </c>
      <c r="BA2170" s="2">
        <v>16.4980985942716</v>
      </c>
      <c r="BB2170" s="2">
        <v>16.409408671365199</v>
      </c>
      <c r="BC2170" s="2">
        <v>16.208635411141501</v>
      </c>
      <c r="BD2170" s="2">
        <v>16.205482283648799</v>
      </c>
      <c r="BE2170" s="2">
        <v>16.555036776595401</v>
      </c>
      <c r="BF2170" s="2">
        <v>15.9177743778987</v>
      </c>
      <c r="BG2170" s="2">
        <v>16.5513470320269</v>
      </c>
      <c r="BH2170" s="2">
        <v>16.3888410147282</v>
      </c>
      <c r="BI2170" s="2">
        <v>16.697448299199099</v>
      </c>
      <c r="BJ2170" s="2">
        <v>16.417517475183899</v>
      </c>
      <c r="BK2170" s="2">
        <v>16.522796669002801</v>
      </c>
      <c r="BL2170" s="2">
        <v>16.840527037842001</v>
      </c>
      <c r="BM2170" s="2">
        <v>16.564958634965102</v>
      </c>
      <c r="BN2170" s="2">
        <v>16.748437253509401</v>
      </c>
      <c r="BO2170" s="2">
        <v>16.269740519625799</v>
      </c>
      <c r="BP2170" s="2">
        <v>16.434156948904899</v>
      </c>
      <c r="BQ2170" s="2">
        <v>16.246192062314002</v>
      </c>
      <c r="BR2170" s="2">
        <v>16.449758346709999</v>
      </c>
      <c r="BS2170" s="2">
        <v>16.726087744536901</v>
      </c>
      <c r="BT2170" s="2">
        <v>16.739885011557799</v>
      </c>
      <c r="BU2170" s="2">
        <v>16.4912651597189</v>
      </c>
      <c r="BV2170" s="2">
        <v>16.253451974597802</v>
      </c>
      <c r="BW2170" s="2">
        <v>16.257274943557601</v>
      </c>
      <c r="BX2170" s="2">
        <v>16.103855962624301</v>
      </c>
      <c r="BY2170" s="2">
        <v>16.246039860379099</v>
      </c>
      <c r="BZ2170" s="2">
        <v>16.654242187047199</v>
      </c>
      <c r="CA2170" s="2">
        <v>16.228714053740699</v>
      </c>
      <c r="CB2170" s="2">
        <v>16.630557938710901</v>
      </c>
      <c r="CC2170" s="2">
        <v>16.743484226664702</v>
      </c>
      <c r="CD2170" s="2">
        <v>16.4010149826914</v>
      </c>
      <c r="CE2170" s="2">
        <v>16.4432207112561</v>
      </c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</row>
    <row r="2171" spans="1:97">
      <c r="A2171" s="2" t="s">
        <v>18835</v>
      </c>
      <c r="B2171" s="2">
        <v>215.13864000000001</v>
      </c>
      <c r="C2171" s="2">
        <v>1.0549999999999999</v>
      </c>
      <c r="D2171" s="2" t="s">
        <v>84</v>
      </c>
      <c r="E2171" s="2" t="s">
        <v>18836</v>
      </c>
      <c r="F2171" s="2" t="s">
        <v>18837</v>
      </c>
      <c r="G2171" s="2">
        <v>83617</v>
      </c>
      <c r="H2171" s="3" t="str">
        <f>HYPERLINK("https://cloud.oebiotech.com/#/lm/network/83617", "https://cloud.oebiotech.com/#/lm/network/83617")</f>
        <v>https://cloud.oebiotech.com/#/lm/network/83617</v>
      </c>
      <c r="I2171" s="2" t="s">
        <v>18838</v>
      </c>
      <c r="J2171" s="2"/>
      <c r="K2171" s="2"/>
      <c r="L2171" s="2">
        <v>688084</v>
      </c>
      <c r="M2171" s="2" t="s">
        <v>18839</v>
      </c>
      <c r="N2171" s="2" t="s">
        <v>1390</v>
      </c>
      <c r="O2171" s="2" t="s">
        <v>1391</v>
      </c>
      <c r="P2171" s="2"/>
      <c r="Q2171" s="2"/>
      <c r="R2171" s="2"/>
      <c r="S2171" s="2"/>
      <c r="T2171" s="2" t="s">
        <v>18840</v>
      </c>
      <c r="U2171" s="2" t="s">
        <v>18841</v>
      </c>
      <c r="V2171" s="2" t="s">
        <v>385</v>
      </c>
      <c r="W2171" s="2" t="s">
        <v>3319</v>
      </c>
      <c r="X2171" s="2" t="s">
        <v>3320</v>
      </c>
      <c r="Y2171" s="2" t="s">
        <v>388</v>
      </c>
      <c r="Z2171" s="2" t="s">
        <v>3321</v>
      </c>
      <c r="AA2171" s="2" t="s">
        <v>3322</v>
      </c>
      <c r="AB2171" s="2" t="s">
        <v>8443</v>
      </c>
      <c r="AC2171" s="2">
        <v>37.83</v>
      </c>
      <c r="AD2171" s="2">
        <v>93.44</v>
      </c>
      <c r="AE2171" s="2">
        <v>0</v>
      </c>
      <c r="AF2171" s="2" t="s">
        <v>5614</v>
      </c>
      <c r="AG2171" s="2" t="s">
        <v>132</v>
      </c>
      <c r="AH2171" s="2" t="s">
        <v>18842</v>
      </c>
      <c r="AI2171" s="2">
        <v>1.86</v>
      </c>
      <c r="AJ2171" s="2">
        <v>19.456209809451099</v>
      </c>
      <c r="AK2171" s="2">
        <v>19.2763170683677</v>
      </c>
      <c r="AL2171" s="2">
        <v>18.978218593111301</v>
      </c>
      <c r="AM2171" s="2">
        <v>19.350417175135401</v>
      </c>
      <c r="AN2171" s="2">
        <v>19.411701702014099</v>
      </c>
      <c r="AO2171" s="2">
        <v>19.484849301952899</v>
      </c>
      <c r="AP2171" s="2">
        <v>19.2135811428656</v>
      </c>
      <c r="AQ2171" s="2">
        <v>19.517421976488901</v>
      </c>
      <c r="AR2171" s="2">
        <v>18.7503706142849</v>
      </c>
      <c r="AS2171" s="2">
        <v>17.7643204993227</v>
      </c>
      <c r="AT2171" s="2">
        <v>17.489656778765799</v>
      </c>
      <c r="AU2171" s="2">
        <v>18.2758228730439</v>
      </c>
      <c r="AV2171" s="2">
        <v>18.9618696976754</v>
      </c>
      <c r="AW2171" s="2">
        <v>19.622942304781699</v>
      </c>
      <c r="AX2171" s="2">
        <v>19.571139566330601</v>
      </c>
      <c r="AY2171" s="2">
        <v>18.5166349788181</v>
      </c>
      <c r="AZ2171" s="2">
        <v>18.843565276249102</v>
      </c>
      <c r="BA2171" s="2">
        <v>18.186372289760101</v>
      </c>
      <c r="BB2171" s="2">
        <v>18.713215995749302</v>
      </c>
      <c r="BC2171" s="2">
        <v>19.1491134548018</v>
      </c>
      <c r="BD2171" s="2">
        <v>18.5446911554947</v>
      </c>
      <c r="BE2171" s="2">
        <v>19.360896024584601</v>
      </c>
      <c r="BF2171" s="2">
        <v>18.197875381007101</v>
      </c>
      <c r="BG2171" s="2">
        <v>19.868152630374901</v>
      </c>
      <c r="BH2171" s="2">
        <v>19.052514294723899</v>
      </c>
      <c r="BI2171" s="2">
        <v>19.214552065592599</v>
      </c>
      <c r="BJ2171" s="2">
        <v>19.237275745984601</v>
      </c>
      <c r="BK2171" s="2">
        <v>18.892311952029999</v>
      </c>
      <c r="BL2171" s="2">
        <v>18.1320990871533</v>
      </c>
      <c r="BM2171" s="2">
        <v>19.1734007494168</v>
      </c>
      <c r="BN2171" s="2">
        <v>19.027311687691199</v>
      </c>
      <c r="BO2171" s="2">
        <v>19.351672390492901</v>
      </c>
      <c r="BP2171" s="2">
        <v>18.859164061781598</v>
      </c>
      <c r="BQ2171" s="2">
        <v>19.902677881903401</v>
      </c>
      <c r="BR2171" s="2">
        <v>19.1824035680931</v>
      </c>
      <c r="BS2171" s="2">
        <v>19.278155014969499</v>
      </c>
      <c r="BT2171" s="2">
        <v>18.917475403494102</v>
      </c>
      <c r="BU2171" s="2">
        <v>18.879712077284001</v>
      </c>
      <c r="BV2171" s="2">
        <v>18.841452492761501</v>
      </c>
      <c r="BW2171" s="2">
        <v>15.402290295775201</v>
      </c>
      <c r="BX2171" s="2">
        <v>19.437663595485599</v>
      </c>
      <c r="BY2171" s="2">
        <v>19.020361227105901</v>
      </c>
      <c r="BZ2171" s="2">
        <v>18.968243475984099</v>
      </c>
      <c r="CA2171" s="2">
        <v>19.3519149714432</v>
      </c>
      <c r="CB2171" s="2">
        <v>17.922629230736799</v>
      </c>
      <c r="CC2171" s="2">
        <v>18.998827537612101</v>
      </c>
      <c r="CD2171" s="2">
        <v>19.209277101835202</v>
      </c>
      <c r="CE2171" s="2">
        <v>19.141163870446899</v>
      </c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</row>
    <row r="2172" spans="1:97">
      <c r="A2172" s="2" t="s">
        <v>18843</v>
      </c>
      <c r="B2172" s="2">
        <v>218.98183</v>
      </c>
      <c r="C2172" s="2">
        <v>1.054</v>
      </c>
      <c r="D2172" s="2" t="s">
        <v>146</v>
      </c>
      <c r="E2172" s="2" t="s">
        <v>18844</v>
      </c>
      <c r="F2172" s="2" t="s">
        <v>18845</v>
      </c>
      <c r="G2172" s="2">
        <v>256842</v>
      </c>
      <c r="H2172" s="3" t="str">
        <f>HYPERLINK("https://cloud.oebiotech.com/#/lm/network/256842", "https://cloud.oebiotech.com/#/lm/network/256842")</f>
        <v>https://cloud.oebiotech.com/#/lm/network/256842</v>
      </c>
      <c r="I2172" s="2" t="s">
        <v>18846</v>
      </c>
      <c r="J2172" s="2">
        <v>63860</v>
      </c>
      <c r="K2172" s="2"/>
      <c r="L2172" s="2">
        <v>669</v>
      </c>
      <c r="M2172" s="2" t="s">
        <v>18847</v>
      </c>
      <c r="N2172" s="2" t="s">
        <v>3463</v>
      </c>
      <c r="O2172" s="2" t="s">
        <v>3464</v>
      </c>
      <c r="P2172" s="2">
        <v>50606</v>
      </c>
      <c r="Q2172" s="2"/>
      <c r="R2172" s="2"/>
      <c r="S2172" s="2"/>
      <c r="T2172" s="2" t="s">
        <v>18848</v>
      </c>
      <c r="U2172" s="2" t="s">
        <v>18849</v>
      </c>
      <c r="V2172" s="2" t="s">
        <v>115</v>
      </c>
      <c r="W2172" s="2" t="s">
        <v>4566</v>
      </c>
      <c r="X2172" s="2" t="s">
        <v>4567</v>
      </c>
      <c r="Y2172" s="2" t="s">
        <v>118</v>
      </c>
      <c r="Z2172" s="2" t="s">
        <v>4568</v>
      </c>
      <c r="AA2172" s="2" t="s">
        <v>4569</v>
      </c>
      <c r="AB2172" s="2" t="s">
        <v>8443</v>
      </c>
      <c r="AC2172" s="2">
        <v>37.83</v>
      </c>
      <c r="AD2172" s="2">
        <v>79.47</v>
      </c>
      <c r="AE2172" s="2">
        <v>0</v>
      </c>
      <c r="AF2172" s="2" t="s">
        <v>5614</v>
      </c>
      <c r="AG2172" s="2" t="s">
        <v>4062</v>
      </c>
      <c r="AH2172" s="2" t="s">
        <v>18850</v>
      </c>
      <c r="AI2172" s="2">
        <v>5.94</v>
      </c>
      <c r="AJ2172" s="2">
        <v>18.348198905335199</v>
      </c>
      <c r="AK2172" s="2">
        <v>18.8574628039845</v>
      </c>
      <c r="AL2172" s="2">
        <v>19.098058023636298</v>
      </c>
      <c r="AM2172" s="2">
        <v>19.121955336113199</v>
      </c>
      <c r="AN2172" s="2">
        <v>19.317436308401799</v>
      </c>
      <c r="AO2172" s="2">
        <v>18.853234128750401</v>
      </c>
      <c r="AP2172" s="2">
        <v>19.463670302904099</v>
      </c>
      <c r="AQ2172" s="2">
        <v>18.344433885041099</v>
      </c>
      <c r="AR2172" s="2">
        <v>18.9550269138776</v>
      </c>
      <c r="AS2172" s="2">
        <v>19.444017146007901</v>
      </c>
      <c r="AT2172" s="2">
        <v>18.946448051008701</v>
      </c>
      <c r="AU2172" s="2">
        <v>19.229521293142898</v>
      </c>
      <c r="AV2172" s="2">
        <v>19.186231129674901</v>
      </c>
      <c r="AW2172" s="2">
        <v>19.325386801174599</v>
      </c>
      <c r="AX2172" s="2">
        <v>19.331160830324599</v>
      </c>
      <c r="AY2172" s="2">
        <v>18.619269707928201</v>
      </c>
      <c r="AZ2172" s="2">
        <v>18.708534698609</v>
      </c>
      <c r="BA2172" s="2">
        <v>18.352454454607798</v>
      </c>
      <c r="BB2172" s="2">
        <v>19.655401498530999</v>
      </c>
      <c r="BC2172" s="2">
        <v>19.116092726840101</v>
      </c>
      <c r="BD2172" s="2">
        <v>18.0278526631974</v>
      </c>
      <c r="BE2172" s="2">
        <v>19.085865829165801</v>
      </c>
      <c r="BF2172" s="2">
        <v>19.136456238417502</v>
      </c>
      <c r="BG2172" s="2">
        <v>19.2835877073042</v>
      </c>
      <c r="BH2172" s="2">
        <v>19.2487695148832</v>
      </c>
      <c r="BI2172" s="2">
        <v>19.408904230393599</v>
      </c>
      <c r="BJ2172" s="2">
        <v>18.697743899777301</v>
      </c>
      <c r="BK2172" s="2">
        <v>19.627808082754999</v>
      </c>
      <c r="BL2172" s="2">
        <v>19.303911375930699</v>
      </c>
      <c r="BM2172" s="2">
        <v>18.617703090737599</v>
      </c>
      <c r="BN2172" s="2">
        <v>19.5386429241976</v>
      </c>
      <c r="BO2172" s="2">
        <v>19.127412218251202</v>
      </c>
      <c r="BP2172" s="2">
        <v>19.656218544224199</v>
      </c>
      <c r="BQ2172" s="2">
        <v>18.0716963541458</v>
      </c>
      <c r="BR2172" s="2">
        <v>19.089845043396402</v>
      </c>
      <c r="BS2172" s="2">
        <v>18.8385431850452</v>
      </c>
      <c r="BT2172" s="2">
        <v>19.170952189978799</v>
      </c>
      <c r="BU2172" s="2">
        <v>18.793475258061999</v>
      </c>
      <c r="BV2172" s="2">
        <v>19.174411056338901</v>
      </c>
      <c r="BW2172" s="2">
        <v>19.578327871819301</v>
      </c>
      <c r="BX2172" s="2">
        <v>19.312266615045498</v>
      </c>
      <c r="BY2172" s="2">
        <v>18.8209013633716</v>
      </c>
      <c r="BZ2172" s="2">
        <v>18.394806772451201</v>
      </c>
      <c r="CA2172" s="2">
        <v>19.164008300582399</v>
      </c>
      <c r="CB2172" s="2">
        <v>19.418054770006499</v>
      </c>
      <c r="CC2172" s="2">
        <v>18.287179746432301</v>
      </c>
      <c r="CD2172" s="2">
        <v>18.876741091251301</v>
      </c>
      <c r="CE2172" s="2">
        <v>18.971865231491101</v>
      </c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</row>
    <row r="2173" spans="1:97">
      <c r="A2173" s="2" t="s">
        <v>18851</v>
      </c>
      <c r="B2173" s="2">
        <v>305.06205</v>
      </c>
      <c r="C2173" s="2">
        <v>0.84599999999999997</v>
      </c>
      <c r="D2173" s="2" t="s">
        <v>146</v>
      </c>
      <c r="E2173" s="2" t="s">
        <v>18852</v>
      </c>
      <c r="F2173" s="2" t="s">
        <v>18853</v>
      </c>
      <c r="G2173" s="2">
        <v>256519</v>
      </c>
      <c r="H2173" s="3" t="str">
        <f>HYPERLINK("https://cloud.oebiotech.com/#/lm/network/256519", "https://cloud.oebiotech.com/#/lm/network/256519")</f>
        <v>https://cloud.oebiotech.com/#/lm/network/256519</v>
      </c>
      <c r="I2173" s="2" t="s">
        <v>18854</v>
      </c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 t="s">
        <v>18855</v>
      </c>
      <c r="U2173" s="2" t="s">
        <v>18856</v>
      </c>
      <c r="V2173" s="2" t="s">
        <v>385</v>
      </c>
      <c r="W2173" s="2" t="s">
        <v>386</v>
      </c>
      <c r="X2173" s="2" t="s">
        <v>375</v>
      </c>
      <c r="Y2173" s="2" t="s">
        <v>388</v>
      </c>
      <c r="Z2173" s="2" t="s">
        <v>389</v>
      </c>
      <c r="AA2173" s="2"/>
      <c r="AB2173" s="2" t="s">
        <v>8443</v>
      </c>
      <c r="AC2173" s="2">
        <v>37.83</v>
      </c>
      <c r="AD2173" s="2">
        <v>89.14</v>
      </c>
      <c r="AE2173" s="2">
        <v>0</v>
      </c>
      <c r="AF2173" s="2" t="s">
        <v>18857</v>
      </c>
      <c r="AG2173" s="2" t="s">
        <v>157</v>
      </c>
      <c r="AH2173" s="2" t="s">
        <v>18858</v>
      </c>
      <c r="AI2173" s="2">
        <v>-0.66</v>
      </c>
      <c r="AJ2173" s="2">
        <v>20.752962760763602</v>
      </c>
      <c r="AK2173" s="2">
        <v>20.006996460109999</v>
      </c>
      <c r="AL2173" s="2">
        <v>20.759302468358801</v>
      </c>
      <c r="AM2173" s="2">
        <v>20.678105811093801</v>
      </c>
      <c r="AN2173" s="2">
        <v>20.8599899168875</v>
      </c>
      <c r="AO2173" s="2">
        <v>20.6776751725839</v>
      </c>
      <c r="AP2173" s="2">
        <v>20.752347821273599</v>
      </c>
      <c r="AQ2173" s="2">
        <v>20.7782332855306</v>
      </c>
      <c r="AR2173" s="2">
        <v>19.308831899042001</v>
      </c>
      <c r="AS2173" s="2">
        <v>9.6233145402724691</v>
      </c>
      <c r="AT2173" s="2">
        <v>19.573956664567898</v>
      </c>
      <c r="AU2173" s="2">
        <v>20.602524352438301</v>
      </c>
      <c r="AV2173" s="2">
        <v>18.584873929230302</v>
      </c>
      <c r="AW2173" s="2">
        <v>19.891874847581398</v>
      </c>
      <c r="AX2173" s="2">
        <v>19.401009710290801</v>
      </c>
      <c r="AY2173" s="2">
        <v>20.439583664383299</v>
      </c>
      <c r="AZ2173" s="2">
        <v>19.7330548890362</v>
      </c>
      <c r="BA2173" s="2">
        <v>19.924533903654002</v>
      </c>
      <c r="BB2173" s="2">
        <v>21.837262709383499</v>
      </c>
      <c r="BC2173" s="2">
        <v>22.404569666925699</v>
      </c>
      <c r="BD2173" s="2">
        <v>19.706143054614799</v>
      </c>
      <c r="BE2173" s="2">
        <v>19.3174554316554</v>
      </c>
      <c r="BF2173" s="2">
        <v>19.7502144067556</v>
      </c>
      <c r="BG2173" s="2">
        <v>21.922715460519498</v>
      </c>
      <c r="BH2173" s="2">
        <v>19.761672053614198</v>
      </c>
      <c r="BI2173" s="2">
        <v>19.466583529909499</v>
      </c>
      <c r="BJ2173" s="2">
        <v>19.484328471932301</v>
      </c>
      <c r="BK2173" s="2">
        <v>18.732948005030799</v>
      </c>
      <c r="BL2173" s="2">
        <v>18.7333050156636</v>
      </c>
      <c r="BM2173" s="2">
        <v>20.732730694505399</v>
      </c>
      <c r="BN2173" s="2">
        <v>18.895747680763598</v>
      </c>
      <c r="BO2173" s="2">
        <v>18.7589719403644</v>
      </c>
      <c r="BP2173" s="2">
        <v>19.039065146687001</v>
      </c>
      <c r="BQ2173" s="2">
        <v>19.371974384635902</v>
      </c>
      <c r="BR2173" s="2">
        <v>20.2714765011293</v>
      </c>
      <c r="BS2173" s="2">
        <v>18.652294546502301</v>
      </c>
      <c r="BT2173" s="2">
        <v>20.623741568222901</v>
      </c>
      <c r="BU2173" s="2">
        <v>18.728736843366001</v>
      </c>
      <c r="BV2173" s="2">
        <v>22.342279011951401</v>
      </c>
      <c r="BW2173" s="2">
        <v>22.525148059597001</v>
      </c>
      <c r="BX2173" s="2">
        <v>19.552853741148098</v>
      </c>
      <c r="BY2173" s="2">
        <v>19.2250341234699</v>
      </c>
      <c r="BZ2173" s="2">
        <v>22.565500527663598</v>
      </c>
      <c r="CA2173" s="2">
        <v>21.863067479096198</v>
      </c>
      <c r="CB2173" s="2">
        <v>21.842132541154101</v>
      </c>
      <c r="CC2173" s="2">
        <v>18.318558917424401</v>
      </c>
      <c r="CD2173" s="2">
        <v>18.765872197555201</v>
      </c>
      <c r="CE2173" s="2">
        <v>19.588632039805098</v>
      </c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</row>
    <row r="2174" spans="1:97">
      <c r="A2174" s="2" t="s">
        <v>18859</v>
      </c>
      <c r="B2174" s="2">
        <v>267.04572999999999</v>
      </c>
      <c r="C2174" s="2">
        <v>4.5949999999999998</v>
      </c>
      <c r="D2174" s="2" t="s">
        <v>146</v>
      </c>
      <c r="E2174" s="2" t="s">
        <v>18860</v>
      </c>
      <c r="F2174" s="2" t="s">
        <v>18861</v>
      </c>
      <c r="G2174" s="2">
        <v>212210</v>
      </c>
      <c r="H2174" s="3" t="str">
        <f>HYPERLINK("https://cloud.oebiotech.com/#/lm/network/212210", "https://cloud.oebiotech.com/#/lm/network/212210")</f>
        <v>https://cloud.oebiotech.com/#/lm/network/212210</v>
      </c>
      <c r="I2174" s="2" t="s">
        <v>18862</v>
      </c>
      <c r="J2174" s="2">
        <v>73434</v>
      </c>
      <c r="K2174" s="2"/>
      <c r="L2174" s="2">
        <v>104781</v>
      </c>
      <c r="M2174" s="2" t="s">
        <v>18863</v>
      </c>
      <c r="N2174" s="2"/>
      <c r="O2174" s="2"/>
      <c r="P2174" s="2"/>
      <c r="Q2174" s="2"/>
      <c r="R2174" s="2"/>
      <c r="S2174" s="2" t="s">
        <v>18864</v>
      </c>
      <c r="T2174" s="2" t="s">
        <v>18865</v>
      </c>
      <c r="U2174" s="2" t="s">
        <v>18866</v>
      </c>
      <c r="V2174" s="2" t="s">
        <v>115</v>
      </c>
      <c r="W2174" s="2" t="s">
        <v>18411</v>
      </c>
      <c r="X2174" s="2" t="s">
        <v>18412</v>
      </c>
      <c r="Y2174" s="2" t="s">
        <v>118</v>
      </c>
      <c r="Z2174" s="2" t="s">
        <v>18413</v>
      </c>
      <c r="AA2174" s="2" t="s">
        <v>18414</v>
      </c>
      <c r="AB2174" s="2" t="s">
        <v>8443</v>
      </c>
      <c r="AC2174" s="2">
        <v>37.83</v>
      </c>
      <c r="AD2174" s="2">
        <v>91.67</v>
      </c>
      <c r="AE2174" s="2">
        <v>0</v>
      </c>
      <c r="AF2174" s="2" t="s">
        <v>5614</v>
      </c>
      <c r="AG2174" s="2" t="s">
        <v>157</v>
      </c>
      <c r="AH2174" s="2" t="s">
        <v>18867</v>
      </c>
      <c r="AI2174" s="2">
        <v>1.5</v>
      </c>
      <c r="AJ2174" s="2">
        <v>18.222607291269</v>
      </c>
      <c r="AK2174" s="2">
        <v>18.600544884993099</v>
      </c>
      <c r="AL2174" s="2">
        <v>18.287515708777001</v>
      </c>
      <c r="AM2174" s="2">
        <v>18.153481177682199</v>
      </c>
      <c r="AN2174" s="2">
        <v>18.685496315232299</v>
      </c>
      <c r="AO2174" s="2">
        <v>17.727605681331902</v>
      </c>
      <c r="AP2174" s="2">
        <v>18.4186288799959</v>
      </c>
      <c r="AQ2174" s="2">
        <v>17.869496852281099</v>
      </c>
      <c r="AR2174" s="2">
        <v>18.023568493432499</v>
      </c>
      <c r="AS2174" s="2">
        <v>16.7898695724462</v>
      </c>
      <c r="AT2174" s="2">
        <v>17.8126317119691</v>
      </c>
      <c r="AU2174" s="2">
        <v>17.2215189646992</v>
      </c>
      <c r="AV2174" s="2">
        <v>18.013042369357201</v>
      </c>
      <c r="AW2174" s="2">
        <v>18.153048556185599</v>
      </c>
      <c r="AX2174" s="2">
        <v>17.5548555403564</v>
      </c>
      <c r="AY2174" s="2">
        <v>17.592961591537001</v>
      </c>
      <c r="AZ2174" s="2">
        <v>17.1849556130515</v>
      </c>
      <c r="BA2174" s="2">
        <v>17.4635649229559</v>
      </c>
      <c r="BB2174" s="2">
        <v>17.922925165258199</v>
      </c>
      <c r="BC2174" s="2">
        <v>17.7527792927905</v>
      </c>
      <c r="BD2174" s="2">
        <v>18.317911598472399</v>
      </c>
      <c r="BE2174" s="2">
        <v>18.290841120497799</v>
      </c>
      <c r="BF2174" s="2">
        <v>18.000140606163299</v>
      </c>
      <c r="BG2174" s="2">
        <v>18.549161693008099</v>
      </c>
      <c r="BH2174" s="2">
        <v>17.281045815638901</v>
      </c>
      <c r="BI2174" s="2">
        <v>18.3782075047082</v>
      </c>
      <c r="BJ2174" s="2">
        <v>18.452833392316101</v>
      </c>
      <c r="BK2174" s="2">
        <v>18.294813492593502</v>
      </c>
      <c r="BL2174" s="2">
        <v>18.216212515592101</v>
      </c>
      <c r="BM2174" s="2">
        <v>18.291514457025301</v>
      </c>
      <c r="BN2174" s="2">
        <v>16.883740007922999</v>
      </c>
      <c r="BO2174" s="2">
        <v>17.389235726865</v>
      </c>
      <c r="BP2174" s="2">
        <v>17.881322035878998</v>
      </c>
      <c r="BQ2174" s="2">
        <v>18.802717759641801</v>
      </c>
      <c r="BR2174" s="2">
        <v>18.749670697548598</v>
      </c>
      <c r="BS2174" s="2">
        <v>18.333915029065299</v>
      </c>
      <c r="BT2174" s="2">
        <v>17.541885297940301</v>
      </c>
      <c r="BU2174" s="2">
        <v>18.634817642660501</v>
      </c>
      <c r="BV2174" s="2">
        <v>18.368952375105199</v>
      </c>
      <c r="BW2174" s="2">
        <v>17.6498240398919</v>
      </c>
      <c r="BX2174" s="2">
        <v>18.048632357989899</v>
      </c>
      <c r="BY2174" s="2">
        <v>18.184035918351199</v>
      </c>
      <c r="BZ2174" s="2">
        <v>18.127314523275</v>
      </c>
      <c r="CA2174" s="2">
        <v>19.156181805771698</v>
      </c>
      <c r="CB2174" s="2">
        <v>17.615311009503898</v>
      </c>
      <c r="CC2174" s="2">
        <v>18.891687599443198</v>
      </c>
      <c r="CD2174" s="2">
        <v>18.723205731269601</v>
      </c>
      <c r="CE2174" s="2">
        <v>18.599191989999198</v>
      </c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</row>
    <row r="2175" spans="1:97">
      <c r="A2175" s="2" t="s">
        <v>18868</v>
      </c>
      <c r="B2175" s="2">
        <v>232.98523</v>
      </c>
      <c r="C2175" s="2">
        <v>4.8090000000000002</v>
      </c>
      <c r="D2175" s="2" t="s">
        <v>84</v>
      </c>
      <c r="E2175" s="2" t="s">
        <v>18869</v>
      </c>
      <c r="F2175" s="2" t="s">
        <v>18870</v>
      </c>
      <c r="G2175" s="2">
        <v>10146</v>
      </c>
      <c r="H2175" s="3" t="str">
        <f>HYPERLINK("https://cloud.oebiotech.com/#/lm/network/10146", "https://cloud.oebiotech.com/#/lm/network/10146")</f>
        <v>https://cloud.oebiotech.com/#/lm/network/10146</v>
      </c>
      <c r="I2175" s="2"/>
      <c r="J2175" s="2"/>
      <c r="K2175" s="2" t="s">
        <v>18871</v>
      </c>
      <c r="L2175" s="2">
        <v>134812261</v>
      </c>
      <c r="M2175" s="2"/>
      <c r="N2175" s="2"/>
      <c r="O2175" s="2"/>
      <c r="P2175" s="2"/>
      <c r="Q2175" s="2"/>
      <c r="R2175" s="2"/>
      <c r="S2175" s="2"/>
      <c r="T2175" s="2" t="s">
        <v>18872</v>
      </c>
      <c r="U2175" s="2" t="s">
        <v>18873</v>
      </c>
      <c r="V2175" s="2" t="s">
        <v>553</v>
      </c>
      <c r="W2175" s="2" t="s">
        <v>13714</v>
      </c>
      <c r="X2175" s="2" t="s">
        <v>375</v>
      </c>
      <c r="Y2175" s="2" t="s">
        <v>556</v>
      </c>
      <c r="Z2175" s="2" t="s">
        <v>13715</v>
      </c>
      <c r="AA2175" s="2"/>
      <c r="AB2175" s="2" t="s">
        <v>8443</v>
      </c>
      <c r="AC2175" s="2">
        <v>37.82</v>
      </c>
      <c r="AD2175" s="2">
        <v>90.57</v>
      </c>
      <c r="AE2175" s="2">
        <v>0</v>
      </c>
      <c r="AF2175" s="2" t="s">
        <v>18874</v>
      </c>
      <c r="AG2175" s="2" t="s">
        <v>3544</v>
      </c>
      <c r="AH2175" s="2" t="s">
        <v>18875</v>
      </c>
      <c r="AI2175" s="2">
        <v>1.29</v>
      </c>
      <c r="AJ2175" s="2">
        <v>24.1891422025788</v>
      </c>
      <c r="AK2175" s="2">
        <v>24.113229013869599</v>
      </c>
      <c r="AL2175" s="2">
        <v>24.249493975006601</v>
      </c>
      <c r="AM2175" s="2">
        <v>24.010341196686401</v>
      </c>
      <c r="AN2175" s="2">
        <v>24.318776411979002</v>
      </c>
      <c r="AO2175" s="2">
        <v>24.100344234900401</v>
      </c>
      <c r="AP2175" s="2">
        <v>24.004951785740701</v>
      </c>
      <c r="AQ2175" s="2">
        <v>24.6712579846597</v>
      </c>
      <c r="AR2175" s="2">
        <v>22.6430956422086</v>
      </c>
      <c r="AS2175" s="2">
        <v>21.333793307130001</v>
      </c>
      <c r="AT2175" s="2">
        <v>19.351086944759601</v>
      </c>
      <c r="AU2175" s="2">
        <v>22.4135100491354</v>
      </c>
      <c r="AV2175" s="2">
        <v>25.4650871771026</v>
      </c>
      <c r="AW2175" s="2">
        <v>24.1688620346285</v>
      </c>
      <c r="AX2175" s="2">
        <v>23.437998219657299</v>
      </c>
      <c r="AY2175" s="2">
        <v>22.376409098950901</v>
      </c>
      <c r="AZ2175" s="2">
        <v>23.5039443273545</v>
      </c>
      <c r="BA2175" s="2">
        <v>22.268990508400201</v>
      </c>
      <c r="BB2175" s="2">
        <v>22.2070803048789</v>
      </c>
      <c r="BC2175" s="2">
        <v>20.4855307402593</v>
      </c>
      <c r="BD2175" s="2">
        <v>23.7535041271518</v>
      </c>
      <c r="BE2175" s="2">
        <v>26.156149509103798</v>
      </c>
      <c r="BF2175" s="2">
        <v>23.677503914129002</v>
      </c>
      <c r="BG2175" s="2">
        <v>22.5886709458597</v>
      </c>
      <c r="BH2175" s="2">
        <v>24.8416961518225</v>
      </c>
      <c r="BI2175" s="2">
        <v>24.920438113694299</v>
      </c>
      <c r="BJ2175" s="2">
        <v>25.198589331093999</v>
      </c>
      <c r="BK2175" s="2">
        <v>21.228110653434399</v>
      </c>
      <c r="BL2175" s="2">
        <v>23.926892237280502</v>
      </c>
      <c r="BM2175" s="2">
        <v>20.257903776435999</v>
      </c>
      <c r="BN2175" s="2">
        <v>22.2859939379561</v>
      </c>
      <c r="BO2175" s="2">
        <v>20.525703216224102</v>
      </c>
      <c r="BP2175" s="2">
        <v>25.105122906993302</v>
      </c>
      <c r="BQ2175" s="2">
        <v>23.954370806080298</v>
      </c>
      <c r="BR2175" s="2">
        <v>24.135013897168701</v>
      </c>
      <c r="BS2175" s="2">
        <v>23.470097393894399</v>
      </c>
      <c r="BT2175" s="2">
        <v>23.761850898129101</v>
      </c>
      <c r="BU2175" s="2">
        <v>22.5724079417738</v>
      </c>
      <c r="BV2175" s="2">
        <v>22.01267208614</v>
      </c>
      <c r="BW2175" s="2">
        <v>19.691379923911001</v>
      </c>
      <c r="BX2175" s="2">
        <v>23.8000084129709</v>
      </c>
      <c r="BY2175" s="2">
        <v>26.155334263778101</v>
      </c>
      <c r="BZ2175" s="2">
        <v>21.937100527982398</v>
      </c>
      <c r="CA2175" s="2">
        <v>21.168534448748801</v>
      </c>
      <c r="CB2175" s="2">
        <v>24.495582139981</v>
      </c>
      <c r="CC2175" s="2">
        <v>22.074187521868399</v>
      </c>
      <c r="CD2175" s="2">
        <v>24.8354480802418</v>
      </c>
      <c r="CE2175" s="2">
        <v>19.218716189021599</v>
      </c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</row>
    <row r="2176" spans="1:97">
      <c r="A2176" s="2" t="s">
        <v>18876</v>
      </c>
      <c r="B2176" s="2">
        <v>459.15030000000002</v>
      </c>
      <c r="C2176" s="2">
        <v>5.0110000000000001</v>
      </c>
      <c r="D2176" s="2" t="s">
        <v>146</v>
      </c>
      <c r="E2176" s="2" t="s">
        <v>18877</v>
      </c>
      <c r="F2176" s="2" t="s">
        <v>18878</v>
      </c>
      <c r="G2176" s="2">
        <v>82962</v>
      </c>
      <c r="H2176" s="3" t="str">
        <f>HYPERLINK("https://cloud.oebiotech.com/#/lm/network/82962", "https://cloud.oebiotech.com/#/lm/network/82962")</f>
        <v>https://cloud.oebiotech.com/#/lm/network/82962</v>
      </c>
      <c r="I2176" s="2" t="s">
        <v>18879</v>
      </c>
      <c r="J2176" s="2"/>
      <c r="K2176" s="2"/>
      <c r="L2176" s="2">
        <v>9576792</v>
      </c>
      <c r="M2176" s="2"/>
      <c r="N2176" s="2"/>
      <c r="O2176" s="2"/>
      <c r="P2176" s="2"/>
      <c r="Q2176" s="2"/>
      <c r="R2176" s="2"/>
      <c r="S2176" s="2" t="s">
        <v>18880</v>
      </c>
      <c r="T2176" s="2" t="s">
        <v>18881</v>
      </c>
      <c r="U2176" s="2" t="s">
        <v>18882</v>
      </c>
      <c r="V2176" s="2" t="s">
        <v>553</v>
      </c>
      <c r="W2176" s="2" t="s">
        <v>10339</v>
      </c>
      <c r="X2176" s="2" t="s">
        <v>10340</v>
      </c>
      <c r="Y2176" s="2" t="s">
        <v>556</v>
      </c>
      <c r="Z2176" s="2" t="s">
        <v>10341</v>
      </c>
      <c r="AA2176" s="2" t="s">
        <v>10342</v>
      </c>
      <c r="AB2176" s="2" t="s">
        <v>8443</v>
      </c>
      <c r="AC2176" s="2">
        <v>37.81</v>
      </c>
      <c r="AD2176" s="2">
        <v>83.69</v>
      </c>
      <c r="AE2176" s="2">
        <v>0</v>
      </c>
      <c r="AF2176" s="2" t="s">
        <v>18883</v>
      </c>
      <c r="AG2176" s="2" t="s">
        <v>3880</v>
      </c>
      <c r="AH2176" s="2" t="s">
        <v>18884</v>
      </c>
      <c r="AI2176" s="2">
        <v>6.97</v>
      </c>
      <c r="AJ2176" s="2">
        <v>17.528421602142402</v>
      </c>
      <c r="AK2176" s="2">
        <v>17.6468057662753</v>
      </c>
      <c r="AL2176" s="2">
        <v>17.659094971694898</v>
      </c>
      <c r="AM2176" s="2">
        <v>17.206522200349401</v>
      </c>
      <c r="AN2176" s="2">
        <v>17.031820503553401</v>
      </c>
      <c r="AO2176" s="2">
        <v>16.968576126969701</v>
      </c>
      <c r="AP2176" s="2">
        <v>17.100944601020299</v>
      </c>
      <c r="AQ2176" s="2">
        <v>16.478750821097599</v>
      </c>
      <c r="AR2176" s="2">
        <v>17.6693172073977</v>
      </c>
      <c r="AS2176" s="2">
        <v>17.447960261033899</v>
      </c>
      <c r="AT2176" s="2">
        <v>16.732703910284101</v>
      </c>
      <c r="AU2176" s="2">
        <v>16.744607610477502</v>
      </c>
      <c r="AV2176" s="2">
        <v>17.751629112513299</v>
      </c>
      <c r="AW2176" s="2">
        <v>16.1960512908346</v>
      </c>
      <c r="AX2176" s="2">
        <v>14.9430014610132</v>
      </c>
      <c r="AY2176" s="2">
        <v>16.9402755102283</v>
      </c>
      <c r="AZ2176" s="2">
        <v>17.25741067929</v>
      </c>
      <c r="BA2176" s="2">
        <v>16.149947325586101</v>
      </c>
      <c r="BB2176" s="2">
        <v>16.603874199981099</v>
      </c>
      <c r="BC2176" s="2">
        <v>18.7269114553593</v>
      </c>
      <c r="BD2176" s="2">
        <v>17.2157695871858</v>
      </c>
      <c r="BE2176" s="2">
        <v>17.2090095947881</v>
      </c>
      <c r="BF2176" s="2">
        <v>17.2270492712662</v>
      </c>
      <c r="BG2176" s="2">
        <v>14.567042816113901</v>
      </c>
      <c r="BH2176" s="2">
        <v>17.245500899323101</v>
      </c>
      <c r="BI2176" s="2">
        <v>15.647607387820599</v>
      </c>
      <c r="BJ2176" s="2">
        <v>16.589257885965999</v>
      </c>
      <c r="BK2176" s="2">
        <v>16.570016508498799</v>
      </c>
      <c r="BL2176" s="2">
        <v>16.833032007639599</v>
      </c>
      <c r="BM2176" s="2">
        <v>18.745586785226099</v>
      </c>
      <c r="BN2176" s="2">
        <v>17.5660677180147</v>
      </c>
      <c r="BO2176" s="2">
        <v>17.711059337771399</v>
      </c>
      <c r="BP2176" s="2">
        <v>14.235403219963899</v>
      </c>
      <c r="BQ2176" s="2">
        <v>16.5363310061486</v>
      </c>
      <c r="BR2176" s="2">
        <v>16.0099661373626</v>
      </c>
      <c r="BS2176" s="2">
        <v>16.814708125500001</v>
      </c>
      <c r="BT2176" s="2">
        <v>18.388948276837599</v>
      </c>
      <c r="BU2176" s="2">
        <v>17.7579531917265</v>
      </c>
      <c r="BV2176" s="2">
        <v>16.687004217105098</v>
      </c>
      <c r="BW2176" s="2">
        <v>16.047849849585301</v>
      </c>
      <c r="BX2176" s="2">
        <v>16.145386495730101</v>
      </c>
      <c r="BY2176" s="2">
        <v>15.8651612692155</v>
      </c>
      <c r="BZ2176" s="2">
        <v>15.905712524311999</v>
      </c>
      <c r="CA2176" s="2">
        <v>15.817651235036299</v>
      </c>
      <c r="CB2176" s="2">
        <v>15.094771312663299</v>
      </c>
      <c r="CC2176" s="2">
        <v>16.338806357156599</v>
      </c>
      <c r="CD2176" s="2">
        <v>15.9927836965251</v>
      </c>
      <c r="CE2176" s="2">
        <v>17.0885693214532</v>
      </c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</row>
    <row r="2177" spans="1:97">
      <c r="A2177" s="2" t="s">
        <v>18885</v>
      </c>
      <c r="B2177" s="2">
        <v>438.37824000000001</v>
      </c>
      <c r="C2177" s="2">
        <v>12.547000000000001</v>
      </c>
      <c r="D2177" s="2" t="s">
        <v>84</v>
      </c>
      <c r="E2177" s="2" t="s">
        <v>18886</v>
      </c>
      <c r="F2177" s="2" t="s">
        <v>18887</v>
      </c>
      <c r="G2177" s="2">
        <v>95</v>
      </c>
      <c r="H2177" s="3" t="str">
        <f>HYPERLINK("https://cloud.oebiotech.com/#/lm/network/95", "https://cloud.oebiotech.com/#/lm/network/95")</f>
        <v>https://cloud.oebiotech.com/#/lm/network/95</v>
      </c>
      <c r="I2177" s="2"/>
      <c r="J2177" s="2"/>
      <c r="K2177" s="2" t="s">
        <v>18888</v>
      </c>
      <c r="L2177" s="2">
        <v>44256495</v>
      </c>
      <c r="M2177" s="2"/>
      <c r="N2177" s="2"/>
      <c r="O2177" s="2"/>
      <c r="P2177" s="2"/>
      <c r="Q2177" s="2"/>
      <c r="R2177" s="2"/>
      <c r="S2177" s="2"/>
      <c r="T2177" s="2" t="s">
        <v>18889</v>
      </c>
      <c r="U2177" s="2" t="s">
        <v>18890</v>
      </c>
      <c r="V2177" s="2" t="s">
        <v>95</v>
      </c>
      <c r="W2177" s="2" t="s">
        <v>96</v>
      </c>
      <c r="X2177" s="2" t="s">
        <v>141</v>
      </c>
      <c r="Y2177" s="2" t="s">
        <v>98</v>
      </c>
      <c r="Z2177" s="2" t="s">
        <v>99</v>
      </c>
      <c r="AA2177" s="2" t="s">
        <v>142</v>
      </c>
      <c r="AB2177" s="2" t="s">
        <v>8443</v>
      </c>
      <c r="AC2177" s="2">
        <v>37.81</v>
      </c>
      <c r="AD2177" s="2">
        <v>89.75</v>
      </c>
      <c r="AE2177" s="2">
        <v>0</v>
      </c>
      <c r="AF2177" s="2" t="s">
        <v>18891</v>
      </c>
      <c r="AG2177" s="2" t="s">
        <v>3544</v>
      </c>
      <c r="AH2177" s="2" t="s">
        <v>18892</v>
      </c>
      <c r="AI2177" s="2">
        <v>1.1399999999999999</v>
      </c>
      <c r="AJ2177" s="2">
        <v>22.242279388754501</v>
      </c>
      <c r="AK2177" s="2">
        <v>21.8986056420881</v>
      </c>
      <c r="AL2177" s="2">
        <v>21.731629316320099</v>
      </c>
      <c r="AM2177" s="2">
        <v>22.0937608587043</v>
      </c>
      <c r="AN2177" s="2">
        <v>21.859977003626</v>
      </c>
      <c r="AO2177" s="2">
        <v>21.587598900428301</v>
      </c>
      <c r="AP2177" s="2">
        <v>21.796887426522801</v>
      </c>
      <c r="AQ2177" s="2">
        <v>21.745927006212401</v>
      </c>
      <c r="AR2177" s="2">
        <v>22.110984682042702</v>
      </c>
      <c r="AS2177" s="2">
        <v>21.9583436477002</v>
      </c>
      <c r="AT2177" s="2">
        <v>21.885610769311299</v>
      </c>
      <c r="AU2177" s="2">
        <v>21.598813445608101</v>
      </c>
      <c r="AV2177" s="2">
        <v>21.970796393511002</v>
      </c>
      <c r="AW2177" s="2">
        <v>21.922223993152599</v>
      </c>
      <c r="AX2177" s="2">
        <v>22.018222351210099</v>
      </c>
      <c r="AY2177" s="2">
        <v>22.102725801646301</v>
      </c>
      <c r="AZ2177" s="2">
        <v>22.0240585673018</v>
      </c>
      <c r="BA2177" s="2">
        <v>20.804862248829799</v>
      </c>
      <c r="BB2177" s="2">
        <v>22.021911493440101</v>
      </c>
      <c r="BC2177" s="2">
        <v>22.001297452027099</v>
      </c>
      <c r="BD2177" s="2">
        <v>21.933979378416801</v>
      </c>
      <c r="BE2177" s="2">
        <v>21.953544679649799</v>
      </c>
      <c r="BF2177" s="2">
        <v>21.756596870063301</v>
      </c>
      <c r="BG2177" s="2">
        <v>21.803062392828899</v>
      </c>
      <c r="BH2177" s="2">
        <v>22.0235476246602</v>
      </c>
      <c r="BI2177" s="2">
        <v>21.930340724665399</v>
      </c>
      <c r="BJ2177" s="2">
        <v>21.429661094297199</v>
      </c>
      <c r="BK2177" s="2">
        <v>21.896941967639201</v>
      </c>
      <c r="BL2177" s="2">
        <v>21.884028345485799</v>
      </c>
      <c r="BM2177" s="2">
        <v>22.016746790585898</v>
      </c>
      <c r="BN2177" s="2">
        <v>21.582981304234401</v>
      </c>
      <c r="BO2177" s="2">
        <v>21.026469092155398</v>
      </c>
      <c r="BP2177" s="2">
        <v>21.8615629348431</v>
      </c>
      <c r="BQ2177" s="2">
        <v>21.7195872039417</v>
      </c>
      <c r="BR2177" s="2">
        <v>22.078269909379301</v>
      </c>
      <c r="BS2177" s="2">
        <v>22.085323293476598</v>
      </c>
      <c r="BT2177" s="2">
        <v>21.873032654330999</v>
      </c>
      <c r="BU2177" s="2">
        <v>21.5058372556107</v>
      </c>
      <c r="BV2177" s="2">
        <v>20.809899089913699</v>
      </c>
      <c r="BW2177" s="2">
        <v>21.957127129079801</v>
      </c>
      <c r="BX2177" s="2">
        <v>21.806664149074098</v>
      </c>
      <c r="BY2177" s="2">
        <v>22.0249015605952</v>
      </c>
      <c r="BZ2177" s="2">
        <v>21.965665468760999</v>
      </c>
      <c r="CA2177" s="2">
        <v>21.969123345609798</v>
      </c>
      <c r="CB2177" s="2">
        <v>21.693483409767101</v>
      </c>
      <c r="CC2177" s="2">
        <v>20.788263476472999</v>
      </c>
      <c r="CD2177" s="2">
        <v>21.339566943142099</v>
      </c>
      <c r="CE2177" s="2">
        <v>21.496949241820399</v>
      </c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</row>
    <row r="2178" spans="1:97">
      <c r="A2178" s="2" t="s">
        <v>18893</v>
      </c>
      <c r="B2178" s="2">
        <v>263.05543999999998</v>
      </c>
      <c r="C2178" s="2">
        <v>4.2949999999999999</v>
      </c>
      <c r="D2178" s="2" t="s">
        <v>84</v>
      </c>
      <c r="E2178" s="2" t="s">
        <v>18894</v>
      </c>
      <c r="F2178" s="2" t="s">
        <v>18895</v>
      </c>
      <c r="G2178" s="2">
        <v>56928</v>
      </c>
      <c r="H2178" s="3" t="str">
        <f>HYPERLINK("https://cloud.oebiotech.com/#/lm/network/56928", "https://cloud.oebiotech.com/#/lm/network/56928")</f>
        <v>https://cloud.oebiotech.com/#/lm/network/56928</v>
      </c>
      <c r="I2178" s="2" t="s">
        <v>18896</v>
      </c>
      <c r="J2178" s="2">
        <v>68038</v>
      </c>
      <c r="K2178" s="2"/>
      <c r="L2178" s="2">
        <v>68213</v>
      </c>
      <c r="M2178" s="2" t="s">
        <v>18897</v>
      </c>
      <c r="N2178" s="2"/>
      <c r="O2178" s="2"/>
      <c r="P2178" s="2"/>
      <c r="Q2178" s="2"/>
      <c r="R2178" s="2"/>
      <c r="S2178" s="2" t="s">
        <v>18898</v>
      </c>
      <c r="T2178" s="2" t="s">
        <v>18899</v>
      </c>
      <c r="U2178" s="2" t="s">
        <v>18900</v>
      </c>
      <c r="V2178" s="2" t="s">
        <v>385</v>
      </c>
      <c r="W2178" s="2" t="s">
        <v>386</v>
      </c>
      <c r="X2178" s="2" t="s">
        <v>3600</v>
      </c>
      <c r="Y2178" s="2" t="s">
        <v>388</v>
      </c>
      <c r="Z2178" s="2" t="s">
        <v>389</v>
      </c>
      <c r="AA2178" s="2" t="s">
        <v>3601</v>
      </c>
      <c r="AB2178" s="2" t="s">
        <v>8443</v>
      </c>
      <c r="AC2178" s="2">
        <v>37.799999999999997</v>
      </c>
      <c r="AD2178" s="2">
        <v>91.62</v>
      </c>
      <c r="AE2178" s="2">
        <v>0</v>
      </c>
      <c r="AF2178" s="2" t="s">
        <v>5614</v>
      </c>
      <c r="AG2178" s="2" t="s">
        <v>103</v>
      </c>
      <c r="AH2178" s="2" t="s">
        <v>18901</v>
      </c>
      <c r="AI2178" s="2">
        <v>-1.52</v>
      </c>
      <c r="AJ2178" s="2">
        <v>18.904573561478699</v>
      </c>
      <c r="AK2178" s="2">
        <v>18.7951309505066</v>
      </c>
      <c r="AL2178" s="2">
        <v>18.681749431345299</v>
      </c>
      <c r="AM2178" s="2">
        <v>19.0343960654954</v>
      </c>
      <c r="AN2178" s="2">
        <v>19.0187898866034</v>
      </c>
      <c r="AO2178" s="2">
        <v>19.080233614600999</v>
      </c>
      <c r="AP2178" s="2">
        <v>19.239749711017101</v>
      </c>
      <c r="AQ2178" s="2">
        <v>19.2096277994101</v>
      </c>
      <c r="AR2178" s="2">
        <v>18.1423184489039</v>
      </c>
      <c r="AS2178" s="2">
        <v>18.531104150681902</v>
      </c>
      <c r="AT2178" s="2">
        <v>18.469776976134099</v>
      </c>
      <c r="AU2178" s="2">
        <v>16.011398932209001</v>
      </c>
      <c r="AV2178" s="2">
        <v>19.2370206655822</v>
      </c>
      <c r="AW2178" s="2">
        <v>18.471930378035999</v>
      </c>
      <c r="AX2178" s="2">
        <v>19.3793712803357</v>
      </c>
      <c r="AY2178" s="2">
        <v>18.960278363287902</v>
      </c>
      <c r="AZ2178" s="2">
        <v>18.350855466075</v>
      </c>
      <c r="BA2178" s="2">
        <v>18.511645072940301</v>
      </c>
      <c r="BB2178" s="2">
        <v>19.553352215329902</v>
      </c>
      <c r="BC2178" s="2">
        <v>18.414848471083101</v>
      </c>
      <c r="BD2178" s="2">
        <v>18.890850098527899</v>
      </c>
      <c r="BE2178" s="2">
        <v>19.669315667434599</v>
      </c>
      <c r="BF2178" s="2">
        <v>19.039086920380601</v>
      </c>
      <c r="BG2178" s="2">
        <v>19.5693895824656</v>
      </c>
      <c r="BH2178" s="2">
        <v>18.763218073666401</v>
      </c>
      <c r="BI2178" s="2">
        <v>19.978412091583799</v>
      </c>
      <c r="BJ2178" s="2">
        <v>18.7759923722877</v>
      </c>
      <c r="BK2178" s="2">
        <v>18.759435872618401</v>
      </c>
      <c r="BL2178" s="2">
        <v>19.191236729957701</v>
      </c>
      <c r="BM2178" s="2">
        <v>18.108370390381701</v>
      </c>
      <c r="BN2178" s="2">
        <v>18.520860730900399</v>
      </c>
      <c r="BO2178" s="2">
        <v>18.846619899206701</v>
      </c>
      <c r="BP2178" s="2">
        <v>19.203067250871602</v>
      </c>
      <c r="BQ2178" s="2">
        <v>18.7724410374779</v>
      </c>
      <c r="BR2178" s="2">
        <v>18.7592448616703</v>
      </c>
      <c r="BS2178" s="2">
        <v>18.344680329721001</v>
      </c>
      <c r="BT2178" s="2">
        <v>18.880858725795601</v>
      </c>
      <c r="BU2178" s="2">
        <v>18.587155093878899</v>
      </c>
      <c r="BV2178" s="2">
        <v>18.948515726936701</v>
      </c>
      <c r="BW2178" s="2">
        <v>19.000485624781099</v>
      </c>
      <c r="BX2178" s="2">
        <v>18.4500277294025</v>
      </c>
      <c r="BY2178" s="2">
        <v>19.696480089591901</v>
      </c>
      <c r="BZ2178" s="2">
        <v>19.198586546205199</v>
      </c>
      <c r="CA2178" s="2">
        <v>19.107464726316099</v>
      </c>
      <c r="CB2178" s="2">
        <v>19.639683551778401</v>
      </c>
      <c r="CC2178" s="2">
        <v>19.732453960964399</v>
      </c>
      <c r="CD2178" s="2">
        <v>19.372260984465498</v>
      </c>
      <c r="CE2178" s="2">
        <v>19.838002246849499</v>
      </c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</row>
    <row r="2179" spans="1:97">
      <c r="A2179" s="2" t="s">
        <v>18902</v>
      </c>
      <c r="B2179" s="2">
        <v>274.00317000000001</v>
      </c>
      <c r="C2179" s="2">
        <v>4.2409999999999997</v>
      </c>
      <c r="D2179" s="2" t="s">
        <v>84</v>
      </c>
      <c r="E2179" s="2" t="s">
        <v>18903</v>
      </c>
      <c r="F2179" s="2" t="s">
        <v>18904</v>
      </c>
      <c r="G2179" s="2">
        <v>205372</v>
      </c>
      <c r="H2179" s="3" t="str">
        <f>HYPERLINK("https://cloud.oebiotech.com/#/lm/network/205372", "https://cloud.oebiotech.com/#/lm/network/205372")</f>
        <v>https://cloud.oebiotech.com/#/lm/network/205372</v>
      </c>
      <c r="I2179" s="2" t="s">
        <v>18905</v>
      </c>
      <c r="J2179" s="2"/>
      <c r="K2179" s="2"/>
      <c r="L2179" s="2">
        <v>11097730</v>
      </c>
      <c r="M2179" s="2"/>
      <c r="N2179" s="2"/>
      <c r="O2179" s="2"/>
      <c r="P2179" s="2"/>
      <c r="Q2179" s="2"/>
      <c r="R2179" s="2"/>
      <c r="S2179" s="2"/>
      <c r="T2179" s="2" t="s">
        <v>18906</v>
      </c>
      <c r="U2179" s="2" t="s">
        <v>18907</v>
      </c>
      <c r="V2179" s="2" t="s">
        <v>385</v>
      </c>
      <c r="W2179" s="2" t="s">
        <v>386</v>
      </c>
      <c r="X2179" s="2" t="s">
        <v>8386</v>
      </c>
      <c r="Y2179" s="2" t="s">
        <v>388</v>
      </c>
      <c r="Z2179" s="2" t="s">
        <v>389</v>
      </c>
      <c r="AA2179" s="2" t="s">
        <v>8387</v>
      </c>
      <c r="AB2179" s="2" t="s">
        <v>5118</v>
      </c>
      <c r="AC2179" s="2">
        <v>37.79</v>
      </c>
      <c r="AD2179" s="2">
        <v>49.59</v>
      </c>
      <c r="AE2179" s="2">
        <v>49.22</v>
      </c>
      <c r="AF2179" s="2" t="s">
        <v>18908</v>
      </c>
      <c r="AG2179" s="2" t="s">
        <v>103</v>
      </c>
      <c r="AH2179" s="2" t="s">
        <v>18909</v>
      </c>
      <c r="AI2179" s="2">
        <v>0</v>
      </c>
      <c r="AJ2179" s="2">
        <v>18.957861957258199</v>
      </c>
      <c r="AK2179" s="2">
        <v>19.324202306096701</v>
      </c>
      <c r="AL2179" s="2">
        <v>19.468658066467299</v>
      </c>
      <c r="AM2179" s="2">
        <v>19.242378931874399</v>
      </c>
      <c r="AN2179" s="2">
        <v>19.097692600185699</v>
      </c>
      <c r="AO2179" s="2">
        <v>19.255625341893499</v>
      </c>
      <c r="AP2179" s="2">
        <v>18.968529610509702</v>
      </c>
      <c r="AQ2179" s="2">
        <v>19.219657574873001</v>
      </c>
      <c r="AR2179" s="2">
        <v>15.933216685711599</v>
      </c>
      <c r="AS2179" s="2">
        <v>16.647095936394798</v>
      </c>
      <c r="AT2179" s="2">
        <v>17.6071548069682</v>
      </c>
      <c r="AU2179" s="2">
        <v>18.826029279864802</v>
      </c>
      <c r="AV2179" s="2">
        <v>19.2268639521144</v>
      </c>
      <c r="AW2179" s="2">
        <v>18.478128085112701</v>
      </c>
      <c r="AX2179" s="2">
        <v>18.930480597964799</v>
      </c>
      <c r="AY2179" s="2">
        <v>18.998952534424099</v>
      </c>
      <c r="AZ2179" s="2">
        <v>18.334444218059801</v>
      </c>
      <c r="BA2179" s="2">
        <v>18.031927736659199</v>
      </c>
      <c r="BB2179" s="2">
        <v>19.5466467164992</v>
      </c>
      <c r="BC2179" s="2">
        <v>16.6553856525627</v>
      </c>
      <c r="BD2179" s="2">
        <v>19.1557356913736</v>
      </c>
      <c r="BE2179" s="2">
        <v>21.333886276520801</v>
      </c>
      <c r="BF2179" s="2">
        <v>18.0458578132579</v>
      </c>
      <c r="BG2179" s="2">
        <v>19.566888382800499</v>
      </c>
      <c r="BH2179" s="2">
        <v>18.781538150187</v>
      </c>
      <c r="BI2179" s="2">
        <v>21.3739936153485</v>
      </c>
      <c r="BJ2179" s="2">
        <v>19.114680420354698</v>
      </c>
      <c r="BK2179" s="2">
        <v>19.4818001410327</v>
      </c>
      <c r="BL2179" s="2">
        <v>18.8759249448504</v>
      </c>
      <c r="BM2179" s="2">
        <v>19.115535696686099</v>
      </c>
      <c r="BN2179" s="2">
        <v>18.883179279981601</v>
      </c>
      <c r="BO2179" s="2">
        <v>18.452151817405099</v>
      </c>
      <c r="BP2179" s="2">
        <v>19.596460494536402</v>
      </c>
      <c r="BQ2179" s="2">
        <v>18.7041279297286</v>
      </c>
      <c r="BR2179" s="2">
        <v>18.760222863532402</v>
      </c>
      <c r="BS2179" s="2">
        <v>18.841711355336699</v>
      </c>
      <c r="BT2179" s="2">
        <v>18.8419008738509</v>
      </c>
      <c r="BU2179" s="2">
        <v>17.3431158661875</v>
      </c>
      <c r="BV2179" s="2">
        <v>18.2676366510278</v>
      </c>
      <c r="BW2179" s="2">
        <v>13.4217085174212</v>
      </c>
      <c r="BX2179" s="2">
        <v>18.124841176886299</v>
      </c>
      <c r="BY2179" s="2">
        <v>21.534666428871802</v>
      </c>
      <c r="BZ2179" s="2">
        <v>18.163508707242102</v>
      </c>
      <c r="CA2179" s="2">
        <v>17.968667186894699</v>
      </c>
      <c r="CB2179" s="2">
        <v>18.365969011289899</v>
      </c>
      <c r="CC2179" s="2">
        <v>19.045610474805098</v>
      </c>
      <c r="CD2179" s="2">
        <v>18.997929715323501</v>
      </c>
      <c r="CE2179" s="2">
        <v>14.948246758598399</v>
      </c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</row>
    <row r="2180" spans="1:97">
      <c r="A2180" s="2" t="s">
        <v>18910</v>
      </c>
      <c r="B2180" s="2">
        <v>276.12612000000001</v>
      </c>
      <c r="C2180" s="2">
        <v>4.6189999999999998</v>
      </c>
      <c r="D2180" s="2" t="s">
        <v>84</v>
      </c>
      <c r="E2180" s="2" t="s">
        <v>18911</v>
      </c>
      <c r="F2180" s="2"/>
      <c r="G2180" s="2">
        <v>595496</v>
      </c>
      <c r="H2180" s="3" t="str">
        <f>HYPERLINK("https://cloud.oebiotech.com/#/lm/network/595496", "https://cloud.oebiotech.com/#/lm/network/595496")</f>
        <v>https://cloud.oebiotech.com/#/lm/network/595496</v>
      </c>
      <c r="I2180" s="2"/>
      <c r="J2180" s="2"/>
      <c r="K2180" s="2"/>
      <c r="L2180" s="2">
        <v>13356592</v>
      </c>
      <c r="M2180" s="2"/>
      <c r="N2180" s="2"/>
      <c r="O2180" s="2"/>
      <c r="P2180" s="2"/>
      <c r="Q2180" s="2"/>
      <c r="R2180" s="2"/>
      <c r="S2180" s="2"/>
      <c r="T2180" s="2" t="s">
        <v>18912</v>
      </c>
      <c r="U2180" s="2" t="s">
        <v>18913</v>
      </c>
      <c r="V2180" s="2" t="s">
        <v>115</v>
      </c>
      <c r="W2180" s="2" t="s">
        <v>613</v>
      </c>
      <c r="X2180" s="2" t="s">
        <v>614</v>
      </c>
      <c r="Y2180" s="2" t="s">
        <v>118</v>
      </c>
      <c r="Z2180" s="2" t="s">
        <v>615</v>
      </c>
      <c r="AA2180" s="2" t="s">
        <v>616</v>
      </c>
      <c r="AB2180" s="2" t="s">
        <v>8443</v>
      </c>
      <c r="AC2180" s="2">
        <v>37.78</v>
      </c>
      <c r="AD2180" s="2">
        <v>89.36</v>
      </c>
      <c r="AE2180" s="2">
        <v>0</v>
      </c>
      <c r="AF2180" s="2" t="s">
        <v>18914</v>
      </c>
      <c r="AG2180" s="2" t="s">
        <v>132</v>
      </c>
      <c r="AH2180" s="2" t="s">
        <v>18915</v>
      </c>
      <c r="AI2180" s="2">
        <v>1.0900000000000001</v>
      </c>
      <c r="AJ2180" s="2">
        <v>18.0475740981434</v>
      </c>
      <c r="AK2180" s="2">
        <v>18.407199995227302</v>
      </c>
      <c r="AL2180" s="2">
        <v>18.037472044006702</v>
      </c>
      <c r="AM2180" s="2">
        <v>17.9587842349078</v>
      </c>
      <c r="AN2180" s="2">
        <v>18.440477911648902</v>
      </c>
      <c r="AO2180" s="2">
        <v>18.333890970407399</v>
      </c>
      <c r="AP2180" s="2">
        <v>18.1364581409869</v>
      </c>
      <c r="AQ2180" s="2">
        <v>18.161357434107899</v>
      </c>
      <c r="AR2180" s="2">
        <v>17.749928923202599</v>
      </c>
      <c r="AS2180" s="2">
        <v>17.144274258979198</v>
      </c>
      <c r="AT2180" s="2">
        <v>17.1083222986938</v>
      </c>
      <c r="AU2180" s="2">
        <v>17.2797756930131</v>
      </c>
      <c r="AV2180" s="2">
        <v>16.744237583211799</v>
      </c>
      <c r="AW2180" s="2">
        <v>17.842454885414</v>
      </c>
      <c r="AX2180" s="2">
        <v>16.192372576655099</v>
      </c>
      <c r="AY2180" s="2">
        <v>17.405932298189999</v>
      </c>
      <c r="AZ2180" s="2">
        <v>17.3325820726978</v>
      </c>
      <c r="BA2180" s="2">
        <v>17.794890429170401</v>
      </c>
      <c r="BB2180" s="2">
        <v>17.417218543548898</v>
      </c>
      <c r="BC2180" s="2">
        <v>18.8820752955708</v>
      </c>
      <c r="BD2180" s="2">
        <v>16.428774312259801</v>
      </c>
      <c r="BE2180" s="2">
        <v>14.135156948784701</v>
      </c>
      <c r="BF2180" s="2">
        <v>18.0323610559408</v>
      </c>
      <c r="BG2180" s="2">
        <v>16.4632171803723</v>
      </c>
      <c r="BH2180" s="2">
        <v>16.685255797213401</v>
      </c>
      <c r="BI2180" s="2">
        <v>15.9330960937863</v>
      </c>
      <c r="BJ2180" s="2">
        <v>16.564940331514102</v>
      </c>
      <c r="BK2180" s="2">
        <v>16.0725310408788</v>
      </c>
      <c r="BL2180" s="2">
        <v>16.917723455823602</v>
      </c>
      <c r="BM2180" s="2">
        <v>16.9191664061129</v>
      </c>
      <c r="BN2180" s="2">
        <v>16.021341131541799</v>
      </c>
      <c r="BO2180" s="2">
        <v>16.264534415167699</v>
      </c>
      <c r="BP2180" s="2">
        <v>15.1140615450698</v>
      </c>
      <c r="BQ2180" s="2">
        <v>17.0370343569918</v>
      </c>
      <c r="BR2180" s="2">
        <v>17.996753720738901</v>
      </c>
      <c r="BS2180" s="2">
        <v>17.1029816130815</v>
      </c>
      <c r="BT2180" s="2">
        <v>17.8423873606196</v>
      </c>
      <c r="BU2180" s="2">
        <v>16.859723191178201</v>
      </c>
      <c r="BV2180" s="2">
        <v>17.919103600443201</v>
      </c>
      <c r="BW2180" s="2">
        <v>17.240147713840301</v>
      </c>
      <c r="BX2180" s="2">
        <v>17.189076692691799</v>
      </c>
      <c r="BY2180" s="2">
        <v>15.486736052807499</v>
      </c>
      <c r="BZ2180" s="2">
        <v>17.1903359116674</v>
      </c>
      <c r="CA2180" s="2">
        <v>17.3038776724275</v>
      </c>
      <c r="CB2180" s="2">
        <v>17.063126868451199</v>
      </c>
      <c r="CC2180" s="2">
        <v>16.964276331379398</v>
      </c>
      <c r="CD2180" s="2">
        <v>16.196446522826498</v>
      </c>
      <c r="CE2180" s="2">
        <v>17.7123970886291</v>
      </c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</row>
    <row r="2181" spans="1:97">
      <c r="A2181" s="2" t="s">
        <v>18916</v>
      </c>
      <c r="B2181" s="2">
        <v>99.008489999999995</v>
      </c>
      <c r="C2181" s="2">
        <v>4.7859999999999996</v>
      </c>
      <c r="D2181" s="2" t="s">
        <v>146</v>
      </c>
      <c r="E2181" s="2" t="s">
        <v>18917</v>
      </c>
      <c r="F2181" s="2" t="s">
        <v>18918</v>
      </c>
      <c r="G2181" s="2">
        <v>55811</v>
      </c>
      <c r="H2181" s="3" t="str">
        <f>HYPERLINK("https://cloud.oebiotech.com/#/lm/network/55811", "https://cloud.oebiotech.com/#/lm/network/55811")</f>
        <v>https://cloud.oebiotech.com/#/lm/network/55811</v>
      </c>
      <c r="I2181" s="2" t="s">
        <v>18919</v>
      </c>
      <c r="J2181" s="2">
        <v>87493</v>
      </c>
      <c r="K2181" s="2"/>
      <c r="L2181" s="2">
        <v>11963036</v>
      </c>
      <c r="M2181" s="2"/>
      <c r="N2181" s="2"/>
      <c r="O2181" s="2"/>
      <c r="P2181" s="2"/>
      <c r="Q2181" s="2"/>
      <c r="R2181" s="2"/>
      <c r="S2181" s="2" t="s">
        <v>18920</v>
      </c>
      <c r="T2181" s="2" t="s">
        <v>18921</v>
      </c>
      <c r="U2181" s="2" t="s">
        <v>18922</v>
      </c>
      <c r="V2181" s="2" t="s">
        <v>115</v>
      </c>
      <c r="W2181" s="2" t="s">
        <v>403</v>
      </c>
      <c r="X2181" s="2" t="s">
        <v>1905</v>
      </c>
      <c r="Y2181" s="2" t="s">
        <v>118</v>
      </c>
      <c r="Z2181" s="2" t="s">
        <v>405</v>
      </c>
      <c r="AA2181" s="2" t="s">
        <v>1906</v>
      </c>
      <c r="AB2181" s="2" t="s">
        <v>8443</v>
      </c>
      <c r="AC2181" s="2">
        <v>37.78</v>
      </c>
      <c r="AD2181" s="2">
        <v>97.55</v>
      </c>
      <c r="AE2181" s="2">
        <v>0</v>
      </c>
      <c r="AF2181" s="2" t="s">
        <v>18923</v>
      </c>
      <c r="AG2181" s="2" t="s">
        <v>993</v>
      </c>
      <c r="AH2181" s="2" t="s">
        <v>6141</v>
      </c>
      <c r="AI2181" s="2">
        <v>-2.73</v>
      </c>
      <c r="AJ2181" s="2">
        <v>21.3359867979892</v>
      </c>
      <c r="AK2181" s="2">
        <v>21.561801405678999</v>
      </c>
      <c r="AL2181" s="2">
        <v>21.383530228116399</v>
      </c>
      <c r="AM2181" s="2">
        <v>20.9664952355397</v>
      </c>
      <c r="AN2181" s="2">
        <v>21.144419316758398</v>
      </c>
      <c r="AO2181" s="2">
        <v>21.407641318568199</v>
      </c>
      <c r="AP2181" s="2">
        <v>21.2475799493156</v>
      </c>
      <c r="AQ2181" s="2">
        <v>20.694504643245502</v>
      </c>
      <c r="AR2181" s="2">
        <v>20.588022763599</v>
      </c>
      <c r="AS2181" s="2">
        <v>20.726211564020002</v>
      </c>
      <c r="AT2181" s="2">
        <v>21.319401696115101</v>
      </c>
      <c r="AU2181" s="2">
        <v>21.023381079889599</v>
      </c>
      <c r="AV2181" s="2">
        <v>21.320539711416298</v>
      </c>
      <c r="AW2181" s="2">
        <v>20.765036485267999</v>
      </c>
      <c r="AX2181" s="2">
        <v>22.5119247321533</v>
      </c>
      <c r="AY2181" s="2">
        <v>21.432149934336</v>
      </c>
      <c r="AZ2181" s="2">
        <v>21.045115637313</v>
      </c>
      <c r="BA2181" s="2">
        <v>22.617407021560702</v>
      </c>
      <c r="BB2181" s="2">
        <v>20.968989414972199</v>
      </c>
      <c r="BC2181" s="2">
        <v>20.830260788910898</v>
      </c>
      <c r="BD2181" s="2">
        <v>21.3109722735371</v>
      </c>
      <c r="BE2181" s="2">
        <v>21.663007162701</v>
      </c>
      <c r="BF2181" s="2">
        <v>21.852573828687898</v>
      </c>
      <c r="BG2181" s="2">
        <v>21.389952631471601</v>
      </c>
      <c r="BH2181" s="2">
        <v>20.4793044412848</v>
      </c>
      <c r="BI2181" s="2">
        <v>23.1569624996574</v>
      </c>
      <c r="BJ2181" s="2">
        <v>20.7400987430652</v>
      </c>
      <c r="BK2181" s="2">
        <v>20.260960352768201</v>
      </c>
      <c r="BL2181" s="2">
        <v>20.3710605313508</v>
      </c>
      <c r="BM2181" s="2">
        <v>21.025994069147401</v>
      </c>
      <c r="BN2181" s="2">
        <v>20.7528171052187</v>
      </c>
      <c r="BO2181" s="2">
        <v>22.3556088315671</v>
      </c>
      <c r="BP2181" s="2">
        <v>20.779046966280202</v>
      </c>
      <c r="BQ2181" s="2">
        <v>21.313727749041199</v>
      </c>
      <c r="BR2181" s="2">
        <v>22.578516804301401</v>
      </c>
      <c r="BS2181" s="2">
        <v>21.438048034129999</v>
      </c>
      <c r="BT2181" s="2">
        <v>20.6600243484285</v>
      </c>
      <c r="BU2181" s="2">
        <v>22.062405789392599</v>
      </c>
      <c r="BV2181" s="2">
        <v>21.797856551787699</v>
      </c>
      <c r="BW2181" s="2">
        <v>20.8253215790646</v>
      </c>
      <c r="BX2181" s="2">
        <v>20.731853809757201</v>
      </c>
      <c r="BY2181" s="2">
        <v>21.073167522208699</v>
      </c>
      <c r="BZ2181" s="2">
        <v>21.125115909677501</v>
      </c>
      <c r="CA2181" s="2">
        <v>21.703877258027902</v>
      </c>
      <c r="CB2181" s="2">
        <v>20.383666707740399</v>
      </c>
      <c r="CC2181" s="2">
        <v>21.937871362100299</v>
      </c>
      <c r="CD2181" s="2">
        <v>20.5641789608135</v>
      </c>
      <c r="CE2181" s="2">
        <v>20.280067165608202</v>
      </c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</row>
    <row r="2182" spans="1:97">
      <c r="A2182" s="2" t="s">
        <v>18924</v>
      </c>
      <c r="B2182" s="2">
        <v>241.15434999999999</v>
      </c>
      <c r="C2182" s="2">
        <v>0.79500000000000004</v>
      </c>
      <c r="D2182" s="2" t="s">
        <v>84</v>
      </c>
      <c r="E2182" s="2" t="s">
        <v>18925</v>
      </c>
      <c r="F2182" s="2" t="s">
        <v>18926</v>
      </c>
      <c r="G2182" s="2">
        <v>210959</v>
      </c>
      <c r="H2182" s="3" t="str">
        <f>HYPERLINK("https://cloud.oebiotech.com/#/lm/network/210959", "https://cloud.oebiotech.com/#/lm/network/210959")</f>
        <v>https://cloud.oebiotech.com/#/lm/network/210959</v>
      </c>
      <c r="I2182" s="2" t="s">
        <v>18927</v>
      </c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 t="s">
        <v>18928</v>
      </c>
      <c r="U2182" s="2" t="s">
        <v>18929</v>
      </c>
      <c r="V2182" s="2" t="s">
        <v>385</v>
      </c>
      <c r="W2182" s="2" t="s">
        <v>3319</v>
      </c>
      <c r="X2182" s="2" t="s">
        <v>4101</v>
      </c>
      <c r="Y2182" s="2" t="s">
        <v>388</v>
      </c>
      <c r="Z2182" s="2" t="s">
        <v>3321</v>
      </c>
      <c r="AA2182" s="2" t="s">
        <v>4102</v>
      </c>
      <c r="AB2182" s="2" t="s">
        <v>8443</v>
      </c>
      <c r="AC2182" s="2">
        <v>37.770000000000003</v>
      </c>
      <c r="AD2182" s="2">
        <v>92.17</v>
      </c>
      <c r="AE2182" s="2">
        <v>0</v>
      </c>
      <c r="AF2182" s="2" t="s">
        <v>18930</v>
      </c>
      <c r="AG2182" s="2" t="s">
        <v>132</v>
      </c>
      <c r="AH2182" s="2" t="s">
        <v>8973</v>
      </c>
      <c r="AI2182" s="2">
        <v>1.66</v>
      </c>
      <c r="AJ2182" s="2">
        <v>22.4943478900671</v>
      </c>
      <c r="AK2182" s="2">
        <v>22.4136689192609</v>
      </c>
      <c r="AL2182" s="2">
        <v>22.430437286145501</v>
      </c>
      <c r="AM2182" s="2">
        <v>22.4005296900277</v>
      </c>
      <c r="AN2182" s="2">
        <v>22.347405973592402</v>
      </c>
      <c r="AO2182" s="2">
        <v>22.3697239191252</v>
      </c>
      <c r="AP2182" s="2">
        <v>22.2891014232701</v>
      </c>
      <c r="AQ2182" s="2">
        <v>22.550101744309501</v>
      </c>
      <c r="AR2182" s="2">
        <v>22.477199471368099</v>
      </c>
      <c r="AS2182" s="2">
        <v>22.097338755503699</v>
      </c>
      <c r="AT2182" s="2">
        <v>21.690198087845602</v>
      </c>
      <c r="AU2182" s="2">
        <v>21.9987723162225</v>
      </c>
      <c r="AV2182" s="2">
        <v>21.8144455647504</v>
      </c>
      <c r="AW2182" s="2">
        <v>22.629217581910201</v>
      </c>
      <c r="AX2182" s="2">
        <v>22.709445161485402</v>
      </c>
      <c r="AY2182" s="2">
        <v>21.821847276993701</v>
      </c>
      <c r="AZ2182" s="2">
        <v>22.246407072385299</v>
      </c>
      <c r="BA2182" s="2">
        <v>21.507189947375998</v>
      </c>
      <c r="BB2182" s="2">
        <v>22.503108548530999</v>
      </c>
      <c r="BC2182" s="2">
        <v>22.004206099629901</v>
      </c>
      <c r="BD2182" s="2">
        <v>22.2042165041997</v>
      </c>
      <c r="BE2182" s="2">
        <v>22.2615934607607</v>
      </c>
      <c r="BF2182" s="2">
        <v>23.349628986051499</v>
      </c>
      <c r="BG2182" s="2">
        <v>22.147412157948299</v>
      </c>
      <c r="BH2182" s="2">
        <v>21.9148624998776</v>
      </c>
      <c r="BI2182" s="2">
        <v>22.942398958796399</v>
      </c>
      <c r="BJ2182" s="2">
        <v>22.237872388755701</v>
      </c>
      <c r="BK2182" s="2">
        <v>22.097350520001299</v>
      </c>
      <c r="BL2182" s="2">
        <v>22.3071596123795</v>
      </c>
      <c r="BM2182" s="2">
        <v>21.793142400322299</v>
      </c>
      <c r="BN2182" s="2">
        <v>22.028776045978798</v>
      </c>
      <c r="BO2182" s="2">
        <v>22.437271197283501</v>
      </c>
      <c r="BP2182" s="2">
        <v>22.532721189463899</v>
      </c>
      <c r="BQ2182" s="2">
        <v>22.424564653098599</v>
      </c>
      <c r="BR2182" s="2">
        <v>22.0833205564366</v>
      </c>
      <c r="BS2182" s="2">
        <v>22.065224999267301</v>
      </c>
      <c r="BT2182" s="2">
        <v>22.467557867697799</v>
      </c>
      <c r="BU2182" s="2">
        <v>22.139600066040298</v>
      </c>
      <c r="BV2182" s="2">
        <v>21.874701464652201</v>
      </c>
      <c r="BW2182" s="2">
        <v>21.1900182550722</v>
      </c>
      <c r="BX2182" s="2">
        <v>22.4333379538465</v>
      </c>
      <c r="BY2182" s="2">
        <v>22.5475768645403</v>
      </c>
      <c r="BZ2182" s="2">
        <v>21.811993574992201</v>
      </c>
      <c r="CA2182" s="2">
        <v>23.833696648667601</v>
      </c>
      <c r="CB2182" s="2">
        <v>21.8443125952599</v>
      </c>
      <c r="CC2182" s="2">
        <v>22.3254532401074</v>
      </c>
      <c r="CD2182" s="2">
        <v>22.5328865984762</v>
      </c>
      <c r="CE2182" s="2">
        <v>22.378817648473898</v>
      </c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</row>
    <row r="2183" spans="1:97">
      <c r="A2183" s="2" t="s">
        <v>18931</v>
      </c>
      <c r="B2183" s="2">
        <v>333.14400999999998</v>
      </c>
      <c r="C2183" s="2">
        <v>5.52</v>
      </c>
      <c r="D2183" s="2" t="s">
        <v>84</v>
      </c>
      <c r="E2183" s="2" t="s">
        <v>18932</v>
      </c>
      <c r="F2183" s="2" t="s">
        <v>18933</v>
      </c>
      <c r="G2183" s="2">
        <v>198773</v>
      </c>
      <c r="H2183" s="3" t="str">
        <f>HYPERLINK("https://cloud.oebiotech.com/#/lm/network/198773", "https://cloud.oebiotech.com/#/lm/network/198773")</f>
        <v>https://cloud.oebiotech.com/#/lm/network/198773</v>
      </c>
      <c r="I2183" s="2" t="s">
        <v>18934</v>
      </c>
      <c r="J2183" s="2"/>
      <c r="K2183" s="2"/>
      <c r="L2183" s="2">
        <v>154481</v>
      </c>
      <c r="M2183" s="2"/>
      <c r="N2183" s="2"/>
      <c r="O2183" s="2"/>
      <c r="P2183" s="2"/>
      <c r="Q2183" s="2"/>
      <c r="R2183" s="2"/>
      <c r="S2183" s="2"/>
      <c r="T2183" s="2" t="s">
        <v>18935</v>
      </c>
      <c r="U2183" s="2" t="s">
        <v>18936</v>
      </c>
      <c r="V2183" s="2" t="s">
        <v>845</v>
      </c>
      <c r="W2183" s="2" t="s">
        <v>18439</v>
      </c>
      <c r="X2183" s="2" t="s">
        <v>18937</v>
      </c>
      <c r="Y2183" s="2" t="s">
        <v>847</v>
      </c>
      <c r="Z2183" s="2" t="s">
        <v>18441</v>
      </c>
      <c r="AA2183" s="2" t="s">
        <v>18938</v>
      </c>
      <c r="AB2183" s="2" t="s">
        <v>5118</v>
      </c>
      <c r="AC2183" s="2">
        <v>37.770000000000003</v>
      </c>
      <c r="AD2183" s="2">
        <v>74.05</v>
      </c>
      <c r="AE2183" s="2">
        <v>53.25</v>
      </c>
      <c r="AF2183" s="2" t="s">
        <v>18939</v>
      </c>
      <c r="AG2183" s="2" t="s">
        <v>1578</v>
      </c>
      <c r="AH2183" s="2" t="s">
        <v>18940</v>
      </c>
      <c r="AI2183" s="2">
        <v>6.3</v>
      </c>
      <c r="AJ2183" s="2">
        <v>19.579418754668001</v>
      </c>
      <c r="AK2183" s="2">
        <v>19.471317095674099</v>
      </c>
      <c r="AL2183" s="2">
        <v>19.388937559391401</v>
      </c>
      <c r="AM2183" s="2">
        <v>19.361210133604299</v>
      </c>
      <c r="AN2183" s="2">
        <v>19.7304373320043</v>
      </c>
      <c r="AO2183" s="2">
        <v>19.603079131461602</v>
      </c>
      <c r="AP2183" s="2">
        <v>19.9954446726966</v>
      </c>
      <c r="AQ2183" s="2">
        <v>20.193220860694101</v>
      </c>
      <c r="AR2183" s="2">
        <v>17.3611024816779</v>
      </c>
      <c r="AS2183" s="2">
        <v>18.934660613375002</v>
      </c>
      <c r="AT2183" s="2">
        <v>19.6431559112198</v>
      </c>
      <c r="AU2183" s="2">
        <v>9.6233145402724691</v>
      </c>
      <c r="AV2183" s="2">
        <v>18.116670784811099</v>
      </c>
      <c r="AW2183" s="2">
        <v>19.438285743791599</v>
      </c>
      <c r="AX2183" s="2">
        <v>19.531957806532599</v>
      </c>
      <c r="AY2183" s="2">
        <v>19.553945681155</v>
      </c>
      <c r="AZ2183" s="2">
        <v>18.3293768310965</v>
      </c>
      <c r="BA2183" s="2">
        <v>18.892636432737099</v>
      </c>
      <c r="BB2183" s="2">
        <v>21.183233903309201</v>
      </c>
      <c r="BC2183" s="2">
        <v>20.491533880784701</v>
      </c>
      <c r="BD2183" s="2">
        <v>17.8659401940313</v>
      </c>
      <c r="BE2183" s="2">
        <v>21.342266422747699</v>
      </c>
      <c r="BF2183" s="2">
        <v>18.446158962059201</v>
      </c>
      <c r="BG2183" s="2">
        <v>20.558234556945301</v>
      </c>
      <c r="BH2183" s="2">
        <v>19.500546771756198</v>
      </c>
      <c r="BI2183" s="2">
        <v>19.869242174792301</v>
      </c>
      <c r="BJ2183" s="2">
        <v>20.026262485351499</v>
      </c>
      <c r="BK2183" s="2">
        <v>18.544068845327999</v>
      </c>
      <c r="BL2183" s="2">
        <v>19.056573579797199</v>
      </c>
      <c r="BM2183" s="2">
        <v>17.343614628557798</v>
      </c>
      <c r="BN2183" s="2">
        <v>19.655149514784299</v>
      </c>
      <c r="BO2183" s="2">
        <v>19.979752487728302</v>
      </c>
      <c r="BP2183" s="2">
        <v>20.411952835487899</v>
      </c>
      <c r="BQ2183" s="2">
        <v>18.340442350879599</v>
      </c>
      <c r="BR2183" s="2">
        <v>20.417214298553901</v>
      </c>
      <c r="BS2183" s="2">
        <v>19.401362022651</v>
      </c>
      <c r="BT2183" s="2">
        <v>18.103402666136699</v>
      </c>
      <c r="BU2183" s="2">
        <v>19.623323293395</v>
      </c>
      <c r="BV2183" s="2">
        <v>19.643003546719399</v>
      </c>
      <c r="BW2183" s="2">
        <v>18.9161974068852</v>
      </c>
      <c r="BX2183" s="2">
        <v>18.372902502309501</v>
      </c>
      <c r="BY2183" s="2">
        <v>21.412951346999701</v>
      </c>
      <c r="BZ2183" s="2">
        <v>17.963628720157001</v>
      </c>
      <c r="CA2183" s="2">
        <v>19.192541069404999</v>
      </c>
      <c r="CB2183" s="2">
        <v>20.424250593682199</v>
      </c>
      <c r="CC2183" s="2">
        <v>19.040411845711901</v>
      </c>
      <c r="CD2183" s="2">
        <v>20.9528417491391</v>
      </c>
      <c r="CE2183" s="2">
        <v>19.899111446787401</v>
      </c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</row>
    <row r="2184" spans="1:97">
      <c r="A2184" s="2" t="s">
        <v>18941</v>
      </c>
      <c r="B2184" s="2">
        <v>320.08005000000003</v>
      </c>
      <c r="C2184" s="2">
        <v>7.4139999999999997</v>
      </c>
      <c r="D2184" s="2" t="s">
        <v>84</v>
      </c>
      <c r="E2184" s="2" t="s">
        <v>18942</v>
      </c>
      <c r="F2184" s="2" t="s">
        <v>18943</v>
      </c>
      <c r="G2184" s="2">
        <v>144403</v>
      </c>
      <c r="H2184" s="3" t="str">
        <f>HYPERLINK("https://cloud.oebiotech.com/#/lm/network/144403", "https://cloud.oebiotech.com/#/lm/network/144403")</f>
        <v>https://cloud.oebiotech.com/#/lm/network/144403</v>
      </c>
      <c r="I2184" s="2" t="s">
        <v>18944</v>
      </c>
      <c r="J2184" s="2"/>
      <c r="K2184" s="2"/>
      <c r="L2184" s="2">
        <v>131834093</v>
      </c>
      <c r="M2184" s="2"/>
      <c r="N2184" s="2"/>
      <c r="O2184" s="2"/>
      <c r="P2184" s="2"/>
      <c r="Q2184" s="2"/>
      <c r="R2184" s="2"/>
      <c r="S2184" s="2"/>
      <c r="T2184" s="2" t="s">
        <v>18945</v>
      </c>
      <c r="U2184" s="2" t="s">
        <v>18946</v>
      </c>
      <c r="V2184" s="2" t="s">
        <v>115</v>
      </c>
      <c r="W2184" s="2" t="s">
        <v>613</v>
      </c>
      <c r="X2184" s="2" t="s">
        <v>614</v>
      </c>
      <c r="Y2184" s="2" t="s">
        <v>118</v>
      </c>
      <c r="Z2184" s="2" t="s">
        <v>615</v>
      </c>
      <c r="AA2184" s="2" t="s">
        <v>616</v>
      </c>
      <c r="AB2184" s="2" t="s">
        <v>8443</v>
      </c>
      <c r="AC2184" s="2">
        <v>37.770000000000003</v>
      </c>
      <c r="AD2184" s="2">
        <v>88.85</v>
      </c>
      <c r="AE2184" s="2">
        <v>0</v>
      </c>
      <c r="AF2184" s="2" t="s">
        <v>5614</v>
      </c>
      <c r="AG2184" s="2" t="s">
        <v>132</v>
      </c>
      <c r="AH2184" s="2" t="s">
        <v>18947</v>
      </c>
      <c r="AI2184" s="2">
        <v>-0.94</v>
      </c>
      <c r="AJ2184" s="2">
        <v>18.334899125254999</v>
      </c>
      <c r="AK2184" s="2">
        <v>18.2487524466883</v>
      </c>
      <c r="AL2184" s="2">
        <v>18.1189397550636</v>
      </c>
      <c r="AM2184" s="2">
        <v>18.342017226155399</v>
      </c>
      <c r="AN2184" s="2">
        <v>18.006538881388899</v>
      </c>
      <c r="AO2184" s="2">
        <v>17.966514802175901</v>
      </c>
      <c r="AP2184" s="2">
        <v>18.1241122727379</v>
      </c>
      <c r="AQ2184" s="2">
        <v>18.387296977666399</v>
      </c>
      <c r="AR2184" s="2">
        <v>18.3187316779794</v>
      </c>
      <c r="AS2184" s="2">
        <v>16.573083672617301</v>
      </c>
      <c r="AT2184" s="2">
        <v>18.732818561474598</v>
      </c>
      <c r="AU2184" s="2">
        <v>18.019348239137798</v>
      </c>
      <c r="AV2184" s="2">
        <v>16.789790627606699</v>
      </c>
      <c r="AW2184" s="2">
        <v>18.7534009205669</v>
      </c>
      <c r="AX2184" s="2">
        <v>16.934404081516899</v>
      </c>
      <c r="AY2184" s="2">
        <v>17.513725822803199</v>
      </c>
      <c r="AZ2184" s="2">
        <v>16.7783496373936</v>
      </c>
      <c r="BA2184" s="2">
        <v>18.926877993192001</v>
      </c>
      <c r="BB2184" s="2">
        <v>18.215485222573399</v>
      </c>
      <c r="BC2184" s="2">
        <v>18.460484973578701</v>
      </c>
      <c r="BD2184" s="2">
        <v>18.598146701291</v>
      </c>
      <c r="BE2184" s="2">
        <v>17.471847286153</v>
      </c>
      <c r="BF2184" s="2">
        <v>17.4723547307056</v>
      </c>
      <c r="BG2184" s="2">
        <v>17.8731977624563</v>
      </c>
      <c r="BH2184" s="2">
        <v>18.143813263710399</v>
      </c>
      <c r="BI2184" s="2">
        <v>17.271552573474999</v>
      </c>
      <c r="BJ2184" s="2">
        <v>19.9106795439004</v>
      </c>
      <c r="BK2184" s="2">
        <v>18.774907292044301</v>
      </c>
      <c r="BL2184" s="2">
        <v>18.080305868366199</v>
      </c>
      <c r="BM2184" s="2">
        <v>17.731351318921298</v>
      </c>
      <c r="BN2184" s="2">
        <v>19.148765280977099</v>
      </c>
      <c r="BO2184" s="2">
        <v>18.641360064168602</v>
      </c>
      <c r="BP2184" s="2">
        <v>14.1703577763454</v>
      </c>
      <c r="BQ2184" s="2">
        <v>18.534321578756501</v>
      </c>
      <c r="BR2184" s="2">
        <v>17.566086230205201</v>
      </c>
      <c r="BS2184" s="2">
        <v>17.359564957109001</v>
      </c>
      <c r="BT2184" s="2">
        <v>19.616296353643101</v>
      </c>
      <c r="BU2184" s="2">
        <v>18.863444628296399</v>
      </c>
      <c r="BV2184" s="2">
        <v>18.068924143669499</v>
      </c>
      <c r="BW2184" s="2">
        <v>15.506907546052499</v>
      </c>
      <c r="BX2184" s="2">
        <v>18.3962776075679</v>
      </c>
      <c r="BY2184" s="2">
        <v>17.691434656478901</v>
      </c>
      <c r="BZ2184" s="2">
        <v>16.414586806826399</v>
      </c>
      <c r="CA2184" s="2">
        <v>17.897850004589699</v>
      </c>
      <c r="CB2184" s="2">
        <v>14.6051177572082</v>
      </c>
      <c r="CC2184" s="2">
        <v>18.531535553501701</v>
      </c>
      <c r="CD2184" s="2">
        <v>18.736676678412898</v>
      </c>
      <c r="CE2184" s="2">
        <v>18.758021304246402</v>
      </c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</row>
    <row r="2185" spans="1:97">
      <c r="A2185" s="2" t="s">
        <v>18948</v>
      </c>
      <c r="B2185" s="2">
        <v>295.11721999999997</v>
      </c>
      <c r="C2185" s="2">
        <v>9.8079999999999998</v>
      </c>
      <c r="D2185" s="2" t="s">
        <v>84</v>
      </c>
      <c r="E2185" s="2" t="s">
        <v>18949</v>
      </c>
      <c r="F2185" s="2" t="s">
        <v>18950</v>
      </c>
      <c r="G2185" s="2">
        <v>63072</v>
      </c>
      <c r="H2185" s="3" t="str">
        <f>HYPERLINK("https://cloud.oebiotech.com/#/lm/network/63072", "https://cloud.oebiotech.com/#/lm/network/63072")</f>
        <v>https://cloud.oebiotech.com/#/lm/network/63072</v>
      </c>
      <c r="I2185" s="2" t="s">
        <v>18951</v>
      </c>
      <c r="J2185" s="2"/>
      <c r="K2185" s="2"/>
      <c r="L2185" s="2">
        <v>85295949</v>
      </c>
      <c r="M2185" s="2"/>
      <c r="N2185" s="2"/>
      <c r="O2185" s="2"/>
      <c r="P2185" s="2"/>
      <c r="Q2185" s="2"/>
      <c r="R2185" s="2"/>
      <c r="S2185" s="2"/>
      <c r="T2185" s="2" t="s">
        <v>18952</v>
      </c>
      <c r="U2185" s="2" t="s">
        <v>18953</v>
      </c>
      <c r="V2185" s="2" t="s">
        <v>553</v>
      </c>
      <c r="W2185" s="2" t="s">
        <v>18954</v>
      </c>
      <c r="X2185" s="2" t="s">
        <v>375</v>
      </c>
      <c r="Y2185" s="2" t="s">
        <v>556</v>
      </c>
      <c r="Z2185" s="2" t="s">
        <v>18955</v>
      </c>
      <c r="AA2185" s="2"/>
      <c r="AB2185" s="2" t="s">
        <v>8443</v>
      </c>
      <c r="AC2185" s="2">
        <v>37.75</v>
      </c>
      <c r="AD2185" s="2">
        <v>90.55</v>
      </c>
      <c r="AE2185" s="2">
        <v>0</v>
      </c>
      <c r="AF2185" s="2" t="s">
        <v>5614</v>
      </c>
      <c r="AG2185" s="2" t="s">
        <v>103</v>
      </c>
      <c r="AH2185" s="2" t="s">
        <v>18956</v>
      </c>
      <c r="AI2185" s="2">
        <v>1.36</v>
      </c>
      <c r="AJ2185" s="2">
        <v>16.996547523817501</v>
      </c>
      <c r="AK2185" s="2">
        <v>17.813207756271101</v>
      </c>
      <c r="AL2185" s="2">
        <v>17.267651280064602</v>
      </c>
      <c r="AM2185" s="2">
        <v>16.947447457648</v>
      </c>
      <c r="AN2185" s="2">
        <v>17.613725735210899</v>
      </c>
      <c r="AO2185" s="2">
        <v>17.944072139521101</v>
      </c>
      <c r="AP2185" s="2">
        <v>17.6102389965742</v>
      </c>
      <c r="AQ2185" s="2">
        <v>17.955449273339099</v>
      </c>
      <c r="AR2185" s="2">
        <v>18.720290223683602</v>
      </c>
      <c r="AS2185" s="2">
        <v>16.381505774811998</v>
      </c>
      <c r="AT2185" s="2">
        <v>16.7679535857621</v>
      </c>
      <c r="AU2185" s="2">
        <v>16.491138303088398</v>
      </c>
      <c r="AV2185" s="2">
        <v>16.031628196113601</v>
      </c>
      <c r="AW2185" s="2">
        <v>17.1082470437273</v>
      </c>
      <c r="AX2185" s="2">
        <v>16.9710967962598</v>
      </c>
      <c r="AY2185" s="2">
        <v>16.928019910746102</v>
      </c>
      <c r="AZ2185" s="2">
        <v>16.1138886416385</v>
      </c>
      <c r="BA2185" s="2">
        <v>15.6283692110747</v>
      </c>
      <c r="BB2185" s="2">
        <v>17.3094953608536</v>
      </c>
      <c r="BC2185" s="2">
        <v>16.172352496554598</v>
      </c>
      <c r="BD2185" s="2">
        <v>16.744288047064099</v>
      </c>
      <c r="BE2185" s="2">
        <v>17.4128744556334</v>
      </c>
      <c r="BF2185" s="2">
        <v>15.982705755411599</v>
      </c>
      <c r="BG2185" s="2">
        <v>17.346704947532601</v>
      </c>
      <c r="BH2185" s="2">
        <v>16.452392478637599</v>
      </c>
      <c r="BI2185" s="2">
        <v>16.6464176568692</v>
      </c>
      <c r="BJ2185" s="2">
        <v>15.780495425857801</v>
      </c>
      <c r="BK2185" s="2">
        <v>16.735606527930901</v>
      </c>
      <c r="BL2185" s="2">
        <v>17.192440486633501</v>
      </c>
      <c r="BM2185" s="2">
        <v>16.399176435542199</v>
      </c>
      <c r="BN2185" s="2">
        <v>17.3220010026822</v>
      </c>
      <c r="BO2185" s="2">
        <v>16.380767625505101</v>
      </c>
      <c r="BP2185" s="2">
        <v>18.1912139060478</v>
      </c>
      <c r="BQ2185" s="2">
        <v>16.819644236296998</v>
      </c>
      <c r="BR2185" s="2">
        <v>16.017175311842301</v>
      </c>
      <c r="BS2185" s="2">
        <v>15.0649262892106</v>
      </c>
      <c r="BT2185" s="2">
        <v>16.462983069518099</v>
      </c>
      <c r="BU2185" s="2">
        <v>16.552498745946799</v>
      </c>
      <c r="BV2185" s="2">
        <v>16.821457859630499</v>
      </c>
      <c r="BW2185" s="2">
        <v>16.823961522715699</v>
      </c>
      <c r="BX2185" s="2">
        <v>15.781686024893499</v>
      </c>
      <c r="BY2185" s="2">
        <v>18.796159445975601</v>
      </c>
      <c r="BZ2185" s="2">
        <v>18.121987323452601</v>
      </c>
      <c r="CA2185" s="2">
        <v>16.037949267018899</v>
      </c>
      <c r="CB2185" s="2">
        <v>17.065376898459199</v>
      </c>
      <c r="CC2185" s="2">
        <v>15.5339951946856</v>
      </c>
      <c r="CD2185" s="2">
        <v>17.099019299322499</v>
      </c>
      <c r="CE2185" s="2">
        <v>16.8496710611117</v>
      </c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</row>
    <row r="2186" spans="1:97">
      <c r="A2186" s="2" t="s">
        <v>18957</v>
      </c>
      <c r="B2186" s="2">
        <v>670.93876999999998</v>
      </c>
      <c r="C2186" s="2">
        <v>5.4859999999999998</v>
      </c>
      <c r="D2186" s="2" t="s">
        <v>146</v>
      </c>
      <c r="E2186" s="2" t="s">
        <v>18958</v>
      </c>
      <c r="F2186" s="2" t="s">
        <v>18959</v>
      </c>
      <c r="G2186" s="2">
        <v>210871</v>
      </c>
      <c r="H2186" s="3" t="str">
        <f>HYPERLINK("https://cloud.oebiotech.com/#/lm/network/210871", "https://cloud.oebiotech.com/#/lm/network/210871")</f>
        <v>https://cloud.oebiotech.com/#/lm/network/210871</v>
      </c>
      <c r="I2186" s="2" t="s">
        <v>18960</v>
      </c>
      <c r="J2186" s="2">
        <v>356880</v>
      </c>
      <c r="K2186" s="2"/>
      <c r="L2186" s="2">
        <v>25863</v>
      </c>
      <c r="M2186" s="2"/>
      <c r="N2186" s="2"/>
      <c r="O2186" s="2"/>
      <c r="P2186" s="2"/>
      <c r="Q2186" s="2"/>
      <c r="R2186" s="2"/>
      <c r="S2186" s="2"/>
      <c r="T2186" s="2" t="s">
        <v>18961</v>
      </c>
      <c r="U2186" s="2" t="s">
        <v>18962</v>
      </c>
      <c r="V2186" s="2" t="s">
        <v>385</v>
      </c>
      <c r="W2186" s="2" t="s">
        <v>11163</v>
      </c>
      <c r="X2186" s="2" t="s">
        <v>11925</v>
      </c>
      <c r="Y2186" s="2" t="s">
        <v>388</v>
      </c>
      <c r="Z2186" s="2" t="s">
        <v>11164</v>
      </c>
      <c r="AA2186" s="2" t="s">
        <v>11926</v>
      </c>
      <c r="AB2186" s="2" t="s">
        <v>8443</v>
      </c>
      <c r="AC2186" s="2">
        <v>37.74</v>
      </c>
      <c r="AD2186" s="2">
        <v>88.68</v>
      </c>
      <c r="AE2186" s="2">
        <v>0</v>
      </c>
      <c r="AF2186" s="2" t="s">
        <v>18963</v>
      </c>
      <c r="AG2186" s="2" t="s">
        <v>4062</v>
      </c>
      <c r="AH2186" s="2" t="s">
        <v>18964</v>
      </c>
      <c r="AI2186" s="2">
        <v>-0.45</v>
      </c>
      <c r="AJ2186" s="2">
        <v>19.991379179352101</v>
      </c>
      <c r="AK2186" s="2">
        <v>20.071174665333601</v>
      </c>
      <c r="AL2186" s="2">
        <v>19.889133477203799</v>
      </c>
      <c r="AM2186" s="2">
        <v>19.850509699535799</v>
      </c>
      <c r="AN2186" s="2">
        <v>19.856507779449299</v>
      </c>
      <c r="AO2186" s="2">
        <v>19.785919550629899</v>
      </c>
      <c r="AP2186" s="2">
        <v>19.740241924227401</v>
      </c>
      <c r="AQ2186" s="2">
        <v>19.953701540429101</v>
      </c>
      <c r="AR2186" s="2">
        <v>19.854748242930899</v>
      </c>
      <c r="AS2186" s="2">
        <v>20.002659947876499</v>
      </c>
      <c r="AT2186" s="2">
        <v>19.896241200688301</v>
      </c>
      <c r="AU2186" s="2">
        <v>19.8359282519333</v>
      </c>
      <c r="AV2186" s="2">
        <v>20.037122336791398</v>
      </c>
      <c r="AW2186" s="2">
        <v>19.782766740325702</v>
      </c>
      <c r="AX2186" s="2">
        <v>19.809409686613801</v>
      </c>
      <c r="AY2186" s="2">
        <v>20.021570910916399</v>
      </c>
      <c r="AZ2186" s="2">
        <v>19.831482144879502</v>
      </c>
      <c r="BA2186" s="2">
        <v>19.785827940195301</v>
      </c>
      <c r="BB2186" s="2">
        <v>19.743896528113002</v>
      </c>
      <c r="BC2186" s="2">
        <v>19.789927250380099</v>
      </c>
      <c r="BD2186" s="2">
        <v>19.7683469671437</v>
      </c>
      <c r="BE2186" s="2">
        <v>19.644941729809801</v>
      </c>
      <c r="BF2186" s="2">
        <v>20.100906113997201</v>
      </c>
      <c r="BG2186" s="2">
        <v>19.901193245525601</v>
      </c>
      <c r="BH2186" s="2">
        <v>20.115563381859101</v>
      </c>
      <c r="BI2186" s="2">
        <v>19.777310706065599</v>
      </c>
      <c r="BJ2186" s="2">
        <v>19.709345399850498</v>
      </c>
      <c r="BK2186" s="2">
        <v>19.7501222839884</v>
      </c>
      <c r="BL2186" s="2">
        <v>19.993860409719101</v>
      </c>
      <c r="BM2186" s="2">
        <v>19.699871447525901</v>
      </c>
      <c r="BN2186" s="2">
        <v>19.804548046673599</v>
      </c>
      <c r="BO2186" s="2">
        <v>20.017214467176601</v>
      </c>
      <c r="BP2186" s="2">
        <v>19.750742408171298</v>
      </c>
      <c r="BQ2186" s="2">
        <v>19.847102242985599</v>
      </c>
      <c r="BR2186" s="2">
        <v>19.539705879975799</v>
      </c>
      <c r="BS2186" s="2">
        <v>19.794100467630699</v>
      </c>
      <c r="BT2186" s="2">
        <v>19.7362507452514</v>
      </c>
      <c r="BU2186" s="2">
        <v>19.886045453819499</v>
      </c>
      <c r="BV2186" s="2">
        <v>19.575352848769299</v>
      </c>
      <c r="BW2186" s="2">
        <v>19.775667760066099</v>
      </c>
      <c r="BX2186" s="2">
        <v>19.487596147137999</v>
      </c>
      <c r="BY2186" s="2">
        <v>19.516579351431499</v>
      </c>
      <c r="BZ2186" s="2">
        <v>19.868876874812901</v>
      </c>
      <c r="CA2186" s="2">
        <v>19.656868147773899</v>
      </c>
      <c r="CB2186" s="2">
        <v>19.660904622332001</v>
      </c>
      <c r="CC2186" s="2">
        <v>19.8376443931291</v>
      </c>
      <c r="CD2186" s="2">
        <v>19.680193143944599</v>
      </c>
      <c r="CE2186" s="2">
        <v>19.723755838773201</v>
      </c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</row>
    <row r="2187" spans="1:97">
      <c r="A2187" s="2" t="s">
        <v>18965</v>
      </c>
      <c r="B2187" s="2">
        <v>381.17317000000003</v>
      </c>
      <c r="C2187" s="2">
        <v>13.695</v>
      </c>
      <c r="D2187" s="2" t="s">
        <v>146</v>
      </c>
      <c r="E2187" s="2" t="s">
        <v>18966</v>
      </c>
      <c r="F2187" s="2" t="s">
        <v>18967</v>
      </c>
      <c r="G2187" s="2">
        <v>59637</v>
      </c>
      <c r="H2187" s="3" t="str">
        <f>HYPERLINK("https://cloud.oebiotech.com/#/lm/network/59637", "https://cloud.oebiotech.com/#/lm/network/59637")</f>
        <v>https://cloud.oebiotech.com/#/lm/network/59637</v>
      </c>
      <c r="I2187" s="2" t="s">
        <v>18968</v>
      </c>
      <c r="J2187" s="2"/>
      <c r="K2187" s="2"/>
      <c r="L2187" s="2">
        <v>131751866</v>
      </c>
      <c r="M2187" s="2"/>
      <c r="N2187" s="2"/>
      <c r="O2187" s="2"/>
      <c r="P2187" s="2"/>
      <c r="Q2187" s="2"/>
      <c r="R2187" s="2"/>
      <c r="S2187" s="2" t="s">
        <v>18969</v>
      </c>
      <c r="T2187" s="2" t="s">
        <v>18970</v>
      </c>
      <c r="U2187" s="2" t="s">
        <v>18971</v>
      </c>
      <c r="V2187" s="2" t="s">
        <v>95</v>
      </c>
      <c r="W2187" s="2" t="s">
        <v>180</v>
      </c>
      <c r="X2187" s="2" t="s">
        <v>181</v>
      </c>
      <c r="Y2187" s="2" t="s">
        <v>98</v>
      </c>
      <c r="Z2187" s="2" t="s">
        <v>182</v>
      </c>
      <c r="AA2187" s="2" t="s">
        <v>183</v>
      </c>
      <c r="AB2187" s="2" t="s">
        <v>8443</v>
      </c>
      <c r="AC2187" s="2">
        <v>37.74</v>
      </c>
      <c r="AD2187" s="2">
        <v>95.51</v>
      </c>
      <c r="AE2187" s="2">
        <v>0</v>
      </c>
      <c r="AF2187" s="2" t="s">
        <v>18972</v>
      </c>
      <c r="AG2187" s="2" t="s">
        <v>157</v>
      </c>
      <c r="AH2187" s="2" t="s">
        <v>18973</v>
      </c>
      <c r="AI2187" s="2">
        <v>2.36</v>
      </c>
      <c r="AJ2187" s="2">
        <v>22.617846952552501</v>
      </c>
      <c r="AK2187" s="2">
        <v>22.532646690727201</v>
      </c>
      <c r="AL2187" s="2">
        <v>22.0801934810947</v>
      </c>
      <c r="AM2187" s="2">
        <v>21.5486080679823</v>
      </c>
      <c r="AN2187" s="2">
        <v>22.494924569724098</v>
      </c>
      <c r="AO2187" s="2">
        <v>21.372653701724602</v>
      </c>
      <c r="AP2187" s="2">
        <v>22.409004716138799</v>
      </c>
      <c r="AQ2187" s="2">
        <v>22.122320904077998</v>
      </c>
      <c r="AR2187" s="2">
        <v>21.212127743015301</v>
      </c>
      <c r="AS2187" s="2">
        <v>21.900697776465599</v>
      </c>
      <c r="AT2187" s="2">
        <v>22.728314133902298</v>
      </c>
      <c r="AU2187" s="2">
        <v>21.521127145510899</v>
      </c>
      <c r="AV2187" s="2">
        <v>21.556852438055</v>
      </c>
      <c r="AW2187" s="2">
        <v>21.931699852206201</v>
      </c>
      <c r="AX2187" s="2">
        <v>21.617577086667598</v>
      </c>
      <c r="AY2187" s="2">
        <v>21.631379046442301</v>
      </c>
      <c r="AZ2187" s="2">
        <v>20.1079563639139</v>
      </c>
      <c r="BA2187" s="2">
        <v>22.384015254342</v>
      </c>
      <c r="BB2187" s="2">
        <v>21.656592103749599</v>
      </c>
      <c r="BC2187" s="2">
        <v>22.368802464184501</v>
      </c>
      <c r="BD2187" s="2">
        <v>20.035866389923601</v>
      </c>
      <c r="BE2187" s="2">
        <v>20.520376484079002</v>
      </c>
      <c r="BF2187" s="2">
        <v>21.125352693040899</v>
      </c>
      <c r="BG2187" s="2">
        <v>21.7325917133528</v>
      </c>
      <c r="BH2187" s="2">
        <v>20.717192745802699</v>
      </c>
      <c r="BI2187" s="2">
        <v>22.417862535626401</v>
      </c>
      <c r="BJ2187" s="2">
        <v>21.222061980255301</v>
      </c>
      <c r="BK2187" s="2">
        <v>19.802239011188199</v>
      </c>
      <c r="BL2187" s="2">
        <v>22.260320169346301</v>
      </c>
      <c r="BM2187" s="2">
        <v>21.3490831401433</v>
      </c>
      <c r="BN2187" s="2">
        <v>21.920387284646001</v>
      </c>
      <c r="BO2187" s="2">
        <v>21.7514569125367</v>
      </c>
      <c r="BP2187" s="2">
        <v>21.7062590180876</v>
      </c>
      <c r="BQ2187" s="2">
        <v>22.552397794239798</v>
      </c>
      <c r="BR2187" s="2">
        <v>21.928706259721899</v>
      </c>
      <c r="BS2187" s="2">
        <v>20.924515636727602</v>
      </c>
      <c r="BT2187" s="2">
        <v>22.004096638532801</v>
      </c>
      <c r="BU2187" s="2">
        <v>22.548999611315701</v>
      </c>
      <c r="BV2187" s="2">
        <v>21.9533866756389</v>
      </c>
      <c r="BW2187" s="2">
        <v>21.766032345957999</v>
      </c>
      <c r="BX2187" s="2">
        <v>21.592289198102002</v>
      </c>
      <c r="BY2187" s="2">
        <v>19.864794586790701</v>
      </c>
      <c r="BZ2187" s="2">
        <v>22.732463477899199</v>
      </c>
      <c r="CA2187" s="2">
        <v>22.369907703521399</v>
      </c>
      <c r="CB2187" s="2">
        <v>21.805639252976</v>
      </c>
      <c r="CC2187" s="2">
        <v>22.032791514883701</v>
      </c>
      <c r="CD2187" s="2">
        <v>21.864276298183999</v>
      </c>
      <c r="CE2187" s="2">
        <v>21.891637401955599</v>
      </c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</row>
    <row r="2188" spans="1:97">
      <c r="A2188" s="2" t="s">
        <v>18974</v>
      </c>
      <c r="B2188" s="2">
        <v>214.14447999999999</v>
      </c>
      <c r="C2188" s="2">
        <v>5.5780000000000003</v>
      </c>
      <c r="D2188" s="2" t="s">
        <v>146</v>
      </c>
      <c r="E2188" s="2" t="s">
        <v>18975</v>
      </c>
      <c r="F2188" s="2" t="s">
        <v>18976</v>
      </c>
      <c r="G2188" s="2">
        <v>202205</v>
      </c>
      <c r="H2188" s="3" t="str">
        <f>HYPERLINK("https://cloud.oebiotech.com/#/lm/network/202205", "https://cloud.oebiotech.com/#/lm/network/202205")</f>
        <v>https://cloud.oebiotech.com/#/lm/network/202205</v>
      </c>
      <c r="I2188" s="2" t="s">
        <v>18977</v>
      </c>
      <c r="J2188" s="2">
        <v>72595</v>
      </c>
      <c r="K2188" s="2"/>
      <c r="L2188" s="2">
        <v>104150</v>
      </c>
      <c r="M2188" s="2" t="s">
        <v>18978</v>
      </c>
      <c r="N2188" s="2"/>
      <c r="O2188" s="2"/>
      <c r="P2188" s="2"/>
      <c r="Q2188" s="2"/>
      <c r="R2188" s="2"/>
      <c r="S2188" s="2" t="s">
        <v>18979</v>
      </c>
      <c r="T2188" s="2" t="s">
        <v>18980</v>
      </c>
      <c r="U2188" s="2" t="s">
        <v>18981</v>
      </c>
      <c r="V2188" s="2" t="s">
        <v>115</v>
      </c>
      <c r="W2188" s="2" t="s">
        <v>116</v>
      </c>
      <c r="X2188" s="2" t="s">
        <v>5270</v>
      </c>
      <c r="Y2188" s="2" t="s">
        <v>118</v>
      </c>
      <c r="Z2188" s="2" t="s">
        <v>119</v>
      </c>
      <c r="AA2188" s="2" t="s">
        <v>5271</v>
      </c>
      <c r="AB2188" s="2" t="s">
        <v>8443</v>
      </c>
      <c r="AC2188" s="2">
        <v>37.729999999999997</v>
      </c>
      <c r="AD2188" s="2">
        <v>92.98</v>
      </c>
      <c r="AE2188" s="2">
        <v>0</v>
      </c>
      <c r="AF2188" s="2" t="s">
        <v>18982</v>
      </c>
      <c r="AG2188" s="2" t="s">
        <v>194</v>
      </c>
      <c r="AH2188" s="2" t="s">
        <v>18983</v>
      </c>
      <c r="AI2188" s="2">
        <v>1.87</v>
      </c>
      <c r="AJ2188" s="2">
        <v>18.965306002704601</v>
      </c>
      <c r="AK2188" s="2">
        <v>18.668203332900699</v>
      </c>
      <c r="AL2188" s="2">
        <v>18.968381360926099</v>
      </c>
      <c r="AM2188" s="2">
        <v>19.108113576486701</v>
      </c>
      <c r="AN2188" s="2">
        <v>18.816897619543301</v>
      </c>
      <c r="AO2188" s="2">
        <v>19.049022974327499</v>
      </c>
      <c r="AP2188" s="2">
        <v>18.6580260843037</v>
      </c>
      <c r="AQ2188" s="2">
        <v>18.838513332305599</v>
      </c>
      <c r="AR2188" s="2">
        <v>18.816933108801301</v>
      </c>
      <c r="AS2188" s="2">
        <v>18.41266523002</v>
      </c>
      <c r="AT2188" s="2">
        <v>19.049817580299599</v>
      </c>
      <c r="AU2188" s="2">
        <v>18.7211495002704</v>
      </c>
      <c r="AV2188" s="2">
        <v>18.6899321311273</v>
      </c>
      <c r="AW2188" s="2">
        <v>19.023237318759499</v>
      </c>
      <c r="AX2188" s="2">
        <v>18.425047073510001</v>
      </c>
      <c r="AY2188" s="2">
        <v>18.682118960162999</v>
      </c>
      <c r="AZ2188" s="2">
        <v>18.606532702289101</v>
      </c>
      <c r="BA2188" s="2">
        <v>18.4353304209844</v>
      </c>
      <c r="BB2188" s="2">
        <v>18.7631419047873</v>
      </c>
      <c r="BC2188" s="2">
        <v>18.498097970806601</v>
      </c>
      <c r="BD2188" s="2">
        <v>18.7143655359917</v>
      </c>
      <c r="BE2188" s="2">
        <v>18.484953453262399</v>
      </c>
      <c r="BF2188" s="2">
        <v>18.397500376426201</v>
      </c>
      <c r="BG2188" s="2">
        <v>18.295129741060201</v>
      </c>
      <c r="BH2188" s="2">
        <v>18.4540599546458</v>
      </c>
      <c r="BI2188" s="2">
        <v>18.828492303104699</v>
      </c>
      <c r="BJ2188" s="2">
        <v>18.301244271160702</v>
      </c>
      <c r="BK2188" s="2">
        <v>18.571041177147301</v>
      </c>
      <c r="BL2188" s="2">
        <v>18.595935297647799</v>
      </c>
      <c r="BM2188" s="2">
        <v>18.373051411486198</v>
      </c>
      <c r="BN2188" s="2">
        <v>18.658076725974102</v>
      </c>
      <c r="BO2188" s="2">
        <v>19.089708621560899</v>
      </c>
      <c r="BP2188" s="2">
        <v>18.7130415283909</v>
      </c>
      <c r="BQ2188" s="2">
        <v>18.378206954247599</v>
      </c>
      <c r="BR2188" s="2">
        <v>18.8310579537903</v>
      </c>
      <c r="BS2188" s="2">
        <v>18.634099522306201</v>
      </c>
      <c r="BT2188" s="2">
        <v>18.784875166092601</v>
      </c>
      <c r="BU2188" s="2">
        <v>18.090234431430499</v>
      </c>
      <c r="BV2188" s="2">
        <v>18.648671452013499</v>
      </c>
      <c r="BW2188" s="2">
        <v>18.575604316136801</v>
      </c>
      <c r="BX2188" s="2">
        <v>18.615744821259</v>
      </c>
      <c r="BY2188" s="2">
        <v>18.8598200529661</v>
      </c>
      <c r="BZ2188" s="2">
        <v>18.707632725827601</v>
      </c>
      <c r="CA2188" s="2">
        <v>18.740739846473499</v>
      </c>
      <c r="CB2188" s="2">
        <v>18.404423877066499</v>
      </c>
      <c r="CC2188" s="2">
        <v>18.613232385556898</v>
      </c>
      <c r="CD2188" s="2">
        <v>18.675837703634802</v>
      </c>
      <c r="CE2188" s="2">
        <v>18.7194879239382</v>
      </c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</row>
    <row r="2189" spans="1:97">
      <c r="A2189" s="2" t="s">
        <v>18984</v>
      </c>
      <c r="B2189" s="2">
        <v>264.13533999999999</v>
      </c>
      <c r="C2189" s="2">
        <v>7.1639999999999997</v>
      </c>
      <c r="D2189" s="2" t="s">
        <v>84</v>
      </c>
      <c r="E2189" s="2" t="s">
        <v>18985</v>
      </c>
      <c r="F2189" s="2" t="s">
        <v>18986</v>
      </c>
      <c r="G2189" s="2">
        <v>210098</v>
      </c>
      <c r="H2189" s="3" t="str">
        <f>HYPERLINK("https://cloud.oebiotech.com/#/lm/network/210098", "https://cloud.oebiotech.com/#/lm/network/210098")</f>
        <v>https://cloud.oebiotech.com/#/lm/network/210098</v>
      </c>
      <c r="I2189" s="2" t="s">
        <v>18987</v>
      </c>
      <c r="J2189" s="2">
        <v>68776</v>
      </c>
      <c r="K2189" s="2"/>
      <c r="L2189" s="2">
        <v>38479</v>
      </c>
      <c r="M2189" s="2" t="s">
        <v>18988</v>
      </c>
      <c r="N2189" s="2"/>
      <c r="O2189" s="2"/>
      <c r="P2189" s="2">
        <v>83569</v>
      </c>
      <c r="Q2189" s="2"/>
      <c r="R2189" s="2"/>
      <c r="S2189" s="2" t="s">
        <v>18989</v>
      </c>
      <c r="T2189" s="2" t="s">
        <v>18990</v>
      </c>
      <c r="U2189" s="2" t="s">
        <v>18991</v>
      </c>
      <c r="V2189" s="2" t="s">
        <v>385</v>
      </c>
      <c r="W2189" s="2" t="s">
        <v>386</v>
      </c>
      <c r="X2189" s="2" t="s">
        <v>3034</v>
      </c>
      <c r="Y2189" s="2" t="s">
        <v>388</v>
      </c>
      <c r="Z2189" s="2" t="s">
        <v>389</v>
      </c>
      <c r="AA2189" s="2" t="s">
        <v>3035</v>
      </c>
      <c r="AB2189" s="2" t="s">
        <v>8443</v>
      </c>
      <c r="AC2189" s="2">
        <v>37.72</v>
      </c>
      <c r="AD2189" s="2">
        <v>91.16</v>
      </c>
      <c r="AE2189" s="2">
        <v>0</v>
      </c>
      <c r="AF2189" s="2" t="s">
        <v>5614</v>
      </c>
      <c r="AG2189" s="2" t="s">
        <v>1088</v>
      </c>
      <c r="AH2189" s="2" t="s">
        <v>18992</v>
      </c>
      <c r="AI2189" s="2">
        <v>-1.51</v>
      </c>
      <c r="AJ2189" s="2">
        <v>17.695218774288801</v>
      </c>
      <c r="AK2189" s="2">
        <v>17.924616174443901</v>
      </c>
      <c r="AL2189" s="2">
        <v>17.7685014822178</v>
      </c>
      <c r="AM2189" s="2">
        <v>17.912196888786699</v>
      </c>
      <c r="AN2189" s="2">
        <v>17.7695142648036</v>
      </c>
      <c r="AO2189" s="2">
        <v>18.187144423384801</v>
      </c>
      <c r="AP2189" s="2">
        <v>17.684043288101599</v>
      </c>
      <c r="AQ2189" s="2">
        <v>18.004389631972401</v>
      </c>
      <c r="AR2189" s="2">
        <v>18.0151756178869</v>
      </c>
      <c r="AS2189" s="2">
        <v>14.5600127305978</v>
      </c>
      <c r="AT2189" s="2">
        <v>15.870129645952399</v>
      </c>
      <c r="AU2189" s="2">
        <v>18.238607846606399</v>
      </c>
      <c r="AV2189" s="2">
        <v>17.779118748337499</v>
      </c>
      <c r="AW2189" s="2">
        <v>17.8046520557862</v>
      </c>
      <c r="AX2189" s="2">
        <v>16.918121345928299</v>
      </c>
      <c r="AY2189" s="2">
        <v>18.422044105162399</v>
      </c>
      <c r="AZ2189" s="2">
        <v>18.571132379998399</v>
      </c>
      <c r="BA2189" s="2">
        <v>16.161724943406501</v>
      </c>
      <c r="BB2189" s="2">
        <v>18.0284294550545</v>
      </c>
      <c r="BC2189" s="2">
        <v>16.4222671709209</v>
      </c>
      <c r="BD2189" s="2">
        <v>17.268257157602498</v>
      </c>
      <c r="BE2189" s="2">
        <v>17.731386523175701</v>
      </c>
      <c r="BF2189" s="2">
        <v>17.375904276468201</v>
      </c>
      <c r="BG2189" s="2">
        <v>16.9557699909113</v>
      </c>
      <c r="BH2189" s="2">
        <v>16.381092883696098</v>
      </c>
      <c r="BI2189" s="2">
        <v>16.8526483717724</v>
      </c>
      <c r="BJ2189" s="2">
        <v>17.9618833443886</v>
      </c>
      <c r="BK2189" s="2">
        <v>16.909033673518302</v>
      </c>
      <c r="BL2189" s="2">
        <v>18.2104168427934</v>
      </c>
      <c r="BM2189" s="2">
        <v>18.920803598115899</v>
      </c>
      <c r="BN2189" s="2">
        <v>18.252033560702198</v>
      </c>
      <c r="BO2189" s="2">
        <v>16.625842805460501</v>
      </c>
      <c r="BP2189" s="2">
        <v>17.028137984595102</v>
      </c>
      <c r="BQ2189" s="2">
        <v>18.721163555144699</v>
      </c>
      <c r="BR2189" s="2">
        <v>17.593490406792</v>
      </c>
      <c r="BS2189" s="2">
        <v>18.297230068930201</v>
      </c>
      <c r="BT2189" s="2">
        <v>19.2218206888361</v>
      </c>
      <c r="BU2189" s="2">
        <v>16.766075924833199</v>
      </c>
      <c r="BV2189" s="2">
        <v>18.4338070556113</v>
      </c>
      <c r="BW2189" s="2">
        <v>14.1494073603779</v>
      </c>
      <c r="BX2189" s="2">
        <v>16.960592183735798</v>
      </c>
      <c r="BY2189" s="2">
        <v>18.296316557120001</v>
      </c>
      <c r="BZ2189" s="2">
        <v>17.2540809181742</v>
      </c>
      <c r="CA2189" s="2">
        <v>18.5095767036204</v>
      </c>
      <c r="CB2189" s="2">
        <v>18.512439098401199</v>
      </c>
      <c r="CC2189" s="2">
        <v>17.583557264068599</v>
      </c>
      <c r="CD2189" s="2">
        <v>17.556903704953001</v>
      </c>
      <c r="CE2189" s="2">
        <v>15.9908152945927</v>
      </c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</row>
    <row r="2190" spans="1:97">
      <c r="A2190" s="2" t="s">
        <v>18993</v>
      </c>
      <c r="B2190" s="2">
        <v>311.16154</v>
      </c>
      <c r="C2190" s="2">
        <v>11.584</v>
      </c>
      <c r="D2190" s="2" t="s">
        <v>84</v>
      </c>
      <c r="E2190" s="2" t="s">
        <v>18994</v>
      </c>
      <c r="F2190" s="2" t="s">
        <v>18995</v>
      </c>
      <c r="G2190" s="2">
        <v>205646</v>
      </c>
      <c r="H2190" s="3" t="str">
        <f>HYPERLINK("https://cloud.oebiotech.com/#/lm/network/205646", "https://cloud.oebiotech.com/#/lm/network/205646")</f>
        <v>https://cloud.oebiotech.com/#/lm/network/205646</v>
      </c>
      <c r="I2190" s="2" t="s">
        <v>18996</v>
      </c>
      <c r="J2190" s="2"/>
      <c r="K2190" s="2"/>
      <c r="L2190" s="2">
        <v>50913622</v>
      </c>
      <c r="M2190" s="2"/>
      <c r="N2190" s="2"/>
      <c r="O2190" s="2"/>
      <c r="P2190" s="2"/>
      <c r="Q2190" s="2"/>
      <c r="R2190" s="2"/>
      <c r="S2190" s="2"/>
      <c r="T2190" s="2" t="s">
        <v>18997</v>
      </c>
      <c r="U2190" s="2" t="s">
        <v>18998</v>
      </c>
      <c r="V2190" s="2" t="s">
        <v>553</v>
      </c>
      <c r="W2190" s="2" t="s">
        <v>18999</v>
      </c>
      <c r="X2190" s="2" t="s">
        <v>19000</v>
      </c>
      <c r="Y2190" s="2" t="s">
        <v>556</v>
      </c>
      <c r="Z2190" s="2" t="s">
        <v>19001</v>
      </c>
      <c r="AA2190" s="2" t="s">
        <v>19002</v>
      </c>
      <c r="AB2190" s="2" t="s">
        <v>8443</v>
      </c>
      <c r="AC2190" s="2">
        <v>37.72</v>
      </c>
      <c r="AD2190" s="2">
        <v>88.58</v>
      </c>
      <c r="AE2190" s="2">
        <v>0</v>
      </c>
      <c r="AF2190" s="2" t="s">
        <v>19003</v>
      </c>
      <c r="AG2190" s="2" t="s">
        <v>103</v>
      </c>
      <c r="AH2190" s="2" t="s">
        <v>19004</v>
      </c>
      <c r="AI2190" s="2">
        <v>0</v>
      </c>
      <c r="AJ2190" s="2">
        <v>23.799512457678301</v>
      </c>
      <c r="AK2190" s="2">
        <v>23.725749613397799</v>
      </c>
      <c r="AL2190" s="2">
        <v>23.638550723572401</v>
      </c>
      <c r="AM2190" s="2">
        <v>23.532911884137</v>
      </c>
      <c r="AN2190" s="2">
        <v>23.592289930458801</v>
      </c>
      <c r="AO2190" s="2">
        <v>23.611123442690701</v>
      </c>
      <c r="AP2190" s="2">
        <v>23.6532951203781</v>
      </c>
      <c r="AQ2190" s="2">
        <v>23.628684007950302</v>
      </c>
      <c r="AR2190" s="2">
        <v>24.218519303297299</v>
      </c>
      <c r="AS2190" s="2">
        <v>22.7244127339908</v>
      </c>
      <c r="AT2190" s="2">
        <v>23.3461528581831</v>
      </c>
      <c r="AU2190" s="2">
        <v>23.580989481351899</v>
      </c>
      <c r="AV2190" s="2">
        <v>23.242903842572101</v>
      </c>
      <c r="AW2190" s="2">
        <v>23.5776915783268</v>
      </c>
      <c r="AX2190" s="2">
        <v>23.6946678515096</v>
      </c>
      <c r="AY2190" s="2">
        <v>23.531452006409499</v>
      </c>
      <c r="AZ2190" s="2">
        <v>23.8804585416799</v>
      </c>
      <c r="BA2190" s="2">
        <v>22.615181785023299</v>
      </c>
      <c r="BB2190" s="2">
        <v>23.6405442186452</v>
      </c>
      <c r="BC2190" s="2">
        <v>23.7474832969625</v>
      </c>
      <c r="BD2190" s="2">
        <v>23.709918818359</v>
      </c>
      <c r="BE2190" s="2">
        <v>24.000004082002398</v>
      </c>
      <c r="BF2190" s="2">
        <v>23.1886399590243</v>
      </c>
      <c r="BG2190" s="2">
        <v>23.644020814833102</v>
      </c>
      <c r="BH2190" s="2">
        <v>23.465210529818101</v>
      </c>
      <c r="BI2190" s="2">
        <v>23.4221413836427</v>
      </c>
      <c r="BJ2190" s="2">
        <v>23.489965703329201</v>
      </c>
      <c r="BK2190" s="2">
        <v>23.100119432403702</v>
      </c>
      <c r="BL2190" s="2">
        <v>23.790104156175701</v>
      </c>
      <c r="BM2190" s="2">
        <v>23.326906595635698</v>
      </c>
      <c r="BN2190" s="2">
        <v>23.5004851253256</v>
      </c>
      <c r="BO2190" s="2">
        <v>23.609033708245999</v>
      </c>
      <c r="BP2190" s="2">
        <v>23.590924988942501</v>
      </c>
      <c r="BQ2190" s="2">
        <v>23.5552729198881</v>
      </c>
      <c r="BR2190" s="2">
        <v>23.767378038728001</v>
      </c>
      <c r="BS2190" s="2">
        <v>23.796251399022001</v>
      </c>
      <c r="BT2190" s="2">
        <v>23.558525040796201</v>
      </c>
      <c r="BU2190" s="2">
        <v>23.338922721006298</v>
      </c>
      <c r="BV2190" s="2">
        <v>23.806734618301501</v>
      </c>
      <c r="BW2190" s="2">
        <v>23.0099920831581</v>
      </c>
      <c r="BX2190" s="2">
        <v>23.675591908934202</v>
      </c>
      <c r="BY2190" s="2">
        <v>24.2229597716805</v>
      </c>
      <c r="BZ2190" s="2">
        <v>23.041965681207</v>
      </c>
      <c r="CA2190" s="2">
        <v>23.7981058893983</v>
      </c>
      <c r="CB2190" s="2">
        <v>23.481701148954901</v>
      </c>
      <c r="CC2190" s="2">
        <v>23.261145518355899</v>
      </c>
      <c r="CD2190" s="2">
        <v>23.726555556026302</v>
      </c>
      <c r="CE2190" s="2">
        <v>22.908097374101601</v>
      </c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</row>
    <row r="2191" spans="1:97">
      <c r="A2191" s="2" t="s">
        <v>19005</v>
      </c>
      <c r="B2191" s="2">
        <v>510.27992999999998</v>
      </c>
      <c r="C2191" s="2">
        <v>7.5049999999999999</v>
      </c>
      <c r="D2191" s="2" t="s">
        <v>84</v>
      </c>
      <c r="E2191" s="2" t="s">
        <v>19006</v>
      </c>
      <c r="F2191" s="2" t="s">
        <v>19007</v>
      </c>
      <c r="G2191" s="2">
        <v>208193</v>
      </c>
      <c r="H2191" s="3" t="str">
        <f>HYPERLINK("https://cloud.oebiotech.com/#/lm/network/208193", "https://cloud.oebiotech.com/#/lm/network/208193")</f>
        <v>https://cloud.oebiotech.com/#/lm/network/208193</v>
      </c>
      <c r="I2191" s="2" t="s">
        <v>19008</v>
      </c>
      <c r="J2191" s="2"/>
      <c r="K2191" s="2"/>
      <c r="L2191" s="2">
        <v>9914270</v>
      </c>
      <c r="M2191" s="2"/>
      <c r="N2191" s="2"/>
      <c r="O2191" s="2"/>
      <c r="P2191" s="2"/>
      <c r="Q2191" s="2"/>
      <c r="R2191" s="2"/>
      <c r="S2191" s="2"/>
      <c r="T2191" s="2" t="s">
        <v>19009</v>
      </c>
      <c r="U2191" s="2" t="s">
        <v>19010</v>
      </c>
      <c r="V2191" s="2" t="s">
        <v>553</v>
      </c>
      <c r="W2191" s="2" t="s">
        <v>8019</v>
      </c>
      <c r="X2191" s="2" t="s">
        <v>8020</v>
      </c>
      <c r="Y2191" s="2" t="s">
        <v>556</v>
      </c>
      <c r="Z2191" s="2" t="s">
        <v>8021</v>
      </c>
      <c r="AA2191" s="2" t="s">
        <v>8022</v>
      </c>
      <c r="AB2191" s="2" t="s">
        <v>8443</v>
      </c>
      <c r="AC2191" s="2">
        <v>37.72</v>
      </c>
      <c r="AD2191" s="2">
        <v>94.39</v>
      </c>
      <c r="AE2191" s="2">
        <v>0</v>
      </c>
      <c r="AF2191" s="2" t="s">
        <v>19011</v>
      </c>
      <c r="AG2191" s="2" t="s">
        <v>103</v>
      </c>
      <c r="AH2191" s="2" t="s">
        <v>19012</v>
      </c>
      <c r="AI2191" s="2">
        <v>2.16</v>
      </c>
      <c r="AJ2191" s="2">
        <v>20.464337065178601</v>
      </c>
      <c r="AK2191" s="2">
        <v>20.5531914711109</v>
      </c>
      <c r="AL2191" s="2">
        <v>20.518315839333201</v>
      </c>
      <c r="AM2191" s="2">
        <v>20.576905584339801</v>
      </c>
      <c r="AN2191" s="2">
        <v>20.451284844787502</v>
      </c>
      <c r="AO2191" s="2">
        <v>20.543143638838501</v>
      </c>
      <c r="AP2191" s="2">
        <v>20.3433666678722</v>
      </c>
      <c r="AQ2191" s="2">
        <v>20.557109932582101</v>
      </c>
      <c r="AR2191" s="2">
        <v>19.789301662277101</v>
      </c>
      <c r="AS2191" s="2">
        <v>9.6233145402724691</v>
      </c>
      <c r="AT2191" s="2">
        <v>17.841383692426799</v>
      </c>
      <c r="AU2191" s="2">
        <v>19.562846253445599</v>
      </c>
      <c r="AV2191" s="2">
        <v>16.744569376971299</v>
      </c>
      <c r="AW2191" s="2">
        <v>21.1379829067107</v>
      </c>
      <c r="AX2191" s="2">
        <v>17.847653328390599</v>
      </c>
      <c r="AY2191" s="2">
        <v>19.7140456774132</v>
      </c>
      <c r="AZ2191" s="2">
        <v>16.4519700982123</v>
      </c>
      <c r="BA2191" s="2">
        <v>9.6233145402724691</v>
      </c>
      <c r="BB2191" s="2">
        <v>21.7468208187953</v>
      </c>
      <c r="BC2191" s="2">
        <v>17.172145900126601</v>
      </c>
      <c r="BD2191" s="2">
        <v>17.073057026542099</v>
      </c>
      <c r="BE2191" s="2">
        <v>18.622052463107899</v>
      </c>
      <c r="BF2191" s="2">
        <v>15.130182005967001</v>
      </c>
      <c r="BG2191" s="2">
        <v>9.6233145402724691</v>
      </c>
      <c r="BH2191" s="2">
        <v>18.0156093152697</v>
      </c>
      <c r="BI2191" s="2">
        <v>9.6233145402724691</v>
      </c>
      <c r="BJ2191" s="2">
        <v>17.130964442962199</v>
      </c>
      <c r="BK2191" s="2">
        <v>19.668447593419799</v>
      </c>
      <c r="BL2191" s="2">
        <v>9.6233145402724691</v>
      </c>
      <c r="BM2191" s="2">
        <v>20.059123221678401</v>
      </c>
      <c r="BN2191" s="2">
        <v>19.037977892164101</v>
      </c>
      <c r="BO2191" s="2">
        <v>15.850998906538299</v>
      </c>
      <c r="BP2191" s="2">
        <v>9.6233145402724691</v>
      </c>
      <c r="BQ2191" s="2">
        <v>19.104505695258901</v>
      </c>
      <c r="BR2191" s="2">
        <v>18.570690537031499</v>
      </c>
      <c r="BS2191" s="2">
        <v>18.8264675829288</v>
      </c>
      <c r="BT2191" s="2">
        <v>16.888783315277902</v>
      </c>
      <c r="BU2191" s="2">
        <v>14.0557552338619</v>
      </c>
      <c r="BV2191" s="2">
        <v>21.370231533836101</v>
      </c>
      <c r="BW2191" s="2">
        <v>15.4640654740016</v>
      </c>
      <c r="BX2191" s="2">
        <v>17.452162638569899</v>
      </c>
      <c r="BY2191" s="2">
        <v>16.631448644087499</v>
      </c>
      <c r="BZ2191" s="2">
        <v>18.896819649870402</v>
      </c>
      <c r="CA2191" s="2">
        <v>18.035780413843302</v>
      </c>
      <c r="CB2191" s="2">
        <v>18.887376640326998</v>
      </c>
      <c r="CC2191" s="2">
        <v>15.843079708131</v>
      </c>
      <c r="CD2191" s="2">
        <v>18.149271196120601</v>
      </c>
      <c r="CE2191" s="2">
        <v>15.682693716609901</v>
      </c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</row>
    <row r="2192" spans="1:97">
      <c r="A2192" s="2" t="s">
        <v>19013</v>
      </c>
      <c r="B2192" s="2">
        <v>282.05903000000001</v>
      </c>
      <c r="C2192" s="2">
        <v>6.617</v>
      </c>
      <c r="D2192" s="2" t="s">
        <v>146</v>
      </c>
      <c r="E2192" s="2" t="s">
        <v>19014</v>
      </c>
      <c r="F2192" s="2" t="s">
        <v>19015</v>
      </c>
      <c r="G2192" s="2">
        <v>208581</v>
      </c>
      <c r="H2192" s="3" t="str">
        <f>HYPERLINK("https://cloud.oebiotech.com/#/lm/network/208581", "https://cloud.oebiotech.com/#/lm/network/208581")</f>
        <v>https://cloud.oebiotech.com/#/lm/network/208581</v>
      </c>
      <c r="I2192" s="2" t="s">
        <v>19016</v>
      </c>
      <c r="J2192" s="2"/>
      <c r="K2192" s="2"/>
      <c r="L2192" s="2">
        <v>123726</v>
      </c>
      <c r="M2192" s="2"/>
      <c r="N2192" s="2"/>
      <c r="O2192" s="2"/>
      <c r="P2192" s="2"/>
      <c r="Q2192" s="2"/>
      <c r="R2192" s="2"/>
      <c r="S2192" s="2"/>
      <c r="T2192" s="2" t="s">
        <v>19017</v>
      </c>
      <c r="U2192" s="2" t="s">
        <v>19018</v>
      </c>
      <c r="V2192" s="2" t="s">
        <v>95</v>
      </c>
      <c r="W2192" s="2" t="s">
        <v>96</v>
      </c>
      <c r="X2192" s="2" t="s">
        <v>141</v>
      </c>
      <c r="Y2192" s="2" t="s">
        <v>98</v>
      </c>
      <c r="Z2192" s="2" t="s">
        <v>99</v>
      </c>
      <c r="AA2192" s="2" t="s">
        <v>142</v>
      </c>
      <c r="AB2192" s="2" t="s">
        <v>8443</v>
      </c>
      <c r="AC2192" s="2">
        <v>37.71</v>
      </c>
      <c r="AD2192" s="2">
        <v>88.55</v>
      </c>
      <c r="AE2192" s="2">
        <v>0</v>
      </c>
      <c r="AF2192" s="2" t="s">
        <v>19019</v>
      </c>
      <c r="AG2192" s="2" t="s">
        <v>157</v>
      </c>
      <c r="AH2192" s="2" t="s">
        <v>19020</v>
      </c>
      <c r="AI2192" s="2">
        <v>-0.71</v>
      </c>
      <c r="AJ2192" s="2">
        <v>16.401846322121798</v>
      </c>
      <c r="AK2192" s="2">
        <v>17.0373660266348</v>
      </c>
      <c r="AL2192" s="2">
        <v>16.910050659041499</v>
      </c>
      <c r="AM2192" s="2">
        <v>16.968636084305299</v>
      </c>
      <c r="AN2192" s="2">
        <v>17.181322817357099</v>
      </c>
      <c r="AO2192" s="2">
        <v>17.2318331760715</v>
      </c>
      <c r="AP2192" s="2">
        <v>17.185385355135899</v>
      </c>
      <c r="AQ2192" s="2">
        <v>16.896576254396201</v>
      </c>
      <c r="AR2192" s="2">
        <v>17.103111354378601</v>
      </c>
      <c r="AS2192" s="2">
        <v>12.7789374783352</v>
      </c>
      <c r="AT2192" s="2">
        <v>16.451304819560601</v>
      </c>
      <c r="AU2192" s="2">
        <v>16.5928130827491</v>
      </c>
      <c r="AV2192" s="2">
        <v>16.903138800126499</v>
      </c>
      <c r="AW2192" s="2">
        <v>16.9229282421474</v>
      </c>
      <c r="AX2192" s="2">
        <v>16.099876025132499</v>
      </c>
      <c r="AY2192" s="2">
        <v>16.341277658976299</v>
      </c>
      <c r="AZ2192" s="2">
        <v>15.8551738622348</v>
      </c>
      <c r="BA2192" s="2">
        <v>16.835656677635001</v>
      </c>
      <c r="BB2192" s="2">
        <v>16.8313771449196</v>
      </c>
      <c r="BC2192" s="2">
        <v>14.1534380302298</v>
      </c>
      <c r="BD2192" s="2">
        <v>16.680143427263001</v>
      </c>
      <c r="BE2192" s="2">
        <v>15.1472454763163</v>
      </c>
      <c r="BF2192" s="2">
        <v>14.799234563151</v>
      </c>
      <c r="BG2192" s="2">
        <v>17.666162478871101</v>
      </c>
      <c r="BH2192" s="2">
        <v>15.7940820115682</v>
      </c>
      <c r="BI2192" s="2">
        <v>19.965427525752801</v>
      </c>
      <c r="BJ2192" s="2">
        <v>15.8269181007529</v>
      </c>
      <c r="BK2192" s="2">
        <v>18.843520529839601</v>
      </c>
      <c r="BL2192" s="2">
        <v>17.7882157306769</v>
      </c>
      <c r="BM2192" s="2">
        <v>15.798915234089399</v>
      </c>
      <c r="BN2192" s="2">
        <v>15.9965187267176</v>
      </c>
      <c r="BO2192" s="2">
        <v>16.908651562044898</v>
      </c>
      <c r="BP2192" s="2">
        <v>16.4165710993258</v>
      </c>
      <c r="BQ2192" s="2">
        <v>15.476838267724901</v>
      </c>
      <c r="BR2192" s="2">
        <v>16.8361286584027</v>
      </c>
      <c r="BS2192" s="2">
        <v>17.270727212455199</v>
      </c>
      <c r="BT2192" s="2">
        <v>15.178578103091599</v>
      </c>
      <c r="BU2192" s="2">
        <v>16.469466779378099</v>
      </c>
      <c r="BV2192" s="2">
        <v>16.995008004039398</v>
      </c>
      <c r="BW2192" s="2">
        <v>13.4747250157201</v>
      </c>
      <c r="BX2192" s="2">
        <v>16.152949661539701</v>
      </c>
      <c r="BY2192" s="2">
        <v>16.705741719201299</v>
      </c>
      <c r="BZ2192" s="2">
        <v>15.4371460547488</v>
      </c>
      <c r="CA2192" s="2">
        <v>17.054805985272399</v>
      </c>
      <c r="CB2192" s="2">
        <v>18.538923675316099</v>
      </c>
      <c r="CC2192" s="2">
        <v>18.0238824327059</v>
      </c>
      <c r="CD2192" s="2">
        <v>17.0822769268079</v>
      </c>
      <c r="CE2192" s="2">
        <v>18.288445307846001</v>
      </c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</row>
    <row r="2193" spans="1:97">
      <c r="A2193" s="2" t="s">
        <v>19021</v>
      </c>
      <c r="B2193" s="2">
        <v>262.25256999999999</v>
      </c>
      <c r="C2193" s="2">
        <v>9.1229999999999993</v>
      </c>
      <c r="D2193" s="2" t="s">
        <v>84</v>
      </c>
      <c r="E2193" s="2" t="s">
        <v>19022</v>
      </c>
      <c r="F2193" s="2" t="s">
        <v>19023</v>
      </c>
      <c r="G2193" s="2">
        <v>209322</v>
      </c>
      <c r="H2193" s="3" t="str">
        <f>HYPERLINK("https://cloud.oebiotech.com/#/lm/network/209322", "https://cloud.oebiotech.com/#/lm/network/209322")</f>
        <v>https://cloud.oebiotech.com/#/lm/network/209322</v>
      </c>
      <c r="I2193" s="2" t="s">
        <v>19024</v>
      </c>
      <c r="J2193" s="2"/>
      <c r="K2193" s="2"/>
      <c r="L2193" s="2">
        <v>76441542</v>
      </c>
      <c r="M2193" s="2"/>
      <c r="N2193" s="2"/>
      <c r="O2193" s="2"/>
      <c r="P2193" s="2"/>
      <c r="Q2193" s="2"/>
      <c r="R2193" s="2"/>
      <c r="S2193" s="2"/>
      <c r="T2193" s="2" t="s">
        <v>19025</v>
      </c>
      <c r="U2193" s="2" t="s">
        <v>19026</v>
      </c>
      <c r="V2193" s="2" t="s">
        <v>385</v>
      </c>
      <c r="W2193" s="2" t="s">
        <v>386</v>
      </c>
      <c r="X2193" s="2" t="s">
        <v>14252</v>
      </c>
      <c r="Y2193" s="2" t="s">
        <v>388</v>
      </c>
      <c r="Z2193" s="2" t="s">
        <v>389</v>
      </c>
      <c r="AA2193" s="2" t="s">
        <v>14253</v>
      </c>
      <c r="AB2193" s="2" t="s">
        <v>8443</v>
      </c>
      <c r="AC2193" s="2">
        <v>37.68</v>
      </c>
      <c r="AD2193" s="2">
        <v>89.12</v>
      </c>
      <c r="AE2193" s="2">
        <v>0</v>
      </c>
      <c r="AF2193" s="2" t="s">
        <v>5614</v>
      </c>
      <c r="AG2193" s="2" t="s">
        <v>103</v>
      </c>
      <c r="AH2193" s="2" t="s">
        <v>19027</v>
      </c>
      <c r="AI2193" s="2">
        <v>1.1399999999999999</v>
      </c>
      <c r="AJ2193" s="2">
        <v>18.929886792034502</v>
      </c>
      <c r="AK2193" s="2">
        <v>18.462725200195798</v>
      </c>
      <c r="AL2193" s="2">
        <v>18.302533794836201</v>
      </c>
      <c r="AM2193" s="2">
        <v>18.947288548954401</v>
      </c>
      <c r="AN2193" s="2">
        <v>18.8099519388029</v>
      </c>
      <c r="AO2193" s="2">
        <v>18.373841596804599</v>
      </c>
      <c r="AP2193" s="2">
        <v>18.810315189173298</v>
      </c>
      <c r="AQ2193" s="2">
        <v>18.567324446240502</v>
      </c>
      <c r="AR2193" s="2">
        <v>18.690848235171998</v>
      </c>
      <c r="AS2193" s="2">
        <v>18.4912602657657</v>
      </c>
      <c r="AT2193" s="2">
        <v>18.808188060236098</v>
      </c>
      <c r="AU2193" s="2">
        <v>18.266843489503898</v>
      </c>
      <c r="AV2193" s="2">
        <v>18.137138449076598</v>
      </c>
      <c r="AW2193" s="2">
        <v>18.594432644533299</v>
      </c>
      <c r="AX2193" s="2">
        <v>18.663484687616801</v>
      </c>
      <c r="AY2193" s="2">
        <v>18.561227523286998</v>
      </c>
      <c r="AZ2193" s="2">
        <v>19.2366659620997</v>
      </c>
      <c r="BA2193" s="2">
        <v>18.159211918052701</v>
      </c>
      <c r="BB2193" s="2">
        <v>18.801478531061001</v>
      </c>
      <c r="BC2193" s="2">
        <v>19.339641547230599</v>
      </c>
      <c r="BD2193" s="2">
        <v>17.879956988628201</v>
      </c>
      <c r="BE2193" s="2">
        <v>18.739068742850201</v>
      </c>
      <c r="BF2193" s="2">
        <v>18.9494893089161</v>
      </c>
      <c r="BG2193" s="2">
        <v>18.808765158591299</v>
      </c>
      <c r="BH2193" s="2">
        <v>18.572804163628</v>
      </c>
      <c r="BI2193" s="2">
        <v>19.246176610837701</v>
      </c>
      <c r="BJ2193" s="2">
        <v>19.409522515560699</v>
      </c>
      <c r="BK2193" s="2">
        <v>18.773351151390798</v>
      </c>
      <c r="BL2193" s="2">
        <v>17.628027247178</v>
      </c>
      <c r="BM2193" s="2">
        <v>18.187847875750599</v>
      </c>
      <c r="BN2193" s="2">
        <v>18.0333476082549</v>
      </c>
      <c r="BO2193" s="2">
        <v>17.214556571382499</v>
      </c>
      <c r="BP2193" s="2">
        <v>17.9850667603875</v>
      </c>
      <c r="BQ2193" s="2">
        <v>18.2195041546161</v>
      </c>
      <c r="BR2193" s="2">
        <v>18.7834613544623</v>
      </c>
      <c r="BS2193" s="2">
        <v>18.552144432815702</v>
      </c>
      <c r="BT2193" s="2">
        <v>18.126703263069299</v>
      </c>
      <c r="BU2193" s="2">
        <v>19.848254964461599</v>
      </c>
      <c r="BV2193" s="2">
        <v>18.6931514412531</v>
      </c>
      <c r="BW2193" s="2">
        <v>17.8346580040566</v>
      </c>
      <c r="BX2193" s="2">
        <v>18.414894870455999</v>
      </c>
      <c r="BY2193" s="2">
        <v>19.931946837650301</v>
      </c>
      <c r="BZ2193" s="2">
        <v>18.385269284779199</v>
      </c>
      <c r="CA2193" s="2">
        <v>18.471414726320699</v>
      </c>
      <c r="CB2193" s="2">
        <v>17.8084936541647</v>
      </c>
      <c r="CC2193" s="2">
        <v>18.625619670569701</v>
      </c>
      <c r="CD2193" s="2">
        <v>19.556951233814701</v>
      </c>
      <c r="CE2193" s="2">
        <v>18.276289325922601</v>
      </c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</row>
    <row r="2194" spans="1:97">
      <c r="A2194" s="2" t="s">
        <v>19028</v>
      </c>
      <c r="B2194" s="2">
        <v>261.04532999999998</v>
      </c>
      <c r="C2194" s="2">
        <v>0.72699999999999998</v>
      </c>
      <c r="D2194" s="2" t="s">
        <v>84</v>
      </c>
      <c r="E2194" s="2" t="s">
        <v>19029</v>
      </c>
      <c r="F2194" s="2" t="s">
        <v>19030</v>
      </c>
      <c r="G2194" s="2">
        <v>205365</v>
      </c>
      <c r="H2194" s="3" t="str">
        <f>HYPERLINK("https://cloud.oebiotech.com/#/lm/network/205365", "https://cloud.oebiotech.com/#/lm/network/205365")</f>
        <v>https://cloud.oebiotech.com/#/lm/network/205365</v>
      </c>
      <c r="I2194" s="2" t="s">
        <v>19031</v>
      </c>
      <c r="J2194" s="2">
        <v>72206</v>
      </c>
      <c r="K2194" s="2"/>
      <c r="L2194" s="2">
        <v>17522</v>
      </c>
      <c r="M2194" s="2" t="s">
        <v>19032</v>
      </c>
      <c r="N2194" s="2"/>
      <c r="O2194" s="2"/>
      <c r="P2194" s="2">
        <v>38621</v>
      </c>
      <c r="Q2194" s="2"/>
      <c r="R2194" s="2"/>
      <c r="S2194" s="2" t="s">
        <v>19033</v>
      </c>
      <c r="T2194" s="2" t="s">
        <v>19034</v>
      </c>
      <c r="U2194" s="2" t="s">
        <v>19035</v>
      </c>
      <c r="V2194" s="2" t="s">
        <v>115</v>
      </c>
      <c r="W2194" s="2" t="s">
        <v>18411</v>
      </c>
      <c r="X2194" s="2" t="s">
        <v>18412</v>
      </c>
      <c r="Y2194" s="2" t="s">
        <v>118</v>
      </c>
      <c r="Z2194" s="2" t="s">
        <v>18413</v>
      </c>
      <c r="AA2194" s="2" t="s">
        <v>18414</v>
      </c>
      <c r="AB2194" s="2" t="s">
        <v>8443</v>
      </c>
      <c r="AC2194" s="2">
        <v>37.67</v>
      </c>
      <c r="AD2194" s="2">
        <v>91</v>
      </c>
      <c r="AE2194" s="2">
        <v>0</v>
      </c>
      <c r="AF2194" s="2" t="s">
        <v>19036</v>
      </c>
      <c r="AG2194" s="2" t="s">
        <v>132</v>
      </c>
      <c r="AH2194" s="2" t="s">
        <v>19037</v>
      </c>
      <c r="AI2194" s="2">
        <v>1.53</v>
      </c>
      <c r="AJ2194" s="2">
        <v>22.167006987768499</v>
      </c>
      <c r="AK2194" s="2">
        <v>22.229284497303901</v>
      </c>
      <c r="AL2194" s="2">
        <v>22.1953483313136</v>
      </c>
      <c r="AM2194" s="2">
        <v>22.258109216446002</v>
      </c>
      <c r="AN2194" s="2">
        <v>21.586629415934301</v>
      </c>
      <c r="AO2194" s="2">
        <v>21.914114915427</v>
      </c>
      <c r="AP2194" s="2">
        <v>22.1558294429095</v>
      </c>
      <c r="AQ2194" s="2">
        <v>21.939605408232602</v>
      </c>
      <c r="AR2194" s="2">
        <v>21.106291444767901</v>
      </c>
      <c r="AS2194" s="2">
        <v>19.710753608068099</v>
      </c>
      <c r="AT2194" s="2">
        <v>21.439412865280399</v>
      </c>
      <c r="AU2194" s="2">
        <v>21.055144645835298</v>
      </c>
      <c r="AV2194" s="2">
        <v>21.475658023144501</v>
      </c>
      <c r="AW2194" s="2">
        <v>21.650593657393099</v>
      </c>
      <c r="AX2194" s="2">
        <v>21.510053748543999</v>
      </c>
      <c r="AY2194" s="2">
        <v>20.464539538477599</v>
      </c>
      <c r="AZ2194" s="2">
        <v>21.346334836277599</v>
      </c>
      <c r="BA2194" s="2">
        <v>20.8299116367476</v>
      </c>
      <c r="BB2194" s="2">
        <v>22.322341382915202</v>
      </c>
      <c r="BC2194" s="2">
        <v>23.196543688557199</v>
      </c>
      <c r="BD2194" s="2">
        <v>21.492144025560901</v>
      </c>
      <c r="BE2194" s="2">
        <v>21.771116563301302</v>
      </c>
      <c r="BF2194" s="2">
        <v>21.3291993063728</v>
      </c>
      <c r="BG2194" s="2">
        <v>23.181253763173</v>
      </c>
      <c r="BH2194" s="2">
        <v>21.339973437833201</v>
      </c>
      <c r="BI2194" s="2">
        <v>21.580633791090399</v>
      </c>
      <c r="BJ2194" s="2">
        <v>21.758839395732199</v>
      </c>
      <c r="BK2194" s="2">
        <v>21.202593300973302</v>
      </c>
      <c r="BL2194" s="2">
        <v>20.955723159013399</v>
      </c>
      <c r="BM2194" s="2">
        <v>21.522806499027801</v>
      </c>
      <c r="BN2194" s="2">
        <v>21.166586071440999</v>
      </c>
      <c r="BO2194" s="2">
        <v>20.8767100928393</v>
      </c>
      <c r="BP2194" s="2">
        <v>21.599686491007599</v>
      </c>
      <c r="BQ2194" s="2">
        <v>21.0663892234973</v>
      </c>
      <c r="BR2194" s="2">
        <v>21.559595385345801</v>
      </c>
      <c r="BS2194" s="2">
        <v>21.328596708161299</v>
      </c>
      <c r="BT2194" s="2">
        <v>22.6125459253462</v>
      </c>
      <c r="BU2194" s="2">
        <v>21.414471426010401</v>
      </c>
      <c r="BV2194" s="2">
        <v>23.392241009354699</v>
      </c>
      <c r="BW2194" s="2">
        <v>22.651938449050501</v>
      </c>
      <c r="BX2194" s="2">
        <v>21.026455259400699</v>
      </c>
      <c r="BY2194" s="2">
        <v>22.349990198998601</v>
      </c>
      <c r="BZ2194" s="2">
        <v>23.356165173537001</v>
      </c>
      <c r="CA2194" s="2">
        <v>22.9101847931455</v>
      </c>
      <c r="CB2194" s="2">
        <v>23.084466015481699</v>
      </c>
      <c r="CC2194" s="2">
        <v>21.484059733262299</v>
      </c>
      <c r="CD2194" s="2">
        <v>21.4014172381683</v>
      </c>
      <c r="CE2194" s="2">
        <v>21.231792666824401</v>
      </c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</row>
    <row r="2195" spans="1:97">
      <c r="A2195" s="2" t="s">
        <v>19038</v>
      </c>
      <c r="B2195" s="2">
        <v>359.28690999999998</v>
      </c>
      <c r="C2195" s="2">
        <v>8.8089999999999993</v>
      </c>
      <c r="D2195" s="2" t="s">
        <v>84</v>
      </c>
      <c r="E2195" s="2" t="s">
        <v>19039</v>
      </c>
      <c r="F2195" s="2" t="s">
        <v>19040</v>
      </c>
      <c r="G2195" s="2">
        <v>197763</v>
      </c>
      <c r="H2195" s="3" t="str">
        <f>HYPERLINK("https://cloud.oebiotech.com/#/lm/network/197763", "https://cloud.oebiotech.com/#/lm/network/197763")</f>
        <v>https://cloud.oebiotech.com/#/lm/network/197763</v>
      </c>
      <c r="I2195" s="2" t="s">
        <v>19041</v>
      </c>
      <c r="J2195" s="2"/>
      <c r="K2195" s="2"/>
      <c r="L2195" s="2">
        <v>87087952</v>
      </c>
      <c r="M2195" s="2"/>
      <c r="N2195" s="2"/>
      <c r="O2195" s="2"/>
      <c r="P2195" s="2"/>
      <c r="Q2195" s="2"/>
      <c r="R2195" s="2"/>
      <c r="S2195" s="2"/>
      <c r="T2195" s="2" t="s">
        <v>19042</v>
      </c>
      <c r="U2195" s="2" t="s">
        <v>19043</v>
      </c>
      <c r="V2195" s="2" t="s">
        <v>95</v>
      </c>
      <c r="W2195" s="2" t="s">
        <v>96</v>
      </c>
      <c r="X2195" s="2" t="s">
        <v>97</v>
      </c>
      <c r="Y2195" s="2" t="s">
        <v>98</v>
      </c>
      <c r="Z2195" s="2" t="s">
        <v>99</v>
      </c>
      <c r="AA2195" s="2" t="s">
        <v>100</v>
      </c>
      <c r="AB2195" s="2" t="s">
        <v>8443</v>
      </c>
      <c r="AC2195" s="2">
        <v>37.67</v>
      </c>
      <c r="AD2195" s="2">
        <v>97.98</v>
      </c>
      <c r="AE2195" s="2">
        <v>0</v>
      </c>
      <c r="AF2195" s="2" t="s">
        <v>19044</v>
      </c>
      <c r="AG2195" s="2" t="s">
        <v>132</v>
      </c>
      <c r="AH2195" s="2" t="s">
        <v>2912</v>
      </c>
      <c r="AI2195" s="2">
        <v>9.74</v>
      </c>
      <c r="AJ2195" s="2">
        <v>27.351740597007101</v>
      </c>
      <c r="AK2195" s="2">
        <v>27.422199977229699</v>
      </c>
      <c r="AL2195" s="2">
        <v>27.3745478544277</v>
      </c>
      <c r="AM2195" s="2">
        <v>27.3987046489124</v>
      </c>
      <c r="AN2195" s="2">
        <v>27.4413769381114</v>
      </c>
      <c r="AO2195" s="2">
        <v>27.3839380917486</v>
      </c>
      <c r="AP2195" s="2">
        <v>27.411793146440601</v>
      </c>
      <c r="AQ2195" s="2">
        <v>27.311555420181602</v>
      </c>
      <c r="AR2195" s="2">
        <v>27.2824778391841</v>
      </c>
      <c r="AS2195" s="2">
        <v>27.390640973166398</v>
      </c>
      <c r="AT2195" s="2">
        <v>27.239155768764999</v>
      </c>
      <c r="AU2195" s="2">
        <v>27.259421650521499</v>
      </c>
      <c r="AV2195" s="2">
        <v>27.395787031436299</v>
      </c>
      <c r="AW2195" s="2">
        <v>27.328322713082699</v>
      </c>
      <c r="AX2195" s="2">
        <v>27.3172276609756</v>
      </c>
      <c r="AY2195" s="2">
        <v>27.278470231758401</v>
      </c>
      <c r="AZ2195" s="2">
        <v>27.366313318566899</v>
      </c>
      <c r="BA2195" s="2">
        <v>27.295475809736399</v>
      </c>
      <c r="BB2195" s="2">
        <v>27.305708401874298</v>
      </c>
      <c r="BC2195" s="2">
        <v>27.345828397109301</v>
      </c>
      <c r="BD2195" s="2">
        <v>27.454066252590501</v>
      </c>
      <c r="BE2195" s="2">
        <v>27.347749180011299</v>
      </c>
      <c r="BF2195" s="2">
        <v>27.266876467754301</v>
      </c>
      <c r="BG2195" s="2">
        <v>27.425982375071602</v>
      </c>
      <c r="BH2195" s="2">
        <v>27.379211367272099</v>
      </c>
      <c r="BI2195" s="2">
        <v>27.290996203478699</v>
      </c>
      <c r="BJ2195" s="2">
        <v>27.2767604610444</v>
      </c>
      <c r="BK2195" s="2">
        <v>27.333588532488601</v>
      </c>
      <c r="BL2195" s="2">
        <v>27.373216157919199</v>
      </c>
      <c r="BM2195" s="2">
        <v>27.2208393779256</v>
      </c>
      <c r="BN2195" s="2">
        <v>27.206909681090501</v>
      </c>
      <c r="BO2195" s="2">
        <v>27.334105860715798</v>
      </c>
      <c r="BP2195" s="2">
        <v>27.355139073951399</v>
      </c>
      <c r="BQ2195" s="2">
        <v>27.2502030598468</v>
      </c>
      <c r="BR2195" s="2">
        <v>27.306946223296801</v>
      </c>
      <c r="BS2195" s="2">
        <v>27.285136605132902</v>
      </c>
      <c r="BT2195" s="2">
        <v>27.311170874241199</v>
      </c>
      <c r="BU2195" s="2">
        <v>27.346573885239899</v>
      </c>
      <c r="BV2195" s="2">
        <v>27.388993212738601</v>
      </c>
      <c r="BW2195" s="2">
        <v>27.3020852690574</v>
      </c>
      <c r="BX2195" s="2">
        <v>27.294402959213901</v>
      </c>
      <c r="BY2195" s="2">
        <v>27.236697418758599</v>
      </c>
      <c r="BZ2195" s="2">
        <v>27.433567988240501</v>
      </c>
      <c r="CA2195" s="2">
        <v>27.303096183659498</v>
      </c>
      <c r="CB2195" s="2">
        <v>27.392485321472201</v>
      </c>
      <c r="CC2195" s="2">
        <v>27.3246221547688</v>
      </c>
      <c r="CD2195" s="2">
        <v>27.3431401434087</v>
      </c>
      <c r="CE2195" s="2">
        <v>27.373927777760301</v>
      </c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</row>
    <row r="2196" spans="1:97">
      <c r="A2196" s="2" t="s">
        <v>19045</v>
      </c>
      <c r="B2196" s="2">
        <v>212.05252999999999</v>
      </c>
      <c r="C2196" s="2">
        <v>10.789</v>
      </c>
      <c r="D2196" s="2" t="s">
        <v>84</v>
      </c>
      <c r="E2196" s="2" t="s">
        <v>19046</v>
      </c>
      <c r="F2196" s="2" t="s">
        <v>19047</v>
      </c>
      <c r="G2196" s="2">
        <v>211328</v>
      </c>
      <c r="H2196" s="3" t="str">
        <f>HYPERLINK("https://cloud.oebiotech.com/#/lm/network/211328", "https://cloud.oebiotech.com/#/lm/network/211328")</f>
        <v>https://cloud.oebiotech.com/#/lm/network/211328</v>
      </c>
      <c r="I2196" s="2" t="s">
        <v>19048</v>
      </c>
      <c r="J2196" s="2"/>
      <c r="K2196" s="2"/>
      <c r="L2196" s="2">
        <v>18967899</v>
      </c>
      <c r="M2196" s="2"/>
      <c r="N2196" s="2"/>
      <c r="O2196" s="2"/>
      <c r="P2196" s="2"/>
      <c r="Q2196" s="2"/>
      <c r="R2196" s="2"/>
      <c r="S2196" s="2"/>
      <c r="T2196" s="2" t="s">
        <v>19049</v>
      </c>
      <c r="U2196" s="2" t="s">
        <v>19050</v>
      </c>
      <c r="V2196" s="2" t="s">
        <v>553</v>
      </c>
      <c r="W2196" s="2" t="s">
        <v>2238</v>
      </c>
      <c r="X2196" s="2" t="s">
        <v>375</v>
      </c>
      <c r="Y2196" s="2" t="s">
        <v>556</v>
      </c>
      <c r="Z2196" s="2" t="s">
        <v>2240</v>
      </c>
      <c r="AA2196" s="2"/>
      <c r="AB2196" s="2" t="s">
        <v>8443</v>
      </c>
      <c r="AC2196" s="2">
        <v>37.67</v>
      </c>
      <c r="AD2196" s="2">
        <v>90.38</v>
      </c>
      <c r="AE2196" s="2">
        <v>0</v>
      </c>
      <c r="AF2196" s="2" t="s">
        <v>5614</v>
      </c>
      <c r="AG2196" s="2" t="s">
        <v>132</v>
      </c>
      <c r="AH2196" s="2" t="s">
        <v>19051</v>
      </c>
      <c r="AI2196" s="2">
        <v>-1.41</v>
      </c>
      <c r="AJ2196" s="2">
        <v>19.923827385006199</v>
      </c>
      <c r="AK2196" s="2">
        <v>20.1699741647118</v>
      </c>
      <c r="AL2196" s="2">
        <v>19.722364640784299</v>
      </c>
      <c r="AM2196" s="2">
        <v>19.853081907826301</v>
      </c>
      <c r="AN2196" s="2">
        <v>19.9008332508538</v>
      </c>
      <c r="AO2196" s="2">
        <v>19.974611819785899</v>
      </c>
      <c r="AP2196" s="2">
        <v>19.729480545527</v>
      </c>
      <c r="AQ2196" s="2">
        <v>19.894045942475199</v>
      </c>
      <c r="AR2196" s="2">
        <v>19.513763559575001</v>
      </c>
      <c r="AS2196" s="2">
        <v>20.216797500487299</v>
      </c>
      <c r="AT2196" s="2">
        <v>19.656517895365099</v>
      </c>
      <c r="AU2196" s="2">
        <v>19.966959757094301</v>
      </c>
      <c r="AV2196" s="2">
        <v>20.1211052624584</v>
      </c>
      <c r="AW2196" s="2">
        <v>20.1268252182923</v>
      </c>
      <c r="AX2196" s="2">
        <v>20.157723644876899</v>
      </c>
      <c r="AY2196" s="2">
        <v>20.1058168899858</v>
      </c>
      <c r="AZ2196" s="2">
        <v>20.0114417253643</v>
      </c>
      <c r="BA2196" s="2">
        <v>20.225439913146602</v>
      </c>
      <c r="BB2196" s="2">
        <v>19.5981645519118</v>
      </c>
      <c r="BC2196" s="2">
        <v>18.857637843001701</v>
      </c>
      <c r="BD2196" s="2">
        <v>19.908615561669698</v>
      </c>
      <c r="BE2196" s="2">
        <v>20.1534673478766</v>
      </c>
      <c r="BF2196" s="2">
        <v>19.560415797241799</v>
      </c>
      <c r="BG2196" s="2">
        <v>19.7316737273005</v>
      </c>
      <c r="BH2196" s="2">
        <v>20.2506330868524</v>
      </c>
      <c r="BI2196" s="2">
        <v>19.705361637290199</v>
      </c>
      <c r="BJ2196" s="2">
        <v>19.686712801339699</v>
      </c>
      <c r="BK2196" s="2">
        <v>19.955624297716099</v>
      </c>
      <c r="BL2196" s="2">
        <v>20.066736854728401</v>
      </c>
      <c r="BM2196" s="2">
        <v>19.9347936124711</v>
      </c>
      <c r="BN2196" s="2">
        <v>20.0442592419659</v>
      </c>
      <c r="BO2196" s="2">
        <v>19.6842542458689</v>
      </c>
      <c r="BP2196" s="2">
        <v>20.022260720484301</v>
      </c>
      <c r="BQ2196" s="2">
        <v>20.1856083441198</v>
      </c>
      <c r="BR2196" s="2">
        <v>19.299598941321001</v>
      </c>
      <c r="BS2196" s="2">
        <v>19.853289998467599</v>
      </c>
      <c r="BT2196" s="2">
        <v>19.937001629079099</v>
      </c>
      <c r="BU2196" s="2">
        <v>20.266986446267701</v>
      </c>
      <c r="BV2196" s="2">
        <v>20.188436685684501</v>
      </c>
      <c r="BW2196" s="2">
        <v>19.511720615823801</v>
      </c>
      <c r="BX2196" s="2">
        <v>20.050421531583801</v>
      </c>
      <c r="BY2196" s="2">
        <v>19.873104168450201</v>
      </c>
      <c r="BZ2196" s="2">
        <v>19.277873130851599</v>
      </c>
      <c r="CA2196" s="2">
        <v>19.340196181024002</v>
      </c>
      <c r="CB2196" s="2">
        <v>19.487412243285899</v>
      </c>
      <c r="CC2196" s="2">
        <v>20.323445817784801</v>
      </c>
      <c r="CD2196" s="2">
        <v>19.697713361827301</v>
      </c>
      <c r="CE2196" s="2">
        <v>20.189598468698499</v>
      </c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</row>
    <row r="2197" spans="1:97">
      <c r="A2197" s="2" t="s">
        <v>19052</v>
      </c>
      <c r="B2197" s="2">
        <v>238.08935</v>
      </c>
      <c r="C2197" s="2">
        <v>5.3959999999999999</v>
      </c>
      <c r="D2197" s="2" t="s">
        <v>84</v>
      </c>
      <c r="E2197" s="2" t="s">
        <v>19053</v>
      </c>
      <c r="F2197" s="2" t="s">
        <v>19054</v>
      </c>
      <c r="G2197" s="2">
        <v>58795</v>
      </c>
      <c r="H2197" s="3" t="str">
        <f>HYPERLINK("https://cloud.oebiotech.com/#/lm/network/58795", "https://cloud.oebiotech.com/#/lm/network/58795")</f>
        <v>https://cloud.oebiotech.com/#/lm/network/58795</v>
      </c>
      <c r="I2197" s="2" t="s">
        <v>19055</v>
      </c>
      <c r="J2197" s="2">
        <v>90249</v>
      </c>
      <c r="K2197" s="2"/>
      <c r="L2197" s="2">
        <v>12045806</v>
      </c>
      <c r="M2197" s="2"/>
      <c r="N2197" s="2"/>
      <c r="O2197" s="2"/>
      <c r="P2197" s="2">
        <v>169717</v>
      </c>
      <c r="Q2197" s="2"/>
      <c r="R2197" s="2"/>
      <c r="S2197" s="2" t="s">
        <v>19056</v>
      </c>
      <c r="T2197" s="2" t="s">
        <v>19057</v>
      </c>
      <c r="U2197" s="2" t="s">
        <v>19058</v>
      </c>
      <c r="V2197" s="2" t="s">
        <v>338</v>
      </c>
      <c r="W2197" s="2" t="s">
        <v>339</v>
      </c>
      <c r="X2197" s="2" t="s">
        <v>1663</v>
      </c>
      <c r="Y2197" s="2" t="s">
        <v>341</v>
      </c>
      <c r="Z2197" s="2" t="s">
        <v>341</v>
      </c>
      <c r="AA2197" s="2" t="s">
        <v>1664</v>
      </c>
      <c r="AB2197" s="2" t="s">
        <v>8443</v>
      </c>
      <c r="AC2197" s="2">
        <v>37.659999999999997</v>
      </c>
      <c r="AD2197" s="2">
        <v>89.62</v>
      </c>
      <c r="AE2197" s="2">
        <v>0</v>
      </c>
      <c r="AF2197" s="2" t="s">
        <v>5614</v>
      </c>
      <c r="AG2197" s="2" t="s">
        <v>132</v>
      </c>
      <c r="AH2197" s="2" t="s">
        <v>19059</v>
      </c>
      <c r="AI2197" s="2">
        <v>1.26</v>
      </c>
      <c r="AJ2197" s="2">
        <v>16.767518894731801</v>
      </c>
      <c r="AK2197" s="2">
        <v>16.824813216040301</v>
      </c>
      <c r="AL2197" s="2">
        <v>17.0812371910785</v>
      </c>
      <c r="AM2197" s="2">
        <v>17.074419030215001</v>
      </c>
      <c r="AN2197" s="2">
        <v>16.5606425683673</v>
      </c>
      <c r="AO2197" s="2">
        <v>16.513248612250798</v>
      </c>
      <c r="AP2197" s="2">
        <v>17.180955558207799</v>
      </c>
      <c r="AQ2197" s="2">
        <v>17.311041905407599</v>
      </c>
      <c r="AR2197" s="2">
        <v>14.8705564111167</v>
      </c>
      <c r="AS2197" s="2">
        <v>9.6233145402724691</v>
      </c>
      <c r="AT2197" s="2">
        <v>17.231875916048299</v>
      </c>
      <c r="AU2197" s="2">
        <v>16.294794470617301</v>
      </c>
      <c r="AV2197" s="2">
        <v>16.336534628212501</v>
      </c>
      <c r="AW2197" s="2">
        <v>17.1217542674345</v>
      </c>
      <c r="AX2197" s="2">
        <v>9.6233145402724691</v>
      </c>
      <c r="AY2197" s="2">
        <v>16.366124786501601</v>
      </c>
      <c r="AZ2197" s="2">
        <v>16.985207884214901</v>
      </c>
      <c r="BA2197" s="2">
        <v>16.241538567915899</v>
      </c>
      <c r="BB2197" s="2">
        <v>16.918962554206399</v>
      </c>
      <c r="BC2197" s="2">
        <v>17.934443302833099</v>
      </c>
      <c r="BD2197" s="2">
        <v>16.371255444671</v>
      </c>
      <c r="BE2197" s="2">
        <v>17.1471326651345</v>
      </c>
      <c r="BF2197" s="2">
        <v>17.847180759476799</v>
      </c>
      <c r="BG2197" s="2">
        <v>17.497860566925802</v>
      </c>
      <c r="BH2197" s="2">
        <v>16.294539623730799</v>
      </c>
      <c r="BI2197" s="2">
        <v>16.628805200734199</v>
      </c>
      <c r="BJ2197" s="2">
        <v>16.554921249552599</v>
      </c>
      <c r="BK2197" s="2">
        <v>16.734068668120599</v>
      </c>
      <c r="BL2197" s="2">
        <v>15.5937666298486</v>
      </c>
      <c r="BM2197" s="2">
        <v>14.3925186775801</v>
      </c>
      <c r="BN2197" s="2">
        <v>15.689683002476301</v>
      </c>
      <c r="BO2197" s="2">
        <v>15.9364046783141</v>
      </c>
      <c r="BP2197" s="2">
        <v>16.383595796053601</v>
      </c>
      <c r="BQ2197" s="2">
        <v>15.3601451081152</v>
      </c>
      <c r="BR2197" s="2">
        <v>14.2391733548519</v>
      </c>
      <c r="BS2197" s="2">
        <v>14.7595735473797</v>
      </c>
      <c r="BT2197" s="2">
        <v>16.328785004349999</v>
      </c>
      <c r="BU2197" s="2">
        <v>16.170808217378301</v>
      </c>
      <c r="BV2197" s="2">
        <v>17.968121978921399</v>
      </c>
      <c r="BW2197" s="2">
        <v>15.72009245518</v>
      </c>
      <c r="BX2197" s="2">
        <v>16.511164277371901</v>
      </c>
      <c r="BY2197" s="2">
        <v>16.204621958619299</v>
      </c>
      <c r="BZ2197" s="2">
        <v>17.469830106286999</v>
      </c>
      <c r="CA2197" s="2">
        <v>17.526398369219802</v>
      </c>
      <c r="CB2197" s="2">
        <v>9.6233145402724691</v>
      </c>
      <c r="CC2197" s="2">
        <v>15.6681902763431</v>
      </c>
      <c r="CD2197" s="2">
        <v>15.857569445760999</v>
      </c>
      <c r="CE2197" s="2">
        <v>14.9557629541645</v>
      </c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</row>
    <row r="2198" spans="1:97">
      <c r="A2198" s="2" t="s">
        <v>19060</v>
      </c>
      <c r="B2198" s="2">
        <v>291.11313999999999</v>
      </c>
      <c r="C2198" s="2">
        <v>0.77600000000000002</v>
      </c>
      <c r="D2198" s="2" t="s">
        <v>146</v>
      </c>
      <c r="E2198" s="2" t="s">
        <v>19061</v>
      </c>
      <c r="F2198" s="2" t="s">
        <v>19062</v>
      </c>
      <c r="G2198" s="2">
        <v>212021</v>
      </c>
      <c r="H2198" s="3" t="str">
        <f>HYPERLINK("https://cloud.oebiotech.com/#/lm/network/212021", "https://cloud.oebiotech.com/#/lm/network/212021")</f>
        <v>https://cloud.oebiotech.com/#/lm/network/212021</v>
      </c>
      <c r="I2198" s="2" t="s">
        <v>19063</v>
      </c>
      <c r="J2198" s="2"/>
      <c r="K2198" s="2"/>
      <c r="L2198" s="2">
        <v>206042</v>
      </c>
      <c r="M2198" s="2"/>
      <c r="N2198" s="2"/>
      <c r="O2198" s="2"/>
      <c r="P2198" s="2">
        <v>91088</v>
      </c>
      <c r="Q2198" s="2"/>
      <c r="R2198" s="2"/>
      <c r="S2198" s="2"/>
      <c r="T2198" s="2" t="s">
        <v>19064</v>
      </c>
      <c r="U2198" s="2" t="s">
        <v>19065</v>
      </c>
      <c r="V2198" s="2" t="s">
        <v>553</v>
      </c>
      <c r="W2198" s="2" t="s">
        <v>933</v>
      </c>
      <c r="X2198" s="2" t="s">
        <v>2286</v>
      </c>
      <c r="Y2198" s="2" t="s">
        <v>556</v>
      </c>
      <c r="Z2198" s="2" t="s">
        <v>935</v>
      </c>
      <c r="AA2198" s="2" t="s">
        <v>2287</v>
      </c>
      <c r="AB2198" s="2" t="s">
        <v>8443</v>
      </c>
      <c r="AC2198" s="2">
        <v>37.659999999999997</v>
      </c>
      <c r="AD2198" s="2">
        <v>88.32</v>
      </c>
      <c r="AE2198" s="2">
        <v>0</v>
      </c>
      <c r="AF2198" s="2" t="s">
        <v>5614</v>
      </c>
      <c r="AG2198" s="2" t="s">
        <v>993</v>
      </c>
      <c r="AH2198" s="2" t="s">
        <v>19066</v>
      </c>
      <c r="AI2198" s="2">
        <v>0.69</v>
      </c>
      <c r="AJ2198" s="2">
        <v>20.673806188030198</v>
      </c>
      <c r="AK2198" s="2">
        <v>20.8362614483855</v>
      </c>
      <c r="AL2198" s="2">
        <v>20.1948828188306</v>
      </c>
      <c r="AM2198" s="2">
        <v>20.425306027938699</v>
      </c>
      <c r="AN2198" s="2">
        <v>21.064147695299901</v>
      </c>
      <c r="AO2198" s="2">
        <v>20.9355119252739</v>
      </c>
      <c r="AP2198" s="2">
        <v>20.713484420094499</v>
      </c>
      <c r="AQ2198" s="2">
        <v>20.537825770020401</v>
      </c>
      <c r="AR2198" s="2">
        <v>21.140811576240399</v>
      </c>
      <c r="AS2198" s="2">
        <v>21.0334932691541</v>
      </c>
      <c r="AT2198" s="2">
        <v>20.440946785792001</v>
      </c>
      <c r="AU2198" s="2">
        <v>21.251667142618199</v>
      </c>
      <c r="AV2198" s="2">
        <v>20.565892388729601</v>
      </c>
      <c r="AW2198" s="2">
        <v>20.4856711889073</v>
      </c>
      <c r="AX2198" s="2">
        <v>20.533493835845601</v>
      </c>
      <c r="AY2198" s="2">
        <v>20.807549007638901</v>
      </c>
      <c r="AZ2198" s="2">
        <v>20.517474841681999</v>
      </c>
      <c r="BA2198" s="2">
        <v>19.8688730476151</v>
      </c>
      <c r="BB2198" s="2">
        <v>20.598503680834799</v>
      </c>
      <c r="BC2198" s="2">
        <v>20.033974618512701</v>
      </c>
      <c r="BD2198" s="2">
        <v>20.364648655664698</v>
      </c>
      <c r="BE2198" s="2">
        <v>20.7489861186463</v>
      </c>
      <c r="BF2198" s="2">
        <v>21.226059935198698</v>
      </c>
      <c r="BG2198" s="2">
        <v>20.669567343061299</v>
      </c>
      <c r="BH2198" s="2">
        <v>20.032854524017299</v>
      </c>
      <c r="BI2198" s="2">
        <v>19.774242237330899</v>
      </c>
      <c r="BJ2198" s="2">
        <v>20.0711696625348</v>
      </c>
      <c r="BK2198" s="2">
        <v>20.517131644765499</v>
      </c>
      <c r="BL2198" s="2">
        <v>20.6354830454889</v>
      </c>
      <c r="BM2198" s="2">
        <v>20.5100867413224</v>
      </c>
      <c r="BN2198" s="2">
        <v>20.280260662455198</v>
      </c>
      <c r="BO2198" s="2">
        <v>20.3667030103733</v>
      </c>
      <c r="BP2198" s="2">
        <v>20.223402339069899</v>
      </c>
      <c r="BQ2198" s="2">
        <v>20.082774948200999</v>
      </c>
      <c r="BR2198" s="2">
        <v>20.566707096675401</v>
      </c>
      <c r="BS2198" s="2">
        <v>19.8284797517531</v>
      </c>
      <c r="BT2198" s="2">
        <v>20.891494935102799</v>
      </c>
      <c r="BU2198" s="2">
        <v>20.6033859367503</v>
      </c>
      <c r="BV2198" s="2">
        <v>20.7990669131365</v>
      </c>
      <c r="BW2198" s="2">
        <v>21.293535333383801</v>
      </c>
      <c r="BX2198" s="2">
        <v>20.753851944851998</v>
      </c>
      <c r="BY2198" s="2">
        <v>20.263732222898799</v>
      </c>
      <c r="BZ2198" s="2">
        <v>20.856027863649601</v>
      </c>
      <c r="CA2198" s="2">
        <v>20.203438209228999</v>
      </c>
      <c r="CB2198" s="2">
        <v>19.778301008846999</v>
      </c>
      <c r="CC2198" s="2">
        <v>20.882333159079302</v>
      </c>
      <c r="CD2198" s="2">
        <v>19.5024750244609</v>
      </c>
      <c r="CE2198" s="2">
        <v>21.084035092341999</v>
      </c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</row>
    <row r="2199" spans="1:97">
      <c r="A2199" s="2" t="s">
        <v>19067</v>
      </c>
      <c r="B2199" s="2">
        <v>316.28433999999999</v>
      </c>
      <c r="C2199" s="2">
        <v>9.9149999999999991</v>
      </c>
      <c r="D2199" s="2" t="s">
        <v>84</v>
      </c>
      <c r="E2199" s="2" t="s">
        <v>19068</v>
      </c>
      <c r="F2199" s="2" t="s">
        <v>19069</v>
      </c>
      <c r="G2199" s="2">
        <v>38952</v>
      </c>
      <c r="H2199" s="3" t="str">
        <f>HYPERLINK("https://cloud.oebiotech.com/#/lm/network/38952", "https://cloud.oebiotech.com/#/lm/network/38952")</f>
        <v>https://cloud.oebiotech.com/#/lm/network/38952</v>
      </c>
      <c r="I2199" s="2"/>
      <c r="J2199" s="2"/>
      <c r="K2199" s="2" t="s">
        <v>19070</v>
      </c>
      <c r="L2199" s="2">
        <v>11174511</v>
      </c>
      <c r="M2199" s="2"/>
      <c r="N2199" s="2"/>
      <c r="O2199" s="2"/>
      <c r="P2199" s="2"/>
      <c r="Q2199" s="2"/>
      <c r="R2199" s="2"/>
      <c r="S2199" s="2"/>
      <c r="T2199" s="2" t="s">
        <v>19071</v>
      </c>
      <c r="U2199" s="2" t="s">
        <v>19072</v>
      </c>
      <c r="V2199" s="2" t="s">
        <v>166</v>
      </c>
      <c r="W2199" s="2" t="s">
        <v>167</v>
      </c>
      <c r="X2199" s="2" t="s">
        <v>482</v>
      </c>
      <c r="Y2199" s="2" t="s">
        <v>169</v>
      </c>
      <c r="Z2199" s="2" t="s">
        <v>169</v>
      </c>
      <c r="AA2199" s="2" t="s">
        <v>483</v>
      </c>
      <c r="AB2199" s="2" t="s">
        <v>8443</v>
      </c>
      <c r="AC2199" s="2">
        <v>37.659999999999997</v>
      </c>
      <c r="AD2199" s="2">
        <v>88.28</v>
      </c>
      <c r="AE2199" s="2">
        <v>0</v>
      </c>
      <c r="AF2199" s="2" t="s">
        <v>5614</v>
      </c>
      <c r="AG2199" s="2" t="s">
        <v>103</v>
      </c>
      <c r="AH2199" s="2" t="s">
        <v>2812</v>
      </c>
      <c r="AI2199" s="2">
        <v>0.95</v>
      </c>
      <c r="AJ2199" s="2">
        <v>19.122450289212299</v>
      </c>
      <c r="AK2199" s="2">
        <v>19.0106491157742</v>
      </c>
      <c r="AL2199" s="2">
        <v>18.969542087242601</v>
      </c>
      <c r="AM2199" s="2">
        <v>18.7241387686698</v>
      </c>
      <c r="AN2199" s="2">
        <v>18.911725925884699</v>
      </c>
      <c r="AO2199" s="2">
        <v>19.1936608522401</v>
      </c>
      <c r="AP2199" s="2">
        <v>18.853370417816901</v>
      </c>
      <c r="AQ2199" s="2">
        <v>19.055768047252201</v>
      </c>
      <c r="AR2199" s="2">
        <v>18.920725688397599</v>
      </c>
      <c r="AS2199" s="2">
        <v>19.119412388345399</v>
      </c>
      <c r="AT2199" s="2">
        <v>19.014769626522899</v>
      </c>
      <c r="AU2199" s="2">
        <v>19.024135824283999</v>
      </c>
      <c r="AV2199" s="2">
        <v>18.9380736800621</v>
      </c>
      <c r="AW2199" s="2">
        <v>19.237545975550599</v>
      </c>
      <c r="AX2199" s="2">
        <v>19.0755771803105</v>
      </c>
      <c r="AY2199" s="2">
        <v>18.986967936051801</v>
      </c>
      <c r="AZ2199" s="2">
        <v>18.572983566157902</v>
      </c>
      <c r="BA2199" s="2">
        <v>19.000688509250899</v>
      </c>
      <c r="BB2199" s="2">
        <v>19.160292314281801</v>
      </c>
      <c r="BC2199" s="2">
        <v>19.2818220652204</v>
      </c>
      <c r="BD2199" s="2">
        <v>18.878660840113799</v>
      </c>
      <c r="BE2199" s="2">
        <v>19.2841999463189</v>
      </c>
      <c r="BF2199" s="2">
        <v>18.858806108854001</v>
      </c>
      <c r="BG2199" s="2">
        <v>18.576996288099998</v>
      </c>
      <c r="BH2199" s="2">
        <v>19.185143513898499</v>
      </c>
      <c r="BI2199" s="2">
        <v>19.075591516172398</v>
      </c>
      <c r="BJ2199" s="2">
        <v>19.3631995728087</v>
      </c>
      <c r="BK2199" s="2">
        <v>18.599797839436</v>
      </c>
      <c r="BL2199" s="2">
        <v>19.0197188250518</v>
      </c>
      <c r="BM2199" s="2">
        <v>19.336116313221801</v>
      </c>
      <c r="BN2199" s="2">
        <v>18.6701054181014</v>
      </c>
      <c r="BO2199" s="2">
        <v>19.186047192137199</v>
      </c>
      <c r="BP2199" s="2">
        <v>18.808057085062501</v>
      </c>
      <c r="BQ2199" s="2">
        <v>19.118943784058398</v>
      </c>
      <c r="BR2199" s="2">
        <v>19.2928592895585</v>
      </c>
      <c r="BS2199" s="2">
        <v>18.994545584500401</v>
      </c>
      <c r="BT2199" s="2">
        <v>19.108977473889201</v>
      </c>
      <c r="BU2199" s="2">
        <v>18.944261920615599</v>
      </c>
      <c r="BV2199" s="2">
        <v>18.976043743133602</v>
      </c>
      <c r="BW2199" s="2">
        <v>18.7630711798903</v>
      </c>
      <c r="BX2199" s="2">
        <v>19.116763214021901</v>
      </c>
      <c r="BY2199" s="2">
        <v>19.4192642074653</v>
      </c>
      <c r="BZ2199" s="2">
        <v>18.875586184824499</v>
      </c>
      <c r="CA2199" s="2">
        <v>19.450033188253499</v>
      </c>
      <c r="CB2199" s="2">
        <v>18.984916974983602</v>
      </c>
      <c r="CC2199" s="2">
        <v>19.3755720982866</v>
      </c>
      <c r="CD2199" s="2">
        <v>18.8601041716644</v>
      </c>
      <c r="CE2199" s="2">
        <v>19.348323951635901</v>
      </c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</row>
    <row r="2200" spans="1:97">
      <c r="A2200" s="2" t="s">
        <v>19073</v>
      </c>
      <c r="B2200" s="2">
        <v>520.37555999999995</v>
      </c>
      <c r="C2200" s="2">
        <v>10.377000000000001</v>
      </c>
      <c r="D2200" s="2" t="s">
        <v>84</v>
      </c>
      <c r="E2200" s="2" t="s">
        <v>19074</v>
      </c>
      <c r="F2200" s="2" t="s">
        <v>19075</v>
      </c>
      <c r="G2200" s="2">
        <v>198138</v>
      </c>
      <c r="H2200" s="3" t="str">
        <f>HYPERLINK("https://cloud.oebiotech.com/#/lm/network/198138", "https://cloud.oebiotech.com/#/lm/network/198138")</f>
        <v>https://cloud.oebiotech.com/#/lm/network/198138</v>
      </c>
      <c r="I2200" s="2" t="s">
        <v>19076</v>
      </c>
      <c r="J2200" s="2"/>
      <c r="K2200" s="2"/>
      <c r="L2200" s="2">
        <v>169754</v>
      </c>
      <c r="M2200" s="2"/>
      <c r="N2200" s="2"/>
      <c r="O2200" s="2"/>
      <c r="P2200" s="2"/>
      <c r="Q2200" s="2"/>
      <c r="R2200" s="2"/>
      <c r="S2200" s="2"/>
      <c r="T2200" s="2" t="s">
        <v>19077</v>
      </c>
      <c r="U2200" s="2" t="s">
        <v>19078</v>
      </c>
      <c r="V2200" s="2" t="s">
        <v>95</v>
      </c>
      <c r="W2200" s="2" t="s">
        <v>96</v>
      </c>
      <c r="X2200" s="2" t="s">
        <v>97</v>
      </c>
      <c r="Y2200" s="2" t="s">
        <v>98</v>
      </c>
      <c r="Z2200" s="2" t="s">
        <v>99</v>
      </c>
      <c r="AA2200" s="2" t="s">
        <v>100</v>
      </c>
      <c r="AB2200" s="2" t="s">
        <v>8443</v>
      </c>
      <c r="AC2200" s="2">
        <v>37.659999999999997</v>
      </c>
      <c r="AD2200" s="2">
        <v>90.06</v>
      </c>
      <c r="AE2200" s="2">
        <v>0</v>
      </c>
      <c r="AF2200" s="2" t="s">
        <v>5614</v>
      </c>
      <c r="AG2200" s="2" t="s">
        <v>3544</v>
      </c>
      <c r="AH2200" s="2" t="s">
        <v>19079</v>
      </c>
      <c r="AI2200" s="2">
        <v>1.35</v>
      </c>
      <c r="AJ2200" s="2">
        <v>22.758106609177201</v>
      </c>
      <c r="AK2200" s="2">
        <v>22.889625844741101</v>
      </c>
      <c r="AL2200" s="2">
        <v>23.0152846517535</v>
      </c>
      <c r="AM2200" s="2">
        <v>22.316369338327601</v>
      </c>
      <c r="AN2200" s="2">
        <v>22.819046483798601</v>
      </c>
      <c r="AO2200" s="2">
        <v>23.060546545207998</v>
      </c>
      <c r="AP2200" s="2">
        <v>22.2279692809702</v>
      </c>
      <c r="AQ2200" s="2">
        <v>22.118786844494299</v>
      </c>
      <c r="AR2200" s="2">
        <v>23.318601168999301</v>
      </c>
      <c r="AS2200" s="2">
        <v>21.968147519049701</v>
      </c>
      <c r="AT2200" s="2">
        <v>22.162418906802799</v>
      </c>
      <c r="AU2200" s="2">
        <v>23.067087513207099</v>
      </c>
      <c r="AV2200" s="2">
        <v>22.525161838877999</v>
      </c>
      <c r="AW2200" s="2">
        <v>23.181462573408801</v>
      </c>
      <c r="AX2200" s="2">
        <v>22.615377324929</v>
      </c>
      <c r="AY2200" s="2">
        <v>22.955331424992199</v>
      </c>
      <c r="AZ2200" s="2">
        <v>22.521975189567399</v>
      </c>
      <c r="BA2200" s="2">
        <v>22.284413613931498</v>
      </c>
      <c r="BB2200" s="2">
        <v>22.925122212388398</v>
      </c>
      <c r="BC2200" s="2">
        <v>23.470388383596099</v>
      </c>
      <c r="BD2200" s="2">
        <v>22.503857888671199</v>
      </c>
      <c r="BE2200" s="2">
        <v>23.410905428348801</v>
      </c>
      <c r="BF2200" s="2">
        <v>23.021103780272</v>
      </c>
      <c r="BG2200" s="2">
        <v>22.988845057774199</v>
      </c>
      <c r="BH2200" s="2">
        <v>23.192936245498299</v>
      </c>
      <c r="BI2200" s="2">
        <v>22.896908239664501</v>
      </c>
      <c r="BJ2200" s="2">
        <v>22.456650693600199</v>
      </c>
      <c r="BK2200" s="2">
        <v>21.873049688083899</v>
      </c>
      <c r="BL2200" s="2">
        <v>22.931663601926601</v>
      </c>
      <c r="BM2200" s="2">
        <v>23.0556357117466</v>
      </c>
      <c r="BN2200" s="2">
        <v>23.113315041867398</v>
      </c>
      <c r="BO2200" s="2">
        <v>22.766474905841399</v>
      </c>
      <c r="BP2200" s="2">
        <v>22.423539633530702</v>
      </c>
      <c r="BQ2200" s="2">
        <v>22.842477480576299</v>
      </c>
      <c r="BR2200" s="2">
        <v>23.056048090021498</v>
      </c>
      <c r="BS2200" s="2">
        <v>23.241536820816702</v>
      </c>
      <c r="BT2200" s="2">
        <v>22.766300464823001</v>
      </c>
      <c r="BU2200" s="2">
        <v>21.644922596499701</v>
      </c>
      <c r="BV2200" s="2">
        <v>20.951763932712499</v>
      </c>
      <c r="BW2200" s="2">
        <v>22.344863962904999</v>
      </c>
      <c r="BX2200" s="2">
        <v>23.5075818988329</v>
      </c>
      <c r="BY2200" s="2">
        <v>23.566941999354501</v>
      </c>
      <c r="BZ2200" s="2">
        <v>20.271374514123099</v>
      </c>
      <c r="CA2200" s="2">
        <v>22.651258921241698</v>
      </c>
      <c r="CB2200" s="2">
        <v>21.5151601567682</v>
      </c>
      <c r="CC2200" s="2">
        <v>22.2361385238727</v>
      </c>
      <c r="CD2200" s="2">
        <v>22.0748838524379</v>
      </c>
      <c r="CE2200" s="2">
        <v>21.0079737003629</v>
      </c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</row>
    <row r="2201" spans="1:97">
      <c r="A2201" s="2" t="s">
        <v>19080</v>
      </c>
      <c r="B2201" s="2">
        <v>319.12842999999998</v>
      </c>
      <c r="C2201" s="2">
        <v>5.0819999999999999</v>
      </c>
      <c r="D2201" s="2" t="s">
        <v>84</v>
      </c>
      <c r="E2201" s="2" t="s">
        <v>19081</v>
      </c>
      <c r="F2201" s="2" t="s">
        <v>19082</v>
      </c>
      <c r="G2201" s="2">
        <v>54292</v>
      </c>
      <c r="H2201" s="3" t="str">
        <f>HYPERLINK("https://cloud.oebiotech.com/#/lm/network/54292", "https://cloud.oebiotech.com/#/lm/network/54292")</f>
        <v>https://cloud.oebiotech.com/#/lm/network/54292</v>
      </c>
      <c r="I2201" s="2" t="s">
        <v>19083</v>
      </c>
      <c r="J2201" s="2">
        <v>86187</v>
      </c>
      <c r="K2201" s="2"/>
      <c r="L2201" s="2">
        <v>5494827</v>
      </c>
      <c r="M2201" s="2"/>
      <c r="N2201" s="2"/>
      <c r="O2201" s="2"/>
      <c r="P2201" s="2">
        <v>542817</v>
      </c>
      <c r="Q2201" s="2"/>
      <c r="R2201" s="2"/>
      <c r="S2201" s="2" t="s">
        <v>19084</v>
      </c>
      <c r="T2201" s="2" t="s">
        <v>19085</v>
      </c>
      <c r="U2201" s="2" t="s">
        <v>19086</v>
      </c>
      <c r="V2201" s="2" t="s">
        <v>553</v>
      </c>
      <c r="W2201" s="2" t="s">
        <v>1599</v>
      </c>
      <c r="X2201" s="2" t="s">
        <v>11153</v>
      </c>
      <c r="Y2201" s="2" t="s">
        <v>556</v>
      </c>
      <c r="Z2201" s="2" t="s">
        <v>1601</v>
      </c>
      <c r="AA2201" s="2" t="s">
        <v>11154</v>
      </c>
      <c r="AB2201" s="2" t="s">
        <v>8443</v>
      </c>
      <c r="AC2201" s="2">
        <v>37.659999999999997</v>
      </c>
      <c r="AD2201" s="2">
        <v>89.55</v>
      </c>
      <c r="AE2201" s="2">
        <v>0</v>
      </c>
      <c r="AF2201" s="2" t="s">
        <v>19087</v>
      </c>
      <c r="AG2201" s="2" t="s">
        <v>132</v>
      </c>
      <c r="AH2201" s="2" t="s">
        <v>19088</v>
      </c>
      <c r="AI2201" s="2">
        <v>1.25</v>
      </c>
      <c r="AJ2201" s="2">
        <v>18.8742729518003</v>
      </c>
      <c r="AK2201" s="2">
        <v>18.923111653528501</v>
      </c>
      <c r="AL2201" s="2">
        <v>18.8704595450548</v>
      </c>
      <c r="AM2201" s="2">
        <v>19.0348379111215</v>
      </c>
      <c r="AN2201" s="2">
        <v>18.919925009497799</v>
      </c>
      <c r="AO2201" s="2">
        <v>18.505508389602401</v>
      </c>
      <c r="AP2201" s="2">
        <v>18.445208640017199</v>
      </c>
      <c r="AQ2201" s="2">
        <v>19.1641958060871</v>
      </c>
      <c r="AR2201" s="2">
        <v>16.593263305554601</v>
      </c>
      <c r="AS2201" s="2">
        <v>17.994486804845099</v>
      </c>
      <c r="AT2201" s="2">
        <v>18.8334141712965</v>
      </c>
      <c r="AU2201" s="2">
        <v>16.216440276057501</v>
      </c>
      <c r="AV2201" s="2">
        <v>17.645908104774801</v>
      </c>
      <c r="AW2201" s="2">
        <v>18.9939083549136</v>
      </c>
      <c r="AX2201" s="2">
        <v>18.824846522683899</v>
      </c>
      <c r="AY2201" s="2">
        <v>18.625297034109099</v>
      </c>
      <c r="AZ2201" s="2">
        <v>17.522655239466499</v>
      </c>
      <c r="BA2201" s="2">
        <v>17.7185394313267</v>
      </c>
      <c r="BB2201" s="2">
        <v>18.572467460054899</v>
      </c>
      <c r="BC2201" s="2">
        <v>20.1846750353841</v>
      </c>
      <c r="BD2201" s="2">
        <v>17.538738963820901</v>
      </c>
      <c r="BE2201" s="2">
        <v>20.330207416996601</v>
      </c>
      <c r="BF2201" s="2">
        <v>18.185821065577901</v>
      </c>
      <c r="BG2201" s="2">
        <v>19.196471185210498</v>
      </c>
      <c r="BH2201" s="2">
        <v>18.889173785320001</v>
      </c>
      <c r="BI2201" s="2">
        <v>19.0865896141392</v>
      </c>
      <c r="BJ2201" s="2">
        <v>19.2380185513735</v>
      </c>
      <c r="BK2201" s="2">
        <v>17.712567167287698</v>
      </c>
      <c r="BL2201" s="2">
        <v>16.239863267539999</v>
      </c>
      <c r="BM2201" s="2">
        <v>16.910901502393799</v>
      </c>
      <c r="BN2201" s="2">
        <v>18.764444458169798</v>
      </c>
      <c r="BO2201" s="2">
        <v>18.3778413173156</v>
      </c>
      <c r="BP2201" s="2">
        <v>19.099364249405301</v>
      </c>
      <c r="BQ2201" s="2">
        <v>18.132228345297499</v>
      </c>
      <c r="BR2201" s="2">
        <v>19.5618421045994</v>
      </c>
      <c r="BS2201" s="2">
        <v>18.688249045408298</v>
      </c>
      <c r="BT2201" s="2">
        <v>18.0263082714362</v>
      </c>
      <c r="BU2201" s="2">
        <v>18.933098947296799</v>
      </c>
      <c r="BV2201" s="2">
        <v>18.9410571230698</v>
      </c>
      <c r="BW2201" s="2">
        <v>18.400220654458899</v>
      </c>
      <c r="BX2201" s="2">
        <v>17.785330876129699</v>
      </c>
      <c r="BY2201" s="2">
        <v>20.043694124852401</v>
      </c>
      <c r="BZ2201" s="2">
        <v>17.570460114445499</v>
      </c>
      <c r="CA2201" s="2">
        <v>17.358255758436201</v>
      </c>
      <c r="CB2201" s="2">
        <v>18.105340804150899</v>
      </c>
      <c r="CC2201" s="2">
        <v>18.375570804459599</v>
      </c>
      <c r="CD2201" s="2">
        <v>20.021435834737002</v>
      </c>
      <c r="CE2201" s="2">
        <v>17.676043836744199</v>
      </c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</row>
    <row r="2202" spans="1:97">
      <c r="A2202" s="2" t="s">
        <v>19089</v>
      </c>
      <c r="B2202" s="2">
        <v>277.06875000000002</v>
      </c>
      <c r="C2202" s="2">
        <v>4.9509999999999996</v>
      </c>
      <c r="D2202" s="2" t="s">
        <v>146</v>
      </c>
      <c r="E2202" s="2" t="s">
        <v>19090</v>
      </c>
      <c r="F2202" s="2" t="s">
        <v>19091</v>
      </c>
      <c r="G2202" s="2">
        <v>53918</v>
      </c>
      <c r="H2202" s="3" t="str">
        <f>HYPERLINK("https://cloud.oebiotech.com/#/lm/network/53918", "https://cloud.oebiotech.com/#/lm/network/53918")</f>
        <v>https://cloud.oebiotech.com/#/lm/network/53918</v>
      </c>
      <c r="I2202" s="2" t="s">
        <v>19092</v>
      </c>
      <c r="J2202" s="2">
        <v>326258</v>
      </c>
      <c r="K2202" s="2"/>
      <c r="L2202" s="2">
        <v>6992829</v>
      </c>
      <c r="M2202" s="2"/>
      <c r="N2202" s="2"/>
      <c r="O2202" s="2"/>
      <c r="P2202" s="2">
        <v>74056</v>
      </c>
      <c r="Q2202" s="2"/>
      <c r="R2202" s="2"/>
      <c r="S2202" s="2" t="s">
        <v>19093</v>
      </c>
      <c r="T2202" s="2" t="s">
        <v>19094</v>
      </c>
      <c r="U2202" s="2" t="s">
        <v>19095</v>
      </c>
      <c r="V2202" s="2" t="s">
        <v>115</v>
      </c>
      <c r="W2202" s="2" t="s">
        <v>116</v>
      </c>
      <c r="X2202" s="2" t="s">
        <v>117</v>
      </c>
      <c r="Y2202" s="2" t="s">
        <v>118</v>
      </c>
      <c r="Z2202" s="2" t="s">
        <v>119</v>
      </c>
      <c r="AA2202" s="2" t="s">
        <v>120</v>
      </c>
      <c r="AB2202" s="2" t="s">
        <v>5118</v>
      </c>
      <c r="AC2202" s="2">
        <v>37.65</v>
      </c>
      <c r="AD2202" s="2">
        <v>80.459999999999994</v>
      </c>
      <c r="AE2202" s="2">
        <v>54.1</v>
      </c>
      <c r="AF2202" s="2" t="s">
        <v>19096</v>
      </c>
      <c r="AG2202" s="2" t="s">
        <v>4062</v>
      </c>
      <c r="AH2202" s="2" t="s">
        <v>11318</v>
      </c>
      <c r="AI2202" s="2">
        <v>7.58</v>
      </c>
      <c r="AJ2202" s="2">
        <v>21.844010019666101</v>
      </c>
      <c r="AK2202" s="2">
        <v>21.809882471229901</v>
      </c>
      <c r="AL2202" s="2">
        <v>21.782107111841601</v>
      </c>
      <c r="AM2202" s="2">
        <v>21.885496587950101</v>
      </c>
      <c r="AN2202" s="2">
        <v>22.002318216827401</v>
      </c>
      <c r="AO2202" s="2">
        <v>21.9600353395806</v>
      </c>
      <c r="AP2202" s="2">
        <v>21.6305612402473</v>
      </c>
      <c r="AQ2202" s="2">
        <v>21.9295786119505</v>
      </c>
      <c r="AR2202" s="2">
        <v>20.789280103553001</v>
      </c>
      <c r="AS2202" s="2">
        <v>20.295174985837001</v>
      </c>
      <c r="AT2202" s="2">
        <v>20.845790387171</v>
      </c>
      <c r="AU2202" s="2">
        <v>22.361908476316</v>
      </c>
      <c r="AV2202" s="2">
        <v>21.188071396285601</v>
      </c>
      <c r="AW2202" s="2">
        <v>21.3331333814155</v>
      </c>
      <c r="AX2202" s="2">
        <v>20.3675667553008</v>
      </c>
      <c r="AY2202" s="2">
        <v>20.132902356355999</v>
      </c>
      <c r="AZ2202" s="2">
        <v>20.874805061604601</v>
      </c>
      <c r="BA2202" s="2">
        <v>22.696441911192501</v>
      </c>
      <c r="BB2202" s="2">
        <v>22.765084146203002</v>
      </c>
      <c r="BC2202" s="2">
        <v>22.364456347685</v>
      </c>
      <c r="BD2202" s="2">
        <v>22.467309229108899</v>
      </c>
      <c r="BE2202" s="2">
        <v>21.218468696704999</v>
      </c>
      <c r="BF2202" s="2">
        <v>21.460980122094899</v>
      </c>
      <c r="BG2202" s="2">
        <v>21.663812180030199</v>
      </c>
      <c r="BH2202" s="2">
        <v>22.4950919848736</v>
      </c>
      <c r="BI2202" s="2">
        <v>20.482407831958</v>
      </c>
      <c r="BJ2202" s="2">
        <v>22.7950696404843</v>
      </c>
      <c r="BK2202" s="2">
        <v>23.052277376621699</v>
      </c>
      <c r="BL2202" s="2">
        <v>21.874883086424902</v>
      </c>
      <c r="BM2202" s="2">
        <v>21.7220922838228</v>
      </c>
      <c r="BN2202" s="2">
        <v>22.113263839394399</v>
      </c>
      <c r="BO2202" s="2">
        <v>22.3721258931193</v>
      </c>
      <c r="BP2202" s="2">
        <v>20.5685463578215</v>
      </c>
      <c r="BQ2202" s="2">
        <v>20.839878947470901</v>
      </c>
      <c r="BR2202" s="2">
        <v>20.464460018371501</v>
      </c>
      <c r="BS2202" s="2">
        <v>20.8353408918566</v>
      </c>
      <c r="BT2202" s="2">
        <v>23.315491534986499</v>
      </c>
      <c r="BU2202" s="2">
        <v>22.667205481804402</v>
      </c>
      <c r="BV2202" s="2">
        <v>22.2599628791329</v>
      </c>
      <c r="BW2202" s="2">
        <v>21.4550414619309</v>
      </c>
      <c r="BX2202" s="2">
        <v>22.3233695357603</v>
      </c>
      <c r="BY2202" s="2">
        <v>21.567493139831701</v>
      </c>
      <c r="BZ2202" s="2">
        <v>20.911745796184601</v>
      </c>
      <c r="CA2202" s="2">
        <v>21.334680204889001</v>
      </c>
      <c r="CB2202" s="2">
        <v>21.523390233573199</v>
      </c>
      <c r="CC2202" s="2">
        <v>20.6465271044482</v>
      </c>
      <c r="CD2202" s="2">
        <v>22.468228999805</v>
      </c>
      <c r="CE2202" s="2">
        <v>22.875225664442802</v>
      </c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</row>
    <row r="2203" spans="1:97">
      <c r="A2203" s="2" t="s">
        <v>19097</v>
      </c>
      <c r="B2203" s="2">
        <v>203.04163</v>
      </c>
      <c r="C2203" s="2">
        <v>3.7280000000000002</v>
      </c>
      <c r="D2203" s="2" t="s">
        <v>84</v>
      </c>
      <c r="E2203" s="2" t="s">
        <v>19098</v>
      </c>
      <c r="F2203" s="2" t="s">
        <v>19099</v>
      </c>
      <c r="G2203" s="2">
        <v>254950</v>
      </c>
      <c r="H2203" s="3" t="str">
        <f>HYPERLINK("https://cloud.oebiotech.com/#/lm/network/254950", "https://cloud.oebiotech.com/#/lm/network/254950")</f>
        <v>https://cloud.oebiotech.com/#/lm/network/254950</v>
      </c>
      <c r="I2203" s="2" t="s">
        <v>19100</v>
      </c>
      <c r="J2203" s="2">
        <v>63396</v>
      </c>
      <c r="K2203" s="2"/>
      <c r="L2203" s="2">
        <v>443736</v>
      </c>
      <c r="M2203" s="2" t="s">
        <v>19101</v>
      </c>
      <c r="N2203" s="2" t="s">
        <v>811</v>
      </c>
      <c r="O2203" s="2" t="s">
        <v>812</v>
      </c>
      <c r="P2203" s="2">
        <v>31132</v>
      </c>
      <c r="Q2203" s="2"/>
      <c r="R2203" s="2"/>
      <c r="S2203" s="2"/>
      <c r="T2203" s="2" t="s">
        <v>19102</v>
      </c>
      <c r="U2203" s="2" t="s">
        <v>19103</v>
      </c>
      <c r="V2203" s="2" t="s">
        <v>115</v>
      </c>
      <c r="W2203" s="2" t="s">
        <v>116</v>
      </c>
      <c r="X2203" s="2" t="s">
        <v>117</v>
      </c>
      <c r="Y2203" s="2" t="s">
        <v>118</v>
      </c>
      <c r="Z2203" s="2" t="s">
        <v>119</v>
      </c>
      <c r="AA2203" s="2" t="s">
        <v>120</v>
      </c>
      <c r="AB2203" s="2" t="s">
        <v>8443</v>
      </c>
      <c r="AC2203" s="2">
        <v>37.64</v>
      </c>
      <c r="AD2203" s="2">
        <v>95.5</v>
      </c>
      <c r="AE2203" s="2">
        <v>0</v>
      </c>
      <c r="AF2203" s="2" t="s">
        <v>5614</v>
      </c>
      <c r="AG2203" s="2" t="s">
        <v>103</v>
      </c>
      <c r="AH2203" s="2" t="s">
        <v>19104</v>
      </c>
      <c r="AI2203" s="2">
        <v>-2.46</v>
      </c>
      <c r="AJ2203" s="2">
        <v>21.601137500275598</v>
      </c>
      <c r="AK2203" s="2">
        <v>21.6669572499952</v>
      </c>
      <c r="AL2203" s="2">
        <v>20.860845512522602</v>
      </c>
      <c r="AM2203" s="2">
        <v>20.820452078859901</v>
      </c>
      <c r="AN2203" s="2">
        <v>21.4403802838624</v>
      </c>
      <c r="AO2203" s="2">
        <v>21.0203353772499</v>
      </c>
      <c r="AP2203" s="2">
        <v>21.284396137589301</v>
      </c>
      <c r="AQ2203" s="2">
        <v>20.9035948641347</v>
      </c>
      <c r="AR2203" s="2">
        <v>21.206023787755299</v>
      </c>
      <c r="AS2203" s="2">
        <v>21.3123648434213</v>
      </c>
      <c r="AT2203" s="2">
        <v>21.261344248452399</v>
      </c>
      <c r="AU2203" s="2">
        <v>21.065491343209199</v>
      </c>
      <c r="AV2203" s="2">
        <v>21.5637064803078</v>
      </c>
      <c r="AW2203" s="2">
        <v>21.6184108654944</v>
      </c>
      <c r="AX2203" s="2">
        <v>21.625429790589699</v>
      </c>
      <c r="AY2203" s="2">
        <v>21.033805593978499</v>
      </c>
      <c r="AZ2203" s="2">
        <v>21.3263707441108</v>
      </c>
      <c r="BA2203" s="2">
        <v>21.544336594055199</v>
      </c>
      <c r="BB2203" s="2">
        <v>21.5369008409717</v>
      </c>
      <c r="BC2203" s="2">
        <v>21.560375412606898</v>
      </c>
      <c r="BD2203" s="2">
        <v>21.4749329115695</v>
      </c>
      <c r="BE2203" s="2">
        <v>21.579745872547601</v>
      </c>
      <c r="BF2203" s="2">
        <v>21.636799919224298</v>
      </c>
      <c r="BG2203" s="2">
        <v>21.224333653855901</v>
      </c>
      <c r="BH2203" s="2">
        <v>20.264954529134702</v>
      </c>
      <c r="BI2203" s="2">
        <v>21.4145845152999</v>
      </c>
      <c r="BJ2203" s="2">
        <v>21.3723346928616</v>
      </c>
      <c r="BK2203" s="2">
        <v>21.335298141954901</v>
      </c>
      <c r="BL2203" s="2">
        <v>21.377474708627201</v>
      </c>
      <c r="BM2203" s="2">
        <v>21.4871757343819</v>
      </c>
      <c r="BN2203" s="2">
        <v>21.338324505981699</v>
      </c>
      <c r="BO2203" s="2">
        <v>21.420923197341001</v>
      </c>
      <c r="BP2203" s="2">
        <v>21.4642199856514</v>
      </c>
      <c r="BQ2203" s="2">
        <v>21.3495747745099</v>
      </c>
      <c r="BR2203" s="2">
        <v>21.022615741387099</v>
      </c>
      <c r="BS2203" s="2">
        <v>21.368654541034299</v>
      </c>
      <c r="BT2203" s="2">
        <v>21.365601722160601</v>
      </c>
      <c r="BU2203" s="2">
        <v>21.458119746581701</v>
      </c>
      <c r="BV2203" s="2">
        <v>21.222076105653599</v>
      </c>
      <c r="BW2203" s="2">
        <v>21.1192437921924</v>
      </c>
      <c r="BX2203" s="2">
        <v>21.473046595059401</v>
      </c>
      <c r="BY2203" s="2">
        <v>21.008381923035898</v>
      </c>
      <c r="BZ2203" s="2">
        <v>21.335185785154799</v>
      </c>
      <c r="CA2203" s="2">
        <v>21.332532069424001</v>
      </c>
      <c r="CB2203" s="2">
        <v>21.653349505129501</v>
      </c>
      <c r="CC2203" s="2">
        <v>21.375257563451701</v>
      </c>
      <c r="CD2203" s="2">
        <v>21.332309401882299</v>
      </c>
      <c r="CE2203" s="2">
        <v>20.7615332885666</v>
      </c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</row>
    <row r="2204" spans="1:97">
      <c r="A2204" s="2" t="s">
        <v>19105</v>
      </c>
      <c r="B2204" s="2">
        <v>113.98864</v>
      </c>
      <c r="C2204" s="2">
        <v>1.153</v>
      </c>
      <c r="D2204" s="2" t="s">
        <v>146</v>
      </c>
      <c r="E2204" s="2" t="s">
        <v>19106</v>
      </c>
      <c r="F2204" s="2" t="s">
        <v>19107</v>
      </c>
      <c r="G2204" s="2">
        <v>200520</v>
      </c>
      <c r="H2204" s="3" t="str">
        <f>HYPERLINK("https://cloud.oebiotech.com/#/lm/network/200520", "https://cloud.oebiotech.com/#/lm/network/200520")</f>
        <v>https://cloud.oebiotech.com/#/lm/network/200520</v>
      </c>
      <c r="I2204" s="2" t="s">
        <v>19108</v>
      </c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 t="s">
        <v>19109</v>
      </c>
      <c r="U2204" s="2" t="s">
        <v>19110</v>
      </c>
      <c r="V2204" s="2" t="s">
        <v>19111</v>
      </c>
      <c r="W2204" s="2" t="s">
        <v>19112</v>
      </c>
      <c r="X2204" s="2" t="s">
        <v>375</v>
      </c>
      <c r="Y2204" s="2" t="s">
        <v>19113</v>
      </c>
      <c r="Z2204" s="2" t="s">
        <v>19114</v>
      </c>
      <c r="AA2204" s="2"/>
      <c r="AB2204" s="2" t="s">
        <v>8443</v>
      </c>
      <c r="AC2204" s="2">
        <v>37.64</v>
      </c>
      <c r="AD2204" s="2">
        <v>60.74</v>
      </c>
      <c r="AE2204" s="2">
        <v>0</v>
      </c>
      <c r="AF2204" s="2" t="s">
        <v>5614</v>
      </c>
      <c r="AG2204" s="2" t="s">
        <v>4062</v>
      </c>
      <c r="AH2204" s="2" t="s">
        <v>19115</v>
      </c>
      <c r="AI2204" s="2">
        <v>-3.16</v>
      </c>
      <c r="AJ2204" s="2">
        <v>20.976248485365499</v>
      </c>
      <c r="AK2204" s="2">
        <v>21.357877610729201</v>
      </c>
      <c r="AL2204" s="2">
        <v>21.159412897037502</v>
      </c>
      <c r="AM2204" s="2">
        <v>21.358654656029401</v>
      </c>
      <c r="AN2204" s="2">
        <v>21.353779364175701</v>
      </c>
      <c r="AO2204" s="2">
        <v>21.317397878949301</v>
      </c>
      <c r="AP2204" s="2">
        <v>21.138606617661001</v>
      </c>
      <c r="AQ2204" s="2">
        <v>21.296114455787102</v>
      </c>
      <c r="AR2204" s="2">
        <v>21.349627273286799</v>
      </c>
      <c r="AS2204" s="2">
        <v>21.140449803076599</v>
      </c>
      <c r="AT2204" s="2">
        <v>21.3351388877118</v>
      </c>
      <c r="AU2204" s="2">
        <v>21.547005438028599</v>
      </c>
      <c r="AV2204" s="2">
        <v>20.984298768416998</v>
      </c>
      <c r="AW2204" s="2">
        <v>21.354156649997901</v>
      </c>
      <c r="AX2204" s="2">
        <v>21.450904873951799</v>
      </c>
      <c r="AY2204" s="2">
        <v>21.2340931600597</v>
      </c>
      <c r="AZ2204" s="2">
        <v>21.503615884721199</v>
      </c>
      <c r="BA2204" s="2">
        <v>21.401066689748902</v>
      </c>
      <c r="BB2204" s="2">
        <v>21.2825020384055</v>
      </c>
      <c r="BC2204" s="2">
        <v>20.660498021792598</v>
      </c>
      <c r="BD2204" s="2">
        <v>20.8139812150952</v>
      </c>
      <c r="BE2204" s="2">
        <v>21.009652277714</v>
      </c>
      <c r="BF2204" s="2">
        <v>20.8879226242294</v>
      </c>
      <c r="BG2204" s="2">
        <v>21.417269091000499</v>
      </c>
      <c r="BH2204" s="2">
        <v>21.248448694000601</v>
      </c>
      <c r="BI2204" s="2">
        <v>21.363436950833702</v>
      </c>
      <c r="BJ2204" s="2">
        <v>20.748797403537601</v>
      </c>
      <c r="BK2204" s="2">
        <v>21.282375238481698</v>
      </c>
      <c r="BL2204" s="2">
        <v>21.153114939992498</v>
      </c>
      <c r="BM2204" s="2">
        <v>21.278446004073601</v>
      </c>
      <c r="BN2204" s="2">
        <v>21.460989307956801</v>
      </c>
      <c r="BO2204" s="2">
        <v>20.535236347026899</v>
      </c>
      <c r="BP2204" s="2">
        <v>21.311483612697899</v>
      </c>
      <c r="BQ2204" s="2">
        <v>21.466295541082399</v>
      </c>
      <c r="BR2204" s="2">
        <v>20.873345502434098</v>
      </c>
      <c r="BS2204" s="2">
        <v>21.232292939278398</v>
      </c>
      <c r="BT2204" s="2">
        <v>21.332196314807899</v>
      </c>
      <c r="BU2204" s="2">
        <v>21.117643824217598</v>
      </c>
      <c r="BV2204" s="2">
        <v>21.205489305695401</v>
      </c>
      <c r="BW2204" s="2">
        <v>21.367080436358599</v>
      </c>
      <c r="BX2204" s="2">
        <v>21.020525336773002</v>
      </c>
      <c r="BY2204" s="2">
        <v>20.632930101427998</v>
      </c>
      <c r="BZ2204" s="2">
        <v>20.9433934857629</v>
      </c>
      <c r="CA2204" s="2">
        <v>20.991380168988499</v>
      </c>
      <c r="CB2204" s="2">
        <v>21.286347807139801</v>
      </c>
      <c r="CC2204" s="2">
        <v>21.183341757814699</v>
      </c>
      <c r="CD2204" s="2">
        <v>20.863638186609101</v>
      </c>
      <c r="CE2204" s="2">
        <v>20.8702796422847</v>
      </c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</row>
    <row r="2205" spans="1:97">
      <c r="A2205" s="2" t="s">
        <v>19116</v>
      </c>
      <c r="B2205" s="2">
        <v>327.09813000000003</v>
      </c>
      <c r="C2205" s="2">
        <v>7.5279999999999996</v>
      </c>
      <c r="D2205" s="2" t="s">
        <v>146</v>
      </c>
      <c r="E2205" s="2" t="s">
        <v>19117</v>
      </c>
      <c r="F2205" s="2" t="s">
        <v>19118</v>
      </c>
      <c r="G2205" s="2">
        <v>209488</v>
      </c>
      <c r="H2205" s="3" t="str">
        <f>HYPERLINK("https://cloud.oebiotech.com/#/lm/network/209488", "https://cloud.oebiotech.com/#/lm/network/209488")</f>
        <v>https://cloud.oebiotech.com/#/lm/network/209488</v>
      </c>
      <c r="I2205" s="2" t="s">
        <v>19119</v>
      </c>
      <c r="J2205" s="2"/>
      <c r="K2205" s="2"/>
      <c r="L2205" s="2">
        <v>54167661</v>
      </c>
      <c r="M2205" s="2"/>
      <c r="N2205" s="2"/>
      <c r="O2205" s="2"/>
      <c r="P2205" s="2">
        <v>94357</v>
      </c>
      <c r="Q2205" s="2"/>
      <c r="R2205" s="2"/>
      <c r="S2205" s="2"/>
      <c r="T2205" s="2" t="s">
        <v>19120</v>
      </c>
      <c r="U2205" s="2" t="s">
        <v>19121</v>
      </c>
      <c r="V2205" s="2" t="s">
        <v>553</v>
      </c>
      <c r="W2205" s="2" t="s">
        <v>2447</v>
      </c>
      <c r="X2205" s="2" t="s">
        <v>6211</v>
      </c>
      <c r="Y2205" s="2" t="s">
        <v>556</v>
      </c>
      <c r="Z2205" s="2" t="s">
        <v>2449</v>
      </c>
      <c r="AA2205" s="2" t="s">
        <v>6212</v>
      </c>
      <c r="AB2205" s="2" t="s">
        <v>8443</v>
      </c>
      <c r="AC2205" s="2">
        <v>37.64</v>
      </c>
      <c r="AD2205" s="2">
        <v>88.18</v>
      </c>
      <c r="AE2205" s="2">
        <v>0</v>
      </c>
      <c r="AF2205" s="2" t="s">
        <v>19122</v>
      </c>
      <c r="AG2205" s="2" t="s">
        <v>993</v>
      </c>
      <c r="AH2205" s="2" t="s">
        <v>9288</v>
      </c>
      <c r="AI2205" s="2">
        <v>0</v>
      </c>
      <c r="AJ2205" s="2">
        <v>18.011616884241601</v>
      </c>
      <c r="AK2205" s="2">
        <v>18.242360601544998</v>
      </c>
      <c r="AL2205" s="2">
        <v>18.318142221221901</v>
      </c>
      <c r="AM2205" s="2">
        <v>18.283812964987401</v>
      </c>
      <c r="AN2205" s="2">
        <v>18.193039015768999</v>
      </c>
      <c r="AO2205" s="2">
        <v>18.3043172273217</v>
      </c>
      <c r="AP2205" s="2">
        <v>17.955740254747599</v>
      </c>
      <c r="AQ2205" s="2">
        <v>18.0217919531175</v>
      </c>
      <c r="AR2205" s="2">
        <v>17.108758740935599</v>
      </c>
      <c r="AS2205" s="2">
        <v>16.937324964715501</v>
      </c>
      <c r="AT2205" s="2">
        <v>18.294910617406199</v>
      </c>
      <c r="AU2205" s="2">
        <v>17.553641967235901</v>
      </c>
      <c r="AV2205" s="2">
        <v>17.686731743101799</v>
      </c>
      <c r="AW2205" s="2">
        <v>18.1778459841364</v>
      </c>
      <c r="AX2205" s="2">
        <v>17.373952825242899</v>
      </c>
      <c r="AY2205" s="2">
        <v>18.0167733644004</v>
      </c>
      <c r="AZ2205" s="2">
        <v>18.036658401144699</v>
      </c>
      <c r="BA2205" s="2">
        <v>17.934707572568499</v>
      </c>
      <c r="BB2205" s="2">
        <v>18.174529288614899</v>
      </c>
      <c r="BC2205" s="2">
        <v>18.334812161091701</v>
      </c>
      <c r="BD2205" s="2">
        <v>17.956576492440199</v>
      </c>
      <c r="BE2205" s="2">
        <v>18.867529329973902</v>
      </c>
      <c r="BF2205" s="2">
        <v>17.882268035071899</v>
      </c>
      <c r="BG2205" s="2">
        <v>18.4481344583903</v>
      </c>
      <c r="BH2205" s="2">
        <v>17.926566277856601</v>
      </c>
      <c r="BI2205" s="2">
        <v>18.578837059274299</v>
      </c>
      <c r="BJ2205" s="2">
        <v>17.823263793928799</v>
      </c>
      <c r="BK2205" s="2">
        <v>17.719202629282499</v>
      </c>
      <c r="BL2205" s="2">
        <v>17.631588823945599</v>
      </c>
      <c r="BM2205" s="2">
        <v>17.436160000764101</v>
      </c>
      <c r="BN2205" s="2">
        <v>18.485163581250699</v>
      </c>
      <c r="BO2205" s="2">
        <v>18.0468165886634</v>
      </c>
      <c r="BP2205" s="2">
        <v>17.3343392862574</v>
      </c>
      <c r="BQ2205" s="2">
        <v>18.2420036719896</v>
      </c>
      <c r="BR2205" s="2">
        <v>18.264579541627199</v>
      </c>
      <c r="BS2205" s="2">
        <v>17.830598453169198</v>
      </c>
      <c r="BT2205" s="2">
        <v>18.568854769745101</v>
      </c>
      <c r="BU2205" s="2">
        <v>18.172885945052901</v>
      </c>
      <c r="BV2205" s="2">
        <v>18.359075198077299</v>
      </c>
      <c r="BW2205" s="2">
        <v>17.291007336235101</v>
      </c>
      <c r="BX2205" s="2">
        <v>18.033827971346099</v>
      </c>
      <c r="BY2205" s="2">
        <v>19.192884567982301</v>
      </c>
      <c r="BZ2205" s="2">
        <v>18.116896644760399</v>
      </c>
      <c r="CA2205" s="2">
        <v>18.168185941374102</v>
      </c>
      <c r="CB2205" s="2">
        <v>17.384612945985499</v>
      </c>
      <c r="CC2205" s="2">
        <v>18.7066570145134</v>
      </c>
      <c r="CD2205" s="2">
        <v>18.106177526230098</v>
      </c>
      <c r="CE2205" s="2">
        <v>18.386862507462201</v>
      </c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</row>
    <row r="2206" spans="1:97">
      <c r="A2206" s="2" t="s">
        <v>19123</v>
      </c>
      <c r="B2206" s="2">
        <v>188.04555999999999</v>
      </c>
      <c r="C2206" s="2">
        <v>1.3919999999999999</v>
      </c>
      <c r="D2206" s="2" t="s">
        <v>146</v>
      </c>
      <c r="E2206" s="2" t="s">
        <v>19124</v>
      </c>
      <c r="F2206" s="2" t="s">
        <v>19125</v>
      </c>
      <c r="G2206" s="2">
        <v>82890</v>
      </c>
      <c r="H2206" s="3" t="str">
        <f>HYPERLINK("https://cloud.oebiotech.com/#/lm/network/82890", "https://cloud.oebiotech.com/#/lm/network/82890")</f>
        <v>https://cloud.oebiotech.com/#/lm/network/82890</v>
      </c>
      <c r="I2206" s="2" t="s">
        <v>19126</v>
      </c>
      <c r="J2206" s="2"/>
      <c r="K2206" s="2"/>
      <c r="L2206" s="2">
        <v>198292</v>
      </c>
      <c r="M2206" s="2"/>
      <c r="N2206" s="2"/>
      <c r="O2206" s="2"/>
      <c r="P2206" s="2"/>
      <c r="Q2206" s="2"/>
      <c r="R2206" s="2"/>
      <c r="S2206" s="2"/>
      <c r="T2206" s="2" t="s">
        <v>19127</v>
      </c>
      <c r="U2206" s="2" t="s">
        <v>19128</v>
      </c>
      <c r="V2206" s="2" t="s">
        <v>553</v>
      </c>
      <c r="W2206" s="2" t="s">
        <v>554</v>
      </c>
      <c r="X2206" s="2" t="s">
        <v>12013</v>
      </c>
      <c r="Y2206" s="2" t="s">
        <v>556</v>
      </c>
      <c r="Z2206" s="2" t="s">
        <v>557</v>
      </c>
      <c r="AA2206" s="2" t="s">
        <v>12014</v>
      </c>
      <c r="AB2206" s="2" t="s">
        <v>8443</v>
      </c>
      <c r="AC2206" s="2">
        <v>37.64</v>
      </c>
      <c r="AD2206" s="2">
        <v>93.86</v>
      </c>
      <c r="AE2206" s="2">
        <v>0</v>
      </c>
      <c r="AF2206" s="2" t="s">
        <v>5614</v>
      </c>
      <c r="AG2206" s="2" t="s">
        <v>993</v>
      </c>
      <c r="AH2206" s="2" t="s">
        <v>19129</v>
      </c>
      <c r="AI2206" s="2">
        <v>2.13</v>
      </c>
      <c r="AJ2206" s="2">
        <v>17.928610321930002</v>
      </c>
      <c r="AK2206" s="2">
        <v>17.972290685290702</v>
      </c>
      <c r="AL2206" s="2">
        <v>18.2596796902302</v>
      </c>
      <c r="AM2206" s="2">
        <v>17.7857018147104</v>
      </c>
      <c r="AN2206" s="2">
        <v>17.9804617710783</v>
      </c>
      <c r="AO2206" s="2">
        <v>17.707247832860698</v>
      </c>
      <c r="AP2206" s="2">
        <v>17.827787460853301</v>
      </c>
      <c r="AQ2206" s="2">
        <v>17.848982786935601</v>
      </c>
      <c r="AR2206" s="2">
        <v>17.4536583962274</v>
      </c>
      <c r="AS2206" s="2">
        <v>16.8302246432199</v>
      </c>
      <c r="AT2206" s="2">
        <v>17.1171622514203</v>
      </c>
      <c r="AU2206" s="2">
        <v>16.9257704570838</v>
      </c>
      <c r="AV2206" s="2">
        <v>18.2010543038195</v>
      </c>
      <c r="AW2206" s="2">
        <v>18.056637503450201</v>
      </c>
      <c r="AX2206" s="2">
        <v>17.7703177842081</v>
      </c>
      <c r="AY2206" s="2">
        <v>18.074061841739201</v>
      </c>
      <c r="AZ2206" s="2">
        <v>17.663540731956399</v>
      </c>
      <c r="BA2206" s="2">
        <v>17.497365603085299</v>
      </c>
      <c r="BB2206" s="2">
        <v>18.0740191279336</v>
      </c>
      <c r="BC2206" s="2">
        <v>17.9144376905219</v>
      </c>
      <c r="BD2206" s="2">
        <v>16.7745322803828</v>
      </c>
      <c r="BE2206" s="2">
        <v>18.3065770300216</v>
      </c>
      <c r="BF2206" s="2">
        <v>16.9895636943494</v>
      </c>
      <c r="BG2206" s="2">
        <v>17.890240998363499</v>
      </c>
      <c r="BH2206" s="2">
        <v>17.987310206001801</v>
      </c>
      <c r="BI2206" s="2">
        <v>17.398765649455999</v>
      </c>
      <c r="BJ2206" s="2">
        <v>18.560539617126899</v>
      </c>
      <c r="BK2206" s="2">
        <v>17.663654968109</v>
      </c>
      <c r="BL2206" s="2">
        <v>16.999230853697</v>
      </c>
      <c r="BM2206" s="2">
        <v>18.203355889828799</v>
      </c>
      <c r="BN2206" s="2">
        <v>17.891985974814698</v>
      </c>
      <c r="BO2206" s="2">
        <v>17.909731800251901</v>
      </c>
      <c r="BP2206" s="2">
        <v>17.8429056245269</v>
      </c>
      <c r="BQ2206" s="2">
        <v>18.331697502472199</v>
      </c>
      <c r="BR2206" s="2">
        <v>17.5628446141626</v>
      </c>
      <c r="BS2206" s="2">
        <v>17.481413484344898</v>
      </c>
      <c r="BT2206" s="2">
        <v>17.157618323156701</v>
      </c>
      <c r="BU2206" s="2">
        <v>17.417992737132799</v>
      </c>
      <c r="BV2206" s="2">
        <v>18.0097091785969</v>
      </c>
      <c r="BW2206" s="2">
        <v>16.974848672985299</v>
      </c>
      <c r="BX2206" s="2">
        <v>17.9190091830684</v>
      </c>
      <c r="BY2206" s="2">
        <v>17.9503983556611</v>
      </c>
      <c r="BZ2206" s="2">
        <v>17.162166972076498</v>
      </c>
      <c r="CA2206" s="2">
        <v>17.542253892652401</v>
      </c>
      <c r="CB2206" s="2">
        <v>17.327563432677199</v>
      </c>
      <c r="CC2206" s="2">
        <v>18.078117807459801</v>
      </c>
      <c r="CD2206" s="2">
        <v>17.904189237482399</v>
      </c>
      <c r="CE2206" s="2">
        <v>17.129391094263401</v>
      </c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</row>
    <row r="2207" spans="1:97">
      <c r="A2207" s="2" t="s">
        <v>19130</v>
      </c>
      <c r="B2207" s="2">
        <v>519.22702000000004</v>
      </c>
      <c r="C2207" s="2">
        <v>7.5060000000000002</v>
      </c>
      <c r="D2207" s="2" t="s">
        <v>84</v>
      </c>
      <c r="E2207" s="2" t="s">
        <v>19131</v>
      </c>
      <c r="F2207" s="2" t="s">
        <v>19132</v>
      </c>
      <c r="G2207" s="2">
        <v>205130</v>
      </c>
      <c r="H2207" s="3" t="str">
        <f>HYPERLINK("https://cloud.oebiotech.com/#/lm/network/205130", "https://cloud.oebiotech.com/#/lm/network/205130")</f>
        <v>https://cloud.oebiotech.com/#/lm/network/205130</v>
      </c>
      <c r="I2207" s="2" t="s">
        <v>19133</v>
      </c>
      <c r="J2207" s="2">
        <v>329851</v>
      </c>
      <c r="K2207" s="2"/>
      <c r="L2207" s="2">
        <v>2793</v>
      </c>
      <c r="M2207" s="2"/>
      <c r="N2207" s="2"/>
      <c r="O2207" s="2"/>
      <c r="P2207" s="2"/>
      <c r="Q2207" s="2"/>
      <c r="R2207" s="2"/>
      <c r="S2207" s="2"/>
      <c r="T2207" s="2" t="s">
        <v>19134</v>
      </c>
      <c r="U2207" s="2" t="s">
        <v>19135</v>
      </c>
      <c r="V2207" s="2" t="s">
        <v>553</v>
      </c>
      <c r="W2207" s="2" t="s">
        <v>14714</v>
      </c>
      <c r="X2207" s="2" t="s">
        <v>19136</v>
      </c>
      <c r="Y2207" s="2" t="s">
        <v>556</v>
      </c>
      <c r="Z2207" s="2" t="s">
        <v>14715</v>
      </c>
      <c r="AA2207" s="2" t="s">
        <v>19137</v>
      </c>
      <c r="AB2207" s="2" t="s">
        <v>8443</v>
      </c>
      <c r="AC2207" s="2">
        <v>37.619999999999997</v>
      </c>
      <c r="AD2207" s="2">
        <v>75.91</v>
      </c>
      <c r="AE2207" s="2">
        <v>30.69</v>
      </c>
      <c r="AF2207" s="2" t="s">
        <v>19138</v>
      </c>
      <c r="AG2207" s="2" t="s">
        <v>3544</v>
      </c>
      <c r="AH2207" s="2" t="s">
        <v>19139</v>
      </c>
      <c r="AI2207" s="2">
        <v>3.47</v>
      </c>
      <c r="AJ2207" s="2">
        <v>18.701450575337699</v>
      </c>
      <c r="AK2207" s="2">
        <v>18.9861435229124</v>
      </c>
      <c r="AL2207" s="2">
        <v>18.6723283399559</v>
      </c>
      <c r="AM2207" s="2">
        <v>19.197938306556502</v>
      </c>
      <c r="AN2207" s="2">
        <v>18.903373588114</v>
      </c>
      <c r="AO2207" s="2">
        <v>18.4680725944364</v>
      </c>
      <c r="AP2207" s="2">
        <v>18.444782776071701</v>
      </c>
      <c r="AQ2207" s="2">
        <v>18.690398406718799</v>
      </c>
      <c r="AR2207" s="2">
        <v>17.804559169484399</v>
      </c>
      <c r="AS2207" s="2">
        <v>9.6233145402724691</v>
      </c>
      <c r="AT2207" s="2">
        <v>15.789627885742</v>
      </c>
      <c r="AU2207" s="2">
        <v>17.925538909493099</v>
      </c>
      <c r="AV2207" s="2">
        <v>13.997129190422299</v>
      </c>
      <c r="AW2207" s="2">
        <v>19.5951041082626</v>
      </c>
      <c r="AX2207" s="2">
        <v>14.5606074933802</v>
      </c>
      <c r="AY2207" s="2">
        <v>17.824937925585498</v>
      </c>
      <c r="AZ2207" s="2">
        <v>9.6233145402724691</v>
      </c>
      <c r="BA2207" s="2">
        <v>9.6233145402724691</v>
      </c>
      <c r="BB2207" s="2">
        <v>20.221155825672099</v>
      </c>
      <c r="BC2207" s="2">
        <v>15.532868777477301</v>
      </c>
      <c r="BD2207" s="2">
        <v>9.6233145402724691</v>
      </c>
      <c r="BE2207" s="2">
        <v>16.7156700658612</v>
      </c>
      <c r="BF2207" s="2">
        <v>9.6233145402724691</v>
      </c>
      <c r="BG2207" s="2">
        <v>9.6233145402724691</v>
      </c>
      <c r="BH2207" s="2">
        <v>14.388089283720801</v>
      </c>
      <c r="BI2207" s="2">
        <v>9.6233145402724691</v>
      </c>
      <c r="BJ2207" s="2">
        <v>9.6233145402724691</v>
      </c>
      <c r="BK2207" s="2">
        <v>18.0154396633693</v>
      </c>
      <c r="BL2207" s="2">
        <v>9.6233145402724691</v>
      </c>
      <c r="BM2207" s="2">
        <v>18.221509477276499</v>
      </c>
      <c r="BN2207" s="2">
        <v>17.275966147346299</v>
      </c>
      <c r="BO2207" s="2">
        <v>9.6233145402724691</v>
      </c>
      <c r="BP2207" s="2">
        <v>9.6233145402724691</v>
      </c>
      <c r="BQ2207" s="2">
        <v>17.490915572241999</v>
      </c>
      <c r="BR2207" s="2">
        <v>15.4517661850038</v>
      </c>
      <c r="BS2207" s="2">
        <v>16.945838040819901</v>
      </c>
      <c r="BT2207" s="2">
        <v>9.6233145402724691</v>
      </c>
      <c r="BU2207" s="2">
        <v>9.6233145402724691</v>
      </c>
      <c r="BV2207" s="2">
        <v>19.741130412006701</v>
      </c>
      <c r="BW2207" s="2">
        <v>9.6233145402724691</v>
      </c>
      <c r="BX2207" s="2">
        <v>14.038567529561499</v>
      </c>
      <c r="BY2207" s="2">
        <v>9.6233145402724691</v>
      </c>
      <c r="BZ2207" s="2">
        <v>16.706556317957101</v>
      </c>
      <c r="CA2207" s="2">
        <v>14.0675872944592</v>
      </c>
      <c r="CB2207" s="2">
        <v>16.5991650695616</v>
      </c>
      <c r="CC2207" s="2">
        <v>9.6233145402724691</v>
      </c>
      <c r="CD2207" s="2">
        <v>15.6210897401888</v>
      </c>
      <c r="CE2207" s="2">
        <v>9.6233145402724691</v>
      </c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</row>
    <row r="2208" spans="1:97">
      <c r="A2208" s="2" t="s">
        <v>19140</v>
      </c>
      <c r="B2208" s="2">
        <v>335.12601000000001</v>
      </c>
      <c r="C2208" s="2">
        <v>5.7690000000000001</v>
      </c>
      <c r="D2208" s="2" t="s">
        <v>146</v>
      </c>
      <c r="E2208" s="2" t="s">
        <v>19141</v>
      </c>
      <c r="F2208" s="2" t="s">
        <v>19142</v>
      </c>
      <c r="G2208" s="2">
        <v>207466</v>
      </c>
      <c r="H2208" s="3" t="str">
        <f>HYPERLINK("https://cloud.oebiotech.com/#/lm/network/207466", "https://cloud.oebiotech.com/#/lm/network/207466")</f>
        <v>https://cloud.oebiotech.com/#/lm/network/207466</v>
      </c>
      <c r="I2208" s="2" t="s">
        <v>19143</v>
      </c>
      <c r="J2208" s="2"/>
      <c r="K2208" s="2"/>
      <c r="L2208" s="2">
        <v>1282</v>
      </c>
      <c r="M2208" s="2"/>
      <c r="N2208" s="2"/>
      <c r="O2208" s="2"/>
      <c r="P2208" s="2"/>
      <c r="Q2208" s="2"/>
      <c r="R2208" s="2"/>
      <c r="S2208" s="2"/>
      <c r="T2208" s="2" t="s">
        <v>19144</v>
      </c>
      <c r="U2208" s="2" t="s">
        <v>19145</v>
      </c>
      <c r="V2208" s="2" t="s">
        <v>553</v>
      </c>
      <c r="W2208" s="2" t="s">
        <v>9812</v>
      </c>
      <c r="X2208" s="2" t="s">
        <v>375</v>
      </c>
      <c r="Y2208" s="2" t="s">
        <v>556</v>
      </c>
      <c r="Z2208" s="2" t="s">
        <v>9814</v>
      </c>
      <c r="AA2208" s="2"/>
      <c r="AB2208" s="2" t="s">
        <v>8443</v>
      </c>
      <c r="AC2208" s="2">
        <v>37.619999999999997</v>
      </c>
      <c r="AD2208" s="2">
        <v>88.1</v>
      </c>
      <c r="AE2208" s="2">
        <v>0</v>
      </c>
      <c r="AF2208" s="2" t="s">
        <v>5614</v>
      </c>
      <c r="AG2208" s="2" t="s">
        <v>157</v>
      </c>
      <c r="AH2208" s="2" t="s">
        <v>19146</v>
      </c>
      <c r="AI2208" s="2">
        <v>0.6</v>
      </c>
      <c r="AJ2208" s="2">
        <v>16.993683205928601</v>
      </c>
      <c r="AK2208" s="2">
        <v>17.2826682958232</v>
      </c>
      <c r="AL2208" s="2">
        <v>16.930657768187299</v>
      </c>
      <c r="AM2208" s="2">
        <v>17.429739767244701</v>
      </c>
      <c r="AN2208" s="2">
        <v>17.242530776205601</v>
      </c>
      <c r="AO2208" s="2">
        <v>16.962586639307599</v>
      </c>
      <c r="AP2208" s="2">
        <v>17.240869389092399</v>
      </c>
      <c r="AQ2208" s="2">
        <v>17.3896961159159</v>
      </c>
      <c r="AR2208" s="2">
        <v>16.471355938338899</v>
      </c>
      <c r="AS2208" s="2">
        <v>17.1943843422039</v>
      </c>
      <c r="AT2208" s="2">
        <v>16.843898975060299</v>
      </c>
      <c r="AU2208" s="2">
        <v>17.309016023457801</v>
      </c>
      <c r="AV2208" s="2">
        <v>15.164127167410401</v>
      </c>
      <c r="AW2208" s="2">
        <v>14.5167224933593</v>
      </c>
      <c r="AX2208" s="2">
        <v>15.6179839329661</v>
      </c>
      <c r="AY2208" s="2">
        <v>17.1142386987392</v>
      </c>
      <c r="AZ2208" s="2">
        <v>16.653027258549098</v>
      </c>
      <c r="BA2208" s="2">
        <v>17.428457339340302</v>
      </c>
      <c r="BB2208" s="2">
        <v>17.398049645478299</v>
      </c>
      <c r="BC2208" s="2">
        <v>19.512031874852902</v>
      </c>
      <c r="BD2208" s="2">
        <v>15.342610160803799</v>
      </c>
      <c r="BE2208" s="2">
        <v>18.203675294879499</v>
      </c>
      <c r="BF2208" s="2">
        <v>15.942139900308</v>
      </c>
      <c r="BG2208" s="2">
        <v>14.177973835027201</v>
      </c>
      <c r="BH2208" s="2">
        <v>16.425327216042898</v>
      </c>
      <c r="BI2208" s="2">
        <v>16.3482819104849</v>
      </c>
      <c r="BJ2208" s="2">
        <v>16.2999157743516</v>
      </c>
      <c r="BK2208" s="2">
        <v>16.735608378830001</v>
      </c>
      <c r="BL2208" s="2">
        <v>16.6907687274906</v>
      </c>
      <c r="BM2208" s="2">
        <v>18.697454136463001</v>
      </c>
      <c r="BN2208" s="2">
        <v>17.6154412709034</v>
      </c>
      <c r="BO2208" s="2">
        <v>18.1709902217676</v>
      </c>
      <c r="BP2208" s="2">
        <v>15.2734022422205</v>
      </c>
      <c r="BQ2208" s="2">
        <v>14.5737548649453</v>
      </c>
      <c r="BR2208" s="2">
        <v>15.84983632998</v>
      </c>
      <c r="BS2208" s="2">
        <v>17.283806319654602</v>
      </c>
      <c r="BT2208" s="2">
        <v>15.9485105083271</v>
      </c>
      <c r="BU2208" s="2">
        <v>18.102472527120401</v>
      </c>
      <c r="BV2208" s="2">
        <v>19.915779411848799</v>
      </c>
      <c r="BW2208" s="2">
        <v>17.2075940622696</v>
      </c>
      <c r="BX2208" s="2">
        <v>15.6620435693081</v>
      </c>
      <c r="BY2208" s="2">
        <v>17.9110019542812</v>
      </c>
      <c r="BZ2208" s="2">
        <v>16.150304809862401</v>
      </c>
      <c r="CA2208" s="2">
        <v>15.2080807665576</v>
      </c>
      <c r="CB2208" s="2">
        <v>16.828514244464401</v>
      </c>
      <c r="CC2208" s="2">
        <v>15.014525290365601</v>
      </c>
      <c r="CD2208" s="2">
        <v>17.0213478555923</v>
      </c>
      <c r="CE2208" s="2">
        <v>16.311426198230901</v>
      </c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</row>
    <row r="2209" spans="1:97">
      <c r="A2209" s="2" t="s">
        <v>19147</v>
      </c>
      <c r="B2209" s="2">
        <v>225.07411999999999</v>
      </c>
      <c r="C2209" s="2">
        <v>6.8659999999999997</v>
      </c>
      <c r="D2209" s="2" t="s">
        <v>146</v>
      </c>
      <c r="E2209" s="2" t="s">
        <v>19148</v>
      </c>
      <c r="F2209" s="2" t="s">
        <v>19149</v>
      </c>
      <c r="G2209" s="2">
        <v>200726</v>
      </c>
      <c r="H2209" s="3" t="str">
        <f>HYPERLINK("https://cloud.oebiotech.com/#/lm/network/200726", "https://cloud.oebiotech.com/#/lm/network/200726")</f>
        <v>https://cloud.oebiotech.com/#/lm/network/200726</v>
      </c>
      <c r="I2209" s="2" t="s">
        <v>19150</v>
      </c>
      <c r="J2209" s="2"/>
      <c r="K2209" s="2"/>
      <c r="L2209" s="2">
        <v>22251</v>
      </c>
      <c r="M2209" s="2"/>
      <c r="N2209" s="2"/>
      <c r="O2209" s="2"/>
      <c r="P2209" s="2"/>
      <c r="Q2209" s="2"/>
      <c r="R2209" s="2"/>
      <c r="S2209" s="2"/>
      <c r="T2209" s="2" t="s">
        <v>19151</v>
      </c>
      <c r="U2209" s="2" t="s">
        <v>19152</v>
      </c>
      <c r="V2209" s="2" t="s">
        <v>553</v>
      </c>
      <c r="W2209" s="2" t="s">
        <v>19153</v>
      </c>
      <c r="X2209" s="2" t="s">
        <v>19154</v>
      </c>
      <c r="Y2209" s="2" t="s">
        <v>556</v>
      </c>
      <c r="Z2209" s="2" t="s">
        <v>19155</v>
      </c>
      <c r="AA2209" s="2" t="s">
        <v>19156</v>
      </c>
      <c r="AB2209" s="2" t="s">
        <v>8443</v>
      </c>
      <c r="AC2209" s="2">
        <v>37.619999999999997</v>
      </c>
      <c r="AD2209" s="2">
        <v>88.1</v>
      </c>
      <c r="AE2209" s="2">
        <v>0</v>
      </c>
      <c r="AF2209" s="2" t="s">
        <v>19157</v>
      </c>
      <c r="AG2209" s="2" t="s">
        <v>194</v>
      </c>
      <c r="AH2209" s="2" t="s">
        <v>19158</v>
      </c>
      <c r="AI2209" s="2">
        <v>0.89</v>
      </c>
      <c r="AJ2209" s="2">
        <v>18.9566634639651</v>
      </c>
      <c r="AK2209" s="2">
        <v>19.181694228725199</v>
      </c>
      <c r="AL2209" s="2">
        <v>18.953290933371601</v>
      </c>
      <c r="AM2209" s="2">
        <v>19.030725079728001</v>
      </c>
      <c r="AN2209" s="2">
        <v>18.456384577901002</v>
      </c>
      <c r="AO2209" s="2">
        <v>19.224375003147401</v>
      </c>
      <c r="AP2209" s="2">
        <v>18.833341341899299</v>
      </c>
      <c r="AQ2209" s="2">
        <v>18.3484974854059</v>
      </c>
      <c r="AR2209" s="2">
        <v>19.4722109464212</v>
      </c>
      <c r="AS2209" s="2">
        <v>17.2558207388197</v>
      </c>
      <c r="AT2209" s="2">
        <v>17.849457148458001</v>
      </c>
      <c r="AU2209" s="2">
        <v>18.135071002841499</v>
      </c>
      <c r="AV2209" s="2">
        <v>16.626889537825601</v>
      </c>
      <c r="AW2209" s="2">
        <v>19.546666364977199</v>
      </c>
      <c r="AX2209" s="2">
        <v>15.708727727158699</v>
      </c>
      <c r="AY2209" s="2">
        <v>17.918532577889899</v>
      </c>
      <c r="AZ2209" s="2">
        <v>18.544900795944699</v>
      </c>
      <c r="BA2209" s="2">
        <v>17.7881268155556</v>
      </c>
      <c r="BB2209" s="2">
        <v>18.708260197979801</v>
      </c>
      <c r="BC2209" s="2">
        <v>19.278882924878801</v>
      </c>
      <c r="BD2209" s="2">
        <v>16.905938464376</v>
      </c>
      <c r="BE2209" s="2">
        <v>19.032326238047599</v>
      </c>
      <c r="BF2209" s="2">
        <v>17.726908828481001</v>
      </c>
      <c r="BG2209" s="2">
        <v>14.233059385307699</v>
      </c>
      <c r="BH2209" s="2">
        <v>18.727563936818399</v>
      </c>
      <c r="BI2209" s="2">
        <v>19.3249984552886</v>
      </c>
      <c r="BJ2209" s="2">
        <v>18.9851391311668</v>
      </c>
      <c r="BK2209" s="2">
        <v>18.192652624521401</v>
      </c>
      <c r="BL2209" s="2">
        <v>19.278498938392399</v>
      </c>
      <c r="BM2209" s="2">
        <v>18.086554188932201</v>
      </c>
      <c r="BN2209" s="2">
        <v>19.672407109267301</v>
      </c>
      <c r="BO2209" s="2">
        <v>18.303833179030899</v>
      </c>
      <c r="BP2209" s="2">
        <v>17.143464530715601</v>
      </c>
      <c r="BQ2209" s="2">
        <v>18.828664323094699</v>
      </c>
      <c r="BR2209" s="2">
        <v>19.519548799704602</v>
      </c>
      <c r="BS2209" s="2">
        <v>19.345082803068401</v>
      </c>
      <c r="BT2209" s="2">
        <v>18.2597001002366</v>
      </c>
      <c r="BU2209" s="2">
        <v>18.610315389621299</v>
      </c>
      <c r="BV2209" s="2">
        <v>18.102330373286101</v>
      </c>
      <c r="BW2209" s="2">
        <v>16.749140355469699</v>
      </c>
      <c r="BX2209" s="2">
        <v>16.845070633231</v>
      </c>
      <c r="BY2209" s="2">
        <v>20.4236716598374</v>
      </c>
      <c r="BZ2209" s="2">
        <v>17.4873748315859</v>
      </c>
      <c r="CA2209" s="2">
        <v>16.5728764970908</v>
      </c>
      <c r="CB2209" s="2">
        <v>21.3004721315687</v>
      </c>
      <c r="CC2209" s="2">
        <v>18.976583896569899</v>
      </c>
      <c r="CD2209" s="2">
        <v>18.703807820357401</v>
      </c>
      <c r="CE2209" s="2">
        <v>17.728142867967101</v>
      </c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</row>
    <row r="2210" spans="1:97">
      <c r="A2210" s="2" t="s">
        <v>19159</v>
      </c>
      <c r="B2210" s="2">
        <v>533.17957999999999</v>
      </c>
      <c r="C2210" s="2">
        <v>7.907</v>
      </c>
      <c r="D2210" s="2" t="s">
        <v>146</v>
      </c>
      <c r="E2210" s="2" t="s">
        <v>19160</v>
      </c>
      <c r="F2210" s="2" t="s">
        <v>19161</v>
      </c>
      <c r="G2210" s="2">
        <v>35320</v>
      </c>
      <c r="H2210" s="3" t="str">
        <f>HYPERLINK("https://cloud.oebiotech.com/#/lm/network/35320", "https://cloud.oebiotech.com/#/lm/network/35320")</f>
        <v>https://cloud.oebiotech.com/#/lm/network/35320</v>
      </c>
      <c r="I2210" s="2"/>
      <c r="J2210" s="2">
        <v>41172</v>
      </c>
      <c r="K2210" s="2" t="s">
        <v>19162</v>
      </c>
      <c r="L2210" s="2">
        <v>443339</v>
      </c>
      <c r="M2210" s="2" t="s">
        <v>19163</v>
      </c>
      <c r="N2210" s="2"/>
      <c r="O2210" s="2"/>
      <c r="P2210" s="2">
        <v>2319</v>
      </c>
      <c r="Q2210" s="2"/>
      <c r="R2210" s="2"/>
      <c r="S2210" s="2"/>
      <c r="T2210" s="2" t="s">
        <v>19164</v>
      </c>
      <c r="U2210" s="2" t="s">
        <v>19165</v>
      </c>
      <c r="V2210" s="2" t="s">
        <v>95</v>
      </c>
      <c r="W2210" s="2" t="s">
        <v>180</v>
      </c>
      <c r="X2210" s="2" t="s">
        <v>2714</v>
      </c>
      <c r="Y2210" s="2" t="s">
        <v>98</v>
      </c>
      <c r="Z2210" s="2" t="s">
        <v>182</v>
      </c>
      <c r="AA2210" s="2" t="s">
        <v>2715</v>
      </c>
      <c r="AB2210" s="2" t="s">
        <v>8443</v>
      </c>
      <c r="AC2210" s="2">
        <v>37.619999999999997</v>
      </c>
      <c r="AD2210" s="2">
        <v>60.02</v>
      </c>
      <c r="AE2210" s="2">
        <v>35.119999999999997</v>
      </c>
      <c r="AF2210" s="2" t="s">
        <v>19166</v>
      </c>
      <c r="AG2210" s="2" t="s">
        <v>4062</v>
      </c>
      <c r="AH2210" s="2" t="s">
        <v>19167</v>
      </c>
      <c r="AI2210" s="2">
        <v>-0.19</v>
      </c>
      <c r="AJ2210" s="2">
        <v>17.764687031599902</v>
      </c>
      <c r="AK2210" s="2">
        <v>17.609406883199998</v>
      </c>
      <c r="AL2210" s="2">
        <v>17.642380053755701</v>
      </c>
      <c r="AM2210" s="2">
        <v>17.3037152069302</v>
      </c>
      <c r="AN2210" s="2">
        <v>17.592109446869699</v>
      </c>
      <c r="AO2210" s="2">
        <v>17.129550277207102</v>
      </c>
      <c r="AP2210" s="2">
        <v>17.207622847862801</v>
      </c>
      <c r="AQ2210" s="2">
        <v>17.452368909045099</v>
      </c>
      <c r="AR2210" s="2">
        <v>13.9930763695686</v>
      </c>
      <c r="AS2210" s="2">
        <v>15.2723436522162</v>
      </c>
      <c r="AT2210" s="2">
        <v>17.7601027983055</v>
      </c>
      <c r="AU2210" s="2">
        <v>16.7390276914205</v>
      </c>
      <c r="AV2210" s="2">
        <v>17.829659813978299</v>
      </c>
      <c r="AW2210" s="2">
        <v>18.0512432529551</v>
      </c>
      <c r="AX2210" s="2">
        <v>17.339468684709399</v>
      </c>
      <c r="AY2210" s="2">
        <v>18.447316056437</v>
      </c>
      <c r="AZ2210" s="2">
        <v>17.1939359111378</v>
      </c>
      <c r="BA2210" s="2">
        <v>17.673919364161801</v>
      </c>
      <c r="BB2210" s="2">
        <v>16.452248480919099</v>
      </c>
      <c r="BC2210" s="2">
        <v>19.733828882952501</v>
      </c>
      <c r="BD2210" s="2">
        <v>16.178571295299101</v>
      </c>
      <c r="BE2210" s="2">
        <v>19.262309442962401</v>
      </c>
      <c r="BF2210" s="2">
        <v>15.328286786227601</v>
      </c>
      <c r="BG2210" s="2">
        <v>17.271655790190199</v>
      </c>
      <c r="BH2210" s="2">
        <v>17.277052423547602</v>
      </c>
      <c r="BI2210" s="2">
        <v>9.6233145402724691</v>
      </c>
      <c r="BJ2210" s="2">
        <v>18.3835691769062</v>
      </c>
      <c r="BK2210" s="2">
        <v>16.906439330618898</v>
      </c>
      <c r="BL2210" s="2">
        <v>16.7317027262701</v>
      </c>
      <c r="BM2210" s="2">
        <v>15.9560341845658</v>
      </c>
      <c r="BN2210" s="2">
        <v>17.119942348975499</v>
      </c>
      <c r="BO2210" s="2">
        <v>17.6172599653882</v>
      </c>
      <c r="BP2210" s="2">
        <v>17.785675636943498</v>
      </c>
      <c r="BQ2210" s="2">
        <v>17.043385776117599</v>
      </c>
      <c r="BR2210" s="2">
        <v>17.802757416819301</v>
      </c>
      <c r="BS2210" s="2">
        <v>17.659351738117302</v>
      </c>
      <c r="BT2210" s="2">
        <v>17.1702898948346</v>
      </c>
      <c r="BU2210" s="2">
        <v>17.846916114450401</v>
      </c>
      <c r="BV2210" s="2">
        <v>15.5013576578573</v>
      </c>
      <c r="BW2210" s="2">
        <v>18.219941827145199</v>
      </c>
      <c r="BX2210" s="2">
        <v>16.2258074934613</v>
      </c>
      <c r="BY2210" s="2">
        <v>18.9557712109889</v>
      </c>
      <c r="BZ2210" s="2">
        <v>16.349731827839602</v>
      </c>
      <c r="CA2210" s="2">
        <v>11.8649096326698</v>
      </c>
      <c r="CB2210" s="2">
        <v>17.727470406110999</v>
      </c>
      <c r="CC2210" s="2">
        <v>15.882649496773</v>
      </c>
      <c r="CD2210" s="2">
        <v>16.519182575298501</v>
      </c>
      <c r="CE2210" s="2">
        <v>17.8278809719226</v>
      </c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</row>
    <row r="2211" spans="1:97">
      <c r="A2211" s="2" t="s">
        <v>19168</v>
      </c>
      <c r="B2211" s="2">
        <v>237.04879</v>
      </c>
      <c r="C2211" s="2">
        <v>0.74</v>
      </c>
      <c r="D2211" s="2" t="s">
        <v>146</v>
      </c>
      <c r="E2211" s="2" t="s">
        <v>19169</v>
      </c>
      <c r="F2211" s="2" t="s">
        <v>19170</v>
      </c>
      <c r="G2211" s="2">
        <v>200380</v>
      </c>
      <c r="H2211" s="3" t="str">
        <f>HYPERLINK("https://cloud.oebiotech.com/#/lm/network/200380", "https://cloud.oebiotech.com/#/lm/network/200380")</f>
        <v>https://cloud.oebiotech.com/#/lm/network/200380</v>
      </c>
      <c r="I2211" s="2" t="s">
        <v>19171</v>
      </c>
      <c r="J2211" s="2"/>
      <c r="K2211" s="2"/>
      <c r="L2211" s="2">
        <v>10171487</v>
      </c>
      <c r="M2211" s="2"/>
      <c r="N2211" s="2"/>
      <c r="O2211" s="2"/>
      <c r="P2211" s="2"/>
      <c r="Q2211" s="2"/>
      <c r="R2211" s="2"/>
      <c r="S2211" s="2"/>
      <c r="T2211" s="2" t="s">
        <v>19172</v>
      </c>
      <c r="U2211" s="2" t="s">
        <v>19173</v>
      </c>
      <c r="V2211" s="2" t="s">
        <v>553</v>
      </c>
      <c r="W2211" s="2" t="s">
        <v>2781</v>
      </c>
      <c r="X2211" s="2" t="s">
        <v>375</v>
      </c>
      <c r="Y2211" s="2" t="s">
        <v>556</v>
      </c>
      <c r="Z2211" s="2" t="s">
        <v>2782</v>
      </c>
      <c r="AA2211" s="2"/>
      <c r="AB2211" s="2" t="s">
        <v>8443</v>
      </c>
      <c r="AC2211" s="2">
        <v>37.619999999999997</v>
      </c>
      <c r="AD2211" s="2">
        <v>88.08</v>
      </c>
      <c r="AE2211" s="2">
        <v>0</v>
      </c>
      <c r="AF2211" s="2" t="s">
        <v>19174</v>
      </c>
      <c r="AG2211" s="2" t="s">
        <v>993</v>
      </c>
      <c r="AH2211" s="2" t="s">
        <v>19175</v>
      </c>
      <c r="AI2211" s="2">
        <v>-0.84</v>
      </c>
      <c r="AJ2211" s="2">
        <v>21.675806293652201</v>
      </c>
      <c r="AK2211" s="2">
        <v>21.220718692534899</v>
      </c>
      <c r="AL2211" s="2">
        <v>21.958716309908201</v>
      </c>
      <c r="AM2211" s="2">
        <v>21.133109191745799</v>
      </c>
      <c r="AN2211" s="2">
        <v>21.112146647261099</v>
      </c>
      <c r="AO2211" s="2">
        <v>21.032353616175701</v>
      </c>
      <c r="AP2211" s="2">
        <v>21.912737771162401</v>
      </c>
      <c r="AQ2211" s="2">
        <v>21.719208767806201</v>
      </c>
      <c r="AR2211" s="2">
        <v>20.170336942734401</v>
      </c>
      <c r="AS2211" s="2">
        <v>19.863439969933602</v>
      </c>
      <c r="AT2211" s="2">
        <v>21.059510506549501</v>
      </c>
      <c r="AU2211" s="2">
        <v>20.907786380998299</v>
      </c>
      <c r="AV2211" s="2">
        <v>21.2418362334123</v>
      </c>
      <c r="AW2211" s="2">
        <v>20.640971730872302</v>
      </c>
      <c r="AX2211" s="2">
        <v>20.481837874909399</v>
      </c>
      <c r="AY2211" s="2">
        <v>21.410679751373799</v>
      </c>
      <c r="AZ2211" s="2">
        <v>20.551382210827501</v>
      </c>
      <c r="BA2211" s="2">
        <v>20.411945638102001</v>
      </c>
      <c r="BB2211" s="2">
        <v>21.6226255878106</v>
      </c>
      <c r="BC2211" s="2">
        <v>22.326082071972401</v>
      </c>
      <c r="BD2211" s="2">
        <v>21.315476697615399</v>
      </c>
      <c r="BE2211" s="2">
        <v>21.341260988396598</v>
      </c>
      <c r="BF2211" s="2">
        <v>21.4362316902901</v>
      </c>
      <c r="BG2211" s="2">
        <v>21.9184822248709</v>
      </c>
      <c r="BH2211" s="2">
        <v>20.234439625930602</v>
      </c>
      <c r="BI2211" s="2">
        <v>20.533849014302099</v>
      </c>
      <c r="BJ2211" s="2">
        <v>21.041213981888198</v>
      </c>
      <c r="BK2211" s="2">
        <v>21.1871271964363</v>
      </c>
      <c r="BL2211" s="2">
        <v>20.8418488907739</v>
      </c>
      <c r="BM2211" s="2">
        <v>21.141982733705401</v>
      </c>
      <c r="BN2211" s="2">
        <v>21.213591068190901</v>
      </c>
      <c r="BO2211" s="2">
        <v>20.8312433091508</v>
      </c>
      <c r="BP2211" s="2">
        <v>20.518409082498</v>
      </c>
      <c r="BQ2211" s="2">
        <v>21.268388334330901</v>
      </c>
      <c r="BR2211" s="2">
        <v>21.448902120374701</v>
      </c>
      <c r="BS2211" s="2">
        <v>20.245852938611399</v>
      </c>
      <c r="BT2211" s="2">
        <v>22.484402299416299</v>
      </c>
      <c r="BU2211" s="2">
        <v>20.993375299889301</v>
      </c>
      <c r="BV2211" s="2">
        <v>23.1188628155749</v>
      </c>
      <c r="BW2211" s="2">
        <v>22.743653046381901</v>
      </c>
      <c r="BX2211" s="2">
        <v>20.228032414111102</v>
      </c>
      <c r="BY2211" s="2">
        <v>21.026637789757199</v>
      </c>
      <c r="BZ2211" s="2">
        <v>22.9016394762719</v>
      </c>
      <c r="CA2211" s="2">
        <v>22.0441551900315</v>
      </c>
      <c r="CB2211" s="2">
        <v>22.051031452045301</v>
      </c>
      <c r="CC2211" s="2">
        <v>20.207115620234099</v>
      </c>
      <c r="CD2211" s="2">
        <v>20.252630879785901</v>
      </c>
      <c r="CE2211" s="2">
        <v>21.294562036807299</v>
      </c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</row>
    <row r="2212" spans="1:97">
      <c r="A2212" s="2" t="s">
        <v>19176</v>
      </c>
      <c r="B2212" s="2">
        <v>244.15382</v>
      </c>
      <c r="C2212" s="2">
        <v>5.2279999999999998</v>
      </c>
      <c r="D2212" s="2" t="s">
        <v>84</v>
      </c>
      <c r="E2212" s="2" t="s">
        <v>19177</v>
      </c>
      <c r="F2212" s="2" t="s">
        <v>19178</v>
      </c>
      <c r="G2212" s="2">
        <v>204885</v>
      </c>
      <c r="H2212" s="3" t="str">
        <f>HYPERLINK("https://cloud.oebiotech.com/#/lm/network/204885", "https://cloud.oebiotech.com/#/lm/network/204885")</f>
        <v>https://cloud.oebiotech.com/#/lm/network/204885</v>
      </c>
      <c r="I2212" s="2" t="s">
        <v>19179</v>
      </c>
      <c r="J2212" s="2"/>
      <c r="K2212" s="2"/>
      <c r="L2212" s="2">
        <v>9837708</v>
      </c>
      <c r="M2212" s="2"/>
      <c r="N2212" s="2"/>
      <c r="O2212" s="2"/>
      <c r="P2212" s="2"/>
      <c r="Q2212" s="2"/>
      <c r="R2212" s="2"/>
      <c r="S2212" s="2"/>
      <c r="T2212" s="2" t="s">
        <v>19180</v>
      </c>
      <c r="U2212" s="2" t="s">
        <v>19181</v>
      </c>
      <c r="V2212" s="2" t="s">
        <v>553</v>
      </c>
      <c r="W2212" s="2" t="s">
        <v>949</v>
      </c>
      <c r="X2212" s="2" t="s">
        <v>950</v>
      </c>
      <c r="Y2212" s="2" t="s">
        <v>556</v>
      </c>
      <c r="Z2212" s="2" t="s">
        <v>951</v>
      </c>
      <c r="AA2212" s="2" t="s">
        <v>952</v>
      </c>
      <c r="AB2212" s="2" t="s">
        <v>8443</v>
      </c>
      <c r="AC2212" s="2">
        <v>37.6</v>
      </c>
      <c r="AD2212" s="2">
        <v>91.46</v>
      </c>
      <c r="AE2212" s="2">
        <v>0</v>
      </c>
      <c r="AF2212" s="2" t="s">
        <v>5614</v>
      </c>
      <c r="AG2212" s="2" t="s">
        <v>103</v>
      </c>
      <c r="AH2212" s="2" t="s">
        <v>19182</v>
      </c>
      <c r="AI2212" s="2">
        <v>7.78</v>
      </c>
      <c r="AJ2212" s="2">
        <v>18.468455444491799</v>
      </c>
      <c r="AK2212" s="2">
        <v>18.217893864994402</v>
      </c>
      <c r="AL2212" s="2">
        <v>18.4239455265934</v>
      </c>
      <c r="AM2212" s="2">
        <v>18.558693195934001</v>
      </c>
      <c r="AN2212" s="2">
        <v>18.381341891632399</v>
      </c>
      <c r="AO2212" s="2">
        <v>18.987179365631999</v>
      </c>
      <c r="AP2212" s="2">
        <v>18.5167301866915</v>
      </c>
      <c r="AQ2212" s="2">
        <v>18.698319792323002</v>
      </c>
      <c r="AR2212" s="2">
        <v>18.2691465906003</v>
      </c>
      <c r="AS2212" s="2">
        <v>18.126429525652402</v>
      </c>
      <c r="AT2212" s="2">
        <v>18.220455796404099</v>
      </c>
      <c r="AU2212" s="2">
        <v>18.3135283712021</v>
      </c>
      <c r="AV2212" s="2">
        <v>18.126185033727001</v>
      </c>
      <c r="AW2212" s="2">
        <v>18.215254277266499</v>
      </c>
      <c r="AX2212" s="2">
        <v>18.2147470822743</v>
      </c>
      <c r="AY2212" s="2">
        <v>17.782178169771299</v>
      </c>
      <c r="AZ2212" s="2">
        <v>18.614888063852302</v>
      </c>
      <c r="BA2212" s="2">
        <v>18.324117024648999</v>
      </c>
      <c r="BB2212" s="2">
        <v>18.486392987116002</v>
      </c>
      <c r="BC2212" s="2">
        <v>18.388012827383701</v>
      </c>
      <c r="BD2212" s="2">
        <v>18.4544029225491</v>
      </c>
      <c r="BE2212" s="2">
        <v>18.185663230105099</v>
      </c>
      <c r="BF2212" s="2">
        <v>18.533284974419399</v>
      </c>
      <c r="BG2212" s="2">
        <v>18.284929036932301</v>
      </c>
      <c r="BH2212" s="2">
        <v>18.558528299997601</v>
      </c>
      <c r="BI2212" s="2">
        <v>18.441460087726199</v>
      </c>
      <c r="BJ2212" s="2">
        <v>18.230192916644601</v>
      </c>
      <c r="BK2212" s="2">
        <v>18.462908165186398</v>
      </c>
      <c r="BL2212" s="2">
        <v>18.875388920564799</v>
      </c>
      <c r="BM2212" s="2">
        <v>17.983750329992201</v>
      </c>
      <c r="BN2212" s="2">
        <v>18.924747276118499</v>
      </c>
      <c r="BO2212" s="2">
        <v>18.464118216476599</v>
      </c>
      <c r="BP2212" s="2">
        <v>18.681828682872499</v>
      </c>
      <c r="BQ2212" s="2">
        <v>18.4424667858815</v>
      </c>
      <c r="BR2212" s="2">
        <v>18.216041955926201</v>
      </c>
      <c r="BS2212" s="2">
        <v>18.9228231887923</v>
      </c>
      <c r="BT2212" s="2">
        <v>18.652730647771499</v>
      </c>
      <c r="BU2212" s="2">
        <v>18.5599362027735</v>
      </c>
      <c r="BV2212" s="2">
        <v>18.536938758739399</v>
      </c>
      <c r="BW2212" s="2">
        <v>18.331555109174602</v>
      </c>
      <c r="BX2212" s="2">
        <v>18.749467717415602</v>
      </c>
      <c r="BY2212" s="2">
        <v>18.551348534208302</v>
      </c>
      <c r="BZ2212" s="2">
        <v>18.737593356594001</v>
      </c>
      <c r="CA2212" s="2">
        <v>18.5507240552433</v>
      </c>
      <c r="CB2212" s="2">
        <v>18.6945100758481</v>
      </c>
      <c r="CC2212" s="2">
        <v>18.523428527242</v>
      </c>
      <c r="CD2212" s="2">
        <v>18.187913631691899</v>
      </c>
      <c r="CE2212" s="2">
        <v>18.532700903134302</v>
      </c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</row>
    <row r="2213" spans="1:97">
      <c r="A2213" s="2" t="s">
        <v>19183</v>
      </c>
      <c r="B2213" s="2">
        <v>589.42754000000002</v>
      </c>
      <c r="C2213" s="2">
        <v>13.077</v>
      </c>
      <c r="D2213" s="2" t="s">
        <v>84</v>
      </c>
      <c r="E2213" s="2" t="s">
        <v>19184</v>
      </c>
      <c r="F2213" s="2" t="s">
        <v>19185</v>
      </c>
      <c r="G2213" s="2">
        <v>135489</v>
      </c>
      <c r="H2213" s="3" t="str">
        <f>HYPERLINK("https://cloud.oebiotech.com/#/lm/network/135489", "https://cloud.oebiotech.com/#/lm/network/135489")</f>
        <v>https://cloud.oebiotech.com/#/lm/network/135489</v>
      </c>
      <c r="I2213" s="2" t="s">
        <v>19186</v>
      </c>
      <c r="J2213" s="2"/>
      <c r="K2213" s="2"/>
      <c r="L2213" s="2">
        <v>131822468</v>
      </c>
      <c r="M2213" s="2"/>
      <c r="N2213" s="2"/>
      <c r="O2213" s="2"/>
      <c r="P2213" s="2"/>
      <c r="Q2213" s="2"/>
      <c r="R2213" s="2"/>
      <c r="S2213" s="2"/>
      <c r="T2213" s="2" t="s">
        <v>19187</v>
      </c>
      <c r="U2213" s="2" t="s">
        <v>19188</v>
      </c>
      <c r="V2213" s="2" t="s">
        <v>95</v>
      </c>
      <c r="W2213" s="2" t="s">
        <v>202</v>
      </c>
      <c r="X2213" s="2" t="s">
        <v>6038</v>
      </c>
      <c r="Y2213" s="2" t="s">
        <v>98</v>
      </c>
      <c r="Z2213" s="2" t="s">
        <v>204</v>
      </c>
      <c r="AA2213" s="2" t="s">
        <v>6039</v>
      </c>
      <c r="AB2213" s="2" t="s">
        <v>8443</v>
      </c>
      <c r="AC2213" s="2">
        <v>37.6</v>
      </c>
      <c r="AD2213" s="2">
        <v>77.72</v>
      </c>
      <c r="AE2213" s="2">
        <v>0</v>
      </c>
      <c r="AF2213" s="2" t="s">
        <v>19189</v>
      </c>
      <c r="AG2213" s="2" t="s">
        <v>1088</v>
      </c>
      <c r="AH2213" s="2" t="s">
        <v>19190</v>
      </c>
      <c r="AI2213" s="2">
        <v>-7.13</v>
      </c>
      <c r="AJ2213" s="2">
        <v>19.9476448276688</v>
      </c>
      <c r="AK2213" s="2">
        <v>19.146838817685701</v>
      </c>
      <c r="AL2213" s="2">
        <v>19.658183723326999</v>
      </c>
      <c r="AM2213" s="2">
        <v>18.8030540696688</v>
      </c>
      <c r="AN2213" s="2">
        <v>19.719709201538102</v>
      </c>
      <c r="AO2213" s="2">
        <v>19.207830049059801</v>
      </c>
      <c r="AP2213" s="2">
        <v>19.604266827540499</v>
      </c>
      <c r="AQ2213" s="2">
        <v>19.712909362959699</v>
      </c>
      <c r="AR2213" s="2">
        <v>19.875220522660499</v>
      </c>
      <c r="AS2213" s="2">
        <v>19.981499414285601</v>
      </c>
      <c r="AT2213" s="2">
        <v>19.905774035681802</v>
      </c>
      <c r="AU2213" s="2">
        <v>18.033258282012799</v>
      </c>
      <c r="AV2213" s="2">
        <v>19.734992013871999</v>
      </c>
      <c r="AW2213" s="2">
        <v>20.148650217971699</v>
      </c>
      <c r="AX2213" s="2">
        <v>19.398206296495601</v>
      </c>
      <c r="AY2213" s="2">
        <v>19.8979613518216</v>
      </c>
      <c r="AZ2213" s="2">
        <v>19.739407199516702</v>
      </c>
      <c r="BA2213" s="2">
        <v>19.907548305445101</v>
      </c>
      <c r="BB2213" s="2">
        <v>19.024281809370098</v>
      </c>
      <c r="BC2213" s="2">
        <v>20.0390951423419</v>
      </c>
      <c r="BD2213" s="2">
        <v>19.579297594373902</v>
      </c>
      <c r="BE2213" s="2">
        <v>19.891109937241701</v>
      </c>
      <c r="BF2213" s="2">
        <v>18.278070984270101</v>
      </c>
      <c r="BG2213" s="2">
        <v>20.036266797016602</v>
      </c>
      <c r="BH2213" s="2">
        <v>20.048635271245001</v>
      </c>
      <c r="BI2213" s="2">
        <v>20.103447617997301</v>
      </c>
      <c r="BJ2213" s="2">
        <v>19.945742456992502</v>
      </c>
      <c r="BK2213" s="2">
        <v>19.821134332360799</v>
      </c>
      <c r="BL2213" s="2">
        <v>19.859776111151302</v>
      </c>
      <c r="BM2213" s="2">
        <v>19.8244681114709</v>
      </c>
      <c r="BN2213" s="2">
        <v>18.0474155132009</v>
      </c>
      <c r="BO2213" s="2">
        <v>19.344910266336701</v>
      </c>
      <c r="BP2213" s="2">
        <v>19.7754858951585</v>
      </c>
      <c r="BQ2213" s="2">
        <v>19.5739712124238</v>
      </c>
      <c r="BR2213" s="2">
        <v>19.498260997727002</v>
      </c>
      <c r="BS2213" s="2">
        <v>19.3732526949236</v>
      </c>
      <c r="BT2213" s="2">
        <v>19.776987578710202</v>
      </c>
      <c r="BU2213" s="2">
        <v>19.811893855772201</v>
      </c>
      <c r="BV2213" s="2">
        <v>19.479483480360098</v>
      </c>
      <c r="BW2213" s="2">
        <v>19.7812080746438</v>
      </c>
      <c r="BX2213" s="2">
        <v>19.715850933924202</v>
      </c>
      <c r="BY2213" s="2">
        <v>19.159346383522301</v>
      </c>
      <c r="BZ2213" s="2">
        <v>20.095850562522099</v>
      </c>
      <c r="CA2213" s="2">
        <v>19.702904593939799</v>
      </c>
      <c r="CB2213" s="2">
        <v>19.4482935494092</v>
      </c>
      <c r="CC2213" s="2">
        <v>19.275724863771099</v>
      </c>
      <c r="CD2213" s="2">
        <v>19.642077295910902</v>
      </c>
      <c r="CE2213" s="2">
        <v>19.385786521196099</v>
      </c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</row>
    <row r="2214" spans="1:97">
      <c r="A2214" s="2" t="s">
        <v>19191</v>
      </c>
      <c r="B2214" s="2">
        <v>524.32366000000002</v>
      </c>
      <c r="C2214" s="2">
        <v>11.582000000000001</v>
      </c>
      <c r="D2214" s="2" t="s">
        <v>84</v>
      </c>
      <c r="E2214" s="2" t="s">
        <v>19192</v>
      </c>
      <c r="F2214" s="2" t="s">
        <v>19193</v>
      </c>
      <c r="G2214" s="2">
        <v>199825</v>
      </c>
      <c r="H2214" s="3" t="str">
        <f>HYPERLINK("https://cloud.oebiotech.com/#/lm/network/199825", "https://cloud.oebiotech.com/#/lm/network/199825")</f>
        <v>https://cloud.oebiotech.com/#/lm/network/199825</v>
      </c>
      <c r="I2214" s="2" t="s">
        <v>19194</v>
      </c>
      <c r="J2214" s="2"/>
      <c r="K2214" s="2"/>
      <c r="L2214" s="2">
        <v>25127414</v>
      </c>
      <c r="M2214" s="2"/>
      <c r="N2214" s="2"/>
      <c r="O2214" s="2"/>
      <c r="P2214" s="2"/>
      <c r="Q2214" s="2"/>
      <c r="R2214" s="2"/>
      <c r="S2214" s="2"/>
      <c r="T2214" s="2" t="s">
        <v>19195</v>
      </c>
      <c r="U2214" s="2" t="s">
        <v>19196</v>
      </c>
      <c r="V2214" s="2" t="s">
        <v>166</v>
      </c>
      <c r="W2214" s="2" t="s">
        <v>167</v>
      </c>
      <c r="X2214" s="2" t="s">
        <v>482</v>
      </c>
      <c r="Y2214" s="2" t="s">
        <v>169</v>
      </c>
      <c r="Z2214" s="2" t="s">
        <v>169</v>
      </c>
      <c r="AA2214" s="2" t="s">
        <v>483</v>
      </c>
      <c r="AB2214" s="2" t="s">
        <v>8443</v>
      </c>
      <c r="AC2214" s="2">
        <v>37.6</v>
      </c>
      <c r="AD2214" s="2">
        <v>90.67</v>
      </c>
      <c r="AE2214" s="2">
        <v>0</v>
      </c>
      <c r="AF2214" s="2" t="s">
        <v>5614</v>
      </c>
      <c r="AG2214" s="2" t="s">
        <v>132</v>
      </c>
      <c r="AH2214" s="2" t="s">
        <v>19197</v>
      </c>
      <c r="AI2214" s="2">
        <v>1.53</v>
      </c>
      <c r="AJ2214" s="2">
        <v>23.513399693714099</v>
      </c>
      <c r="AK2214" s="2">
        <v>23.587328320678701</v>
      </c>
      <c r="AL2214" s="2">
        <v>23.702362324384801</v>
      </c>
      <c r="AM2214" s="2">
        <v>23.615735492284202</v>
      </c>
      <c r="AN2214" s="2">
        <v>23.579576928906501</v>
      </c>
      <c r="AO2214" s="2">
        <v>23.667161177013501</v>
      </c>
      <c r="AP2214" s="2">
        <v>23.659451820385701</v>
      </c>
      <c r="AQ2214" s="2">
        <v>23.523838891532801</v>
      </c>
      <c r="AR2214" s="2">
        <v>24.087825131234201</v>
      </c>
      <c r="AS2214" s="2">
        <v>22.094431283932099</v>
      </c>
      <c r="AT2214" s="2">
        <v>23.2958779154993</v>
      </c>
      <c r="AU2214" s="2">
        <v>23.163905564369401</v>
      </c>
      <c r="AV2214" s="2">
        <v>23.023368877537202</v>
      </c>
      <c r="AW2214" s="2">
        <v>23.3338258577418</v>
      </c>
      <c r="AX2214" s="2">
        <v>23.589413959902799</v>
      </c>
      <c r="AY2214" s="2">
        <v>23.4200425848002</v>
      </c>
      <c r="AZ2214" s="2">
        <v>23.787168228933901</v>
      </c>
      <c r="BA2214" s="2">
        <v>22.358640854211799</v>
      </c>
      <c r="BB2214" s="2">
        <v>23.468879743005701</v>
      </c>
      <c r="BC2214" s="2">
        <v>24.045134976286999</v>
      </c>
      <c r="BD2214" s="2">
        <v>23.626934408499999</v>
      </c>
      <c r="BE2214" s="2">
        <v>24.093408324414501</v>
      </c>
      <c r="BF2214" s="2">
        <v>23.0046331551458</v>
      </c>
      <c r="BG2214" s="2">
        <v>23.650690420639702</v>
      </c>
      <c r="BH2214" s="2">
        <v>23.3295336336421</v>
      </c>
      <c r="BI2214" s="2">
        <v>23.4544153786068</v>
      </c>
      <c r="BJ2214" s="2">
        <v>23.526615514964199</v>
      </c>
      <c r="BK2214" s="2">
        <v>23.060015180899601</v>
      </c>
      <c r="BL2214" s="2">
        <v>23.933784300961001</v>
      </c>
      <c r="BM2214" s="2">
        <v>23.3052305658817</v>
      </c>
      <c r="BN2214" s="2">
        <v>23.426301338067798</v>
      </c>
      <c r="BO2214" s="2">
        <v>23.1742823970201</v>
      </c>
      <c r="BP2214" s="2">
        <v>23.550715349363902</v>
      </c>
      <c r="BQ2214" s="2">
        <v>23.652489950158301</v>
      </c>
      <c r="BR2214" s="2">
        <v>23.734293483250301</v>
      </c>
      <c r="BS2214" s="2">
        <v>23.154171389298099</v>
      </c>
      <c r="BT2214" s="2">
        <v>23.678685993239</v>
      </c>
      <c r="BU2214" s="2">
        <v>23.2709061199965</v>
      </c>
      <c r="BV2214" s="2">
        <v>23.9155992588888</v>
      </c>
      <c r="BW2214" s="2">
        <v>22.946680091574599</v>
      </c>
      <c r="BX2214" s="2">
        <v>23.672544371177199</v>
      </c>
      <c r="BY2214" s="2">
        <v>24.427198418463099</v>
      </c>
      <c r="BZ2214" s="2">
        <v>23.4987867694168</v>
      </c>
      <c r="CA2214" s="2">
        <v>23.317518905349399</v>
      </c>
      <c r="CB2214" s="2">
        <v>24.073969448507398</v>
      </c>
      <c r="CC2214" s="2">
        <v>22.299935902399799</v>
      </c>
      <c r="CD2214" s="2">
        <v>24.125594443536599</v>
      </c>
      <c r="CE2214" s="2">
        <v>22.638932019819698</v>
      </c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</row>
    <row r="2215" spans="1:97">
      <c r="A2215" s="2" t="s">
        <v>19198</v>
      </c>
      <c r="B2215" s="2">
        <v>293.09753000000001</v>
      </c>
      <c r="C2215" s="2">
        <v>1.8740000000000001</v>
      </c>
      <c r="D2215" s="2" t="s">
        <v>84</v>
      </c>
      <c r="E2215" s="2" t="s">
        <v>19199</v>
      </c>
      <c r="F2215" s="2" t="s">
        <v>19200</v>
      </c>
      <c r="G2215" s="2">
        <v>543879</v>
      </c>
      <c r="H2215" s="3" t="str">
        <f>HYPERLINK("https://cloud.oebiotech.com/#/lm/network/543879", "https://cloud.oebiotech.com/#/lm/network/543879")</f>
        <v>https://cloud.oebiotech.com/#/lm/network/543879</v>
      </c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 t="s">
        <v>19201</v>
      </c>
      <c r="U2215" s="2" t="s">
        <v>19202</v>
      </c>
      <c r="V2215" s="2" t="s">
        <v>338</v>
      </c>
      <c r="W2215" s="2" t="s">
        <v>339</v>
      </c>
      <c r="X2215" s="2" t="s">
        <v>663</v>
      </c>
      <c r="Y2215" s="2" t="s">
        <v>341</v>
      </c>
      <c r="Z2215" s="2" t="s">
        <v>341</v>
      </c>
      <c r="AA2215" s="2" t="s">
        <v>664</v>
      </c>
      <c r="AB2215" s="2" t="s">
        <v>5118</v>
      </c>
      <c r="AC2215" s="2">
        <v>37.6</v>
      </c>
      <c r="AD2215" s="2">
        <v>71.2</v>
      </c>
      <c r="AE2215" s="2">
        <v>59.63</v>
      </c>
      <c r="AF2215" s="2" t="s">
        <v>19203</v>
      </c>
      <c r="AG2215" s="2" t="s">
        <v>1578</v>
      </c>
      <c r="AH2215" s="2" t="s">
        <v>19204</v>
      </c>
      <c r="AI2215" s="2">
        <v>6.82</v>
      </c>
      <c r="AJ2215" s="2">
        <v>24.907571824507102</v>
      </c>
      <c r="AK2215" s="2">
        <v>25.765722881092302</v>
      </c>
      <c r="AL2215" s="2">
        <v>26.1527427206649</v>
      </c>
      <c r="AM2215" s="2">
        <v>26.2909589054218</v>
      </c>
      <c r="AN2215" s="2">
        <v>26.1760818845503</v>
      </c>
      <c r="AO2215" s="2">
        <v>26.3444999502135</v>
      </c>
      <c r="AP2215" s="2">
        <v>26.215072189237901</v>
      </c>
      <c r="AQ2215" s="2">
        <v>26.125526687617999</v>
      </c>
      <c r="AR2215" s="2">
        <v>25.755889828037098</v>
      </c>
      <c r="AS2215" s="2">
        <v>25.7134424540256</v>
      </c>
      <c r="AT2215" s="2">
        <v>25.833235620721201</v>
      </c>
      <c r="AU2215" s="2">
        <v>25.9184681929985</v>
      </c>
      <c r="AV2215" s="2">
        <v>26.032035404176501</v>
      </c>
      <c r="AW2215" s="2">
        <v>23.894631770032099</v>
      </c>
      <c r="AX2215" s="2">
        <v>25.878676971805501</v>
      </c>
      <c r="AY2215" s="2">
        <v>23.552934081560299</v>
      </c>
      <c r="AZ2215" s="2">
        <v>23.584734301826</v>
      </c>
      <c r="BA2215" s="2">
        <v>23.6732886938665</v>
      </c>
      <c r="BB2215" s="2">
        <v>26.2447393732553</v>
      </c>
      <c r="BC2215" s="2">
        <v>25.500855130302401</v>
      </c>
      <c r="BD2215" s="2">
        <v>26.156419918785598</v>
      </c>
      <c r="BE2215" s="2">
        <v>26.1707085708817</v>
      </c>
      <c r="BF2215" s="2">
        <v>24.641170899940398</v>
      </c>
      <c r="BG2215" s="2">
        <v>24.3901920130712</v>
      </c>
      <c r="BH2215" s="2">
        <v>25.657333969825601</v>
      </c>
      <c r="BI2215" s="2">
        <v>24.654545527206501</v>
      </c>
      <c r="BJ2215" s="2">
        <v>23.551525706709299</v>
      </c>
      <c r="BK2215" s="2">
        <v>25.895578178489799</v>
      </c>
      <c r="BL2215" s="2">
        <v>26.098286128327299</v>
      </c>
      <c r="BM2215" s="2">
        <v>26.490433004946901</v>
      </c>
      <c r="BN2215" s="2">
        <v>23.2504184758462</v>
      </c>
      <c r="BO2215" s="2">
        <v>25.9707138289601</v>
      </c>
      <c r="BP2215" s="2">
        <v>24.067727409278099</v>
      </c>
      <c r="BQ2215" s="2">
        <v>24.7886942340585</v>
      </c>
      <c r="BR2215" s="2">
        <v>26.1400033934679</v>
      </c>
      <c r="BS2215" s="2">
        <v>24.090240380694301</v>
      </c>
      <c r="BT2215" s="2">
        <v>23.812913333930499</v>
      </c>
      <c r="BU2215" s="2">
        <v>26.239797593641299</v>
      </c>
      <c r="BV2215" s="2">
        <v>26.3191176928228</v>
      </c>
      <c r="BW2215" s="2">
        <v>24.386198952397699</v>
      </c>
      <c r="BX2215" s="2">
        <v>26.3133702471509</v>
      </c>
      <c r="BY2215" s="2">
        <v>26.388850072468099</v>
      </c>
      <c r="BZ2215" s="2">
        <v>26.402016435217998</v>
      </c>
      <c r="CA2215" s="2">
        <v>24.781447211641499</v>
      </c>
      <c r="CB2215" s="2">
        <v>24.5140164016805</v>
      </c>
      <c r="CC2215" s="2">
        <v>25.142781915159901</v>
      </c>
      <c r="CD2215" s="2">
        <v>25.987541535758101</v>
      </c>
      <c r="CE2215" s="2">
        <v>24.0533431703366</v>
      </c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</row>
    <row r="2216" spans="1:97">
      <c r="A2216" s="2" t="s">
        <v>19205</v>
      </c>
      <c r="B2216" s="2">
        <v>284.33091000000002</v>
      </c>
      <c r="C2216" s="2">
        <v>10.146000000000001</v>
      </c>
      <c r="D2216" s="2" t="s">
        <v>84</v>
      </c>
      <c r="E2216" s="2" t="s">
        <v>19206</v>
      </c>
      <c r="F2216" s="2" t="s">
        <v>19207</v>
      </c>
      <c r="G2216" s="2">
        <v>9449</v>
      </c>
      <c r="H2216" s="3" t="str">
        <f>HYPERLINK("https://cloud.oebiotech.com/#/lm/network/9449", "https://cloud.oebiotech.com/#/lm/network/9449")</f>
        <v>https://cloud.oebiotech.com/#/lm/network/9449</v>
      </c>
      <c r="I2216" s="2"/>
      <c r="J2216" s="2">
        <v>97743</v>
      </c>
      <c r="K2216" s="2" t="s">
        <v>19208</v>
      </c>
      <c r="L2216" s="2">
        <v>6242671</v>
      </c>
      <c r="M2216" s="2"/>
      <c r="N2216" s="2"/>
      <c r="O2216" s="2"/>
      <c r="P2216" s="2"/>
      <c r="Q2216" s="2"/>
      <c r="R2216" s="2"/>
      <c r="S2216" s="2"/>
      <c r="T2216" s="2" t="s">
        <v>19209</v>
      </c>
      <c r="U2216" s="2" t="s">
        <v>19210</v>
      </c>
      <c r="V2216" s="2" t="s">
        <v>10755</v>
      </c>
      <c r="W2216" s="2" t="s">
        <v>10756</v>
      </c>
      <c r="X2216" s="2" t="s">
        <v>16890</v>
      </c>
      <c r="Y2216" s="2" t="s">
        <v>10758</v>
      </c>
      <c r="Z2216" s="2" t="s">
        <v>10759</v>
      </c>
      <c r="AA2216" s="2" t="s">
        <v>16891</v>
      </c>
      <c r="AB2216" s="2" t="s">
        <v>8443</v>
      </c>
      <c r="AC2216" s="2">
        <v>37.6</v>
      </c>
      <c r="AD2216" s="2">
        <v>88.32</v>
      </c>
      <c r="AE2216" s="2">
        <v>0</v>
      </c>
      <c r="AF2216" s="2" t="s">
        <v>19211</v>
      </c>
      <c r="AG2216" s="2" t="s">
        <v>132</v>
      </c>
      <c r="AH2216" s="2" t="s">
        <v>19212</v>
      </c>
      <c r="AI2216" s="2">
        <v>1.06</v>
      </c>
      <c r="AJ2216" s="2">
        <v>20.5035694190437</v>
      </c>
      <c r="AK2216" s="2">
        <v>20.4940386899506</v>
      </c>
      <c r="AL2216" s="2">
        <v>19.958102425989701</v>
      </c>
      <c r="AM2216" s="2">
        <v>20.158807300254001</v>
      </c>
      <c r="AN2216" s="2">
        <v>20.258415315910501</v>
      </c>
      <c r="AO2216" s="2">
        <v>20.345508337234701</v>
      </c>
      <c r="AP2216" s="2">
        <v>20.415788499918101</v>
      </c>
      <c r="AQ2216" s="2">
        <v>20.402540918121399</v>
      </c>
      <c r="AR2216" s="2">
        <v>19.878560595376101</v>
      </c>
      <c r="AS2216" s="2">
        <v>19.654498454966699</v>
      </c>
      <c r="AT2216" s="2">
        <v>20.113560881916001</v>
      </c>
      <c r="AU2216" s="2">
        <v>19.479332016052599</v>
      </c>
      <c r="AV2216" s="2">
        <v>18.742993334225101</v>
      </c>
      <c r="AW2216" s="2">
        <v>20.8389442213286</v>
      </c>
      <c r="AX2216" s="2">
        <v>19.0648435271994</v>
      </c>
      <c r="AY2216" s="2">
        <v>19.276169102495501</v>
      </c>
      <c r="AZ2216" s="2">
        <v>19.230289658351101</v>
      </c>
      <c r="BA2216" s="2">
        <v>19.619538675324701</v>
      </c>
      <c r="BB2216" s="2">
        <v>20.113713568515401</v>
      </c>
      <c r="BC2216" s="2">
        <v>19.7916508261765</v>
      </c>
      <c r="BD2216" s="2">
        <v>19.544299936338199</v>
      </c>
      <c r="BE2216" s="2">
        <v>19.443619499534101</v>
      </c>
      <c r="BF2216" s="2">
        <v>19.520891147350198</v>
      </c>
      <c r="BG2216" s="2">
        <v>19.7248729567279</v>
      </c>
      <c r="BH2216" s="2">
        <v>18.9622071263544</v>
      </c>
      <c r="BI2216" s="2">
        <v>18.1142444441743</v>
      </c>
      <c r="BJ2216" s="2">
        <v>19.2458830709563</v>
      </c>
      <c r="BK2216" s="2">
        <v>20.1437801999671</v>
      </c>
      <c r="BL2216" s="2">
        <v>22.510051335645802</v>
      </c>
      <c r="BM2216" s="2">
        <v>19.270956995552002</v>
      </c>
      <c r="BN2216" s="2">
        <v>19.3161450571254</v>
      </c>
      <c r="BO2216" s="2">
        <v>19.583727916846801</v>
      </c>
      <c r="BP2216" s="2">
        <v>19.438349448626699</v>
      </c>
      <c r="BQ2216" s="2">
        <v>19.340203354146102</v>
      </c>
      <c r="BR2216" s="2">
        <v>19.348243975130199</v>
      </c>
      <c r="BS2216" s="2">
        <v>19.1131387128993</v>
      </c>
      <c r="BT2216" s="2">
        <v>19.665154017680202</v>
      </c>
      <c r="BU2216" s="2">
        <v>19.326248537596399</v>
      </c>
      <c r="BV2216" s="2">
        <v>20.064452974292902</v>
      </c>
      <c r="BW2216" s="2">
        <v>19.716468780410601</v>
      </c>
      <c r="BX2216" s="2">
        <v>19.2932417414121</v>
      </c>
      <c r="BY2216" s="2">
        <v>18.959662402509501</v>
      </c>
      <c r="BZ2216" s="2">
        <v>21.639507185602199</v>
      </c>
      <c r="CA2216" s="2">
        <v>19.0059039412406</v>
      </c>
      <c r="CB2216" s="2">
        <v>19.271951950165398</v>
      </c>
      <c r="CC2216" s="2">
        <v>18.600662005766001</v>
      </c>
      <c r="CD2216" s="2">
        <v>19.4021236342546</v>
      </c>
      <c r="CE2216" s="2">
        <v>19.710871294607401</v>
      </c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</row>
    <row r="2217" spans="1:97">
      <c r="A2217" s="2" t="s">
        <v>19213</v>
      </c>
      <c r="B2217" s="2">
        <v>510.45102000000003</v>
      </c>
      <c r="C2217" s="2">
        <v>11.351000000000001</v>
      </c>
      <c r="D2217" s="2" t="s">
        <v>84</v>
      </c>
      <c r="E2217" s="2" t="s">
        <v>19214</v>
      </c>
      <c r="F2217" s="2" t="s">
        <v>19215</v>
      </c>
      <c r="G2217" s="2">
        <v>198168</v>
      </c>
      <c r="H2217" s="3" t="str">
        <f>HYPERLINK("https://cloud.oebiotech.com/#/lm/network/198168", "https://cloud.oebiotech.com/#/lm/network/198168")</f>
        <v>https://cloud.oebiotech.com/#/lm/network/198168</v>
      </c>
      <c r="I2217" s="2" t="s">
        <v>19216</v>
      </c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 t="s">
        <v>19217</v>
      </c>
      <c r="U2217" s="2" t="s">
        <v>19218</v>
      </c>
      <c r="V2217" s="2" t="s">
        <v>95</v>
      </c>
      <c r="W2217" s="2" t="s">
        <v>96</v>
      </c>
      <c r="X2217" s="2" t="s">
        <v>97</v>
      </c>
      <c r="Y2217" s="2" t="s">
        <v>98</v>
      </c>
      <c r="Z2217" s="2" t="s">
        <v>99</v>
      </c>
      <c r="AA2217" s="2" t="s">
        <v>100</v>
      </c>
      <c r="AB2217" s="2" t="s">
        <v>8443</v>
      </c>
      <c r="AC2217" s="2">
        <v>37.590000000000003</v>
      </c>
      <c r="AD2217" s="2">
        <v>89.79</v>
      </c>
      <c r="AE2217" s="2">
        <v>0</v>
      </c>
      <c r="AF2217" s="2" t="s">
        <v>5614</v>
      </c>
      <c r="AG2217" s="2" t="s">
        <v>103</v>
      </c>
      <c r="AH2217" s="2" t="s">
        <v>19219</v>
      </c>
      <c r="AI2217" s="2">
        <v>1.37</v>
      </c>
      <c r="AJ2217" s="2">
        <v>20.2045756693797</v>
      </c>
      <c r="AK2217" s="2">
        <v>20.143514143127199</v>
      </c>
      <c r="AL2217" s="2">
        <v>20.088106522983601</v>
      </c>
      <c r="AM2217" s="2">
        <v>20.231818519060901</v>
      </c>
      <c r="AN2217" s="2">
        <v>20.5284622187284</v>
      </c>
      <c r="AO2217" s="2">
        <v>20.3641508281972</v>
      </c>
      <c r="AP2217" s="2">
        <v>20.2976810560769</v>
      </c>
      <c r="AQ2217" s="2">
        <v>20.422429550629101</v>
      </c>
      <c r="AR2217" s="2">
        <v>19.885063742006398</v>
      </c>
      <c r="AS2217" s="2">
        <v>18.874531365537401</v>
      </c>
      <c r="AT2217" s="2">
        <v>19.931549554478199</v>
      </c>
      <c r="AU2217" s="2">
        <v>18.971080934324</v>
      </c>
      <c r="AV2217" s="2">
        <v>20.557327210294002</v>
      </c>
      <c r="AW2217" s="2">
        <v>19.935405359795901</v>
      </c>
      <c r="AX2217" s="2">
        <v>19.7410914441733</v>
      </c>
      <c r="AY2217" s="2">
        <v>20.088846714538999</v>
      </c>
      <c r="AZ2217" s="2">
        <v>19.3237800916522</v>
      </c>
      <c r="BA2217" s="2">
        <v>19.902161322535999</v>
      </c>
      <c r="BB2217" s="2">
        <v>19.656661228803799</v>
      </c>
      <c r="BC2217" s="2">
        <v>21.1485602871943</v>
      </c>
      <c r="BD2217" s="2">
        <v>20.248762381930799</v>
      </c>
      <c r="BE2217" s="2">
        <v>20.495001337333001</v>
      </c>
      <c r="BF2217" s="2">
        <v>19.981617114490302</v>
      </c>
      <c r="BG2217" s="2">
        <v>19.474762459876001</v>
      </c>
      <c r="BH2217" s="2">
        <v>20.359292072955999</v>
      </c>
      <c r="BI2217" s="2">
        <v>19.769991811839098</v>
      </c>
      <c r="BJ2217" s="2">
        <v>19.805364069465799</v>
      </c>
      <c r="BK2217" s="2">
        <v>19.8184239153248</v>
      </c>
      <c r="BL2217" s="2">
        <v>20.476242141543601</v>
      </c>
      <c r="BM2217" s="2">
        <v>20.033829033086501</v>
      </c>
      <c r="BN2217" s="2">
        <v>20.2492481295149</v>
      </c>
      <c r="BO2217" s="2">
        <v>19.973995281482999</v>
      </c>
      <c r="BP2217" s="2">
        <v>21.066902124100402</v>
      </c>
      <c r="BQ2217" s="2">
        <v>20.301899712870799</v>
      </c>
      <c r="BR2217" s="2">
        <v>20.488157144558699</v>
      </c>
      <c r="BS2217" s="2">
        <v>20.213692245658802</v>
      </c>
      <c r="BT2217" s="2">
        <v>20.601274439353201</v>
      </c>
      <c r="BU2217" s="2">
        <v>20.4525644224479</v>
      </c>
      <c r="BV2217" s="2">
        <v>19.866913424996699</v>
      </c>
      <c r="BW2217" s="2">
        <v>20.825242096785001</v>
      </c>
      <c r="BX2217" s="2">
        <v>21.001295974305101</v>
      </c>
      <c r="BY2217" s="2">
        <v>20.384122414593602</v>
      </c>
      <c r="BZ2217" s="2">
        <v>20.070676618415099</v>
      </c>
      <c r="CA2217" s="2">
        <v>20.651019798226699</v>
      </c>
      <c r="CB2217" s="2">
        <v>19.510191347111199</v>
      </c>
      <c r="CC2217" s="2">
        <v>19.727706946641302</v>
      </c>
      <c r="CD2217" s="2">
        <v>20.265918513587302</v>
      </c>
      <c r="CE2217" s="2">
        <v>19.9719439632307</v>
      </c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</row>
    <row r="2218" spans="1:97">
      <c r="A2218" s="2" t="s">
        <v>19220</v>
      </c>
      <c r="B2218" s="2">
        <v>83.013549999999995</v>
      </c>
      <c r="C2218" s="2">
        <v>4.7789999999999999</v>
      </c>
      <c r="D2218" s="2" t="s">
        <v>146</v>
      </c>
      <c r="E2218" s="2" t="s">
        <v>19221</v>
      </c>
      <c r="F2218" s="2" t="s">
        <v>19222</v>
      </c>
      <c r="G2218" s="2">
        <v>56140</v>
      </c>
      <c r="H2218" s="3" t="str">
        <f>HYPERLINK("https://cloud.oebiotech.com/#/lm/network/56140", "https://cloud.oebiotech.com/#/lm/network/56140")</f>
        <v>https://cloud.oebiotech.com/#/lm/network/56140</v>
      </c>
      <c r="I2218" s="2" t="s">
        <v>19223</v>
      </c>
      <c r="J2218" s="2">
        <v>87835</v>
      </c>
      <c r="K2218" s="2"/>
      <c r="L2218" s="2">
        <v>7918</v>
      </c>
      <c r="M2218" s="2"/>
      <c r="N2218" s="2"/>
      <c r="O2218" s="2"/>
      <c r="P2218" s="2">
        <v>36610</v>
      </c>
      <c r="Q2218" s="2"/>
      <c r="R2218" s="2"/>
      <c r="S2218" s="2" t="s">
        <v>19224</v>
      </c>
      <c r="T2218" s="2" t="s">
        <v>19225</v>
      </c>
      <c r="U2218" s="2" t="s">
        <v>19226</v>
      </c>
      <c r="V2218" s="2" t="s">
        <v>115</v>
      </c>
      <c r="W2218" s="2" t="s">
        <v>116</v>
      </c>
      <c r="X2218" s="2" t="s">
        <v>1238</v>
      </c>
      <c r="Y2218" s="2" t="s">
        <v>118</v>
      </c>
      <c r="Z2218" s="2" t="s">
        <v>119</v>
      </c>
      <c r="AA2218" s="2" t="s">
        <v>1239</v>
      </c>
      <c r="AB2218" s="2" t="s">
        <v>8443</v>
      </c>
      <c r="AC2218" s="2">
        <v>37.58</v>
      </c>
      <c r="AD2218" s="2">
        <v>97.33</v>
      </c>
      <c r="AE2218" s="2">
        <v>0</v>
      </c>
      <c r="AF2218" s="2" t="s">
        <v>19227</v>
      </c>
      <c r="AG2218" s="2" t="s">
        <v>993</v>
      </c>
      <c r="AH2218" s="2" t="s">
        <v>5615</v>
      </c>
      <c r="AI2218" s="2">
        <v>-2.89</v>
      </c>
      <c r="AJ2218" s="2">
        <v>18.561218012205401</v>
      </c>
      <c r="AK2218" s="2">
        <v>18.635564135758798</v>
      </c>
      <c r="AL2218" s="2">
        <v>18.511584195699601</v>
      </c>
      <c r="AM2218" s="2">
        <v>18.591677196566099</v>
      </c>
      <c r="AN2218" s="2">
        <v>18.342819034188601</v>
      </c>
      <c r="AO2218" s="2">
        <v>18.351313425234199</v>
      </c>
      <c r="AP2218" s="2">
        <v>18.421577079183599</v>
      </c>
      <c r="AQ2218" s="2">
        <v>18.613593448445499</v>
      </c>
      <c r="AR2218" s="2">
        <v>16.6289412959283</v>
      </c>
      <c r="AS2218" s="2">
        <v>17.129867383289302</v>
      </c>
      <c r="AT2218" s="2">
        <v>18.194099049961</v>
      </c>
      <c r="AU2218" s="2">
        <v>17.6917070615496</v>
      </c>
      <c r="AV2218" s="2">
        <v>18.607476468809399</v>
      </c>
      <c r="AW2218" s="2">
        <v>17.0531206723936</v>
      </c>
      <c r="AX2218" s="2">
        <v>19.9863948519091</v>
      </c>
      <c r="AY2218" s="2">
        <v>18.713571277250299</v>
      </c>
      <c r="AZ2218" s="2">
        <v>17.664607903765699</v>
      </c>
      <c r="BA2218" s="2">
        <v>19.7827899480348</v>
      </c>
      <c r="BB2218" s="2">
        <v>17.656204104103001</v>
      </c>
      <c r="BC2218" s="2">
        <v>16.6300285998304</v>
      </c>
      <c r="BD2218" s="2">
        <v>18.057001147627801</v>
      </c>
      <c r="BE2218" s="2">
        <v>19.030165239173201</v>
      </c>
      <c r="BF2218" s="2">
        <v>19.422850034872699</v>
      </c>
      <c r="BG2218" s="2">
        <v>18.350770623687598</v>
      </c>
      <c r="BH2218" s="2">
        <v>14.563311883429501</v>
      </c>
      <c r="BI2218" s="2">
        <v>20.880815233345601</v>
      </c>
      <c r="BJ2218" s="2">
        <v>16.002791286875102</v>
      </c>
      <c r="BK2218" s="2">
        <v>14.708168371756001</v>
      </c>
      <c r="BL2218" s="2">
        <v>16.146056092257201</v>
      </c>
      <c r="BM2218" s="2">
        <v>17.494565851013</v>
      </c>
      <c r="BN2218" s="2">
        <v>17.434796387840201</v>
      </c>
      <c r="BO2218" s="2">
        <v>20.010680377288399</v>
      </c>
      <c r="BP2218" s="2">
        <v>16.585166333917499</v>
      </c>
      <c r="BQ2218" s="2">
        <v>18.653098619447501</v>
      </c>
      <c r="BR2218" s="2">
        <v>20.2319184438803</v>
      </c>
      <c r="BS2218" s="2">
        <v>18.783838527699501</v>
      </c>
      <c r="BT2218" s="2">
        <v>16.170723147017899</v>
      </c>
      <c r="BU2218" s="2">
        <v>19.2544611700093</v>
      </c>
      <c r="BV2218" s="2">
        <v>19.270255694707998</v>
      </c>
      <c r="BW2218" s="2">
        <v>17.3060249200363</v>
      </c>
      <c r="BX2218" s="2">
        <v>16.798744786678299</v>
      </c>
      <c r="BY2218" s="2">
        <v>18.764290139769201</v>
      </c>
      <c r="BZ2218" s="2">
        <v>17.776969368127201</v>
      </c>
      <c r="CA2218" s="2">
        <v>18.656515678306899</v>
      </c>
      <c r="CB2218" s="2">
        <v>15.409791003115</v>
      </c>
      <c r="CC2218" s="2">
        <v>19.364625050680601</v>
      </c>
      <c r="CD2218" s="2">
        <v>14.9259410229282</v>
      </c>
      <c r="CE2218" s="2">
        <v>14.3565695764369</v>
      </c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</row>
    <row r="2219" spans="1:97">
      <c r="A2219" s="2" t="s">
        <v>19228</v>
      </c>
      <c r="B2219" s="2">
        <v>289.06887999999998</v>
      </c>
      <c r="C2219" s="2">
        <v>7.8780000000000001</v>
      </c>
      <c r="D2219" s="2" t="s">
        <v>146</v>
      </c>
      <c r="E2219" s="2" t="s">
        <v>19229</v>
      </c>
      <c r="F2219" s="2" t="s">
        <v>19230</v>
      </c>
      <c r="G2219" s="2">
        <v>556475</v>
      </c>
      <c r="H2219" s="3" t="str">
        <f>HYPERLINK("https://cloud.oebiotech.com/#/lm/network/556475", "https://cloud.oebiotech.com/#/lm/network/556475")</f>
        <v>https://cloud.oebiotech.com/#/lm/network/556475</v>
      </c>
      <c r="I2219" s="2"/>
      <c r="J2219" s="2"/>
      <c r="K2219" s="2"/>
      <c r="L2219" s="2">
        <v>160600</v>
      </c>
      <c r="M2219" s="2"/>
      <c r="N2219" s="2"/>
      <c r="O2219" s="2"/>
      <c r="P2219" s="2"/>
      <c r="Q2219" s="2"/>
      <c r="R2219" s="2"/>
      <c r="S2219" s="2" t="s">
        <v>19231</v>
      </c>
      <c r="T2219" s="2" t="s">
        <v>19232</v>
      </c>
      <c r="U2219" s="2" t="s">
        <v>19233</v>
      </c>
      <c r="V2219" s="2" t="s">
        <v>845</v>
      </c>
      <c r="W2219" s="2" t="s">
        <v>846</v>
      </c>
      <c r="X2219" s="2" t="s">
        <v>11121</v>
      </c>
      <c r="Y2219" s="2" t="s">
        <v>847</v>
      </c>
      <c r="Z2219" s="2" t="s">
        <v>848</v>
      </c>
      <c r="AA2219" s="2" t="s">
        <v>11122</v>
      </c>
      <c r="AB2219" s="2" t="s">
        <v>5118</v>
      </c>
      <c r="AC2219" s="2">
        <v>37.58</v>
      </c>
      <c r="AD2219" s="2">
        <v>90.33</v>
      </c>
      <c r="AE2219" s="2">
        <v>57.11</v>
      </c>
      <c r="AF2219" s="2" t="s">
        <v>19234</v>
      </c>
      <c r="AG2219" s="2" t="s">
        <v>157</v>
      </c>
      <c r="AH2219" s="2" t="s">
        <v>19235</v>
      </c>
      <c r="AI2219" s="2">
        <v>9.69</v>
      </c>
      <c r="AJ2219" s="2">
        <v>15.8146843461376</v>
      </c>
      <c r="AK2219" s="2">
        <v>16.291941566630801</v>
      </c>
      <c r="AL2219" s="2">
        <v>16.182274654102699</v>
      </c>
      <c r="AM2219" s="2">
        <v>16.497428681631401</v>
      </c>
      <c r="AN2219" s="2">
        <v>15.8133580889164</v>
      </c>
      <c r="AO2219" s="2">
        <v>16.119066346277101</v>
      </c>
      <c r="AP2219" s="2">
        <v>16.2883852398536</v>
      </c>
      <c r="AQ2219" s="2">
        <v>16.025150162656001</v>
      </c>
      <c r="AR2219" s="2">
        <v>17.667245457620201</v>
      </c>
      <c r="AS2219" s="2">
        <v>16.863672325251201</v>
      </c>
      <c r="AT2219" s="2">
        <v>16.206609191881601</v>
      </c>
      <c r="AU2219" s="2">
        <v>15.2783808501674</v>
      </c>
      <c r="AV2219" s="2">
        <v>14.05617452211</v>
      </c>
      <c r="AW2219" s="2">
        <v>17.136038463540999</v>
      </c>
      <c r="AX2219" s="2">
        <v>15.411344808996301</v>
      </c>
      <c r="AY2219" s="2">
        <v>16.553595397863699</v>
      </c>
      <c r="AZ2219" s="2">
        <v>16.587457438521799</v>
      </c>
      <c r="BA2219" s="2">
        <v>12.247126452970299</v>
      </c>
      <c r="BB2219" s="2">
        <v>18.334586282860101</v>
      </c>
      <c r="BC2219" s="2">
        <v>19.296850263428801</v>
      </c>
      <c r="BD2219" s="2">
        <v>17.145292249696698</v>
      </c>
      <c r="BE2219" s="2">
        <v>15.5447205832011</v>
      </c>
      <c r="BF2219" s="2">
        <v>16.5373769147436</v>
      </c>
      <c r="BG2219" s="2">
        <v>18.123337780975099</v>
      </c>
      <c r="BH2219" s="2">
        <v>15.433096049301801</v>
      </c>
      <c r="BI2219" s="2">
        <v>17.311497953484999</v>
      </c>
      <c r="BJ2219" s="2">
        <v>15.867549509239099</v>
      </c>
      <c r="BK2219" s="2">
        <v>13.6390444508844</v>
      </c>
      <c r="BL2219" s="2">
        <v>14.3734150779388</v>
      </c>
      <c r="BM2219" s="2">
        <v>14.463091985296099</v>
      </c>
      <c r="BN2219" s="2">
        <v>12.9440311767086</v>
      </c>
      <c r="BO2219" s="2">
        <v>17.2743574037993</v>
      </c>
      <c r="BP2219" s="2">
        <v>13.574542677354</v>
      </c>
      <c r="BQ2219" s="2">
        <v>15.5528314756132</v>
      </c>
      <c r="BR2219" s="2">
        <v>17.4920702826035</v>
      </c>
      <c r="BS2219" s="2">
        <v>11.6884076854627</v>
      </c>
      <c r="BT2219" s="2">
        <v>15.224947906269399</v>
      </c>
      <c r="BU2219" s="2">
        <v>16.584106644687299</v>
      </c>
      <c r="BV2219" s="2">
        <v>16.716678013705799</v>
      </c>
      <c r="BW2219" s="2">
        <v>14.340477427642901</v>
      </c>
      <c r="BX2219" s="2">
        <v>13.0840758946627</v>
      </c>
      <c r="BY2219" s="2">
        <v>15.0058218887999</v>
      </c>
      <c r="BZ2219" s="2">
        <v>16.967268257260798</v>
      </c>
      <c r="CA2219" s="2">
        <v>14.117196653902701</v>
      </c>
      <c r="CB2219" s="2">
        <v>16.848835998979101</v>
      </c>
      <c r="CC2219" s="2">
        <v>14.0702442393076</v>
      </c>
      <c r="CD2219" s="2">
        <v>15.7869222566293</v>
      </c>
      <c r="CE2219" s="2">
        <v>13.750814786600399</v>
      </c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</row>
    <row r="2220" spans="1:97">
      <c r="A2220" s="2" t="s">
        <v>19236</v>
      </c>
      <c r="B2220" s="2">
        <v>843.58744999999999</v>
      </c>
      <c r="C2220" s="2">
        <v>8.8049999999999997</v>
      </c>
      <c r="D2220" s="2" t="s">
        <v>84</v>
      </c>
      <c r="E2220" s="2" t="s">
        <v>19237</v>
      </c>
      <c r="F2220" s="2" t="s">
        <v>19238</v>
      </c>
      <c r="G2220" s="2">
        <v>23618</v>
      </c>
      <c r="H2220" s="3" t="str">
        <f>HYPERLINK("https://cloud.oebiotech.com/#/lm/network/23618", "https://cloud.oebiotech.com/#/lm/network/23618")</f>
        <v>https://cloud.oebiotech.com/#/lm/network/23618</v>
      </c>
      <c r="I2220" s="2"/>
      <c r="J2220" s="2">
        <v>79955</v>
      </c>
      <c r="K2220" s="2" t="s">
        <v>19239</v>
      </c>
      <c r="L2220" s="2">
        <v>52927391</v>
      </c>
      <c r="M2220" s="2"/>
      <c r="N2220" s="2"/>
      <c r="O2220" s="2"/>
      <c r="P2220" s="2"/>
      <c r="Q2220" s="2"/>
      <c r="R2220" s="2"/>
      <c r="S2220" s="2"/>
      <c r="T2220" s="2" t="s">
        <v>19240</v>
      </c>
      <c r="U2220" s="2" t="s">
        <v>19241</v>
      </c>
      <c r="V2220" s="2" t="s">
        <v>95</v>
      </c>
      <c r="W2220" s="2" t="s">
        <v>202</v>
      </c>
      <c r="X2220" s="2" t="s">
        <v>4982</v>
      </c>
      <c r="Y2220" s="2" t="s">
        <v>98</v>
      </c>
      <c r="Z2220" s="2" t="s">
        <v>204</v>
      </c>
      <c r="AA2220" s="2" t="s">
        <v>4983</v>
      </c>
      <c r="AB2220" s="2" t="s">
        <v>8443</v>
      </c>
      <c r="AC2220" s="2">
        <v>37.58</v>
      </c>
      <c r="AD2220" s="2">
        <v>87.91</v>
      </c>
      <c r="AE2220" s="2">
        <v>0</v>
      </c>
      <c r="AF2220" s="2" t="s">
        <v>5614</v>
      </c>
      <c r="AG2220" s="2" t="s">
        <v>3544</v>
      </c>
      <c r="AH2220" s="2" t="s">
        <v>19242</v>
      </c>
      <c r="AI2220" s="2">
        <v>0.24</v>
      </c>
      <c r="AJ2220" s="2">
        <v>19.400770493921002</v>
      </c>
      <c r="AK2220" s="2">
        <v>19.539500803156699</v>
      </c>
      <c r="AL2220" s="2">
        <v>19.632325787484898</v>
      </c>
      <c r="AM2220" s="2">
        <v>18.509417038215101</v>
      </c>
      <c r="AN2220" s="2">
        <v>19.625788629940601</v>
      </c>
      <c r="AO2220" s="2">
        <v>19.3147892239196</v>
      </c>
      <c r="AP2220" s="2">
        <v>19.012840505791299</v>
      </c>
      <c r="AQ2220" s="2">
        <v>19.4509071034757</v>
      </c>
      <c r="AR2220" s="2">
        <v>18.411661550526699</v>
      </c>
      <c r="AS2220" s="2">
        <v>18.413533642411199</v>
      </c>
      <c r="AT2220" s="2">
        <v>16.535866606094</v>
      </c>
      <c r="AU2220" s="2">
        <v>18.683201170619</v>
      </c>
      <c r="AV2220" s="2">
        <v>18.579497773174499</v>
      </c>
      <c r="AW2220" s="2">
        <v>18.747734300349901</v>
      </c>
      <c r="AX2220" s="2">
        <v>18.455963083954799</v>
      </c>
      <c r="AY2220" s="2">
        <v>17.803009152952001</v>
      </c>
      <c r="AZ2220" s="2">
        <v>18.8129306020363</v>
      </c>
      <c r="BA2220" s="2">
        <v>18.8809149106308</v>
      </c>
      <c r="BB2220" s="2">
        <v>18.381954911100301</v>
      </c>
      <c r="BC2220" s="2">
        <v>18.335512917849002</v>
      </c>
      <c r="BD2220" s="2">
        <v>18.4910738133579</v>
      </c>
      <c r="BE2220" s="2">
        <v>18.704657854436299</v>
      </c>
      <c r="BF2220" s="2">
        <v>17.547362178050498</v>
      </c>
      <c r="BG2220" s="2">
        <v>18.526474327979599</v>
      </c>
      <c r="BH2220" s="2">
        <v>17.9406079911547</v>
      </c>
      <c r="BI2220" s="2">
        <v>17.9314578238024</v>
      </c>
      <c r="BJ2220" s="2">
        <v>18.163269584056799</v>
      </c>
      <c r="BK2220" s="2">
        <v>18.766054048588501</v>
      </c>
      <c r="BL2220" s="2">
        <v>19.188507884036699</v>
      </c>
      <c r="BM2220" s="2">
        <v>18.533712304233202</v>
      </c>
      <c r="BN2220" s="2">
        <v>18.5983329767326</v>
      </c>
      <c r="BO2220" s="2">
        <v>17.197372021775202</v>
      </c>
      <c r="BP2220" s="2">
        <v>19.062582098597101</v>
      </c>
      <c r="BQ2220" s="2">
        <v>19.425326232462702</v>
      </c>
      <c r="BR2220" s="2">
        <v>18.7332886288137</v>
      </c>
      <c r="BS2220" s="2">
        <v>17.978882530709999</v>
      </c>
      <c r="BT2220" s="2">
        <v>17.493668472051599</v>
      </c>
      <c r="BU2220" s="2">
        <v>18.538672210330301</v>
      </c>
      <c r="BV2220" s="2">
        <v>18.678150705411198</v>
      </c>
      <c r="BW2220" s="2">
        <v>19.5609178027863</v>
      </c>
      <c r="BX2220" s="2">
        <v>18.1246043410986</v>
      </c>
      <c r="BY2220" s="2">
        <v>18.3784824123662</v>
      </c>
      <c r="BZ2220" s="2">
        <v>19.505433683790901</v>
      </c>
      <c r="CA2220" s="2">
        <v>18.343597410292102</v>
      </c>
      <c r="CB2220" s="2">
        <v>21.210007518553301</v>
      </c>
      <c r="CC2220" s="2">
        <v>20.183114655382099</v>
      </c>
      <c r="CD2220" s="2">
        <v>17.878749525007802</v>
      </c>
      <c r="CE2220" s="2">
        <v>18.558225586750801</v>
      </c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</row>
    <row r="2221" spans="1:97">
      <c r="A2221" s="2" t="s">
        <v>19243</v>
      </c>
      <c r="B2221" s="2">
        <v>295.18135999999998</v>
      </c>
      <c r="C2221" s="2">
        <v>9.1549999999999994</v>
      </c>
      <c r="D2221" s="2" t="s">
        <v>146</v>
      </c>
      <c r="E2221" s="2" t="s">
        <v>19244</v>
      </c>
      <c r="F2221" s="2" t="s">
        <v>19245</v>
      </c>
      <c r="G2221" s="2">
        <v>205268</v>
      </c>
      <c r="H2221" s="3" t="str">
        <f>HYPERLINK("https://cloud.oebiotech.com/#/lm/network/205268", "https://cloud.oebiotech.com/#/lm/network/205268")</f>
        <v>https://cloud.oebiotech.com/#/lm/network/205268</v>
      </c>
      <c r="I2221" s="2" t="s">
        <v>19246</v>
      </c>
      <c r="J2221" s="2"/>
      <c r="K2221" s="2"/>
      <c r="L2221" s="2">
        <v>74332202</v>
      </c>
      <c r="M2221" s="2"/>
      <c r="N2221" s="2"/>
      <c r="O2221" s="2"/>
      <c r="P2221" s="2"/>
      <c r="Q2221" s="2"/>
      <c r="R2221" s="2"/>
      <c r="S2221" s="2"/>
      <c r="T2221" s="2" t="s">
        <v>19247</v>
      </c>
      <c r="U2221" s="2" t="s">
        <v>19248</v>
      </c>
      <c r="V2221" s="2" t="s">
        <v>553</v>
      </c>
      <c r="W2221" s="2" t="s">
        <v>3192</v>
      </c>
      <c r="X2221" s="2" t="s">
        <v>19249</v>
      </c>
      <c r="Y2221" s="2" t="s">
        <v>556</v>
      </c>
      <c r="Z2221" s="2" t="s">
        <v>3194</v>
      </c>
      <c r="AA2221" s="2" t="s">
        <v>19250</v>
      </c>
      <c r="AB2221" s="2" t="s">
        <v>8443</v>
      </c>
      <c r="AC2221" s="2">
        <v>37.58</v>
      </c>
      <c r="AD2221" s="2">
        <v>87.91</v>
      </c>
      <c r="AE2221" s="2">
        <v>0</v>
      </c>
      <c r="AF2221" s="2" t="s">
        <v>5614</v>
      </c>
      <c r="AG2221" s="2" t="s">
        <v>194</v>
      </c>
      <c r="AH2221" s="2" t="s">
        <v>19251</v>
      </c>
      <c r="AI2221" s="2">
        <v>0.68</v>
      </c>
      <c r="AJ2221" s="2">
        <v>17.355899574188701</v>
      </c>
      <c r="AK2221" s="2">
        <v>17.523223631600601</v>
      </c>
      <c r="AL2221" s="2">
        <v>17.810024357629398</v>
      </c>
      <c r="AM2221" s="2">
        <v>17.7993290578423</v>
      </c>
      <c r="AN2221" s="2">
        <v>16.981849420883101</v>
      </c>
      <c r="AO2221" s="2">
        <v>17.406869404443501</v>
      </c>
      <c r="AP2221" s="2">
        <v>17.373285410920701</v>
      </c>
      <c r="AQ2221" s="2">
        <v>17.4017750903656</v>
      </c>
      <c r="AR2221" s="2">
        <v>15.9118617142197</v>
      </c>
      <c r="AS2221" s="2">
        <v>16.5545423878037</v>
      </c>
      <c r="AT2221" s="2">
        <v>16.199028907824701</v>
      </c>
      <c r="AU2221" s="2">
        <v>16.5759260743026</v>
      </c>
      <c r="AV2221" s="2">
        <v>14.356908586315701</v>
      </c>
      <c r="AW2221" s="2">
        <v>17.194134215482698</v>
      </c>
      <c r="AX2221" s="2">
        <v>15.0649974197073</v>
      </c>
      <c r="AY2221" s="2">
        <v>16.1249536754076</v>
      </c>
      <c r="AZ2221" s="2">
        <v>16.341460447120401</v>
      </c>
      <c r="BA2221" s="2">
        <v>14.555908400330599</v>
      </c>
      <c r="BB2221" s="2">
        <v>16.4361579669667</v>
      </c>
      <c r="BC2221" s="2">
        <v>16.750557046581701</v>
      </c>
      <c r="BD2221" s="2">
        <v>16.022245560252198</v>
      </c>
      <c r="BE2221" s="2">
        <v>16.6240317629203</v>
      </c>
      <c r="BF2221" s="2">
        <v>16.272454649304301</v>
      </c>
      <c r="BG2221" s="2">
        <v>16.605349294604299</v>
      </c>
      <c r="BH2221" s="2">
        <v>16.258098186254699</v>
      </c>
      <c r="BI2221" s="2">
        <v>17.2059401187514</v>
      </c>
      <c r="BJ2221" s="2">
        <v>14.552383916140601</v>
      </c>
      <c r="BK2221" s="2">
        <v>14.093722908025599</v>
      </c>
      <c r="BL2221" s="2">
        <v>13.7122529225335</v>
      </c>
      <c r="BM2221" s="2">
        <v>14.378628799535701</v>
      </c>
      <c r="BN2221" s="2">
        <v>14.3640477677795</v>
      </c>
      <c r="BO2221" s="2">
        <v>16.440482656501299</v>
      </c>
      <c r="BP2221" s="2">
        <v>13.4349383111999</v>
      </c>
      <c r="BQ2221" s="2">
        <v>16.2910436807244</v>
      </c>
      <c r="BR2221" s="2">
        <v>16.637435597014399</v>
      </c>
      <c r="BS2221" s="2">
        <v>13.997045369000899</v>
      </c>
      <c r="BT2221" s="2">
        <v>14.5469704018958</v>
      </c>
      <c r="BU2221" s="2">
        <v>16.542118061793399</v>
      </c>
      <c r="BV2221" s="2">
        <v>14.760209509003699</v>
      </c>
      <c r="BW2221" s="2">
        <v>14.40881931412</v>
      </c>
      <c r="BX2221" s="2">
        <v>14.932715344523301</v>
      </c>
      <c r="BY2221" s="2">
        <v>14.906991561943199</v>
      </c>
      <c r="BZ2221" s="2">
        <v>16.717513907253199</v>
      </c>
      <c r="CA2221" s="2">
        <v>14.1020659186124</v>
      </c>
      <c r="CB2221" s="2">
        <v>16.567526850188099</v>
      </c>
      <c r="CC2221" s="2">
        <v>13.4377182668887</v>
      </c>
      <c r="CD2221" s="2">
        <v>16.5166033953438</v>
      </c>
      <c r="CE2221" s="2">
        <v>14.8209422996056</v>
      </c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</row>
    <row r="2222" spans="1:97">
      <c r="A2222" s="2" t="s">
        <v>19252</v>
      </c>
      <c r="B2222" s="2">
        <v>229.09416999999999</v>
      </c>
      <c r="C2222" s="2">
        <v>3.7610000000000001</v>
      </c>
      <c r="D2222" s="2" t="s">
        <v>84</v>
      </c>
      <c r="E2222" s="2" t="s">
        <v>19253</v>
      </c>
      <c r="F2222" s="2" t="s">
        <v>19254</v>
      </c>
      <c r="G2222" s="2">
        <v>53765</v>
      </c>
      <c r="H2222" s="3" t="str">
        <f>HYPERLINK("https://cloud.oebiotech.com/#/lm/network/53765", "https://cloud.oebiotech.com/#/lm/network/53765")</f>
        <v>https://cloud.oebiotech.com/#/lm/network/53765</v>
      </c>
      <c r="I2222" s="2" t="s">
        <v>19255</v>
      </c>
      <c r="J2222" s="2">
        <v>23837</v>
      </c>
      <c r="K2222" s="2"/>
      <c r="L2222" s="2">
        <v>16122514</v>
      </c>
      <c r="M2222" s="2"/>
      <c r="N2222" s="2"/>
      <c r="O2222" s="2"/>
      <c r="P2222" s="2">
        <v>73406</v>
      </c>
      <c r="Q2222" s="2"/>
      <c r="R2222" s="2"/>
      <c r="S2222" s="2" t="s">
        <v>19256</v>
      </c>
      <c r="T2222" s="2" t="s">
        <v>19257</v>
      </c>
      <c r="U2222" s="2" t="s">
        <v>19258</v>
      </c>
      <c r="V2222" s="2" t="s">
        <v>115</v>
      </c>
      <c r="W2222" s="2" t="s">
        <v>116</v>
      </c>
      <c r="X2222" s="2" t="s">
        <v>117</v>
      </c>
      <c r="Y2222" s="2" t="s">
        <v>118</v>
      </c>
      <c r="Z2222" s="2" t="s">
        <v>119</v>
      </c>
      <c r="AA2222" s="2" t="s">
        <v>120</v>
      </c>
      <c r="AB2222" s="2" t="s">
        <v>8443</v>
      </c>
      <c r="AC2222" s="2">
        <v>37.58</v>
      </c>
      <c r="AD2222" s="2">
        <v>93.78</v>
      </c>
      <c r="AE2222" s="2">
        <v>0</v>
      </c>
      <c r="AF2222" s="2" t="s">
        <v>5614</v>
      </c>
      <c r="AG2222" s="2" t="s">
        <v>1088</v>
      </c>
      <c r="AH2222" s="2" t="s">
        <v>19259</v>
      </c>
      <c r="AI2222" s="2">
        <v>-2.1800000000000002</v>
      </c>
      <c r="AJ2222" s="2">
        <v>19.3867089976054</v>
      </c>
      <c r="AK2222" s="2">
        <v>19.581609504349998</v>
      </c>
      <c r="AL2222" s="2">
        <v>19.576965685211299</v>
      </c>
      <c r="AM2222" s="2">
        <v>19.8673896057044</v>
      </c>
      <c r="AN2222" s="2">
        <v>19.483228413709799</v>
      </c>
      <c r="AO2222" s="2">
        <v>19.951081964041901</v>
      </c>
      <c r="AP2222" s="2">
        <v>20.033763096184199</v>
      </c>
      <c r="AQ2222" s="2">
        <v>20.105944535608899</v>
      </c>
      <c r="AR2222" s="2">
        <v>18.538265940030001</v>
      </c>
      <c r="AS2222" s="2">
        <v>18.6807807013972</v>
      </c>
      <c r="AT2222" s="2">
        <v>18.9629189030153</v>
      </c>
      <c r="AU2222" s="2">
        <v>18.324015427643499</v>
      </c>
      <c r="AV2222" s="2">
        <v>19.527742378343898</v>
      </c>
      <c r="AW2222" s="2">
        <v>20.0482795046712</v>
      </c>
      <c r="AX2222" s="2">
        <v>19.852638969811</v>
      </c>
      <c r="AY2222" s="2">
        <v>19.7763969665457</v>
      </c>
      <c r="AZ2222" s="2">
        <v>19.822633439648701</v>
      </c>
      <c r="BA2222" s="2">
        <v>18.8196419600451</v>
      </c>
      <c r="BB2222" s="2">
        <v>19.9352514939334</v>
      </c>
      <c r="BC2222" s="2">
        <v>17.4666968137245</v>
      </c>
      <c r="BD2222" s="2">
        <v>19.222527532442101</v>
      </c>
      <c r="BE2222" s="2">
        <v>20.210320400347801</v>
      </c>
      <c r="BF2222" s="2">
        <v>19.982727087642001</v>
      </c>
      <c r="BG2222" s="2">
        <v>20.294546814350301</v>
      </c>
      <c r="BH2222" s="2">
        <v>20.335928551855599</v>
      </c>
      <c r="BI2222" s="2">
        <v>20.196040241228499</v>
      </c>
      <c r="BJ2222" s="2">
        <v>20.285247481918599</v>
      </c>
      <c r="BK2222" s="2">
        <v>19.723538963909402</v>
      </c>
      <c r="BL2222" s="2">
        <v>19.7095990481175</v>
      </c>
      <c r="BM2222" s="2">
        <v>19.568873691420801</v>
      </c>
      <c r="BN2222" s="2">
        <v>19.919750909023399</v>
      </c>
      <c r="BO2222" s="2">
        <v>19.930425155616099</v>
      </c>
      <c r="BP2222" s="2">
        <v>19.776910896791399</v>
      </c>
      <c r="BQ2222" s="2">
        <v>19.470557160919601</v>
      </c>
      <c r="BR2222" s="2">
        <v>19.8535698780552</v>
      </c>
      <c r="BS2222" s="2">
        <v>19.739907749580901</v>
      </c>
      <c r="BT2222" s="2">
        <v>19.135723863261902</v>
      </c>
      <c r="BU2222" s="2">
        <v>18.4921039728961</v>
      </c>
      <c r="BV2222" s="2">
        <v>19.0904697143928</v>
      </c>
      <c r="BW2222" s="2">
        <v>19.453850289521501</v>
      </c>
      <c r="BX2222" s="2">
        <v>19.546984866587</v>
      </c>
      <c r="BY2222" s="2">
        <v>21.353267248635699</v>
      </c>
      <c r="BZ2222" s="2">
        <v>19.925929508630301</v>
      </c>
      <c r="CA2222" s="2">
        <v>19.760406597598301</v>
      </c>
      <c r="CB2222" s="2">
        <v>19.630758683271999</v>
      </c>
      <c r="CC2222" s="2">
        <v>20.045649265865801</v>
      </c>
      <c r="CD2222" s="2">
        <v>20.8503443933235</v>
      </c>
      <c r="CE2222" s="2">
        <v>20.190610942088998</v>
      </c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</row>
    <row r="2223" spans="1:97">
      <c r="A2223" s="2" t="s">
        <v>19260</v>
      </c>
      <c r="B2223" s="2">
        <v>347.06378000000001</v>
      </c>
      <c r="C2223" s="2">
        <v>9.2149999999999999</v>
      </c>
      <c r="D2223" s="2" t="s">
        <v>146</v>
      </c>
      <c r="E2223" s="2" t="s">
        <v>19261</v>
      </c>
      <c r="F2223" s="2" t="s">
        <v>19262</v>
      </c>
      <c r="G2223" s="2">
        <v>199682</v>
      </c>
      <c r="H2223" s="3" t="str">
        <f>HYPERLINK("https://cloud.oebiotech.com/#/lm/network/199682", "https://cloud.oebiotech.com/#/lm/network/199682")</f>
        <v>https://cloud.oebiotech.com/#/lm/network/199682</v>
      </c>
      <c r="I2223" s="2" t="s">
        <v>19263</v>
      </c>
      <c r="J2223" s="2"/>
      <c r="K2223" s="2"/>
      <c r="L2223" s="2">
        <v>9509</v>
      </c>
      <c r="M2223" s="2"/>
      <c r="N2223" s="2"/>
      <c r="O2223" s="2"/>
      <c r="P2223" s="2"/>
      <c r="Q2223" s="2"/>
      <c r="R2223" s="2"/>
      <c r="S2223" s="2"/>
      <c r="T2223" s="2" t="s">
        <v>19264</v>
      </c>
      <c r="U2223" s="2" t="s">
        <v>19265</v>
      </c>
      <c r="V2223" s="2" t="s">
        <v>385</v>
      </c>
      <c r="W2223" s="2" t="s">
        <v>386</v>
      </c>
      <c r="X2223" s="2" t="s">
        <v>14500</v>
      </c>
      <c r="Y2223" s="2" t="s">
        <v>388</v>
      </c>
      <c r="Z2223" s="2" t="s">
        <v>389</v>
      </c>
      <c r="AA2223" s="2" t="s">
        <v>14501</v>
      </c>
      <c r="AB2223" s="2" t="s">
        <v>8443</v>
      </c>
      <c r="AC2223" s="2">
        <v>37.57</v>
      </c>
      <c r="AD2223" s="2">
        <v>90.05</v>
      </c>
      <c r="AE2223" s="2">
        <v>0</v>
      </c>
      <c r="AF2223" s="2" t="s">
        <v>19266</v>
      </c>
      <c r="AG2223" s="2" t="s">
        <v>157</v>
      </c>
      <c r="AH2223" s="2" t="s">
        <v>19267</v>
      </c>
      <c r="AI2223" s="2">
        <v>-1.44</v>
      </c>
      <c r="AJ2223" s="2">
        <v>17.720361640848498</v>
      </c>
      <c r="AK2223" s="2">
        <v>17.3809058353852</v>
      </c>
      <c r="AL2223" s="2">
        <v>17.5993307984795</v>
      </c>
      <c r="AM2223" s="2">
        <v>17.693169481745802</v>
      </c>
      <c r="AN2223" s="2">
        <v>17.413830364122699</v>
      </c>
      <c r="AO2223" s="2">
        <v>17.405473904329799</v>
      </c>
      <c r="AP2223" s="2">
        <v>17.7435831674076</v>
      </c>
      <c r="AQ2223" s="2">
        <v>17.616917367384701</v>
      </c>
      <c r="AR2223" s="2">
        <v>17.978330052741399</v>
      </c>
      <c r="AS2223" s="2">
        <v>16.7173461513852</v>
      </c>
      <c r="AT2223" s="2">
        <v>16.887437926940802</v>
      </c>
      <c r="AU2223" s="2">
        <v>17.639529018378301</v>
      </c>
      <c r="AV2223" s="2">
        <v>17.378963004446401</v>
      </c>
      <c r="AW2223" s="2">
        <v>17.5224994670588</v>
      </c>
      <c r="AX2223" s="2">
        <v>16.269997411313401</v>
      </c>
      <c r="AY2223" s="2">
        <v>17.358732920165401</v>
      </c>
      <c r="AZ2223" s="2">
        <v>16.308137594857801</v>
      </c>
      <c r="BA2223" s="2">
        <v>16.860938920361001</v>
      </c>
      <c r="BB2223" s="2">
        <v>17.420656511611099</v>
      </c>
      <c r="BC2223" s="2">
        <v>17.706706449701201</v>
      </c>
      <c r="BD2223" s="2">
        <v>17.0154343273955</v>
      </c>
      <c r="BE2223" s="2">
        <v>17.789800941613301</v>
      </c>
      <c r="BF2223" s="2">
        <v>16.858331108369701</v>
      </c>
      <c r="BG2223" s="2">
        <v>16.659905470378899</v>
      </c>
      <c r="BH2223" s="2">
        <v>18.8481209427542</v>
      </c>
      <c r="BI2223" s="2">
        <v>15.793952257038001</v>
      </c>
      <c r="BJ2223" s="2">
        <v>16.7161931556805</v>
      </c>
      <c r="BK2223" s="2">
        <v>17.772536369172101</v>
      </c>
      <c r="BL2223" s="2">
        <v>16.325616407817598</v>
      </c>
      <c r="BM2223" s="2">
        <v>17.501114645970599</v>
      </c>
      <c r="BN2223" s="2">
        <v>18.319726975899499</v>
      </c>
      <c r="BO2223" s="2">
        <v>18.645084669472801</v>
      </c>
      <c r="BP2223" s="2">
        <v>15.4408247314003</v>
      </c>
      <c r="BQ2223" s="2">
        <v>17.8648270133111</v>
      </c>
      <c r="BR2223" s="2">
        <v>16.8169402627802</v>
      </c>
      <c r="BS2223" s="2">
        <v>17.258808732194002</v>
      </c>
      <c r="BT2223" s="2">
        <v>17.1181211543297</v>
      </c>
      <c r="BU2223" s="2">
        <v>17.304991521701901</v>
      </c>
      <c r="BV2223" s="2">
        <v>17.3956066800726</v>
      </c>
      <c r="BW2223" s="2">
        <v>15.8027801316568</v>
      </c>
      <c r="BX2223" s="2">
        <v>16.870061838397302</v>
      </c>
      <c r="BY2223" s="2">
        <v>18.554643931912299</v>
      </c>
      <c r="BZ2223" s="2">
        <v>17.203869971575301</v>
      </c>
      <c r="CA2223" s="2">
        <v>16.699236112370698</v>
      </c>
      <c r="CB2223" s="2">
        <v>16.496821484868999</v>
      </c>
      <c r="CC2223" s="2">
        <v>16.959215799479001</v>
      </c>
      <c r="CD2223" s="2">
        <v>17.687141699507801</v>
      </c>
      <c r="CE2223" s="2">
        <v>17.6062922808377</v>
      </c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</row>
    <row r="2224" spans="1:97">
      <c r="A2224" s="2" t="s">
        <v>19268</v>
      </c>
      <c r="B2224" s="2">
        <v>236.0958</v>
      </c>
      <c r="C2224" s="2">
        <v>6.2080000000000002</v>
      </c>
      <c r="D2224" s="2" t="s">
        <v>146</v>
      </c>
      <c r="E2224" s="2" t="s">
        <v>19269</v>
      </c>
      <c r="F2224" s="2" t="s">
        <v>19270</v>
      </c>
      <c r="G2224" s="2">
        <v>212458</v>
      </c>
      <c r="H2224" s="3" t="str">
        <f>HYPERLINK("https://cloud.oebiotech.com/#/lm/network/212458", "https://cloud.oebiotech.com/#/lm/network/212458")</f>
        <v>https://cloud.oebiotech.com/#/lm/network/212458</v>
      </c>
      <c r="I2224" s="2" t="s">
        <v>19271</v>
      </c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 t="s">
        <v>19272</v>
      </c>
      <c r="U2224" s="2" t="s">
        <v>19273</v>
      </c>
      <c r="V2224" s="2" t="s">
        <v>166</v>
      </c>
      <c r="W2224" s="2" t="s">
        <v>167</v>
      </c>
      <c r="X2224" s="2" t="s">
        <v>482</v>
      </c>
      <c r="Y2224" s="2" t="s">
        <v>169</v>
      </c>
      <c r="Z2224" s="2" t="s">
        <v>169</v>
      </c>
      <c r="AA2224" s="2" t="s">
        <v>483</v>
      </c>
      <c r="AB2224" s="2" t="s">
        <v>8443</v>
      </c>
      <c r="AC2224" s="2">
        <v>37.56</v>
      </c>
      <c r="AD2224" s="2">
        <v>91.23</v>
      </c>
      <c r="AE2224" s="2">
        <v>0</v>
      </c>
      <c r="AF2224" s="2" t="s">
        <v>5614</v>
      </c>
      <c r="AG2224" s="2" t="s">
        <v>157</v>
      </c>
      <c r="AH2224" s="2" t="s">
        <v>12913</v>
      </c>
      <c r="AI2224" s="2">
        <v>1.69</v>
      </c>
      <c r="AJ2224" s="2">
        <v>17.602872378092599</v>
      </c>
      <c r="AK2224" s="2">
        <v>17.463457000802698</v>
      </c>
      <c r="AL2224" s="2">
        <v>17.5430426984443</v>
      </c>
      <c r="AM2224" s="2">
        <v>17.4229442482522</v>
      </c>
      <c r="AN2224" s="2">
        <v>17.722077929384</v>
      </c>
      <c r="AO2224" s="2">
        <v>17.489741437982801</v>
      </c>
      <c r="AP2224" s="2">
        <v>17.614036514626601</v>
      </c>
      <c r="AQ2224" s="2">
        <v>17.530876383156802</v>
      </c>
      <c r="AR2224" s="2">
        <v>17.899889514727299</v>
      </c>
      <c r="AS2224" s="2">
        <v>16.972434410663599</v>
      </c>
      <c r="AT2224" s="2">
        <v>17.794262594707298</v>
      </c>
      <c r="AU2224" s="2">
        <v>17.504591221426601</v>
      </c>
      <c r="AV2224" s="2">
        <v>17.160863124501201</v>
      </c>
      <c r="AW2224" s="2">
        <v>17.667958563399399</v>
      </c>
      <c r="AX2224" s="2">
        <v>17.407358975569402</v>
      </c>
      <c r="AY2224" s="2">
        <v>17.5239850180015</v>
      </c>
      <c r="AZ2224" s="2">
        <v>17.9501533520314</v>
      </c>
      <c r="BA2224" s="2">
        <v>17.400055964122298</v>
      </c>
      <c r="BB2224" s="2">
        <v>17.556122069232099</v>
      </c>
      <c r="BC2224" s="2">
        <v>17.184012035575499</v>
      </c>
      <c r="BD2224" s="2">
        <v>17.587989666072499</v>
      </c>
      <c r="BE2224" s="2">
        <v>17.474566515785199</v>
      </c>
      <c r="BF2224" s="2">
        <v>17.229685362106501</v>
      </c>
      <c r="BG2224" s="2">
        <v>17.765710068987101</v>
      </c>
      <c r="BH2224" s="2">
        <v>17.2497973334271</v>
      </c>
      <c r="BI2224" s="2">
        <v>17.156588357798501</v>
      </c>
      <c r="BJ2224" s="2">
        <v>17.432248431642499</v>
      </c>
      <c r="BK2224" s="2">
        <v>16.7962892239869</v>
      </c>
      <c r="BL2224" s="2">
        <v>17.382367597839099</v>
      </c>
      <c r="BM2224" s="2">
        <v>17.619633453963299</v>
      </c>
      <c r="BN2224" s="2">
        <v>17.483315419378201</v>
      </c>
      <c r="BO2224" s="2">
        <v>17.1186601812311</v>
      </c>
      <c r="BP2224" s="2">
        <v>17.405461771573201</v>
      </c>
      <c r="BQ2224" s="2">
        <v>17.3026209863676</v>
      </c>
      <c r="BR2224" s="2">
        <v>17.7147941392851</v>
      </c>
      <c r="BS2224" s="2">
        <v>17.452623890670399</v>
      </c>
      <c r="BT2224" s="2">
        <v>17.3318881545366</v>
      </c>
      <c r="BU2224" s="2">
        <v>17.5870268694818</v>
      </c>
      <c r="BV2224" s="2">
        <v>17.5477296774935</v>
      </c>
      <c r="BW2224" s="2">
        <v>17.558489772987301</v>
      </c>
      <c r="BX2224" s="2">
        <v>17.260903366451899</v>
      </c>
      <c r="BY2224" s="2">
        <v>17.597796297241</v>
      </c>
      <c r="BZ2224" s="2">
        <v>15.9450681618435</v>
      </c>
      <c r="CA2224" s="2">
        <v>17.266569702968798</v>
      </c>
      <c r="CB2224" s="2">
        <v>17.664690393845301</v>
      </c>
      <c r="CC2224" s="2">
        <v>16.650208078072399</v>
      </c>
      <c r="CD2224" s="2">
        <v>17.3544047057703</v>
      </c>
      <c r="CE2224" s="2">
        <v>17.555869466358502</v>
      </c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</row>
    <row r="2225" spans="1:97">
      <c r="A2225" s="2" t="s">
        <v>19274</v>
      </c>
      <c r="B2225" s="2">
        <v>157.08327</v>
      </c>
      <c r="C2225" s="2">
        <v>3.9670000000000001</v>
      </c>
      <c r="D2225" s="2" t="s">
        <v>84</v>
      </c>
      <c r="E2225" s="2" t="s">
        <v>19275</v>
      </c>
      <c r="F2225" s="2" t="s">
        <v>19276</v>
      </c>
      <c r="G2225" s="2">
        <v>205924</v>
      </c>
      <c r="H2225" s="3" t="str">
        <f>HYPERLINK("https://cloud.oebiotech.com/#/lm/network/205924", "https://cloud.oebiotech.com/#/lm/network/205924")</f>
        <v>https://cloud.oebiotech.com/#/lm/network/205924</v>
      </c>
      <c r="I2225" s="2" t="s">
        <v>19277</v>
      </c>
      <c r="J2225" s="2"/>
      <c r="K2225" s="2"/>
      <c r="L2225" s="2">
        <v>8150</v>
      </c>
      <c r="M2225" s="2"/>
      <c r="N2225" s="2"/>
      <c r="O2225" s="2"/>
      <c r="P2225" s="2">
        <v>46784</v>
      </c>
      <c r="Q2225" s="2"/>
      <c r="R2225" s="2"/>
      <c r="S2225" s="2"/>
      <c r="T2225" s="2" t="s">
        <v>19278</v>
      </c>
      <c r="U2225" s="2" t="s">
        <v>19279</v>
      </c>
      <c r="V2225" s="2" t="s">
        <v>338</v>
      </c>
      <c r="W2225" s="2" t="s">
        <v>339</v>
      </c>
      <c r="X2225" s="2" t="s">
        <v>1663</v>
      </c>
      <c r="Y2225" s="2" t="s">
        <v>341</v>
      </c>
      <c r="Z2225" s="2" t="s">
        <v>341</v>
      </c>
      <c r="AA2225" s="2" t="s">
        <v>1664</v>
      </c>
      <c r="AB2225" s="2" t="s">
        <v>8443</v>
      </c>
      <c r="AC2225" s="2">
        <v>37.56</v>
      </c>
      <c r="AD2225" s="2">
        <v>89.14</v>
      </c>
      <c r="AE2225" s="2">
        <v>0</v>
      </c>
      <c r="AF2225" s="2" t="s">
        <v>19280</v>
      </c>
      <c r="AG2225" s="2" t="s">
        <v>1578</v>
      </c>
      <c r="AH2225" s="2" t="s">
        <v>19281</v>
      </c>
      <c r="AI2225" s="2">
        <v>1.27</v>
      </c>
      <c r="AJ2225" s="2">
        <v>22.3678215898417</v>
      </c>
      <c r="AK2225" s="2">
        <v>22.273588494077199</v>
      </c>
      <c r="AL2225" s="2">
        <v>22.666090881167001</v>
      </c>
      <c r="AM2225" s="2">
        <v>22.390976976123099</v>
      </c>
      <c r="AN2225" s="2">
        <v>22.5862102798399</v>
      </c>
      <c r="AO2225" s="2">
        <v>22.5032969610909</v>
      </c>
      <c r="AP2225" s="2">
        <v>22.268127865514</v>
      </c>
      <c r="AQ2225" s="2">
        <v>22.407545361444502</v>
      </c>
      <c r="AR2225" s="2">
        <v>20.470435947697901</v>
      </c>
      <c r="AS2225" s="2">
        <v>20.316436400989399</v>
      </c>
      <c r="AT2225" s="2">
        <v>20.1579915213504</v>
      </c>
      <c r="AU2225" s="2">
        <v>20.185808751935301</v>
      </c>
      <c r="AV2225" s="2">
        <v>20.160971987564199</v>
      </c>
      <c r="AW2225" s="2">
        <v>19.690404630666301</v>
      </c>
      <c r="AX2225" s="2">
        <v>19.861956529935998</v>
      </c>
      <c r="AY2225" s="2">
        <v>20.040890879249702</v>
      </c>
      <c r="AZ2225" s="2">
        <v>20.400264117644699</v>
      </c>
      <c r="BA2225" s="2">
        <v>21.150347691610101</v>
      </c>
      <c r="BB2225" s="2">
        <v>20.886277107460899</v>
      </c>
      <c r="BC2225" s="2">
        <v>23.661844237606999</v>
      </c>
      <c r="BD2225" s="2">
        <v>19.864511934475502</v>
      </c>
      <c r="BE2225" s="2">
        <v>19.669473669458402</v>
      </c>
      <c r="BF2225" s="2">
        <v>21.1776157886991</v>
      </c>
      <c r="BG2225" s="2">
        <v>20.400088557536002</v>
      </c>
      <c r="BH2225" s="2">
        <v>20.013739661278098</v>
      </c>
      <c r="BI2225" s="2">
        <v>19.8644935565308</v>
      </c>
      <c r="BJ2225" s="2">
        <v>20.4371629032992</v>
      </c>
      <c r="BK2225" s="2">
        <v>20.693057329194399</v>
      </c>
      <c r="BL2225" s="2">
        <v>20.5618741111427</v>
      </c>
      <c r="BM2225" s="2">
        <v>20.171835681300799</v>
      </c>
      <c r="BN2225" s="2">
        <v>20.2006945122079</v>
      </c>
      <c r="BO2225" s="2">
        <v>20.473806091809401</v>
      </c>
      <c r="BP2225" s="2">
        <v>20.455625322556401</v>
      </c>
      <c r="BQ2225" s="2">
        <v>20.370965017082501</v>
      </c>
      <c r="BR2225" s="2">
        <v>20.502850058244299</v>
      </c>
      <c r="BS2225" s="2">
        <v>20.341599053986801</v>
      </c>
      <c r="BT2225" s="2">
        <v>21.389197450778099</v>
      </c>
      <c r="BU2225" s="2">
        <v>20.2896128697924</v>
      </c>
      <c r="BV2225" s="2">
        <v>20.844971642423801</v>
      </c>
      <c r="BW2225" s="2">
        <v>20.458382570922598</v>
      </c>
      <c r="BX2225" s="2">
        <v>19.693578668030099</v>
      </c>
      <c r="BY2225" s="2">
        <v>19.6405655006802</v>
      </c>
      <c r="BZ2225" s="2">
        <v>21.263076661352301</v>
      </c>
      <c r="CA2225" s="2">
        <v>23.903219753736501</v>
      </c>
      <c r="CB2225" s="2">
        <v>20.253258980823201</v>
      </c>
      <c r="CC2225" s="2">
        <v>20.008019441167001</v>
      </c>
      <c r="CD2225" s="2">
        <v>20.012528764451499</v>
      </c>
      <c r="CE2225" s="2">
        <v>20.072795862943298</v>
      </c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</row>
    <row r="2226" spans="1:97">
      <c r="A2226" s="2" t="s">
        <v>19282</v>
      </c>
      <c r="B2226" s="2">
        <v>302.26855</v>
      </c>
      <c r="C2226" s="2">
        <v>8.33</v>
      </c>
      <c r="D2226" s="2" t="s">
        <v>84</v>
      </c>
      <c r="E2226" s="2" t="s">
        <v>19283</v>
      </c>
      <c r="F2226" s="2" t="s">
        <v>19284</v>
      </c>
      <c r="G2226" s="2">
        <v>2271</v>
      </c>
      <c r="H2226" s="3" t="str">
        <f>HYPERLINK("https://cloud.oebiotech.com/#/lm/network/2271", "https://cloud.oebiotech.com/#/lm/network/2271")</f>
        <v>https://cloud.oebiotech.com/#/lm/network/2271</v>
      </c>
      <c r="I2226" s="2"/>
      <c r="J2226" s="2">
        <v>35881</v>
      </c>
      <c r="K2226" s="2" t="s">
        <v>19285</v>
      </c>
      <c r="L2226" s="2">
        <v>5282314</v>
      </c>
      <c r="M2226" s="2" t="s">
        <v>19286</v>
      </c>
      <c r="N2226" s="2"/>
      <c r="O2226" s="2"/>
      <c r="P2226" s="2">
        <v>34294</v>
      </c>
      <c r="Q2226" s="2"/>
      <c r="R2226" s="2"/>
      <c r="S2226" s="2"/>
      <c r="T2226" s="2" t="s">
        <v>19287</v>
      </c>
      <c r="U2226" s="2" t="s">
        <v>19288</v>
      </c>
      <c r="V2226" s="2" t="s">
        <v>95</v>
      </c>
      <c r="W2226" s="2" t="s">
        <v>96</v>
      </c>
      <c r="X2226" s="2" t="s">
        <v>141</v>
      </c>
      <c r="Y2226" s="2" t="s">
        <v>98</v>
      </c>
      <c r="Z2226" s="2" t="s">
        <v>99</v>
      </c>
      <c r="AA2226" s="2" t="s">
        <v>142</v>
      </c>
      <c r="AB2226" s="2" t="s">
        <v>8443</v>
      </c>
      <c r="AC2226" s="2">
        <v>37.56</v>
      </c>
      <c r="AD2226" s="2">
        <v>89.39</v>
      </c>
      <c r="AE2226" s="2">
        <v>0</v>
      </c>
      <c r="AF2226" s="2" t="s">
        <v>5614</v>
      </c>
      <c r="AG2226" s="2" t="s">
        <v>132</v>
      </c>
      <c r="AH2226" s="2" t="s">
        <v>19289</v>
      </c>
      <c r="AI2226" s="2">
        <v>1.32</v>
      </c>
      <c r="AJ2226" s="2">
        <v>18.936885880905798</v>
      </c>
      <c r="AK2226" s="2">
        <v>18.902472628782299</v>
      </c>
      <c r="AL2226" s="2">
        <v>18.727647756983899</v>
      </c>
      <c r="AM2226" s="2">
        <v>18.793097102487899</v>
      </c>
      <c r="AN2226" s="2">
        <v>18.8591731937749</v>
      </c>
      <c r="AO2226" s="2">
        <v>18.909954094973699</v>
      </c>
      <c r="AP2226" s="2">
        <v>18.1598931102431</v>
      </c>
      <c r="AQ2226" s="2">
        <v>18.8047397062352</v>
      </c>
      <c r="AR2226" s="2">
        <v>19.068425148508801</v>
      </c>
      <c r="AS2226" s="2">
        <v>19.006559398440501</v>
      </c>
      <c r="AT2226" s="2">
        <v>19.071473518344</v>
      </c>
      <c r="AU2226" s="2">
        <v>18.949989812737101</v>
      </c>
      <c r="AV2226" s="2">
        <v>18.887139442545799</v>
      </c>
      <c r="AW2226" s="2">
        <v>19.0582964901329</v>
      </c>
      <c r="AX2226" s="2">
        <v>18.687975679110099</v>
      </c>
      <c r="AY2226" s="2">
        <v>18.31937871737</v>
      </c>
      <c r="AZ2226" s="2">
        <v>18.534579996109098</v>
      </c>
      <c r="BA2226" s="2">
        <v>18.850641088553498</v>
      </c>
      <c r="BB2226" s="2">
        <v>18.934692572281001</v>
      </c>
      <c r="BC2226" s="2">
        <v>18.7726572725302</v>
      </c>
      <c r="BD2226" s="2">
        <v>18.754792040735602</v>
      </c>
      <c r="BE2226" s="2">
        <v>18.925362239647601</v>
      </c>
      <c r="BF2226" s="2">
        <v>18.879372589941099</v>
      </c>
      <c r="BG2226" s="2">
        <v>18.907953704169199</v>
      </c>
      <c r="BH2226" s="2">
        <v>18.641680892460599</v>
      </c>
      <c r="BI2226" s="2">
        <v>18.791251521357999</v>
      </c>
      <c r="BJ2226" s="2">
        <v>18.495148969198102</v>
      </c>
      <c r="BK2226" s="2">
        <v>18.908525586119801</v>
      </c>
      <c r="BL2226" s="2">
        <v>18.8389486902499</v>
      </c>
      <c r="BM2226" s="2">
        <v>18.403667826592301</v>
      </c>
      <c r="BN2226" s="2">
        <v>18.434464079488301</v>
      </c>
      <c r="BO2226" s="2">
        <v>18.7051549083107</v>
      </c>
      <c r="BP2226" s="2">
        <v>18.625417692324</v>
      </c>
      <c r="BQ2226" s="2">
        <v>18.631627827474802</v>
      </c>
      <c r="BR2226" s="2">
        <v>18.515678974363301</v>
      </c>
      <c r="BS2226" s="2">
        <v>18.371746190901799</v>
      </c>
      <c r="BT2226" s="2">
        <v>18.699361486818599</v>
      </c>
      <c r="BU2226" s="2">
        <v>18.748996736719501</v>
      </c>
      <c r="BV2226" s="2">
        <v>18.739604348707601</v>
      </c>
      <c r="BW2226" s="2">
        <v>18.707809331040401</v>
      </c>
      <c r="BX2226" s="2">
        <v>18.651652303559001</v>
      </c>
      <c r="BY2226" s="2">
        <v>18.493518646126098</v>
      </c>
      <c r="BZ2226" s="2">
        <v>18.735007935001299</v>
      </c>
      <c r="CA2226" s="2">
        <v>18.289223712394602</v>
      </c>
      <c r="CB2226" s="2">
        <v>18.285078184800401</v>
      </c>
      <c r="CC2226" s="2">
        <v>18.8015415881782</v>
      </c>
      <c r="CD2226" s="2">
        <v>18.225167983003502</v>
      </c>
      <c r="CE2226" s="2">
        <v>18.389326278570099</v>
      </c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</row>
    <row r="2227" spans="1:97">
      <c r="A2227" s="2" t="s">
        <v>19290</v>
      </c>
      <c r="B2227" s="2">
        <v>307.05238000000003</v>
      </c>
      <c r="C2227" s="2">
        <v>7.415</v>
      </c>
      <c r="D2227" s="2" t="s">
        <v>84</v>
      </c>
      <c r="E2227" s="2" t="s">
        <v>19291</v>
      </c>
      <c r="F2227" s="2" t="s">
        <v>19292</v>
      </c>
      <c r="G2227" s="2">
        <v>82088</v>
      </c>
      <c r="H2227" s="3" t="str">
        <f>HYPERLINK("https://cloud.oebiotech.com/#/lm/network/82088", "https://cloud.oebiotech.com/#/lm/network/82088")</f>
        <v>https://cloud.oebiotech.com/#/lm/network/82088</v>
      </c>
      <c r="I2227" s="2" t="s">
        <v>19293</v>
      </c>
      <c r="J2227" s="2">
        <v>70354</v>
      </c>
      <c r="K2227" s="2"/>
      <c r="L2227" s="2">
        <v>37456</v>
      </c>
      <c r="M2227" s="2" t="s">
        <v>19294</v>
      </c>
      <c r="N2227" s="2" t="s">
        <v>12618</v>
      </c>
      <c r="O2227" s="2" t="s">
        <v>12619</v>
      </c>
      <c r="P2227" s="2">
        <v>34564</v>
      </c>
      <c r="Q2227" s="2"/>
      <c r="R2227" s="2"/>
      <c r="S2227" s="2" t="s">
        <v>19295</v>
      </c>
      <c r="T2227" s="2" t="s">
        <v>19296</v>
      </c>
      <c r="U2227" s="2" t="s">
        <v>19297</v>
      </c>
      <c r="V2227" s="2" t="s">
        <v>385</v>
      </c>
      <c r="W2227" s="2" t="s">
        <v>19298</v>
      </c>
      <c r="X2227" s="2" t="s">
        <v>375</v>
      </c>
      <c r="Y2227" s="2" t="s">
        <v>388</v>
      </c>
      <c r="Z2227" s="2" t="s">
        <v>19299</v>
      </c>
      <c r="AA2227" s="2"/>
      <c r="AB2227" s="2" t="s">
        <v>8443</v>
      </c>
      <c r="AC2227" s="2">
        <v>37.54</v>
      </c>
      <c r="AD2227" s="2">
        <v>89.19</v>
      </c>
      <c r="AE2227" s="2">
        <v>0</v>
      </c>
      <c r="AF2227" s="2" t="s">
        <v>19300</v>
      </c>
      <c r="AG2227" s="2" t="s">
        <v>3544</v>
      </c>
      <c r="AH2227" s="2" t="s">
        <v>19301</v>
      </c>
      <c r="AI2227" s="2">
        <v>-1.3</v>
      </c>
      <c r="AJ2227" s="2">
        <v>20.9704647947936</v>
      </c>
      <c r="AK2227" s="2">
        <v>20.967621247637599</v>
      </c>
      <c r="AL2227" s="2">
        <v>20.947247484707098</v>
      </c>
      <c r="AM2227" s="2">
        <v>21.098272511242001</v>
      </c>
      <c r="AN2227" s="2">
        <v>20.799494116174699</v>
      </c>
      <c r="AO2227" s="2">
        <v>20.8888105258976</v>
      </c>
      <c r="AP2227" s="2">
        <v>20.951073160823999</v>
      </c>
      <c r="AQ2227" s="2">
        <v>21.060662655044101</v>
      </c>
      <c r="AR2227" s="2">
        <v>20.947416343687902</v>
      </c>
      <c r="AS2227" s="2">
        <v>19.816939794180001</v>
      </c>
      <c r="AT2227" s="2">
        <v>21.189575775693399</v>
      </c>
      <c r="AU2227" s="2">
        <v>20.833234979047599</v>
      </c>
      <c r="AV2227" s="2">
        <v>19.9321944621962</v>
      </c>
      <c r="AW2227" s="2">
        <v>21.190803490052598</v>
      </c>
      <c r="AX2227" s="2">
        <v>19.682971822004198</v>
      </c>
      <c r="AY2227" s="2">
        <v>20.236226022649099</v>
      </c>
      <c r="AZ2227" s="2">
        <v>19.583249876563698</v>
      </c>
      <c r="BA2227" s="2">
        <v>21.4437887746653</v>
      </c>
      <c r="BB2227" s="2">
        <v>20.763703778607301</v>
      </c>
      <c r="BC2227" s="2">
        <v>21.032262412030299</v>
      </c>
      <c r="BD2227" s="2">
        <v>21.278042969167</v>
      </c>
      <c r="BE2227" s="2">
        <v>20.288049784207601</v>
      </c>
      <c r="BF2227" s="2">
        <v>20.334150114744698</v>
      </c>
      <c r="BG2227" s="2">
        <v>20.318916385330599</v>
      </c>
      <c r="BH2227" s="2">
        <v>20.6322669106499</v>
      </c>
      <c r="BI2227" s="2">
        <v>20.422911510313501</v>
      </c>
      <c r="BJ2227" s="2">
        <v>22.3108743274095</v>
      </c>
      <c r="BK2227" s="2">
        <v>21.359896059443699</v>
      </c>
      <c r="BL2227" s="2">
        <v>20.8893423971302</v>
      </c>
      <c r="BM2227" s="2">
        <v>20.685014374747201</v>
      </c>
      <c r="BN2227" s="2">
        <v>21.5058140829282</v>
      </c>
      <c r="BO2227" s="2">
        <v>21.391368227602602</v>
      </c>
      <c r="BP2227" s="2">
        <v>17.834157389216699</v>
      </c>
      <c r="BQ2227" s="2">
        <v>21.000381338323798</v>
      </c>
      <c r="BR2227" s="2">
        <v>20.025362478303101</v>
      </c>
      <c r="BS2227" s="2">
        <v>20.3064274960626</v>
      </c>
      <c r="BT2227" s="2">
        <v>21.784960948081</v>
      </c>
      <c r="BU2227" s="2">
        <v>21.5185471350974</v>
      </c>
      <c r="BV2227" s="2">
        <v>20.6390368528252</v>
      </c>
      <c r="BW2227" s="2">
        <v>18.806853990173401</v>
      </c>
      <c r="BX2227" s="2">
        <v>21.059671008494</v>
      </c>
      <c r="BY2227" s="2">
        <v>20.348440547276201</v>
      </c>
      <c r="BZ2227" s="2">
        <v>19.3884404345763</v>
      </c>
      <c r="CA2227" s="2">
        <v>20.702841706826501</v>
      </c>
      <c r="CB2227" s="2">
        <v>18.898043896808499</v>
      </c>
      <c r="CC2227" s="2">
        <v>21.1240689701606</v>
      </c>
      <c r="CD2227" s="2">
        <v>21.310202960702199</v>
      </c>
      <c r="CE2227" s="2">
        <v>21.490255200125699</v>
      </c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</row>
    <row r="2228" spans="1:97">
      <c r="A2228" s="2" t="s">
        <v>19302</v>
      </c>
      <c r="B2228" s="2">
        <v>211.05724000000001</v>
      </c>
      <c r="C2228" s="2">
        <v>3.8170000000000002</v>
      </c>
      <c r="D2228" s="2" t="s">
        <v>84</v>
      </c>
      <c r="E2228" s="2" t="s">
        <v>19303</v>
      </c>
      <c r="F2228" s="2" t="s">
        <v>19304</v>
      </c>
      <c r="G2228" s="2">
        <v>255197</v>
      </c>
      <c r="H2228" s="3" t="str">
        <f>HYPERLINK("https://cloud.oebiotech.com/#/lm/network/255197", "https://cloud.oebiotech.com/#/lm/network/255197")</f>
        <v>https://cloud.oebiotech.com/#/lm/network/255197</v>
      </c>
      <c r="I2228" s="2" t="s">
        <v>19305</v>
      </c>
      <c r="J2228" s="2"/>
      <c r="K2228" s="2"/>
      <c r="L2228" s="2">
        <v>58219330</v>
      </c>
      <c r="M2228" s="2"/>
      <c r="N2228" s="2"/>
      <c r="O2228" s="2"/>
      <c r="P2228" s="2"/>
      <c r="Q2228" s="2"/>
      <c r="R2228" s="2"/>
      <c r="S2228" s="2"/>
      <c r="T2228" s="2" t="s">
        <v>19306</v>
      </c>
      <c r="U2228" s="2" t="s">
        <v>19307</v>
      </c>
      <c r="V2228" s="2" t="s">
        <v>115</v>
      </c>
      <c r="W2228" s="2" t="s">
        <v>116</v>
      </c>
      <c r="X2228" s="2" t="s">
        <v>117</v>
      </c>
      <c r="Y2228" s="2" t="s">
        <v>118</v>
      </c>
      <c r="Z2228" s="2" t="s">
        <v>119</v>
      </c>
      <c r="AA2228" s="2" t="s">
        <v>120</v>
      </c>
      <c r="AB2228" s="2" t="s">
        <v>8443</v>
      </c>
      <c r="AC2228" s="2">
        <v>37.54</v>
      </c>
      <c r="AD2228" s="2">
        <v>89.78</v>
      </c>
      <c r="AE2228" s="2">
        <v>0</v>
      </c>
      <c r="AF2228" s="2" t="s">
        <v>19308</v>
      </c>
      <c r="AG2228" s="2" t="s">
        <v>132</v>
      </c>
      <c r="AH2228" s="2" t="s">
        <v>19309</v>
      </c>
      <c r="AI2228" s="2">
        <v>-1.42</v>
      </c>
      <c r="AJ2228" s="2">
        <v>19.467658382185999</v>
      </c>
      <c r="AK2228" s="2">
        <v>19.229622515407701</v>
      </c>
      <c r="AL2228" s="2">
        <v>19.736737876669199</v>
      </c>
      <c r="AM2228" s="2">
        <v>19.417512922030301</v>
      </c>
      <c r="AN2228" s="2">
        <v>19.377207034662401</v>
      </c>
      <c r="AO2228" s="2">
        <v>19.7101603217438</v>
      </c>
      <c r="AP2228" s="2">
        <v>19.352100469831299</v>
      </c>
      <c r="AQ2228" s="2">
        <v>19.354029971463699</v>
      </c>
      <c r="AR2228" s="2">
        <v>18.668942826881</v>
      </c>
      <c r="AS2228" s="2">
        <v>18.789649248250299</v>
      </c>
      <c r="AT2228" s="2">
        <v>18.174048838061399</v>
      </c>
      <c r="AU2228" s="2">
        <v>17.827959347884601</v>
      </c>
      <c r="AV2228" s="2">
        <v>16.8630162380096</v>
      </c>
      <c r="AW2228" s="2">
        <v>17.961148668170999</v>
      </c>
      <c r="AX2228" s="2">
        <v>19.4522643294166</v>
      </c>
      <c r="AY2228" s="2">
        <v>19.1070717094671</v>
      </c>
      <c r="AZ2228" s="2">
        <v>17.766371674636801</v>
      </c>
      <c r="BA2228" s="2">
        <v>18.7805872153343</v>
      </c>
      <c r="BB2228" s="2">
        <v>19.2803634959551</v>
      </c>
      <c r="BC2228" s="2">
        <v>19.5915101112518</v>
      </c>
      <c r="BD2228" s="2">
        <v>18.153700358687399</v>
      </c>
      <c r="BE2228" s="2">
        <v>19.268261887163199</v>
      </c>
      <c r="BF2228" s="2">
        <v>18.581285664109998</v>
      </c>
      <c r="BG2228" s="2">
        <v>18.320981500093399</v>
      </c>
      <c r="BH2228" s="2">
        <v>17.147204825550201</v>
      </c>
      <c r="BI2228" s="2">
        <v>21.467417681959802</v>
      </c>
      <c r="BJ2228" s="2">
        <v>19.953570770423202</v>
      </c>
      <c r="BK2228" s="2">
        <v>17.587229312279501</v>
      </c>
      <c r="BL2228" s="2">
        <v>19.7836944379351</v>
      </c>
      <c r="BM2228" s="2">
        <v>18.928245536725601</v>
      </c>
      <c r="BN2228" s="2">
        <v>18.7477445261481</v>
      </c>
      <c r="BO2228" s="2">
        <v>18.166763394005201</v>
      </c>
      <c r="BP2228" s="2">
        <v>18.363381444196801</v>
      </c>
      <c r="BQ2228" s="2">
        <v>19.610400141873999</v>
      </c>
      <c r="BR2228" s="2">
        <v>19.822533690758799</v>
      </c>
      <c r="BS2228" s="2">
        <v>19.5735956385059</v>
      </c>
      <c r="BT2228" s="2">
        <v>18.213098759769199</v>
      </c>
      <c r="BU2228" s="2">
        <v>19.857853203274502</v>
      </c>
      <c r="BV2228" s="2">
        <v>17.941611106358199</v>
      </c>
      <c r="BW2228" s="2">
        <v>18.3964296009603</v>
      </c>
      <c r="BX2228" s="2">
        <v>19.030359035030401</v>
      </c>
      <c r="BY2228" s="2">
        <v>20.1751984386717</v>
      </c>
      <c r="BZ2228" s="2">
        <v>18.7017673169528</v>
      </c>
      <c r="CA2228" s="2">
        <v>18.811070022976899</v>
      </c>
      <c r="CB2228" s="2">
        <v>20.071351716568</v>
      </c>
      <c r="CC2228" s="2">
        <v>20.373455288491598</v>
      </c>
      <c r="CD2228" s="2">
        <v>19.420402231646499</v>
      </c>
      <c r="CE2228" s="2">
        <v>19.538853199079099</v>
      </c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</row>
    <row r="2229" spans="1:97">
      <c r="A2229" s="2" t="s">
        <v>19310</v>
      </c>
      <c r="B2229" s="2">
        <v>379.15753000000001</v>
      </c>
      <c r="C2229" s="2">
        <v>12.878</v>
      </c>
      <c r="D2229" s="2" t="s">
        <v>146</v>
      </c>
      <c r="E2229" s="2" t="s">
        <v>19311</v>
      </c>
      <c r="F2229" s="2" t="s">
        <v>19312</v>
      </c>
      <c r="G2229" s="2">
        <v>212048</v>
      </c>
      <c r="H2229" s="3" t="str">
        <f>HYPERLINK("https://cloud.oebiotech.com/#/lm/network/212048", "https://cloud.oebiotech.com/#/lm/network/212048")</f>
        <v>https://cloud.oebiotech.com/#/lm/network/212048</v>
      </c>
      <c r="I2229" s="2" t="s">
        <v>19313</v>
      </c>
      <c r="J2229" s="2">
        <v>73202</v>
      </c>
      <c r="K2229" s="2"/>
      <c r="L2229" s="2">
        <v>62330</v>
      </c>
      <c r="M2229" s="2" t="s">
        <v>19314</v>
      </c>
      <c r="N2229" s="2"/>
      <c r="O2229" s="2"/>
      <c r="P2229" s="2">
        <v>88014</v>
      </c>
      <c r="Q2229" s="2"/>
      <c r="R2229" s="2"/>
      <c r="S2229" s="2" t="s">
        <v>19315</v>
      </c>
      <c r="T2229" s="2" t="s">
        <v>19316</v>
      </c>
      <c r="U2229" s="2" t="s">
        <v>19317</v>
      </c>
      <c r="V2229" s="2" t="s">
        <v>553</v>
      </c>
      <c r="W2229" s="2" t="s">
        <v>19318</v>
      </c>
      <c r="X2229" s="2" t="s">
        <v>375</v>
      </c>
      <c r="Y2229" s="2" t="s">
        <v>556</v>
      </c>
      <c r="Z2229" s="2" t="s">
        <v>19319</v>
      </c>
      <c r="AA2229" s="2"/>
      <c r="AB2229" s="2" t="s">
        <v>8443</v>
      </c>
      <c r="AC2229" s="2">
        <v>37.54</v>
      </c>
      <c r="AD2229" s="2">
        <v>97.21</v>
      </c>
      <c r="AE2229" s="2">
        <v>0</v>
      </c>
      <c r="AF2229" s="2" t="s">
        <v>19320</v>
      </c>
      <c r="AG2229" s="2" t="s">
        <v>194</v>
      </c>
      <c r="AH2229" s="2" t="s">
        <v>19321</v>
      </c>
      <c r="AI2229" s="2">
        <v>-2.9</v>
      </c>
      <c r="AJ2229" s="2">
        <v>21.218674966897499</v>
      </c>
      <c r="AK2229" s="2">
        <v>21.1535205201561</v>
      </c>
      <c r="AL2229" s="2">
        <v>20.002780671986098</v>
      </c>
      <c r="AM2229" s="2">
        <v>20.541869165991098</v>
      </c>
      <c r="AN2229" s="2">
        <v>20.821028280607401</v>
      </c>
      <c r="AO2229" s="2">
        <v>21.005003335658699</v>
      </c>
      <c r="AP2229" s="2">
        <v>20.291764477606002</v>
      </c>
      <c r="AQ2229" s="2">
        <v>20.9137225573526</v>
      </c>
      <c r="AR2229" s="2">
        <v>19.8313071200803</v>
      </c>
      <c r="AS2229" s="2">
        <v>20.153348366488402</v>
      </c>
      <c r="AT2229" s="2">
        <v>21.401239885774</v>
      </c>
      <c r="AU2229" s="2">
        <v>19.816559881199201</v>
      </c>
      <c r="AV2229" s="2">
        <v>19.166276548966199</v>
      </c>
      <c r="AW2229" s="2">
        <v>20.362312359091401</v>
      </c>
      <c r="AX2229" s="2">
        <v>21.480458982174198</v>
      </c>
      <c r="AY2229" s="2">
        <v>19.164080039358399</v>
      </c>
      <c r="AZ2229" s="2">
        <v>19.279492991863201</v>
      </c>
      <c r="BA2229" s="2">
        <v>20.720187359049199</v>
      </c>
      <c r="BB2229" s="2">
        <v>19.733157245895502</v>
      </c>
      <c r="BC2229" s="2">
        <v>21.111758093589501</v>
      </c>
      <c r="BD2229" s="2">
        <v>18.819678317282801</v>
      </c>
      <c r="BE2229" s="2">
        <v>18.557938585839299</v>
      </c>
      <c r="BF2229" s="2">
        <v>20.0849467655414</v>
      </c>
      <c r="BG2229" s="2">
        <v>20.290845799091699</v>
      </c>
      <c r="BH2229" s="2">
        <v>19.796966700645601</v>
      </c>
      <c r="BI2229" s="2">
        <v>21.000864015957301</v>
      </c>
      <c r="BJ2229" s="2">
        <v>19.096979459676</v>
      </c>
      <c r="BK2229" s="2">
        <v>19.524813193367599</v>
      </c>
      <c r="BL2229" s="2">
        <v>21.491532804317</v>
      </c>
      <c r="BM2229" s="2">
        <v>19.262246303694301</v>
      </c>
      <c r="BN2229" s="2">
        <v>20.144537798317501</v>
      </c>
      <c r="BO2229" s="2">
        <v>21.200736053765802</v>
      </c>
      <c r="BP2229" s="2">
        <v>20.945431319279798</v>
      </c>
      <c r="BQ2229" s="2">
        <v>20.041742840001401</v>
      </c>
      <c r="BR2229" s="2">
        <v>20.2857196226417</v>
      </c>
      <c r="BS2229" s="2">
        <v>20.431899859953599</v>
      </c>
      <c r="BT2229" s="2">
        <v>20.890032653984999</v>
      </c>
      <c r="BU2229" s="2">
        <v>20.8292744552245</v>
      </c>
      <c r="BV2229" s="2">
        <v>21.457685454997399</v>
      </c>
      <c r="BW2229" s="2">
        <v>19.4842811841655</v>
      </c>
      <c r="BX2229" s="2">
        <v>20.100447102771</v>
      </c>
      <c r="BY2229" s="2">
        <v>19.5128299881526</v>
      </c>
      <c r="BZ2229" s="2">
        <v>20.7255886743216</v>
      </c>
      <c r="CA2229" s="2">
        <v>19.078515142110501</v>
      </c>
      <c r="CB2229" s="2">
        <v>20.475658018197301</v>
      </c>
      <c r="CC2229" s="2">
        <v>20.293734260724001</v>
      </c>
      <c r="CD2229" s="2">
        <v>20.514771284616401</v>
      </c>
      <c r="CE2229" s="2">
        <v>20.5097805219539</v>
      </c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</row>
    <row r="2230" spans="1:97">
      <c r="A2230" s="2" t="s">
        <v>19322</v>
      </c>
      <c r="B2230" s="2">
        <v>426.21053000000001</v>
      </c>
      <c r="C2230" s="2">
        <v>6.6449999999999996</v>
      </c>
      <c r="D2230" s="2" t="s">
        <v>146</v>
      </c>
      <c r="E2230" s="2" t="s">
        <v>19323</v>
      </c>
      <c r="F2230" s="2" t="s">
        <v>19324</v>
      </c>
      <c r="G2230" s="2">
        <v>203643</v>
      </c>
      <c r="H2230" s="3" t="str">
        <f>HYPERLINK("https://cloud.oebiotech.com/#/lm/network/203643", "https://cloud.oebiotech.com/#/lm/network/203643")</f>
        <v>https://cloud.oebiotech.com/#/lm/network/203643</v>
      </c>
      <c r="I2230" s="2" t="s">
        <v>19325</v>
      </c>
      <c r="J2230" s="2"/>
      <c r="K2230" s="2"/>
      <c r="L2230" s="2">
        <v>22918157</v>
      </c>
      <c r="M2230" s="2"/>
      <c r="N2230" s="2"/>
      <c r="O2230" s="2"/>
      <c r="P2230" s="2"/>
      <c r="Q2230" s="2"/>
      <c r="R2230" s="2"/>
      <c r="S2230" s="2"/>
      <c r="T2230" s="2" t="s">
        <v>19326</v>
      </c>
      <c r="U2230" s="2" t="s">
        <v>19327</v>
      </c>
      <c r="V2230" s="2" t="s">
        <v>115</v>
      </c>
      <c r="W2230" s="2" t="s">
        <v>116</v>
      </c>
      <c r="X2230" s="2" t="s">
        <v>117</v>
      </c>
      <c r="Y2230" s="2" t="s">
        <v>118</v>
      </c>
      <c r="Z2230" s="2" t="s">
        <v>119</v>
      </c>
      <c r="AA2230" s="2" t="s">
        <v>120</v>
      </c>
      <c r="AB2230" s="2" t="s">
        <v>8443</v>
      </c>
      <c r="AC2230" s="2">
        <v>37.54</v>
      </c>
      <c r="AD2230" s="2">
        <v>87.72</v>
      </c>
      <c r="AE2230" s="2">
        <v>0</v>
      </c>
      <c r="AF2230" s="2" t="s">
        <v>19328</v>
      </c>
      <c r="AG2230" s="2" t="s">
        <v>993</v>
      </c>
      <c r="AH2230" s="2" t="s">
        <v>19329</v>
      </c>
      <c r="AI2230" s="2">
        <v>-0.94</v>
      </c>
      <c r="AJ2230" s="2">
        <v>16.796981556387401</v>
      </c>
      <c r="AK2230" s="2">
        <v>16.802456159013499</v>
      </c>
      <c r="AL2230" s="2">
        <v>16.744614573859199</v>
      </c>
      <c r="AM2230" s="2">
        <v>16.592695724451399</v>
      </c>
      <c r="AN2230" s="2">
        <v>16.905301911332199</v>
      </c>
      <c r="AO2230" s="2">
        <v>16.881664858275901</v>
      </c>
      <c r="AP2230" s="2">
        <v>16.882262959381102</v>
      </c>
      <c r="AQ2230" s="2">
        <v>16.701974853285702</v>
      </c>
      <c r="AR2230" s="2">
        <v>11.5381889320524</v>
      </c>
      <c r="AS2230" s="2">
        <v>15.4955156064423</v>
      </c>
      <c r="AT2230" s="2">
        <v>15.2381822867855</v>
      </c>
      <c r="AU2230" s="2">
        <v>15.1628688434668</v>
      </c>
      <c r="AV2230" s="2">
        <v>14.0161693080275</v>
      </c>
      <c r="AW2230" s="2">
        <v>16.063305963465702</v>
      </c>
      <c r="AX2230" s="2">
        <v>15.6647464260831</v>
      </c>
      <c r="AY2230" s="2">
        <v>16.997690006885598</v>
      </c>
      <c r="AZ2230" s="2">
        <v>11.917566017170399</v>
      </c>
      <c r="BA2230" s="2">
        <v>16.821133942994202</v>
      </c>
      <c r="BB2230" s="2">
        <v>18.600045300051701</v>
      </c>
      <c r="BC2230" s="2">
        <v>17.649672430651801</v>
      </c>
      <c r="BD2230" s="2">
        <v>13.6126761711964</v>
      </c>
      <c r="BE2230" s="2">
        <v>15.9744643339621</v>
      </c>
      <c r="BF2230" s="2">
        <v>16.008889895582399</v>
      </c>
      <c r="BG2230" s="2">
        <v>17.858241311149499</v>
      </c>
      <c r="BH2230" s="2">
        <v>14.403854193352601</v>
      </c>
      <c r="BI2230" s="2">
        <v>16.588668233220002</v>
      </c>
      <c r="BJ2230" s="2">
        <v>15.6953038830809</v>
      </c>
      <c r="BK2230" s="2">
        <v>12.8960201394235</v>
      </c>
      <c r="BL2230" s="2">
        <v>16.904955137923501</v>
      </c>
      <c r="BM2230" s="2">
        <v>15.555801179623799</v>
      </c>
      <c r="BN2230" s="2">
        <v>15.3993593775941</v>
      </c>
      <c r="BO2230" s="2">
        <v>17.259349366532799</v>
      </c>
      <c r="BP2230" s="2">
        <v>17.0249047114904</v>
      </c>
      <c r="BQ2230" s="2">
        <v>17.600061929045001</v>
      </c>
      <c r="BR2230" s="2">
        <v>17.157526649135502</v>
      </c>
      <c r="BS2230" s="2">
        <v>15.0194091639086</v>
      </c>
      <c r="BT2230" s="2">
        <v>16.965142480763799</v>
      </c>
      <c r="BU2230" s="2">
        <v>16.752752510769</v>
      </c>
      <c r="BV2230" s="2">
        <v>18.120628766950901</v>
      </c>
      <c r="BW2230" s="2">
        <v>16.266696332840301</v>
      </c>
      <c r="BX2230" s="2">
        <v>16.149376794010202</v>
      </c>
      <c r="BY2230" s="2">
        <v>15.0551273442279</v>
      </c>
      <c r="BZ2230" s="2">
        <v>17.0876616249313</v>
      </c>
      <c r="CA2230" s="2">
        <v>15.629882222268799</v>
      </c>
      <c r="CB2230" s="2">
        <v>15.471124573847</v>
      </c>
      <c r="CC2230" s="2">
        <v>17.235839601479299</v>
      </c>
      <c r="CD2230" s="2">
        <v>15.667774344105201</v>
      </c>
      <c r="CE2230" s="2">
        <v>17.0318758437217</v>
      </c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</row>
    <row r="2231" spans="1:97">
      <c r="A2231" s="2" t="s">
        <v>19330</v>
      </c>
      <c r="B2231" s="2">
        <v>341.26558999999997</v>
      </c>
      <c r="C2231" s="2">
        <v>12.115</v>
      </c>
      <c r="D2231" s="2" t="s">
        <v>84</v>
      </c>
      <c r="E2231" s="2" t="s">
        <v>19331</v>
      </c>
      <c r="F2231" s="2" t="s">
        <v>19332</v>
      </c>
      <c r="G2231" s="2">
        <v>8520</v>
      </c>
      <c r="H2231" s="3" t="str">
        <f>HYPERLINK("https://cloud.oebiotech.com/#/lm/network/8520", "https://cloud.oebiotech.com/#/lm/network/8520")</f>
        <v>https://cloud.oebiotech.com/#/lm/network/8520</v>
      </c>
      <c r="I2231" s="2"/>
      <c r="J2231" s="2"/>
      <c r="K2231" s="2" t="s">
        <v>19333</v>
      </c>
      <c r="L2231" s="2"/>
      <c r="M2231" s="2"/>
      <c r="N2231" s="2"/>
      <c r="O2231" s="2"/>
      <c r="P2231" s="2"/>
      <c r="Q2231" s="2"/>
      <c r="R2231" s="2"/>
      <c r="S2231" s="2"/>
      <c r="T2231" s="2" t="s">
        <v>19334</v>
      </c>
      <c r="U2231" s="2" t="s">
        <v>19335</v>
      </c>
      <c r="V2231" s="2" t="s">
        <v>95</v>
      </c>
      <c r="W2231" s="2" t="s">
        <v>96</v>
      </c>
      <c r="X2231" s="2" t="s">
        <v>141</v>
      </c>
      <c r="Y2231" s="2" t="s">
        <v>98</v>
      </c>
      <c r="Z2231" s="2" t="s">
        <v>99</v>
      </c>
      <c r="AA2231" s="2" t="s">
        <v>142</v>
      </c>
      <c r="AB2231" s="2" t="s">
        <v>8443</v>
      </c>
      <c r="AC2231" s="2">
        <v>37.53</v>
      </c>
      <c r="AD2231" s="2">
        <v>87.15</v>
      </c>
      <c r="AE2231" s="2">
        <v>0</v>
      </c>
      <c r="AF2231" s="2" t="s">
        <v>19336</v>
      </c>
      <c r="AG2231" s="2" t="s">
        <v>103</v>
      </c>
      <c r="AH2231" s="2" t="s">
        <v>5171</v>
      </c>
      <c r="AI2231" s="2">
        <v>8.7899999999999991</v>
      </c>
      <c r="AJ2231" s="2">
        <v>22.026876588960398</v>
      </c>
      <c r="AK2231" s="2">
        <v>21.3216682593632</v>
      </c>
      <c r="AL2231" s="2">
        <v>21.441239944766199</v>
      </c>
      <c r="AM2231" s="2">
        <v>21.743915218489299</v>
      </c>
      <c r="AN2231" s="2">
        <v>21.671080437386699</v>
      </c>
      <c r="AO2231" s="2">
        <v>21.894757832786301</v>
      </c>
      <c r="AP2231" s="2">
        <v>21.589052384622299</v>
      </c>
      <c r="AQ2231" s="2">
        <v>21.545482292529201</v>
      </c>
      <c r="AR2231" s="2">
        <v>21.623442844122099</v>
      </c>
      <c r="AS2231" s="2">
        <v>21.044359784125</v>
      </c>
      <c r="AT2231" s="2">
        <v>21.555120274149399</v>
      </c>
      <c r="AU2231" s="2">
        <v>21.3305891227118</v>
      </c>
      <c r="AV2231" s="2">
        <v>21.7136056134153</v>
      </c>
      <c r="AW2231" s="2">
        <v>21.956166788025602</v>
      </c>
      <c r="AX2231" s="2">
        <v>21.962804594524101</v>
      </c>
      <c r="AY2231" s="2">
        <v>21.734784051751099</v>
      </c>
      <c r="AZ2231" s="2">
        <v>22.0933287763058</v>
      </c>
      <c r="BA2231" s="2">
        <v>21.448883896413101</v>
      </c>
      <c r="BB2231" s="2">
        <v>22.071733186819699</v>
      </c>
      <c r="BC2231" s="2">
        <v>21.547887878640701</v>
      </c>
      <c r="BD2231" s="2">
        <v>21.375352629557199</v>
      </c>
      <c r="BE2231" s="2">
        <v>22.146142011054401</v>
      </c>
      <c r="BF2231" s="2">
        <v>20.9120905904336</v>
      </c>
      <c r="BG2231" s="2">
        <v>21.724853685028201</v>
      </c>
      <c r="BH2231" s="2">
        <v>21.486509474214301</v>
      </c>
      <c r="BI2231" s="2">
        <v>21.848217673346301</v>
      </c>
      <c r="BJ2231" s="2">
        <v>21.587646367174901</v>
      </c>
      <c r="BK2231" s="2">
        <v>21.1329223573848</v>
      </c>
      <c r="BL2231" s="2">
        <v>21.8016370132685</v>
      </c>
      <c r="BM2231" s="2">
        <v>20.898983513529501</v>
      </c>
      <c r="BN2231" s="2">
        <v>21.099367633504698</v>
      </c>
      <c r="BO2231" s="2">
        <v>21.730608178614201</v>
      </c>
      <c r="BP2231" s="2">
        <v>21.4146350983521</v>
      </c>
      <c r="BQ2231" s="2">
        <v>20.964226495615598</v>
      </c>
      <c r="BR2231" s="2">
        <v>21.665026289977501</v>
      </c>
      <c r="BS2231" s="2">
        <v>21.5677811425657</v>
      </c>
      <c r="BT2231" s="2">
        <v>21.662226943801802</v>
      </c>
      <c r="BU2231" s="2">
        <v>21.904892599635598</v>
      </c>
      <c r="BV2231" s="2">
        <v>21.525783239655201</v>
      </c>
      <c r="BW2231" s="2">
        <v>21.239021669669899</v>
      </c>
      <c r="BX2231" s="2">
        <v>21.389614992357298</v>
      </c>
      <c r="BY2231" s="2">
        <v>21.712658164066699</v>
      </c>
      <c r="BZ2231" s="2">
        <v>21.7925016034709</v>
      </c>
      <c r="CA2231" s="2">
        <v>20.824932364527498</v>
      </c>
      <c r="CB2231" s="2">
        <v>20.616044923470199</v>
      </c>
      <c r="CC2231" s="2">
        <v>21.045035304954101</v>
      </c>
      <c r="CD2231" s="2">
        <v>20.979085027839499</v>
      </c>
      <c r="CE2231" s="2">
        <v>21.973836787030599</v>
      </c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</row>
    <row r="2232" spans="1:97">
      <c r="A2232" s="2" t="s">
        <v>19337</v>
      </c>
      <c r="B2232" s="2">
        <v>145.06152</v>
      </c>
      <c r="C2232" s="2">
        <v>4.2880000000000003</v>
      </c>
      <c r="D2232" s="2" t="s">
        <v>146</v>
      </c>
      <c r="E2232" s="2" t="s">
        <v>19338</v>
      </c>
      <c r="F2232" s="2" t="s">
        <v>19339</v>
      </c>
      <c r="G2232" s="2">
        <v>58099</v>
      </c>
      <c r="H2232" s="3" t="str">
        <f>HYPERLINK("https://cloud.oebiotech.com/#/lm/network/58099", "https://cloud.oebiotech.com/#/lm/network/58099")</f>
        <v>https://cloud.oebiotech.com/#/lm/network/58099</v>
      </c>
      <c r="I2232" s="2" t="s">
        <v>19340</v>
      </c>
      <c r="J2232" s="2"/>
      <c r="K2232" s="2"/>
      <c r="L2232" s="2">
        <v>5365327</v>
      </c>
      <c r="M2232" s="2" t="s">
        <v>19341</v>
      </c>
      <c r="N2232" s="2"/>
      <c r="O2232" s="2"/>
      <c r="P2232" s="2">
        <v>5583</v>
      </c>
      <c r="Q2232" s="2"/>
      <c r="R2232" s="2"/>
      <c r="S2232" s="2" t="s">
        <v>19342</v>
      </c>
      <c r="T2232" s="2" t="s">
        <v>19343</v>
      </c>
      <c r="U2232" s="2" t="s">
        <v>19344</v>
      </c>
      <c r="V2232" s="2" t="s">
        <v>166</v>
      </c>
      <c r="W2232" s="2" t="s">
        <v>167</v>
      </c>
      <c r="X2232" s="2" t="s">
        <v>19345</v>
      </c>
      <c r="Y2232" s="2" t="s">
        <v>169</v>
      </c>
      <c r="Z2232" s="2" t="s">
        <v>169</v>
      </c>
      <c r="AA2232" s="2" t="s">
        <v>19346</v>
      </c>
      <c r="AB2232" s="2" t="s">
        <v>8443</v>
      </c>
      <c r="AC2232" s="2">
        <v>37.53</v>
      </c>
      <c r="AD2232" s="2">
        <v>96.47</v>
      </c>
      <c r="AE2232" s="2">
        <v>0</v>
      </c>
      <c r="AF2232" s="2" t="s">
        <v>5614</v>
      </c>
      <c r="AG2232" s="2" t="s">
        <v>157</v>
      </c>
      <c r="AH2232" s="2" t="s">
        <v>19347</v>
      </c>
      <c r="AI2232" s="2">
        <v>2.76</v>
      </c>
      <c r="AJ2232" s="2">
        <v>19.3239775742252</v>
      </c>
      <c r="AK2232" s="2">
        <v>19.230608667655801</v>
      </c>
      <c r="AL2232" s="2">
        <v>19.1808835127989</v>
      </c>
      <c r="AM2232" s="2">
        <v>19.0520602333131</v>
      </c>
      <c r="AN2232" s="2">
        <v>19.182281274684101</v>
      </c>
      <c r="AO2232" s="2">
        <v>18.843501759856501</v>
      </c>
      <c r="AP2232" s="2">
        <v>19.0772704115655</v>
      </c>
      <c r="AQ2232" s="2">
        <v>19.464321727702998</v>
      </c>
      <c r="AR2232" s="2">
        <v>17.4856192776612</v>
      </c>
      <c r="AS2232" s="2">
        <v>17.439803132088802</v>
      </c>
      <c r="AT2232" s="2">
        <v>17.798750038328301</v>
      </c>
      <c r="AU2232" s="2">
        <v>18.070703618975099</v>
      </c>
      <c r="AV2232" s="2">
        <v>19.674068722712001</v>
      </c>
      <c r="AW2232" s="2">
        <v>19.1512264061354</v>
      </c>
      <c r="AX2232" s="2">
        <v>19.653626699365901</v>
      </c>
      <c r="AY2232" s="2">
        <v>18.868701521471099</v>
      </c>
      <c r="AZ2232" s="2">
        <v>18.936209431517799</v>
      </c>
      <c r="BA2232" s="2">
        <v>18.510119549791099</v>
      </c>
      <c r="BB2232" s="2">
        <v>19.794803954757601</v>
      </c>
      <c r="BC2232" s="2">
        <v>18.935281007866401</v>
      </c>
      <c r="BD2232" s="2">
        <v>19.058852760454499</v>
      </c>
      <c r="BE2232" s="2">
        <v>20.625092495026902</v>
      </c>
      <c r="BF2232" s="2">
        <v>18.499404356898399</v>
      </c>
      <c r="BG2232" s="2">
        <v>19.728601342046002</v>
      </c>
      <c r="BH2232" s="2">
        <v>19.704958058723701</v>
      </c>
      <c r="BI2232" s="2">
        <v>20.0852863165664</v>
      </c>
      <c r="BJ2232" s="2">
        <v>19.669620738358901</v>
      </c>
      <c r="BK2232" s="2">
        <v>19.193319415638701</v>
      </c>
      <c r="BL2232" s="2">
        <v>19.547443838039701</v>
      </c>
      <c r="BM2232" s="2">
        <v>19.1083221200062</v>
      </c>
      <c r="BN2232" s="2">
        <v>18.318160805408699</v>
      </c>
      <c r="BO2232" s="2">
        <v>18.007488386362901</v>
      </c>
      <c r="BP2232" s="2">
        <v>18.9708583715712</v>
      </c>
      <c r="BQ2232" s="2">
        <v>19.024669119147699</v>
      </c>
      <c r="BR2232" s="2">
        <v>18.642802243026399</v>
      </c>
      <c r="BS2232" s="2">
        <v>19.2067251247448</v>
      </c>
      <c r="BT2232" s="2">
        <v>19.845679242186399</v>
      </c>
      <c r="BU2232" s="2">
        <v>18.105003830207501</v>
      </c>
      <c r="BV2232" s="2">
        <v>18.6027588794195</v>
      </c>
      <c r="BW2232" s="2">
        <v>17.3523703959372</v>
      </c>
      <c r="BX2232" s="2">
        <v>18.555194281539698</v>
      </c>
      <c r="BY2232" s="2">
        <v>20.541635265536701</v>
      </c>
      <c r="BZ2232" s="2">
        <v>18.739482357376598</v>
      </c>
      <c r="CA2232" s="2">
        <v>18.4538296166618</v>
      </c>
      <c r="CB2232" s="2">
        <v>18.793363581010102</v>
      </c>
      <c r="CC2232" s="2">
        <v>18.616487174714099</v>
      </c>
      <c r="CD2232" s="2">
        <v>19.687095845010901</v>
      </c>
      <c r="CE2232" s="2">
        <v>18.438809148834199</v>
      </c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</row>
    <row r="2233" spans="1:97">
      <c r="A2233" s="2" t="s">
        <v>19348</v>
      </c>
      <c r="B2233" s="2">
        <v>514.13148999999999</v>
      </c>
      <c r="C2233" s="2">
        <v>3.6739999999999999</v>
      </c>
      <c r="D2233" s="2" t="s">
        <v>146</v>
      </c>
      <c r="E2233" s="2" t="s">
        <v>19349</v>
      </c>
      <c r="F2233" s="2" t="s">
        <v>19350</v>
      </c>
      <c r="G2233" s="2">
        <v>209871</v>
      </c>
      <c r="H2233" s="3" t="str">
        <f>HYPERLINK("https://cloud.oebiotech.com/#/lm/network/209871", "https://cloud.oebiotech.com/#/lm/network/209871")</f>
        <v>https://cloud.oebiotech.com/#/lm/network/209871</v>
      </c>
      <c r="I2233" s="2" t="s">
        <v>19351</v>
      </c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 t="s">
        <v>19352</v>
      </c>
      <c r="U2233" s="2" t="s">
        <v>19353</v>
      </c>
      <c r="V2233" s="2" t="s">
        <v>338</v>
      </c>
      <c r="W2233" s="2" t="s">
        <v>339</v>
      </c>
      <c r="X2233" s="2" t="s">
        <v>663</v>
      </c>
      <c r="Y2233" s="2" t="s">
        <v>341</v>
      </c>
      <c r="Z2233" s="2" t="s">
        <v>341</v>
      </c>
      <c r="AA2233" s="2" t="s">
        <v>664</v>
      </c>
      <c r="AB2233" s="2" t="s">
        <v>5118</v>
      </c>
      <c r="AC2233" s="2">
        <v>37.520000000000003</v>
      </c>
      <c r="AD2233" s="2">
        <v>81.599999999999994</v>
      </c>
      <c r="AE2233" s="2">
        <v>53.37</v>
      </c>
      <c r="AF2233" s="2" t="s">
        <v>19354</v>
      </c>
      <c r="AG2233" s="2" t="s">
        <v>157</v>
      </c>
      <c r="AH2233" s="2" t="s">
        <v>19355</v>
      </c>
      <c r="AI2233" s="2">
        <v>7.78</v>
      </c>
      <c r="AJ2233" s="2">
        <v>16.083328900248699</v>
      </c>
      <c r="AK2233" s="2">
        <v>16.5718201793877</v>
      </c>
      <c r="AL2233" s="2">
        <v>16.316326261671101</v>
      </c>
      <c r="AM2233" s="2">
        <v>16.180204439153499</v>
      </c>
      <c r="AN2233" s="2">
        <v>16.531612346356201</v>
      </c>
      <c r="AO2233" s="2">
        <v>16.8925983111493</v>
      </c>
      <c r="AP2233" s="2">
        <v>16.452101733262101</v>
      </c>
      <c r="AQ2233" s="2">
        <v>16.344932148707201</v>
      </c>
      <c r="AR2233" s="2">
        <v>15.3178852846517</v>
      </c>
      <c r="AS2233" s="2">
        <v>14.131995180116601</v>
      </c>
      <c r="AT2233" s="2">
        <v>16.479356037450099</v>
      </c>
      <c r="AU2233" s="2">
        <v>14.3675758304589</v>
      </c>
      <c r="AV2233" s="2">
        <v>16.4036884612403</v>
      </c>
      <c r="AW2233" s="2">
        <v>16.3448390705062</v>
      </c>
      <c r="AX2233" s="2">
        <v>15.4767863837024</v>
      </c>
      <c r="AY2233" s="2">
        <v>16.5488261219311</v>
      </c>
      <c r="AZ2233" s="2">
        <v>16.598843584009401</v>
      </c>
      <c r="BA2233" s="2">
        <v>15.716895805137099</v>
      </c>
      <c r="BB2233" s="2">
        <v>17.453008530036598</v>
      </c>
      <c r="BC2233" s="2">
        <v>16.685570091608</v>
      </c>
      <c r="BD2233" s="2">
        <v>12.8971307366416</v>
      </c>
      <c r="BE2233" s="2">
        <v>17.604000863371699</v>
      </c>
      <c r="BF2233" s="2">
        <v>16.0263561500484</v>
      </c>
      <c r="BG2233" s="2">
        <v>17.521912085235201</v>
      </c>
      <c r="BH2233" s="2">
        <v>16.2169962622567</v>
      </c>
      <c r="BI2233" s="2">
        <v>15.8159186028759</v>
      </c>
      <c r="BJ2233" s="2">
        <v>17.010471940738199</v>
      </c>
      <c r="BK2233" s="2">
        <v>16.594219763264999</v>
      </c>
      <c r="BL2233" s="2">
        <v>15.7708192405942</v>
      </c>
      <c r="BM2233" s="2">
        <v>17.642619788942</v>
      </c>
      <c r="BN2233" s="2">
        <v>17.037444213189801</v>
      </c>
      <c r="BO2233" s="2">
        <v>16.539737245658799</v>
      </c>
      <c r="BP2233" s="2">
        <v>16.298632543104901</v>
      </c>
      <c r="BQ2233" s="2">
        <v>17.213662062235102</v>
      </c>
      <c r="BR2233" s="2">
        <v>16.7420495138545</v>
      </c>
      <c r="BS2233" s="2">
        <v>15.4667739905718</v>
      </c>
      <c r="BT2233" s="2">
        <v>15.6354338718864</v>
      </c>
      <c r="BU2233" s="2">
        <v>15.0545131716184</v>
      </c>
      <c r="BV2233" s="2">
        <v>15.6576109788233</v>
      </c>
      <c r="BW2233" s="2">
        <v>15.743864569062399</v>
      </c>
      <c r="BX2233" s="2">
        <v>15.7636050493239</v>
      </c>
      <c r="BY2233" s="2">
        <v>17.337094923132899</v>
      </c>
      <c r="BZ2233" s="2">
        <v>17.2479843310478</v>
      </c>
      <c r="CA2233" s="2">
        <v>17.351980730806599</v>
      </c>
      <c r="CB2233" s="2">
        <v>16.062928573801301</v>
      </c>
      <c r="CC2233" s="2">
        <v>15.5337002149613</v>
      </c>
      <c r="CD2233" s="2">
        <v>17.363087127086899</v>
      </c>
      <c r="CE2233" s="2">
        <v>16.8690414497819</v>
      </c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</row>
    <row r="2234" spans="1:97">
      <c r="A2234" s="2" t="s">
        <v>19356</v>
      </c>
      <c r="B2234" s="2">
        <v>377.26143000000002</v>
      </c>
      <c r="C2234" s="2">
        <v>8.8119999999999994</v>
      </c>
      <c r="D2234" s="2" t="s">
        <v>84</v>
      </c>
      <c r="E2234" s="2" t="s">
        <v>19357</v>
      </c>
      <c r="F2234" s="2" t="s">
        <v>19358</v>
      </c>
      <c r="G2234" s="2">
        <v>207306</v>
      </c>
      <c r="H2234" s="3" t="str">
        <f>HYPERLINK("https://cloud.oebiotech.com/#/lm/network/207306", "https://cloud.oebiotech.com/#/lm/network/207306")</f>
        <v>https://cloud.oebiotech.com/#/lm/network/207306</v>
      </c>
      <c r="I2234" s="2" t="s">
        <v>19359</v>
      </c>
      <c r="J2234" s="2"/>
      <c r="K2234" s="2"/>
      <c r="L2234" s="2">
        <v>20025482</v>
      </c>
      <c r="M2234" s="2"/>
      <c r="N2234" s="2"/>
      <c r="O2234" s="2"/>
      <c r="P2234" s="2"/>
      <c r="Q2234" s="2"/>
      <c r="R2234" s="2"/>
      <c r="S2234" s="2"/>
      <c r="T2234" s="2" t="s">
        <v>19360</v>
      </c>
      <c r="U2234" s="2" t="s">
        <v>19361</v>
      </c>
      <c r="V2234" s="2" t="s">
        <v>115</v>
      </c>
      <c r="W2234" s="2" t="s">
        <v>116</v>
      </c>
      <c r="X2234" s="2" t="s">
        <v>117</v>
      </c>
      <c r="Y2234" s="2" t="s">
        <v>118</v>
      </c>
      <c r="Z2234" s="2" t="s">
        <v>119</v>
      </c>
      <c r="AA2234" s="2" t="s">
        <v>120</v>
      </c>
      <c r="AB2234" s="2" t="s">
        <v>8443</v>
      </c>
      <c r="AC2234" s="2">
        <v>37.520000000000003</v>
      </c>
      <c r="AD2234" s="2">
        <v>89.26</v>
      </c>
      <c r="AE2234" s="2">
        <v>0</v>
      </c>
      <c r="AF2234" s="2" t="s">
        <v>5614</v>
      </c>
      <c r="AG2234" s="2" t="s">
        <v>132</v>
      </c>
      <c r="AH2234" s="2" t="s">
        <v>19362</v>
      </c>
      <c r="AI2234" s="2">
        <v>1.33</v>
      </c>
      <c r="AJ2234" s="2">
        <v>19.903557545860799</v>
      </c>
      <c r="AK2234" s="2">
        <v>19.923588257347902</v>
      </c>
      <c r="AL2234" s="2">
        <v>18.9492858209674</v>
      </c>
      <c r="AM2234" s="2">
        <v>19.511764484466699</v>
      </c>
      <c r="AN2234" s="2">
        <v>20.196048768649401</v>
      </c>
      <c r="AO2234" s="2">
        <v>19.628611908546599</v>
      </c>
      <c r="AP2234" s="2">
        <v>19.979701781385401</v>
      </c>
      <c r="AQ2234" s="2">
        <v>19.911832126790699</v>
      </c>
      <c r="AR2234" s="2">
        <v>20.1425311432181</v>
      </c>
      <c r="AS2234" s="2">
        <v>19.758497318704499</v>
      </c>
      <c r="AT2234" s="2">
        <v>19.1127458137994</v>
      </c>
      <c r="AU2234" s="2">
        <v>19.658938530171401</v>
      </c>
      <c r="AV2234" s="2">
        <v>19.9995119269973</v>
      </c>
      <c r="AW2234" s="2">
        <v>19.9325216738692</v>
      </c>
      <c r="AX2234" s="2">
        <v>19.045621672331801</v>
      </c>
      <c r="AY2234" s="2">
        <v>18.870972999509199</v>
      </c>
      <c r="AZ2234" s="2">
        <v>19.6326773474809</v>
      </c>
      <c r="BA2234" s="2">
        <v>19.844988386471499</v>
      </c>
      <c r="BB2234" s="2">
        <v>19.526700747705899</v>
      </c>
      <c r="BC2234" s="2">
        <v>20.018230774457798</v>
      </c>
      <c r="BD2234" s="2">
        <v>19.8141443239513</v>
      </c>
      <c r="BE2234" s="2">
        <v>20.228608446519999</v>
      </c>
      <c r="BF2234" s="2">
        <v>15.905939051797599</v>
      </c>
      <c r="BG2234" s="2">
        <v>19.491064611491701</v>
      </c>
      <c r="BH2234" s="2">
        <v>18.3274495782237</v>
      </c>
      <c r="BI2234" s="2">
        <v>18.847903681302501</v>
      </c>
      <c r="BJ2234" s="2">
        <v>17.625417264222801</v>
      </c>
      <c r="BK2234" s="2">
        <v>18.139524773247601</v>
      </c>
      <c r="BL2234" s="2">
        <v>19.564315717303501</v>
      </c>
      <c r="BM2234" s="2">
        <v>19.6236437104427</v>
      </c>
      <c r="BN2234" s="2">
        <v>19.536722703740001</v>
      </c>
      <c r="BO2234" s="2">
        <v>18.787998022323901</v>
      </c>
      <c r="BP2234" s="2">
        <v>19.510650178208</v>
      </c>
      <c r="BQ2234" s="2">
        <v>19.774299899875899</v>
      </c>
      <c r="BR2234" s="2">
        <v>19.953589383566001</v>
      </c>
      <c r="BS2234" s="2">
        <v>19.0179868879491</v>
      </c>
      <c r="BT2234" s="2">
        <v>18.7894675772454</v>
      </c>
      <c r="BU2234" s="2">
        <v>19.364502649064999</v>
      </c>
      <c r="BV2234" s="2">
        <v>20.3201059538473</v>
      </c>
      <c r="BW2234" s="2">
        <v>19.523537051557799</v>
      </c>
      <c r="BX2234" s="2">
        <v>19.6511534810558</v>
      </c>
      <c r="BY2234" s="2">
        <v>19.8195723923135</v>
      </c>
      <c r="BZ2234" s="2">
        <v>19.562702529682799</v>
      </c>
      <c r="CA2234" s="2">
        <v>19.804684696906399</v>
      </c>
      <c r="CB2234" s="2">
        <v>20.275886466408299</v>
      </c>
      <c r="CC2234" s="2">
        <v>20.203148307937099</v>
      </c>
      <c r="CD2234" s="2">
        <v>19.944868780811099</v>
      </c>
      <c r="CE2234" s="2">
        <v>20.0429077306738</v>
      </c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</row>
    <row r="2235" spans="1:97">
      <c r="A2235" s="2" t="s">
        <v>19363</v>
      </c>
      <c r="B2235" s="2">
        <v>333.04014000000001</v>
      </c>
      <c r="C2235" s="2">
        <v>3.669</v>
      </c>
      <c r="D2235" s="2" t="s">
        <v>146</v>
      </c>
      <c r="E2235" s="2" t="s">
        <v>19364</v>
      </c>
      <c r="F2235" s="2" t="s">
        <v>19365</v>
      </c>
      <c r="G2235" s="2">
        <v>29680</v>
      </c>
      <c r="H2235" s="3" t="str">
        <f>HYPERLINK("https://cloud.oebiotech.com/#/lm/network/29680", "https://cloud.oebiotech.com/#/lm/network/29680")</f>
        <v>https://cloud.oebiotech.com/#/lm/network/29680</v>
      </c>
      <c r="I2235" s="2" t="s">
        <v>19366</v>
      </c>
      <c r="J2235" s="2">
        <v>48044</v>
      </c>
      <c r="K2235" s="2" t="s">
        <v>19367</v>
      </c>
      <c r="L2235" s="2">
        <v>13885696</v>
      </c>
      <c r="M2235" s="2"/>
      <c r="N2235" s="2"/>
      <c r="O2235" s="2"/>
      <c r="P2235" s="2"/>
      <c r="Q2235" s="2"/>
      <c r="R2235" s="2"/>
      <c r="S2235" s="2" t="s">
        <v>19368</v>
      </c>
      <c r="T2235" s="2" t="s">
        <v>19369</v>
      </c>
      <c r="U2235" s="2" t="s">
        <v>19370</v>
      </c>
      <c r="V2235" s="2" t="s">
        <v>845</v>
      </c>
      <c r="W2235" s="2" t="s">
        <v>3853</v>
      </c>
      <c r="X2235" s="2" t="s">
        <v>19371</v>
      </c>
      <c r="Y2235" s="2" t="s">
        <v>847</v>
      </c>
      <c r="Z2235" s="2" t="s">
        <v>3855</v>
      </c>
      <c r="AA2235" s="2" t="s">
        <v>19372</v>
      </c>
      <c r="AB2235" s="2" t="s">
        <v>8443</v>
      </c>
      <c r="AC2235" s="2">
        <v>37.520000000000003</v>
      </c>
      <c r="AD2235" s="2">
        <v>87.62</v>
      </c>
      <c r="AE2235" s="2">
        <v>0</v>
      </c>
      <c r="AF2235" s="2" t="s">
        <v>5614</v>
      </c>
      <c r="AG2235" s="2" t="s">
        <v>993</v>
      </c>
      <c r="AH2235" s="2" t="s">
        <v>19373</v>
      </c>
      <c r="AI2235" s="2">
        <v>-0.6</v>
      </c>
      <c r="AJ2235" s="2">
        <v>17.057797056603199</v>
      </c>
      <c r="AK2235" s="2">
        <v>16.800636168508898</v>
      </c>
      <c r="AL2235" s="2">
        <v>17.509361982414301</v>
      </c>
      <c r="AM2235" s="2">
        <v>17.255619026429901</v>
      </c>
      <c r="AN2235" s="2">
        <v>17.414374236771302</v>
      </c>
      <c r="AO2235" s="2">
        <v>17.281813418878802</v>
      </c>
      <c r="AP2235" s="2">
        <v>17.258619397898102</v>
      </c>
      <c r="AQ2235" s="2">
        <v>17.4497694679003</v>
      </c>
      <c r="AR2235" s="2">
        <v>15.9102747494679</v>
      </c>
      <c r="AS2235" s="2">
        <v>16.256154682298</v>
      </c>
      <c r="AT2235" s="2">
        <v>16.421282974084399</v>
      </c>
      <c r="AU2235" s="2">
        <v>16.3661529677202</v>
      </c>
      <c r="AV2235" s="2">
        <v>16.868169288434501</v>
      </c>
      <c r="AW2235" s="2">
        <v>16.821287937048599</v>
      </c>
      <c r="AX2235" s="2">
        <v>16.821446150065299</v>
      </c>
      <c r="AY2235" s="2">
        <v>17.4377528036824</v>
      </c>
      <c r="AZ2235" s="2">
        <v>17.1856511328665</v>
      </c>
      <c r="BA2235" s="2">
        <v>16.119907910615002</v>
      </c>
      <c r="BB2235" s="2">
        <v>17.732012697122801</v>
      </c>
      <c r="BC2235" s="2">
        <v>17.594373011783599</v>
      </c>
      <c r="BD2235" s="2">
        <v>16.2619883721921</v>
      </c>
      <c r="BE2235" s="2">
        <v>17.568512244509801</v>
      </c>
      <c r="BF2235" s="2">
        <v>17.500707305129001</v>
      </c>
      <c r="BG2235" s="2">
        <v>17.624987957490202</v>
      </c>
      <c r="BH2235" s="2">
        <v>16.856713781072099</v>
      </c>
      <c r="BI2235" s="2">
        <v>16.696514575999402</v>
      </c>
      <c r="BJ2235" s="2">
        <v>17.069718275718301</v>
      </c>
      <c r="BK2235" s="2">
        <v>16.924899237100899</v>
      </c>
      <c r="BL2235" s="2">
        <v>17.140250228315502</v>
      </c>
      <c r="BM2235" s="2">
        <v>17.710602787139798</v>
      </c>
      <c r="BN2235" s="2">
        <v>17.187966243949599</v>
      </c>
      <c r="BO2235" s="2">
        <v>17.137756359867701</v>
      </c>
      <c r="BP2235" s="2">
        <v>17.078599703319199</v>
      </c>
      <c r="BQ2235" s="2">
        <v>17.388250678238901</v>
      </c>
      <c r="BR2235" s="2">
        <v>17.069894457129401</v>
      </c>
      <c r="BS2235" s="2">
        <v>16.969632158835498</v>
      </c>
      <c r="BT2235" s="2">
        <v>16.881008537199602</v>
      </c>
      <c r="BU2235" s="2">
        <v>16.7343731691087</v>
      </c>
      <c r="BV2235" s="2">
        <v>17.105614735741302</v>
      </c>
      <c r="BW2235" s="2">
        <v>16.714326291299098</v>
      </c>
      <c r="BX2235" s="2">
        <v>17.207701957627499</v>
      </c>
      <c r="BY2235" s="2">
        <v>17.4318257415377</v>
      </c>
      <c r="BZ2235" s="2">
        <v>17.4663627313357</v>
      </c>
      <c r="CA2235" s="2">
        <v>17.347408301350399</v>
      </c>
      <c r="CB2235" s="2">
        <v>16.9379770777083</v>
      </c>
      <c r="CC2235" s="2">
        <v>16.753368632689799</v>
      </c>
      <c r="CD2235" s="2">
        <v>17.6334830065536</v>
      </c>
      <c r="CE2235" s="2">
        <v>17.5150612348144</v>
      </c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</row>
    <row r="2236" spans="1:97">
      <c r="A2236" s="2" t="s">
        <v>19374</v>
      </c>
      <c r="B2236" s="2">
        <v>241.05595</v>
      </c>
      <c r="C2236" s="2">
        <v>4.2850000000000001</v>
      </c>
      <c r="D2236" s="2" t="s">
        <v>146</v>
      </c>
      <c r="E2236" s="2" t="s">
        <v>19375</v>
      </c>
      <c r="F2236" s="2" t="s">
        <v>19376</v>
      </c>
      <c r="G2236" s="2">
        <v>48052</v>
      </c>
      <c r="H2236" s="3" t="str">
        <f>HYPERLINK("https://cloud.oebiotech.com/#/lm/network/48052", "https://cloud.oebiotech.com/#/lm/network/48052")</f>
        <v>https://cloud.oebiotech.com/#/lm/network/48052</v>
      </c>
      <c r="I2236" s="2" t="s">
        <v>19377</v>
      </c>
      <c r="J2236" s="2">
        <v>344</v>
      </c>
      <c r="K2236" s="2"/>
      <c r="L2236" s="2">
        <v>152304</v>
      </c>
      <c r="M2236" s="2" t="s">
        <v>19378</v>
      </c>
      <c r="N2236" s="2" t="s">
        <v>2863</v>
      </c>
      <c r="O2236" s="2" t="s">
        <v>2864</v>
      </c>
      <c r="P2236" s="2">
        <v>87753</v>
      </c>
      <c r="Q2236" s="2"/>
      <c r="R2236" s="2"/>
      <c r="S2236" s="2" t="s">
        <v>19379</v>
      </c>
      <c r="T2236" s="2" t="s">
        <v>19380</v>
      </c>
      <c r="U2236" s="2" t="s">
        <v>19381</v>
      </c>
      <c r="V2236" s="2" t="s">
        <v>115</v>
      </c>
      <c r="W2236" s="2" t="s">
        <v>832</v>
      </c>
      <c r="X2236" s="2" t="s">
        <v>4084</v>
      </c>
      <c r="Y2236" s="2" t="s">
        <v>118</v>
      </c>
      <c r="Z2236" s="2" t="s">
        <v>834</v>
      </c>
      <c r="AA2236" s="2" t="s">
        <v>4085</v>
      </c>
      <c r="AB2236" s="2" t="s">
        <v>8443</v>
      </c>
      <c r="AC2236" s="2">
        <v>37.51</v>
      </c>
      <c r="AD2236" s="2">
        <v>95</v>
      </c>
      <c r="AE2236" s="2">
        <v>0</v>
      </c>
      <c r="AF2236" s="2" t="s">
        <v>5614</v>
      </c>
      <c r="AG2236" s="2" t="s">
        <v>157</v>
      </c>
      <c r="AH2236" s="2" t="s">
        <v>666</v>
      </c>
      <c r="AI2236" s="2">
        <v>2.4900000000000002</v>
      </c>
      <c r="AJ2236" s="2">
        <v>17.054406650281699</v>
      </c>
      <c r="AK2236" s="2">
        <v>17.443150117060501</v>
      </c>
      <c r="AL2236" s="2">
        <v>17.421147921253699</v>
      </c>
      <c r="AM2236" s="2">
        <v>17.595144985085501</v>
      </c>
      <c r="AN2236" s="2">
        <v>17.6859463061333</v>
      </c>
      <c r="AO2236" s="2">
        <v>17.340181139088401</v>
      </c>
      <c r="AP2236" s="2">
        <v>17.817168671614098</v>
      </c>
      <c r="AQ2236" s="2">
        <v>18.167193295265601</v>
      </c>
      <c r="AR2236" s="2">
        <v>17.5011122350876</v>
      </c>
      <c r="AS2236" s="2">
        <v>17.6870890598572</v>
      </c>
      <c r="AT2236" s="2">
        <v>17.8064264595282</v>
      </c>
      <c r="AU2236" s="2">
        <v>16.772309676256501</v>
      </c>
      <c r="AV2236" s="2">
        <v>16.914887278295701</v>
      </c>
      <c r="AW2236" s="2">
        <v>17.587798754677099</v>
      </c>
      <c r="AX2236" s="2">
        <v>18.018086920372301</v>
      </c>
      <c r="AY2236" s="2">
        <v>17.3030118109771</v>
      </c>
      <c r="AZ2236" s="2">
        <v>17.997632678203001</v>
      </c>
      <c r="BA2236" s="2">
        <v>17.322567057410701</v>
      </c>
      <c r="BB2236" s="2">
        <v>17.3370290481311</v>
      </c>
      <c r="BC2236" s="2">
        <v>15.723722264044801</v>
      </c>
      <c r="BD2236" s="2">
        <v>17.925561277823899</v>
      </c>
      <c r="BE2236" s="2">
        <v>17.827775430474599</v>
      </c>
      <c r="BF2236" s="2">
        <v>17.660466441442502</v>
      </c>
      <c r="BG2236" s="2">
        <v>18.1400991635407</v>
      </c>
      <c r="BH2236" s="2">
        <v>17.666213113188899</v>
      </c>
      <c r="BI2236" s="2">
        <v>17.937425835087101</v>
      </c>
      <c r="BJ2236" s="2">
        <v>17.514940459001799</v>
      </c>
      <c r="BK2236" s="2">
        <v>17.862828807513601</v>
      </c>
      <c r="BL2236" s="2">
        <v>17.994546689358199</v>
      </c>
      <c r="BM2236" s="2">
        <v>16.636555803164502</v>
      </c>
      <c r="BN2236" s="2">
        <v>17.589265714184101</v>
      </c>
      <c r="BO2236" s="2">
        <v>17.8431100801008</v>
      </c>
      <c r="BP2236" s="2">
        <v>17.900517256824301</v>
      </c>
      <c r="BQ2236" s="2">
        <v>17.4401527507036</v>
      </c>
      <c r="BR2236" s="2">
        <v>17.428387000510298</v>
      </c>
      <c r="BS2236" s="2">
        <v>17.404792733117699</v>
      </c>
      <c r="BT2236" s="2">
        <v>17.9598424763035</v>
      </c>
      <c r="BU2236" s="2">
        <v>17.637249490687498</v>
      </c>
      <c r="BV2236" s="2">
        <v>17.4622327326103</v>
      </c>
      <c r="BW2236" s="2">
        <v>18.2691278665372</v>
      </c>
      <c r="BX2236" s="2">
        <v>17.4502527539167</v>
      </c>
      <c r="BY2236" s="2">
        <v>17.986653135937001</v>
      </c>
      <c r="BZ2236" s="2">
        <v>17.762347777411001</v>
      </c>
      <c r="CA2236" s="2">
        <v>17.583515249614599</v>
      </c>
      <c r="CB2236" s="2">
        <v>18.2251579545627</v>
      </c>
      <c r="CC2236" s="2">
        <v>18.328043312015801</v>
      </c>
      <c r="CD2236" s="2">
        <v>18.027000465353201</v>
      </c>
      <c r="CE2236" s="2">
        <v>18.334916098582099</v>
      </c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</row>
    <row r="2237" spans="1:97">
      <c r="A2237" s="2" t="s">
        <v>19382</v>
      </c>
      <c r="B2237" s="2">
        <v>289.13438000000002</v>
      </c>
      <c r="C2237" s="2">
        <v>10.385999999999999</v>
      </c>
      <c r="D2237" s="2" t="s">
        <v>84</v>
      </c>
      <c r="E2237" s="2" t="s">
        <v>19383</v>
      </c>
      <c r="F2237" s="2" t="s">
        <v>19384</v>
      </c>
      <c r="G2237" s="2">
        <v>62412</v>
      </c>
      <c r="H2237" s="3" t="str">
        <f>HYPERLINK("https://cloud.oebiotech.com/#/lm/network/62412", "https://cloud.oebiotech.com/#/lm/network/62412")</f>
        <v>https://cloud.oebiotech.com/#/lm/network/62412</v>
      </c>
      <c r="I2237" s="2" t="s">
        <v>19385</v>
      </c>
      <c r="J2237" s="2">
        <v>93706</v>
      </c>
      <c r="K2237" s="2"/>
      <c r="L2237" s="2">
        <v>15173236</v>
      </c>
      <c r="M2237" s="2"/>
      <c r="N2237" s="2"/>
      <c r="O2237" s="2"/>
      <c r="P2237" s="2"/>
      <c r="Q2237" s="2"/>
      <c r="R2237" s="2"/>
      <c r="S2237" s="2" t="s">
        <v>19386</v>
      </c>
      <c r="T2237" s="2" t="s">
        <v>19387</v>
      </c>
      <c r="U2237" s="2" t="s">
        <v>19388</v>
      </c>
      <c r="V2237" s="2" t="s">
        <v>385</v>
      </c>
      <c r="W2237" s="2" t="s">
        <v>375</v>
      </c>
      <c r="X2237" s="2" t="s">
        <v>375</v>
      </c>
      <c r="Y2237" s="2" t="s">
        <v>388</v>
      </c>
      <c r="Z2237" s="2"/>
      <c r="AA2237" s="2"/>
      <c r="AB2237" s="2" t="s">
        <v>8443</v>
      </c>
      <c r="AC2237" s="2">
        <v>37.51</v>
      </c>
      <c r="AD2237" s="2">
        <v>87.74</v>
      </c>
      <c r="AE2237" s="2">
        <v>0</v>
      </c>
      <c r="AF2237" s="2" t="s">
        <v>5614</v>
      </c>
      <c r="AG2237" s="2" t="s">
        <v>1088</v>
      </c>
      <c r="AH2237" s="2" t="s">
        <v>19389</v>
      </c>
      <c r="AI2237" s="2">
        <v>-1.04</v>
      </c>
      <c r="AJ2237" s="2">
        <v>23.1932844408359</v>
      </c>
      <c r="AK2237" s="2">
        <v>23.2439040473636</v>
      </c>
      <c r="AL2237" s="2">
        <v>23.217378616677902</v>
      </c>
      <c r="AM2237" s="2">
        <v>23.206015457751</v>
      </c>
      <c r="AN2237" s="2">
        <v>23.208873185900099</v>
      </c>
      <c r="AO2237" s="2">
        <v>23.207375540812802</v>
      </c>
      <c r="AP2237" s="2">
        <v>23.021025303102601</v>
      </c>
      <c r="AQ2237" s="2">
        <v>23.1412207495848</v>
      </c>
      <c r="AR2237" s="2">
        <v>23.381814442997701</v>
      </c>
      <c r="AS2237" s="2">
        <v>22.448174966447699</v>
      </c>
      <c r="AT2237" s="2">
        <v>22.475750435892301</v>
      </c>
      <c r="AU2237" s="2">
        <v>23.117430065194</v>
      </c>
      <c r="AV2237" s="2">
        <v>23.332676414808301</v>
      </c>
      <c r="AW2237" s="2">
        <v>23.1304625675278</v>
      </c>
      <c r="AX2237" s="2">
        <v>23.237832912129999</v>
      </c>
      <c r="AY2237" s="2">
        <v>23.191499614218301</v>
      </c>
      <c r="AZ2237" s="2">
        <v>23.227964314665101</v>
      </c>
      <c r="BA2237" s="2">
        <v>22.539038883101899</v>
      </c>
      <c r="BB2237" s="2">
        <v>23.037100654110901</v>
      </c>
      <c r="BC2237" s="2">
        <v>23.2199998447641</v>
      </c>
      <c r="BD2237" s="2">
        <v>23.029728835415</v>
      </c>
      <c r="BE2237" s="2">
        <v>23.497060625662101</v>
      </c>
      <c r="BF2237" s="2">
        <v>23.129040489623101</v>
      </c>
      <c r="BG2237" s="2">
        <v>23.115116968277299</v>
      </c>
      <c r="BH2237" s="2">
        <v>23.355174492758799</v>
      </c>
      <c r="BI2237" s="2">
        <v>23.0530074203851</v>
      </c>
      <c r="BJ2237" s="2">
        <v>23.042124619099798</v>
      </c>
      <c r="BK2237" s="2">
        <v>22.768979756145999</v>
      </c>
      <c r="BL2237" s="2">
        <v>23.149954071392401</v>
      </c>
      <c r="BM2237" s="2">
        <v>23.424758965134401</v>
      </c>
      <c r="BN2237" s="2">
        <v>23.4971081726992</v>
      </c>
      <c r="BO2237" s="2">
        <v>22.284079140210199</v>
      </c>
      <c r="BP2237" s="2">
        <v>23.100128180231302</v>
      </c>
      <c r="BQ2237" s="2">
        <v>23.099951653823901</v>
      </c>
      <c r="BR2237" s="2">
        <v>23.393652561605801</v>
      </c>
      <c r="BS2237" s="2">
        <v>23.440125973473801</v>
      </c>
      <c r="BT2237" s="2">
        <v>22.966673999180699</v>
      </c>
      <c r="BU2237" s="2">
        <v>22.734081052960398</v>
      </c>
      <c r="BV2237" s="2">
        <v>23.078685625915799</v>
      </c>
      <c r="BW2237" s="2">
        <v>22.7423257392966</v>
      </c>
      <c r="BX2237" s="2">
        <v>23.274329963505402</v>
      </c>
      <c r="BY2237" s="2">
        <v>23.644815822118701</v>
      </c>
      <c r="BZ2237" s="2">
        <v>23.062863319668999</v>
      </c>
      <c r="CA2237" s="2">
        <v>23.181017291864801</v>
      </c>
      <c r="CB2237" s="2">
        <v>23.167631231135399</v>
      </c>
      <c r="CC2237" s="2">
        <v>22.846616957404802</v>
      </c>
      <c r="CD2237" s="2">
        <v>23.263251218101701</v>
      </c>
      <c r="CE2237" s="2">
        <v>22.377670684680599</v>
      </c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</row>
    <row r="2238" spans="1:97">
      <c r="A2238" s="2" t="s">
        <v>19390</v>
      </c>
      <c r="B2238" s="2">
        <v>525.28779999999995</v>
      </c>
      <c r="C2238" s="2">
        <v>4.593</v>
      </c>
      <c r="D2238" s="2" t="s">
        <v>84</v>
      </c>
      <c r="E2238" s="2" t="s">
        <v>19391</v>
      </c>
      <c r="F2238" s="2" t="s">
        <v>19392</v>
      </c>
      <c r="G2238" s="2">
        <v>46718</v>
      </c>
      <c r="H2238" s="3" t="str">
        <f>HYPERLINK("https://cloud.oebiotech.com/#/lm/network/46718", "https://cloud.oebiotech.com/#/lm/network/46718")</f>
        <v>https://cloud.oebiotech.com/#/lm/network/46718</v>
      </c>
      <c r="I2238" s="2"/>
      <c r="J2238" s="2"/>
      <c r="K2238" s="2" t="s">
        <v>19393</v>
      </c>
      <c r="L2238" s="2"/>
      <c r="M2238" s="2"/>
      <c r="N2238" s="2"/>
      <c r="O2238" s="2"/>
      <c r="P2238" s="2"/>
      <c r="Q2238" s="2"/>
      <c r="R2238" s="2"/>
      <c r="S2238" s="2"/>
      <c r="T2238" s="2" t="s">
        <v>19394</v>
      </c>
      <c r="U2238" s="2" t="s">
        <v>19395</v>
      </c>
      <c r="V2238" s="2" t="s">
        <v>95</v>
      </c>
      <c r="W2238" s="2" t="s">
        <v>152</v>
      </c>
      <c r="X2238" s="2" t="s">
        <v>7803</v>
      </c>
      <c r="Y2238" s="2" t="s">
        <v>98</v>
      </c>
      <c r="Z2238" s="2" t="s">
        <v>154</v>
      </c>
      <c r="AA2238" s="2" t="s">
        <v>7804</v>
      </c>
      <c r="AB2238" s="2" t="s">
        <v>8443</v>
      </c>
      <c r="AC2238" s="2">
        <v>37.51</v>
      </c>
      <c r="AD2238" s="2">
        <v>90.13</v>
      </c>
      <c r="AE2238" s="2">
        <v>0</v>
      </c>
      <c r="AF2238" s="2" t="s">
        <v>19396</v>
      </c>
      <c r="AG2238" s="2" t="s">
        <v>1088</v>
      </c>
      <c r="AH2238" s="2" t="s">
        <v>19397</v>
      </c>
      <c r="AI2238" s="2">
        <v>1.52</v>
      </c>
      <c r="AJ2238" s="2">
        <v>20.285571105464999</v>
      </c>
      <c r="AK2238" s="2">
        <v>20.252077809052</v>
      </c>
      <c r="AL2238" s="2">
        <v>20.070860411365999</v>
      </c>
      <c r="AM2238" s="2">
        <v>20.110698417488301</v>
      </c>
      <c r="AN2238" s="2">
        <v>20.061400372108199</v>
      </c>
      <c r="AO2238" s="2">
        <v>20.322010919354501</v>
      </c>
      <c r="AP2238" s="2">
        <v>20.244420677099601</v>
      </c>
      <c r="AQ2238" s="2">
        <v>20.4279363110068</v>
      </c>
      <c r="AR2238" s="2">
        <v>18.978331840494899</v>
      </c>
      <c r="AS2238" s="2">
        <v>19.088914864342499</v>
      </c>
      <c r="AT2238" s="2">
        <v>19.722082633585298</v>
      </c>
      <c r="AU2238" s="2">
        <v>19.920543165501702</v>
      </c>
      <c r="AV2238" s="2">
        <v>19.892110838158398</v>
      </c>
      <c r="AW2238" s="2">
        <v>20.1967918898909</v>
      </c>
      <c r="AX2238" s="2">
        <v>19.248996199340699</v>
      </c>
      <c r="AY2238" s="2">
        <v>19.498764729565401</v>
      </c>
      <c r="AZ2238" s="2">
        <v>18.520438554937499</v>
      </c>
      <c r="BA2238" s="2">
        <v>18.718901262094501</v>
      </c>
      <c r="BB2238" s="2">
        <v>18.161184447471001</v>
      </c>
      <c r="BC2238" s="2">
        <v>18.0236473230289</v>
      </c>
      <c r="BD2238" s="2">
        <v>20.002333690935998</v>
      </c>
      <c r="BE2238" s="2">
        <v>19.8772860959198</v>
      </c>
      <c r="BF2238" s="2">
        <v>20.239445758278102</v>
      </c>
      <c r="BG2238" s="2">
        <v>18.068354554230201</v>
      </c>
      <c r="BH2238" s="2">
        <v>19.848922350239299</v>
      </c>
      <c r="BI2238" s="2">
        <v>20.088192051134001</v>
      </c>
      <c r="BJ2238" s="2">
        <v>17.5305568386039</v>
      </c>
      <c r="BK2238" s="2">
        <v>19.426653168824</v>
      </c>
      <c r="BL2238" s="2">
        <v>19.738497363512</v>
      </c>
      <c r="BM2238" s="2">
        <v>21.751694235302001</v>
      </c>
      <c r="BN2238" s="2">
        <v>19.2589191887228</v>
      </c>
      <c r="BO2238" s="2">
        <v>18.7981855030873</v>
      </c>
      <c r="BP2238" s="2">
        <v>19.156216747179101</v>
      </c>
      <c r="BQ2238" s="2">
        <v>20.035114724392599</v>
      </c>
      <c r="BR2238" s="2">
        <v>17.698643427428099</v>
      </c>
      <c r="BS2238" s="2">
        <v>20.550479909080899</v>
      </c>
      <c r="BT2238" s="2">
        <v>17.983931540499501</v>
      </c>
      <c r="BU2238" s="2">
        <v>19.157552429959001</v>
      </c>
      <c r="BV2238" s="2">
        <v>18.1443246527278</v>
      </c>
      <c r="BW2238" s="2">
        <v>17.751985550146699</v>
      </c>
      <c r="BX2238" s="2">
        <v>20.200113810801401</v>
      </c>
      <c r="BY2238" s="2">
        <v>20.1802536540844</v>
      </c>
      <c r="BZ2238" s="2">
        <v>17.846824257509802</v>
      </c>
      <c r="CA2238" s="2">
        <v>23.955862512603598</v>
      </c>
      <c r="CB2238" s="2">
        <v>18.6266142381096</v>
      </c>
      <c r="CC2238" s="2">
        <v>18.964709386476802</v>
      </c>
      <c r="CD2238" s="2">
        <v>20.014084904102301</v>
      </c>
      <c r="CE2238" s="2">
        <v>20.008541615443399</v>
      </c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</row>
    <row r="2239" spans="1:97">
      <c r="A2239" s="2" t="s">
        <v>19398</v>
      </c>
      <c r="B2239" s="2">
        <v>276.15895999999998</v>
      </c>
      <c r="C2239" s="2">
        <v>10.579000000000001</v>
      </c>
      <c r="D2239" s="2" t="s">
        <v>84</v>
      </c>
      <c r="E2239" s="2" t="s">
        <v>19399</v>
      </c>
      <c r="F2239" s="2" t="s">
        <v>19400</v>
      </c>
      <c r="G2239" s="2">
        <v>55235</v>
      </c>
      <c r="H2239" s="3" t="str">
        <f>HYPERLINK("https://cloud.oebiotech.com/#/lm/network/55235", "https://cloud.oebiotech.com/#/lm/network/55235")</f>
        <v>https://cloud.oebiotech.com/#/lm/network/55235</v>
      </c>
      <c r="I2239" s="2" t="s">
        <v>19401</v>
      </c>
      <c r="J2239" s="2"/>
      <c r="K2239" s="2"/>
      <c r="L2239" s="2">
        <v>131751015</v>
      </c>
      <c r="M2239" s="2"/>
      <c r="N2239" s="2"/>
      <c r="O2239" s="2"/>
      <c r="P2239" s="2"/>
      <c r="Q2239" s="2"/>
      <c r="R2239" s="2"/>
      <c r="S2239" s="2" t="s">
        <v>19402</v>
      </c>
      <c r="T2239" s="2" t="s">
        <v>19403</v>
      </c>
      <c r="U2239" s="2" t="s">
        <v>19404</v>
      </c>
      <c r="V2239" s="2" t="s">
        <v>385</v>
      </c>
      <c r="W2239" s="2" t="s">
        <v>386</v>
      </c>
      <c r="X2239" s="2" t="s">
        <v>5414</v>
      </c>
      <c r="Y2239" s="2" t="s">
        <v>388</v>
      </c>
      <c r="Z2239" s="2" t="s">
        <v>389</v>
      </c>
      <c r="AA2239" s="2" t="s">
        <v>5415</v>
      </c>
      <c r="AB2239" s="2" t="s">
        <v>8443</v>
      </c>
      <c r="AC2239" s="2">
        <v>37.49</v>
      </c>
      <c r="AD2239" s="2">
        <v>89.68</v>
      </c>
      <c r="AE2239" s="2">
        <v>0</v>
      </c>
      <c r="AF2239" s="2" t="s">
        <v>19405</v>
      </c>
      <c r="AG2239" s="2" t="s">
        <v>132</v>
      </c>
      <c r="AH2239" s="2" t="s">
        <v>19406</v>
      </c>
      <c r="AI2239" s="2">
        <v>1.45</v>
      </c>
      <c r="AJ2239" s="2">
        <v>18.796783477811601</v>
      </c>
      <c r="AK2239" s="2">
        <v>19.0390420603207</v>
      </c>
      <c r="AL2239" s="2">
        <v>19.021351678526401</v>
      </c>
      <c r="AM2239" s="2">
        <v>18.7437219688467</v>
      </c>
      <c r="AN2239" s="2">
        <v>19.242069541466101</v>
      </c>
      <c r="AO2239" s="2">
        <v>18.986234119741798</v>
      </c>
      <c r="AP2239" s="2">
        <v>19.146003122871999</v>
      </c>
      <c r="AQ2239" s="2">
        <v>19.337975211527599</v>
      </c>
      <c r="AR2239" s="2">
        <v>15.666691415758899</v>
      </c>
      <c r="AS2239" s="2">
        <v>16.505465473970801</v>
      </c>
      <c r="AT2239" s="2">
        <v>9.6233145402724691</v>
      </c>
      <c r="AU2239" s="2">
        <v>16.735124816832499</v>
      </c>
      <c r="AV2239" s="2">
        <v>15.680108392717401</v>
      </c>
      <c r="AW2239" s="2">
        <v>17.2379439333763</v>
      </c>
      <c r="AX2239" s="2">
        <v>16.176946426507801</v>
      </c>
      <c r="AY2239" s="2">
        <v>9.6233145402724691</v>
      </c>
      <c r="AZ2239" s="2">
        <v>9.6233145402724691</v>
      </c>
      <c r="BA2239" s="2">
        <v>14.8502879438921</v>
      </c>
      <c r="BB2239" s="2">
        <v>9.6233145402724691</v>
      </c>
      <c r="BC2239" s="2">
        <v>9.6233145402724691</v>
      </c>
      <c r="BD2239" s="2">
        <v>15.672712338574099</v>
      </c>
      <c r="BE2239" s="2">
        <v>16.561020727043601</v>
      </c>
      <c r="BF2239" s="2">
        <v>9.6233145402724691</v>
      </c>
      <c r="BG2239" s="2">
        <v>16.651567067636702</v>
      </c>
      <c r="BH2239" s="2">
        <v>16.171147666617099</v>
      </c>
      <c r="BI2239" s="2">
        <v>9.6233145402724691</v>
      </c>
      <c r="BJ2239" s="2">
        <v>9.6233145402724691</v>
      </c>
      <c r="BK2239" s="2">
        <v>16.3675983528139</v>
      </c>
      <c r="BL2239" s="2">
        <v>15.1822775642521</v>
      </c>
      <c r="BM2239" s="2">
        <v>9.6233145402724691</v>
      </c>
      <c r="BN2239" s="2">
        <v>15.806330855052799</v>
      </c>
      <c r="BO2239" s="2">
        <v>15.5376100279178</v>
      </c>
      <c r="BP2239" s="2">
        <v>16.666115796617301</v>
      </c>
      <c r="BQ2239" s="2">
        <v>15.262758106447199</v>
      </c>
      <c r="BR2239" s="2">
        <v>9.6233145402724691</v>
      </c>
      <c r="BS2239" s="2">
        <v>16.7996658741068</v>
      </c>
      <c r="BT2239" s="2">
        <v>15.3685344257302</v>
      </c>
      <c r="BU2239" s="2">
        <v>15.0325924901618</v>
      </c>
      <c r="BV2239" s="2">
        <v>17.263516427067302</v>
      </c>
      <c r="BW2239" s="2">
        <v>16.111114473158199</v>
      </c>
      <c r="BX2239" s="2">
        <v>15.471073754438301</v>
      </c>
      <c r="BY2239" s="2">
        <v>18.697633722599001</v>
      </c>
      <c r="BZ2239" s="2">
        <v>9.6233145402724691</v>
      </c>
      <c r="CA2239" s="2">
        <v>16.905243612208199</v>
      </c>
      <c r="CB2239" s="2">
        <v>9.6233145402724691</v>
      </c>
      <c r="CC2239" s="2">
        <v>15.5446807424702</v>
      </c>
      <c r="CD2239" s="2">
        <v>16.508862982075001</v>
      </c>
      <c r="CE2239" s="2">
        <v>9.6233145402724691</v>
      </c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</row>
    <row r="2240" spans="1:97">
      <c r="A2240" s="2" t="s">
        <v>19407</v>
      </c>
      <c r="B2240" s="2">
        <v>198.10964999999999</v>
      </c>
      <c r="C2240" s="2">
        <v>4.548</v>
      </c>
      <c r="D2240" s="2" t="s">
        <v>84</v>
      </c>
      <c r="E2240" s="2" t="s">
        <v>19408</v>
      </c>
      <c r="F2240" s="2" t="s">
        <v>19409</v>
      </c>
      <c r="G2240" s="2">
        <v>207575</v>
      </c>
      <c r="H2240" s="3" t="str">
        <f>HYPERLINK("https://cloud.oebiotech.com/#/lm/network/207575", "https://cloud.oebiotech.com/#/lm/network/207575")</f>
        <v>https://cloud.oebiotech.com/#/lm/network/207575</v>
      </c>
      <c r="I2240" s="2" t="s">
        <v>19410</v>
      </c>
      <c r="J2240" s="2"/>
      <c r="K2240" s="2"/>
      <c r="L2240" s="2">
        <v>193295</v>
      </c>
      <c r="M2240" s="2"/>
      <c r="N2240" s="2"/>
      <c r="O2240" s="2"/>
      <c r="P2240" s="2"/>
      <c r="Q2240" s="2"/>
      <c r="R2240" s="2"/>
      <c r="S2240" s="2"/>
      <c r="T2240" s="2" t="s">
        <v>19411</v>
      </c>
      <c r="U2240" s="2" t="s">
        <v>19412</v>
      </c>
      <c r="V2240" s="2" t="s">
        <v>9746</v>
      </c>
      <c r="W2240" s="2" t="s">
        <v>17561</v>
      </c>
      <c r="X2240" s="2" t="s">
        <v>17562</v>
      </c>
      <c r="Y2240" s="2" t="s">
        <v>9748</v>
      </c>
      <c r="Z2240" s="2" t="s">
        <v>17563</v>
      </c>
      <c r="AA2240" s="2" t="s">
        <v>17564</v>
      </c>
      <c r="AB2240" s="2" t="s">
        <v>8443</v>
      </c>
      <c r="AC2240" s="2">
        <v>37.49</v>
      </c>
      <c r="AD2240" s="2">
        <v>90</v>
      </c>
      <c r="AE2240" s="2">
        <v>0</v>
      </c>
      <c r="AF2240" s="2" t="s">
        <v>5614</v>
      </c>
      <c r="AG2240" s="2" t="s">
        <v>132</v>
      </c>
      <c r="AH2240" s="2" t="s">
        <v>19413</v>
      </c>
      <c r="AI2240" s="2">
        <v>-1.51</v>
      </c>
      <c r="AJ2240" s="2">
        <v>17.7132626555615</v>
      </c>
      <c r="AK2240" s="2">
        <v>18.835330104095998</v>
      </c>
      <c r="AL2240" s="2">
        <v>18.950295055902298</v>
      </c>
      <c r="AM2240" s="2">
        <v>18.1763542344687</v>
      </c>
      <c r="AN2240" s="2">
        <v>19.192219863853701</v>
      </c>
      <c r="AO2240" s="2">
        <v>18.635788642399099</v>
      </c>
      <c r="AP2240" s="2">
        <v>18.775445738405999</v>
      </c>
      <c r="AQ2240" s="2">
        <v>18.964872111647601</v>
      </c>
      <c r="AR2240" s="2">
        <v>18.114601988930399</v>
      </c>
      <c r="AS2240" s="2">
        <v>18.800210773169301</v>
      </c>
      <c r="AT2240" s="2">
        <v>18.6801339474111</v>
      </c>
      <c r="AU2240" s="2">
        <v>18.733039823771399</v>
      </c>
      <c r="AV2240" s="2">
        <v>18.9016757744999</v>
      </c>
      <c r="AW2240" s="2">
        <v>19.006079814818499</v>
      </c>
      <c r="AX2240" s="2">
        <v>18.747814105536499</v>
      </c>
      <c r="AY2240" s="2">
        <v>18.760677363687002</v>
      </c>
      <c r="AZ2240" s="2">
        <v>18.035229218482801</v>
      </c>
      <c r="BA2240" s="2">
        <v>18.3677806515112</v>
      </c>
      <c r="BB2240" s="2">
        <v>18.705399388416399</v>
      </c>
      <c r="BC2240" s="2">
        <v>18.561156841397501</v>
      </c>
      <c r="BD2240" s="2">
        <v>18.692463283344701</v>
      </c>
      <c r="BE2240" s="2">
        <v>18.555295068190301</v>
      </c>
      <c r="BF2240" s="2">
        <v>18.847091825806899</v>
      </c>
      <c r="BG2240" s="2">
        <v>18.806598015598102</v>
      </c>
      <c r="BH2240" s="2">
        <v>18.535415080811202</v>
      </c>
      <c r="BI2240" s="2">
        <v>18.731594615147401</v>
      </c>
      <c r="BJ2240" s="2">
        <v>19.1281743041664</v>
      </c>
      <c r="BK2240" s="2">
        <v>18.8845437276218</v>
      </c>
      <c r="BL2240" s="2">
        <v>18.8690638376385</v>
      </c>
      <c r="BM2240" s="2">
        <v>18.593245795462099</v>
      </c>
      <c r="BN2240" s="2">
        <v>18.8297943230878</v>
      </c>
      <c r="BO2240" s="2">
        <v>18.322531894539601</v>
      </c>
      <c r="BP2240" s="2">
        <v>18.9558194174151</v>
      </c>
      <c r="BQ2240" s="2">
        <v>18.922159832015399</v>
      </c>
      <c r="BR2240" s="2">
        <v>18.865295227830799</v>
      </c>
      <c r="BS2240" s="2">
        <v>18.187115129594702</v>
      </c>
      <c r="BT2240" s="2">
        <v>18.696795157063299</v>
      </c>
      <c r="BU2240" s="2">
        <v>19.028586121051902</v>
      </c>
      <c r="BV2240" s="2">
        <v>18.1773610888905</v>
      </c>
      <c r="BW2240" s="2">
        <v>18.1693752860355</v>
      </c>
      <c r="BX2240" s="2">
        <v>18.883353494127199</v>
      </c>
      <c r="BY2240" s="2">
        <v>18.931659485100901</v>
      </c>
      <c r="BZ2240" s="2">
        <v>18.837205607138099</v>
      </c>
      <c r="CA2240" s="2">
        <v>17.969768168929999</v>
      </c>
      <c r="CB2240" s="2">
        <v>18.705394730753799</v>
      </c>
      <c r="CC2240" s="2">
        <v>18.7011161953581</v>
      </c>
      <c r="CD2240" s="2">
        <v>18.952060131595498</v>
      </c>
      <c r="CE2240" s="2">
        <v>19.0710514238013</v>
      </c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</row>
    <row r="2241" spans="1:97">
      <c r="A2241" s="2" t="s">
        <v>19414</v>
      </c>
      <c r="B2241" s="2">
        <v>255.07446999999999</v>
      </c>
      <c r="C2241" s="2">
        <v>4.9480000000000004</v>
      </c>
      <c r="D2241" s="2" t="s">
        <v>146</v>
      </c>
      <c r="E2241" s="2" t="s">
        <v>19415</v>
      </c>
      <c r="F2241" s="2" t="s">
        <v>19416</v>
      </c>
      <c r="G2241" s="2">
        <v>200753</v>
      </c>
      <c r="H2241" s="3" t="str">
        <f>HYPERLINK("https://cloud.oebiotech.com/#/lm/network/200753", "https://cloud.oebiotech.com/#/lm/network/200753")</f>
        <v>https://cloud.oebiotech.com/#/lm/network/200753</v>
      </c>
      <c r="I2241" s="2" t="s">
        <v>19417</v>
      </c>
      <c r="J2241" s="2">
        <v>71949</v>
      </c>
      <c r="K2241" s="2"/>
      <c r="L2241" s="2">
        <v>87653</v>
      </c>
      <c r="M2241" s="2" t="s">
        <v>19418</v>
      </c>
      <c r="N2241" s="2"/>
      <c r="O2241" s="2"/>
      <c r="P2241" s="2"/>
      <c r="Q2241" s="2"/>
      <c r="R2241" s="2"/>
      <c r="S2241" s="2" t="s">
        <v>19419</v>
      </c>
      <c r="T2241" s="2" t="s">
        <v>19420</v>
      </c>
      <c r="U2241" s="2" t="s">
        <v>19421</v>
      </c>
      <c r="V2241" s="2" t="s">
        <v>166</v>
      </c>
      <c r="W2241" s="2" t="s">
        <v>167</v>
      </c>
      <c r="X2241" s="2" t="s">
        <v>482</v>
      </c>
      <c r="Y2241" s="2" t="s">
        <v>169</v>
      </c>
      <c r="Z2241" s="2" t="s">
        <v>169</v>
      </c>
      <c r="AA2241" s="2" t="s">
        <v>483</v>
      </c>
      <c r="AB2241" s="2" t="s">
        <v>8443</v>
      </c>
      <c r="AC2241" s="2">
        <v>37.479999999999997</v>
      </c>
      <c r="AD2241" s="2">
        <v>87.4</v>
      </c>
      <c r="AE2241" s="2">
        <v>0</v>
      </c>
      <c r="AF2241" s="2" t="s">
        <v>5614</v>
      </c>
      <c r="AG2241" s="2" t="s">
        <v>3880</v>
      </c>
      <c r="AH2241" s="2" t="s">
        <v>19422</v>
      </c>
      <c r="AI2241" s="2">
        <v>-0.39</v>
      </c>
      <c r="AJ2241" s="2">
        <v>17.6612770750057</v>
      </c>
      <c r="AK2241" s="2">
        <v>17.3219848012684</v>
      </c>
      <c r="AL2241" s="2">
        <v>17.7053920306526</v>
      </c>
      <c r="AM2241" s="2">
        <v>18.003083035292601</v>
      </c>
      <c r="AN2241" s="2">
        <v>17.760222311157701</v>
      </c>
      <c r="AO2241" s="2">
        <v>18.2323023092023</v>
      </c>
      <c r="AP2241" s="2">
        <v>18.089484619749602</v>
      </c>
      <c r="AQ2241" s="2">
        <v>17.887003687885201</v>
      </c>
      <c r="AR2241" s="2">
        <v>9.6233145402724691</v>
      </c>
      <c r="AS2241" s="2">
        <v>13.5903975784947</v>
      </c>
      <c r="AT2241" s="2">
        <v>14.600252095910401</v>
      </c>
      <c r="AU2241" s="2">
        <v>17.597454428565701</v>
      </c>
      <c r="AV2241" s="2">
        <v>16.466726681415199</v>
      </c>
      <c r="AW2241" s="2">
        <v>16.5475532442596</v>
      </c>
      <c r="AX2241" s="2">
        <v>9.6233145402724691</v>
      </c>
      <c r="AY2241" s="2">
        <v>9.6233145402724691</v>
      </c>
      <c r="AZ2241" s="2">
        <v>15.538321419608099</v>
      </c>
      <c r="BA2241" s="2">
        <v>18.784544623180501</v>
      </c>
      <c r="BB2241" s="2">
        <v>18.548572426389001</v>
      </c>
      <c r="BC2241" s="2">
        <v>18.779386474410099</v>
      </c>
      <c r="BD2241" s="2">
        <v>17.939059757020701</v>
      </c>
      <c r="BE2241" s="2">
        <v>16.9729025127839</v>
      </c>
      <c r="BF2241" s="2">
        <v>17.060906562619898</v>
      </c>
      <c r="BG2241" s="2">
        <v>17.5478830506989</v>
      </c>
      <c r="BH2241" s="2">
        <v>18.323343326799801</v>
      </c>
      <c r="BI2241" s="2">
        <v>9.6233145402724691</v>
      </c>
      <c r="BJ2241" s="2">
        <v>18.981733328098201</v>
      </c>
      <c r="BK2241" s="2">
        <v>18.625930288032102</v>
      </c>
      <c r="BL2241" s="2">
        <v>17.9574107719348</v>
      </c>
      <c r="BM2241" s="2">
        <v>17.502187944129901</v>
      </c>
      <c r="BN2241" s="2">
        <v>18.253452297771499</v>
      </c>
      <c r="BO2241" s="2">
        <v>18.415536300314201</v>
      </c>
      <c r="BP2241" s="2">
        <v>16.029920855451799</v>
      </c>
      <c r="BQ2241" s="2">
        <v>15.921118479120199</v>
      </c>
      <c r="BR2241" s="2">
        <v>15.784043057706601</v>
      </c>
      <c r="BS2241" s="2">
        <v>15.049653738441901</v>
      </c>
      <c r="BT2241" s="2">
        <v>19.6502500004353</v>
      </c>
      <c r="BU2241" s="2">
        <v>18.8264073439382</v>
      </c>
      <c r="BV2241" s="2">
        <v>17.922226773863901</v>
      </c>
      <c r="BW2241" s="2">
        <v>15.6329514750076</v>
      </c>
      <c r="BX2241" s="2">
        <v>18.585529390905901</v>
      </c>
      <c r="BY2241" s="2">
        <v>17.698575403273001</v>
      </c>
      <c r="BZ2241" s="2">
        <v>16.283228194168</v>
      </c>
      <c r="CA2241" s="2">
        <v>17.205775498092098</v>
      </c>
      <c r="CB2241" s="2">
        <v>17.6600055751951</v>
      </c>
      <c r="CC2241" s="2">
        <v>16.248803720142099</v>
      </c>
      <c r="CD2241" s="2">
        <v>18.9652860461843</v>
      </c>
      <c r="CE2241" s="2">
        <v>19.088842393619</v>
      </c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</row>
    <row r="2242" spans="1:97">
      <c r="A2242" s="2" t="s">
        <v>19423</v>
      </c>
      <c r="B2242" s="2">
        <v>337.16663</v>
      </c>
      <c r="C2242" s="2">
        <v>10.243</v>
      </c>
      <c r="D2242" s="2" t="s">
        <v>84</v>
      </c>
      <c r="E2242" s="2" t="s">
        <v>19424</v>
      </c>
      <c r="F2242" s="2" t="s">
        <v>19425</v>
      </c>
      <c r="G2242" s="2">
        <v>200123</v>
      </c>
      <c r="H2242" s="3" t="str">
        <f>HYPERLINK("https://cloud.oebiotech.com/#/lm/network/200123", "https://cloud.oebiotech.com/#/lm/network/200123")</f>
        <v>https://cloud.oebiotech.com/#/lm/network/200123</v>
      </c>
      <c r="I2242" s="2" t="s">
        <v>19426</v>
      </c>
      <c r="J2242" s="2"/>
      <c r="K2242" s="2"/>
      <c r="L2242" s="2">
        <v>126855</v>
      </c>
      <c r="M2242" s="2"/>
      <c r="N2242" s="2"/>
      <c r="O2242" s="2"/>
      <c r="P2242" s="2"/>
      <c r="Q2242" s="2"/>
      <c r="R2242" s="2"/>
      <c r="S2242" s="2"/>
      <c r="T2242" s="2" t="s">
        <v>19427</v>
      </c>
      <c r="U2242" s="2" t="s">
        <v>19428</v>
      </c>
      <c r="V2242" s="2" t="s">
        <v>553</v>
      </c>
      <c r="W2242" s="2" t="s">
        <v>554</v>
      </c>
      <c r="X2242" s="2" t="s">
        <v>15865</v>
      </c>
      <c r="Y2242" s="2" t="s">
        <v>556</v>
      </c>
      <c r="Z2242" s="2" t="s">
        <v>557</v>
      </c>
      <c r="AA2242" s="2" t="s">
        <v>15866</v>
      </c>
      <c r="AB2242" s="2" t="s">
        <v>8443</v>
      </c>
      <c r="AC2242" s="2">
        <v>37.47</v>
      </c>
      <c r="AD2242" s="2">
        <v>87.36</v>
      </c>
      <c r="AE2242" s="2">
        <v>0</v>
      </c>
      <c r="AF2242" s="2" t="s">
        <v>5614</v>
      </c>
      <c r="AG2242" s="2" t="s">
        <v>1088</v>
      </c>
      <c r="AH2242" s="2" t="s">
        <v>19429</v>
      </c>
      <c r="AI2242" s="2">
        <v>-0.3</v>
      </c>
      <c r="AJ2242" s="2">
        <v>20.183893427273102</v>
      </c>
      <c r="AK2242" s="2">
        <v>19.908960855614101</v>
      </c>
      <c r="AL2242" s="2">
        <v>20.2102260446188</v>
      </c>
      <c r="AM2242" s="2">
        <v>20.191961821722501</v>
      </c>
      <c r="AN2242" s="2">
        <v>20.583483361516599</v>
      </c>
      <c r="AO2242" s="2">
        <v>20.420996783543401</v>
      </c>
      <c r="AP2242" s="2">
        <v>19.7440756335765</v>
      </c>
      <c r="AQ2242" s="2">
        <v>20.337477065149699</v>
      </c>
      <c r="AR2242" s="2">
        <v>19.576774139546199</v>
      </c>
      <c r="AS2242" s="2">
        <v>20.547773217715399</v>
      </c>
      <c r="AT2242" s="2">
        <v>20.564120735108698</v>
      </c>
      <c r="AU2242" s="2">
        <v>20.3365226098602</v>
      </c>
      <c r="AV2242" s="2">
        <v>20.185565771868099</v>
      </c>
      <c r="AW2242" s="2">
        <v>20.232189631834199</v>
      </c>
      <c r="AX2242" s="2">
        <v>20.4201406371307</v>
      </c>
      <c r="AY2242" s="2">
        <v>20.492973944894999</v>
      </c>
      <c r="AZ2242" s="2">
        <v>20.482320525317199</v>
      </c>
      <c r="BA2242" s="2">
        <v>20.035642044138601</v>
      </c>
      <c r="BB2242" s="2">
        <v>19.595279976026301</v>
      </c>
      <c r="BC2242" s="2">
        <v>20.425458978984299</v>
      </c>
      <c r="BD2242" s="2">
        <v>20.761985185570499</v>
      </c>
      <c r="BE2242" s="2">
        <v>20.496614774175601</v>
      </c>
      <c r="BF2242" s="2">
        <v>20.6146274293597</v>
      </c>
      <c r="BG2242" s="2">
        <v>20.503187980974001</v>
      </c>
      <c r="BH2242" s="2">
        <v>20.736024952488599</v>
      </c>
      <c r="BI2242" s="2">
        <v>19.6587824725665</v>
      </c>
      <c r="BJ2242" s="2">
        <v>20.175256756125901</v>
      </c>
      <c r="BK2242" s="2">
        <v>20.393922979349501</v>
      </c>
      <c r="BL2242" s="2">
        <v>20.3139937166981</v>
      </c>
      <c r="BM2242" s="2">
        <v>20.2992179364343</v>
      </c>
      <c r="BN2242" s="2">
        <v>20.355208265298899</v>
      </c>
      <c r="BO2242" s="2">
        <v>20.295501950700501</v>
      </c>
      <c r="BP2242" s="2">
        <v>20.5832241539024</v>
      </c>
      <c r="BQ2242" s="2">
        <v>20.700748563804801</v>
      </c>
      <c r="BR2242" s="2">
        <v>20.481696392415198</v>
      </c>
      <c r="BS2242" s="2">
        <v>20.378222557607401</v>
      </c>
      <c r="BT2242" s="2">
        <v>20.3828484698541</v>
      </c>
      <c r="BU2242" s="2">
        <v>20.450147205032</v>
      </c>
      <c r="BV2242" s="2">
        <v>20.545970414048199</v>
      </c>
      <c r="BW2242" s="2">
        <v>20.287467472551199</v>
      </c>
      <c r="BX2242" s="2">
        <v>20.5356410604366</v>
      </c>
      <c r="BY2242" s="2">
        <v>20.1150040510176</v>
      </c>
      <c r="BZ2242" s="2">
        <v>20.331034528080199</v>
      </c>
      <c r="CA2242" s="2">
        <v>20.454688134788</v>
      </c>
      <c r="CB2242" s="2">
        <v>20.374402981364401</v>
      </c>
      <c r="CC2242" s="2">
        <v>20.2605798922982</v>
      </c>
      <c r="CD2242" s="2">
        <v>20.333315997586201</v>
      </c>
      <c r="CE2242" s="2">
        <v>20.508212270645299</v>
      </c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</row>
    <row r="2243" spans="1:97">
      <c r="A2243" s="2" t="s">
        <v>19430</v>
      </c>
      <c r="B2243" s="2">
        <v>267.15715999999998</v>
      </c>
      <c r="C2243" s="2">
        <v>1.004</v>
      </c>
      <c r="D2243" s="2" t="s">
        <v>84</v>
      </c>
      <c r="E2243" s="2" t="s">
        <v>19431</v>
      </c>
      <c r="F2243" s="2" t="s">
        <v>19432</v>
      </c>
      <c r="G2243" s="2">
        <v>82076</v>
      </c>
      <c r="H2243" s="3" t="str">
        <f>HYPERLINK("https://cloud.oebiotech.com/#/lm/network/82076", "https://cloud.oebiotech.com/#/lm/network/82076")</f>
        <v>https://cloud.oebiotech.com/#/lm/network/82076</v>
      </c>
      <c r="I2243" s="2" t="s">
        <v>19433</v>
      </c>
      <c r="J2243" s="2"/>
      <c r="K2243" s="2"/>
      <c r="L2243" s="2">
        <v>131769813</v>
      </c>
      <c r="M2243" s="2"/>
      <c r="N2243" s="2"/>
      <c r="O2243" s="2"/>
      <c r="P2243" s="2"/>
      <c r="Q2243" s="2"/>
      <c r="R2243" s="2"/>
      <c r="S2243" s="2"/>
      <c r="T2243" s="2" t="s">
        <v>19434</v>
      </c>
      <c r="U2243" s="2" t="s">
        <v>19435</v>
      </c>
      <c r="V2243" s="2" t="s">
        <v>553</v>
      </c>
      <c r="W2243" s="2" t="s">
        <v>933</v>
      </c>
      <c r="X2243" s="2" t="s">
        <v>2286</v>
      </c>
      <c r="Y2243" s="2" t="s">
        <v>556</v>
      </c>
      <c r="Z2243" s="2" t="s">
        <v>935</v>
      </c>
      <c r="AA2243" s="2" t="s">
        <v>2287</v>
      </c>
      <c r="AB2243" s="2" t="s">
        <v>8443</v>
      </c>
      <c r="AC2243" s="2">
        <v>37.46</v>
      </c>
      <c r="AD2243" s="2">
        <v>91.66</v>
      </c>
      <c r="AE2243" s="2">
        <v>0</v>
      </c>
      <c r="AF2243" s="2" t="s">
        <v>5614</v>
      </c>
      <c r="AG2243" s="2" t="s">
        <v>132</v>
      </c>
      <c r="AH2243" s="2" t="s">
        <v>19436</v>
      </c>
      <c r="AI2243" s="2">
        <v>1.87</v>
      </c>
      <c r="AJ2243" s="2">
        <v>18.437716763503602</v>
      </c>
      <c r="AK2243" s="2">
        <v>18.751156973257299</v>
      </c>
      <c r="AL2243" s="2">
        <v>18.499157277700998</v>
      </c>
      <c r="AM2243" s="2">
        <v>18.735585639048299</v>
      </c>
      <c r="AN2243" s="2">
        <v>19.153512622059601</v>
      </c>
      <c r="AO2243" s="2">
        <v>18.975541283247502</v>
      </c>
      <c r="AP2243" s="2">
        <v>19.199338679192401</v>
      </c>
      <c r="AQ2243" s="2">
        <v>19.1419051366851</v>
      </c>
      <c r="AR2243" s="2">
        <v>18.2017482804286</v>
      </c>
      <c r="AS2243" s="2">
        <v>19.2979114211312</v>
      </c>
      <c r="AT2243" s="2">
        <v>18.310456487147501</v>
      </c>
      <c r="AU2243" s="2">
        <v>18.879173778213499</v>
      </c>
      <c r="AV2243" s="2">
        <v>18.672702775242101</v>
      </c>
      <c r="AW2243" s="2">
        <v>18.9900761738451</v>
      </c>
      <c r="AX2243" s="2">
        <v>19.097792064596099</v>
      </c>
      <c r="AY2243" s="2">
        <v>18.426492738007401</v>
      </c>
      <c r="AZ2243" s="2">
        <v>18.623784918553401</v>
      </c>
      <c r="BA2243" s="2">
        <v>18.765011921500999</v>
      </c>
      <c r="BB2243" s="2">
        <v>17.527857697564698</v>
      </c>
      <c r="BC2243" s="2">
        <v>15.2795877304623</v>
      </c>
      <c r="BD2243" s="2">
        <v>18.312465502562102</v>
      </c>
      <c r="BE2243" s="2">
        <v>18.065800183016801</v>
      </c>
      <c r="BF2243" s="2">
        <v>18.5217274826887</v>
      </c>
      <c r="BG2243" s="2">
        <v>17.929620597537198</v>
      </c>
      <c r="BH2243" s="2">
        <v>18.796413920308801</v>
      </c>
      <c r="BI2243" s="2">
        <v>17.846293563625899</v>
      </c>
      <c r="BJ2243" s="2">
        <v>18.280960843408199</v>
      </c>
      <c r="BK2243" s="2">
        <v>18.503439660470001</v>
      </c>
      <c r="BL2243" s="2">
        <v>18.804468861125098</v>
      </c>
      <c r="BM2243" s="2">
        <v>17.261598576609799</v>
      </c>
      <c r="BN2243" s="2">
        <v>18.9886375938495</v>
      </c>
      <c r="BO2243" s="2">
        <v>18.880135808359199</v>
      </c>
      <c r="BP2243" s="2">
        <v>19.246797486050401</v>
      </c>
      <c r="BQ2243" s="2">
        <v>18.585019882164701</v>
      </c>
      <c r="BR2243" s="2">
        <v>18.707460615194002</v>
      </c>
      <c r="BS2243" s="2">
        <v>18.974008617857098</v>
      </c>
      <c r="BT2243" s="2">
        <v>18.580146588793198</v>
      </c>
      <c r="BU2243" s="2">
        <v>19.361470607320101</v>
      </c>
      <c r="BV2243" s="2">
        <v>19.167106859617199</v>
      </c>
      <c r="BW2243" s="2">
        <v>19.2265860933691</v>
      </c>
      <c r="BX2243" s="2">
        <v>18.882129163703301</v>
      </c>
      <c r="BY2243" s="2">
        <v>18.811748402570601</v>
      </c>
      <c r="BZ2243" s="2">
        <v>18.314626655104998</v>
      </c>
      <c r="CA2243" s="2">
        <v>18.878691609570801</v>
      </c>
      <c r="CB2243" s="2">
        <v>19.229429029890898</v>
      </c>
      <c r="CC2243" s="2">
        <v>18.7411807706514</v>
      </c>
      <c r="CD2243" s="2">
        <v>19.252480372030899</v>
      </c>
      <c r="CE2243" s="2">
        <v>19.447816445629499</v>
      </c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</row>
    <row r="2244" spans="1:97">
      <c r="A2244" s="2" t="s">
        <v>19437</v>
      </c>
      <c r="B2244" s="2">
        <v>269.15017999999998</v>
      </c>
      <c r="C2244" s="2">
        <v>5.27</v>
      </c>
      <c r="D2244" s="2" t="s">
        <v>146</v>
      </c>
      <c r="E2244" s="2" t="s">
        <v>19438</v>
      </c>
      <c r="F2244" s="2" t="s">
        <v>19439</v>
      </c>
      <c r="G2244" s="2">
        <v>207915</v>
      </c>
      <c r="H2244" s="3" t="str">
        <f>HYPERLINK("https://cloud.oebiotech.com/#/lm/network/207915", "https://cloud.oebiotech.com/#/lm/network/207915")</f>
        <v>https://cloud.oebiotech.com/#/lm/network/207915</v>
      </c>
      <c r="I2244" s="2" t="s">
        <v>19440</v>
      </c>
      <c r="J2244" s="2"/>
      <c r="K2244" s="2"/>
      <c r="L2244" s="2">
        <v>42118</v>
      </c>
      <c r="M2244" s="2"/>
      <c r="N2244" s="2"/>
      <c r="O2244" s="2"/>
      <c r="P2244" s="2"/>
      <c r="Q2244" s="2"/>
      <c r="R2244" s="2"/>
      <c r="S2244" s="2"/>
      <c r="T2244" s="2" t="s">
        <v>19441</v>
      </c>
      <c r="U2244" s="2" t="s">
        <v>19442</v>
      </c>
      <c r="V2244" s="2" t="s">
        <v>553</v>
      </c>
      <c r="W2244" s="2" t="s">
        <v>554</v>
      </c>
      <c r="X2244" s="2" t="s">
        <v>10907</v>
      </c>
      <c r="Y2244" s="2" t="s">
        <v>556</v>
      </c>
      <c r="Z2244" s="2" t="s">
        <v>557</v>
      </c>
      <c r="AA2244" s="2" t="s">
        <v>10908</v>
      </c>
      <c r="AB2244" s="2" t="s">
        <v>8443</v>
      </c>
      <c r="AC2244" s="2">
        <v>37.46</v>
      </c>
      <c r="AD2244" s="2">
        <v>91.61</v>
      </c>
      <c r="AE2244" s="2">
        <v>0</v>
      </c>
      <c r="AF2244" s="2" t="s">
        <v>19443</v>
      </c>
      <c r="AG2244" s="2" t="s">
        <v>157</v>
      </c>
      <c r="AH2244" s="2" t="s">
        <v>19444</v>
      </c>
      <c r="AI2244" s="2">
        <v>1.86</v>
      </c>
      <c r="AJ2244" s="2">
        <v>18.212191564287899</v>
      </c>
      <c r="AK2244" s="2">
        <v>18.493744805758499</v>
      </c>
      <c r="AL2244" s="2">
        <v>18.357676736816401</v>
      </c>
      <c r="AM2244" s="2">
        <v>18.286567281963301</v>
      </c>
      <c r="AN2244" s="2">
        <v>18.348077588176999</v>
      </c>
      <c r="AO2244" s="2">
        <v>18.4374202815996</v>
      </c>
      <c r="AP2244" s="2">
        <v>18.377542098586801</v>
      </c>
      <c r="AQ2244" s="2">
        <v>18.307157396689401</v>
      </c>
      <c r="AR2244" s="2">
        <v>14.974104434398599</v>
      </c>
      <c r="AS2244" s="2">
        <v>17.279348230875598</v>
      </c>
      <c r="AT2244" s="2">
        <v>16.2849981021715</v>
      </c>
      <c r="AU2244" s="2">
        <v>16.647053061248599</v>
      </c>
      <c r="AV2244" s="2">
        <v>17.560452033757201</v>
      </c>
      <c r="AW2244" s="2">
        <v>18.714261753261098</v>
      </c>
      <c r="AX2244" s="2">
        <v>17.608272223053302</v>
      </c>
      <c r="AY2244" s="2">
        <v>19.871557741785001</v>
      </c>
      <c r="AZ2244" s="2">
        <v>16.680940061776599</v>
      </c>
      <c r="BA2244" s="2">
        <v>17.555047264973901</v>
      </c>
      <c r="BB2244" s="2">
        <v>18.0446815239785</v>
      </c>
      <c r="BC2244" s="2">
        <v>18.1262835615453</v>
      </c>
      <c r="BD2244" s="2">
        <v>16.776586989154399</v>
      </c>
      <c r="BE2244" s="2">
        <v>18.6353817205285</v>
      </c>
      <c r="BF2244" s="2">
        <v>18.1396740997573</v>
      </c>
      <c r="BG2244" s="2">
        <v>16.776268776705699</v>
      </c>
      <c r="BH2244" s="2">
        <v>16.013025571197101</v>
      </c>
      <c r="BI2244" s="2">
        <v>16.367084687446599</v>
      </c>
      <c r="BJ2244" s="2">
        <v>18.0562566713884</v>
      </c>
      <c r="BK2244" s="2">
        <v>15.052481445748199</v>
      </c>
      <c r="BL2244" s="2">
        <v>14.9549641738672</v>
      </c>
      <c r="BM2244" s="2">
        <v>17.946353464340199</v>
      </c>
      <c r="BN2244" s="2">
        <v>16.851006961456498</v>
      </c>
      <c r="BO2244" s="2">
        <v>16.851238460111901</v>
      </c>
      <c r="BP2244" s="2">
        <v>16.658656118723801</v>
      </c>
      <c r="BQ2244" s="2">
        <v>18.402553699984999</v>
      </c>
      <c r="BR2244" s="2">
        <v>17.571451951964299</v>
      </c>
      <c r="BS2244" s="2">
        <v>19.555630729469101</v>
      </c>
      <c r="BT2244" s="2">
        <v>18.685609442028099</v>
      </c>
      <c r="BU2244" s="2">
        <v>18.556737444495301</v>
      </c>
      <c r="BV2244" s="2">
        <v>18.699177946315402</v>
      </c>
      <c r="BW2244" s="2">
        <v>16.815997756432001</v>
      </c>
      <c r="BX2244" s="2">
        <v>16.039479861660801</v>
      </c>
      <c r="BY2244" s="2">
        <v>19.181920954481399</v>
      </c>
      <c r="BZ2244" s="2">
        <v>17.125427395264701</v>
      </c>
      <c r="CA2244" s="2">
        <v>17.659036279793199</v>
      </c>
      <c r="CB2244" s="2">
        <v>17.346520398827899</v>
      </c>
      <c r="CC2244" s="2">
        <v>16.755619674013801</v>
      </c>
      <c r="CD2244" s="2">
        <v>17.7537204630259</v>
      </c>
      <c r="CE2244" s="2">
        <v>14.888355605692199</v>
      </c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</row>
    <row r="2245" spans="1:97">
      <c r="A2245" s="2" t="s">
        <v>19445</v>
      </c>
      <c r="B2245" s="2">
        <v>182.03512000000001</v>
      </c>
      <c r="C2245" s="2">
        <v>1.113</v>
      </c>
      <c r="D2245" s="2" t="s">
        <v>84</v>
      </c>
      <c r="E2245" s="2" t="s">
        <v>19446</v>
      </c>
      <c r="F2245" s="2" t="s">
        <v>19447</v>
      </c>
      <c r="G2245" s="2">
        <v>201122</v>
      </c>
      <c r="H2245" s="3" t="str">
        <f>HYPERLINK("https://cloud.oebiotech.com/#/lm/network/201122", "https://cloud.oebiotech.com/#/lm/network/201122")</f>
        <v>https://cloud.oebiotech.com/#/lm/network/201122</v>
      </c>
      <c r="I2245" s="2" t="s">
        <v>19448</v>
      </c>
      <c r="J2245" s="2"/>
      <c r="K2245" s="2"/>
      <c r="L2245" s="2">
        <v>2041</v>
      </c>
      <c r="M2245" s="2"/>
      <c r="N2245" s="2"/>
      <c r="O2245" s="2"/>
      <c r="P2245" s="2"/>
      <c r="Q2245" s="2"/>
      <c r="R2245" s="2"/>
      <c r="S2245" s="2"/>
      <c r="T2245" s="2" t="s">
        <v>19449</v>
      </c>
      <c r="U2245" s="2" t="s">
        <v>19450</v>
      </c>
      <c r="V2245" s="2" t="s">
        <v>385</v>
      </c>
      <c r="W2245" s="2" t="s">
        <v>386</v>
      </c>
      <c r="X2245" s="2" t="s">
        <v>12519</v>
      </c>
      <c r="Y2245" s="2" t="s">
        <v>388</v>
      </c>
      <c r="Z2245" s="2" t="s">
        <v>389</v>
      </c>
      <c r="AA2245" s="2" t="s">
        <v>12520</v>
      </c>
      <c r="AB2245" s="2" t="s">
        <v>8443</v>
      </c>
      <c r="AC2245" s="2">
        <v>37.46</v>
      </c>
      <c r="AD2245" s="2">
        <v>93.28</v>
      </c>
      <c r="AE2245" s="2">
        <v>0</v>
      </c>
      <c r="AF2245" s="2" t="s">
        <v>5614</v>
      </c>
      <c r="AG2245" s="2" t="s">
        <v>1088</v>
      </c>
      <c r="AH2245" s="2" t="s">
        <v>19451</v>
      </c>
      <c r="AI2245" s="2">
        <v>2.2000000000000002</v>
      </c>
      <c r="AJ2245" s="2">
        <v>20.123466184525601</v>
      </c>
      <c r="AK2245" s="2">
        <v>19.978744361237201</v>
      </c>
      <c r="AL2245" s="2">
        <v>20.5880701294518</v>
      </c>
      <c r="AM2245" s="2">
        <v>20.265962772932099</v>
      </c>
      <c r="AN2245" s="2">
        <v>20.0710892355801</v>
      </c>
      <c r="AO2245" s="2">
        <v>20.072778621290599</v>
      </c>
      <c r="AP2245" s="2">
        <v>19.967202345647699</v>
      </c>
      <c r="AQ2245" s="2">
        <v>19.9919330342798</v>
      </c>
      <c r="AR2245" s="2">
        <v>19.00952592882</v>
      </c>
      <c r="AS2245" s="2">
        <v>18.995982372233001</v>
      </c>
      <c r="AT2245" s="2">
        <v>20.112464680621098</v>
      </c>
      <c r="AU2245" s="2">
        <v>20.415919940620501</v>
      </c>
      <c r="AV2245" s="2">
        <v>19.772781338544402</v>
      </c>
      <c r="AW2245" s="2">
        <v>20.360597985217002</v>
      </c>
      <c r="AX2245" s="2">
        <v>19.830697506784901</v>
      </c>
      <c r="AY2245" s="2">
        <v>19.577002486074399</v>
      </c>
      <c r="AZ2245" s="2">
        <v>20.2101945041207</v>
      </c>
      <c r="BA2245" s="2">
        <v>18.663924158595801</v>
      </c>
      <c r="BB2245" s="2">
        <v>20.493387980370599</v>
      </c>
      <c r="BC2245" s="2">
        <v>20.470704455981</v>
      </c>
      <c r="BD2245" s="2">
        <v>17.630139973389898</v>
      </c>
      <c r="BE2245" s="2">
        <v>19.678034962766301</v>
      </c>
      <c r="BF2245" s="2">
        <v>19.921643912551801</v>
      </c>
      <c r="BG2245" s="2">
        <v>19.383009238377099</v>
      </c>
      <c r="BH2245" s="2">
        <v>19.943555757098299</v>
      </c>
      <c r="BI2245" s="2">
        <v>19.178217391730101</v>
      </c>
      <c r="BJ2245" s="2">
        <v>20.2605964306515</v>
      </c>
      <c r="BK2245" s="2">
        <v>19.096525541267699</v>
      </c>
      <c r="BL2245" s="2">
        <v>19.287244126484701</v>
      </c>
      <c r="BM2245" s="2">
        <v>20.510724952379402</v>
      </c>
      <c r="BN2245" s="2">
        <v>18.974855281242402</v>
      </c>
      <c r="BO2245" s="2">
        <v>19.115384104595599</v>
      </c>
      <c r="BP2245" s="2">
        <v>20.016136423714102</v>
      </c>
      <c r="BQ2245" s="2">
        <v>19.766548367536501</v>
      </c>
      <c r="BR2245" s="2">
        <v>18.532925644142999</v>
      </c>
      <c r="BS2245" s="2">
        <v>20.6156009472144</v>
      </c>
      <c r="BT2245" s="2">
        <v>19.086549161436601</v>
      </c>
      <c r="BU2245" s="2">
        <v>18.210803118752199</v>
      </c>
      <c r="BV2245" s="2">
        <v>19.457759564072699</v>
      </c>
      <c r="BW2245" s="2">
        <v>17.541290328329598</v>
      </c>
      <c r="BX2245" s="2">
        <v>19.762994938394598</v>
      </c>
      <c r="BY2245" s="2">
        <v>20.052409178022302</v>
      </c>
      <c r="BZ2245" s="2">
        <v>20.684687770163499</v>
      </c>
      <c r="CA2245" s="2">
        <v>20.284836816809801</v>
      </c>
      <c r="CB2245" s="2">
        <v>19.529494419502299</v>
      </c>
      <c r="CC2245" s="2">
        <v>19.514250849593601</v>
      </c>
      <c r="CD2245" s="2">
        <v>19.484306028139699</v>
      </c>
      <c r="CE2245" s="2">
        <v>19.760960598523301</v>
      </c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</row>
    <row r="2246" spans="1:97">
      <c r="A2246" s="2" t="s">
        <v>19452</v>
      </c>
      <c r="B2246" s="2">
        <v>225.19585000000001</v>
      </c>
      <c r="C2246" s="2">
        <v>8.5589999999999993</v>
      </c>
      <c r="D2246" s="2" t="s">
        <v>84</v>
      </c>
      <c r="E2246" s="2" t="s">
        <v>19453</v>
      </c>
      <c r="F2246" s="2" t="s">
        <v>19454</v>
      </c>
      <c r="G2246" s="2">
        <v>199690</v>
      </c>
      <c r="H2246" s="3" t="str">
        <f>HYPERLINK("https://cloud.oebiotech.com/#/lm/network/199690", "https://cloud.oebiotech.com/#/lm/network/199690")</f>
        <v>https://cloud.oebiotech.com/#/lm/network/199690</v>
      </c>
      <c r="I2246" s="2" t="s">
        <v>19455</v>
      </c>
      <c r="J2246" s="2">
        <v>34503</v>
      </c>
      <c r="K2246" s="2"/>
      <c r="L2246" s="2">
        <v>4277</v>
      </c>
      <c r="M2246" s="2"/>
      <c r="N2246" s="2"/>
      <c r="O2246" s="2"/>
      <c r="P2246" s="2"/>
      <c r="Q2246" s="2"/>
      <c r="R2246" s="2"/>
      <c r="S2246" s="2" t="s">
        <v>19456</v>
      </c>
      <c r="T2246" s="2" t="s">
        <v>19457</v>
      </c>
      <c r="U2246" s="2" t="s">
        <v>19458</v>
      </c>
      <c r="V2246" s="2" t="s">
        <v>115</v>
      </c>
      <c r="W2246" s="2" t="s">
        <v>5480</v>
      </c>
      <c r="X2246" s="2" t="s">
        <v>5481</v>
      </c>
      <c r="Y2246" s="2" t="s">
        <v>118</v>
      </c>
      <c r="Z2246" s="2" t="s">
        <v>5482</v>
      </c>
      <c r="AA2246" s="2" t="s">
        <v>5483</v>
      </c>
      <c r="AB2246" s="2" t="s">
        <v>8443</v>
      </c>
      <c r="AC2246" s="2">
        <v>37.450000000000003</v>
      </c>
      <c r="AD2246" s="2">
        <v>87.24</v>
      </c>
      <c r="AE2246" s="2">
        <v>0</v>
      </c>
      <c r="AF2246" s="2" t="s">
        <v>19459</v>
      </c>
      <c r="AG2246" s="2" t="s">
        <v>103</v>
      </c>
      <c r="AH2246" s="2" t="s">
        <v>19460</v>
      </c>
      <c r="AI2246" s="2">
        <v>0.89</v>
      </c>
      <c r="AJ2246" s="2">
        <v>21.743747292177499</v>
      </c>
      <c r="AK2246" s="2">
        <v>21.753270009807899</v>
      </c>
      <c r="AL2246" s="2">
        <v>21.773679596866799</v>
      </c>
      <c r="AM2246" s="2">
        <v>21.6942673571311</v>
      </c>
      <c r="AN2246" s="2">
        <v>21.7090653092847</v>
      </c>
      <c r="AO2246" s="2">
        <v>21.6470589390848</v>
      </c>
      <c r="AP2246" s="2">
        <v>21.751214634051699</v>
      </c>
      <c r="AQ2246" s="2">
        <v>21.690397132085199</v>
      </c>
      <c r="AR2246" s="2">
        <v>22.320805839063699</v>
      </c>
      <c r="AS2246" s="2">
        <v>22.244139229903301</v>
      </c>
      <c r="AT2246" s="2">
        <v>22.6290365019921</v>
      </c>
      <c r="AU2246" s="2">
        <v>17.619108762060101</v>
      </c>
      <c r="AV2246" s="2">
        <v>19.813787593788199</v>
      </c>
      <c r="AW2246" s="2">
        <v>16.671309407547302</v>
      </c>
      <c r="AX2246" s="2">
        <v>24.768285885509201</v>
      </c>
      <c r="AY2246" s="2">
        <v>18.962762847149701</v>
      </c>
      <c r="AZ2246" s="2">
        <v>17.4395346739438</v>
      </c>
      <c r="BA2246" s="2">
        <v>17.411510822504599</v>
      </c>
      <c r="BB2246" s="2">
        <v>18.8760734703108</v>
      </c>
      <c r="BC2246" s="2">
        <v>25.627558362140601</v>
      </c>
      <c r="BD2246" s="2">
        <v>21.613170907369401</v>
      </c>
      <c r="BE2246" s="2">
        <v>21.599480849010899</v>
      </c>
      <c r="BF2246" s="2">
        <v>16.743837095215</v>
      </c>
      <c r="BG2246" s="2">
        <v>23.427354817103101</v>
      </c>
      <c r="BH2246" s="2">
        <v>19.400826185400099</v>
      </c>
      <c r="BI2246" s="2">
        <v>17.947531185899201</v>
      </c>
      <c r="BJ2246" s="2">
        <v>22.112200145640401</v>
      </c>
      <c r="BK2246" s="2">
        <v>17.538867537039199</v>
      </c>
      <c r="BL2246" s="2">
        <v>18.951957093003699</v>
      </c>
      <c r="BM2246" s="2">
        <v>23.605423047515</v>
      </c>
      <c r="BN2246" s="2">
        <v>18.866099714803902</v>
      </c>
      <c r="BO2246" s="2">
        <v>17.0208646202293</v>
      </c>
      <c r="BP2246" s="2">
        <v>17.1770509916599</v>
      </c>
      <c r="BQ2246" s="2">
        <v>19.336472061949902</v>
      </c>
      <c r="BR2246" s="2">
        <v>21.912945284855098</v>
      </c>
      <c r="BS2246" s="2">
        <v>19.8498476739613</v>
      </c>
      <c r="BT2246" s="2">
        <v>16.656484080492699</v>
      </c>
      <c r="BU2246" s="2">
        <v>22.2666651052905</v>
      </c>
      <c r="BV2246" s="2">
        <v>21.699985760699001</v>
      </c>
      <c r="BW2246" s="2">
        <v>19.272006006360801</v>
      </c>
      <c r="BX2246" s="2">
        <v>21.3459545573287</v>
      </c>
      <c r="BY2246" s="2">
        <v>23.278076287391901</v>
      </c>
      <c r="BZ2246" s="2">
        <v>21.4840650992797</v>
      </c>
      <c r="CA2246" s="2">
        <v>16.677043082107598</v>
      </c>
      <c r="CB2246" s="2">
        <v>21.2785622777957</v>
      </c>
      <c r="CC2246" s="2">
        <v>17.7931818055023</v>
      </c>
      <c r="CD2246" s="2">
        <v>21.153283669796799</v>
      </c>
      <c r="CE2246" s="2">
        <v>17.641403496937301</v>
      </c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</row>
    <row r="2247" spans="1:97">
      <c r="A2247" s="2" t="s">
        <v>19461</v>
      </c>
      <c r="B2247" s="2">
        <v>263.05563999999998</v>
      </c>
      <c r="C2247" s="2">
        <v>9.4809999999999999</v>
      </c>
      <c r="D2247" s="2" t="s">
        <v>146</v>
      </c>
      <c r="E2247" s="2" t="s">
        <v>19462</v>
      </c>
      <c r="F2247" s="2" t="s">
        <v>15416</v>
      </c>
      <c r="G2247" s="2">
        <v>54460</v>
      </c>
      <c r="H2247" s="3" t="str">
        <f>HYPERLINK("https://cloud.oebiotech.com/#/lm/network/54460", "https://cloud.oebiotech.com/#/lm/network/54460")</f>
        <v>https://cloud.oebiotech.com/#/lm/network/54460</v>
      </c>
      <c r="I2247" s="2" t="s">
        <v>19463</v>
      </c>
      <c r="J2247" s="2">
        <v>86318</v>
      </c>
      <c r="K2247" s="2"/>
      <c r="L2247" s="2">
        <v>11378967</v>
      </c>
      <c r="M2247" s="2"/>
      <c r="N2247" s="2"/>
      <c r="O2247" s="2"/>
      <c r="P2247" s="2">
        <v>174104</v>
      </c>
      <c r="Q2247" s="2"/>
      <c r="R2247" s="2"/>
      <c r="S2247" s="2" t="s">
        <v>19464</v>
      </c>
      <c r="T2247" s="2" t="s">
        <v>19465</v>
      </c>
      <c r="U2247" s="2" t="s">
        <v>19466</v>
      </c>
      <c r="V2247" s="2" t="s">
        <v>845</v>
      </c>
      <c r="W2247" s="2" t="s">
        <v>846</v>
      </c>
      <c r="X2247" s="2" t="s">
        <v>16349</v>
      </c>
      <c r="Y2247" s="2" t="s">
        <v>847</v>
      </c>
      <c r="Z2247" s="2" t="s">
        <v>848</v>
      </c>
      <c r="AA2247" s="2" t="s">
        <v>16350</v>
      </c>
      <c r="AB2247" s="2" t="s">
        <v>8443</v>
      </c>
      <c r="AC2247" s="2">
        <v>37.450000000000003</v>
      </c>
      <c r="AD2247" s="2">
        <v>91.74</v>
      </c>
      <c r="AE2247" s="2">
        <v>0</v>
      </c>
      <c r="AF2247" s="2" t="s">
        <v>5614</v>
      </c>
      <c r="AG2247" s="2" t="s">
        <v>157</v>
      </c>
      <c r="AH2247" s="2" t="s">
        <v>19467</v>
      </c>
      <c r="AI2247" s="2">
        <v>1.9</v>
      </c>
      <c r="AJ2247" s="2">
        <v>16.647206000198398</v>
      </c>
      <c r="AK2247" s="2">
        <v>16.737414253272899</v>
      </c>
      <c r="AL2247" s="2">
        <v>16.5999386956641</v>
      </c>
      <c r="AM2247" s="2">
        <v>16.645480279641198</v>
      </c>
      <c r="AN2247" s="2">
        <v>16.463822402821499</v>
      </c>
      <c r="AO2247" s="2">
        <v>16.419046686437898</v>
      </c>
      <c r="AP2247" s="2">
        <v>16.135276212223399</v>
      </c>
      <c r="AQ2247" s="2">
        <v>16.528701793257</v>
      </c>
      <c r="AR2247" s="2">
        <v>16.462687102863899</v>
      </c>
      <c r="AS2247" s="2">
        <v>16.426955924172201</v>
      </c>
      <c r="AT2247" s="2">
        <v>16.654694759877199</v>
      </c>
      <c r="AU2247" s="2">
        <v>16.796645760270899</v>
      </c>
      <c r="AV2247" s="2">
        <v>16.373169159544702</v>
      </c>
      <c r="AW2247" s="2">
        <v>16.666762554659901</v>
      </c>
      <c r="AX2247" s="2">
        <v>16.361919963863301</v>
      </c>
      <c r="AY2247" s="2">
        <v>16.5787306080002</v>
      </c>
      <c r="AZ2247" s="2">
        <v>16.669146382596701</v>
      </c>
      <c r="BA2247" s="2">
        <v>16.284487781533802</v>
      </c>
      <c r="BB2247" s="2">
        <v>16.5188378447118</v>
      </c>
      <c r="BC2247" s="2">
        <v>16.585769446911499</v>
      </c>
      <c r="BD2247" s="2">
        <v>16.671362902554801</v>
      </c>
      <c r="BE2247" s="2">
        <v>16.806775403007698</v>
      </c>
      <c r="BF2247" s="2">
        <v>16.2859226887586</v>
      </c>
      <c r="BG2247" s="2">
        <v>16.051648880519998</v>
      </c>
      <c r="BH2247" s="2">
        <v>16.703251759227602</v>
      </c>
      <c r="BI2247" s="2">
        <v>15.9699004573569</v>
      </c>
      <c r="BJ2247" s="2">
        <v>16.406131579728498</v>
      </c>
      <c r="BK2247" s="2">
        <v>16.564008185427902</v>
      </c>
      <c r="BL2247" s="2">
        <v>16.648965880046699</v>
      </c>
      <c r="BM2247" s="2">
        <v>16.159914883379201</v>
      </c>
      <c r="BN2247" s="2">
        <v>16.482363347102499</v>
      </c>
      <c r="BO2247" s="2">
        <v>16.3982271346853</v>
      </c>
      <c r="BP2247" s="2">
        <v>16.562656829418898</v>
      </c>
      <c r="BQ2247" s="2">
        <v>16.421730539036901</v>
      </c>
      <c r="BR2247" s="2">
        <v>15.990461002655399</v>
      </c>
      <c r="BS2247" s="2">
        <v>16.772769339895699</v>
      </c>
      <c r="BT2247" s="2">
        <v>15.9959711414472</v>
      </c>
      <c r="BU2247" s="2">
        <v>16.227784012409401</v>
      </c>
      <c r="BV2247" s="2">
        <v>16.432224612215698</v>
      </c>
      <c r="BW2247" s="2">
        <v>16.668379636805401</v>
      </c>
      <c r="BX2247" s="2">
        <v>16.4833379376376</v>
      </c>
      <c r="BY2247" s="2">
        <v>16.322697843446701</v>
      </c>
      <c r="BZ2247" s="2">
        <v>16.630827937663799</v>
      </c>
      <c r="CA2247" s="2">
        <v>16.4383732686792</v>
      </c>
      <c r="CB2247" s="2">
        <v>16.527197646228899</v>
      </c>
      <c r="CC2247" s="2">
        <v>16.507516243052098</v>
      </c>
      <c r="CD2247" s="2">
        <v>16.1279161567617</v>
      </c>
      <c r="CE2247" s="2">
        <v>16.660078646628499</v>
      </c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</row>
    <row r="2248" spans="1:97">
      <c r="A2248" s="2" t="s">
        <v>19468</v>
      </c>
      <c r="B2248" s="2">
        <v>233.02118999999999</v>
      </c>
      <c r="C2248" s="2">
        <v>1.252</v>
      </c>
      <c r="D2248" s="2" t="s">
        <v>146</v>
      </c>
      <c r="E2248" s="2" t="s">
        <v>19469</v>
      </c>
      <c r="F2248" s="2" t="s">
        <v>19470</v>
      </c>
      <c r="G2248" s="2">
        <v>57596</v>
      </c>
      <c r="H2248" s="3" t="str">
        <f>HYPERLINK("https://cloud.oebiotech.com/#/lm/network/57596", "https://cloud.oebiotech.com/#/lm/network/57596")</f>
        <v>https://cloud.oebiotech.com/#/lm/network/57596</v>
      </c>
      <c r="I2248" s="2" t="s">
        <v>19471</v>
      </c>
      <c r="J2248" s="2">
        <v>89197</v>
      </c>
      <c r="K2248" s="2"/>
      <c r="L2248" s="2">
        <v>184579</v>
      </c>
      <c r="M2248" s="2"/>
      <c r="N2248" s="2"/>
      <c r="O2248" s="2"/>
      <c r="P2248" s="2">
        <v>174193</v>
      </c>
      <c r="Q2248" s="2"/>
      <c r="R2248" s="2"/>
      <c r="S2248" s="2" t="s">
        <v>19472</v>
      </c>
      <c r="T2248" s="2" t="s">
        <v>19473</v>
      </c>
      <c r="U2248" s="2" t="s">
        <v>19474</v>
      </c>
      <c r="V2248" s="2" t="s">
        <v>553</v>
      </c>
      <c r="W2248" s="2" t="s">
        <v>933</v>
      </c>
      <c r="X2248" s="2" t="s">
        <v>3434</v>
      </c>
      <c r="Y2248" s="2" t="s">
        <v>556</v>
      </c>
      <c r="Z2248" s="2" t="s">
        <v>935</v>
      </c>
      <c r="AA2248" s="2" t="s">
        <v>3435</v>
      </c>
      <c r="AB2248" s="2" t="s">
        <v>8443</v>
      </c>
      <c r="AC2248" s="2">
        <v>37.44</v>
      </c>
      <c r="AD2248" s="2">
        <v>87.19</v>
      </c>
      <c r="AE2248" s="2">
        <v>0</v>
      </c>
      <c r="AF2248" s="2" t="s">
        <v>5614</v>
      </c>
      <c r="AG2248" s="2" t="s">
        <v>194</v>
      </c>
      <c r="AH2248" s="2" t="s">
        <v>19475</v>
      </c>
      <c r="AI2248" s="2">
        <v>0.43</v>
      </c>
      <c r="AJ2248" s="2">
        <v>20.698470580112701</v>
      </c>
      <c r="AK2248" s="2">
        <v>20.640621824683901</v>
      </c>
      <c r="AL2248" s="2">
        <v>20.582373762247599</v>
      </c>
      <c r="AM2248" s="2">
        <v>19.6539607608944</v>
      </c>
      <c r="AN2248" s="2">
        <v>20.537753837456599</v>
      </c>
      <c r="AO2248" s="2">
        <v>19.9354649131207</v>
      </c>
      <c r="AP2248" s="2">
        <v>20.191905054931699</v>
      </c>
      <c r="AQ2248" s="2">
        <v>20.708011249796701</v>
      </c>
      <c r="AR2248" s="2">
        <v>19.808001306207402</v>
      </c>
      <c r="AS2248" s="2">
        <v>19.897548098121799</v>
      </c>
      <c r="AT2248" s="2">
        <v>20.757074852591501</v>
      </c>
      <c r="AU2248" s="2">
        <v>20.6194150525581</v>
      </c>
      <c r="AV2248" s="2">
        <v>19.747719453148498</v>
      </c>
      <c r="AW2248" s="2">
        <v>20.521910523342299</v>
      </c>
      <c r="AX2248" s="2">
        <v>20.1305045663028</v>
      </c>
      <c r="AY2248" s="2">
        <v>19.228809673623701</v>
      </c>
      <c r="AZ2248" s="2">
        <v>20.681580724311502</v>
      </c>
      <c r="BA2248" s="2">
        <v>20.014679741778199</v>
      </c>
      <c r="BB2248" s="2">
        <v>20.7312458418989</v>
      </c>
      <c r="BC2248" s="2">
        <v>20.001877475030501</v>
      </c>
      <c r="BD2248" s="2">
        <v>19.5702082306127</v>
      </c>
      <c r="BE2248" s="2">
        <v>20.5533676381073</v>
      </c>
      <c r="BF2248" s="2">
        <v>20.375789571981802</v>
      </c>
      <c r="BG2248" s="2">
        <v>20.2216506375478</v>
      </c>
      <c r="BH2248" s="2">
        <v>19.441853204527501</v>
      </c>
      <c r="BI2248" s="2">
        <v>19.407468687102501</v>
      </c>
      <c r="BJ2248" s="2">
        <v>20.767241285617501</v>
      </c>
      <c r="BK2248" s="2">
        <v>19.6173119328529</v>
      </c>
      <c r="BL2248" s="2">
        <v>19.645924952058099</v>
      </c>
      <c r="BM2248" s="2">
        <v>20.593201882498601</v>
      </c>
      <c r="BN2248" s="2">
        <v>20.641106842029799</v>
      </c>
      <c r="BO2248" s="2">
        <v>20.828350210777</v>
      </c>
      <c r="BP2248" s="2">
        <v>20.714519586246599</v>
      </c>
      <c r="BQ2248" s="2">
        <v>19.92980976131</v>
      </c>
      <c r="BR2248" s="2">
        <v>20.6299542837784</v>
      </c>
      <c r="BS2248" s="2">
        <v>19.788760017151802</v>
      </c>
      <c r="BT2248" s="2">
        <v>20.559692789305402</v>
      </c>
      <c r="BU2248" s="2">
        <v>20.7391714487398</v>
      </c>
      <c r="BV2248" s="2">
        <v>19.725874580792301</v>
      </c>
      <c r="BW2248" s="2">
        <v>20.673086458501601</v>
      </c>
      <c r="BX2248" s="2">
        <v>20.590067945283799</v>
      </c>
      <c r="BY2248" s="2">
        <v>20.2923059709839</v>
      </c>
      <c r="BZ2248" s="2">
        <v>19.6970222509213</v>
      </c>
      <c r="CA2248" s="2">
        <v>20.348834950871201</v>
      </c>
      <c r="CB2248" s="2">
        <v>19.8678364375005</v>
      </c>
      <c r="CC2248" s="2">
        <v>20.516154718004099</v>
      </c>
      <c r="CD2248" s="2">
        <v>19.7663179329274</v>
      </c>
      <c r="CE2248" s="2">
        <v>20.631959909760099</v>
      </c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</row>
    <row r="2249" spans="1:97">
      <c r="A2249" s="2" t="s">
        <v>19476</v>
      </c>
      <c r="B2249" s="2">
        <v>301.13389000000001</v>
      </c>
      <c r="C2249" s="2">
        <v>10.395</v>
      </c>
      <c r="D2249" s="2" t="s">
        <v>84</v>
      </c>
      <c r="E2249" s="2" t="s">
        <v>19477</v>
      </c>
      <c r="F2249" s="2" t="s">
        <v>19478</v>
      </c>
      <c r="G2249" s="2">
        <v>209565</v>
      </c>
      <c r="H2249" s="3" t="str">
        <f>HYPERLINK("https://cloud.oebiotech.com/#/lm/network/209565", "https://cloud.oebiotech.com/#/lm/network/209565")</f>
        <v>https://cloud.oebiotech.com/#/lm/network/209565</v>
      </c>
      <c r="I2249" s="2" t="s">
        <v>19479</v>
      </c>
      <c r="J2249" s="2">
        <v>354120</v>
      </c>
      <c r="K2249" s="2"/>
      <c r="L2249" s="2">
        <v>65182</v>
      </c>
      <c r="M2249" s="2"/>
      <c r="N2249" s="2"/>
      <c r="O2249" s="2"/>
      <c r="P2249" s="2">
        <v>52169</v>
      </c>
      <c r="Q2249" s="2"/>
      <c r="R2249" s="2"/>
      <c r="S2249" s="2"/>
      <c r="T2249" s="2" t="s">
        <v>19480</v>
      </c>
      <c r="U2249" s="2" t="s">
        <v>19481</v>
      </c>
      <c r="V2249" s="2" t="s">
        <v>553</v>
      </c>
      <c r="W2249" s="2" t="s">
        <v>16013</v>
      </c>
      <c r="X2249" s="2" t="s">
        <v>16014</v>
      </c>
      <c r="Y2249" s="2" t="s">
        <v>556</v>
      </c>
      <c r="Z2249" s="2" t="s">
        <v>16015</v>
      </c>
      <c r="AA2249" s="2" t="s">
        <v>16016</v>
      </c>
      <c r="AB2249" s="2" t="s">
        <v>8443</v>
      </c>
      <c r="AC2249" s="2">
        <v>37.44</v>
      </c>
      <c r="AD2249" s="2">
        <v>87.19</v>
      </c>
      <c r="AE2249" s="2">
        <v>0</v>
      </c>
      <c r="AF2249" s="2" t="s">
        <v>5614</v>
      </c>
      <c r="AG2249" s="2" t="s">
        <v>1088</v>
      </c>
      <c r="AH2249" s="2" t="s">
        <v>19482</v>
      </c>
      <c r="AI2249" s="2">
        <v>0.66</v>
      </c>
      <c r="AJ2249" s="2">
        <v>20.382327592704101</v>
      </c>
      <c r="AK2249" s="2">
        <v>19.801871764173999</v>
      </c>
      <c r="AL2249" s="2">
        <v>20.625506261946001</v>
      </c>
      <c r="AM2249" s="2">
        <v>20.5342976668272</v>
      </c>
      <c r="AN2249" s="2">
        <v>20.5637523521162</v>
      </c>
      <c r="AO2249" s="2">
        <v>20.3874656657316</v>
      </c>
      <c r="AP2249" s="2">
        <v>20.831560333184399</v>
      </c>
      <c r="AQ2249" s="2">
        <v>20.643428900687098</v>
      </c>
      <c r="AR2249" s="2">
        <v>20.767950014511101</v>
      </c>
      <c r="AS2249" s="2">
        <v>18.134598885395199</v>
      </c>
      <c r="AT2249" s="2">
        <v>20.230951287777799</v>
      </c>
      <c r="AU2249" s="2">
        <v>17.279598067678901</v>
      </c>
      <c r="AV2249" s="2">
        <v>19.781436175360199</v>
      </c>
      <c r="AW2249" s="2">
        <v>20.190495961612701</v>
      </c>
      <c r="AX2249" s="2">
        <v>21.174973670218002</v>
      </c>
      <c r="AY2249" s="2">
        <v>20.765149008530098</v>
      </c>
      <c r="AZ2249" s="2">
        <v>20.1021174880023</v>
      </c>
      <c r="BA2249" s="2">
        <v>18.520496297334699</v>
      </c>
      <c r="BB2249" s="2">
        <v>20.1144641644734</v>
      </c>
      <c r="BC2249" s="2">
        <v>20.982818832131699</v>
      </c>
      <c r="BD2249" s="2">
        <v>19.208971980814798</v>
      </c>
      <c r="BE2249" s="2">
        <v>19.638797599512699</v>
      </c>
      <c r="BF2249" s="2">
        <v>20.617586134722</v>
      </c>
      <c r="BG2249" s="2">
        <v>20.4750422306209</v>
      </c>
      <c r="BH2249" s="2">
        <v>21.459173258801599</v>
      </c>
      <c r="BI2249" s="2">
        <v>21.142480169494299</v>
      </c>
      <c r="BJ2249" s="2">
        <v>20.646488475287899</v>
      </c>
      <c r="BK2249" s="2">
        <v>20.400153429375301</v>
      </c>
      <c r="BL2249" s="2">
        <v>20.415205963647399</v>
      </c>
      <c r="BM2249" s="2">
        <v>17.304283043035799</v>
      </c>
      <c r="BN2249" s="2">
        <v>20.097864511411</v>
      </c>
      <c r="BO2249" s="2">
        <v>19.4816007360822</v>
      </c>
      <c r="BP2249" s="2">
        <v>19.8431018889355</v>
      </c>
      <c r="BQ2249" s="2">
        <v>20.7252088256886</v>
      </c>
      <c r="BR2249" s="2">
        <v>20.759475721629101</v>
      </c>
      <c r="BS2249" s="2">
        <v>20.608053015545199</v>
      </c>
      <c r="BT2249" s="2">
        <v>19.8360727520983</v>
      </c>
      <c r="BU2249" s="2">
        <v>19.213095958609099</v>
      </c>
      <c r="BV2249" s="2">
        <v>19.7802029260891</v>
      </c>
      <c r="BW2249" s="2">
        <v>20.6524589839965</v>
      </c>
      <c r="BX2249" s="2">
        <v>20.114216148956601</v>
      </c>
      <c r="BY2249" s="2">
        <v>20.764791816667099</v>
      </c>
      <c r="BZ2249" s="2">
        <v>20.628546685944102</v>
      </c>
      <c r="CA2249" s="2">
        <v>20.394984451772601</v>
      </c>
      <c r="CB2249" s="2">
        <v>21.023815823089599</v>
      </c>
      <c r="CC2249" s="2">
        <v>20.511727920923502</v>
      </c>
      <c r="CD2249" s="2">
        <v>20.666183400423701</v>
      </c>
      <c r="CE2249" s="2">
        <v>20.327854924473399</v>
      </c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</row>
    <row r="2250" spans="1:97">
      <c r="A2250" s="2" t="s">
        <v>19483</v>
      </c>
      <c r="B2250" s="2">
        <v>259.01344999999998</v>
      </c>
      <c r="C2250" s="2">
        <v>3.536</v>
      </c>
      <c r="D2250" s="2" t="s">
        <v>84</v>
      </c>
      <c r="E2250" s="2" t="s">
        <v>19484</v>
      </c>
      <c r="F2250" s="2" t="s">
        <v>19485</v>
      </c>
      <c r="G2250" s="2">
        <v>204893</v>
      </c>
      <c r="H2250" s="3" t="str">
        <f>HYPERLINK("https://cloud.oebiotech.com/#/lm/network/204893", "https://cloud.oebiotech.com/#/lm/network/204893")</f>
        <v>https://cloud.oebiotech.com/#/lm/network/204893</v>
      </c>
      <c r="I2250" s="2" t="s">
        <v>19486</v>
      </c>
      <c r="J2250" s="2">
        <v>44297</v>
      </c>
      <c r="K2250" s="2"/>
      <c r="L2250" s="2">
        <v>5231</v>
      </c>
      <c r="M2250" s="2"/>
      <c r="N2250" s="2"/>
      <c r="O2250" s="2"/>
      <c r="P2250" s="2"/>
      <c r="Q2250" s="2"/>
      <c r="R2250" s="2"/>
      <c r="S2250" s="2" t="s">
        <v>19487</v>
      </c>
      <c r="T2250" s="2" t="s">
        <v>19488</v>
      </c>
      <c r="U2250" s="2" t="s">
        <v>19489</v>
      </c>
      <c r="V2250" s="2" t="s">
        <v>115</v>
      </c>
      <c r="W2250" s="2" t="s">
        <v>116</v>
      </c>
      <c r="X2250" s="2" t="s">
        <v>117</v>
      </c>
      <c r="Y2250" s="2" t="s">
        <v>118</v>
      </c>
      <c r="Z2250" s="2" t="s">
        <v>119</v>
      </c>
      <c r="AA2250" s="2" t="s">
        <v>120</v>
      </c>
      <c r="AB2250" s="2" t="s">
        <v>8443</v>
      </c>
      <c r="AC2250" s="2">
        <v>37.43</v>
      </c>
      <c r="AD2250" s="2">
        <v>73.47</v>
      </c>
      <c r="AE2250" s="2">
        <v>0</v>
      </c>
      <c r="AF2250" s="2" t="s">
        <v>19490</v>
      </c>
      <c r="AG2250" s="2" t="s">
        <v>3544</v>
      </c>
      <c r="AH2250" s="2" t="s">
        <v>19491</v>
      </c>
      <c r="AI2250" s="2">
        <v>5.79</v>
      </c>
      <c r="AJ2250" s="2">
        <v>19.8022753835975</v>
      </c>
      <c r="AK2250" s="2">
        <v>20.8788016169846</v>
      </c>
      <c r="AL2250" s="2">
        <v>20.466629210901001</v>
      </c>
      <c r="AM2250" s="2">
        <v>20.896607346213798</v>
      </c>
      <c r="AN2250" s="2">
        <v>20.980743624352598</v>
      </c>
      <c r="AO2250" s="2">
        <v>20.083790715052299</v>
      </c>
      <c r="AP2250" s="2">
        <v>20.552734540562899</v>
      </c>
      <c r="AQ2250" s="2">
        <v>20.638071158393</v>
      </c>
      <c r="AR2250" s="2">
        <v>19.5844097939666</v>
      </c>
      <c r="AS2250" s="2">
        <v>18.890860486445501</v>
      </c>
      <c r="AT2250" s="2">
        <v>20.422035664048099</v>
      </c>
      <c r="AU2250" s="2">
        <v>19.7221135941877</v>
      </c>
      <c r="AV2250" s="2">
        <v>19.8684491452236</v>
      </c>
      <c r="AW2250" s="2">
        <v>20.777560917869302</v>
      </c>
      <c r="AX2250" s="2">
        <v>20.8973631582545</v>
      </c>
      <c r="AY2250" s="2">
        <v>20.074242472648798</v>
      </c>
      <c r="AZ2250" s="2">
        <v>19.574109104763998</v>
      </c>
      <c r="BA2250" s="2">
        <v>19.869300967891601</v>
      </c>
      <c r="BB2250" s="2">
        <v>20.4517787091151</v>
      </c>
      <c r="BC2250" s="2">
        <v>20.243206961626399</v>
      </c>
      <c r="BD2250" s="2">
        <v>21.046206715502201</v>
      </c>
      <c r="BE2250" s="2">
        <v>20.261244940637301</v>
      </c>
      <c r="BF2250" s="2">
        <v>20.279690022574499</v>
      </c>
      <c r="BG2250" s="2">
        <v>22.846895430319702</v>
      </c>
      <c r="BH2250" s="2">
        <v>20.300683849742601</v>
      </c>
      <c r="BI2250" s="2">
        <v>20.843654849238501</v>
      </c>
      <c r="BJ2250" s="2">
        <v>20.565134635718699</v>
      </c>
      <c r="BK2250" s="2">
        <v>20.671614048575101</v>
      </c>
      <c r="BL2250" s="2">
        <v>19.956720898594298</v>
      </c>
      <c r="BM2250" s="2">
        <v>20.3763553717056</v>
      </c>
      <c r="BN2250" s="2">
        <v>20.6435236112934</v>
      </c>
      <c r="BO2250" s="2">
        <v>19.345085684282701</v>
      </c>
      <c r="BP2250" s="2">
        <v>20.509735549297002</v>
      </c>
      <c r="BQ2250" s="2">
        <v>20.847374049694899</v>
      </c>
      <c r="BR2250" s="2">
        <v>20.9134748825667</v>
      </c>
      <c r="BS2250" s="2">
        <v>20.158217095412802</v>
      </c>
      <c r="BT2250" s="2">
        <v>19.777826092443</v>
      </c>
      <c r="BU2250" s="2">
        <v>20.390791522445902</v>
      </c>
      <c r="BV2250" s="2">
        <v>20.756581551876</v>
      </c>
      <c r="BW2250" s="2">
        <v>19.773666386443502</v>
      </c>
      <c r="BX2250" s="2">
        <v>21.0426018787755</v>
      </c>
      <c r="BY2250" s="2">
        <v>20.8643140116463</v>
      </c>
      <c r="BZ2250" s="2">
        <v>20.024619345004702</v>
      </c>
      <c r="CA2250" s="2">
        <v>21.789136162153699</v>
      </c>
      <c r="CB2250" s="2">
        <v>20.200373536413</v>
      </c>
      <c r="CC2250" s="2">
        <v>21.331749442351999</v>
      </c>
      <c r="CD2250" s="2">
        <v>20.620699803805</v>
      </c>
      <c r="CE2250" s="2">
        <v>20.7272858779031</v>
      </c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</row>
    <row r="2251" spans="1:97">
      <c r="A2251" s="2" t="s">
        <v>19492</v>
      </c>
      <c r="B2251" s="2">
        <v>905.57119999999998</v>
      </c>
      <c r="C2251" s="2">
        <v>8.8049999999999997</v>
      </c>
      <c r="D2251" s="2" t="s">
        <v>84</v>
      </c>
      <c r="E2251" s="2" t="s">
        <v>19493</v>
      </c>
      <c r="F2251" s="2" t="s">
        <v>19494</v>
      </c>
      <c r="G2251" s="2">
        <v>37436</v>
      </c>
      <c r="H2251" s="3" t="str">
        <f>HYPERLINK("https://cloud.oebiotech.com/#/lm/network/37436", "https://cloud.oebiotech.com/#/lm/network/37436")</f>
        <v>https://cloud.oebiotech.com/#/lm/network/37436</v>
      </c>
      <c r="I2251" s="2"/>
      <c r="J2251" s="2">
        <v>102915</v>
      </c>
      <c r="K2251" s="2" t="s">
        <v>19495</v>
      </c>
      <c r="L2251" s="2">
        <v>52929833</v>
      </c>
      <c r="M2251" s="2"/>
      <c r="N2251" s="2"/>
      <c r="O2251" s="2"/>
      <c r="P2251" s="2"/>
      <c r="Q2251" s="2"/>
      <c r="R2251" s="2"/>
      <c r="S2251" s="2"/>
      <c r="T2251" s="2" t="s">
        <v>19496</v>
      </c>
      <c r="U2251" s="2" t="s">
        <v>19497</v>
      </c>
      <c r="V2251" s="2" t="s">
        <v>95</v>
      </c>
      <c r="W2251" s="2" t="s">
        <v>180</v>
      </c>
      <c r="X2251" s="2" t="s">
        <v>8269</v>
      </c>
      <c r="Y2251" s="2" t="s">
        <v>98</v>
      </c>
      <c r="Z2251" s="2" t="s">
        <v>182</v>
      </c>
      <c r="AA2251" s="2" t="s">
        <v>8270</v>
      </c>
      <c r="AB2251" s="2" t="s">
        <v>8443</v>
      </c>
      <c r="AC2251" s="2">
        <v>37.42</v>
      </c>
      <c r="AD2251" s="2">
        <v>88.75</v>
      </c>
      <c r="AE2251" s="2">
        <v>0</v>
      </c>
      <c r="AF2251" s="2" t="s">
        <v>5614</v>
      </c>
      <c r="AG2251" s="2" t="s">
        <v>1578</v>
      </c>
      <c r="AH2251" s="2" t="s">
        <v>19498</v>
      </c>
      <c r="AI2251" s="2">
        <v>1.33</v>
      </c>
      <c r="AJ2251" s="2">
        <v>19.991474278228601</v>
      </c>
      <c r="AK2251" s="2">
        <v>20.2211769060489</v>
      </c>
      <c r="AL2251" s="2">
        <v>20.0985925188278</v>
      </c>
      <c r="AM2251" s="2">
        <v>20.186204828406801</v>
      </c>
      <c r="AN2251" s="2">
        <v>20.351082166262</v>
      </c>
      <c r="AO2251" s="2">
        <v>19.910694225097998</v>
      </c>
      <c r="AP2251" s="2">
        <v>20.184981392472601</v>
      </c>
      <c r="AQ2251" s="2">
        <v>19.9410709967432</v>
      </c>
      <c r="AR2251" s="2">
        <v>19.757574299855399</v>
      </c>
      <c r="AS2251" s="2">
        <v>20.2550860077057</v>
      </c>
      <c r="AT2251" s="2">
        <v>19.873147105266501</v>
      </c>
      <c r="AU2251" s="2">
        <v>19.775092847841201</v>
      </c>
      <c r="AV2251" s="2">
        <v>20.2004715081729</v>
      </c>
      <c r="AW2251" s="2">
        <v>20.113890421632401</v>
      </c>
      <c r="AX2251" s="2">
        <v>19.9304439687144</v>
      </c>
      <c r="AY2251" s="2">
        <v>19.8211126989967</v>
      </c>
      <c r="AZ2251" s="2">
        <v>20.046448262981801</v>
      </c>
      <c r="BA2251" s="2">
        <v>19.903047982041699</v>
      </c>
      <c r="BB2251" s="2">
        <v>19.759954969501901</v>
      </c>
      <c r="BC2251" s="2">
        <v>19.828762378635801</v>
      </c>
      <c r="BD2251" s="2">
        <v>20.084870462894099</v>
      </c>
      <c r="BE2251" s="2">
        <v>19.943840120743001</v>
      </c>
      <c r="BF2251" s="2">
        <v>19.945525309173298</v>
      </c>
      <c r="BG2251" s="2">
        <v>19.855974980839498</v>
      </c>
      <c r="BH2251" s="2">
        <v>20.1439222877476</v>
      </c>
      <c r="BI2251" s="2">
        <v>19.805113657361201</v>
      </c>
      <c r="BJ2251" s="2">
        <v>19.667203748974099</v>
      </c>
      <c r="BK2251" s="2">
        <v>19.9308202513431</v>
      </c>
      <c r="BL2251" s="2">
        <v>19.9394073405741</v>
      </c>
      <c r="BM2251" s="2">
        <v>19.989457534323702</v>
      </c>
      <c r="BN2251" s="2">
        <v>19.8853469551308</v>
      </c>
      <c r="BO2251" s="2">
        <v>20.0659407770953</v>
      </c>
      <c r="BP2251" s="2">
        <v>20.1772827555981</v>
      </c>
      <c r="BQ2251" s="2">
        <v>20.045350521124899</v>
      </c>
      <c r="BR2251" s="2">
        <v>20.055796228368401</v>
      </c>
      <c r="BS2251" s="2">
        <v>19.9500602044183</v>
      </c>
      <c r="BT2251" s="2">
        <v>20.114832708990299</v>
      </c>
      <c r="BU2251" s="2">
        <v>20.0577361849952</v>
      </c>
      <c r="BV2251" s="2">
        <v>20.1053968863507</v>
      </c>
      <c r="BW2251" s="2">
        <v>19.7991414855221</v>
      </c>
      <c r="BX2251" s="2">
        <v>19.913318732839699</v>
      </c>
      <c r="BY2251" s="2">
        <v>19.5826207566178</v>
      </c>
      <c r="BZ2251" s="2">
        <v>19.947073589104001</v>
      </c>
      <c r="CA2251" s="2">
        <v>19.955345185134899</v>
      </c>
      <c r="CB2251" s="2">
        <v>20.105142075281901</v>
      </c>
      <c r="CC2251" s="2">
        <v>19.979640510006</v>
      </c>
      <c r="CD2251" s="2">
        <v>20.196790905543601</v>
      </c>
      <c r="CE2251" s="2">
        <v>20.106719538271101</v>
      </c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</row>
    <row r="2252" spans="1:97">
      <c r="A2252" s="2" t="s">
        <v>19499</v>
      </c>
      <c r="B2252" s="2">
        <v>366.23991000000001</v>
      </c>
      <c r="C2252" s="2">
        <v>9.266</v>
      </c>
      <c r="D2252" s="2" t="s">
        <v>84</v>
      </c>
      <c r="E2252" s="2" t="s">
        <v>19500</v>
      </c>
      <c r="F2252" s="2" t="s">
        <v>19501</v>
      </c>
      <c r="G2252" s="2">
        <v>38939</v>
      </c>
      <c r="H2252" s="3" t="str">
        <f>HYPERLINK("https://cloud.oebiotech.com/#/lm/network/38939", "https://cloud.oebiotech.com/#/lm/network/38939")</f>
        <v>https://cloud.oebiotech.com/#/lm/network/38939</v>
      </c>
      <c r="I2252" s="2"/>
      <c r="J2252" s="2">
        <v>102933</v>
      </c>
      <c r="K2252" s="2" t="s">
        <v>19502</v>
      </c>
      <c r="L2252" s="2">
        <v>5283559</v>
      </c>
      <c r="M2252" s="2"/>
      <c r="N2252" s="2"/>
      <c r="O2252" s="2"/>
      <c r="P2252" s="2"/>
      <c r="Q2252" s="2"/>
      <c r="R2252" s="2"/>
      <c r="S2252" s="2"/>
      <c r="T2252" s="2" t="s">
        <v>19503</v>
      </c>
      <c r="U2252" s="2" t="s">
        <v>19504</v>
      </c>
      <c r="V2252" s="2" t="s">
        <v>115</v>
      </c>
      <c r="W2252" s="2" t="s">
        <v>4566</v>
      </c>
      <c r="X2252" s="2" t="s">
        <v>4567</v>
      </c>
      <c r="Y2252" s="2" t="s">
        <v>118</v>
      </c>
      <c r="Z2252" s="2" t="s">
        <v>4568</v>
      </c>
      <c r="AA2252" s="2" t="s">
        <v>4569</v>
      </c>
      <c r="AB2252" s="2" t="s">
        <v>8443</v>
      </c>
      <c r="AC2252" s="2">
        <v>37.409999999999997</v>
      </c>
      <c r="AD2252" s="2">
        <v>88.92</v>
      </c>
      <c r="AE2252" s="2">
        <v>0</v>
      </c>
      <c r="AF2252" s="2" t="s">
        <v>19505</v>
      </c>
      <c r="AG2252" s="2" t="s">
        <v>103</v>
      </c>
      <c r="AH2252" s="2" t="s">
        <v>19506</v>
      </c>
      <c r="AI2252" s="2">
        <v>1.37</v>
      </c>
      <c r="AJ2252" s="2">
        <v>18.1455039712095</v>
      </c>
      <c r="AK2252" s="2">
        <v>18.0815973924372</v>
      </c>
      <c r="AL2252" s="2">
        <v>18.422422323190499</v>
      </c>
      <c r="AM2252" s="2">
        <v>18.249437239251598</v>
      </c>
      <c r="AN2252" s="2">
        <v>18.370434424356201</v>
      </c>
      <c r="AO2252" s="2">
        <v>18.204087745151298</v>
      </c>
      <c r="AP2252" s="2">
        <v>18.320741989319</v>
      </c>
      <c r="AQ2252" s="2">
        <v>17.972293546474098</v>
      </c>
      <c r="AR2252" s="2">
        <v>18.142522131488999</v>
      </c>
      <c r="AS2252" s="2">
        <v>17.540994794038099</v>
      </c>
      <c r="AT2252" s="2">
        <v>18.088855356340002</v>
      </c>
      <c r="AU2252" s="2">
        <v>17.697644920540501</v>
      </c>
      <c r="AV2252" s="2">
        <v>17.9354008129806</v>
      </c>
      <c r="AW2252" s="2">
        <v>18.071137445142998</v>
      </c>
      <c r="AX2252" s="2">
        <v>17.874220200649798</v>
      </c>
      <c r="AY2252" s="2">
        <v>17.3642873791262</v>
      </c>
      <c r="AZ2252" s="2">
        <v>18.5149229734002</v>
      </c>
      <c r="BA2252" s="2">
        <v>17.8938159254736</v>
      </c>
      <c r="BB2252" s="2">
        <v>18.581609945650001</v>
      </c>
      <c r="BC2252" s="2">
        <v>19.098252679513699</v>
      </c>
      <c r="BD2252" s="2">
        <v>18.212879493195999</v>
      </c>
      <c r="BE2252" s="2">
        <v>18.91246909501</v>
      </c>
      <c r="BF2252" s="2">
        <v>17.9486709362954</v>
      </c>
      <c r="BG2252" s="2">
        <v>18.6329379890167</v>
      </c>
      <c r="BH2252" s="2">
        <v>17.870050215645598</v>
      </c>
      <c r="BI2252" s="2">
        <v>18.125113096376001</v>
      </c>
      <c r="BJ2252" s="2">
        <v>18.218715006702599</v>
      </c>
      <c r="BK2252" s="2">
        <v>18.153608831165698</v>
      </c>
      <c r="BL2252" s="2">
        <v>17.886855896588202</v>
      </c>
      <c r="BM2252" s="2">
        <v>16.497513197881599</v>
      </c>
      <c r="BN2252" s="2">
        <v>17.359376812523301</v>
      </c>
      <c r="BO2252" s="2">
        <v>17.205957009199999</v>
      </c>
      <c r="BP2252" s="2">
        <v>18.011493116423399</v>
      </c>
      <c r="BQ2252" s="2">
        <v>17.4482592640347</v>
      </c>
      <c r="BR2252" s="2">
        <v>17.371771370325199</v>
      </c>
      <c r="BS2252" s="2">
        <v>18.207834861797501</v>
      </c>
      <c r="BT2252" s="2">
        <v>18.329627656627601</v>
      </c>
      <c r="BU2252" s="2">
        <v>19.623920666754501</v>
      </c>
      <c r="BV2252" s="2">
        <v>18.536379236584601</v>
      </c>
      <c r="BW2252" s="2">
        <v>17.275637122549298</v>
      </c>
      <c r="BX2252" s="2">
        <v>17.242457368166001</v>
      </c>
      <c r="BY2252" s="2">
        <v>19.748486293115501</v>
      </c>
      <c r="BZ2252" s="2">
        <v>18.125750503263401</v>
      </c>
      <c r="CA2252" s="2">
        <v>17.757508965857401</v>
      </c>
      <c r="CB2252" s="2">
        <v>18.120386125111501</v>
      </c>
      <c r="CC2252" s="2">
        <v>16.651384737643198</v>
      </c>
      <c r="CD2252" s="2">
        <v>18.567204030273899</v>
      </c>
      <c r="CE2252" s="2">
        <v>17.887587383960099</v>
      </c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</row>
    <row r="2253" spans="1:97">
      <c r="A2253" s="2" t="s">
        <v>19507</v>
      </c>
      <c r="B2253" s="2">
        <v>378.97602999999998</v>
      </c>
      <c r="C2253" s="2">
        <v>3.5310000000000001</v>
      </c>
      <c r="D2253" s="2" t="s">
        <v>146</v>
      </c>
      <c r="E2253" s="2" t="s">
        <v>19508</v>
      </c>
      <c r="F2253" s="2" t="s">
        <v>19509</v>
      </c>
      <c r="G2253" s="2">
        <v>33352</v>
      </c>
      <c r="H2253" s="3" t="str">
        <f>HYPERLINK("https://cloud.oebiotech.com/#/lm/network/33352", "https://cloud.oebiotech.com/#/lm/network/33352")</f>
        <v>https://cloud.oebiotech.com/#/lm/network/33352</v>
      </c>
      <c r="I2253" s="2"/>
      <c r="J2253" s="2">
        <v>51679</v>
      </c>
      <c r="K2253" s="2" t="s">
        <v>19510</v>
      </c>
      <c r="L2253" s="2">
        <v>44260032</v>
      </c>
      <c r="M2253" s="2"/>
      <c r="N2253" s="2"/>
      <c r="O2253" s="2"/>
      <c r="P2253" s="2"/>
      <c r="Q2253" s="2"/>
      <c r="R2253" s="2"/>
      <c r="S2253" s="2"/>
      <c r="T2253" s="2" t="s">
        <v>19511</v>
      </c>
      <c r="U2253" s="2" t="s">
        <v>19512</v>
      </c>
      <c r="V2253" s="2" t="s">
        <v>845</v>
      </c>
      <c r="W2253" s="2" t="s">
        <v>1853</v>
      </c>
      <c r="X2253" s="2" t="s">
        <v>11996</v>
      </c>
      <c r="Y2253" s="2" t="s">
        <v>847</v>
      </c>
      <c r="Z2253" s="2" t="s">
        <v>1855</v>
      </c>
      <c r="AA2253" s="2" t="s">
        <v>11997</v>
      </c>
      <c r="AB2253" s="2" t="s">
        <v>8443</v>
      </c>
      <c r="AC2253" s="2">
        <v>37.4</v>
      </c>
      <c r="AD2253" s="2">
        <v>87.01</v>
      </c>
      <c r="AE2253" s="2">
        <v>0</v>
      </c>
      <c r="AF2253" s="2" t="s">
        <v>5614</v>
      </c>
      <c r="AG2253" s="2" t="s">
        <v>993</v>
      </c>
      <c r="AH2253" s="2" t="s">
        <v>19513</v>
      </c>
      <c r="AI2253" s="2">
        <v>0</v>
      </c>
      <c r="AJ2253" s="2">
        <v>18.065798868497399</v>
      </c>
      <c r="AK2253" s="2">
        <v>18.0653514942802</v>
      </c>
      <c r="AL2253" s="2">
        <v>18.086382933236301</v>
      </c>
      <c r="AM2253" s="2">
        <v>17.397239516313199</v>
      </c>
      <c r="AN2253" s="2">
        <v>18.105001783359398</v>
      </c>
      <c r="AO2253" s="2">
        <v>18.062980257365702</v>
      </c>
      <c r="AP2253" s="2">
        <v>17.927040642076701</v>
      </c>
      <c r="AQ2253" s="2">
        <v>18.0730408082023</v>
      </c>
      <c r="AR2253" s="2">
        <v>18.385953669713299</v>
      </c>
      <c r="AS2253" s="2">
        <v>16.9799528677854</v>
      </c>
      <c r="AT2253" s="2">
        <v>17.467240707025699</v>
      </c>
      <c r="AU2253" s="2">
        <v>16.932428966863899</v>
      </c>
      <c r="AV2253" s="2">
        <v>17.448015047925999</v>
      </c>
      <c r="AW2253" s="2">
        <v>17.509441163128699</v>
      </c>
      <c r="AX2253" s="2">
        <v>18.031742603824298</v>
      </c>
      <c r="AY2253" s="2">
        <v>17.1791158172128</v>
      </c>
      <c r="AZ2253" s="2">
        <v>17.322126997685299</v>
      </c>
      <c r="BA2253" s="2">
        <v>16.736510937990001</v>
      </c>
      <c r="BB2253" s="2">
        <v>17.268275710186501</v>
      </c>
      <c r="BC2253" s="2">
        <v>17.443347804483</v>
      </c>
      <c r="BD2253" s="2">
        <v>18.071860774948401</v>
      </c>
      <c r="BE2253" s="2">
        <v>17.448837730701399</v>
      </c>
      <c r="BF2253" s="2">
        <v>17.477389024961099</v>
      </c>
      <c r="BG2253" s="2">
        <v>19.763241387219399</v>
      </c>
      <c r="BH2253" s="2">
        <v>17.464704238346499</v>
      </c>
      <c r="BI2253" s="2">
        <v>19.055696857368499</v>
      </c>
      <c r="BJ2253" s="2">
        <v>18.333443607139099</v>
      </c>
      <c r="BK2253" s="2">
        <v>17.787574718044699</v>
      </c>
      <c r="BL2253" s="2">
        <v>18.100985396143798</v>
      </c>
      <c r="BM2253" s="2">
        <v>17.4205237850347</v>
      </c>
      <c r="BN2253" s="2">
        <v>17.845395652770399</v>
      </c>
      <c r="BO2253" s="2">
        <v>17.301188306928498</v>
      </c>
      <c r="BP2253" s="2">
        <v>16.746599081180999</v>
      </c>
      <c r="BQ2253" s="2">
        <v>17.9572875371416</v>
      </c>
      <c r="BR2253" s="2">
        <v>18.130995100382801</v>
      </c>
      <c r="BS2253" s="2">
        <v>17.326741777414501</v>
      </c>
      <c r="BT2253" s="2">
        <v>16.803116900257798</v>
      </c>
      <c r="BU2253" s="2">
        <v>17.071041417331699</v>
      </c>
      <c r="BV2253" s="2">
        <v>17.9820526025728</v>
      </c>
      <c r="BW2253" s="2">
        <v>16.705050899724899</v>
      </c>
      <c r="BX2253" s="2">
        <v>17.2584180764546</v>
      </c>
      <c r="BY2253" s="2">
        <v>18.244321324125998</v>
      </c>
      <c r="BZ2253" s="2">
        <v>17.192397621841899</v>
      </c>
      <c r="CA2253" s="2">
        <v>18.918495542114201</v>
      </c>
      <c r="CB2253" s="2">
        <v>17.523682395116101</v>
      </c>
      <c r="CC2253" s="2">
        <v>17.955609272135401</v>
      </c>
      <c r="CD2253" s="2">
        <v>18.1697975604913</v>
      </c>
      <c r="CE2253" s="2">
        <v>17.923762765698299</v>
      </c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</row>
    <row r="2254" spans="1:97">
      <c r="A2254" s="2" t="s">
        <v>19514</v>
      </c>
      <c r="B2254" s="2">
        <v>425.04198000000002</v>
      </c>
      <c r="C2254" s="2">
        <v>0.98299999999999998</v>
      </c>
      <c r="D2254" s="2" t="s">
        <v>146</v>
      </c>
      <c r="E2254" s="2" t="s">
        <v>19515</v>
      </c>
      <c r="F2254" s="2" t="s">
        <v>19516</v>
      </c>
      <c r="G2254" s="2">
        <v>205137</v>
      </c>
      <c r="H2254" s="3" t="str">
        <f>HYPERLINK("https://cloud.oebiotech.com/#/lm/network/205137", "https://cloud.oebiotech.com/#/lm/network/205137")</f>
        <v>https://cloud.oebiotech.com/#/lm/network/205137</v>
      </c>
      <c r="I2254" s="2" t="s">
        <v>19517</v>
      </c>
      <c r="J2254" s="2"/>
      <c r="K2254" s="2"/>
      <c r="L2254" s="2">
        <v>53462594</v>
      </c>
      <c r="M2254" s="2"/>
      <c r="N2254" s="2"/>
      <c r="O2254" s="2"/>
      <c r="P2254" s="2"/>
      <c r="Q2254" s="2"/>
      <c r="R2254" s="2"/>
      <c r="S2254" s="2"/>
      <c r="T2254" s="2" t="s">
        <v>19518</v>
      </c>
      <c r="U2254" s="2" t="s">
        <v>19519</v>
      </c>
      <c r="V2254" s="2" t="s">
        <v>338</v>
      </c>
      <c r="W2254" s="2" t="s">
        <v>339</v>
      </c>
      <c r="X2254" s="2" t="s">
        <v>663</v>
      </c>
      <c r="Y2254" s="2" t="s">
        <v>341</v>
      </c>
      <c r="Z2254" s="2" t="s">
        <v>341</v>
      </c>
      <c r="AA2254" s="2" t="s">
        <v>664</v>
      </c>
      <c r="AB2254" s="2" t="s">
        <v>5118</v>
      </c>
      <c r="AC2254" s="2">
        <v>37.39</v>
      </c>
      <c r="AD2254" s="2">
        <v>42.36</v>
      </c>
      <c r="AE2254" s="2">
        <v>61.23</v>
      </c>
      <c r="AF2254" s="2" t="s">
        <v>19520</v>
      </c>
      <c r="AG2254" s="2" t="s">
        <v>4062</v>
      </c>
      <c r="AH2254" s="2" t="s">
        <v>19521</v>
      </c>
      <c r="AI2254" s="2">
        <v>-1.88</v>
      </c>
      <c r="AJ2254" s="2">
        <v>21.323830679488701</v>
      </c>
      <c r="AK2254" s="2">
        <v>21.3269809962555</v>
      </c>
      <c r="AL2254" s="2">
        <v>21.085151518707001</v>
      </c>
      <c r="AM2254" s="2">
        <v>21.2025309368337</v>
      </c>
      <c r="AN2254" s="2">
        <v>21.3118629940967</v>
      </c>
      <c r="AO2254" s="2">
        <v>21.1419657195786</v>
      </c>
      <c r="AP2254" s="2">
        <v>21.2511906535786</v>
      </c>
      <c r="AQ2254" s="2">
        <v>21.412838119278</v>
      </c>
      <c r="AR2254" s="2">
        <v>21.279863862857798</v>
      </c>
      <c r="AS2254" s="2">
        <v>21.309592434820299</v>
      </c>
      <c r="AT2254" s="2">
        <v>20.675501804442099</v>
      </c>
      <c r="AU2254" s="2">
        <v>21.332098438373301</v>
      </c>
      <c r="AV2254" s="2">
        <v>19.8457445154475</v>
      </c>
      <c r="AW2254" s="2">
        <v>21.324258950632899</v>
      </c>
      <c r="AX2254" s="2">
        <v>21.107419228951599</v>
      </c>
      <c r="AY2254" s="2">
        <v>20.5099776255772</v>
      </c>
      <c r="AZ2254" s="2">
        <v>21.3608224205006</v>
      </c>
      <c r="BA2254" s="2">
        <v>21.306190608601199</v>
      </c>
      <c r="BB2254" s="2">
        <v>20.4764973492214</v>
      </c>
      <c r="BC2254" s="2">
        <v>21.422272638289201</v>
      </c>
      <c r="BD2254" s="2">
        <v>19.915268106734</v>
      </c>
      <c r="BE2254" s="2">
        <v>20.300580991154099</v>
      </c>
      <c r="BF2254" s="2">
        <v>19.0881230776324</v>
      </c>
      <c r="BG2254" s="2">
        <v>21.217118346887201</v>
      </c>
      <c r="BH2254" s="2">
        <v>21.2527651824578</v>
      </c>
      <c r="BI2254" s="2">
        <v>20.573340695397501</v>
      </c>
      <c r="BJ2254" s="2">
        <v>21.1269971956924</v>
      </c>
      <c r="BK2254" s="2">
        <v>20.4495962033164</v>
      </c>
      <c r="BL2254" s="2">
        <v>21.128303983647299</v>
      </c>
      <c r="BM2254" s="2">
        <v>21.418433788118701</v>
      </c>
      <c r="BN2254" s="2">
        <v>21.281490224694</v>
      </c>
      <c r="BO2254" s="2">
        <v>21.167388093455799</v>
      </c>
      <c r="BP2254" s="2">
        <v>21.102620215398101</v>
      </c>
      <c r="BQ2254" s="2">
        <v>21.014253462031601</v>
      </c>
      <c r="BR2254" s="2">
        <v>19.7965875740652</v>
      </c>
      <c r="BS2254" s="2">
        <v>21.2540612591844</v>
      </c>
      <c r="BT2254" s="2">
        <v>21.266563824108299</v>
      </c>
      <c r="BU2254" s="2">
        <v>21.241123120619701</v>
      </c>
      <c r="BV2254" s="2">
        <v>21.2213176326884</v>
      </c>
      <c r="BW2254" s="2">
        <v>21.418945590763499</v>
      </c>
      <c r="BX2254" s="2">
        <v>20.053679352528899</v>
      </c>
      <c r="BY2254" s="2">
        <v>20.800644778135698</v>
      </c>
      <c r="BZ2254" s="2">
        <v>21.324200174122002</v>
      </c>
      <c r="CA2254" s="2">
        <v>19.7337798389736</v>
      </c>
      <c r="CB2254" s="2">
        <v>21.303834700433502</v>
      </c>
      <c r="CC2254" s="2">
        <v>21.2962046300716</v>
      </c>
      <c r="CD2254" s="2">
        <v>20.963284524898299</v>
      </c>
      <c r="CE2254" s="2">
        <v>21.070746470354798</v>
      </c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</row>
    <row r="2255" spans="1:97">
      <c r="A2255" s="2" t="s">
        <v>19522</v>
      </c>
      <c r="B2255" s="2">
        <v>222.02256</v>
      </c>
      <c r="C2255" s="2">
        <v>6.6550000000000002</v>
      </c>
      <c r="D2255" s="2" t="s">
        <v>146</v>
      </c>
      <c r="E2255" s="2" t="s">
        <v>19523</v>
      </c>
      <c r="F2255" s="2" t="s">
        <v>19524</v>
      </c>
      <c r="G2255" s="2">
        <v>61960</v>
      </c>
      <c r="H2255" s="3" t="str">
        <f>HYPERLINK("https://cloud.oebiotech.com/#/lm/network/61960", "https://cloud.oebiotech.com/#/lm/network/61960")</f>
        <v>https://cloud.oebiotech.com/#/lm/network/61960</v>
      </c>
      <c r="I2255" s="2" t="s">
        <v>19525</v>
      </c>
      <c r="J2255" s="2"/>
      <c r="K2255" s="2"/>
      <c r="L2255" s="2">
        <v>10910114</v>
      </c>
      <c r="M2255" s="2" t="s">
        <v>19526</v>
      </c>
      <c r="N2255" s="2"/>
      <c r="O2255" s="2"/>
      <c r="P2255" s="2"/>
      <c r="Q2255" s="2"/>
      <c r="R2255" s="2"/>
      <c r="S2255" s="2" t="s">
        <v>19527</v>
      </c>
      <c r="T2255" s="2" t="s">
        <v>19528</v>
      </c>
      <c r="U2255" s="2" t="s">
        <v>19529</v>
      </c>
      <c r="V2255" s="2" t="s">
        <v>553</v>
      </c>
      <c r="W2255" s="2" t="s">
        <v>933</v>
      </c>
      <c r="X2255" s="2" t="s">
        <v>3434</v>
      </c>
      <c r="Y2255" s="2" t="s">
        <v>556</v>
      </c>
      <c r="Z2255" s="2" t="s">
        <v>935</v>
      </c>
      <c r="AA2255" s="2" t="s">
        <v>3435</v>
      </c>
      <c r="AB2255" s="2" t="s">
        <v>8443</v>
      </c>
      <c r="AC2255" s="2">
        <v>37.380000000000003</v>
      </c>
      <c r="AD2255" s="2">
        <v>90.89</v>
      </c>
      <c r="AE2255" s="2">
        <v>0</v>
      </c>
      <c r="AF2255" s="2" t="s">
        <v>5614</v>
      </c>
      <c r="AG2255" s="2" t="s">
        <v>157</v>
      </c>
      <c r="AH2255" s="2" t="s">
        <v>19530</v>
      </c>
      <c r="AI2255" s="2">
        <v>1.8</v>
      </c>
      <c r="AJ2255" s="2">
        <v>17.899508041562498</v>
      </c>
      <c r="AK2255" s="2">
        <v>17.7896250204039</v>
      </c>
      <c r="AL2255" s="2">
        <v>17.690991556132801</v>
      </c>
      <c r="AM2255" s="2">
        <v>17.479492065624498</v>
      </c>
      <c r="AN2255" s="2">
        <v>17.699665573731</v>
      </c>
      <c r="AO2255" s="2">
        <v>17.599475005654998</v>
      </c>
      <c r="AP2255" s="2">
        <v>17.635815454757001</v>
      </c>
      <c r="AQ2255" s="2">
        <v>17.1961002924158</v>
      </c>
      <c r="AR2255" s="2">
        <v>17.616278528506601</v>
      </c>
      <c r="AS2255" s="2">
        <v>17.7050400291965</v>
      </c>
      <c r="AT2255" s="2">
        <v>17.713338315099701</v>
      </c>
      <c r="AU2255" s="2">
        <v>18.178754608212301</v>
      </c>
      <c r="AV2255" s="2">
        <v>17.683187563595698</v>
      </c>
      <c r="AW2255" s="2">
        <v>17.8300077655332</v>
      </c>
      <c r="AX2255" s="2">
        <v>17.739188922850399</v>
      </c>
      <c r="AY2255" s="2">
        <v>17.9498864267408</v>
      </c>
      <c r="AZ2255" s="2">
        <v>17.821188453286901</v>
      </c>
      <c r="BA2255" s="2">
        <v>17.757067143139199</v>
      </c>
      <c r="BB2255" s="2">
        <v>17.840853635565701</v>
      </c>
      <c r="BC2255" s="2">
        <v>18.082822963719</v>
      </c>
      <c r="BD2255" s="2">
        <v>17.916624522803801</v>
      </c>
      <c r="BE2255" s="2">
        <v>17.629695992612199</v>
      </c>
      <c r="BF2255" s="2">
        <v>17.890377280064701</v>
      </c>
      <c r="BG2255" s="2">
        <v>17.610923829912</v>
      </c>
      <c r="BH2255" s="2">
        <v>17.606462109076102</v>
      </c>
      <c r="BI2255" s="2">
        <v>17.574977357321199</v>
      </c>
      <c r="BJ2255" s="2">
        <v>17.375287067761999</v>
      </c>
      <c r="BK2255" s="2">
        <v>17.757791700461102</v>
      </c>
      <c r="BL2255" s="2">
        <v>17.553779566823199</v>
      </c>
      <c r="BM2255" s="2">
        <v>17.9131118171832</v>
      </c>
      <c r="BN2255" s="2">
        <v>17.794035481564499</v>
      </c>
      <c r="BO2255" s="2">
        <v>17.464050871735001</v>
      </c>
      <c r="BP2255" s="2">
        <v>16.760846879296501</v>
      </c>
      <c r="BQ2255" s="2">
        <v>17.551179228515899</v>
      </c>
      <c r="BR2255" s="2">
        <v>17.605630273205499</v>
      </c>
      <c r="BS2255" s="2">
        <v>17.346312623444199</v>
      </c>
      <c r="BT2255" s="2">
        <v>17.492145331447801</v>
      </c>
      <c r="BU2255" s="2">
        <v>17.671974014805802</v>
      </c>
      <c r="BV2255" s="2">
        <v>17.608232294132801</v>
      </c>
      <c r="BW2255" s="2">
        <v>18.114778517171398</v>
      </c>
      <c r="BX2255" s="2">
        <v>17.7521408961933</v>
      </c>
      <c r="BY2255" s="2">
        <v>17.2141205354324</v>
      </c>
      <c r="BZ2255" s="2">
        <v>17.577926719156</v>
      </c>
      <c r="CA2255" s="2">
        <v>17.5511467021214</v>
      </c>
      <c r="CB2255" s="2">
        <v>17.476747390365801</v>
      </c>
      <c r="CC2255" s="2">
        <v>17.8069323843138</v>
      </c>
      <c r="CD2255" s="2">
        <v>17.1385233017925</v>
      </c>
      <c r="CE2255" s="2">
        <v>17.256635045566</v>
      </c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</row>
    <row r="2256" spans="1:97">
      <c r="A2256" s="2" t="s">
        <v>19531</v>
      </c>
      <c r="B2256" s="2">
        <v>1019.60941</v>
      </c>
      <c r="C2256" s="2">
        <v>10.36</v>
      </c>
      <c r="D2256" s="2" t="s">
        <v>146</v>
      </c>
      <c r="E2256" s="2" t="s">
        <v>19532</v>
      </c>
      <c r="F2256" s="2" t="s">
        <v>19533</v>
      </c>
      <c r="G2256" s="2">
        <v>27526</v>
      </c>
      <c r="H2256" s="3" t="str">
        <f>HYPERLINK("https://cloud.oebiotech.com/#/lm/network/27526", "https://cloud.oebiotech.com/#/lm/network/27526")</f>
        <v>https://cloud.oebiotech.com/#/lm/network/27526</v>
      </c>
      <c r="I2256" s="2"/>
      <c r="J2256" s="2"/>
      <c r="K2256" s="2" t="s">
        <v>19534</v>
      </c>
      <c r="L2256" s="2">
        <v>126457416</v>
      </c>
      <c r="M2256" s="2"/>
      <c r="N2256" s="2"/>
      <c r="O2256" s="2"/>
      <c r="P2256" s="2"/>
      <c r="Q2256" s="2"/>
      <c r="R2256" s="2"/>
      <c r="S2256" s="2"/>
      <c r="T2256" s="2" t="s">
        <v>19535</v>
      </c>
      <c r="U2256" s="2" t="s">
        <v>19536</v>
      </c>
      <c r="V2256" s="2" t="s">
        <v>95</v>
      </c>
      <c r="W2256" s="2" t="s">
        <v>202</v>
      </c>
      <c r="X2256" s="2" t="s">
        <v>12415</v>
      </c>
      <c r="Y2256" s="2" t="s">
        <v>98</v>
      </c>
      <c r="Z2256" s="2" t="s">
        <v>204</v>
      </c>
      <c r="AA2256" s="2" t="s">
        <v>12416</v>
      </c>
      <c r="AB2256" s="2" t="s">
        <v>8443</v>
      </c>
      <c r="AC2256" s="2">
        <v>37.380000000000003</v>
      </c>
      <c r="AD2256" s="2">
        <v>92.68</v>
      </c>
      <c r="AE2256" s="2">
        <v>0</v>
      </c>
      <c r="AF2256" s="2" t="s">
        <v>19537</v>
      </c>
      <c r="AG2256" s="2" t="s">
        <v>993</v>
      </c>
      <c r="AH2256" s="2" t="s">
        <v>19538</v>
      </c>
      <c r="AI2256" s="2">
        <v>-2.16</v>
      </c>
      <c r="AJ2256" s="2">
        <v>19.942729243617801</v>
      </c>
      <c r="AK2256" s="2">
        <v>19.844247479422801</v>
      </c>
      <c r="AL2256" s="2">
        <v>19.655348159644699</v>
      </c>
      <c r="AM2256" s="2">
        <v>19.747339748786501</v>
      </c>
      <c r="AN2256" s="2">
        <v>19.764287256064399</v>
      </c>
      <c r="AO2256" s="2">
        <v>19.705507252976702</v>
      </c>
      <c r="AP2256" s="2">
        <v>19.922263626857401</v>
      </c>
      <c r="AQ2256" s="2">
        <v>19.820997860740899</v>
      </c>
      <c r="AR2256" s="2">
        <v>20.2898382016628</v>
      </c>
      <c r="AS2256" s="2">
        <v>17.4114844238273</v>
      </c>
      <c r="AT2256" s="2">
        <v>18.716083440477099</v>
      </c>
      <c r="AU2256" s="2">
        <v>19.309132519048401</v>
      </c>
      <c r="AV2256" s="2">
        <v>19.597249141143699</v>
      </c>
      <c r="AW2256" s="2">
        <v>19.850320804949099</v>
      </c>
      <c r="AX2256" s="2">
        <v>20.148564389465498</v>
      </c>
      <c r="AY2256" s="2">
        <v>19.729990739177801</v>
      </c>
      <c r="AZ2256" s="2">
        <v>19.391009169365901</v>
      </c>
      <c r="BA2256" s="2">
        <v>17.8510469302717</v>
      </c>
      <c r="BB2256" s="2">
        <v>18.7231061165343</v>
      </c>
      <c r="BC2256" s="2">
        <v>19.992766411915898</v>
      </c>
      <c r="BD2256" s="2">
        <v>18.881899612956399</v>
      </c>
      <c r="BE2256" s="2">
        <v>19.828565904512001</v>
      </c>
      <c r="BF2256" s="2">
        <v>19.568020652363401</v>
      </c>
      <c r="BG2256" s="2">
        <v>19.4715196336949</v>
      </c>
      <c r="BH2256" s="2">
        <v>20.061885062822402</v>
      </c>
      <c r="BI2256" s="2">
        <v>20.3190369259754</v>
      </c>
      <c r="BJ2256" s="2">
        <v>19.504508922731901</v>
      </c>
      <c r="BK2256" s="2">
        <v>18.909256280952601</v>
      </c>
      <c r="BL2256" s="2">
        <v>19.8841677460684</v>
      </c>
      <c r="BM2256" s="2">
        <v>19.869780321667001</v>
      </c>
      <c r="BN2256" s="2">
        <v>20.0450247363286</v>
      </c>
      <c r="BO2256" s="2">
        <v>19.1414920303299</v>
      </c>
      <c r="BP2256" s="2">
        <v>19.611226566790801</v>
      </c>
      <c r="BQ2256" s="2">
        <v>19.5852005234186</v>
      </c>
      <c r="BR2256" s="2">
        <v>20.631304950925401</v>
      </c>
      <c r="BS2256" s="2">
        <v>20.340401850718099</v>
      </c>
      <c r="BT2256" s="2">
        <v>18.953011141528702</v>
      </c>
      <c r="BU2256" s="2">
        <v>18.4828774244498</v>
      </c>
      <c r="BV2256" s="2">
        <v>18.939060646858799</v>
      </c>
      <c r="BW2256" s="2">
        <v>19.204146053009801</v>
      </c>
      <c r="BX2256" s="2">
        <v>19.7997648929964</v>
      </c>
      <c r="BY2256" s="2">
        <v>20.239158900449802</v>
      </c>
      <c r="BZ2256" s="2">
        <v>19.7272088435858</v>
      </c>
      <c r="CA2256" s="2">
        <v>19.486725350422201</v>
      </c>
      <c r="CB2256" s="2">
        <v>19.373872876688001</v>
      </c>
      <c r="CC2256" s="2">
        <v>19.452525663732398</v>
      </c>
      <c r="CD2256" s="2">
        <v>19.246733756992899</v>
      </c>
      <c r="CE2256" s="2">
        <v>18.1457509818323</v>
      </c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</row>
    <row r="2257" spans="1:97">
      <c r="A2257" s="2" t="s">
        <v>19539</v>
      </c>
      <c r="B2257" s="2">
        <v>235.03691000000001</v>
      </c>
      <c r="C2257" s="2">
        <v>1.113</v>
      </c>
      <c r="D2257" s="2" t="s">
        <v>146</v>
      </c>
      <c r="E2257" s="2" t="s">
        <v>19540</v>
      </c>
      <c r="F2257" s="2" t="s">
        <v>19541</v>
      </c>
      <c r="G2257" s="2">
        <v>57594</v>
      </c>
      <c r="H2257" s="3" t="str">
        <f>HYPERLINK("https://cloud.oebiotech.com/#/lm/network/57594", "https://cloud.oebiotech.com/#/lm/network/57594")</f>
        <v>https://cloud.oebiotech.com/#/lm/network/57594</v>
      </c>
      <c r="I2257" s="2" t="s">
        <v>19542</v>
      </c>
      <c r="J2257" s="2">
        <v>89196</v>
      </c>
      <c r="K2257" s="2"/>
      <c r="L2257" s="2">
        <v>3035211</v>
      </c>
      <c r="M2257" s="2"/>
      <c r="N2257" s="2"/>
      <c r="O2257" s="2"/>
      <c r="P2257" s="2">
        <v>38119</v>
      </c>
      <c r="Q2257" s="2"/>
      <c r="R2257" s="2"/>
      <c r="S2257" s="2" t="s">
        <v>19543</v>
      </c>
      <c r="T2257" s="2" t="s">
        <v>19544</v>
      </c>
      <c r="U2257" s="2" t="s">
        <v>19545</v>
      </c>
      <c r="V2257" s="2" t="s">
        <v>553</v>
      </c>
      <c r="W2257" s="2" t="s">
        <v>933</v>
      </c>
      <c r="X2257" s="2" t="s">
        <v>3434</v>
      </c>
      <c r="Y2257" s="2" t="s">
        <v>556</v>
      </c>
      <c r="Z2257" s="2" t="s">
        <v>935</v>
      </c>
      <c r="AA2257" s="2" t="s">
        <v>3435</v>
      </c>
      <c r="AB2257" s="2" t="s">
        <v>8443</v>
      </c>
      <c r="AC2257" s="2">
        <v>37.369999999999997</v>
      </c>
      <c r="AD2257" s="2">
        <v>86.87</v>
      </c>
      <c r="AE2257" s="2">
        <v>0</v>
      </c>
      <c r="AF2257" s="2" t="s">
        <v>5614</v>
      </c>
      <c r="AG2257" s="2" t="s">
        <v>194</v>
      </c>
      <c r="AH2257" s="2" t="s">
        <v>19546</v>
      </c>
      <c r="AI2257" s="2">
        <v>0</v>
      </c>
      <c r="AJ2257" s="2">
        <v>17.814166234209502</v>
      </c>
      <c r="AK2257" s="2">
        <v>17.2912992357953</v>
      </c>
      <c r="AL2257" s="2">
        <v>17.341964818789599</v>
      </c>
      <c r="AM2257" s="2">
        <v>17.5356528012593</v>
      </c>
      <c r="AN2257" s="2">
        <v>17.645600387418401</v>
      </c>
      <c r="AO2257" s="2">
        <v>17.283256504470302</v>
      </c>
      <c r="AP2257" s="2">
        <v>17.252756337111901</v>
      </c>
      <c r="AQ2257" s="2">
        <v>17.394734899239999</v>
      </c>
      <c r="AR2257" s="2">
        <v>16.950866714590401</v>
      </c>
      <c r="AS2257" s="2">
        <v>17.170501940601898</v>
      </c>
      <c r="AT2257" s="2">
        <v>15.661434080858101</v>
      </c>
      <c r="AU2257" s="2">
        <v>17.9197249594176</v>
      </c>
      <c r="AV2257" s="2">
        <v>16.995239268672101</v>
      </c>
      <c r="AW2257" s="2">
        <v>17.478749241390801</v>
      </c>
      <c r="AX2257" s="2">
        <v>17.113273751230999</v>
      </c>
      <c r="AY2257" s="2">
        <v>17.467985659317499</v>
      </c>
      <c r="AZ2257" s="2">
        <v>17.683510258826001</v>
      </c>
      <c r="BA2257" s="2">
        <v>17.625664257505999</v>
      </c>
      <c r="BB2257" s="2">
        <v>17.3910393867647</v>
      </c>
      <c r="BC2257" s="2">
        <v>17.948588471818201</v>
      </c>
      <c r="BD2257" s="2">
        <v>17.306254424058402</v>
      </c>
      <c r="BE2257" s="2">
        <v>16.961756365635399</v>
      </c>
      <c r="BF2257" s="2">
        <v>17.154214882645999</v>
      </c>
      <c r="BG2257" s="2">
        <v>17.055758198954099</v>
      </c>
      <c r="BH2257" s="2">
        <v>17.208000152912899</v>
      </c>
      <c r="BI2257" s="2">
        <v>17.175769010086</v>
      </c>
      <c r="BJ2257" s="2">
        <v>16.815779792315801</v>
      </c>
      <c r="BK2257" s="2">
        <v>17.256917586264699</v>
      </c>
      <c r="BL2257" s="2">
        <v>17.212370227456901</v>
      </c>
      <c r="BM2257" s="2">
        <v>17.458655324034599</v>
      </c>
      <c r="BN2257" s="2">
        <v>16.968823252151299</v>
      </c>
      <c r="BO2257" s="2">
        <v>16.202513378498701</v>
      </c>
      <c r="BP2257" s="2">
        <v>16.529568271018999</v>
      </c>
      <c r="BQ2257" s="2">
        <v>17.679775796942099</v>
      </c>
      <c r="BR2257" s="2">
        <v>17.137517832635499</v>
      </c>
      <c r="BS2257" s="2">
        <v>16.7648866187312</v>
      </c>
      <c r="BT2257" s="2">
        <v>17.6548559092153</v>
      </c>
      <c r="BU2257" s="2">
        <v>16.316533981289702</v>
      </c>
      <c r="BV2257" s="2">
        <v>17.534468252718099</v>
      </c>
      <c r="BW2257" s="2">
        <v>17.359504818712399</v>
      </c>
      <c r="BX2257" s="2">
        <v>17.679973192612199</v>
      </c>
      <c r="BY2257" s="2">
        <v>16.174813942628202</v>
      </c>
      <c r="BZ2257" s="2">
        <v>17.614868693989401</v>
      </c>
      <c r="CA2257" s="2">
        <v>16.992116830645099</v>
      </c>
      <c r="CB2257" s="2">
        <v>17.175097078155702</v>
      </c>
      <c r="CC2257" s="2">
        <v>16.554208703253298</v>
      </c>
      <c r="CD2257" s="2">
        <v>16.052721719528002</v>
      </c>
      <c r="CE2257" s="2">
        <v>16.378422549366199</v>
      </c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</row>
    <row r="2258" spans="1:97">
      <c r="A2258" s="2" t="s">
        <v>19547</v>
      </c>
      <c r="B2258" s="2">
        <v>216.01441</v>
      </c>
      <c r="C2258" s="2">
        <v>0.66800000000000004</v>
      </c>
      <c r="D2258" s="2" t="s">
        <v>84</v>
      </c>
      <c r="E2258" s="2" t="s">
        <v>19548</v>
      </c>
      <c r="F2258" s="2" t="s">
        <v>19549</v>
      </c>
      <c r="G2258" s="2">
        <v>202463</v>
      </c>
      <c r="H2258" s="3" t="str">
        <f>HYPERLINK("https://cloud.oebiotech.com/#/lm/network/202463", "https://cloud.oebiotech.com/#/lm/network/202463")</f>
        <v>https://cloud.oebiotech.com/#/lm/network/202463</v>
      </c>
      <c r="I2258" s="2" t="s">
        <v>19550</v>
      </c>
      <c r="J2258" s="2"/>
      <c r="K2258" s="2"/>
      <c r="L2258" s="2">
        <v>11806088</v>
      </c>
      <c r="M2258" s="2"/>
      <c r="N2258" s="2"/>
      <c r="O2258" s="2"/>
      <c r="P2258" s="2"/>
      <c r="Q2258" s="2"/>
      <c r="R2258" s="2"/>
      <c r="S2258" s="2"/>
      <c r="T2258" s="2" t="s">
        <v>19551</v>
      </c>
      <c r="U2258" s="2" t="s">
        <v>19552</v>
      </c>
      <c r="V2258" s="2" t="s">
        <v>553</v>
      </c>
      <c r="W2258" s="2" t="s">
        <v>2447</v>
      </c>
      <c r="X2258" s="2" t="s">
        <v>375</v>
      </c>
      <c r="Y2258" s="2" t="s">
        <v>556</v>
      </c>
      <c r="Z2258" s="2" t="s">
        <v>2449</v>
      </c>
      <c r="AA2258" s="2"/>
      <c r="AB2258" s="2" t="s">
        <v>8443</v>
      </c>
      <c r="AC2258" s="2">
        <v>37.369999999999997</v>
      </c>
      <c r="AD2258" s="2">
        <v>88.82</v>
      </c>
      <c r="AE2258" s="2">
        <v>0</v>
      </c>
      <c r="AF2258" s="2" t="s">
        <v>5614</v>
      </c>
      <c r="AG2258" s="2" t="s">
        <v>103</v>
      </c>
      <c r="AH2258" s="2" t="s">
        <v>19553</v>
      </c>
      <c r="AI2258" s="2">
        <v>1.39</v>
      </c>
      <c r="AJ2258" s="2">
        <v>20.644492943091599</v>
      </c>
      <c r="AK2258" s="2">
        <v>20.6665521439241</v>
      </c>
      <c r="AL2258" s="2">
        <v>21.1563370910091</v>
      </c>
      <c r="AM2258" s="2">
        <v>20.686050734798101</v>
      </c>
      <c r="AN2258" s="2">
        <v>21.227775670520298</v>
      </c>
      <c r="AO2258" s="2">
        <v>21.0158722471819</v>
      </c>
      <c r="AP2258" s="2">
        <v>20.4543685812286</v>
      </c>
      <c r="AQ2258" s="2">
        <v>20.339801517400399</v>
      </c>
      <c r="AR2258" s="2">
        <v>20.391111318414801</v>
      </c>
      <c r="AS2258" s="2">
        <v>19.753032815516701</v>
      </c>
      <c r="AT2258" s="2">
        <v>19.7931904914883</v>
      </c>
      <c r="AU2258" s="2">
        <v>21.081179693578299</v>
      </c>
      <c r="AV2258" s="2">
        <v>20.677406514199799</v>
      </c>
      <c r="AW2258" s="2">
        <v>21.019514778396001</v>
      </c>
      <c r="AX2258" s="2">
        <v>20.479555841684899</v>
      </c>
      <c r="AY2258" s="2">
        <v>21.060950754542201</v>
      </c>
      <c r="AZ2258" s="2">
        <v>20.0028523244039</v>
      </c>
      <c r="BA2258" s="2">
        <v>20.2877048391939</v>
      </c>
      <c r="BB2258" s="2">
        <v>20.9520219339257</v>
      </c>
      <c r="BC2258" s="2">
        <v>20.927511559004898</v>
      </c>
      <c r="BD2258" s="2">
        <v>20.382855117460601</v>
      </c>
      <c r="BE2258" s="2">
        <v>21.045687695980899</v>
      </c>
      <c r="BF2258" s="2">
        <v>20.720243381389899</v>
      </c>
      <c r="BG2258" s="2">
        <v>21.068187069263001</v>
      </c>
      <c r="BH2258" s="2">
        <v>20.619416691497801</v>
      </c>
      <c r="BI2258" s="2">
        <v>21.055866718458699</v>
      </c>
      <c r="BJ2258" s="2">
        <v>21.030975205345499</v>
      </c>
      <c r="BK2258" s="2">
        <v>20.621270670872899</v>
      </c>
      <c r="BL2258" s="2">
        <v>20.029357709786701</v>
      </c>
      <c r="BM2258" s="2">
        <v>21.494406161239901</v>
      </c>
      <c r="BN2258" s="2">
        <v>20.6880220436733</v>
      </c>
      <c r="BO2258" s="2">
        <v>19.8789523453957</v>
      </c>
      <c r="BP2258" s="2">
        <v>20.630783696628701</v>
      </c>
      <c r="BQ2258" s="2">
        <v>20.595900405773701</v>
      </c>
      <c r="BR2258" s="2">
        <v>20.9505165560298</v>
      </c>
      <c r="BS2258" s="2">
        <v>20.123652883561899</v>
      </c>
      <c r="BT2258" s="2">
        <v>20.245398556594999</v>
      </c>
      <c r="BU2258" s="2">
        <v>20.8413083231159</v>
      </c>
      <c r="BV2258" s="2">
        <v>20.6324902624097</v>
      </c>
      <c r="BW2258" s="2">
        <v>20.347196500555601</v>
      </c>
      <c r="BX2258" s="2">
        <v>20.749136712785901</v>
      </c>
      <c r="BY2258" s="2">
        <v>20.7937833729891</v>
      </c>
      <c r="BZ2258" s="2">
        <v>21.291935233968498</v>
      </c>
      <c r="CA2258" s="2">
        <v>20.437692983400002</v>
      </c>
      <c r="CB2258" s="2">
        <v>20.0819591547314</v>
      </c>
      <c r="CC2258" s="2">
        <v>20.423538697458198</v>
      </c>
      <c r="CD2258" s="2">
        <v>20.843479408843098</v>
      </c>
      <c r="CE2258" s="2">
        <v>20.445907673307602</v>
      </c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</row>
    <row r="2259" spans="1:97">
      <c r="A2259" s="2" t="s">
        <v>19554</v>
      </c>
      <c r="B2259" s="2">
        <v>232.16924</v>
      </c>
      <c r="C2259" s="2">
        <v>11.683999999999999</v>
      </c>
      <c r="D2259" s="2" t="s">
        <v>84</v>
      </c>
      <c r="E2259" s="2" t="s">
        <v>19555</v>
      </c>
      <c r="F2259" s="2" t="s">
        <v>19556</v>
      </c>
      <c r="G2259" s="2">
        <v>35609</v>
      </c>
      <c r="H2259" s="3" t="str">
        <f>HYPERLINK("https://cloud.oebiotech.com/#/lm/network/35609", "https://cloud.oebiotech.com/#/lm/network/35609")</f>
        <v>https://cloud.oebiotech.com/#/lm/network/35609</v>
      </c>
      <c r="I2259" s="2"/>
      <c r="J2259" s="2"/>
      <c r="K2259" s="2" t="s">
        <v>19557</v>
      </c>
      <c r="L2259" s="2">
        <v>42608143</v>
      </c>
      <c r="M2259" s="2"/>
      <c r="N2259" s="2"/>
      <c r="O2259" s="2"/>
      <c r="P2259" s="2">
        <v>137841</v>
      </c>
      <c r="Q2259" s="2"/>
      <c r="R2259" s="2"/>
      <c r="S2259" s="2"/>
      <c r="T2259" s="2" t="s">
        <v>19558</v>
      </c>
      <c r="U2259" s="2" t="s">
        <v>19559</v>
      </c>
      <c r="V2259" s="2" t="s">
        <v>553</v>
      </c>
      <c r="W2259" s="2" t="s">
        <v>9377</v>
      </c>
      <c r="X2259" s="2" t="s">
        <v>375</v>
      </c>
      <c r="Y2259" s="2" t="s">
        <v>556</v>
      </c>
      <c r="Z2259" s="2" t="s">
        <v>9378</v>
      </c>
      <c r="AA2259" s="2"/>
      <c r="AB2259" s="2" t="s">
        <v>8443</v>
      </c>
      <c r="AC2259" s="2">
        <v>37.369999999999997</v>
      </c>
      <c r="AD2259" s="2">
        <v>90.47</v>
      </c>
      <c r="AE2259" s="2">
        <v>0</v>
      </c>
      <c r="AF2259" s="2" t="s">
        <v>5614</v>
      </c>
      <c r="AG2259" s="2" t="s">
        <v>132</v>
      </c>
      <c r="AH2259" s="2" t="s">
        <v>19560</v>
      </c>
      <c r="AI2259" s="2">
        <v>1.72</v>
      </c>
      <c r="AJ2259" s="2">
        <v>18.900295950522501</v>
      </c>
      <c r="AK2259" s="2">
        <v>18.921729674689701</v>
      </c>
      <c r="AL2259" s="2">
        <v>19.7168546871324</v>
      </c>
      <c r="AM2259" s="2">
        <v>19.316728525574302</v>
      </c>
      <c r="AN2259" s="2">
        <v>19.332841474079501</v>
      </c>
      <c r="AO2259" s="2">
        <v>19.489638964422799</v>
      </c>
      <c r="AP2259" s="2">
        <v>19.386802654451198</v>
      </c>
      <c r="AQ2259" s="2">
        <v>18.919994382028399</v>
      </c>
      <c r="AR2259" s="2">
        <v>19.458686499972799</v>
      </c>
      <c r="AS2259" s="2">
        <v>19.535422200464001</v>
      </c>
      <c r="AT2259" s="2">
        <v>19.821884213036199</v>
      </c>
      <c r="AU2259" s="2">
        <v>19.169744379306699</v>
      </c>
      <c r="AV2259" s="2">
        <v>19.107873569894998</v>
      </c>
      <c r="AW2259" s="2">
        <v>19.450833703524701</v>
      </c>
      <c r="AX2259" s="2">
        <v>19.531741518174101</v>
      </c>
      <c r="AY2259" s="2">
        <v>19.656267154162599</v>
      </c>
      <c r="AZ2259" s="2">
        <v>19.402049917246</v>
      </c>
      <c r="BA2259" s="2">
        <v>19.912019147749</v>
      </c>
      <c r="BB2259" s="2">
        <v>19.210372035317199</v>
      </c>
      <c r="BC2259" s="2">
        <v>19.427579698718901</v>
      </c>
      <c r="BD2259" s="2">
        <v>19.413315751480901</v>
      </c>
      <c r="BE2259" s="2">
        <v>19.214287171559999</v>
      </c>
      <c r="BF2259" s="2">
        <v>18.521891080986901</v>
      </c>
      <c r="BG2259" s="2">
        <v>19.451165563975</v>
      </c>
      <c r="BH2259" s="2">
        <v>19.759844989864501</v>
      </c>
      <c r="BI2259" s="2">
        <v>19.4279825470337</v>
      </c>
      <c r="BJ2259" s="2">
        <v>18.959044168654</v>
      </c>
      <c r="BK2259" s="2">
        <v>19.509978012047402</v>
      </c>
      <c r="BL2259" s="2">
        <v>19.383732280020698</v>
      </c>
      <c r="BM2259" s="2">
        <v>19.520618565467199</v>
      </c>
      <c r="BN2259" s="2">
        <v>19.7939686991824</v>
      </c>
      <c r="BO2259" s="2">
        <v>19.388952710895001</v>
      </c>
      <c r="BP2259" s="2">
        <v>19.107093093768398</v>
      </c>
      <c r="BQ2259" s="2">
        <v>19.3474749585253</v>
      </c>
      <c r="BR2259" s="2">
        <v>19.549481637233001</v>
      </c>
      <c r="BS2259" s="2">
        <v>19.342767762544099</v>
      </c>
      <c r="BT2259" s="2">
        <v>19.602999220050702</v>
      </c>
      <c r="BU2259" s="2">
        <v>19.216732621748601</v>
      </c>
      <c r="BV2259" s="2">
        <v>19.923278587248401</v>
      </c>
      <c r="BW2259" s="2">
        <v>19.572220442327701</v>
      </c>
      <c r="BX2259" s="2">
        <v>19.0875089140598</v>
      </c>
      <c r="BY2259" s="2">
        <v>19.547607181804999</v>
      </c>
      <c r="BZ2259" s="2">
        <v>19.808641698122901</v>
      </c>
      <c r="CA2259" s="2">
        <v>19.089476085166901</v>
      </c>
      <c r="CB2259" s="2">
        <v>18.6837060135658</v>
      </c>
      <c r="CC2259" s="2">
        <v>19.099863777302101</v>
      </c>
      <c r="CD2259" s="2">
        <v>19.422097235810998</v>
      </c>
      <c r="CE2259" s="2">
        <v>19.551010316149</v>
      </c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</row>
    <row r="2260" spans="1:97">
      <c r="A2260" s="2" t="s">
        <v>19561</v>
      </c>
      <c r="B2260" s="2">
        <v>304.14965999999998</v>
      </c>
      <c r="C2260" s="2">
        <v>3.617</v>
      </c>
      <c r="D2260" s="2" t="s">
        <v>84</v>
      </c>
      <c r="E2260" s="2" t="s">
        <v>19562</v>
      </c>
      <c r="F2260" s="2" t="s">
        <v>19563</v>
      </c>
      <c r="G2260" s="2">
        <v>209695</v>
      </c>
      <c r="H2260" s="3" t="str">
        <f>HYPERLINK("https://cloud.oebiotech.com/#/lm/network/209695", "https://cloud.oebiotech.com/#/lm/network/209695")</f>
        <v>https://cloud.oebiotech.com/#/lm/network/209695</v>
      </c>
      <c r="I2260" s="2" t="s">
        <v>19564</v>
      </c>
      <c r="J2260" s="2"/>
      <c r="K2260" s="2"/>
      <c r="L2260" s="2">
        <v>124326</v>
      </c>
      <c r="M2260" s="2"/>
      <c r="N2260" s="2"/>
      <c r="O2260" s="2"/>
      <c r="P2260" s="2"/>
      <c r="Q2260" s="2"/>
      <c r="R2260" s="2"/>
      <c r="S2260" s="2"/>
      <c r="T2260" s="2" t="s">
        <v>19565</v>
      </c>
      <c r="U2260" s="2" t="s">
        <v>19566</v>
      </c>
      <c r="V2260" s="2" t="s">
        <v>115</v>
      </c>
      <c r="W2260" s="2" t="s">
        <v>116</v>
      </c>
      <c r="X2260" s="2" t="s">
        <v>117</v>
      </c>
      <c r="Y2260" s="2" t="s">
        <v>118</v>
      </c>
      <c r="Z2260" s="2" t="s">
        <v>119</v>
      </c>
      <c r="AA2260" s="2" t="s">
        <v>120</v>
      </c>
      <c r="AB2260" s="2" t="s">
        <v>8443</v>
      </c>
      <c r="AC2260" s="2">
        <v>37.369999999999997</v>
      </c>
      <c r="AD2260" s="2">
        <v>91.68</v>
      </c>
      <c r="AE2260" s="2">
        <v>0</v>
      </c>
      <c r="AF2260" s="2" t="s">
        <v>5614</v>
      </c>
      <c r="AG2260" s="2" t="s">
        <v>103</v>
      </c>
      <c r="AH2260" s="2" t="s">
        <v>19567</v>
      </c>
      <c r="AI2260" s="2">
        <v>1.97</v>
      </c>
      <c r="AJ2260" s="2">
        <v>19.199365856514699</v>
      </c>
      <c r="AK2260" s="2">
        <v>18.564168994585799</v>
      </c>
      <c r="AL2260" s="2">
        <v>18.7840885688009</v>
      </c>
      <c r="AM2260" s="2">
        <v>19.160968517265399</v>
      </c>
      <c r="AN2260" s="2">
        <v>19.096836429031001</v>
      </c>
      <c r="AO2260" s="2">
        <v>19.2123151249838</v>
      </c>
      <c r="AP2260" s="2">
        <v>18.591660032409301</v>
      </c>
      <c r="AQ2260" s="2">
        <v>19.430804545423499</v>
      </c>
      <c r="AR2260" s="2">
        <v>18.282986810451799</v>
      </c>
      <c r="AS2260" s="2">
        <v>17.353200767000601</v>
      </c>
      <c r="AT2260" s="2">
        <v>13.5747779913036</v>
      </c>
      <c r="AU2260" s="2">
        <v>17.948249097421598</v>
      </c>
      <c r="AV2260" s="2">
        <v>19.689966689126798</v>
      </c>
      <c r="AW2260" s="2">
        <v>19.8309337567059</v>
      </c>
      <c r="AX2260" s="2">
        <v>19.103169534334601</v>
      </c>
      <c r="AY2260" s="2">
        <v>17.828292894151801</v>
      </c>
      <c r="AZ2260" s="2">
        <v>19.021954463739899</v>
      </c>
      <c r="BA2260" s="2">
        <v>17.237654011197499</v>
      </c>
      <c r="BB2260" s="2">
        <v>17.965965624539901</v>
      </c>
      <c r="BC2260" s="2">
        <v>16.7879237243395</v>
      </c>
      <c r="BD2260" s="2">
        <v>20.097161231446002</v>
      </c>
      <c r="BE2260" s="2">
        <v>16.7082967786259</v>
      </c>
      <c r="BF2260" s="2">
        <v>18.826736594893401</v>
      </c>
      <c r="BG2260" s="2">
        <v>17.724574537015702</v>
      </c>
      <c r="BH2260" s="2">
        <v>19.5589268503075</v>
      </c>
      <c r="BI2260" s="2">
        <v>17.5108910872381</v>
      </c>
      <c r="BJ2260" s="2">
        <v>19.007967146297101</v>
      </c>
      <c r="BK2260" s="2">
        <v>19.145756254911198</v>
      </c>
      <c r="BL2260" s="2">
        <v>18.276267058873099</v>
      </c>
      <c r="BM2260" s="2">
        <v>19.592431396120102</v>
      </c>
      <c r="BN2260" s="2">
        <v>19.291820774874498</v>
      </c>
      <c r="BO2260" s="2">
        <v>17.965467195040802</v>
      </c>
      <c r="BP2260" s="2">
        <v>18.377150529840499</v>
      </c>
      <c r="BQ2260" s="2">
        <v>19.847309301312301</v>
      </c>
      <c r="BR2260" s="2">
        <v>19.732883384047199</v>
      </c>
      <c r="BS2260" s="2">
        <v>19.3753392119594</v>
      </c>
      <c r="BT2260" s="2">
        <v>19.445542301919701</v>
      </c>
      <c r="BU2260" s="2">
        <v>18.235512140736599</v>
      </c>
      <c r="BV2260" s="2">
        <v>17.6161566008218</v>
      </c>
      <c r="BW2260" s="2">
        <v>16.2936627501653</v>
      </c>
      <c r="BX2260" s="2">
        <v>19.918463353409599</v>
      </c>
      <c r="BY2260" s="2">
        <v>18.256287205923599</v>
      </c>
      <c r="BZ2260" s="2">
        <v>18.305702813933699</v>
      </c>
      <c r="CA2260" s="2">
        <v>18.653179635512199</v>
      </c>
      <c r="CB2260" s="2">
        <v>18.522371687414299</v>
      </c>
      <c r="CC2260" s="2">
        <v>19.508718710045098</v>
      </c>
      <c r="CD2260" s="2">
        <v>19.124193319550201</v>
      </c>
      <c r="CE2260" s="2">
        <v>18.998595057150499</v>
      </c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</row>
    <row r="2261" spans="1:97">
      <c r="A2261" s="2" t="s">
        <v>19568</v>
      </c>
      <c r="B2261" s="2">
        <v>496.30327</v>
      </c>
      <c r="C2261" s="2">
        <v>10.771000000000001</v>
      </c>
      <c r="D2261" s="2" t="s">
        <v>146</v>
      </c>
      <c r="E2261" s="2" t="s">
        <v>19569</v>
      </c>
      <c r="F2261" s="2" t="s">
        <v>19570</v>
      </c>
      <c r="G2261" s="2">
        <v>199037</v>
      </c>
      <c r="H2261" s="3" t="str">
        <f>HYPERLINK("https://cloud.oebiotech.com/#/lm/network/199037", "https://cloud.oebiotech.com/#/lm/network/199037")</f>
        <v>https://cloud.oebiotech.com/#/lm/network/199037</v>
      </c>
      <c r="I2261" s="2" t="s">
        <v>19571</v>
      </c>
      <c r="J2261" s="2"/>
      <c r="K2261" s="2"/>
      <c r="L2261" s="2">
        <v>4982</v>
      </c>
      <c r="M2261" s="2"/>
      <c r="N2261" s="2"/>
      <c r="O2261" s="2"/>
      <c r="P2261" s="2"/>
      <c r="Q2261" s="2"/>
      <c r="R2261" s="2"/>
      <c r="S2261" s="2"/>
      <c r="T2261" s="2" t="s">
        <v>19572</v>
      </c>
      <c r="U2261" s="2" t="s">
        <v>19573</v>
      </c>
      <c r="V2261" s="2" t="s">
        <v>95</v>
      </c>
      <c r="W2261" s="2" t="s">
        <v>2361</v>
      </c>
      <c r="X2261" s="2" t="s">
        <v>12383</v>
      </c>
      <c r="Y2261" s="2" t="s">
        <v>98</v>
      </c>
      <c r="Z2261" s="2" t="s">
        <v>2363</v>
      </c>
      <c r="AA2261" s="2" t="s">
        <v>12384</v>
      </c>
      <c r="AB2261" s="2" t="s">
        <v>8443</v>
      </c>
      <c r="AC2261" s="2">
        <v>37.369999999999997</v>
      </c>
      <c r="AD2261" s="2">
        <v>61.95</v>
      </c>
      <c r="AE2261" s="2">
        <v>42.48</v>
      </c>
      <c r="AF2261" s="2" t="s">
        <v>19574</v>
      </c>
      <c r="AG2261" s="2" t="s">
        <v>4062</v>
      </c>
      <c r="AH2261" s="2" t="s">
        <v>19575</v>
      </c>
      <c r="AI2261" s="2">
        <v>2.82</v>
      </c>
      <c r="AJ2261" s="2">
        <v>18.2368869206203</v>
      </c>
      <c r="AK2261" s="2">
        <v>17.945950030552201</v>
      </c>
      <c r="AL2261" s="2">
        <v>17.9831638555846</v>
      </c>
      <c r="AM2261" s="2">
        <v>17.6358604360613</v>
      </c>
      <c r="AN2261" s="2">
        <v>17.667328836641499</v>
      </c>
      <c r="AO2261" s="2">
        <v>17.545280576136701</v>
      </c>
      <c r="AP2261" s="2">
        <v>17.709769137270399</v>
      </c>
      <c r="AQ2261" s="2">
        <v>17.628747043171799</v>
      </c>
      <c r="AR2261" s="2">
        <v>18.338708792159998</v>
      </c>
      <c r="AS2261" s="2">
        <v>16.694368906557202</v>
      </c>
      <c r="AT2261" s="2">
        <v>18.1452497523752</v>
      </c>
      <c r="AU2261" s="2">
        <v>18.058368873164099</v>
      </c>
      <c r="AV2261" s="2">
        <v>17.1795977421089</v>
      </c>
      <c r="AW2261" s="2">
        <v>17.204366053781602</v>
      </c>
      <c r="AX2261" s="2">
        <v>17.401594704165401</v>
      </c>
      <c r="AY2261" s="2">
        <v>18.352873640274201</v>
      </c>
      <c r="AZ2261" s="2">
        <v>18.070337437335599</v>
      </c>
      <c r="BA2261" s="2">
        <v>16.160491505582101</v>
      </c>
      <c r="BB2261" s="2">
        <v>17.2780304081483</v>
      </c>
      <c r="BC2261" s="2">
        <v>18.2466089113097</v>
      </c>
      <c r="BD2261" s="2">
        <v>18.071601096706999</v>
      </c>
      <c r="BE2261" s="2">
        <v>18.092015661791599</v>
      </c>
      <c r="BF2261" s="2">
        <v>16.493526659646701</v>
      </c>
      <c r="BG2261" s="2">
        <v>18.059650025108802</v>
      </c>
      <c r="BH2261" s="2">
        <v>17.637460786748498</v>
      </c>
      <c r="BI2261" s="2">
        <v>18.206705763507799</v>
      </c>
      <c r="BJ2261" s="2">
        <v>18.443372412323601</v>
      </c>
      <c r="BK2261" s="2">
        <v>18.2299197340894</v>
      </c>
      <c r="BL2261" s="2">
        <v>17.7008139715768</v>
      </c>
      <c r="BM2261" s="2">
        <v>17.1460525112896</v>
      </c>
      <c r="BN2261" s="2">
        <v>18.182215819322501</v>
      </c>
      <c r="BO2261" s="2">
        <v>17.259658590393101</v>
      </c>
      <c r="BP2261" s="2">
        <v>17.491807776584199</v>
      </c>
      <c r="BQ2261" s="2">
        <v>17.525617305673901</v>
      </c>
      <c r="BR2261" s="2">
        <v>18.0420943689961</v>
      </c>
      <c r="BS2261" s="2">
        <v>18.418635961771201</v>
      </c>
      <c r="BT2261" s="2">
        <v>18.174030789394202</v>
      </c>
      <c r="BU2261" s="2">
        <v>17.074311355015901</v>
      </c>
      <c r="BV2261" s="2">
        <v>17.5906457429959</v>
      </c>
      <c r="BW2261" s="2">
        <v>17.429364321183701</v>
      </c>
      <c r="BX2261" s="2">
        <v>17.657327452439201</v>
      </c>
      <c r="BY2261" s="2">
        <v>17.253294903629602</v>
      </c>
      <c r="BZ2261" s="2">
        <v>17.465349974754599</v>
      </c>
      <c r="CA2261" s="2">
        <v>17.220935726253099</v>
      </c>
      <c r="CB2261" s="2">
        <v>16.639366995763599</v>
      </c>
      <c r="CC2261" s="2">
        <v>18.030898195921299</v>
      </c>
      <c r="CD2261" s="2">
        <v>17.515303064148501</v>
      </c>
      <c r="CE2261" s="2">
        <v>17.2477080077796</v>
      </c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</row>
    <row r="2262" spans="1:97">
      <c r="A2262" s="2" t="s">
        <v>19576</v>
      </c>
      <c r="B2262" s="2">
        <v>247.01629</v>
      </c>
      <c r="C2262" s="2">
        <v>1.038</v>
      </c>
      <c r="D2262" s="2" t="s">
        <v>84</v>
      </c>
      <c r="E2262" s="2" t="s">
        <v>19577</v>
      </c>
      <c r="F2262" s="2" t="s">
        <v>19578</v>
      </c>
      <c r="G2262" s="2">
        <v>54047</v>
      </c>
      <c r="H2262" s="3" t="str">
        <f>HYPERLINK("https://cloud.oebiotech.com/#/lm/network/54047", "https://cloud.oebiotech.com/#/lm/network/54047")</f>
        <v>https://cloud.oebiotech.com/#/lm/network/54047</v>
      </c>
      <c r="I2262" s="2" t="s">
        <v>19579</v>
      </c>
      <c r="J2262" s="2">
        <v>24004</v>
      </c>
      <c r="K2262" s="2"/>
      <c r="L2262" s="2">
        <v>46937961</v>
      </c>
      <c r="M2262" s="2"/>
      <c r="N2262" s="2"/>
      <c r="O2262" s="2"/>
      <c r="P2262" s="2">
        <v>157887</v>
      </c>
      <c r="Q2262" s="2"/>
      <c r="R2262" s="2"/>
      <c r="S2262" s="2" t="s">
        <v>19580</v>
      </c>
      <c r="T2262" s="2" t="s">
        <v>19581</v>
      </c>
      <c r="U2262" s="2" t="s">
        <v>19582</v>
      </c>
      <c r="V2262" s="2" t="s">
        <v>115</v>
      </c>
      <c r="W2262" s="2" t="s">
        <v>116</v>
      </c>
      <c r="X2262" s="2" t="s">
        <v>117</v>
      </c>
      <c r="Y2262" s="2" t="s">
        <v>118</v>
      </c>
      <c r="Z2262" s="2" t="s">
        <v>119</v>
      </c>
      <c r="AA2262" s="2" t="s">
        <v>120</v>
      </c>
      <c r="AB2262" s="2" t="s">
        <v>8443</v>
      </c>
      <c r="AC2262" s="2">
        <v>37.35</v>
      </c>
      <c r="AD2262" s="2">
        <v>74.55</v>
      </c>
      <c r="AE2262" s="2">
        <v>0</v>
      </c>
      <c r="AF2262" s="2" t="s">
        <v>5614</v>
      </c>
      <c r="AG2262" s="2" t="s">
        <v>3544</v>
      </c>
      <c r="AH2262" s="2" t="s">
        <v>9758</v>
      </c>
      <c r="AI2262" s="2">
        <v>-5.67</v>
      </c>
      <c r="AJ2262" s="2">
        <v>18.2546379961124</v>
      </c>
      <c r="AK2262" s="2">
        <v>18.498334712264999</v>
      </c>
      <c r="AL2262" s="2">
        <v>17.735582003294098</v>
      </c>
      <c r="AM2262" s="2">
        <v>18.917543641074701</v>
      </c>
      <c r="AN2262" s="2">
        <v>18.5727697900873</v>
      </c>
      <c r="AO2262" s="2">
        <v>18.223756159175799</v>
      </c>
      <c r="AP2262" s="2">
        <v>18.722007264428001</v>
      </c>
      <c r="AQ2262" s="2">
        <v>18.061555462904298</v>
      </c>
      <c r="AR2262" s="2">
        <v>19.126852914477201</v>
      </c>
      <c r="AS2262" s="2">
        <v>19.2714766151154</v>
      </c>
      <c r="AT2262" s="2">
        <v>19.249117481392499</v>
      </c>
      <c r="AU2262" s="2">
        <v>18.2558229973226</v>
      </c>
      <c r="AV2262" s="2">
        <v>18.5633714732197</v>
      </c>
      <c r="AW2262" s="2">
        <v>18.712613310764301</v>
      </c>
      <c r="AX2262" s="2">
        <v>19.152710192594</v>
      </c>
      <c r="AY2262" s="2">
        <v>18.616334570137099</v>
      </c>
      <c r="AZ2262" s="2">
        <v>19.0765825648235</v>
      </c>
      <c r="BA2262" s="2">
        <v>18.095139640644799</v>
      </c>
      <c r="BB2262" s="2">
        <v>18.6740628245498</v>
      </c>
      <c r="BC2262" s="2">
        <v>17.013674339825101</v>
      </c>
      <c r="BD2262" s="2">
        <v>19.1246114083728</v>
      </c>
      <c r="BE2262" s="2">
        <v>16.936510731488099</v>
      </c>
      <c r="BF2262" s="2">
        <v>19.283151378192901</v>
      </c>
      <c r="BG2262" s="2">
        <v>19.167930716253</v>
      </c>
      <c r="BH2262" s="2">
        <v>17.839266232819899</v>
      </c>
      <c r="BI2262" s="2">
        <v>19.165066337516102</v>
      </c>
      <c r="BJ2262" s="2">
        <v>19.295651421937201</v>
      </c>
      <c r="BK2262" s="2">
        <v>18.549326685155702</v>
      </c>
      <c r="BL2262" s="2">
        <v>18.833930049026399</v>
      </c>
      <c r="BM2262" s="2">
        <v>9.6233145402724691</v>
      </c>
      <c r="BN2262" s="2">
        <v>18.265801267819398</v>
      </c>
      <c r="BO2262" s="2">
        <v>17.872172554618398</v>
      </c>
      <c r="BP2262" s="2">
        <v>19.003776662005301</v>
      </c>
      <c r="BQ2262" s="2">
        <v>18.315602766185101</v>
      </c>
      <c r="BR2262" s="2">
        <v>18.9187767223472</v>
      </c>
      <c r="BS2262" s="2">
        <v>18.5983940454127</v>
      </c>
      <c r="BT2262" s="2">
        <v>18.071459010566102</v>
      </c>
      <c r="BU2262" s="2">
        <v>20.056072887663401</v>
      </c>
      <c r="BV2262" s="2">
        <v>18.579090830420402</v>
      </c>
      <c r="BW2262" s="2">
        <v>17.9796425612648</v>
      </c>
      <c r="BX2262" s="2">
        <v>16.556405913934899</v>
      </c>
      <c r="BY2262" s="2">
        <v>18.596369768708598</v>
      </c>
      <c r="BZ2262" s="2">
        <v>17.316448422107499</v>
      </c>
      <c r="CA2262" s="2">
        <v>19.074349983111201</v>
      </c>
      <c r="CB2262" s="2">
        <v>18.189934659762301</v>
      </c>
      <c r="CC2262" s="2">
        <v>18.938066700090999</v>
      </c>
      <c r="CD2262" s="2">
        <v>19.279372264245598</v>
      </c>
      <c r="CE2262" s="2">
        <v>19.316130469600601</v>
      </c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</row>
    <row r="2263" spans="1:97">
      <c r="A2263" s="2" t="s">
        <v>19583</v>
      </c>
      <c r="B2263" s="2">
        <v>301.06544000000002</v>
      </c>
      <c r="C2263" s="2">
        <v>4.9550000000000001</v>
      </c>
      <c r="D2263" s="2" t="s">
        <v>84</v>
      </c>
      <c r="E2263" s="2" t="s">
        <v>19584</v>
      </c>
      <c r="F2263" s="2" t="s">
        <v>19585</v>
      </c>
      <c r="G2263" s="2">
        <v>203961</v>
      </c>
      <c r="H2263" s="3" t="str">
        <f>HYPERLINK("https://cloud.oebiotech.com/#/lm/network/203961", "https://cloud.oebiotech.com/#/lm/network/203961")</f>
        <v>https://cloud.oebiotech.com/#/lm/network/203961</v>
      </c>
      <c r="I2263" s="2" t="s">
        <v>19586</v>
      </c>
      <c r="J2263" s="2"/>
      <c r="K2263" s="2"/>
      <c r="L2263" s="2">
        <v>53437714</v>
      </c>
      <c r="M2263" s="2"/>
      <c r="N2263" s="2"/>
      <c r="O2263" s="2"/>
      <c r="P2263" s="2"/>
      <c r="Q2263" s="2"/>
      <c r="R2263" s="2"/>
      <c r="S2263" s="2"/>
      <c r="T2263" s="2" t="s">
        <v>19587</v>
      </c>
      <c r="U2263" s="2" t="s">
        <v>19588</v>
      </c>
      <c r="V2263" s="2" t="s">
        <v>845</v>
      </c>
      <c r="W2263" s="2" t="s">
        <v>970</v>
      </c>
      <c r="X2263" s="2" t="s">
        <v>375</v>
      </c>
      <c r="Y2263" s="2" t="s">
        <v>847</v>
      </c>
      <c r="Z2263" s="2" t="s">
        <v>972</v>
      </c>
      <c r="AA2263" s="2"/>
      <c r="AB2263" s="2" t="s">
        <v>8443</v>
      </c>
      <c r="AC2263" s="2">
        <v>37.340000000000003</v>
      </c>
      <c r="AD2263" s="2">
        <v>93.35</v>
      </c>
      <c r="AE2263" s="2">
        <v>0</v>
      </c>
      <c r="AF2263" s="2" t="s">
        <v>5614</v>
      </c>
      <c r="AG2263" s="2" t="s">
        <v>1088</v>
      </c>
      <c r="AH2263" s="2" t="s">
        <v>19589</v>
      </c>
      <c r="AI2263" s="2">
        <v>-2.33</v>
      </c>
      <c r="AJ2263" s="2">
        <v>21.271148896259799</v>
      </c>
      <c r="AK2263" s="2">
        <v>21.483104524921401</v>
      </c>
      <c r="AL2263" s="2">
        <v>21.4377458151274</v>
      </c>
      <c r="AM2263" s="2">
        <v>21.5202462570508</v>
      </c>
      <c r="AN2263" s="2">
        <v>21.6021671293136</v>
      </c>
      <c r="AO2263" s="2">
        <v>21.476999805103699</v>
      </c>
      <c r="AP2263" s="2">
        <v>21.4640783107081</v>
      </c>
      <c r="AQ2263" s="2">
        <v>21.416728225855799</v>
      </c>
      <c r="AR2263" s="2">
        <v>20.339947577699999</v>
      </c>
      <c r="AS2263" s="2">
        <v>20.240565753703301</v>
      </c>
      <c r="AT2263" s="2">
        <v>20.382181865411301</v>
      </c>
      <c r="AU2263" s="2">
        <v>22.0137566896165</v>
      </c>
      <c r="AV2263" s="2">
        <v>20.522987885202401</v>
      </c>
      <c r="AW2263" s="2">
        <v>20.966451151548402</v>
      </c>
      <c r="AX2263" s="2">
        <v>19.920657688380199</v>
      </c>
      <c r="AY2263" s="2">
        <v>19.495682418775299</v>
      </c>
      <c r="AZ2263" s="2">
        <v>20.355877782283201</v>
      </c>
      <c r="BA2263" s="2">
        <v>21.990932489931801</v>
      </c>
      <c r="BB2263" s="2">
        <v>22.262055739189702</v>
      </c>
      <c r="BC2263" s="2">
        <v>21.679758734827299</v>
      </c>
      <c r="BD2263" s="2">
        <v>21.963678869343799</v>
      </c>
      <c r="BE2263" s="2">
        <v>20.651071580108098</v>
      </c>
      <c r="BF2263" s="2">
        <v>20.971169850154499</v>
      </c>
      <c r="BG2263" s="2">
        <v>21.3318410076639</v>
      </c>
      <c r="BH2263" s="2">
        <v>21.713855980526102</v>
      </c>
      <c r="BI2263" s="2">
        <v>19.912755369312301</v>
      </c>
      <c r="BJ2263" s="2">
        <v>22.282853038688401</v>
      </c>
      <c r="BK2263" s="2">
        <v>22.592917797629401</v>
      </c>
      <c r="BL2263" s="2">
        <v>21.4854642058867</v>
      </c>
      <c r="BM2263" s="2">
        <v>21.241759648349898</v>
      </c>
      <c r="BN2263" s="2">
        <v>21.643869076583599</v>
      </c>
      <c r="BO2263" s="2">
        <v>21.800505706628499</v>
      </c>
      <c r="BP2263" s="2">
        <v>20.066102911219801</v>
      </c>
      <c r="BQ2263" s="2">
        <v>20.574567160218798</v>
      </c>
      <c r="BR2263" s="2">
        <v>20.198159124011099</v>
      </c>
      <c r="BS2263" s="2">
        <v>20.567239028825199</v>
      </c>
      <c r="BT2263" s="2">
        <v>22.8272611251858</v>
      </c>
      <c r="BU2263" s="2">
        <v>22.156999910204</v>
      </c>
      <c r="BV2263" s="2">
        <v>21.799692589642699</v>
      </c>
      <c r="BW2263" s="2">
        <v>20.802505620976401</v>
      </c>
      <c r="BX2263" s="2">
        <v>21.952453122687999</v>
      </c>
      <c r="BY2263" s="2">
        <v>21.092694391414199</v>
      </c>
      <c r="BZ2263" s="2">
        <v>20.1218379756973</v>
      </c>
      <c r="CA2263" s="2">
        <v>20.869155404272899</v>
      </c>
      <c r="CB2263" s="2">
        <v>21.2138339474422</v>
      </c>
      <c r="CC2263" s="2">
        <v>20.219116194680499</v>
      </c>
      <c r="CD2263" s="2">
        <v>22.2158235745855</v>
      </c>
      <c r="CE2263" s="2">
        <v>22.454781918108502</v>
      </c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</row>
    <row r="2264" spans="1:97">
      <c r="A2264" s="2" t="s">
        <v>19590</v>
      </c>
      <c r="B2264" s="2">
        <v>242.28380999999999</v>
      </c>
      <c r="C2264" s="2">
        <v>9.59</v>
      </c>
      <c r="D2264" s="2" t="s">
        <v>84</v>
      </c>
      <c r="E2264" s="2" t="s">
        <v>19591</v>
      </c>
      <c r="F2264" s="2" t="s">
        <v>19592</v>
      </c>
      <c r="G2264" s="2">
        <v>199424</v>
      </c>
      <c r="H2264" s="3" t="str">
        <f>HYPERLINK("https://cloud.oebiotech.com/#/lm/network/199424", "https://cloud.oebiotech.com/#/lm/network/199424")</f>
        <v>https://cloud.oebiotech.com/#/lm/network/199424</v>
      </c>
      <c r="I2264" s="2" t="s">
        <v>19593</v>
      </c>
      <c r="J2264" s="2"/>
      <c r="K2264" s="2"/>
      <c r="L2264" s="2"/>
      <c r="M2264" s="2"/>
      <c r="N2264" s="2"/>
      <c r="O2264" s="2"/>
      <c r="P2264" s="2">
        <v>77507</v>
      </c>
      <c r="Q2264" s="2"/>
      <c r="R2264" s="2"/>
      <c r="S2264" s="2"/>
      <c r="T2264" s="2" t="s">
        <v>19594</v>
      </c>
      <c r="U2264" s="2" t="s">
        <v>19595</v>
      </c>
      <c r="V2264" s="2" t="s">
        <v>10755</v>
      </c>
      <c r="W2264" s="2" t="s">
        <v>10756</v>
      </c>
      <c r="X2264" s="2" t="s">
        <v>16890</v>
      </c>
      <c r="Y2264" s="2" t="s">
        <v>10758</v>
      </c>
      <c r="Z2264" s="2" t="s">
        <v>10759</v>
      </c>
      <c r="AA2264" s="2" t="s">
        <v>16891</v>
      </c>
      <c r="AB2264" s="2" t="s">
        <v>8443</v>
      </c>
      <c r="AC2264" s="2">
        <v>37.33</v>
      </c>
      <c r="AD2264" s="2">
        <v>89.92</v>
      </c>
      <c r="AE2264" s="2">
        <v>0</v>
      </c>
      <c r="AF2264" s="2" t="s">
        <v>5614</v>
      </c>
      <c r="AG2264" s="2" t="s">
        <v>132</v>
      </c>
      <c r="AH2264" s="2" t="s">
        <v>19596</v>
      </c>
      <c r="AI2264" s="2">
        <v>1.65</v>
      </c>
      <c r="AJ2264" s="2">
        <v>19.993152486907501</v>
      </c>
      <c r="AK2264" s="2">
        <v>19.923073095245901</v>
      </c>
      <c r="AL2264" s="2">
        <v>20.038742707579399</v>
      </c>
      <c r="AM2264" s="2">
        <v>20.03064091141</v>
      </c>
      <c r="AN2264" s="2">
        <v>19.699808885465</v>
      </c>
      <c r="AO2264" s="2">
        <v>20.251792250455399</v>
      </c>
      <c r="AP2264" s="2">
        <v>20.1080077231818</v>
      </c>
      <c r="AQ2264" s="2">
        <v>19.586289504579501</v>
      </c>
      <c r="AR2264" s="2">
        <v>19.985627629319801</v>
      </c>
      <c r="AS2264" s="2">
        <v>19.790014319956999</v>
      </c>
      <c r="AT2264" s="2">
        <v>20.2342126192734</v>
      </c>
      <c r="AU2264" s="2">
        <v>20.144104179531599</v>
      </c>
      <c r="AV2264" s="2">
        <v>19.392709047167799</v>
      </c>
      <c r="AW2264" s="2">
        <v>19.740125373876602</v>
      </c>
      <c r="AX2264" s="2">
        <v>19.883372841668699</v>
      </c>
      <c r="AY2264" s="2">
        <v>20.1578662036286</v>
      </c>
      <c r="AZ2264" s="2">
        <v>20.042036559634401</v>
      </c>
      <c r="BA2264" s="2">
        <v>19.7475325062703</v>
      </c>
      <c r="BB2264" s="2">
        <v>20.009342915490102</v>
      </c>
      <c r="BC2264" s="2">
        <v>19.5263085355651</v>
      </c>
      <c r="BD2264" s="2">
        <v>20.079585550518701</v>
      </c>
      <c r="BE2264" s="2">
        <v>19.862285260590799</v>
      </c>
      <c r="BF2264" s="2">
        <v>20.232451634149999</v>
      </c>
      <c r="BG2264" s="2">
        <v>20.459726763206898</v>
      </c>
      <c r="BH2264" s="2">
        <v>20.0158743564315</v>
      </c>
      <c r="BI2264" s="2">
        <v>20.020522122041498</v>
      </c>
      <c r="BJ2264" s="2">
        <v>19.878535495685401</v>
      </c>
      <c r="BK2264" s="2">
        <v>20.179563945546398</v>
      </c>
      <c r="BL2264" s="2">
        <v>19.826900959509299</v>
      </c>
      <c r="BM2264" s="2">
        <v>19.405380412986599</v>
      </c>
      <c r="BN2264" s="2">
        <v>19.621339979731498</v>
      </c>
      <c r="BO2264" s="2">
        <v>19.881687439394099</v>
      </c>
      <c r="BP2264" s="2">
        <v>19.872258978510601</v>
      </c>
      <c r="BQ2264" s="2">
        <v>19.7439333664075</v>
      </c>
      <c r="BR2264" s="2">
        <v>18.766829449543</v>
      </c>
      <c r="BS2264" s="2">
        <v>19.506073462021298</v>
      </c>
      <c r="BT2264" s="2">
        <v>20.0324545542396</v>
      </c>
      <c r="BU2264" s="2">
        <v>19.901612895042401</v>
      </c>
      <c r="BV2264" s="2">
        <v>19.861352660265698</v>
      </c>
      <c r="BW2264" s="2">
        <v>19.2194459205983</v>
      </c>
      <c r="BX2264" s="2">
        <v>19.923818392144501</v>
      </c>
      <c r="BY2264" s="2">
        <v>19.902542742552001</v>
      </c>
      <c r="BZ2264" s="2">
        <v>19.858979892635599</v>
      </c>
      <c r="CA2264" s="2">
        <v>19.834684295423099</v>
      </c>
      <c r="CB2264" s="2">
        <v>19.320639779782699</v>
      </c>
      <c r="CC2264" s="2">
        <v>19.800419094151401</v>
      </c>
      <c r="CD2264" s="2">
        <v>19.832686190791598</v>
      </c>
      <c r="CE2264" s="2">
        <v>19.674737042151399</v>
      </c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</row>
    <row r="2265" spans="1:97">
      <c r="A2265" s="2" t="s">
        <v>19597</v>
      </c>
      <c r="B2265" s="2">
        <v>376.19889000000001</v>
      </c>
      <c r="C2265" s="2">
        <v>8.7669999999999995</v>
      </c>
      <c r="D2265" s="2" t="s">
        <v>146</v>
      </c>
      <c r="E2265" s="2" t="s">
        <v>19598</v>
      </c>
      <c r="F2265" s="2" t="s">
        <v>19599</v>
      </c>
      <c r="G2265" s="2">
        <v>210581</v>
      </c>
      <c r="H2265" s="3" t="str">
        <f>HYPERLINK("https://cloud.oebiotech.com/#/lm/network/210581", "https://cloud.oebiotech.com/#/lm/network/210581")</f>
        <v>https://cloud.oebiotech.com/#/lm/network/210581</v>
      </c>
      <c r="I2265" s="2" t="s">
        <v>19600</v>
      </c>
      <c r="J2265" s="2"/>
      <c r="K2265" s="2"/>
      <c r="L2265" s="2">
        <v>71952</v>
      </c>
      <c r="M2265" s="2"/>
      <c r="N2265" s="2"/>
      <c r="O2265" s="2"/>
      <c r="P2265" s="2"/>
      <c r="Q2265" s="2"/>
      <c r="R2265" s="2"/>
      <c r="S2265" s="2"/>
      <c r="T2265" s="2" t="s">
        <v>19601</v>
      </c>
      <c r="U2265" s="2" t="s">
        <v>19602</v>
      </c>
      <c r="V2265" s="2" t="s">
        <v>553</v>
      </c>
      <c r="W2265" s="2" t="s">
        <v>6104</v>
      </c>
      <c r="X2265" s="2" t="s">
        <v>14782</v>
      </c>
      <c r="Y2265" s="2" t="s">
        <v>556</v>
      </c>
      <c r="Z2265" s="2" t="s">
        <v>6106</v>
      </c>
      <c r="AA2265" s="2" t="s">
        <v>14783</v>
      </c>
      <c r="AB2265" s="2" t="s">
        <v>8443</v>
      </c>
      <c r="AC2265" s="2">
        <v>37.33</v>
      </c>
      <c r="AD2265" s="2">
        <v>86.66</v>
      </c>
      <c r="AE2265" s="2">
        <v>0</v>
      </c>
      <c r="AF2265" s="2" t="s">
        <v>5614</v>
      </c>
      <c r="AG2265" s="2" t="s">
        <v>157</v>
      </c>
      <c r="AH2265" s="2" t="s">
        <v>19603</v>
      </c>
      <c r="AI2265" s="2">
        <v>0.27</v>
      </c>
      <c r="AJ2265" s="2">
        <v>16.5283471195321</v>
      </c>
      <c r="AK2265" s="2">
        <v>16.982984219242802</v>
      </c>
      <c r="AL2265" s="2">
        <v>17.488279898956499</v>
      </c>
      <c r="AM2265" s="2">
        <v>17.1552927994247</v>
      </c>
      <c r="AN2265" s="2">
        <v>16.806078942482401</v>
      </c>
      <c r="AO2265" s="2">
        <v>16.665519545963601</v>
      </c>
      <c r="AP2265" s="2">
        <v>17.0545937198446</v>
      </c>
      <c r="AQ2265" s="2">
        <v>16.691767778311799</v>
      </c>
      <c r="AR2265" s="2">
        <v>16.217389774760701</v>
      </c>
      <c r="AS2265" s="2">
        <v>15.0697354753275</v>
      </c>
      <c r="AT2265" s="2">
        <v>17.462399783035</v>
      </c>
      <c r="AU2265" s="2">
        <v>13.7210447020095</v>
      </c>
      <c r="AV2265" s="2">
        <v>18.153278046818901</v>
      </c>
      <c r="AW2265" s="2">
        <v>17.2640144198716</v>
      </c>
      <c r="AX2265" s="2">
        <v>16.500467062458899</v>
      </c>
      <c r="AY2265" s="2">
        <v>17.131476688186002</v>
      </c>
      <c r="AZ2265" s="2">
        <v>16.859489774255199</v>
      </c>
      <c r="BA2265" s="2">
        <v>17.520242980958699</v>
      </c>
      <c r="BB2265" s="2">
        <v>16.443158860565699</v>
      </c>
      <c r="BC2265" s="2">
        <v>16.522891815851398</v>
      </c>
      <c r="BD2265" s="2">
        <v>17.3524474714586</v>
      </c>
      <c r="BE2265" s="2">
        <v>16.211801810840399</v>
      </c>
      <c r="BF2265" s="2">
        <v>14.8866406406175</v>
      </c>
      <c r="BG2265" s="2">
        <v>17.459230758938102</v>
      </c>
      <c r="BH2265" s="2">
        <v>16.91481547043</v>
      </c>
      <c r="BI2265" s="2">
        <v>16.842528729366599</v>
      </c>
      <c r="BJ2265" s="2">
        <v>16.1149897838797</v>
      </c>
      <c r="BK2265" s="2">
        <v>16.329363121372499</v>
      </c>
      <c r="BL2265" s="2">
        <v>16.147959311884701</v>
      </c>
      <c r="BM2265" s="2">
        <v>14.7320216433362</v>
      </c>
      <c r="BN2265" s="2">
        <v>15.7685420588643</v>
      </c>
      <c r="BO2265" s="2">
        <v>13.359601330614399</v>
      </c>
      <c r="BP2265" s="2">
        <v>17.5026520463399</v>
      </c>
      <c r="BQ2265" s="2">
        <v>16.5981812025972</v>
      </c>
      <c r="BR2265" s="2">
        <v>15.139169604821101</v>
      </c>
      <c r="BS2265" s="2">
        <v>17.046946525910698</v>
      </c>
      <c r="BT2265" s="2">
        <v>17.232957584408599</v>
      </c>
      <c r="BU2265" s="2">
        <v>18.0136952190255</v>
      </c>
      <c r="BV2265" s="2">
        <v>15.620454393325501</v>
      </c>
      <c r="BW2265" s="2">
        <v>16.559032867745199</v>
      </c>
      <c r="BX2265" s="2">
        <v>17.051117367326</v>
      </c>
      <c r="BY2265" s="2">
        <v>17.597991198863301</v>
      </c>
      <c r="BZ2265" s="2">
        <v>14.4787001116458</v>
      </c>
      <c r="CA2265" s="2">
        <v>17.9230770860832</v>
      </c>
      <c r="CB2265" s="2">
        <v>16.422784225537999</v>
      </c>
      <c r="CC2265" s="2">
        <v>16.127284241023901</v>
      </c>
      <c r="CD2265" s="2">
        <v>17.038130978804801</v>
      </c>
      <c r="CE2265" s="2">
        <v>16.664058891301199</v>
      </c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</row>
    <row r="2266" spans="1:97">
      <c r="A2266" s="2" t="s">
        <v>19604</v>
      </c>
      <c r="B2266" s="2">
        <v>202.09029000000001</v>
      </c>
      <c r="C2266" s="2">
        <v>4.9139999999999997</v>
      </c>
      <c r="D2266" s="2" t="s">
        <v>146</v>
      </c>
      <c r="E2266" s="2" t="s">
        <v>19605</v>
      </c>
      <c r="F2266" s="2" t="s">
        <v>19606</v>
      </c>
      <c r="G2266" s="2">
        <v>56355</v>
      </c>
      <c r="H2266" s="3" t="str">
        <f>HYPERLINK("https://cloud.oebiotech.com/#/lm/network/56355", "https://cloud.oebiotech.com/#/lm/network/56355")</f>
        <v>https://cloud.oebiotech.com/#/lm/network/56355</v>
      </c>
      <c r="I2266" s="2" t="s">
        <v>19607</v>
      </c>
      <c r="J2266" s="2">
        <v>88007</v>
      </c>
      <c r="K2266" s="2"/>
      <c r="L2266" s="2">
        <v>5319789</v>
      </c>
      <c r="M2266" s="2"/>
      <c r="N2266" s="2"/>
      <c r="O2266" s="2"/>
      <c r="P2266" s="2"/>
      <c r="Q2266" s="2"/>
      <c r="R2266" s="2"/>
      <c r="S2266" s="2" t="s">
        <v>19608</v>
      </c>
      <c r="T2266" s="2" t="s">
        <v>19609</v>
      </c>
      <c r="U2266" s="2" t="s">
        <v>19610</v>
      </c>
      <c r="V2266" s="2" t="s">
        <v>166</v>
      </c>
      <c r="W2266" s="2" t="s">
        <v>167</v>
      </c>
      <c r="X2266" s="2" t="s">
        <v>16162</v>
      </c>
      <c r="Y2266" s="2" t="s">
        <v>169</v>
      </c>
      <c r="Z2266" s="2" t="s">
        <v>169</v>
      </c>
      <c r="AA2266" s="2" t="s">
        <v>16163</v>
      </c>
      <c r="AB2266" s="2" t="s">
        <v>8443</v>
      </c>
      <c r="AC2266" s="2">
        <v>37.299999999999997</v>
      </c>
      <c r="AD2266" s="2">
        <v>91.42</v>
      </c>
      <c r="AE2266" s="2">
        <v>0</v>
      </c>
      <c r="AF2266" s="2" t="s">
        <v>5614</v>
      </c>
      <c r="AG2266" s="2" t="s">
        <v>157</v>
      </c>
      <c r="AH2266" s="2" t="s">
        <v>19611</v>
      </c>
      <c r="AI2266" s="2">
        <v>1.98</v>
      </c>
      <c r="AJ2266" s="2">
        <v>17.648852510605199</v>
      </c>
      <c r="AK2266" s="2">
        <v>17.7871964156591</v>
      </c>
      <c r="AL2266" s="2">
        <v>17.731193651665201</v>
      </c>
      <c r="AM2266" s="2">
        <v>17.712756769264601</v>
      </c>
      <c r="AN2266" s="2">
        <v>16.7118356598743</v>
      </c>
      <c r="AO2266" s="2">
        <v>17.520449412986601</v>
      </c>
      <c r="AP2266" s="2">
        <v>17.6773194568094</v>
      </c>
      <c r="AQ2266" s="2">
        <v>17.448966990971499</v>
      </c>
      <c r="AR2266" s="2">
        <v>16.298887562807298</v>
      </c>
      <c r="AS2266" s="2">
        <v>15.313606531484201</v>
      </c>
      <c r="AT2266" s="2">
        <v>17.3220251283633</v>
      </c>
      <c r="AU2266" s="2">
        <v>17.740060381641499</v>
      </c>
      <c r="AV2266" s="2">
        <v>17.317625387819099</v>
      </c>
      <c r="AW2266" s="2">
        <v>17.4465819162745</v>
      </c>
      <c r="AX2266" s="2">
        <v>16.652296297332899</v>
      </c>
      <c r="AY2266" s="2">
        <v>16.929579511267502</v>
      </c>
      <c r="AZ2266" s="2">
        <v>17.1584350403873</v>
      </c>
      <c r="BA2266" s="2">
        <v>17.156878646716599</v>
      </c>
      <c r="BB2266" s="2">
        <v>17.3674538282588</v>
      </c>
      <c r="BC2266" s="2">
        <v>19.286669655653</v>
      </c>
      <c r="BD2266" s="2">
        <v>17.183325030655698</v>
      </c>
      <c r="BE2266" s="2">
        <v>16.691810707813701</v>
      </c>
      <c r="BF2266" s="2">
        <v>17.697926469302502</v>
      </c>
      <c r="BG2266" s="2">
        <v>17.175399554480499</v>
      </c>
      <c r="BH2266" s="2">
        <v>16.9461615303026</v>
      </c>
      <c r="BI2266" s="2">
        <v>16.810147213331302</v>
      </c>
      <c r="BJ2266" s="2">
        <v>16.7609153424951</v>
      </c>
      <c r="BK2266" s="2">
        <v>17.375859659648601</v>
      </c>
      <c r="BL2266" s="2">
        <v>17.337242259636898</v>
      </c>
      <c r="BM2266" s="2">
        <v>17.59670727268</v>
      </c>
      <c r="BN2266" s="2">
        <v>16.770028135032</v>
      </c>
      <c r="BO2266" s="2">
        <v>16.9049086992237</v>
      </c>
      <c r="BP2266" s="2">
        <v>16.958824667717799</v>
      </c>
      <c r="BQ2266" s="2">
        <v>17.576890032969899</v>
      </c>
      <c r="BR2266" s="2">
        <v>17.3648811051251</v>
      </c>
      <c r="BS2266" s="2">
        <v>16.852992956333299</v>
      </c>
      <c r="BT2266" s="2">
        <v>17.273778483132599</v>
      </c>
      <c r="BU2266" s="2">
        <v>16.829345786720602</v>
      </c>
      <c r="BV2266" s="2">
        <v>18.139148365896698</v>
      </c>
      <c r="BW2266" s="2">
        <v>17.252316541876102</v>
      </c>
      <c r="BX2266" s="2">
        <v>17.519928364714499</v>
      </c>
      <c r="BY2266" s="2">
        <v>17.224476940399899</v>
      </c>
      <c r="BZ2266" s="2">
        <v>17.174953469868701</v>
      </c>
      <c r="CA2266" s="2">
        <v>17.3564074355413</v>
      </c>
      <c r="CB2266" s="2">
        <v>16.685553256143901</v>
      </c>
      <c r="CC2266" s="2">
        <v>17.088810904847801</v>
      </c>
      <c r="CD2266" s="2">
        <v>16.420388743359101</v>
      </c>
      <c r="CE2266" s="2">
        <v>17.307418385476399</v>
      </c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</row>
    <row r="2267" spans="1:97">
      <c r="A2267" s="2" t="s">
        <v>19612</v>
      </c>
      <c r="B2267" s="2">
        <v>651.31345999999996</v>
      </c>
      <c r="C2267" s="2">
        <v>10.045999999999999</v>
      </c>
      <c r="D2267" s="2" t="s">
        <v>146</v>
      </c>
      <c r="E2267" s="2" t="s">
        <v>19613</v>
      </c>
      <c r="F2267" s="2" t="s">
        <v>19614</v>
      </c>
      <c r="G2267" s="2">
        <v>200239</v>
      </c>
      <c r="H2267" s="3" t="str">
        <f>HYPERLINK("https://cloud.oebiotech.com/#/lm/network/200239", "https://cloud.oebiotech.com/#/lm/network/200239")</f>
        <v>https://cloud.oebiotech.com/#/lm/network/200239</v>
      </c>
      <c r="I2267" s="2" t="s">
        <v>19615</v>
      </c>
      <c r="J2267" s="2"/>
      <c r="K2267" s="2"/>
      <c r="L2267" s="2">
        <v>4476321</v>
      </c>
      <c r="M2267" s="2"/>
      <c r="N2267" s="2"/>
      <c r="O2267" s="2"/>
      <c r="P2267" s="2">
        <v>95117</v>
      </c>
      <c r="Q2267" s="2"/>
      <c r="R2267" s="2"/>
      <c r="S2267" s="2"/>
      <c r="T2267" s="2" t="s">
        <v>19616</v>
      </c>
      <c r="U2267" s="2" t="s">
        <v>19617</v>
      </c>
      <c r="V2267" s="2" t="s">
        <v>845</v>
      </c>
      <c r="W2267" s="2" t="s">
        <v>17542</v>
      </c>
      <c r="X2267" s="2" t="s">
        <v>375</v>
      </c>
      <c r="Y2267" s="2" t="s">
        <v>847</v>
      </c>
      <c r="Z2267" s="2" t="s">
        <v>17543</v>
      </c>
      <c r="AA2267" s="2"/>
      <c r="AB2267" s="2" t="s">
        <v>5118</v>
      </c>
      <c r="AC2267" s="2">
        <v>37.299999999999997</v>
      </c>
      <c r="AD2267" s="2">
        <v>67.709999999999994</v>
      </c>
      <c r="AE2267" s="2">
        <v>46.97</v>
      </c>
      <c r="AF2267" s="2" t="s">
        <v>19618</v>
      </c>
      <c r="AG2267" s="2" t="s">
        <v>4062</v>
      </c>
      <c r="AH2267" s="2" t="s">
        <v>19619</v>
      </c>
      <c r="AI2267" s="2">
        <v>4.76</v>
      </c>
      <c r="AJ2267" s="2">
        <v>21.530390757391501</v>
      </c>
      <c r="AK2267" s="2">
        <v>21.460127106410301</v>
      </c>
      <c r="AL2267" s="2">
        <v>21.422211376911299</v>
      </c>
      <c r="AM2267" s="2">
        <v>21.426077963372101</v>
      </c>
      <c r="AN2267" s="2">
        <v>21.416398259962701</v>
      </c>
      <c r="AO2267" s="2">
        <v>20.637041437144902</v>
      </c>
      <c r="AP2267" s="2">
        <v>21.236417407540898</v>
      </c>
      <c r="AQ2267" s="2">
        <v>21.355464017652</v>
      </c>
      <c r="AR2267" s="2">
        <v>21.566364809057401</v>
      </c>
      <c r="AS2267" s="2">
        <v>21.724838529715999</v>
      </c>
      <c r="AT2267" s="2">
        <v>21.475746683695402</v>
      </c>
      <c r="AU2267" s="2">
        <v>21.4877230310539</v>
      </c>
      <c r="AV2267" s="2">
        <v>21.457524811321399</v>
      </c>
      <c r="AW2267" s="2">
        <v>21.508150406737698</v>
      </c>
      <c r="AX2267" s="2">
        <v>21.497270190569001</v>
      </c>
      <c r="AY2267" s="2">
        <v>21.480849941774402</v>
      </c>
      <c r="AZ2267" s="2">
        <v>21.4601018975588</v>
      </c>
      <c r="BA2267" s="2">
        <v>21.562981497191</v>
      </c>
      <c r="BB2267" s="2">
        <v>21.500171085166699</v>
      </c>
      <c r="BC2267" s="2">
        <v>21.331612072553401</v>
      </c>
      <c r="BD2267" s="2">
        <v>21.3638094584709</v>
      </c>
      <c r="BE2267" s="2">
        <v>21.363860158824099</v>
      </c>
      <c r="BF2267" s="2">
        <v>21.315746847643599</v>
      </c>
      <c r="BG2267" s="2">
        <v>21.370140472888501</v>
      </c>
      <c r="BH2267" s="2">
        <v>21.433425280185698</v>
      </c>
      <c r="BI2267" s="2">
        <v>21.2830949055536</v>
      </c>
      <c r="BJ2267" s="2">
        <v>21.3594519864352</v>
      </c>
      <c r="BK2267" s="2">
        <v>21.423325862392701</v>
      </c>
      <c r="BL2267" s="2">
        <v>21.431461631923298</v>
      </c>
      <c r="BM2267" s="2">
        <v>21.491710713963201</v>
      </c>
      <c r="BN2267" s="2">
        <v>21.270091588908301</v>
      </c>
      <c r="BO2267" s="2">
        <v>21.422422348856198</v>
      </c>
      <c r="BP2267" s="2">
        <v>21.3901046732202</v>
      </c>
      <c r="BQ2267" s="2">
        <v>21.347010381330001</v>
      </c>
      <c r="BR2267" s="2">
        <v>21.274190845684799</v>
      </c>
      <c r="BS2267" s="2">
        <v>21.3246855072227</v>
      </c>
      <c r="BT2267" s="2">
        <v>21.237882361289401</v>
      </c>
      <c r="BU2267" s="2">
        <v>21.3198195168567</v>
      </c>
      <c r="BV2267" s="2">
        <v>21.263841638501599</v>
      </c>
      <c r="BW2267" s="2">
        <v>21.3431463388855</v>
      </c>
      <c r="BX2267" s="2">
        <v>21.402710950315701</v>
      </c>
      <c r="BY2267" s="2">
        <v>21.353596994266201</v>
      </c>
      <c r="BZ2267" s="2">
        <v>21.414274728317</v>
      </c>
      <c r="CA2267" s="2">
        <v>21.233618810835399</v>
      </c>
      <c r="CB2267" s="2">
        <v>21.2734286913294</v>
      </c>
      <c r="CC2267" s="2">
        <v>21.343742132744602</v>
      </c>
      <c r="CD2267" s="2">
        <v>21.151750463897798</v>
      </c>
      <c r="CE2267" s="2">
        <v>21.346645758400999</v>
      </c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</row>
    <row r="2268" spans="1:97">
      <c r="A2268" s="2" t="s">
        <v>19620</v>
      </c>
      <c r="B2268" s="2">
        <v>296.97922999999997</v>
      </c>
      <c r="C2268" s="2">
        <v>4.2519999999999998</v>
      </c>
      <c r="D2268" s="2" t="s">
        <v>146</v>
      </c>
      <c r="E2268" s="2" t="s">
        <v>19621</v>
      </c>
      <c r="F2268" s="2" t="s">
        <v>19622</v>
      </c>
      <c r="G2268" s="2">
        <v>255274</v>
      </c>
      <c r="H2268" s="3" t="str">
        <f>HYPERLINK("https://cloud.oebiotech.com/#/lm/network/255274", "https://cloud.oebiotech.com/#/lm/network/255274")</f>
        <v>https://cloud.oebiotech.com/#/lm/network/255274</v>
      </c>
      <c r="I2268" s="2" t="s">
        <v>19623</v>
      </c>
      <c r="J2268" s="2"/>
      <c r="K2268" s="2"/>
      <c r="L2268" s="2">
        <v>71587386</v>
      </c>
      <c r="M2268" s="2"/>
      <c r="N2268" s="2"/>
      <c r="O2268" s="2"/>
      <c r="P2268" s="2"/>
      <c r="Q2268" s="2"/>
      <c r="R2268" s="2"/>
      <c r="S2268" s="2"/>
      <c r="T2268" s="2" t="s">
        <v>19624</v>
      </c>
      <c r="U2268" s="2" t="s">
        <v>19625</v>
      </c>
      <c r="V2268" s="2" t="s">
        <v>553</v>
      </c>
      <c r="W2268" s="2" t="s">
        <v>19626</v>
      </c>
      <c r="X2268" s="2" t="s">
        <v>375</v>
      </c>
      <c r="Y2268" s="2" t="s">
        <v>556</v>
      </c>
      <c r="Z2268" s="2" t="s">
        <v>19627</v>
      </c>
      <c r="AA2268" s="2"/>
      <c r="AB2268" s="2" t="s">
        <v>5118</v>
      </c>
      <c r="AC2268" s="2">
        <v>37.299999999999997</v>
      </c>
      <c r="AD2268" s="2">
        <v>66.040000000000006</v>
      </c>
      <c r="AE2268" s="2">
        <v>73.680000000000007</v>
      </c>
      <c r="AF2268" s="2" t="s">
        <v>19628</v>
      </c>
      <c r="AG2268" s="2" t="s">
        <v>4062</v>
      </c>
      <c r="AH2268" s="2" t="s">
        <v>19629</v>
      </c>
      <c r="AI2268" s="2">
        <v>8.08</v>
      </c>
      <c r="AJ2268" s="2">
        <v>19.625116741514699</v>
      </c>
      <c r="AK2268" s="2">
        <v>19.6982172571206</v>
      </c>
      <c r="AL2268" s="2">
        <v>19.5030971271791</v>
      </c>
      <c r="AM2268" s="2">
        <v>19.574874648098898</v>
      </c>
      <c r="AN2268" s="2">
        <v>19.584276718597799</v>
      </c>
      <c r="AO2268" s="2">
        <v>19.570321261323901</v>
      </c>
      <c r="AP2268" s="2">
        <v>19.532616426002701</v>
      </c>
      <c r="AQ2268" s="2">
        <v>19.625422026841498</v>
      </c>
      <c r="AR2268" s="2">
        <v>16.780613069116999</v>
      </c>
      <c r="AS2268" s="2">
        <v>17.708418505331199</v>
      </c>
      <c r="AT2268" s="2">
        <v>18.0035182964114</v>
      </c>
      <c r="AU2268" s="2">
        <v>19.484025323386099</v>
      </c>
      <c r="AV2268" s="2">
        <v>19.659506776004498</v>
      </c>
      <c r="AW2268" s="2">
        <v>18.9264019828234</v>
      </c>
      <c r="AX2268" s="2">
        <v>19.004296683854101</v>
      </c>
      <c r="AY2268" s="2">
        <v>19.233067228455202</v>
      </c>
      <c r="AZ2268" s="2">
        <v>18.959643697767401</v>
      </c>
      <c r="BA2268" s="2">
        <v>18.1827282270478</v>
      </c>
      <c r="BB2268" s="2">
        <v>19.617067093581699</v>
      </c>
      <c r="BC2268" s="2">
        <v>17.889797622636301</v>
      </c>
      <c r="BD2268" s="2">
        <v>19.573161411256699</v>
      </c>
      <c r="BE2268" s="2">
        <v>21.5947362558327</v>
      </c>
      <c r="BF2268" s="2">
        <v>18.345981029868501</v>
      </c>
      <c r="BG2268" s="2">
        <v>20.005296974381501</v>
      </c>
      <c r="BH2268" s="2">
        <v>19.241509776150099</v>
      </c>
      <c r="BI2268" s="2">
        <v>21.444913148098799</v>
      </c>
      <c r="BJ2268" s="2">
        <v>19.558234669072402</v>
      </c>
      <c r="BK2268" s="2">
        <v>19.7271139101071</v>
      </c>
      <c r="BL2268" s="2">
        <v>19.1580850647604</v>
      </c>
      <c r="BM2268" s="2">
        <v>19.4662366337582</v>
      </c>
      <c r="BN2268" s="2">
        <v>19.1037390667354</v>
      </c>
      <c r="BO2268" s="2">
        <v>18.761633393239201</v>
      </c>
      <c r="BP2268" s="2">
        <v>20.1326397575329</v>
      </c>
      <c r="BQ2268" s="2">
        <v>19.223337839179401</v>
      </c>
      <c r="BR2268" s="2">
        <v>18.9728029430294</v>
      </c>
      <c r="BS2268" s="2">
        <v>19.053149051140299</v>
      </c>
      <c r="BT2268" s="2">
        <v>19.355856377086599</v>
      </c>
      <c r="BU2268" s="2">
        <v>17.737937307288</v>
      </c>
      <c r="BV2268" s="2">
        <v>18.3161273531557</v>
      </c>
      <c r="BW2268" s="2">
        <v>15.4631533066909</v>
      </c>
      <c r="BX2268" s="2">
        <v>18.469011875750098</v>
      </c>
      <c r="BY2268" s="2">
        <v>21.8923687673648</v>
      </c>
      <c r="BZ2268" s="2">
        <v>18.382226952189701</v>
      </c>
      <c r="CA2268" s="2">
        <v>18.078258718055299</v>
      </c>
      <c r="CB2268" s="2">
        <v>18.6718709371305</v>
      </c>
      <c r="CC2268" s="2">
        <v>19.306111032836</v>
      </c>
      <c r="CD2268" s="2">
        <v>19.497062081865899</v>
      </c>
      <c r="CE2268" s="2">
        <v>15.9089315603551</v>
      </c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</row>
    <row r="2269" spans="1:97">
      <c r="A2269" s="2" t="s">
        <v>19630</v>
      </c>
      <c r="B2269" s="2">
        <v>201.04522</v>
      </c>
      <c r="C2269" s="2">
        <v>3.7280000000000002</v>
      </c>
      <c r="D2269" s="2" t="s">
        <v>84</v>
      </c>
      <c r="E2269" s="2" t="s">
        <v>19631</v>
      </c>
      <c r="F2269" s="2" t="s">
        <v>19632</v>
      </c>
      <c r="G2269" s="2">
        <v>203082</v>
      </c>
      <c r="H2269" s="3" t="str">
        <f>HYPERLINK("https://cloud.oebiotech.com/#/lm/network/203082", "https://cloud.oebiotech.com/#/lm/network/203082")</f>
        <v>https://cloud.oebiotech.com/#/lm/network/203082</v>
      </c>
      <c r="I2269" s="2" t="s">
        <v>19633</v>
      </c>
      <c r="J2269" s="2">
        <v>44455</v>
      </c>
      <c r="K2269" s="2"/>
      <c r="L2269" s="2">
        <v>1982</v>
      </c>
      <c r="M2269" s="2" t="s">
        <v>19634</v>
      </c>
      <c r="N2269" s="2"/>
      <c r="O2269" s="2"/>
      <c r="P2269" s="2">
        <v>34520</v>
      </c>
      <c r="Q2269" s="2"/>
      <c r="R2269" s="2"/>
      <c r="S2269" s="2" t="s">
        <v>19635</v>
      </c>
      <c r="T2269" s="2" t="s">
        <v>19636</v>
      </c>
      <c r="U2269" s="2" t="s">
        <v>19637</v>
      </c>
      <c r="V2269" s="2" t="s">
        <v>9466</v>
      </c>
      <c r="W2269" s="2" t="s">
        <v>9467</v>
      </c>
      <c r="X2269" s="2" t="s">
        <v>375</v>
      </c>
      <c r="Y2269" s="2" t="s">
        <v>9468</v>
      </c>
      <c r="Z2269" s="2" t="s">
        <v>9469</v>
      </c>
      <c r="AA2269" s="2"/>
      <c r="AB2269" s="2" t="s">
        <v>8443</v>
      </c>
      <c r="AC2269" s="2">
        <v>37.299999999999997</v>
      </c>
      <c r="AD2269" s="2">
        <v>93.96</v>
      </c>
      <c r="AE2269" s="2">
        <v>0</v>
      </c>
      <c r="AF2269" s="2" t="s">
        <v>5614</v>
      </c>
      <c r="AG2269" s="2" t="s">
        <v>132</v>
      </c>
      <c r="AH2269" s="2" t="s">
        <v>19638</v>
      </c>
      <c r="AI2269" s="2">
        <v>2.4900000000000002</v>
      </c>
      <c r="AJ2269" s="2">
        <v>23.476382154840799</v>
      </c>
      <c r="AK2269" s="2">
        <v>23.624833365348699</v>
      </c>
      <c r="AL2269" s="2">
        <v>22.923847143721801</v>
      </c>
      <c r="AM2269" s="2">
        <v>23.5318758659613</v>
      </c>
      <c r="AN2269" s="2">
        <v>23.4970914115695</v>
      </c>
      <c r="AO2269" s="2">
        <v>23.533374153705498</v>
      </c>
      <c r="AP2269" s="2">
        <v>23.300734554440201</v>
      </c>
      <c r="AQ2269" s="2">
        <v>23.6167753632078</v>
      </c>
      <c r="AR2269" s="2">
        <v>23.4437571537362</v>
      </c>
      <c r="AS2269" s="2">
        <v>23.363420208160701</v>
      </c>
      <c r="AT2269" s="2">
        <v>23.420539797007802</v>
      </c>
      <c r="AU2269" s="2">
        <v>23.562987742862099</v>
      </c>
      <c r="AV2269" s="2">
        <v>21.736801161126401</v>
      </c>
      <c r="AW2269" s="2">
        <v>23.670132347065401</v>
      </c>
      <c r="AX2269" s="2">
        <v>23.6195462491584</v>
      </c>
      <c r="AY2269" s="2">
        <v>23.611960725615202</v>
      </c>
      <c r="AZ2269" s="2">
        <v>23.658807599521399</v>
      </c>
      <c r="BA2269" s="2">
        <v>23.5299402889158</v>
      </c>
      <c r="BB2269" s="2">
        <v>23.472151702393699</v>
      </c>
      <c r="BC2269" s="2">
        <v>22.3666303609035</v>
      </c>
      <c r="BD2269" s="2">
        <v>23.412604687268399</v>
      </c>
      <c r="BE2269" s="2">
        <v>23.687081432930398</v>
      </c>
      <c r="BF2269" s="2">
        <v>23.604097490818202</v>
      </c>
      <c r="BG2269" s="2">
        <v>23.471752019973799</v>
      </c>
      <c r="BH2269" s="2">
        <v>23.668705931356399</v>
      </c>
      <c r="BI2269" s="2">
        <v>23.517539469151899</v>
      </c>
      <c r="BJ2269" s="2">
        <v>23.514694937083402</v>
      </c>
      <c r="BK2269" s="2">
        <v>23.445104402849299</v>
      </c>
      <c r="BL2269" s="2">
        <v>23.531874473025301</v>
      </c>
      <c r="BM2269" s="2">
        <v>23.548214520082499</v>
      </c>
      <c r="BN2269" s="2">
        <v>23.522639102948201</v>
      </c>
      <c r="BO2269" s="2">
        <v>23.3044297912971</v>
      </c>
      <c r="BP2269" s="2">
        <v>23.506948023709899</v>
      </c>
      <c r="BQ2269" s="2">
        <v>23.608361589792601</v>
      </c>
      <c r="BR2269" s="2">
        <v>23.512105254532599</v>
      </c>
      <c r="BS2269" s="2">
        <v>23.437231897228902</v>
      </c>
      <c r="BT2269" s="2">
        <v>23.388052211261801</v>
      </c>
      <c r="BU2269" s="2">
        <v>23.636775564118601</v>
      </c>
      <c r="BV2269" s="2">
        <v>23.241768062491801</v>
      </c>
      <c r="BW2269" s="2">
        <v>23.371558979593399</v>
      </c>
      <c r="BX2269" s="2">
        <v>23.543351430827201</v>
      </c>
      <c r="BY2269" s="2">
        <v>23.412099895761799</v>
      </c>
      <c r="BZ2269" s="2">
        <v>23.2005457728477</v>
      </c>
      <c r="CA2269" s="2">
        <v>22.812173994873302</v>
      </c>
      <c r="CB2269" s="2">
        <v>23.661681266506498</v>
      </c>
      <c r="CC2269" s="2">
        <v>23.490972846585201</v>
      </c>
      <c r="CD2269" s="2">
        <v>23.218941047002001</v>
      </c>
      <c r="CE2269" s="2">
        <v>23.051584835006199</v>
      </c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</row>
    <row r="2270" spans="1:97">
      <c r="A2270" s="2" t="s">
        <v>19639</v>
      </c>
      <c r="B2270" s="2">
        <v>318.16077999999999</v>
      </c>
      <c r="C2270" s="2">
        <v>10.676</v>
      </c>
      <c r="D2270" s="2" t="s">
        <v>84</v>
      </c>
      <c r="E2270" s="2" t="s">
        <v>19640</v>
      </c>
      <c r="F2270" s="2" t="s">
        <v>19641</v>
      </c>
      <c r="G2270" s="2">
        <v>211198</v>
      </c>
      <c r="H2270" s="3" t="str">
        <f>HYPERLINK("https://cloud.oebiotech.com/#/lm/network/211198", "https://cloud.oebiotech.com/#/lm/network/211198")</f>
        <v>https://cloud.oebiotech.com/#/lm/network/211198</v>
      </c>
      <c r="I2270" s="2" t="s">
        <v>19642</v>
      </c>
      <c r="J2270" s="2"/>
      <c r="K2270" s="2"/>
      <c r="L2270" s="2"/>
      <c r="M2270" s="2"/>
      <c r="N2270" s="2"/>
      <c r="O2270" s="2"/>
      <c r="P2270" s="2">
        <v>100922</v>
      </c>
      <c r="Q2270" s="2"/>
      <c r="R2270" s="2"/>
      <c r="S2270" s="2"/>
      <c r="T2270" s="2" t="s">
        <v>19643</v>
      </c>
      <c r="U2270" s="2" t="s">
        <v>19644</v>
      </c>
      <c r="V2270" s="2" t="s">
        <v>553</v>
      </c>
      <c r="W2270" s="2" t="s">
        <v>6195</v>
      </c>
      <c r="X2270" s="2" t="s">
        <v>375</v>
      </c>
      <c r="Y2270" s="2" t="s">
        <v>556</v>
      </c>
      <c r="Z2270" s="2" t="s">
        <v>6196</v>
      </c>
      <c r="AA2270" s="2"/>
      <c r="AB2270" s="2" t="s">
        <v>8443</v>
      </c>
      <c r="AC2270" s="2">
        <v>37.299999999999997</v>
      </c>
      <c r="AD2270" s="2">
        <v>86.48</v>
      </c>
      <c r="AE2270" s="2">
        <v>0</v>
      </c>
      <c r="AF2270" s="2" t="s">
        <v>5614</v>
      </c>
      <c r="AG2270" s="2" t="s">
        <v>1088</v>
      </c>
      <c r="AH2270" s="2" t="s">
        <v>19645</v>
      </c>
      <c r="AI2270" s="2">
        <v>-0.31</v>
      </c>
      <c r="AJ2270" s="2">
        <v>21.1762287422473</v>
      </c>
      <c r="AK2270" s="2">
        <v>20.2699299405941</v>
      </c>
      <c r="AL2270" s="2">
        <v>21.046591268435701</v>
      </c>
      <c r="AM2270" s="2">
        <v>20.830153889142199</v>
      </c>
      <c r="AN2270" s="2">
        <v>20.311025691358001</v>
      </c>
      <c r="AO2270" s="2">
        <v>21.441034782811698</v>
      </c>
      <c r="AP2270" s="2">
        <v>21.409757659806498</v>
      </c>
      <c r="AQ2270" s="2">
        <v>20.9581382747219</v>
      </c>
      <c r="AR2270" s="2">
        <v>21.390770303734701</v>
      </c>
      <c r="AS2270" s="2">
        <v>20.385643733606301</v>
      </c>
      <c r="AT2270" s="2">
        <v>20.507416563271299</v>
      </c>
      <c r="AU2270" s="2">
        <v>21.183693183237601</v>
      </c>
      <c r="AV2270" s="2">
        <v>21.099977617776101</v>
      </c>
      <c r="AW2270" s="2">
        <v>21.3215062712279</v>
      </c>
      <c r="AX2270" s="2">
        <v>20.287850341936998</v>
      </c>
      <c r="AY2270" s="2">
        <v>21.219596345793398</v>
      </c>
      <c r="AZ2270" s="2">
        <v>21.1096254911903</v>
      </c>
      <c r="BA2270" s="2">
        <v>20.5064868549021</v>
      </c>
      <c r="BB2270" s="2">
        <v>21.3500433195344</v>
      </c>
      <c r="BC2270" s="2">
        <v>20.845937982865198</v>
      </c>
      <c r="BD2270" s="2">
        <v>21.108457680102202</v>
      </c>
      <c r="BE2270" s="2">
        <v>21.479580485941401</v>
      </c>
      <c r="BF2270" s="2">
        <v>21.0113100453359</v>
      </c>
      <c r="BG2270" s="2">
        <v>20.264767843460699</v>
      </c>
      <c r="BH2270" s="2">
        <v>20.146920610905301</v>
      </c>
      <c r="BI2270" s="2">
        <v>21.294622106173701</v>
      </c>
      <c r="BJ2270" s="2">
        <v>21.166912029575201</v>
      </c>
      <c r="BK2270" s="2">
        <v>20.971557867221499</v>
      </c>
      <c r="BL2270" s="2">
        <v>19.948610542648598</v>
      </c>
      <c r="BM2270" s="2">
        <v>21.2013381223945</v>
      </c>
      <c r="BN2270" s="2">
        <v>21.0229601465626</v>
      </c>
      <c r="BO2270" s="2">
        <v>21.413647709011698</v>
      </c>
      <c r="BP2270" s="2">
        <v>21.016407135761401</v>
      </c>
      <c r="BQ2270" s="2">
        <v>20.767388878956702</v>
      </c>
      <c r="BR2270" s="2">
        <v>20.5686024662953</v>
      </c>
      <c r="BS2270" s="2">
        <v>21.125745471808301</v>
      </c>
      <c r="BT2270" s="2">
        <v>20.956542490734702</v>
      </c>
      <c r="BU2270" s="2">
        <v>20.461824891739301</v>
      </c>
      <c r="BV2270" s="2">
        <v>21.1038237435803</v>
      </c>
      <c r="BW2270" s="2">
        <v>20.809941422546199</v>
      </c>
      <c r="BX2270" s="2">
        <v>20.550065975151401</v>
      </c>
      <c r="BY2270" s="2">
        <v>21.337951623240201</v>
      </c>
      <c r="BZ2270" s="2">
        <v>21.233374529209001</v>
      </c>
      <c r="CA2270" s="2">
        <v>20.1874506190678</v>
      </c>
      <c r="CB2270" s="2">
        <v>20.7159118995305</v>
      </c>
      <c r="CC2270" s="2">
        <v>20.9762680530444</v>
      </c>
      <c r="CD2270" s="2">
        <v>21.289727189033002</v>
      </c>
      <c r="CE2270" s="2">
        <v>20.851391638226001</v>
      </c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</row>
    <row r="2271" spans="1:97">
      <c r="A2271" s="2" t="s">
        <v>19646</v>
      </c>
      <c r="B2271" s="2">
        <v>120.08381</v>
      </c>
      <c r="C2271" s="2">
        <v>10.914999999999999</v>
      </c>
      <c r="D2271" s="2" t="s">
        <v>84</v>
      </c>
      <c r="E2271" s="2" t="s">
        <v>19647</v>
      </c>
      <c r="F2271" s="2" t="s">
        <v>19648</v>
      </c>
      <c r="G2271" s="2">
        <v>63024</v>
      </c>
      <c r="H2271" s="3" t="str">
        <f>HYPERLINK("https://cloud.oebiotech.com/#/lm/network/63024", "https://cloud.oebiotech.com/#/lm/network/63024")</f>
        <v>https://cloud.oebiotech.com/#/lm/network/63024</v>
      </c>
      <c r="I2271" s="2" t="s">
        <v>19649</v>
      </c>
      <c r="J2271" s="2">
        <v>94321</v>
      </c>
      <c r="K2271" s="2"/>
      <c r="L2271" s="2">
        <v>15510</v>
      </c>
      <c r="M2271" s="2"/>
      <c r="N2271" s="2"/>
      <c r="O2271" s="2"/>
      <c r="P2271" s="2"/>
      <c r="Q2271" s="2"/>
      <c r="R2271" s="2"/>
      <c r="S2271" s="2" t="s">
        <v>19650</v>
      </c>
      <c r="T2271" s="2" t="s">
        <v>19651</v>
      </c>
      <c r="U2271" s="2" t="s">
        <v>19652</v>
      </c>
      <c r="V2271" s="2" t="s">
        <v>9746</v>
      </c>
      <c r="W2271" s="2" t="s">
        <v>12529</v>
      </c>
      <c r="X2271" s="2" t="s">
        <v>12530</v>
      </c>
      <c r="Y2271" s="2" t="s">
        <v>9748</v>
      </c>
      <c r="Z2271" s="2" t="s">
        <v>12531</v>
      </c>
      <c r="AA2271" s="2" t="s">
        <v>12532</v>
      </c>
      <c r="AB2271" s="2" t="s">
        <v>8443</v>
      </c>
      <c r="AC2271" s="2">
        <v>37.299999999999997</v>
      </c>
      <c r="AD2271" s="2">
        <v>94.01</v>
      </c>
      <c r="AE2271" s="2">
        <v>0</v>
      </c>
      <c r="AF2271" s="2" t="s">
        <v>5614</v>
      </c>
      <c r="AG2271" s="2" t="s">
        <v>132</v>
      </c>
      <c r="AH2271" s="2" t="s">
        <v>19653</v>
      </c>
      <c r="AI2271" s="2">
        <v>2.5</v>
      </c>
      <c r="AJ2271" s="2">
        <v>18.845815864026999</v>
      </c>
      <c r="AK2271" s="2">
        <v>18.716049770474399</v>
      </c>
      <c r="AL2271" s="2">
        <v>18.902571284637101</v>
      </c>
      <c r="AM2271" s="2">
        <v>19.083376092201298</v>
      </c>
      <c r="AN2271" s="2">
        <v>19.030610995387299</v>
      </c>
      <c r="AO2271" s="2">
        <v>18.714762149352101</v>
      </c>
      <c r="AP2271" s="2">
        <v>19.093684717817801</v>
      </c>
      <c r="AQ2271" s="2">
        <v>18.385203550561599</v>
      </c>
      <c r="AR2271" s="2">
        <v>18.661583728554799</v>
      </c>
      <c r="AS2271" s="2">
        <v>17.0098654582705</v>
      </c>
      <c r="AT2271" s="2">
        <v>18.4832963258234</v>
      </c>
      <c r="AU2271" s="2">
        <v>18.393577947012101</v>
      </c>
      <c r="AV2271" s="2">
        <v>18.3467060294793</v>
      </c>
      <c r="AW2271" s="2">
        <v>18.210179756441601</v>
      </c>
      <c r="AX2271" s="2">
        <v>19.043776774287799</v>
      </c>
      <c r="AY2271" s="2">
        <v>18.844745571096201</v>
      </c>
      <c r="AZ2271" s="2">
        <v>18.993975309714902</v>
      </c>
      <c r="BA2271" s="2">
        <v>16.3541787746781</v>
      </c>
      <c r="BB2271" s="2">
        <v>18.275520914043899</v>
      </c>
      <c r="BC2271" s="2">
        <v>19.5546494398201</v>
      </c>
      <c r="BD2271" s="2">
        <v>18.378299216982199</v>
      </c>
      <c r="BE2271" s="2">
        <v>19.294099907017898</v>
      </c>
      <c r="BF2271" s="2">
        <v>18.878573586577001</v>
      </c>
      <c r="BG2271" s="2">
        <v>18.965585928636301</v>
      </c>
      <c r="BH2271" s="2">
        <v>19.281733154815601</v>
      </c>
      <c r="BI2271" s="2">
        <v>18.593199575092999</v>
      </c>
      <c r="BJ2271" s="2">
        <v>18.6974877342087</v>
      </c>
      <c r="BK2271" s="2">
        <v>17.614187313096899</v>
      </c>
      <c r="BL2271" s="2">
        <v>18.876808136057999</v>
      </c>
      <c r="BM2271" s="2">
        <v>18.412596432357599</v>
      </c>
      <c r="BN2271" s="2">
        <v>19.0508777559088</v>
      </c>
      <c r="BO2271" s="2">
        <v>18.6115538057152</v>
      </c>
      <c r="BP2271" s="2">
        <v>18.357048284373899</v>
      </c>
      <c r="BQ2271" s="2">
        <v>18.589574894825201</v>
      </c>
      <c r="BR2271" s="2">
        <v>19.193023850960898</v>
      </c>
      <c r="BS2271" s="2">
        <v>18.530547999455798</v>
      </c>
      <c r="BT2271" s="2">
        <v>19.064255243460501</v>
      </c>
      <c r="BU2271" s="2">
        <v>18.143443354926301</v>
      </c>
      <c r="BV2271" s="2">
        <v>18.704502544853899</v>
      </c>
      <c r="BW2271" s="2">
        <v>18.293616773211099</v>
      </c>
      <c r="BX2271" s="2">
        <v>18.4461908333456</v>
      </c>
      <c r="BY2271" s="2">
        <v>19.777130364838101</v>
      </c>
      <c r="BZ2271" s="2">
        <v>18.6373382303108</v>
      </c>
      <c r="CA2271" s="2">
        <v>19.282582604696401</v>
      </c>
      <c r="CB2271" s="2">
        <v>18.556888778210599</v>
      </c>
      <c r="CC2271" s="2">
        <v>17.803046121025801</v>
      </c>
      <c r="CD2271" s="2">
        <v>18.7568019845462</v>
      </c>
      <c r="CE2271" s="2">
        <v>17.336042741930399</v>
      </c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</row>
    <row r="2272" spans="1:97">
      <c r="A2272" s="2" t="s">
        <v>19654</v>
      </c>
      <c r="B2272" s="2">
        <v>415.05117000000001</v>
      </c>
      <c r="C2272" s="2">
        <v>9.2170000000000005</v>
      </c>
      <c r="D2272" s="2" t="s">
        <v>146</v>
      </c>
      <c r="E2272" s="2" t="s">
        <v>19655</v>
      </c>
      <c r="F2272" s="2" t="s">
        <v>19656</v>
      </c>
      <c r="G2272" s="2">
        <v>63721</v>
      </c>
      <c r="H2272" s="3" t="str">
        <f>HYPERLINK("https://cloud.oebiotech.com/#/lm/network/63721", "https://cloud.oebiotech.com/#/lm/network/63721")</f>
        <v>https://cloud.oebiotech.com/#/lm/network/63721</v>
      </c>
      <c r="I2272" s="2" t="s">
        <v>19657</v>
      </c>
      <c r="J2272" s="2">
        <v>95057</v>
      </c>
      <c r="K2272" s="2"/>
      <c r="L2272" s="2">
        <v>24797519</v>
      </c>
      <c r="M2272" s="2"/>
      <c r="N2272" s="2"/>
      <c r="O2272" s="2"/>
      <c r="P2272" s="2">
        <v>169788</v>
      </c>
      <c r="Q2272" s="2"/>
      <c r="R2272" s="2"/>
      <c r="S2272" s="2" t="s">
        <v>19658</v>
      </c>
      <c r="T2272" s="2" t="s">
        <v>19659</v>
      </c>
      <c r="U2272" s="2" t="s">
        <v>19660</v>
      </c>
      <c r="V2272" s="2" t="s">
        <v>115</v>
      </c>
      <c r="W2272" s="2" t="s">
        <v>116</v>
      </c>
      <c r="X2272" s="2" t="s">
        <v>769</v>
      </c>
      <c r="Y2272" s="2" t="s">
        <v>118</v>
      </c>
      <c r="Z2272" s="2" t="s">
        <v>119</v>
      </c>
      <c r="AA2272" s="2" t="s">
        <v>770</v>
      </c>
      <c r="AB2272" s="2" t="s">
        <v>8443</v>
      </c>
      <c r="AC2272" s="2">
        <v>37.29</v>
      </c>
      <c r="AD2272" s="2">
        <v>88.71</v>
      </c>
      <c r="AE2272" s="2">
        <v>0</v>
      </c>
      <c r="AF2272" s="2" t="s">
        <v>5614</v>
      </c>
      <c r="AG2272" s="2" t="s">
        <v>157</v>
      </c>
      <c r="AH2272" s="2" t="s">
        <v>19661</v>
      </c>
      <c r="AI2272" s="2">
        <v>1.45</v>
      </c>
      <c r="AJ2272" s="2">
        <v>16.434163629008399</v>
      </c>
      <c r="AK2272" s="2">
        <v>16.0509231525917</v>
      </c>
      <c r="AL2272" s="2">
        <v>16.387473144056202</v>
      </c>
      <c r="AM2272" s="2">
        <v>16.218017884610202</v>
      </c>
      <c r="AN2272" s="2">
        <v>16.373135846020102</v>
      </c>
      <c r="AO2272" s="2">
        <v>16.3193727631249</v>
      </c>
      <c r="AP2272" s="2">
        <v>16.2163415590061</v>
      </c>
      <c r="AQ2272" s="2">
        <v>16.3389816268479</v>
      </c>
      <c r="AR2272" s="2">
        <v>16.6454002022342</v>
      </c>
      <c r="AS2272" s="2">
        <v>14.7756961774008</v>
      </c>
      <c r="AT2272" s="2">
        <v>15.630577703381499</v>
      </c>
      <c r="AU2272" s="2">
        <v>16.323866997867199</v>
      </c>
      <c r="AV2272" s="2">
        <v>16.329637291102198</v>
      </c>
      <c r="AW2272" s="2">
        <v>14.1562103022199</v>
      </c>
      <c r="AX2272" s="2">
        <v>14.108440329784401</v>
      </c>
      <c r="AY2272" s="2">
        <v>15.5352443884818</v>
      </c>
      <c r="AZ2272" s="2">
        <v>15.071544902865901</v>
      </c>
      <c r="BA2272" s="2">
        <v>15.5876149227471</v>
      </c>
      <c r="BB2272" s="2">
        <v>16.7532044724272</v>
      </c>
      <c r="BC2272" s="2">
        <v>16.644026654410499</v>
      </c>
      <c r="BD2272" s="2">
        <v>15.457072695835199</v>
      </c>
      <c r="BE2272" s="2">
        <v>16.2897622545728</v>
      </c>
      <c r="BF2272" s="2">
        <v>15.683849668926999</v>
      </c>
      <c r="BG2272" s="2">
        <v>16.075643766441601</v>
      </c>
      <c r="BH2272" s="2">
        <v>17.651185914228101</v>
      </c>
      <c r="BI2272" s="2">
        <v>13.718572474722</v>
      </c>
      <c r="BJ2272" s="2">
        <v>14.5827870740646</v>
      </c>
      <c r="BK2272" s="2">
        <v>16.5895235826668</v>
      </c>
      <c r="BL2272" s="2">
        <v>13.1219009433647</v>
      </c>
      <c r="BM2272" s="2">
        <v>16.202707925113</v>
      </c>
      <c r="BN2272" s="2">
        <v>17.051030568895399</v>
      </c>
      <c r="BO2272" s="2">
        <v>17.197769483322599</v>
      </c>
      <c r="BP2272" s="2">
        <v>13.522045692691901</v>
      </c>
      <c r="BQ2272" s="2">
        <v>16.8164252106119</v>
      </c>
      <c r="BR2272" s="2">
        <v>15.251825586832901</v>
      </c>
      <c r="BS2272" s="2">
        <v>15.444517669492001</v>
      </c>
      <c r="BT2272" s="2">
        <v>16.429579842764099</v>
      </c>
      <c r="BU2272" s="2">
        <v>15.600963456380001</v>
      </c>
      <c r="BV2272" s="2">
        <v>16.269331443428801</v>
      </c>
      <c r="BW2272" s="2">
        <v>12.480262597174301</v>
      </c>
      <c r="BX2272" s="2">
        <v>15.608646403695399</v>
      </c>
      <c r="BY2272" s="2">
        <v>17.2892806380592</v>
      </c>
      <c r="BZ2272" s="2">
        <v>15.5782898330898</v>
      </c>
      <c r="CA2272" s="2">
        <v>15.013060476245901</v>
      </c>
      <c r="CB2272" s="2">
        <v>14.779175061839901</v>
      </c>
      <c r="CC2272" s="2">
        <v>15.6318199169036</v>
      </c>
      <c r="CD2272" s="2">
        <v>16.151126172253701</v>
      </c>
      <c r="CE2272" s="2">
        <v>16.240374336017499</v>
      </c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</row>
    <row r="2273" spans="1:97">
      <c r="A2273" s="2" t="s">
        <v>19662</v>
      </c>
      <c r="B2273" s="2">
        <v>289.08895000000001</v>
      </c>
      <c r="C2273" s="2">
        <v>3.7839999999999998</v>
      </c>
      <c r="D2273" s="2" t="s">
        <v>84</v>
      </c>
      <c r="E2273" s="2" t="s">
        <v>19663</v>
      </c>
      <c r="F2273" s="2" t="s">
        <v>19664</v>
      </c>
      <c r="G2273" s="2">
        <v>212841</v>
      </c>
      <c r="H2273" s="3" t="str">
        <f>HYPERLINK("https://cloud.oebiotech.com/#/lm/network/212841", "https://cloud.oebiotech.com/#/lm/network/212841")</f>
        <v>https://cloud.oebiotech.com/#/lm/network/212841</v>
      </c>
      <c r="I2273" s="2" t="s">
        <v>19665</v>
      </c>
      <c r="J2273" s="2"/>
      <c r="K2273" s="2"/>
      <c r="L2273" s="2">
        <v>4181</v>
      </c>
      <c r="M2273" s="2"/>
      <c r="N2273" s="2"/>
      <c r="O2273" s="2"/>
      <c r="P2273" s="2"/>
      <c r="Q2273" s="2"/>
      <c r="R2273" s="2"/>
      <c r="S2273" s="2"/>
      <c r="T2273" s="2" t="s">
        <v>19666</v>
      </c>
      <c r="U2273" s="2" t="s">
        <v>19667</v>
      </c>
      <c r="V2273" s="2" t="s">
        <v>338</v>
      </c>
      <c r="W2273" s="2" t="s">
        <v>339</v>
      </c>
      <c r="X2273" s="2" t="s">
        <v>663</v>
      </c>
      <c r="Y2273" s="2" t="s">
        <v>341</v>
      </c>
      <c r="Z2273" s="2" t="s">
        <v>341</v>
      </c>
      <c r="AA2273" s="2" t="s">
        <v>664</v>
      </c>
      <c r="AB2273" s="2" t="s">
        <v>8443</v>
      </c>
      <c r="AC2273" s="2">
        <v>37.29</v>
      </c>
      <c r="AD2273" s="2">
        <v>88.35</v>
      </c>
      <c r="AE2273" s="2">
        <v>0</v>
      </c>
      <c r="AF2273" s="2" t="s">
        <v>5614</v>
      </c>
      <c r="AG2273" s="2" t="s">
        <v>132</v>
      </c>
      <c r="AH2273" s="2" t="s">
        <v>19668</v>
      </c>
      <c r="AI2273" s="2">
        <v>-1.38</v>
      </c>
      <c r="AJ2273" s="2">
        <v>18.031121408920399</v>
      </c>
      <c r="AK2273" s="2">
        <v>17.775849891334101</v>
      </c>
      <c r="AL2273" s="2">
        <v>17.192358127311099</v>
      </c>
      <c r="AM2273" s="2">
        <v>17.472458657450002</v>
      </c>
      <c r="AN2273" s="2">
        <v>17.777153775789898</v>
      </c>
      <c r="AO2273" s="2">
        <v>18.193982675317098</v>
      </c>
      <c r="AP2273" s="2">
        <v>17.601416801943301</v>
      </c>
      <c r="AQ2273" s="2">
        <v>17.3112220886808</v>
      </c>
      <c r="AR2273" s="2">
        <v>9.6233145402724691</v>
      </c>
      <c r="AS2273" s="2">
        <v>9.6233145402724691</v>
      </c>
      <c r="AT2273" s="2">
        <v>15.1748800515564</v>
      </c>
      <c r="AU2273" s="2">
        <v>18.276242837386199</v>
      </c>
      <c r="AV2273" s="2">
        <v>18.915500972965201</v>
      </c>
      <c r="AW2273" s="2">
        <v>18.053538234521199</v>
      </c>
      <c r="AX2273" s="2">
        <v>18.5733775148726</v>
      </c>
      <c r="AY2273" s="2">
        <v>18.564520553287799</v>
      </c>
      <c r="AZ2273" s="2">
        <v>19.242340316949601</v>
      </c>
      <c r="BA2273" s="2">
        <v>18.0842841781426</v>
      </c>
      <c r="BB2273" s="2">
        <v>9.6233145402724691</v>
      </c>
      <c r="BC2273" s="2">
        <v>9.6233145402724691</v>
      </c>
      <c r="BD2273" s="2">
        <v>17.778475540973002</v>
      </c>
      <c r="BE2273" s="2">
        <v>17.4769432955223</v>
      </c>
      <c r="BF2273" s="2">
        <v>15.7909181103434</v>
      </c>
      <c r="BG2273" s="2">
        <v>9.6233145402724691</v>
      </c>
      <c r="BH2273" s="2">
        <v>17.998304713814601</v>
      </c>
      <c r="BI2273" s="2">
        <v>17.726136185694202</v>
      </c>
      <c r="BJ2273" s="2">
        <v>9.6233145402724691</v>
      </c>
      <c r="BK2273" s="2">
        <v>17.647022485570901</v>
      </c>
      <c r="BL2273" s="2">
        <v>17.6198075925859</v>
      </c>
      <c r="BM2273" s="2">
        <v>19.4038639478247</v>
      </c>
      <c r="BN2273" s="2">
        <v>18.493402855558401</v>
      </c>
      <c r="BO2273" s="2">
        <v>18.695630845842601</v>
      </c>
      <c r="BP2273" s="2">
        <v>18.150257500852799</v>
      </c>
      <c r="BQ2273" s="2">
        <v>17.203321235170801</v>
      </c>
      <c r="BR2273" s="2">
        <v>9.6233145402724691</v>
      </c>
      <c r="BS2273" s="2">
        <v>17.507659628936899</v>
      </c>
      <c r="BT2273" s="2">
        <v>9.6233145402724691</v>
      </c>
      <c r="BU2273" s="2">
        <v>17.490758527892702</v>
      </c>
      <c r="BV2273" s="2">
        <v>9.6233145402724691</v>
      </c>
      <c r="BW2273" s="2">
        <v>9.6233145402724691</v>
      </c>
      <c r="BX2273" s="2">
        <v>18.732188297836501</v>
      </c>
      <c r="BY2273" s="2">
        <v>19.368593528206599</v>
      </c>
      <c r="BZ2273" s="2">
        <v>9.6233145402724691</v>
      </c>
      <c r="CA2273" s="2">
        <v>19.229788426643399</v>
      </c>
      <c r="CB2273" s="2">
        <v>9.6233145402724691</v>
      </c>
      <c r="CC2273" s="2">
        <v>18.960890809758599</v>
      </c>
      <c r="CD2273" s="2">
        <v>17.933509995597099</v>
      </c>
      <c r="CE2273" s="2">
        <v>16.2936938196992</v>
      </c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</row>
    <row r="2274" spans="1:97">
      <c r="A2274" s="2" t="s">
        <v>19669</v>
      </c>
      <c r="B2274" s="2">
        <v>522.96632</v>
      </c>
      <c r="C2274" s="2">
        <v>4.7779999999999996</v>
      </c>
      <c r="D2274" s="2" t="s">
        <v>146</v>
      </c>
      <c r="E2274" s="2" t="s">
        <v>19670</v>
      </c>
      <c r="F2274" s="2" t="s">
        <v>19671</v>
      </c>
      <c r="G2274" s="2">
        <v>46979</v>
      </c>
      <c r="H2274" s="3" t="str">
        <f>HYPERLINK("https://cloud.oebiotech.com/#/lm/network/46979", "https://cloud.oebiotech.com/#/lm/network/46979")</f>
        <v>https://cloud.oebiotech.com/#/lm/network/46979</v>
      </c>
      <c r="I2274" s="2" t="s">
        <v>19672</v>
      </c>
      <c r="J2274" s="2">
        <v>58002</v>
      </c>
      <c r="K2274" s="2"/>
      <c r="L2274" s="2">
        <v>439296</v>
      </c>
      <c r="M2274" s="2" t="s">
        <v>19673</v>
      </c>
      <c r="N2274" s="2" t="s">
        <v>811</v>
      </c>
      <c r="O2274" s="2" t="s">
        <v>812</v>
      </c>
      <c r="P2274" s="2">
        <v>10049</v>
      </c>
      <c r="Q2274" s="2"/>
      <c r="R2274" s="2"/>
      <c r="S2274" s="2" t="s">
        <v>19674</v>
      </c>
      <c r="T2274" s="2" t="s">
        <v>19675</v>
      </c>
      <c r="U2274" s="2" t="s">
        <v>19676</v>
      </c>
      <c r="V2274" s="2" t="s">
        <v>818</v>
      </c>
      <c r="W2274" s="2" t="s">
        <v>9642</v>
      </c>
      <c r="X2274" s="2" t="s">
        <v>9643</v>
      </c>
      <c r="Y2274" s="2" t="s">
        <v>820</v>
      </c>
      <c r="Z2274" s="2" t="s">
        <v>9644</v>
      </c>
      <c r="AA2274" s="2" t="s">
        <v>9645</v>
      </c>
      <c r="AB2274" s="2" t="s">
        <v>8443</v>
      </c>
      <c r="AC2274" s="2">
        <v>37.28</v>
      </c>
      <c r="AD2274" s="2">
        <v>91.89</v>
      </c>
      <c r="AE2274" s="2">
        <v>0</v>
      </c>
      <c r="AF2274" s="2" t="s">
        <v>5614</v>
      </c>
      <c r="AG2274" s="2" t="s">
        <v>194</v>
      </c>
      <c r="AH2274" s="2" t="s">
        <v>19677</v>
      </c>
      <c r="AI2274" s="2">
        <v>2.1</v>
      </c>
      <c r="AJ2274" s="2">
        <v>16.373057488218102</v>
      </c>
      <c r="AK2274" s="2">
        <v>16.5908029526727</v>
      </c>
      <c r="AL2274" s="2">
        <v>16.140610722304899</v>
      </c>
      <c r="AM2274" s="2">
        <v>16.554384549340501</v>
      </c>
      <c r="AN2274" s="2">
        <v>16.4082627266102</v>
      </c>
      <c r="AO2274" s="2">
        <v>16.558055628400702</v>
      </c>
      <c r="AP2274" s="2">
        <v>16.457796229000401</v>
      </c>
      <c r="AQ2274" s="2">
        <v>16.575849721388</v>
      </c>
      <c r="AR2274" s="2">
        <v>14.161839669402299</v>
      </c>
      <c r="AS2274" s="2">
        <v>15.1390952422297</v>
      </c>
      <c r="AT2274" s="2">
        <v>16.050476827108699</v>
      </c>
      <c r="AU2274" s="2">
        <v>16.075452616825402</v>
      </c>
      <c r="AV2274" s="2">
        <v>13.474925234622701</v>
      </c>
      <c r="AW2274" s="2">
        <v>12.2901830420961</v>
      </c>
      <c r="AX2274" s="2">
        <v>18.3806228079217</v>
      </c>
      <c r="AY2274" s="2">
        <v>16.701456870239401</v>
      </c>
      <c r="AZ2274" s="2">
        <v>14.0713400098569</v>
      </c>
      <c r="BA2274" s="2">
        <v>18.350077586153802</v>
      </c>
      <c r="BB2274" s="2">
        <v>15.014157809322199</v>
      </c>
      <c r="BC2274" s="2">
        <v>9.6233145402724691</v>
      </c>
      <c r="BD2274" s="2">
        <v>15.5230856140978</v>
      </c>
      <c r="BE2274" s="2">
        <v>13.598150227805901</v>
      </c>
      <c r="BF2274" s="2">
        <v>17.793969524458799</v>
      </c>
      <c r="BG2274" s="2">
        <v>16.069762742580501</v>
      </c>
      <c r="BH2274" s="2">
        <v>9.6233145402724691</v>
      </c>
      <c r="BI2274" s="2">
        <v>19.024376536182</v>
      </c>
      <c r="BJ2274" s="2">
        <v>12.274739218648</v>
      </c>
      <c r="BK2274" s="2">
        <v>9.6233145402724691</v>
      </c>
      <c r="BL2274" s="2">
        <v>9.6233145402724691</v>
      </c>
      <c r="BM2274" s="2">
        <v>15.1668927209918</v>
      </c>
      <c r="BN2274" s="2">
        <v>14.611643851841199</v>
      </c>
      <c r="BO2274" s="2">
        <v>18.5257717861647</v>
      </c>
      <c r="BP2274" s="2">
        <v>9.6233145402724691</v>
      </c>
      <c r="BQ2274" s="2">
        <v>16.303521776013</v>
      </c>
      <c r="BR2274" s="2">
        <v>18.6072954886593</v>
      </c>
      <c r="BS2274" s="2">
        <v>17.1150922297252</v>
      </c>
      <c r="BT2274" s="2">
        <v>9.6233145402724691</v>
      </c>
      <c r="BU2274" s="2">
        <v>17.803157524202199</v>
      </c>
      <c r="BV2274" s="2">
        <v>17.548536718066401</v>
      </c>
      <c r="BW2274" s="2">
        <v>14.644141319288501</v>
      </c>
      <c r="BX2274" s="2">
        <v>13.9729465893432</v>
      </c>
      <c r="BY2274" s="2">
        <v>14.497672860827199</v>
      </c>
      <c r="BZ2274" s="2">
        <v>15.8844703337975</v>
      </c>
      <c r="CA2274" s="2">
        <v>16.753028407090401</v>
      </c>
      <c r="CB2274" s="2">
        <v>9.6233145402724691</v>
      </c>
      <c r="CC2274" s="2">
        <v>17.438179772679799</v>
      </c>
      <c r="CD2274" s="2">
        <v>12.9244525270663</v>
      </c>
      <c r="CE2274" s="2">
        <v>9.6233145402724691</v>
      </c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</row>
    <row r="2275" spans="1:97">
      <c r="A2275" s="2" t="s">
        <v>19678</v>
      </c>
      <c r="B2275" s="2">
        <v>352.17748999999998</v>
      </c>
      <c r="C2275" s="2">
        <v>12.582000000000001</v>
      </c>
      <c r="D2275" s="2" t="s">
        <v>84</v>
      </c>
      <c r="E2275" s="2" t="s">
        <v>19679</v>
      </c>
      <c r="F2275" s="2" t="s">
        <v>19680</v>
      </c>
      <c r="G2275" s="2">
        <v>53376</v>
      </c>
      <c r="H2275" s="3" t="str">
        <f>HYPERLINK("https://cloud.oebiotech.com/#/lm/network/53376", "https://cloud.oebiotech.com/#/lm/network/53376")</f>
        <v>https://cloud.oebiotech.com/#/lm/network/53376</v>
      </c>
      <c r="I2275" s="2" t="s">
        <v>19681</v>
      </c>
      <c r="J2275" s="2">
        <v>68879</v>
      </c>
      <c r="K2275" s="2"/>
      <c r="L2275" s="2">
        <v>5583</v>
      </c>
      <c r="M2275" s="2" t="s">
        <v>19682</v>
      </c>
      <c r="N2275" s="2"/>
      <c r="O2275" s="2"/>
      <c r="P2275" s="2">
        <v>119101</v>
      </c>
      <c r="Q2275" s="2"/>
      <c r="R2275" s="2"/>
      <c r="S2275" s="2" t="s">
        <v>19683</v>
      </c>
      <c r="T2275" s="2" t="s">
        <v>19684</v>
      </c>
      <c r="U2275" s="2" t="s">
        <v>19685</v>
      </c>
      <c r="V2275" s="2" t="s">
        <v>553</v>
      </c>
      <c r="W2275" s="2" t="s">
        <v>10339</v>
      </c>
      <c r="X2275" s="2" t="s">
        <v>10340</v>
      </c>
      <c r="Y2275" s="2" t="s">
        <v>556</v>
      </c>
      <c r="Z2275" s="2" t="s">
        <v>10341</v>
      </c>
      <c r="AA2275" s="2" t="s">
        <v>10342</v>
      </c>
      <c r="AB2275" s="2" t="s">
        <v>8443</v>
      </c>
      <c r="AC2275" s="2">
        <v>37.270000000000003</v>
      </c>
      <c r="AD2275" s="2">
        <v>86.35</v>
      </c>
      <c r="AE2275" s="2">
        <v>0</v>
      </c>
      <c r="AF2275" s="2" t="s">
        <v>5614</v>
      </c>
      <c r="AG2275" s="2" t="s">
        <v>1088</v>
      </c>
      <c r="AH2275" s="2" t="s">
        <v>19686</v>
      </c>
      <c r="AI2275" s="2">
        <v>-0.28000000000000003</v>
      </c>
      <c r="AJ2275" s="2">
        <v>18.990517065898398</v>
      </c>
      <c r="AK2275" s="2">
        <v>18.458589806315899</v>
      </c>
      <c r="AL2275" s="2">
        <v>18.4726343242253</v>
      </c>
      <c r="AM2275" s="2">
        <v>17.8507792096107</v>
      </c>
      <c r="AN2275" s="2">
        <v>18.833246516097301</v>
      </c>
      <c r="AO2275" s="2">
        <v>18.955135297205</v>
      </c>
      <c r="AP2275" s="2">
        <v>18.403017517579499</v>
      </c>
      <c r="AQ2275" s="2">
        <v>17.835306569687901</v>
      </c>
      <c r="AR2275" s="2">
        <v>9.6233145402724691</v>
      </c>
      <c r="AS2275" s="2">
        <v>17.244783302685899</v>
      </c>
      <c r="AT2275" s="2">
        <v>19.267357573744501</v>
      </c>
      <c r="AU2275" s="2">
        <v>18.175648516168302</v>
      </c>
      <c r="AV2275" s="2">
        <v>9.6233145402724691</v>
      </c>
      <c r="AW2275" s="2">
        <v>15.9184551860121</v>
      </c>
      <c r="AX2275" s="2">
        <v>20.136437613131999</v>
      </c>
      <c r="AY2275" s="2">
        <v>9.6233145402724691</v>
      </c>
      <c r="AZ2275" s="2">
        <v>9.6233145402724691</v>
      </c>
      <c r="BA2275" s="2">
        <v>19.111177095353</v>
      </c>
      <c r="BB2275" s="2">
        <v>17.759044882687601</v>
      </c>
      <c r="BC2275" s="2">
        <v>19.507337977957899</v>
      </c>
      <c r="BD2275" s="2">
        <v>9.6233145402724691</v>
      </c>
      <c r="BE2275" s="2">
        <v>9.6233145402724691</v>
      </c>
      <c r="BF2275" s="2">
        <v>17.257436093787899</v>
      </c>
      <c r="BG2275" s="2">
        <v>18.877354119025298</v>
      </c>
      <c r="BH2275" s="2">
        <v>9.6233145402724691</v>
      </c>
      <c r="BI2275" s="2">
        <v>19.8294578564613</v>
      </c>
      <c r="BJ2275" s="2">
        <v>9.6233145402724691</v>
      </c>
      <c r="BK2275" s="2">
        <v>9.6233145402724691</v>
      </c>
      <c r="BL2275" s="2">
        <v>19.565017412769802</v>
      </c>
      <c r="BM2275" s="2">
        <v>15.544743823119401</v>
      </c>
      <c r="BN2275" s="2">
        <v>9.6233145402724691</v>
      </c>
      <c r="BO2275" s="2">
        <v>18.958687112253902</v>
      </c>
      <c r="BP2275" s="2">
        <v>18.8823316588343</v>
      </c>
      <c r="BQ2275" s="2">
        <v>18.182840325314299</v>
      </c>
      <c r="BR2275" s="2">
        <v>18.740251478467499</v>
      </c>
      <c r="BS2275" s="2">
        <v>9.6233145402724691</v>
      </c>
      <c r="BT2275" s="2">
        <v>18.3855147924527</v>
      </c>
      <c r="BU2275" s="2">
        <v>19.236172080834098</v>
      </c>
      <c r="BV2275" s="2">
        <v>18.865878772472001</v>
      </c>
      <c r="BW2275" s="2">
        <v>17.430896301622798</v>
      </c>
      <c r="BX2275" s="2">
        <v>18.0727679465374</v>
      </c>
      <c r="BY2275" s="2">
        <v>9.6233145402724691</v>
      </c>
      <c r="BZ2275" s="2">
        <v>19.107411495853398</v>
      </c>
      <c r="CA2275" s="2">
        <v>9.6233145402724691</v>
      </c>
      <c r="CB2275" s="2">
        <v>18.617677876457201</v>
      </c>
      <c r="CC2275" s="2">
        <v>19.845998690139101</v>
      </c>
      <c r="CD2275" s="2">
        <v>16.129639822471301</v>
      </c>
      <c r="CE2275" s="2">
        <v>20.170656456170299</v>
      </c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</row>
    <row r="2276" spans="1:97">
      <c r="A2276" s="2" t="s">
        <v>19687</v>
      </c>
      <c r="B2276" s="2">
        <v>562.42220999999995</v>
      </c>
      <c r="C2276" s="2">
        <v>12.451000000000001</v>
      </c>
      <c r="D2276" s="2" t="s">
        <v>84</v>
      </c>
      <c r="E2276" s="2" t="s">
        <v>19688</v>
      </c>
      <c r="F2276" s="2" t="s">
        <v>19689</v>
      </c>
      <c r="G2276" s="2">
        <v>35000</v>
      </c>
      <c r="H2276" s="3" t="str">
        <f>HYPERLINK("https://cloud.oebiotech.com/#/lm/network/35000", "https://cloud.oebiotech.com/#/lm/network/35000")</f>
        <v>https://cloud.oebiotech.com/#/lm/network/35000</v>
      </c>
      <c r="I2276" s="2"/>
      <c r="J2276" s="2"/>
      <c r="K2276" s="2" t="s">
        <v>19690</v>
      </c>
      <c r="L2276" s="2"/>
      <c r="M2276" s="2"/>
      <c r="N2276" s="2"/>
      <c r="O2276" s="2"/>
      <c r="P2276" s="2"/>
      <c r="Q2276" s="2"/>
      <c r="R2276" s="2"/>
      <c r="S2276" s="2"/>
      <c r="T2276" s="2" t="s">
        <v>19691</v>
      </c>
      <c r="U2276" s="2" t="s">
        <v>19692</v>
      </c>
      <c r="V2276" s="2" t="s">
        <v>553</v>
      </c>
      <c r="W2276" s="2" t="s">
        <v>2193</v>
      </c>
      <c r="X2276" s="2" t="s">
        <v>375</v>
      </c>
      <c r="Y2276" s="2" t="s">
        <v>556</v>
      </c>
      <c r="Z2276" s="2" t="s">
        <v>2194</v>
      </c>
      <c r="AA2276" s="2"/>
      <c r="AB2276" s="2" t="s">
        <v>5118</v>
      </c>
      <c r="AC2276" s="2">
        <v>37.270000000000003</v>
      </c>
      <c r="AD2276" s="2">
        <v>74.75</v>
      </c>
      <c r="AE2276" s="2">
        <v>46</v>
      </c>
      <c r="AF2276" s="2" t="s">
        <v>19693</v>
      </c>
      <c r="AG2276" s="2" t="s">
        <v>132</v>
      </c>
      <c r="AH2276" s="2" t="s">
        <v>19694</v>
      </c>
      <c r="AI2276" s="2">
        <v>5.87</v>
      </c>
      <c r="AJ2276" s="2">
        <v>20.197111863209699</v>
      </c>
      <c r="AK2276" s="2">
        <v>20.180871132666201</v>
      </c>
      <c r="AL2276" s="2">
        <v>20.490393872348701</v>
      </c>
      <c r="AM2276" s="2">
        <v>20.5686629140543</v>
      </c>
      <c r="AN2276" s="2">
        <v>20.535011101621102</v>
      </c>
      <c r="AO2276" s="2">
        <v>20.5490698052254</v>
      </c>
      <c r="AP2276" s="2">
        <v>19.535394215279499</v>
      </c>
      <c r="AQ2276" s="2">
        <v>20.430865519548401</v>
      </c>
      <c r="AR2276" s="2">
        <v>19.3039215180345</v>
      </c>
      <c r="AS2276" s="2">
        <v>17.519945405946501</v>
      </c>
      <c r="AT2276" s="2">
        <v>17.986477600046602</v>
      </c>
      <c r="AU2276" s="2">
        <v>19.138929586777799</v>
      </c>
      <c r="AV2276" s="2">
        <v>18.981483554821601</v>
      </c>
      <c r="AW2276" s="2">
        <v>18.631942587856699</v>
      </c>
      <c r="AX2276" s="2">
        <v>19.8452815979376</v>
      </c>
      <c r="AY2276" s="2">
        <v>19.234951952603701</v>
      </c>
      <c r="AZ2276" s="2">
        <v>20.172727383745301</v>
      </c>
      <c r="BA2276" s="2">
        <v>18.406896551852299</v>
      </c>
      <c r="BB2276" s="2">
        <v>20.012350496907501</v>
      </c>
      <c r="BC2276" s="2">
        <v>19.0842714078873</v>
      </c>
      <c r="BD2276" s="2">
        <v>18.8816370794313</v>
      </c>
      <c r="BE2276" s="2">
        <v>18.886096523694601</v>
      </c>
      <c r="BF2276" s="2">
        <v>18.1658546897097</v>
      </c>
      <c r="BG2276" s="2">
        <v>20.2074528663363</v>
      </c>
      <c r="BH2276" s="2">
        <v>18.567584223756199</v>
      </c>
      <c r="BI2276" s="2">
        <v>18.0592416761273</v>
      </c>
      <c r="BJ2276" s="2">
        <v>19.2036022246069</v>
      </c>
      <c r="BK2276" s="2">
        <v>18.786648396422098</v>
      </c>
      <c r="BL2276" s="2">
        <v>19.2097653801831</v>
      </c>
      <c r="BM2276" s="2">
        <v>21.626202099230799</v>
      </c>
      <c r="BN2276" s="2">
        <v>19.4437743551625</v>
      </c>
      <c r="BO2276" s="2">
        <v>21.310005359155099</v>
      </c>
      <c r="BP2276" s="2">
        <v>20.612231642902199</v>
      </c>
      <c r="BQ2276" s="2">
        <v>20.365062892861999</v>
      </c>
      <c r="BR2276" s="2">
        <v>21.378314475331901</v>
      </c>
      <c r="BS2276" s="2">
        <v>20.577833926120199</v>
      </c>
      <c r="BT2276" s="2">
        <v>21.567444982139701</v>
      </c>
      <c r="BU2276" s="2">
        <v>19.599867869831499</v>
      </c>
      <c r="BV2276" s="2">
        <v>20.745317702347101</v>
      </c>
      <c r="BW2276" s="2">
        <v>20.430392907766599</v>
      </c>
      <c r="BX2276" s="2">
        <v>19.899248147240598</v>
      </c>
      <c r="BY2276" s="2">
        <v>20.278705960817302</v>
      </c>
      <c r="BZ2276" s="2">
        <v>18.972810205600901</v>
      </c>
      <c r="CA2276" s="2">
        <v>21.757387156601801</v>
      </c>
      <c r="CB2276" s="2">
        <v>17.083290979344302</v>
      </c>
      <c r="CC2276" s="2">
        <v>17.9537229506861</v>
      </c>
      <c r="CD2276" s="2">
        <v>21.386792605047098</v>
      </c>
      <c r="CE2276" s="2">
        <v>20.4621954212407</v>
      </c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</row>
    <row r="2277" spans="1:97">
      <c r="A2277" s="2" t="s">
        <v>19695</v>
      </c>
      <c r="B2277" s="2">
        <v>129.04616999999999</v>
      </c>
      <c r="C2277" s="2">
        <v>4.3259999999999996</v>
      </c>
      <c r="D2277" s="2" t="s">
        <v>146</v>
      </c>
      <c r="E2277" s="2" t="s">
        <v>19696</v>
      </c>
      <c r="F2277" s="2" t="s">
        <v>19697</v>
      </c>
      <c r="G2277" s="2">
        <v>199759</v>
      </c>
      <c r="H2277" s="3" t="str">
        <f>HYPERLINK("https://cloud.oebiotech.com/#/lm/network/199759", "https://cloud.oebiotech.com/#/lm/network/199759")</f>
        <v>https://cloud.oebiotech.com/#/lm/network/199759</v>
      </c>
      <c r="I2277" s="2" t="s">
        <v>19698</v>
      </c>
      <c r="J2277" s="2">
        <v>461044</v>
      </c>
      <c r="K2277" s="2"/>
      <c r="L2277" s="2">
        <v>136070</v>
      </c>
      <c r="M2277" s="2"/>
      <c r="N2277" s="2"/>
      <c r="O2277" s="2"/>
      <c r="P2277" s="2">
        <v>36625</v>
      </c>
      <c r="Q2277" s="2"/>
      <c r="R2277" s="2"/>
      <c r="S2277" s="2"/>
      <c r="T2277" s="2" t="s">
        <v>19699</v>
      </c>
      <c r="U2277" s="2" t="s">
        <v>19700</v>
      </c>
      <c r="V2277" s="2" t="s">
        <v>553</v>
      </c>
      <c r="W2277" s="2" t="s">
        <v>10339</v>
      </c>
      <c r="X2277" s="2" t="s">
        <v>12776</v>
      </c>
      <c r="Y2277" s="2" t="s">
        <v>556</v>
      </c>
      <c r="Z2277" s="2" t="s">
        <v>10341</v>
      </c>
      <c r="AA2277" s="2" t="s">
        <v>12777</v>
      </c>
      <c r="AB2277" s="2" t="s">
        <v>8443</v>
      </c>
      <c r="AC2277" s="2">
        <v>37.270000000000003</v>
      </c>
      <c r="AD2277" s="2">
        <v>94.91</v>
      </c>
      <c r="AE2277" s="2">
        <v>0</v>
      </c>
      <c r="AF2277" s="2" t="s">
        <v>5614</v>
      </c>
      <c r="AG2277" s="2" t="s">
        <v>194</v>
      </c>
      <c r="AH2277" s="2" t="s">
        <v>19701</v>
      </c>
      <c r="AI2277" s="2">
        <v>-2.71</v>
      </c>
      <c r="AJ2277" s="2">
        <v>18.908375761006599</v>
      </c>
      <c r="AK2277" s="2">
        <v>18.6378940025707</v>
      </c>
      <c r="AL2277" s="2">
        <v>18.783092909540599</v>
      </c>
      <c r="AM2277" s="2">
        <v>18.566200234784901</v>
      </c>
      <c r="AN2277" s="2">
        <v>18.206015408549099</v>
      </c>
      <c r="AO2277" s="2">
        <v>18.6226285590445</v>
      </c>
      <c r="AP2277" s="2">
        <v>18.782814802741299</v>
      </c>
      <c r="AQ2277" s="2">
        <v>18.767225384826201</v>
      </c>
      <c r="AR2277" s="2">
        <v>17.2319903517261</v>
      </c>
      <c r="AS2277" s="2">
        <v>16.733243506081099</v>
      </c>
      <c r="AT2277" s="2">
        <v>17.965360543480902</v>
      </c>
      <c r="AU2277" s="2">
        <v>17.8868465512409</v>
      </c>
      <c r="AV2277" s="2">
        <v>17.681767066044301</v>
      </c>
      <c r="AW2277" s="2">
        <v>18.1188373286626</v>
      </c>
      <c r="AX2277" s="2">
        <v>18.2591376621458</v>
      </c>
      <c r="AY2277" s="2">
        <v>18.5200933184544</v>
      </c>
      <c r="AZ2277" s="2">
        <v>16.919572161466</v>
      </c>
      <c r="BA2277" s="2">
        <v>17.921395312996601</v>
      </c>
      <c r="BB2277" s="2">
        <v>18.3822836596656</v>
      </c>
      <c r="BC2277" s="2">
        <v>19.0082456473225</v>
      </c>
      <c r="BD2277" s="2">
        <v>18.252214612205801</v>
      </c>
      <c r="BE2277" s="2">
        <v>19.146854252130399</v>
      </c>
      <c r="BF2277" s="2">
        <v>19.271951995744899</v>
      </c>
      <c r="BG2277" s="2">
        <v>19.023569846998999</v>
      </c>
      <c r="BH2277" s="2">
        <v>18.364067309310101</v>
      </c>
      <c r="BI2277" s="2">
        <v>19.337282336745002</v>
      </c>
      <c r="BJ2277" s="2">
        <v>17.961617337361499</v>
      </c>
      <c r="BK2277" s="2">
        <v>17.994137557904601</v>
      </c>
      <c r="BL2277" s="2">
        <v>18.1233133266721</v>
      </c>
      <c r="BM2277" s="2">
        <v>18.293037221225301</v>
      </c>
      <c r="BN2277" s="2">
        <v>18.556014040872999</v>
      </c>
      <c r="BO2277" s="2">
        <v>18.2128525217706</v>
      </c>
      <c r="BP2277" s="2">
        <v>17.915228521135202</v>
      </c>
      <c r="BQ2277" s="2">
        <v>18.207249257726801</v>
      </c>
      <c r="BR2277" s="2">
        <v>18.531981443263</v>
      </c>
      <c r="BS2277" s="2">
        <v>18.355059267040399</v>
      </c>
      <c r="BT2277" s="2">
        <v>17.8154095655139</v>
      </c>
      <c r="BU2277" s="2">
        <v>17.353229029474701</v>
      </c>
      <c r="BV2277" s="2">
        <v>18.849890194012598</v>
      </c>
      <c r="BW2277" s="2">
        <v>17.312376909592999</v>
      </c>
      <c r="BX2277" s="2">
        <v>18.0372155940805</v>
      </c>
      <c r="BY2277" s="2">
        <v>18.658780363564301</v>
      </c>
      <c r="BZ2277" s="2">
        <v>18.620234433408299</v>
      </c>
      <c r="CA2277" s="2">
        <v>19.405568282889401</v>
      </c>
      <c r="CB2277" s="2">
        <v>18.1666493040555</v>
      </c>
      <c r="CC2277" s="2">
        <v>18.371528319499198</v>
      </c>
      <c r="CD2277" s="2">
        <v>18.7573482713495</v>
      </c>
      <c r="CE2277" s="2">
        <v>19.2997571988736</v>
      </c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</row>
    <row r="2278" spans="1:97">
      <c r="A2278" s="2" t="s">
        <v>19702</v>
      </c>
      <c r="B2278" s="2">
        <v>319.00409999999999</v>
      </c>
      <c r="C2278" s="2">
        <v>0.72799999999999998</v>
      </c>
      <c r="D2278" s="2" t="s">
        <v>84</v>
      </c>
      <c r="E2278" s="2" t="s">
        <v>19703</v>
      </c>
      <c r="F2278" s="2" t="s">
        <v>19704</v>
      </c>
      <c r="G2278" s="2">
        <v>596450</v>
      </c>
      <c r="H2278" s="3" t="str">
        <f>HYPERLINK("https://cloud.oebiotech.com/#/lm/network/596450", "https://cloud.oebiotech.com/#/lm/network/596450")</f>
        <v>https://cloud.oebiotech.com/#/lm/network/596450</v>
      </c>
      <c r="I2278" s="2"/>
      <c r="J2278" s="2"/>
      <c r="K2278" s="2"/>
      <c r="L2278" s="2">
        <v>131833834</v>
      </c>
      <c r="M2278" s="2"/>
      <c r="N2278" s="2"/>
      <c r="O2278" s="2"/>
      <c r="P2278" s="2"/>
      <c r="Q2278" s="2"/>
      <c r="R2278" s="2"/>
      <c r="S2278" s="2"/>
      <c r="T2278" s="2" t="s">
        <v>19705</v>
      </c>
      <c r="U2278" s="2" t="s">
        <v>19706</v>
      </c>
      <c r="V2278" s="2" t="s">
        <v>338</v>
      </c>
      <c r="W2278" s="2" t="s">
        <v>339</v>
      </c>
      <c r="X2278" s="2" t="s">
        <v>663</v>
      </c>
      <c r="Y2278" s="2" t="s">
        <v>341</v>
      </c>
      <c r="Z2278" s="2" t="s">
        <v>341</v>
      </c>
      <c r="AA2278" s="2" t="s">
        <v>664</v>
      </c>
      <c r="AB2278" s="2" t="s">
        <v>8443</v>
      </c>
      <c r="AC2278" s="2">
        <v>37.26</v>
      </c>
      <c r="AD2278" s="2">
        <v>73.92</v>
      </c>
      <c r="AE2278" s="2">
        <v>0</v>
      </c>
      <c r="AF2278" s="2" t="s">
        <v>5614</v>
      </c>
      <c r="AG2278" s="2" t="s">
        <v>3544</v>
      </c>
      <c r="AH2278" s="2" t="s">
        <v>15042</v>
      </c>
      <c r="AI2278" s="2">
        <v>6.58</v>
      </c>
      <c r="AJ2278" s="2">
        <v>20.099056398001999</v>
      </c>
      <c r="AK2278" s="2">
        <v>19.761412691152</v>
      </c>
      <c r="AL2278" s="2">
        <v>20.505783095000201</v>
      </c>
      <c r="AM2278" s="2">
        <v>20.4506365459766</v>
      </c>
      <c r="AN2278" s="2">
        <v>19.731129996418598</v>
      </c>
      <c r="AO2278" s="2">
        <v>20.2502737911813</v>
      </c>
      <c r="AP2278" s="2">
        <v>20.525480549303602</v>
      </c>
      <c r="AQ2278" s="2">
        <v>20.241826954293099</v>
      </c>
      <c r="AR2278" s="2">
        <v>18.075889507943799</v>
      </c>
      <c r="AS2278" s="2">
        <v>9.6233145402724691</v>
      </c>
      <c r="AT2278" s="2">
        <v>18.2065423748396</v>
      </c>
      <c r="AU2278" s="2">
        <v>16.769381248468399</v>
      </c>
      <c r="AV2278" s="2">
        <v>19.2343997336386</v>
      </c>
      <c r="AW2278" s="2">
        <v>19.067272717629699</v>
      </c>
      <c r="AX2278" s="2">
        <v>18.788226374628799</v>
      </c>
      <c r="AY2278" s="2">
        <v>18.922087804344901</v>
      </c>
      <c r="AZ2278" s="2">
        <v>18.872122552973401</v>
      </c>
      <c r="BA2278" s="2">
        <v>17.9315652799757</v>
      </c>
      <c r="BB2278" s="2">
        <v>20.056238238492501</v>
      </c>
      <c r="BC2278" s="2">
        <v>20.9613694268789</v>
      </c>
      <c r="BD2278" s="2">
        <v>19.346809870949201</v>
      </c>
      <c r="BE2278" s="2">
        <v>19.667473629530299</v>
      </c>
      <c r="BF2278" s="2">
        <v>19.220424549617501</v>
      </c>
      <c r="BG2278" s="2">
        <v>20.620089072838201</v>
      </c>
      <c r="BH2278" s="2">
        <v>19.386549472319601</v>
      </c>
      <c r="BI2278" s="2">
        <v>19.7752874796968</v>
      </c>
      <c r="BJ2278" s="2">
        <v>19.6470999426958</v>
      </c>
      <c r="BK2278" s="2">
        <v>19.339004208459802</v>
      </c>
      <c r="BL2278" s="2">
        <v>19.420802484409901</v>
      </c>
      <c r="BM2278" s="2">
        <v>19.245551313620499</v>
      </c>
      <c r="BN2278" s="2">
        <v>18.651788887740398</v>
      </c>
      <c r="BO2278" s="2">
        <v>18.277231270819399</v>
      </c>
      <c r="BP2278" s="2">
        <v>19.5467386457134</v>
      </c>
      <c r="BQ2278" s="2">
        <v>19.269040225557799</v>
      </c>
      <c r="BR2278" s="2">
        <v>19.694773366767699</v>
      </c>
      <c r="BS2278" s="2">
        <v>19.7632128207694</v>
      </c>
      <c r="BT2278" s="2">
        <v>20.600907431321499</v>
      </c>
      <c r="BU2278" s="2">
        <v>19.021560541743199</v>
      </c>
      <c r="BV2278" s="2">
        <v>21.6573224145097</v>
      </c>
      <c r="BW2278" s="2">
        <v>20.7208892099646</v>
      </c>
      <c r="BX2278" s="2">
        <v>19.1617754446312</v>
      </c>
      <c r="BY2278" s="2">
        <v>20.3258514774103</v>
      </c>
      <c r="BZ2278" s="2">
        <v>21.114747367072098</v>
      </c>
      <c r="CA2278" s="2">
        <v>21.261448886766601</v>
      </c>
      <c r="CB2278" s="2">
        <v>21.193816714561301</v>
      </c>
      <c r="CC2278" s="2">
        <v>19.163142954589102</v>
      </c>
      <c r="CD2278" s="2">
        <v>19.757550129550701</v>
      </c>
      <c r="CE2278" s="2">
        <v>19.185186739975101</v>
      </c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</row>
    <row r="2279" spans="1:97">
      <c r="A2279" s="2" t="s">
        <v>19707</v>
      </c>
      <c r="B2279" s="2">
        <v>293.02744000000001</v>
      </c>
      <c r="C2279" s="2">
        <v>6.5830000000000002</v>
      </c>
      <c r="D2279" s="2" t="s">
        <v>146</v>
      </c>
      <c r="E2279" s="2" t="s">
        <v>19708</v>
      </c>
      <c r="F2279" s="2" t="s">
        <v>19709</v>
      </c>
      <c r="G2279" s="2">
        <v>199539</v>
      </c>
      <c r="H2279" s="3" t="str">
        <f>HYPERLINK("https://cloud.oebiotech.com/#/lm/network/199539", "https://cloud.oebiotech.com/#/lm/network/199539")</f>
        <v>https://cloud.oebiotech.com/#/lm/network/199539</v>
      </c>
      <c r="I2279" s="2" t="s">
        <v>19710</v>
      </c>
      <c r="J2279" s="2">
        <v>417493</v>
      </c>
      <c r="K2279" s="2"/>
      <c r="L2279" s="2">
        <v>131320</v>
      </c>
      <c r="M2279" s="2"/>
      <c r="N2279" s="2"/>
      <c r="O2279" s="2"/>
      <c r="P2279" s="2"/>
      <c r="Q2279" s="2"/>
      <c r="R2279" s="2"/>
      <c r="S2279" s="2"/>
      <c r="T2279" s="2" t="s">
        <v>19711</v>
      </c>
      <c r="U2279" s="2" t="s">
        <v>19712</v>
      </c>
      <c r="V2279" s="2" t="s">
        <v>385</v>
      </c>
      <c r="W2279" s="2" t="s">
        <v>19298</v>
      </c>
      <c r="X2279" s="2" t="s">
        <v>375</v>
      </c>
      <c r="Y2279" s="2" t="s">
        <v>388</v>
      </c>
      <c r="Z2279" s="2" t="s">
        <v>19299</v>
      </c>
      <c r="AA2279" s="2"/>
      <c r="AB2279" s="2" t="s">
        <v>8443</v>
      </c>
      <c r="AC2279" s="2">
        <v>37.25</v>
      </c>
      <c r="AD2279" s="2">
        <v>86.26</v>
      </c>
      <c r="AE2279" s="2">
        <v>0</v>
      </c>
      <c r="AF2279" s="2" t="s">
        <v>19713</v>
      </c>
      <c r="AG2279" s="2" t="s">
        <v>993</v>
      </c>
      <c r="AH2279" s="2" t="s">
        <v>19714</v>
      </c>
      <c r="AI2279" s="2">
        <v>-0.34</v>
      </c>
      <c r="AJ2279" s="2">
        <v>17.279048551013499</v>
      </c>
      <c r="AK2279" s="2">
        <v>17.280915184620099</v>
      </c>
      <c r="AL2279" s="2">
        <v>17.114296152060302</v>
      </c>
      <c r="AM2279" s="2">
        <v>17.060737406041</v>
      </c>
      <c r="AN2279" s="2">
        <v>17.145830871886499</v>
      </c>
      <c r="AO2279" s="2">
        <v>16.866193220863298</v>
      </c>
      <c r="AP2279" s="2">
        <v>16.7999880715732</v>
      </c>
      <c r="AQ2279" s="2">
        <v>16.669984254782801</v>
      </c>
      <c r="AR2279" s="2">
        <v>14.375524819824699</v>
      </c>
      <c r="AS2279" s="2">
        <v>15.7111364576316</v>
      </c>
      <c r="AT2279" s="2">
        <v>16.4216274947029</v>
      </c>
      <c r="AU2279" s="2">
        <v>15.442402513344501</v>
      </c>
      <c r="AV2279" s="2">
        <v>16.391087481485901</v>
      </c>
      <c r="AW2279" s="2">
        <v>12.2559284977294</v>
      </c>
      <c r="AX2279" s="2">
        <v>18.6430796164477</v>
      </c>
      <c r="AY2279" s="2">
        <v>16.467293174319199</v>
      </c>
      <c r="AZ2279" s="2">
        <v>15.478163208807601</v>
      </c>
      <c r="BA2279" s="2">
        <v>17.722491373448801</v>
      </c>
      <c r="BB2279" s="2">
        <v>15.0118238863447</v>
      </c>
      <c r="BC2279" s="2">
        <v>14.1981618463878</v>
      </c>
      <c r="BD2279" s="2">
        <v>16.4284292042198</v>
      </c>
      <c r="BE2279" s="2">
        <v>17.9595666973268</v>
      </c>
      <c r="BF2279" s="2">
        <v>17.327860306689601</v>
      </c>
      <c r="BG2279" s="2">
        <v>16.540932608395099</v>
      </c>
      <c r="BH2279" s="2">
        <v>9.6233145402724691</v>
      </c>
      <c r="BI2279" s="2">
        <v>19.416718063243099</v>
      </c>
      <c r="BJ2279" s="2">
        <v>14.365553528476299</v>
      </c>
      <c r="BK2279" s="2">
        <v>9.6233145402724691</v>
      </c>
      <c r="BL2279" s="2">
        <v>11.733371289469201</v>
      </c>
      <c r="BM2279" s="2">
        <v>16.0004683771852</v>
      </c>
      <c r="BN2279" s="2">
        <v>15.695310136883601</v>
      </c>
      <c r="BO2279" s="2">
        <v>18.425780698007301</v>
      </c>
      <c r="BP2279" s="2">
        <v>13.6216112084057</v>
      </c>
      <c r="BQ2279" s="2">
        <v>17.5931700618649</v>
      </c>
      <c r="BR2279" s="2">
        <v>19.473162405450399</v>
      </c>
      <c r="BS2279" s="2">
        <v>17.0429285650055</v>
      </c>
      <c r="BT2279" s="2">
        <v>11.960400211561399</v>
      </c>
      <c r="BU2279" s="2">
        <v>18.246135823713399</v>
      </c>
      <c r="BV2279" s="2">
        <v>18.291136337036999</v>
      </c>
      <c r="BW2279" s="2">
        <v>15.6832583735521</v>
      </c>
      <c r="BX2279" s="2">
        <v>14.934321603846</v>
      </c>
      <c r="BY2279" s="2">
        <v>16.9931638502485</v>
      </c>
      <c r="BZ2279" s="2">
        <v>15.9921470437795</v>
      </c>
      <c r="CA2279" s="2">
        <v>16.844387026181099</v>
      </c>
      <c r="CB2279" s="2">
        <v>12.855160476065199</v>
      </c>
      <c r="CC2279" s="2">
        <v>17.930908587384099</v>
      </c>
      <c r="CD2279" s="2">
        <v>9.6233145402724691</v>
      </c>
      <c r="CE2279" s="2">
        <v>9.6233145402724691</v>
      </c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</row>
    <row r="2280" spans="1:97">
      <c r="A2280" s="2" t="s">
        <v>19715</v>
      </c>
      <c r="B2280" s="2">
        <v>379.16165000000001</v>
      </c>
      <c r="C2280" s="2">
        <v>8.8170000000000002</v>
      </c>
      <c r="D2280" s="2" t="s">
        <v>84</v>
      </c>
      <c r="E2280" s="2" t="s">
        <v>19716</v>
      </c>
      <c r="F2280" s="2" t="s">
        <v>19717</v>
      </c>
      <c r="G2280" s="2">
        <v>212775</v>
      </c>
      <c r="H2280" s="3" t="str">
        <f>HYPERLINK("https://cloud.oebiotech.com/#/lm/network/212775", "https://cloud.oebiotech.com/#/lm/network/212775")</f>
        <v>https://cloud.oebiotech.com/#/lm/network/212775</v>
      </c>
      <c r="I2280" s="2" t="s">
        <v>19718</v>
      </c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 t="s">
        <v>19719</v>
      </c>
      <c r="U2280" s="2" t="s">
        <v>19720</v>
      </c>
      <c r="V2280" s="2" t="s">
        <v>338</v>
      </c>
      <c r="W2280" s="2" t="s">
        <v>339</v>
      </c>
      <c r="X2280" s="2" t="s">
        <v>1663</v>
      </c>
      <c r="Y2280" s="2" t="s">
        <v>341</v>
      </c>
      <c r="Z2280" s="2" t="s">
        <v>341</v>
      </c>
      <c r="AA2280" s="2" t="s">
        <v>1664</v>
      </c>
      <c r="AB2280" s="2" t="s">
        <v>8443</v>
      </c>
      <c r="AC2280" s="2">
        <v>37.25</v>
      </c>
      <c r="AD2280" s="2">
        <v>87.83</v>
      </c>
      <c r="AE2280" s="2">
        <v>0</v>
      </c>
      <c r="AF2280" s="2" t="s">
        <v>5614</v>
      </c>
      <c r="AG2280" s="2" t="s">
        <v>132</v>
      </c>
      <c r="AH2280" s="2" t="s">
        <v>19721</v>
      </c>
      <c r="AI2280" s="2">
        <v>-1.32</v>
      </c>
      <c r="AJ2280" s="2">
        <v>19.524570179333899</v>
      </c>
      <c r="AK2280" s="2">
        <v>19.267223730999401</v>
      </c>
      <c r="AL2280" s="2">
        <v>19.175058545156102</v>
      </c>
      <c r="AM2280" s="2">
        <v>19.737859313377001</v>
      </c>
      <c r="AN2280" s="2">
        <v>19.835792478882901</v>
      </c>
      <c r="AO2280" s="2">
        <v>18.9497277010014</v>
      </c>
      <c r="AP2280" s="2">
        <v>19.332839966574799</v>
      </c>
      <c r="AQ2280" s="2">
        <v>19.9215379375567</v>
      </c>
      <c r="AR2280" s="2">
        <v>19.565943070515701</v>
      </c>
      <c r="AS2280" s="2">
        <v>19.212654921706701</v>
      </c>
      <c r="AT2280" s="2">
        <v>19.3654780043573</v>
      </c>
      <c r="AU2280" s="2">
        <v>19.0940268722212</v>
      </c>
      <c r="AV2280" s="2">
        <v>19.852418531876602</v>
      </c>
      <c r="AW2280" s="2">
        <v>20.4977452802347</v>
      </c>
      <c r="AX2280" s="2">
        <v>19.104410148129499</v>
      </c>
      <c r="AY2280" s="2">
        <v>20.2322668905705</v>
      </c>
      <c r="AZ2280" s="2">
        <v>19.6273282549977</v>
      </c>
      <c r="BA2280" s="2">
        <v>19.135723387377599</v>
      </c>
      <c r="BB2280" s="2">
        <v>18.867854124541001</v>
      </c>
      <c r="BC2280" s="2">
        <v>18.629027345312402</v>
      </c>
      <c r="BD2280" s="2">
        <v>19.662142326026999</v>
      </c>
      <c r="BE2280" s="2">
        <v>18.857832235037801</v>
      </c>
      <c r="BF2280" s="2">
        <v>19.300863756446699</v>
      </c>
      <c r="BG2280" s="2">
        <v>19.234345700103301</v>
      </c>
      <c r="BH2280" s="2">
        <v>19.672859664568001</v>
      </c>
      <c r="BI2280" s="2">
        <v>18.839142202033202</v>
      </c>
      <c r="BJ2280" s="2">
        <v>19.3983299222729</v>
      </c>
      <c r="BK2280" s="2">
        <v>19.464523515154902</v>
      </c>
      <c r="BL2280" s="2">
        <v>20.3640068130894</v>
      </c>
      <c r="BM2280" s="2">
        <v>19.5620983979959</v>
      </c>
      <c r="BN2280" s="2">
        <v>19.5611026433867</v>
      </c>
      <c r="BO2280" s="2">
        <v>20.4770976005459</v>
      </c>
      <c r="BP2280" s="2">
        <v>19.498528292396401</v>
      </c>
      <c r="BQ2280" s="2">
        <v>19.366029905685899</v>
      </c>
      <c r="BR2280" s="2">
        <v>18.762423242036402</v>
      </c>
      <c r="BS2280" s="2">
        <v>18.868718881453201</v>
      </c>
      <c r="BT2280" s="2">
        <v>19.084829845201199</v>
      </c>
      <c r="BU2280" s="2">
        <v>20.159995051992301</v>
      </c>
      <c r="BV2280" s="2">
        <v>19.386837569009401</v>
      </c>
      <c r="BW2280" s="2">
        <v>19.467892213143401</v>
      </c>
      <c r="BX2280" s="2">
        <v>19.836240896060701</v>
      </c>
      <c r="BY2280" s="2">
        <v>19.401501898551899</v>
      </c>
      <c r="BZ2280" s="2">
        <v>19.8758832152308</v>
      </c>
      <c r="CA2280" s="2">
        <v>18.523266673203999</v>
      </c>
      <c r="CB2280" s="2">
        <v>20.651832314176701</v>
      </c>
      <c r="CC2280" s="2">
        <v>19.334614039510001</v>
      </c>
      <c r="CD2280" s="2">
        <v>19.9979980268647</v>
      </c>
      <c r="CE2280" s="2">
        <v>19.403159896566699</v>
      </c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</row>
    <row r="2281" spans="1:97">
      <c r="A2281" s="2" t="s">
        <v>19722</v>
      </c>
      <c r="B2281" s="2">
        <v>328.32062999999999</v>
      </c>
      <c r="C2281" s="2">
        <v>9.9109999999999996</v>
      </c>
      <c r="D2281" s="2" t="s">
        <v>84</v>
      </c>
      <c r="E2281" s="2" t="s">
        <v>19723</v>
      </c>
      <c r="F2281" s="2" t="s">
        <v>19724</v>
      </c>
      <c r="G2281" s="2">
        <v>211392</v>
      </c>
      <c r="H2281" s="3" t="str">
        <f>HYPERLINK("https://cloud.oebiotech.com/#/lm/network/211392", "https://cloud.oebiotech.com/#/lm/network/211392")</f>
        <v>https://cloud.oebiotech.com/#/lm/network/211392</v>
      </c>
      <c r="I2281" s="2" t="s">
        <v>19725</v>
      </c>
      <c r="J2281" s="2"/>
      <c r="K2281" s="2"/>
      <c r="L2281" s="2">
        <v>54178976</v>
      </c>
      <c r="M2281" s="2"/>
      <c r="N2281" s="2"/>
      <c r="O2281" s="2"/>
      <c r="P2281" s="2"/>
      <c r="Q2281" s="2"/>
      <c r="R2281" s="2"/>
      <c r="S2281" s="2"/>
      <c r="T2281" s="2" t="s">
        <v>19726</v>
      </c>
      <c r="U2281" s="2" t="s">
        <v>19727</v>
      </c>
      <c r="V2281" s="2" t="s">
        <v>338</v>
      </c>
      <c r="W2281" s="2" t="s">
        <v>339</v>
      </c>
      <c r="X2281" s="2" t="s">
        <v>3877</v>
      </c>
      <c r="Y2281" s="2" t="s">
        <v>341</v>
      </c>
      <c r="Z2281" s="2" t="s">
        <v>341</v>
      </c>
      <c r="AA2281" s="2" t="s">
        <v>3878</v>
      </c>
      <c r="AB2281" s="2" t="s">
        <v>8443</v>
      </c>
      <c r="AC2281" s="2">
        <v>37.25</v>
      </c>
      <c r="AD2281" s="2">
        <v>87.37</v>
      </c>
      <c r="AE2281" s="2">
        <v>0</v>
      </c>
      <c r="AF2281" s="2" t="s">
        <v>5614</v>
      </c>
      <c r="AG2281" s="2" t="s">
        <v>103</v>
      </c>
      <c r="AH2281" s="2" t="s">
        <v>6771</v>
      </c>
      <c r="AI2281" s="2">
        <v>1.22</v>
      </c>
      <c r="AJ2281" s="2">
        <v>17.9584707572408</v>
      </c>
      <c r="AK2281" s="2">
        <v>17.846466014640999</v>
      </c>
      <c r="AL2281" s="2">
        <v>17.445971274778699</v>
      </c>
      <c r="AM2281" s="2">
        <v>17.010770224763</v>
      </c>
      <c r="AN2281" s="2">
        <v>17.686225495434101</v>
      </c>
      <c r="AO2281" s="2">
        <v>17.539389213067601</v>
      </c>
      <c r="AP2281" s="2">
        <v>18.2832764027529</v>
      </c>
      <c r="AQ2281" s="2">
        <v>17.920437298618999</v>
      </c>
      <c r="AR2281" s="2">
        <v>16.989088435784801</v>
      </c>
      <c r="AS2281" s="2">
        <v>17.577466815711901</v>
      </c>
      <c r="AT2281" s="2">
        <v>17.890678954238201</v>
      </c>
      <c r="AU2281" s="2">
        <v>17.242181287005302</v>
      </c>
      <c r="AV2281" s="2">
        <v>17.3913650230106</v>
      </c>
      <c r="AW2281" s="2">
        <v>17.315381776843001</v>
      </c>
      <c r="AX2281" s="2">
        <v>17.0667159016098</v>
      </c>
      <c r="AY2281" s="2">
        <v>16.583899871241801</v>
      </c>
      <c r="AZ2281" s="2">
        <v>17.421224860995299</v>
      </c>
      <c r="BA2281" s="2">
        <v>16.882536304701301</v>
      </c>
      <c r="BB2281" s="2">
        <v>17.688104939354599</v>
      </c>
      <c r="BC2281" s="2">
        <v>16.987689362286801</v>
      </c>
      <c r="BD2281" s="2">
        <v>17.828942963730601</v>
      </c>
      <c r="BE2281" s="2">
        <v>17.679021624609401</v>
      </c>
      <c r="BF2281" s="2">
        <v>17.793784587253601</v>
      </c>
      <c r="BG2281" s="2">
        <v>17.970640632836499</v>
      </c>
      <c r="BH2281" s="2">
        <v>17.578544290154898</v>
      </c>
      <c r="BI2281" s="2">
        <v>17.478432080216699</v>
      </c>
      <c r="BJ2281" s="2">
        <v>16.888656216607899</v>
      </c>
      <c r="BK2281" s="2">
        <v>17.8576529069671</v>
      </c>
      <c r="BL2281" s="2">
        <v>15.6180083171463</v>
      </c>
      <c r="BM2281" s="2">
        <v>17.0235420174163</v>
      </c>
      <c r="BN2281" s="2">
        <v>17.4712906773009</v>
      </c>
      <c r="BO2281" s="2">
        <v>17.535337806585499</v>
      </c>
      <c r="BP2281" s="2">
        <v>16.759007029887002</v>
      </c>
      <c r="BQ2281" s="2">
        <v>16.570495691901399</v>
      </c>
      <c r="BR2281" s="2">
        <v>17.4372969327076</v>
      </c>
      <c r="BS2281" s="2">
        <v>17.154599493343401</v>
      </c>
      <c r="BT2281" s="2">
        <v>17.147832151002898</v>
      </c>
      <c r="BU2281" s="2">
        <v>17.0586318950497</v>
      </c>
      <c r="BV2281" s="2">
        <v>16.389882532109599</v>
      </c>
      <c r="BW2281" s="2">
        <v>16.547456245735901</v>
      </c>
      <c r="BX2281" s="2">
        <v>17.5739847619468</v>
      </c>
      <c r="BY2281" s="2">
        <v>17.074139894422999</v>
      </c>
      <c r="BZ2281" s="2">
        <v>17.392307527026901</v>
      </c>
      <c r="CA2281" s="2">
        <v>16.629923192412399</v>
      </c>
      <c r="CB2281" s="2">
        <v>17.271426004384601</v>
      </c>
      <c r="CC2281" s="2">
        <v>16.360131044528401</v>
      </c>
      <c r="CD2281" s="2">
        <v>16.371793146769399</v>
      </c>
      <c r="CE2281" s="2">
        <v>16.971859198768001</v>
      </c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</row>
    <row r="2282" spans="1:97">
      <c r="A2282" s="2" t="s">
        <v>19728</v>
      </c>
      <c r="B2282" s="2">
        <v>332.17664000000002</v>
      </c>
      <c r="C2282" s="2">
        <v>11.582000000000001</v>
      </c>
      <c r="D2282" s="2" t="s">
        <v>84</v>
      </c>
      <c r="E2282" s="2" t="s">
        <v>19729</v>
      </c>
      <c r="F2282" s="2" t="s">
        <v>19730</v>
      </c>
      <c r="G2282" s="2">
        <v>255253</v>
      </c>
      <c r="H2282" s="3" t="str">
        <f>HYPERLINK("https://cloud.oebiotech.com/#/lm/network/255253", "https://cloud.oebiotech.com/#/lm/network/255253")</f>
        <v>https://cloud.oebiotech.com/#/lm/network/255253</v>
      </c>
      <c r="I2282" s="2" t="s">
        <v>19731</v>
      </c>
      <c r="J2282" s="2"/>
      <c r="K2282" s="2"/>
      <c r="L2282" s="2">
        <v>5389372</v>
      </c>
      <c r="M2282" s="2"/>
      <c r="N2282" s="2"/>
      <c r="O2282" s="2"/>
      <c r="P2282" s="2"/>
      <c r="Q2282" s="2"/>
      <c r="R2282" s="2"/>
      <c r="S2282" s="2"/>
      <c r="T2282" s="2" t="s">
        <v>19732</v>
      </c>
      <c r="U2282" s="2" t="s">
        <v>19733</v>
      </c>
      <c r="V2282" s="2" t="s">
        <v>553</v>
      </c>
      <c r="W2282" s="2" t="s">
        <v>10339</v>
      </c>
      <c r="X2282" s="2" t="s">
        <v>10340</v>
      </c>
      <c r="Y2282" s="2" t="s">
        <v>556</v>
      </c>
      <c r="Z2282" s="2" t="s">
        <v>10341</v>
      </c>
      <c r="AA2282" s="2" t="s">
        <v>10342</v>
      </c>
      <c r="AB2282" s="2" t="s">
        <v>8443</v>
      </c>
      <c r="AC2282" s="2">
        <v>37.24</v>
      </c>
      <c r="AD2282" s="2">
        <v>86.22</v>
      </c>
      <c r="AE2282" s="2">
        <v>0</v>
      </c>
      <c r="AF2282" s="2" t="s">
        <v>5614</v>
      </c>
      <c r="AG2282" s="2" t="s">
        <v>1088</v>
      </c>
      <c r="AH2282" s="2" t="s">
        <v>19734</v>
      </c>
      <c r="AI2282" s="2">
        <v>-0.9</v>
      </c>
      <c r="AJ2282" s="2">
        <v>20.3536917810438</v>
      </c>
      <c r="AK2282" s="2">
        <v>20.084794584328399</v>
      </c>
      <c r="AL2282" s="2">
        <v>19.697989113045399</v>
      </c>
      <c r="AM2282" s="2">
        <v>19.786514334303</v>
      </c>
      <c r="AN2282" s="2">
        <v>19.472442969751398</v>
      </c>
      <c r="AO2282" s="2">
        <v>19.860635659948201</v>
      </c>
      <c r="AP2282" s="2">
        <v>20.098062484151502</v>
      </c>
      <c r="AQ2282" s="2">
        <v>20.553834106242999</v>
      </c>
      <c r="AR2282" s="2">
        <v>19.814827282362199</v>
      </c>
      <c r="AS2282" s="2">
        <v>19.2733414990699</v>
      </c>
      <c r="AT2282" s="2">
        <v>20.1202468268154</v>
      </c>
      <c r="AU2282" s="2">
        <v>19.3612621250013</v>
      </c>
      <c r="AV2282" s="2">
        <v>19.413139096418099</v>
      </c>
      <c r="AW2282" s="2">
        <v>19.829272240577499</v>
      </c>
      <c r="AX2282" s="2">
        <v>20.503282702024698</v>
      </c>
      <c r="AY2282" s="2">
        <v>20.2344600569999</v>
      </c>
      <c r="AZ2282" s="2">
        <v>20.0052822105866</v>
      </c>
      <c r="BA2282" s="2">
        <v>19.1153155425528</v>
      </c>
      <c r="BB2282" s="2">
        <v>20.2015634033914</v>
      </c>
      <c r="BC2282" s="2">
        <v>20.595700660178501</v>
      </c>
      <c r="BD2282" s="2">
        <v>19.81462904196</v>
      </c>
      <c r="BE2282" s="2">
        <v>19.937574756866798</v>
      </c>
      <c r="BF2282" s="2">
        <v>19.0857097386858</v>
      </c>
      <c r="BG2282" s="2">
        <v>19.560953150020001</v>
      </c>
      <c r="BH2282" s="2">
        <v>20.1315359208247</v>
      </c>
      <c r="BI2282" s="2">
        <v>19.4846577713292</v>
      </c>
      <c r="BJ2282" s="2">
        <v>19.941611450203101</v>
      </c>
      <c r="BK2282" s="2">
        <v>19.681639741421499</v>
      </c>
      <c r="BL2282" s="2">
        <v>19.6007272764184</v>
      </c>
      <c r="BM2282" s="2">
        <v>19.4689576220104</v>
      </c>
      <c r="BN2282" s="2">
        <v>20.029394176687401</v>
      </c>
      <c r="BO2282" s="2">
        <v>19.768401279503401</v>
      </c>
      <c r="BP2282" s="2">
        <v>20.029233203088999</v>
      </c>
      <c r="BQ2282" s="2">
        <v>20.163257064134001</v>
      </c>
      <c r="BR2282" s="2">
        <v>20.3660942135268</v>
      </c>
      <c r="BS2282" s="2">
        <v>20.507332557455701</v>
      </c>
      <c r="BT2282" s="2">
        <v>19.989531195797898</v>
      </c>
      <c r="BU2282" s="2">
        <v>19.6740043590064</v>
      </c>
      <c r="BV2282" s="2">
        <v>20.454843182168698</v>
      </c>
      <c r="BW2282" s="2">
        <v>19.739188049149899</v>
      </c>
      <c r="BX2282" s="2">
        <v>20.046011878508001</v>
      </c>
      <c r="BY2282" s="2">
        <v>20.138774859551301</v>
      </c>
      <c r="BZ2282" s="2">
        <v>19.809368940000098</v>
      </c>
      <c r="CA2282" s="2">
        <v>20.323195212758598</v>
      </c>
      <c r="CB2282" s="2">
        <v>19.733010984111299</v>
      </c>
      <c r="CC2282" s="2">
        <v>19.2176187219947</v>
      </c>
      <c r="CD2282" s="2">
        <v>19.553649109989799</v>
      </c>
      <c r="CE2282" s="2">
        <v>19.138812974323798</v>
      </c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</row>
    <row r="2283" spans="1:97">
      <c r="A2283" s="2" t="s">
        <v>19735</v>
      </c>
      <c r="B2283" s="2">
        <v>271.16466000000003</v>
      </c>
      <c r="C2283" s="2">
        <v>5.2690000000000001</v>
      </c>
      <c r="D2283" s="2" t="s">
        <v>84</v>
      </c>
      <c r="E2283" s="2" t="s">
        <v>19736</v>
      </c>
      <c r="F2283" s="2" t="s">
        <v>19737</v>
      </c>
      <c r="G2283" s="2">
        <v>61230</v>
      </c>
      <c r="H2283" s="3" t="str">
        <f>HYPERLINK("https://cloud.oebiotech.com/#/lm/network/61230", "https://cloud.oebiotech.com/#/lm/network/61230")</f>
        <v>https://cloud.oebiotech.com/#/lm/network/61230</v>
      </c>
      <c r="I2283" s="2" t="s">
        <v>19738</v>
      </c>
      <c r="J2283" s="2">
        <v>92542</v>
      </c>
      <c r="K2283" s="2"/>
      <c r="L2283" s="2">
        <v>229888</v>
      </c>
      <c r="M2283" s="2"/>
      <c r="N2283" s="2"/>
      <c r="O2283" s="2"/>
      <c r="P2283" s="2"/>
      <c r="Q2283" s="2"/>
      <c r="R2283" s="2"/>
      <c r="S2283" s="2" t="s">
        <v>19739</v>
      </c>
      <c r="T2283" s="2" t="s">
        <v>19740</v>
      </c>
      <c r="U2283" s="2" t="s">
        <v>19741</v>
      </c>
      <c r="V2283" s="2" t="s">
        <v>95</v>
      </c>
      <c r="W2283" s="2" t="s">
        <v>96</v>
      </c>
      <c r="X2283" s="2" t="s">
        <v>97</v>
      </c>
      <c r="Y2283" s="2" t="s">
        <v>98</v>
      </c>
      <c r="Z2283" s="2" t="s">
        <v>99</v>
      </c>
      <c r="AA2283" s="2" t="s">
        <v>100</v>
      </c>
      <c r="AB2283" s="2" t="s">
        <v>5118</v>
      </c>
      <c r="AC2283" s="2">
        <v>37.24</v>
      </c>
      <c r="AD2283" s="2">
        <v>74.95</v>
      </c>
      <c r="AE2283" s="2">
        <v>59.62</v>
      </c>
      <c r="AF2283" s="2" t="s">
        <v>19742</v>
      </c>
      <c r="AG2283" s="2" t="s">
        <v>1578</v>
      </c>
      <c r="AH2283" s="2" t="s">
        <v>2503</v>
      </c>
      <c r="AI2283" s="2">
        <v>7.74</v>
      </c>
      <c r="AJ2283" s="2">
        <v>18.509737510961301</v>
      </c>
      <c r="AK2283" s="2">
        <v>18.580933936506199</v>
      </c>
      <c r="AL2283" s="2">
        <v>18.552418478622201</v>
      </c>
      <c r="AM2283" s="2">
        <v>18.500180555006999</v>
      </c>
      <c r="AN2283" s="2">
        <v>18.4538648145897</v>
      </c>
      <c r="AO2283" s="2">
        <v>18.701725968521899</v>
      </c>
      <c r="AP2283" s="2">
        <v>18.462043689049501</v>
      </c>
      <c r="AQ2283" s="2">
        <v>18.632090425524002</v>
      </c>
      <c r="AR2283" s="2">
        <v>13.943106343401899</v>
      </c>
      <c r="AS2283" s="2">
        <v>17.560026542504399</v>
      </c>
      <c r="AT2283" s="2">
        <v>16.846734108403499</v>
      </c>
      <c r="AU2283" s="2">
        <v>16.795154134606399</v>
      </c>
      <c r="AV2283" s="2">
        <v>17.470812879763201</v>
      </c>
      <c r="AW2283" s="2">
        <v>19.150747376455801</v>
      </c>
      <c r="AX2283" s="2">
        <v>17.996803583091999</v>
      </c>
      <c r="AY2283" s="2">
        <v>20.1290148767755</v>
      </c>
      <c r="AZ2283" s="2">
        <v>16.8659168819283</v>
      </c>
      <c r="BA2283" s="2">
        <v>18.127077236501201</v>
      </c>
      <c r="BB2283" s="2">
        <v>18.577834433101501</v>
      </c>
      <c r="BC2283" s="2">
        <v>18.535435167634802</v>
      </c>
      <c r="BD2283" s="2">
        <v>17.540664468309501</v>
      </c>
      <c r="BE2283" s="2">
        <v>19.096607329179601</v>
      </c>
      <c r="BF2283" s="2">
        <v>18.3525573874781</v>
      </c>
      <c r="BG2283" s="2">
        <v>16.664737122243899</v>
      </c>
      <c r="BH2283" s="2">
        <v>16.580043584267699</v>
      </c>
      <c r="BI2283" s="2">
        <v>16.6691113568608</v>
      </c>
      <c r="BJ2283" s="2">
        <v>18.279015758412498</v>
      </c>
      <c r="BK2283" s="2">
        <v>9.6233145402724691</v>
      </c>
      <c r="BL2283" s="2">
        <v>14.282820572774201</v>
      </c>
      <c r="BM2283" s="2">
        <v>17.026843167892</v>
      </c>
      <c r="BN2283" s="2">
        <v>16.866107595270702</v>
      </c>
      <c r="BO2283" s="2">
        <v>17.617150176394698</v>
      </c>
      <c r="BP2283" s="2">
        <v>17.053976563277701</v>
      </c>
      <c r="BQ2283" s="2">
        <v>18.594451197251701</v>
      </c>
      <c r="BR2283" s="2">
        <v>18.182099355275</v>
      </c>
      <c r="BS2283" s="2">
        <v>19.757657582578101</v>
      </c>
      <c r="BT2283" s="2">
        <v>18.894495371563998</v>
      </c>
      <c r="BU2283" s="2">
        <v>18.666689023600401</v>
      </c>
      <c r="BV2283" s="2">
        <v>19.075439219734601</v>
      </c>
      <c r="BW2283" s="2">
        <v>16.501163873764501</v>
      </c>
      <c r="BX2283" s="2">
        <v>16.622741934973401</v>
      </c>
      <c r="BY2283" s="2">
        <v>19.388866885296601</v>
      </c>
      <c r="BZ2283" s="2">
        <v>17.456868540305098</v>
      </c>
      <c r="CA2283" s="2">
        <v>17.463713222922699</v>
      </c>
      <c r="CB2283" s="2">
        <v>18.005816133443599</v>
      </c>
      <c r="CC2283" s="2">
        <v>16.389132352309701</v>
      </c>
      <c r="CD2283" s="2">
        <v>18.339864656921101</v>
      </c>
      <c r="CE2283" s="2">
        <v>14.4629546414663</v>
      </c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</row>
    <row r="2284" spans="1:97">
      <c r="A2284" s="2" t="s">
        <v>19743</v>
      </c>
      <c r="B2284" s="2">
        <v>453.20902000000001</v>
      </c>
      <c r="C2284" s="2">
        <v>4.3970000000000002</v>
      </c>
      <c r="D2284" s="2" t="s">
        <v>84</v>
      </c>
      <c r="E2284" s="2" t="s">
        <v>19744</v>
      </c>
      <c r="F2284" s="2" t="s">
        <v>19745</v>
      </c>
      <c r="G2284" s="2">
        <v>208185</v>
      </c>
      <c r="H2284" s="3" t="str">
        <f>HYPERLINK("https://cloud.oebiotech.com/#/lm/network/208185", "https://cloud.oebiotech.com/#/lm/network/208185")</f>
        <v>https://cloud.oebiotech.com/#/lm/network/208185</v>
      </c>
      <c r="I2284" s="2" t="s">
        <v>19746</v>
      </c>
      <c r="J2284" s="2"/>
      <c r="K2284" s="2"/>
      <c r="L2284" s="2">
        <v>3082392</v>
      </c>
      <c r="M2284" s="2"/>
      <c r="N2284" s="2"/>
      <c r="O2284" s="2"/>
      <c r="P2284" s="2"/>
      <c r="Q2284" s="2"/>
      <c r="R2284" s="2"/>
      <c r="S2284" s="2"/>
      <c r="T2284" s="2" t="s">
        <v>19747</v>
      </c>
      <c r="U2284" s="2" t="s">
        <v>19748</v>
      </c>
      <c r="V2284" s="2" t="s">
        <v>95</v>
      </c>
      <c r="W2284" s="2" t="s">
        <v>4009</v>
      </c>
      <c r="X2284" s="2" t="s">
        <v>375</v>
      </c>
      <c r="Y2284" s="2" t="s">
        <v>98</v>
      </c>
      <c r="Z2284" s="2" t="s">
        <v>4010</v>
      </c>
      <c r="AA2284" s="2"/>
      <c r="AB2284" s="2" t="s">
        <v>8443</v>
      </c>
      <c r="AC2284" s="2">
        <v>37.24</v>
      </c>
      <c r="AD2284" s="2">
        <v>86.69</v>
      </c>
      <c r="AE2284" s="2">
        <v>0</v>
      </c>
      <c r="AF2284" s="2" t="s">
        <v>5614</v>
      </c>
      <c r="AG2284" s="2" t="s">
        <v>1088</v>
      </c>
      <c r="AH2284" s="2" t="s">
        <v>19749</v>
      </c>
      <c r="AI2284" s="2">
        <v>-1.1000000000000001</v>
      </c>
      <c r="AJ2284" s="2">
        <v>16.642496682848801</v>
      </c>
      <c r="AK2284" s="2">
        <v>16.995165497734799</v>
      </c>
      <c r="AL2284" s="2">
        <v>17.563127511927998</v>
      </c>
      <c r="AM2284" s="2">
        <v>17.0722934158313</v>
      </c>
      <c r="AN2284" s="2">
        <v>16.944397626676999</v>
      </c>
      <c r="AO2284" s="2">
        <v>17.084449973554499</v>
      </c>
      <c r="AP2284" s="2">
        <v>17.1361742799368</v>
      </c>
      <c r="AQ2284" s="2">
        <v>17.0470321853951</v>
      </c>
      <c r="AR2284" s="2">
        <v>15.712247279206</v>
      </c>
      <c r="AS2284" s="2">
        <v>15.1424293934126</v>
      </c>
      <c r="AT2284" s="2">
        <v>16.788178699310201</v>
      </c>
      <c r="AU2284" s="2">
        <v>17.5602204925022</v>
      </c>
      <c r="AV2284" s="2">
        <v>16.261939905936099</v>
      </c>
      <c r="AW2284" s="2">
        <v>16.9621872681616</v>
      </c>
      <c r="AX2284" s="2">
        <v>16.830829227346701</v>
      </c>
      <c r="AY2284" s="2">
        <v>16.692840632815901</v>
      </c>
      <c r="AZ2284" s="2">
        <v>15.749180170631099</v>
      </c>
      <c r="BA2284" s="2">
        <v>16.3750063307304</v>
      </c>
      <c r="BB2284" s="2">
        <v>14.5701207503646</v>
      </c>
      <c r="BC2284" s="2">
        <v>9.6233145402724691</v>
      </c>
      <c r="BD2284" s="2">
        <v>16.933042481328499</v>
      </c>
      <c r="BE2284" s="2">
        <v>16.6792939776407</v>
      </c>
      <c r="BF2284" s="2">
        <v>17.327118138691901</v>
      </c>
      <c r="BG2284" s="2">
        <v>9.6233145402724691</v>
      </c>
      <c r="BH2284" s="2">
        <v>16.442776849506</v>
      </c>
      <c r="BI2284" s="2">
        <v>16.5524420076555</v>
      </c>
      <c r="BJ2284" s="2">
        <v>9.6233145402724691</v>
      </c>
      <c r="BK2284" s="2">
        <v>17.183130179195501</v>
      </c>
      <c r="BL2284" s="2">
        <v>16.358877977640699</v>
      </c>
      <c r="BM2284" s="2">
        <v>17.9774142641953</v>
      </c>
      <c r="BN2284" s="2">
        <v>16.527841665652701</v>
      </c>
      <c r="BO2284" s="2">
        <v>16.114657597910899</v>
      </c>
      <c r="BP2284" s="2">
        <v>16.577961596806901</v>
      </c>
      <c r="BQ2284" s="2">
        <v>16.488684958503701</v>
      </c>
      <c r="BR2284" s="2">
        <v>9.6233145402724691</v>
      </c>
      <c r="BS2284" s="2">
        <v>18.246167516197701</v>
      </c>
      <c r="BT2284" s="2">
        <v>14.281915541992801</v>
      </c>
      <c r="BU2284" s="2">
        <v>17.3491837648121</v>
      </c>
      <c r="BV2284" s="2">
        <v>9.6233145402724691</v>
      </c>
      <c r="BW2284" s="2">
        <v>9.6233145402724691</v>
      </c>
      <c r="BX2284" s="2">
        <v>16.8792947439774</v>
      </c>
      <c r="BY2284" s="2">
        <v>17.784185466853899</v>
      </c>
      <c r="BZ2284" s="2">
        <v>9.6233145402724691</v>
      </c>
      <c r="CA2284" s="2">
        <v>18.531472539950599</v>
      </c>
      <c r="CB2284" s="2">
        <v>9.6233145402724691</v>
      </c>
      <c r="CC2284" s="2">
        <v>14.043227264188401</v>
      </c>
      <c r="CD2284" s="2">
        <v>16.573831624595702</v>
      </c>
      <c r="CE2284" s="2">
        <v>17.624075899041699</v>
      </c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</row>
    <row r="2285" spans="1:97">
      <c r="A2285" s="2" t="s">
        <v>19750</v>
      </c>
      <c r="B2285" s="2">
        <v>320.09499</v>
      </c>
      <c r="C2285" s="2">
        <v>5.0739999999999998</v>
      </c>
      <c r="D2285" s="2" t="s">
        <v>84</v>
      </c>
      <c r="E2285" s="2" t="s">
        <v>19751</v>
      </c>
      <c r="F2285" s="2" t="s">
        <v>19752</v>
      </c>
      <c r="G2285" s="2">
        <v>200051</v>
      </c>
      <c r="H2285" s="3" t="str">
        <f>HYPERLINK("https://cloud.oebiotech.com/#/lm/network/200051", "https://cloud.oebiotech.com/#/lm/network/200051")</f>
        <v>https://cloud.oebiotech.com/#/lm/network/200051</v>
      </c>
      <c r="I2285" s="2" t="s">
        <v>19753</v>
      </c>
      <c r="J2285" s="2"/>
      <c r="K2285" s="2"/>
      <c r="L2285" s="2">
        <v>309599</v>
      </c>
      <c r="M2285" s="2"/>
      <c r="N2285" s="2"/>
      <c r="O2285" s="2"/>
      <c r="P2285" s="2"/>
      <c r="Q2285" s="2"/>
      <c r="R2285" s="2"/>
      <c r="S2285" s="2"/>
      <c r="T2285" s="2" t="s">
        <v>19754</v>
      </c>
      <c r="U2285" s="2" t="s">
        <v>19755</v>
      </c>
      <c r="V2285" s="2" t="s">
        <v>115</v>
      </c>
      <c r="W2285" s="2" t="s">
        <v>116</v>
      </c>
      <c r="X2285" s="2" t="s">
        <v>117</v>
      </c>
      <c r="Y2285" s="2" t="s">
        <v>118</v>
      </c>
      <c r="Z2285" s="2" t="s">
        <v>119</v>
      </c>
      <c r="AA2285" s="2" t="s">
        <v>120</v>
      </c>
      <c r="AB2285" s="2" t="s">
        <v>8443</v>
      </c>
      <c r="AC2285" s="2">
        <v>37.24</v>
      </c>
      <c r="AD2285" s="2">
        <v>86.2</v>
      </c>
      <c r="AE2285" s="2">
        <v>0</v>
      </c>
      <c r="AF2285" s="2" t="s">
        <v>19756</v>
      </c>
      <c r="AG2285" s="2" t="s">
        <v>103</v>
      </c>
      <c r="AH2285" s="2" t="s">
        <v>19757</v>
      </c>
      <c r="AI2285" s="2">
        <v>0.31</v>
      </c>
      <c r="AJ2285" s="2">
        <v>18.3632043648213</v>
      </c>
      <c r="AK2285" s="2">
        <v>18.410108997103499</v>
      </c>
      <c r="AL2285" s="2">
        <v>18.109621232057599</v>
      </c>
      <c r="AM2285" s="2">
        <v>18.452615807559798</v>
      </c>
      <c r="AN2285" s="2">
        <v>18.3475128924795</v>
      </c>
      <c r="AO2285" s="2">
        <v>18.160757133260901</v>
      </c>
      <c r="AP2285" s="2">
        <v>18.026045072812401</v>
      </c>
      <c r="AQ2285" s="2">
        <v>17.9606486845279</v>
      </c>
      <c r="AR2285" s="2">
        <v>9.6233145402724691</v>
      </c>
      <c r="AS2285" s="2">
        <v>15.5568978689518</v>
      </c>
      <c r="AT2285" s="2">
        <v>18.450581043053699</v>
      </c>
      <c r="AU2285" s="2">
        <v>18.540725946702398</v>
      </c>
      <c r="AV2285" s="2">
        <v>18.423479895497699</v>
      </c>
      <c r="AW2285" s="2">
        <v>19.227872409971301</v>
      </c>
      <c r="AX2285" s="2">
        <v>18.867344445809199</v>
      </c>
      <c r="AY2285" s="2">
        <v>18.7746208148283</v>
      </c>
      <c r="AZ2285" s="2">
        <v>18.5981107448895</v>
      </c>
      <c r="BA2285" s="2">
        <v>17.5302385951499</v>
      </c>
      <c r="BB2285" s="2">
        <v>14.567913901154499</v>
      </c>
      <c r="BC2285" s="2">
        <v>9.6233145402724691</v>
      </c>
      <c r="BD2285" s="2">
        <v>18.649112194184799</v>
      </c>
      <c r="BE2285" s="2">
        <v>18.8218756669661</v>
      </c>
      <c r="BF2285" s="2">
        <v>17.6251899959037</v>
      </c>
      <c r="BG2285" s="2">
        <v>15.1140692743864</v>
      </c>
      <c r="BH2285" s="2">
        <v>19.1141452686524</v>
      </c>
      <c r="BI2285" s="2">
        <v>19.5002739952144</v>
      </c>
      <c r="BJ2285" s="2">
        <v>9.6233145402724691</v>
      </c>
      <c r="BK2285" s="2">
        <v>19.324498004647999</v>
      </c>
      <c r="BL2285" s="2">
        <v>17.899697551820498</v>
      </c>
      <c r="BM2285" s="2">
        <v>18.6058631386855</v>
      </c>
      <c r="BN2285" s="2">
        <v>19.3092113175957</v>
      </c>
      <c r="BO2285" s="2">
        <v>17.7424533931067</v>
      </c>
      <c r="BP2285" s="2">
        <v>19.120167722686102</v>
      </c>
      <c r="BQ2285" s="2">
        <v>17.794200964127501</v>
      </c>
      <c r="BR2285" s="2">
        <v>9.6233145402724691</v>
      </c>
      <c r="BS2285" s="2">
        <v>16.757044348319099</v>
      </c>
      <c r="BT2285" s="2">
        <v>14.5100297787932</v>
      </c>
      <c r="BU2285" s="2">
        <v>18.852621826692801</v>
      </c>
      <c r="BV2285" s="2">
        <v>9.6233145402724691</v>
      </c>
      <c r="BW2285" s="2">
        <v>15.570683200244</v>
      </c>
      <c r="BX2285" s="2">
        <v>19.330767450140101</v>
      </c>
      <c r="BY2285" s="2">
        <v>20.013211294526101</v>
      </c>
      <c r="BZ2285" s="2">
        <v>9.6233145402724691</v>
      </c>
      <c r="CA2285" s="2">
        <v>9.6233145402724691</v>
      </c>
      <c r="CB2285" s="2">
        <v>9.6233145402724691</v>
      </c>
      <c r="CC2285" s="2">
        <v>18.460395340115799</v>
      </c>
      <c r="CD2285" s="2">
        <v>18.530932414255801</v>
      </c>
      <c r="CE2285" s="2">
        <v>18.079416447531099</v>
      </c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</row>
    <row r="2286" spans="1:97">
      <c r="A2286" s="2" t="s">
        <v>19758</v>
      </c>
      <c r="B2286" s="2">
        <v>231.01866999999999</v>
      </c>
      <c r="C2286" s="2">
        <v>3.53</v>
      </c>
      <c r="D2286" s="2" t="s">
        <v>84</v>
      </c>
      <c r="E2286" s="2" t="s">
        <v>19759</v>
      </c>
      <c r="F2286" s="2" t="s">
        <v>19760</v>
      </c>
      <c r="G2286" s="2">
        <v>201800</v>
      </c>
      <c r="H2286" s="3" t="str">
        <f>HYPERLINK("https://cloud.oebiotech.com/#/lm/network/201800", "https://cloud.oebiotech.com/#/lm/network/201800")</f>
        <v>https://cloud.oebiotech.com/#/lm/network/201800</v>
      </c>
      <c r="I2286" s="2" t="s">
        <v>19761</v>
      </c>
      <c r="J2286" s="2"/>
      <c r="K2286" s="2"/>
      <c r="L2286" s="2">
        <v>44148609</v>
      </c>
      <c r="M2286" s="2"/>
      <c r="N2286" s="2"/>
      <c r="O2286" s="2"/>
      <c r="P2286" s="2"/>
      <c r="Q2286" s="2"/>
      <c r="R2286" s="2"/>
      <c r="S2286" s="2"/>
      <c r="T2286" s="2" t="s">
        <v>19762</v>
      </c>
      <c r="U2286" s="2" t="s">
        <v>19763</v>
      </c>
      <c r="V2286" s="2" t="s">
        <v>553</v>
      </c>
      <c r="W2286" s="2" t="s">
        <v>554</v>
      </c>
      <c r="X2286" s="2" t="s">
        <v>10017</v>
      </c>
      <c r="Y2286" s="2" t="s">
        <v>556</v>
      </c>
      <c r="Z2286" s="2" t="s">
        <v>557</v>
      </c>
      <c r="AA2286" s="2" t="s">
        <v>10018</v>
      </c>
      <c r="AB2286" s="2" t="s">
        <v>8443</v>
      </c>
      <c r="AC2286" s="2">
        <v>37.229999999999997</v>
      </c>
      <c r="AD2286" s="2">
        <v>91.97</v>
      </c>
      <c r="AE2286" s="2">
        <v>0</v>
      </c>
      <c r="AF2286" s="2" t="s">
        <v>5614</v>
      </c>
      <c r="AG2286" s="2" t="s">
        <v>103</v>
      </c>
      <c r="AH2286" s="2" t="s">
        <v>19764</v>
      </c>
      <c r="AI2286" s="2">
        <v>-2.16</v>
      </c>
      <c r="AJ2286" s="2">
        <v>18.614169659631902</v>
      </c>
      <c r="AK2286" s="2">
        <v>18.864222847676601</v>
      </c>
      <c r="AL2286" s="2">
        <v>18.672292735230201</v>
      </c>
      <c r="AM2286" s="2">
        <v>17.5514477498281</v>
      </c>
      <c r="AN2286" s="2">
        <v>18.691835987922701</v>
      </c>
      <c r="AO2286" s="2">
        <v>18.4507148988171</v>
      </c>
      <c r="AP2286" s="2">
        <v>18.187875028824401</v>
      </c>
      <c r="AQ2286" s="2">
        <v>18.514066921188899</v>
      </c>
      <c r="AR2286" s="2">
        <v>18.6302442982931</v>
      </c>
      <c r="AS2286" s="2">
        <v>17.526493431666001</v>
      </c>
      <c r="AT2286" s="2">
        <v>17.995654711927099</v>
      </c>
      <c r="AU2286" s="2">
        <v>17.3918925991238</v>
      </c>
      <c r="AV2286" s="2">
        <v>18.7525240268494</v>
      </c>
      <c r="AW2286" s="2">
        <v>18.2875392457563</v>
      </c>
      <c r="AX2286" s="2">
        <v>18.637815519045301</v>
      </c>
      <c r="AY2286" s="2">
        <v>17.488948660731701</v>
      </c>
      <c r="AZ2286" s="2">
        <v>18.618011436857302</v>
      </c>
      <c r="BA2286" s="2">
        <v>18.203948188465802</v>
      </c>
      <c r="BB2286" s="2">
        <v>18.626075355467801</v>
      </c>
      <c r="BC2286" s="2">
        <v>18.365091137560601</v>
      </c>
      <c r="BD2286" s="2">
        <v>19.313378504177798</v>
      </c>
      <c r="BE2286" s="2">
        <v>18.747290686583899</v>
      </c>
      <c r="BF2286" s="2">
        <v>18.490508004813201</v>
      </c>
      <c r="BG2286" s="2">
        <v>20.878627608063901</v>
      </c>
      <c r="BH2286" s="2">
        <v>18.3939158275757</v>
      </c>
      <c r="BI2286" s="2">
        <v>19.825476237042398</v>
      </c>
      <c r="BJ2286" s="2">
        <v>18.857351293998502</v>
      </c>
      <c r="BK2286" s="2">
        <v>18.270432215382499</v>
      </c>
      <c r="BL2286" s="2">
        <v>18.313840411351201</v>
      </c>
      <c r="BM2286" s="2">
        <v>17.6858537327942</v>
      </c>
      <c r="BN2286" s="2">
        <v>18.4711381915563</v>
      </c>
      <c r="BO2286" s="2">
        <v>17.535439951978798</v>
      </c>
      <c r="BP2286" s="2">
        <v>18.293433973385401</v>
      </c>
      <c r="BQ2286" s="2">
        <v>18.584327667120601</v>
      </c>
      <c r="BR2286" s="2">
        <v>18.569086561722401</v>
      </c>
      <c r="BS2286" s="2">
        <v>17.870554063290299</v>
      </c>
      <c r="BT2286" s="2">
        <v>17.546719808236901</v>
      </c>
      <c r="BU2286" s="2">
        <v>18.186223753275701</v>
      </c>
      <c r="BV2286" s="2">
        <v>18.686195020522799</v>
      </c>
      <c r="BW2286" s="2">
        <v>17.492558538835699</v>
      </c>
      <c r="BX2286" s="2">
        <v>17.622136135354499</v>
      </c>
      <c r="BY2286" s="2">
        <v>17.791335506011599</v>
      </c>
      <c r="BZ2286" s="2">
        <v>17.251644763852099</v>
      </c>
      <c r="CA2286" s="2">
        <v>19.7642336958702</v>
      </c>
      <c r="CB2286" s="2">
        <v>18.0968482908991</v>
      </c>
      <c r="CC2286" s="2">
        <v>18.6463173079763</v>
      </c>
      <c r="CD2286" s="2">
        <v>17.872033459758701</v>
      </c>
      <c r="CE2286" s="2">
        <v>18.307500435079199</v>
      </c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</row>
    <row r="2287" spans="1:97">
      <c r="A2287" s="2" t="s">
        <v>19765</v>
      </c>
      <c r="B2287" s="2">
        <v>481.26155999999997</v>
      </c>
      <c r="C2287" s="2">
        <v>4.4989999999999997</v>
      </c>
      <c r="D2287" s="2" t="s">
        <v>84</v>
      </c>
      <c r="E2287" s="2" t="s">
        <v>19766</v>
      </c>
      <c r="F2287" s="2" t="s">
        <v>19767</v>
      </c>
      <c r="G2287" s="2">
        <v>46301</v>
      </c>
      <c r="H2287" s="3" t="str">
        <f>HYPERLINK("https://cloud.oebiotech.com/#/lm/network/46301", "https://cloud.oebiotech.com/#/lm/network/46301")</f>
        <v>https://cloud.oebiotech.com/#/lm/network/46301</v>
      </c>
      <c r="I2287" s="2"/>
      <c r="J2287" s="2"/>
      <c r="K2287" s="2" t="s">
        <v>19768</v>
      </c>
      <c r="L2287" s="2"/>
      <c r="M2287" s="2"/>
      <c r="N2287" s="2"/>
      <c r="O2287" s="2"/>
      <c r="P2287" s="2"/>
      <c r="Q2287" s="2"/>
      <c r="R2287" s="2"/>
      <c r="S2287" s="2"/>
      <c r="T2287" s="2" t="s">
        <v>19769</v>
      </c>
      <c r="U2287" s="2" t="s">
        <v>19770</v>
      </c>
      <c r="V2287" s="2" t="s">
        <v>95</v>
      </c>
      <c r="W2287" s="2" t="s">
        <v>152</v>
      </c>
      <c r="X2287" s="2" t="s">
        <v>278</v>
      </c>
      <c r="Y2287" s="2" t="s">
        <v>98</v>
      </c>
      <c r="Z2287" s="2" t="s">
        <v>154</v>
      </c>
      <c r="AA2287" s="2" t="s">
        <v>279</v>
      </c>
      <c r="AB2287" s="2" t="s">
        <v>8443</v>
      </c>
      <c r="AC2287" s="2">
        <v>37.229999999999997</v>
      </c>
      <c r="AD2287" s="2">
        <v>89.47</v>
      </c>
      <c r="AE2287" s="2">
        <v>0</v>
      </c>
      <c r="AF2287" s="2" t="s">
        <v>19771</v>
      </c>
      <c r="AG2287" s="2" t="s">
        <v>1088</v>
      </c>
      <c r="AH2287" s="2" t="s">
        <v>19772</v>
      </c>
      <c r="AI2287" s="2">
        <v>1.66</v>
      </c>
      <c r="AJ2287" s="2">
        <v>20.9092934301325</v>
      </c>
      <c r="AK2287" s="2">
        <v>20.832707365476399</v>
      </c>
      <c r="AL2287" s="2">
        <v>20.838212939357302</v>
      </c>
      <c r="AM2287" s="2">
        <v>20.695858963916599</v>
      </c>
      <c r="AN2287" s="2">
        <v>20.439902898464201</v>
      </c>
      <c r="AO2287" s="2">
        <v>20.752975121213101</v>
      </c>
      <c r="AP2287" s="2">
        <v>20.507683947766999</v>
      </c>
      <c r="AQ2287" s="2">
        <v>20.6724233823122</v>
      </c>
      <c r="AR2287" s="2">
        <v>19.5384145250069</v>
      </c>
      <c r="AS2287" s="2">
        <v>19.898324307756599</v>
      </c>
      <c r="AT2287" s="2">
        <v>20.614666489796399</v>
      </c>
      <c r="AU2287" s="2">
        <v>21.101914898017402</v>
      </c>
      <c r="AV2287" s="2">
        <v>20.776148384523101</v>
      </c>
      <c r="AW2287" s="2">
        <v>20.931618103407999</v>
      </c>
      <c r="AX2287" s="2">
        <v>19.921092307055702</v>
      </c>
      <c r="AY2287" s="2">
        <v>20.151512350366001</v>
      </c>
      <c r="AZ2287" s="2">
        <v>19.666873762833799</v>
      </c>
      <c r="BA2287" s="2">
        <v>19.695296082783599</v>
      </c>
      <c r="BB2287" s="2">
        <v>18.769955842747301</v>
      </c>
      <c r="BC2287" s="2">
        <v>19.067075254708499</v>
      </c>
      <c r="BD2287" s="2">
        <v>21.032821089844301</v>
      </c>
      <c r="BE2287" s="2">
        <v>20.675265576467599</v>
      </c>
      <c r="BF2287" s="2">
        <v>21.247356258649301</v>
      </c>
      <c r="BG2287" s="2">
        <v>18.6753035633641</v>
      </c>
      <c r="BH2287" s="2">
        <v>20.4551994720115</v>
      </c>
      <c r="BI2287" s="2">
        <v>20.853225256111202</v>
      </c>
      <c r="BJ2287" s="2">
        <v>18.5215090416071</v>
      </c>
      <c r="BK2287" s="2">
        <v>20.657594215122501</v>
      </c>
      <c r="BL2287" s="2">
        <v>20.631489525365598</v>
      </c>
      <c r="BM2287" s="2">
        <v>22.2636656618829</v>
      </c>
      <c r="BN2287" s="2">
        <v>20.2740508824104</v>
      </c>
      <c r="BO2287" s="2">
        <v>20.1522861422409</v>
      </c>
      <c r="BP2287" s="2">
        <v>20.304577616359499</v>
      </c>
      <c r="BQ2287" s="2">
        <v>21.0146538580189</v>
      </c>
      <c r="BR2287" s="2">
        <v>18.296553390977799</v>
      </c>
      <c r="BS2287" s="2">
        <v>21.322064023570899</v>
      </c>
      <c r="BT2287" s="2">
        <v>18.659914561604001</v>
      </c>
      <c r="BU2287" s="2">
        <v>20.256890527581302</v>
      </c>
      <c r="BV2287" s="2">
        <v>18.7801720176539</v>
      </c>
      <c r="BW2287" s="2">
        <v>18.6568039022177</v>
      </c>
      <c r="BX2287" s="2">
        <v>20.877859885045201</v>
      </c>
      <c r="BY2287" s="2">
        <v>21.405540383376898</v>
      </c>
      <c r="BZ2287" s="2">
        <v>18.573486765724699</v>
      </c>
      <c r="CA2287" s="2">
        <v>23.798160969147599</v>
      </c>
      <c r="CB2287" s="2">
        <v>19.121805782731698</v>
      </c>
      <c r="CC2287" s="2">
        <v>19.588298534593999</v>
      </c>
      <c r="CD2287" s="2">
        <v>20.794319676810499</v>
      </c>
      <c r="CE2287" s="2">
        <v>21.108159090254201</v>
      </c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</row>
    <row r="2288" spans="1:97">
      <c r="A2288" s="2" t="s">
        <v>19773</v>
      </c>
      <c r="B2288" s="2">
        <v>403.36142999999998</v>
      </c>
      <c r="C2288" s="2">
        <v>10.029999999999999</v>
      </c>
      <c r="D2288" s="2" t="s">
        <v>146</v>
      </c>
      <c r="E2288" s="2" t="s">
        <v>19774</v>
      </c>
      <c r="F2288" s="2" t="s">
        <v>19775</v>
      </c>
      <c r="G2288" s="2">
        <v>212569</v>
      </c>
      <c r="H2288" s="3" t="str">
        <f>HYPERLINK("https://cloud.oebiotech.com/#/lm/network/212569", "https://cloud.oebiotech.com/#/lm/network/212569")</f>
        <v>https://cloud.oebiotech.com/#/lm/network/212569</v>
      </c>
      <c r="I2288" s="2" t="s">
        <v>19776</v>
      </c>
      <c r="J2288" s="2">
        <v>316718</v>
      </c>
      <c r="K2288" s="2"/>
      <c r="L2288" s="2">
        <v>13831</v>
      </c>
      <c r="M2288" s="2"/>
      <c r="N2288" s="2"/>
      <c r="O2288" s="2"/>
      <c r="P2288" s="2"/>
      <c r="Q2288" s="2"/>
      <c r="R2288" s="2"/>
      <c r="S2288" s="2"/>
      <c r="T2288" s="2" t="s">
        <v>19777</v>
      </c>
      <c r="U2288" s="2" t="s">
        <v>19778</v>
      </c>
      <c r="V2288" s="2" t="s">
        <v>9466</v>
      </c>
      <c r="W2288" s="2" t="s">
        <v>19779</v>
      </c>
      <c r="X2288" s="2" t="s">
        <v>375</v>
      </c>
      <c r="Y2288" s="2" t="s">
        <v>9468</v>
      </c>
      <c r="Z2288" s="2" t="s">
        <v>19780</v>
      </c>
      <c r="AA2288" s="2"/>
      <c r="AB2288" s="2" t="s">
        <v>8443</v>
      </c>
      <c r="AC2288" s="2">
        <v>37.22</v>
      </c>
      <c r="AD2288" s="2">
        <v>98.43</v>
      </c>
      <c r="AE2288" s="2">
        <v>0</v>
      </c>
      <c r="AF2288" s="2" t="s">
        <v>19781</v>
      </c>
      <c r="AG2288" s="2" t="s">
        <v>3880</v>
      </c>
      <c r="AH2288" s="2" t="s">
        <v>19782</v>
      </c>
      <c r="AI2288" s="2">
        <v>3.47</v>
      </c>
      <c r="AJ2288" s="2">
        <v>22.931269601116199</v>
      </c>
      <c r="AK2288" s="2">
        <v>23.0380568629928</v>
      </c>
      <c r="AL2288" s="2">
        <v>22.907119469392299</v>
      </c>
      <c r="AM2288" s="2">
        <v>22.847862962159699</v>
      </c>
      <c r="AN2288" s="2">
        <v>22.8479846498726</v>
      </c>
      <c r="AO2288" s="2">
        <v>22.813284613835702</v>
      </c>
      <c r="AP2288" s="2">
        <v>22.788584422965599</v>
      </c>
      <c r="AQ2288" s="2">
        <v>22.766943870577101</v>
      </c>
      <c r="AR2288" s="2">
        <v>22.9071170317509</v>
      </c>
      <c r="AS2288" s="2">
        <v>23.126373979415899</v>
      </c>
      <c r="AT2288" s="2">
        <v>22.817181774662</v>
      </c>
      <c r="AU2288" s="2">
        <v>22.806222125978501</v>
      </c>
      <c r="AV2288" s="2">
        <v>22.809706489792699</v>
      </c>
      <c r="AW2288" s="2">
        <v>22.893442017765299</v>
      </c>
      <c r="AX2288" s="2">
        <v>22.899777556675598</v>
      </c>
      <c r="AY2288" s="2">
        <v>22.862255688873301</v>
      </c>
      <c r="AZ2288" s="2">
        <v>22.842552675663899</v>
      </c>
      <c r="BA2288" s="2">
        <v>22.928404422285499</v>
      </c>
      <c r="BB2288" s="2">
        <v>22.8191734590383</v>
      </c>
      <c r="BC2288" s="2">
        <v>22.980907102466102</v>
      </c>
      <c r="BD2288" s="2">
        <v>22.7956105888514</v>
      </c>
      <c r="BE2288" s="2">
        <v>22.8680960009562</v>
      </c>
      <c r="BF2288" s="2">
        <v>22.716154752120801</v>
      </c>
      <c r="BG2288" s="2">
        <v>22.846404062517198</v>
      </c>
      <c r="BH2288" s="2">
        <v>22.8802519601591</v>
      </c>
      <c r="BI2288" s="2">
        <v>22.7247690301019</v>
      </c>
      <c r="BJ2288" s="2">
        <v>22.769642281444298</v>
      </c>
      <c r="BK2288" s="2">
        <v>22.768710255227301</v>
      </c>
      <c r="BL2288" s="2">
        <v>22.9480457036735</v>
      </c>
      <c r="BM2288" s="2">
        <v>22.817407539524201</v>
      </c>
      <c r="BN2288" s="2">
        <v>22.659818835269299</v>
      </c>
      <c r="BO2288" s="2">
        <v>22.8019933925505</v>
      </c>
      <c r="BP2288" s="2">
        <v>22.740286569166098</v>
      </c>
      <c r="BQ2288" s="2">
        <v>22.858188737109899</v>
      </c>
      <c r="BR2288" s="2">
        <v>22.784156279477099</v>
      </c>
      <c r="BS2288" s="2">
        <v>22.8286520017719</v>
      </c>
      <c r="BT2288" s="2">
        <v>22.726187195202801</v>
      </c>
      <c r="BU2288" s="2">
        <v>22.754860286352901</v>
      </c>
      <c r="BV2288" s="2">
        <v>22.751004419342902</v>
      </c>
      <c r="BW2288" s="2">
        <v>22.870643614734199</v>
      </c>
      <c r="BX2288" s="2">
        <v>22.728221062934701</v>
      </c>
      <c r="BY2288" s="2">
        <v>22.790353735300901</v>
      </c>
      <c r="BZ2288" s="2">
        <v>22.755852776909499</v>
      </c>
      <c r="CA2288" s="2">
        <v>22.7868404190245</v>
      </c>
      <c r="CB2288" s="2">
        <v>22.777776142197201</v>
      </c>
      <c r="CC2288" s="2">
        <v>22.791816775198399</v>
      </c>
      <c r="CD2288" s="2">
        <v>22.669094936091199</v>
      </c>
      <c r="CE2288" s="2">
        <v>22.807229793847799</v>
      </c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</row>
    <row r="2289" spans="1:97">
      <c r="A2289" s="2" t="s">
        <v>19783</v>
      </c>
      <c r="B2289" s="2">
        <v>302.13213000000002</v>
      </c>
      <c r="C2289" s="2">
        <v>10.4</v>
      </c>
      <c r="D2289" s="2" t="s">
        <v>84</v>
      </c>
      <c r="E2289" s="2" t="s">
        <v>19784</v>
      </c>
      <c r="F2289" s="2" t="s">
        <v>19785</v>
      </c>
      <c r="G2289" s="2">
        <v>204791</v>
      </c>
      <c r="H2289" s="3" t="str">
        <f>HYPERLINK("https://cloud.oebiotech.com/#/lm/network/204791", "https://cloud.oebiotech.com/#/lm/network/204791")</f>
        <v>https://cloud.oebiotech.com/#/lm/network/204791</v>
      </c>
      <c r="I2289" s="2" t="s">
        <v>19786</v>
      </c>
      <c r="J2289" s="2"/>
      <c r="K2289" s="2"/>
      <c r="L2289" s="2">
        <v>702869</v>
      </c>
      <c r="M2289" s="2"/>
      <c r="N2289" s="2"/>
      <c r="O2289" s="2"/>
      <c r="P2289" s="2"/>
      <c r="Q2289" s="2"/>
      <c r="R2289" s="2"/>
      <c r="S2289" s="2"/>
      <c r="T2289" s="2" t="s">
        <v>19787</v>
      </c>
      <c r="U2289" s="2" t="s">
        <v>19788</v>
      </c>
      <c r="V2289" s="2" t="s">
        <v>553</v>
      </c>
      <c r="W2289" s="2" t="s">
        <v>9812</v>
      </c>
      <c r="X2289" s="2" t="s">
        <v>375</v>
      </c>
      <c r="Y2289" s="2" t="s">
        <v>556</v>
      </c>
      <c r="Z2289" s="2" t="s">
        <v>9814</v>
      </c>
      <c r="AA2289" s="2"/>
      <c r="AB2289" s="2" t="s">
        <v>8443</v>
      </c>
      <c r="AC2289" s="2">
        <v>37.22</v>
      </c>
      <c r="AD2289" s="2">
        <v>86.11</v>
      </c>
      <c r="AE2289" s="2">
        <v>0</v>
      </c>
      <c r="AF2289" s="2" t="s">
        <v>5614</v>
      </c>
      <c r="AG2289" s="2" t="s">
        <v>132</v>
      </c>
      <c r="AH2289" s="2" t="s">
        <v>19789</v>
      </c>
      <c r="AI2289" s="2">
        <v>0.33</v>
      </c>
      <c r="AJ2289" s="2">
        <v>19.9322170015631</v>
      </c>
      <c r="AK2289" s="2">
        <v>20.3756908708976</v>
      </c>
      <c r="AL2289" s="2">
        <v>20.007362415884401</v>
      </c>
      <c r="AM2289" s="2">
        <v>20.099448522035299</v>
      </c>
      <c r="AN2289" s="2">
        <v>20.248633531116099</v>
      </c>
      <c r="AO2289" s="2">
        <v>20.161912967256001</v>
      </c>
      <c r="AP2289" s="2">
        <v>20.082852063255299</v>
      </c>
      <c r="AQ2289" s="2">
        <v>20.354877451540901</v>
      </c>
      <c r="AR2289" s="2">
        <v>20.474139673476198</v>
      </c>
      <c r="AS2289" s="2">
        <v>18.6724040704609</v>
      </c>
      <c r="AT2289" s="2">
        <v>20.156087904263199</v>
      </c>
      <c r="AU2289" s="2">
        <v>18.747446342268699</v>
      </c>
      <c r="AV2289" s="2">
        <v>19.622777246967701</v>
      </c>
      <c r="AW2289" s="2">
        <v>20.2610296564857</v>
      </c>
      <c r="AX2289" s="2">
        <v>20.393717490469299</v>
      </c>
      <c r="AY2289" s="2">
        <v>20.2075204872101</v>
      </c>
      <c r="AZ2289" s="2">
        <v>20.225119876456201</v>
      </c>
      <c r="BA2289" s="2">
        <v>18.800943334526099</v>
      </c>
      <c r="BB2289" s="2">
        <v>19.851912608818299</v>
      </c>
      <c r="BC2289" s="2">
        <v>20.5214016682602</v>
      </c>
      <c r="BD2289" s="2">
        <v>19.0658728477853</v>
      </c>
      <c r="BE2289" s="2">
        <v>20.038773459990001</v>
      </c>
      <c r="BF2289" s="2">
        <v>20.164279801140498</v>
      </c>
      <c r="BG2289" s="2">
        <v>19.8194323112033</v>
      </c>
      <c r="BH2289" s="2">
        <v>20.361351107989201</v>
      </c>
      <c r="BI2289" s="2">
        <v>20.383249582234999</v>
      </c>
      <c r="BJ2289" s="2">
        <v>19.484588113949201</v>
      </c>
      <c r="BK2289" s="2">
        <v>19.871203979365401</v>
      </c>
      <c r="BL2289" s="2">
        <v>20.028464758323</v>
      </c>
      <c r="BM2289" s="2">
        <v>18.223293949792399</v>
      </c>
      <c r="BN2289" s="2">
        <v>20.2956020445592</v>
      </c>
      <c r="BO2289" s="2">
        <v>19.285455637977702</v>
      </c>
      <c r="BP2289" s="2">
        <v>19.331733011141999</v>
      </c>
      <c r="BQ2289" s="2">
        <v>20.522132668866</v>
      </c>
      <c r="BR2289" s="2">
        <v>19.9939348553489</v>
      </c>
      <c r="BS2289" s="2">
        <v>20.053117290776701</v>
      </c>
      <c r="BT2289" s="2">
        <v>19.566940302026801</v>
      </c>
      <c r="BU2289" s="2">
        <v>19.002576557062</v>
      </c>
      <c r="BV2289" s="2">
        <v>19.3328278409363</v>
      </c>
      <c r="BW2289" s="2">
        <v>19.953034665689501</v>
      </c>
      <c r="BX2289" s="2">
        <v>19.8297624619115</v>
      </c>
      <c r="BY2289" s="2">
        <v>20.104732751074302</v>
      </c>
      <c r="BZ2289" s="2">
        <v>19.778667968689501</v>
      </c>
      <c r="CA2289" s="2">
        <v>19.742379853785302</v>
      </c>
      <c r="CB2289" s="2">
        <v>20.330310526778501</v>
      </c>
      <c r="CC2289" s="2">
        <v>19.470228937208699</v>
      </c>
      <c r="CD2289" s="2">
        <v>19.9676673923869</v>
      </c>
      <c r="CE2289" s="2">
        <v>19.480201545016801</v>
      </c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</row>
    <row r="2290" spans="1:97">
      <c r="A2290" s="2" t="s">
        <v>19790</v>
      </c>
      <c r="B2290" s="2">
        <v>340.04084</v>
      </c>
      <c r="C2290" s="2">
        <v>5.0380000000000003</v>
      </c>
      <c r="D2290" s="2" t="s">
        <v>146</v>
      </c>
      <c r="E2290" s="2" t="s">
        <v>19791</v>
      </c>
      <c r="F2290" s="2" t="s">
        <v>19792</v>
      </c>
      <c r="G2290" s="2">
        <v>58403</v>
      </c>
      <c r="H2290" s="3" t="str">
        <f>HYPERLINK("https://cloud.oebiotech.com/#/lm/network/58403", "https://cloud.oebiotech.com/#/lm/network/58403")</f>
        <v>https://cloud.oebiotech.com/#/lm/network/58403</v>
      </c>
      <c r="I2290" s="2" t="s">
        <v>19793</v>
      </c>
      <c r="J2290" s="2">
        <v>89877</v>
      </c>
      <c r="K2290" s="2"/>
      <c r="L2290" s="2">
        <v>94577</v>
      </c>
      <c r="M2290" s="2"/>
      <c r="N2290" s="2"/>
      <c r="O2290" s="2"/>
      <c r="P2290" s="2"/>
      <c r="Q2290" s="2"/>
      <c r="R2290" s="2"/>
      <c r="S2290" s="2" t="s">
        <v>19794</v>
      </c>
      <c r="T2290" s="2" t="s">
        <v>19795</v>
      </c>
      <c r="U2290" s="2" t="s">
        <v>19796</v>
      </c>
      <c r="V2290" s="2" t="s">
        <v>374</v>
      </c>
      <c r="W2290" s="2" t="s">
        <v>6758</v>
      </c>
      <c r="X2290" s="2" t="s">
        <v>375</v>
      </c>
      <c r="Y2290" s="2" t="s">
        <v>376</v>
      </c>
      <c r="Z2290" s="2" t="s">
        <v>6759</v>
      </c>
      <c r="AA2290" s="2"/>
      <c r="AB2290" s="2" t="s">
        <v>5118</v>
      </c>
      <c r="AC2290" s="2">
        <v>37.21</v>
      </c>
      <c r="AD2290" s="2">
        <v>68.52</v>
      </c>
      <c r="AE2290" s="2">
        <v>66.78</v>
      </c>
      <c r="AF2290" s="2" t="s">
        <v>19797</v>
      </c>
      <c r="AG2290" s="2" t="s">
        <v>4062</v>
      </c>
      <c r="AH2290" s="2" t="s">
        <v>19798</v>
      </c>
      <c r="AI2290" s="2">
        <v>-7.65</v>
      </c>
      <c r="AJ2290" s="2">
        <v>18.649321795180899</v>
      </c>
      <c r="AK2290" s="2">
        <v>18.819122412942999</v>
      </c>
      <c r="AL2290" s="2">
        <v>18.751723410697998</v>
      </c>
      <c r="AM2290" s="2">
        <v>18.8676567049677</v>
      </c>
      <c r="AN2290" s="2">
        <v>18.576592366256499</v>
      </c>
      <c r="AO2290" s="2">
        <v>18.6028545856277</v>
      </c>
      <c r="AP2290" s="2">
        <v>18.796840975034002</v>
      </c>
      <c r="AQ2290" s="2">
        <v>18.665070530223101</v>
      </c>
      <c r="AR2290" s="2">
        <v>18.062349180237</v>
      </c>
      <c r="AS2290" s="2">
        <v>17.968993526800698</v>
      </c>
      <c r="AT2290" s="2">
        <v>17.6047924567503</v>
      </c>
      <c r="AU2290" s="2">
        <v>17.831475000794601</v>
      </c>
      <c r="AV2290" s="2">
        <v>18.2734259195174</v>
      </c>
      <c r="AW2290" s="2">
        <v>18.438309057203899</v>
      </c>
      <c r="AX2290" s="2">
        <v>18.1294260616808</v>
      </c>
      <c r="AY2290" s="2">
        <v>18.0327506146328</v>
      </c>
      <c r="AZ2290" s="2">
        <v>18.630132932787301</v>
      </c>
      <c r="BA2290" s="2">
        <v>17.844202432288</v>
      </c>
      <c r="BB2290" s="2">
        <v>18.651964476975301</v>
      </c>
      <c r="BC2290" s="2">
        <v>18.665299063695901</v>
      </c>
      <c r="BD2290" s="2">
        <v>18.0772066913893</v>
      </c>
      <c r="BE2290" s="2">
        <v>18.879594586430901</v>
      </c>
      <c r="BF2290" s="2">
        <v>18.528026098218501</v>
      </c>
      <c r="BG2290" s="2">
        <v>19.4885807428333</v>
      </c>
      <c r="BH2290" s="2">
        <v>18.2063079899571</v>
      </c>
      <c r="BI2290" s="2">
        <v>18.956889729836799</v>
      </c>
      <c r="BJ2290" s="2">
        <v>18.270096449373401</v>
      </c>
      <c r="BK2290" s="2">
        <v>18.9810418446984</v>
      </c>
      <c r="BL2290" s="2">
        <v>18.430651210750302</v>
      </c>
      <c r="BM2290" s="2">
        <v>18.4433793332032</v>
      </c>
      <c r="BN2290" s="2">
        <v>18.16463273319</v>
      </c>
      <c r="BO2290" s="2">
        <v>18.6984635599784</v>
      </c>
      <c r="BP2290" s="2">
        <v>18.680336994964598</v>
      </c>
      <c r="BQ2290" s="2">
        <v>18.781771272464201</v>
      </c>
      <c r="BR2290" s="2">
        <v>18.8040300320217</v>
      </c>
      <c r="BS2290" s="2">
        <v>18.337895726058601</v>
      </c>
      <c r="BT2290" s="2">
        <v>18.325745863853701</v>
      </c>
      <c r="BU2290" s="2">
        <v>18.4147632227942</v>
      </c>
      <c r="BV2290" s="2">
        <v>18.718974921326001</v>
      </c>
      <c r="BW2290" s="2">
        <v>17.104314953041101</v>
      </c>
      <c r="BX2290" s="2">
        <v>18.556688729993802</v>
      </c>
      <c r="BY2290" s="2">
        <v>19.538834637175398</v>
      </c>
      <c r="BZ2290" s="2">
        <v>18.531745134666298</v>
      </c>
      <c r="CA2290" s="2">
        <v>18.933679879414601</v>
      </c>
      <c r="CB2290" s="2">
        <v>18.518937785118499</v>
      </c>
      <c r="CC2290" s="2">
        <v>18.625803966206</v>
      </c>
      <c r="CD2290" s="2">
        <v>19.080438810004001</v>
      </c>
      <c r="CE2290" s="2">
        <v>19.402213609713201</v>
      </c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</row>
    <row r="2291" spans="1:97">
      <c r="A2291" s="2" t="s">
        <v>19799</v>
      </c>
      <c r="B2291" s="2">
        <v>238.07701</v>
      </c>
      <c r="C2291" s="2">
        <v>5.6539999999999999</v>
      </c>
      <c r="D2291" s="2" t="s">
        <v>146</v>
      </c>
      <c r="E2291" s="2" t="s">
        <v>19800</v>
      </c>
      <c r="F2291" s="2" t="s">
        <v>19801</v>
      </c>
      <c r="G2291" s="2">
        <v>201697</v>
      </c>
      <c r="H2291" s="3" t="str">
        <f>HYPERLINK("https://cloud.oebiotech.com/#/lm/network/201697", "https://cloud.oebiotech.com/#/lm/network/201697")</f>
        <v>https://cloud.oebiotech.com/#/lm/network/201697</v>
      </c>
      <c r="I2291" s="2" t="s">
        <v>19802</v>
      </c>
      <c r="J2291" s="2">
        <v>24054</v>
      </c>
      <c r="K2291" s="2"/>
      <c r="L2291" s="2">
        <v>2151</v>
      </c>
      <c r="M2291" s="2"/>
      <c r="N2291" s="2"/>
      <c r="O2291" s="2"/>
      <c r="P2291" s="2">
        <v>59026</v>
      </c>
      <c r="Q2291" s="2"/>
      <c r="R2291" s="2"/>
      <c r="S2291" s="2" t="s">
        <v>19803</v>
      </c>
      <c r="T2291" s="2" t="s">
        <v>19804</v>
      </c>
      <c r="U2291" s="2" t="s">
        <v>19805</v>
      </c>
      <c r="V2291" s="2" t="s">
        <v>553</v>
      </c>
      <c r="W2291" s="2" t="s">
        <v>554</v>
      </c>
      <c r="X2291" s="2" t="s">
        <v>15865</v>
      </c>
      <c r="Y2291" s="2" t="s">
        <v>556</v>
      </c>
      <c r="Z2291" s="2" t="s">
        <v>557</v>
      </c>
      <c r="AA2291" s="2" t="s">
        <v>15866</v>
      </c>
      <c r="AB2291" s="2" t="s">
        <v>8443</v>
      </c>
      <c r="AC2291" s="2">
        <v>37.200000000000003</v>
      </c>
      <c r="AD2291" s="2">
        <v>74.44</v>
      </c>
      <c r="AE2291" s="2">
        <v>0</v>
      </c>
      <c r="AF2291" s="2" t="s">
        <v>19806</v>
      </c>
      <c r="AG2291" s="2" t="s">
        <v>4062</v>
      </c>
      <c r="AH2291" s="2" t="s">
        <v>19807</v>
      </c>
      <c r="AI2291" s="2">
        <v>-7.14</v>
      </c>
      <c r="AJ2291" s="2">
        <v>23.874371361541701</v>
      </c>
      <c r="AK2291" s="2">
        <v>23.937894210650001</v>
      </c>
      <c r="AL2291" s="2">
        <v>23.6745398176575</v>
      </c>
      <c r="AM2291" s="2">
        <v>23.852030354851902</v>
      </c>
      <c r="AN2291" s="2">
        <v>23.803764310709099</v>
      </c>
      <c r="AO2291" s="2">
        <v>23.371230979564</v>
      </c>
      <c r="AP2291" s="2">
        <v>22.6868497965595</v>
      </c>
      <c r="AQ2291" s="2">
        <v>23.314324623232999</v>
      </c>
      <c r="AR2291" s="2">
        <v>21.8648709375423</v>
      </c>
      <c r="AS2291" s="2">
        <v>21.2340943181451</v>
      </c>
      <c r="AT2291" s="2">
        <v>23.655049347669301</v>
      </c>
      <c r="AU2291" s="2">
        <v>22.748410552511999</v>
      </c>
      <c r="AV2291" s="2">
        <v>23.577197105755999</v>
      </c>
      <c r="AW2291" s="2">
        <v>23.994856405468301</v>
      </c>
      <c r="AX2291" s="2">
        <v>23.487215406335999</v>
      </c>
      <c r="AY2291" s="2">
        <v>24.2080947682228</v>
      </c>
      <c r="AZ2291" s="2">
        <v>23.534095171428699</v>
      </c>
      <c r="BA2291" s="2">
        <v>24.939268665551701</v>
      </c>
      <c r="BB2291" s="2">
        <v>23.0706536688519</v>
      </c>
      <c r="BC2291" s="2">
        <v>25.172419399387401</v>
      </c>
      <c r="BD2291" s="2">
        <v>22.7957849337269</v>
      </c>
      <c r="BE2291" s="2">
        <v>25.024865237325798</v>
      </c>
      <c r="BF2291" s="2">
        <v>23.700786099357401</v>
      </c>
      <c r="BG2291" s="2">
        <v>22.9072355378071</v>
      </c>
      <c r="BH2291" s="2">
        <v>23.543043388951499</v>
      </c>
      <c r="BI2291" s="2">
        <v>22.311087779533899</v>
      </c>
      <c r="BJ2291" s="2">
        <v>23.8427344082769</v>
      </c>
      <c r="BK2291" s="2">
        <v>24.005881297809299</v>
      </c>
      <c r="BL2291" s="2">
        <v>21.646982736221201</v>
      </c>
      <c r="BM2291" s="2">
        <v>21.666218536331101</v>
      </c>
      <c r="BN2291" s="2">
        <v>23.139605620808499</v>
      </c>
      <c r="BO2291" s="2">
        <v>23.598298176879499</v>
      </c>
      <c r="BP2291" s="2">
        <v>23.1582212196348</v>
      </c>
      <c r="BQ2291" s="2">
        <v>23.200268306949202</v>
      </c>
      <c r="BR2291" s="2">
        <v>23.614045950105801</v>
      </c>
      <c r="BS2291" s="2">
        <v>23.979316871695101</v>
      </c>
      <c r="BT2291" s="2">
        <v>23.815706433630201</v>
      </c>
      <c r="BU2291" s="2">
        <v>25.220022664816401</v>
      </c>
      <c r="BV2291" s="2">
        <v>22.341321400684201</v>
      </c>
      <c r="BW2291" s="2">
        <v>23.715937878028701</v>
      </c>
      <c r="BX2291" s="2">
        <v>23.4108431493928</v>
      </c>
      <c r="BY2291" s="2">
        <v>25.151224310386201</v>
      </c>
      <c r="BZ2291" s="2">
        <v>24.035838956749</v>
      </c>
      <c r="CA2291" s="2">
        <v>22.4959621257413</v>
      </c>
      <c r="CB2291" s="2">
        <v>23.254966032036101</v>
      </c>
      <c r="CC2291" s="2">
        <v>22.056230103727898</v>
      </c>
      <c r="CD2291" s="2">
        <v>22.537726923425499</v>
      </c>
      <c r="CE2291" s="2">
        <v>24.502910820295401</v>
      </c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</row>
    <row r="2292" spans="1:97">
      <c r="A2292" s="2" t="s">
        <v>19808</v>
      </c>
      <c r="B2292" s="2">
        <v>484.31995999999998</v>
      </c>
      <c r="C2292" s="2">
        <v>9.5389999999999997</v>
      </c>
      <c r="D2292" s="2" t="s">
        <v>84</v>
      </c>
      <c r="E2292" s="2" t="s">
        <v>19809</v>
      </c>
      <c r="F2292" s="2" t="s">
        <v>19810</v>
      </c>
      <c r="G2292" s="2">
        <v>45245</v>
      </c>
      <c r="H2292" s="3" t="str">
        <f>HYPERLINK("https://cloud.oebiotech.com/#/lm/network/45245", "https://cloud.oebiotech.com/#/lm/network/45245")</f>
        <v>https://cloud.oebiotech.com/#/lm/network/45245</v>
      </c>
      <c r="I2292" s="2"/>
      <c r="J2292" s="2"/>
      <c r="K2292" s="2" t="s">
        <v>19811</v>
      </c>
      <c r="L2292" s="2">
        <v>9547325</v>
      </c>
      <c r="M2292" s="2"/>
      <c r="N2292" s="2"/>
      <c r="O2292" s="2"/>
      <c r="P2292" s="2"/>
      <c r="Q2292" s="2"/>
      <c r="R2292" s="2"/>
      <c r="S2292" s="2"/>
      <c r="T2292" s="2" t="s">
        <v>19812</v>
      </c>
      <c r="U2292" s="2" t="s">
        <v>19813</v>
      </c>
      <c r="V2292" s="2" t="s">
        <v>95</v>
      </c>
      <c r="W2292" s="2" t="s">
        <v>152</v>
      </c>
      <c r="X2292" s="2" t="s">
        <v>1484</v>
      </c>
      <c r="Y2292" s="2" t="s">
        <v>98</v>
      </c>
      <c r="Z2292" s="2" t="s">
        <v>154</v>
      </c>
      <c r="AA2292" s="2" t="s">
        <v>1485</v>
      </c>
      <c r="AB2292" s="2" t="s">
        <v>8443</v>
      </c>
      <c r="AC2292" s="2">
        <v>37.200000000000003</v>
      </c>
      <c r="AD2292" s="2">
        <v>95.43</v>
      </c>
      <c r="AE2292" s="2">
        <v>0</v>
      </c>
      <c r="AF2292" s="2" t="s">
        <v>19814</v>
      </c>
      <c r="AG2292" s="2" t="s">
        <v>132</v>
      </c>
      <c r="AH2292" s="2" t="s">
        <v>19815</v>
      </c>
      <c r="AI2292" s="2">
        <v>-2.89</v>
      </c>
      <c r="AJ2292" s="2">
        <v>19.461088824374801</v>
      </c>
      <c r="AK2292" s="2">
        <v>19.284066346322401</v>
      </c>
      <c r="AL2292" s="2">
        <v>19.2515901704563</v>
      </c>
      <c r="AM2292" s="2">
        <v>19.289486569507101</v>
      </c>
      <c r="AN2292" s="2">
        <v>19.404106207783901</v>
      </c>
      <c r="AO2292" s="2">
        <v>19.181549480167799</v>
      </c>
      <c r="AP2292" s="2">
        <v>19.3537549723582</v>
      </c>
      <c r="AQ2292" s="2">
        <v>19.172896856105499</v>
      </c>
      <c r="AR2292" s="2">
        <v>14.319957837709399</v>
      </c>
      <c r="AS2292" s="2">
        <v>16.1686192381909</v>
      </c>
      <c r="AT2292" s="2">
        <v>18.461841434550902</v>
      </c>
      <c r="AU2292" s="2">
        <v>16.645887493843201</v>
      </c>
      <c r="AV2292" s="2">
        <v>18.786201431686301</v>
      </c>
      <c r="AW2292" s="2">
        <v>18.754445299872799</v>
      </c>
      <c r="AX2292" s="2">
        <v>18.060906615379299</v>
      </c>
      <c r="AY2292" s="2">
        <v>18.8074999541248</v>
      </c>
      <c r="AZ2292" s="2">
        <v>16.969171427720401</v>
      </c>
      <c r="BA2292" s="2">
        <v>19.6725552433196</v>
      </c>
      <c r="BB2292" s="2">
        <v>18.480860673045999</v>
      </c>
      <c r="BC2292" s="2">
        <v>19.376390052452699</v>
      </c>
      <c r="BD2292" s="2">
        <v>17.483001938153699</v>
      </c>
      <c r="BE2292" s="2">
        <v>18.6911452251132</v>
      </c>
      <c r="BF2292" s="2">
        <v>17.705193761915002</v>
      </c>
      <c r="BG2292" s="2">
        <v>18.558223531073299</v>
      </c>
      <c r="BH2292" s="2">
        <v>18.407650788169899</v>
      </c>
      <c r="BI2292" s="2">
        <v>18.7731552759343</v>
      </c>
      <c r="BJ2292" s="2">
        <v>19.050394029176001</v>
      </c>
      <c r="BK2292" s="2">
        <v>18.184288044023798</v>
      </c>
      <c r="BL2292" s="2">
        <v>17.2360456869588</v>
      </c>
      <c r="BM2292" s="2">
        <v>19.482465531213801</v>
      </c>
      <c r="BN2292" s="2">
        <v>20.098949210016901</v>
      </c>
      <c r="BO2292" s="2">
        <v>19.523565688823499</v>
      </c>
      <c r="BP2292" s="2">
        <v>19.4370147146712</v>
      </c>
      <c r="BQ2292" s="2">
        <v>20.0407355839742</v>
      </c>
      <c r="BR2292" s="2">
        <v>20.159019327478401</v>
      </c>
      <c r="BS2292" s="2">
        <v>20.685763043819701</v>
      </c>
      <c r="BT2292" s="2">
        <v>19.707602901977999</v>
      </c>
      <c r="BU2292" s="2">
        <v>20.075996308375299</v>
      </c>
      <c r="BV2292" s="2">
        <v>20.0528842318644</v>
      </c>
      <c r="BW2292" s="2">
        <v>19.546088120602398</v>
      </c>
      <c r="BX2292" s="2">
        <v>18.940378468782701</v>
      </c>
      <c r="BY2292" s="2">
        <v>19.969742499411399</v>
      </c>
      <c r="BZ2292" s="2">
        <v>18.769418894627002</v>
      </c>
      <c r="CA2292" s="2">
        <v>19.279280345779299</v>
      </c>
      <c r="CB2292" s="2">
        <v>18.0761709678677</v>
      </c>
      <c r="CC2292" s="2">
        <v>19.706830181989801</v>
      </c>
      <c r="CD2292" s="2">
        <v>20.501687757953899</v>
      </c>
      <c r="CE2292" s="2">
        <v>20.152328606119301</v>
      </c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</row>
    <row r="2293" spans="1:97">
      <c r="A2293" s="2" t="s">
        <v>19816</v>
      </c>
      <c r="B2293" s="2">
        <v>261.03509000000003</v>
      </c>
      <c r="C2293" s="2">
        <v>4.9880000000000004</v>
      </c>
      <c r="D2293" s="2" t="s">
        <v>146</v>
      </c>
      <c r="E2293" s="2" t="s">
        <v>19817</v>
      </c>
      <c r="F2293" s="2" t="s">
        <v>19818</v>
      </c>
      <c r="G2293" s="2">
        <v>206731</v>
      </c>
      <c r="H2293" s="3" t="str">
        <f>HYPERLINK("https://cloud.oebiotech.com/#/lm/network/206731", "https://cloud.oebiotech.com/#/lm/network/206731")</f>
        <v>https://cloud.oebiotech.com/#/lm/network/206731</v>
      </c>
      <c r="I2293" s="2" t="s">
        <v>19819</v>
      </c>
      <c r="J2293" s="2"/>
      <c r="K2293" s="2"/>
      <c r="L2293" s="2">
        <v>23046</v>
      </c>
      <c r="M2293" s="2"/>
      <c r="N2293" s="2"/>
      <c r="O2293" s="2"/>
      <c r="P2293" s="2"/>
      <c r="Q2293" s="2"/>
      <c r="R2293" s="2"/>
      <c r="S2293" s="2"/>
      <c r="T2293" s="2" t="s">
        <v>19820</v>
      </c>
      <c r="U2293" s="2" t="s">
        <v>19821</v>
      </c>
      <c r="V2293" s="2" t="s">
        <v>385</v>
      </c>
      <c r="W2293" s="2" t="s">
        <v>386</v>
      </c>
      <c r="X2293" s="2" t="s">
        <v>16604</v>
      </c>
      <c r="Y2293" s="2" t="s">
        <v>388</v>
      </c>
      <c r="Z2293" s="2" t="s">
        <v>389</v>
      </c>
      <c r="AA2293" s="2" t="s">
        <v>16605</v>
      </c>
      <c r="AB2293" s="2" t="s">
        <v>8443</v>
      </c>
      <c r="AC2293" s="2">
        <v>37.18</v>
      </c>
      <c r="AD2293" s="2">
        <v>90.51</v>
      </c>
      <c r="AE2293" s="2">
        <v>0</v>
      </c>
      <c r="AF2293" s="2" t="s">
        <v>5614</v>
      </c>
      <c r="AG2293" s="2" t="s">
        <v>194</v>
      </c>
      <c r="AH2293" s="2" t="s">
        <v>19822</v>
      </c>
      <c r="AI2293" s="2">
        <v>1.92</v>
      </c>
      <c r="AJ2293" s="2">
        <v>15.8643041714753</v>
      </c>
      <c r="AK2293" s="2">
        <v>15.5306526179684</v>
      </c>
      <c r="AL2293" s="2">
        <v>15.1084223602761</v>
      </c>
      <c r="AM2293" s="2">
        <v>15.627778093743</v>
      </c>
      <c r="AN2293" s="2">
        <v>14.7776467626586</v>
      </c>
      <c r="AO2293" s="2">
        <v>15.759624257794201</v>
      </c>
      <c r="AP2293" s="2">
        <v>15.317176927000601</v>
      </c>
      <c r="AQ2293" s="2">
        <v>15.8390854125538</v>
      </c>
      <c r="AR2293" s="2">
        <v>17.757297871572799</v>
      </c>
      <c r="AS2293" s="2">
        <v>17.814361158258301</v>
      </c>
      <c r="AT2293" s="2">
        <v>17.807720304521201</v>
      </c>
      <c r="AU2293" s="2">
        <v>17.5548986225504</v>
      </c>
      <c r="AV2293" s="2">
        <v>16.851323752571101</v>
      </c>
      <c r="AW2293" s="2">
        <v>17.693019364359301</v>
      </c>
      <c r="AX2293" s="2">
        <v>16.537017540300699</v>
      </c>
      <c r="AY2293" s="2">
        <v>17.5955285587319</v>
      </c>
      <c r="AZ2293" s="2">
        <v>17.931272324764901</v>
      </c>
      <c r="BA2293" s="2">
        <v>16.443470353845001</v>
      </c>
      <c r="BB2293" s="2">
        <v>17.476525037024199</v>
      </c>
      <c r="BC2293" s="2">
        <v>17.596591977711299</v>
      </c>
      <c r="BD2293" s="2">
        <v>17.2458932116194</v>
      </c>
      <c r="BE2293" s="2">
        <v>17.531743307387199</v>
      </c>
      <c r="BF2293" s="2">
        <v>17.346996005225002</v>
      </c>
      <c r="BG2293" s="2">
        <v>17.638937296882801</v>
      </c>
      <c r="BH2293" s="2">
        <v>17.4272999932743</v>
      </c>
      <c r="BI2293" s="2">
        <v>17.584694201184199</v>
      </c>
      <c r="BJ2293" s="2">
        <v>16.094458974361999</v>
      </c>
      <c r="BK2293" s="2">
        <v>16.348538850320502</v>
      </c>
      <c r="BL2293" s="2">
        <v>16.403924573821499</v>
      </c>
      <c r="BM2293" s="2">
        <v>16.934217924107099</v>
      </c>
      <c r="BN2293" s="2">
        <v>16.260078046885798</v>
      </c>
      <c r="BO2293" s="2">
        <v>16.9325318525336</v>
      </c>
      <c r="BP2293" s="2">
        <v>16.580941883605298</v>
      </c>
      <c r="BQ2293" s="2">
        <v>17.191872448850098</v>
      </c>
      <c r="BR2293" s="2">
        <v>17.381871582447801</v>
      </c>
      <c r="BS2293" s="2">
        <v>17.119449092968701</v>
      </c>
      <c r="BT2293" s="2">
        <v>15.5157611194947</v>
      </c>
      <c r="BU2293" s="2">
        <v>17.403107416499701</v>
      </c>
      <c r="BV2293" s="2">
        <v>16.750663680650899</v>
      </c>
      <c r="BW2293" s="2">
        <v>16.5954980368526</v>
      </c>
      <c r="BX2293" s="2">
        <v>16.700656723816302</v>
      </c>
      <c r="BY2293" s="2">
        <v>16.332814207664299</v>
      </c>
      <c r="BZ2293" s="2">
        <v>17.1801259443608</v>
      </c>
      <c r="CA2293" s="2">
        <v>16.6084858564953</v>
      </c>
      <c r="CB2293" s="2">
        <v>17.3257815193104</v>
      </c>
      <c r="CC2293" s="2">
        <v>17.0419913635547</v>
      </c>
      <c r="CD2293" s="2">
        <v>17.226660548582799</v>
      </c>
      <c r="CE2293" s="2">
        <v>16.149117549296601</v>
      </c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</row>
    <row r="2294" spans="1:97">
      <c r="A2294" s="2" t="s">
        <v>19823</v>
      </c>
      <c r="B2294" s="2">
        <v>372.34685000000002</v>
      </c>
      <c r="C2294" s="2">
        <v>11.074</v>
      </c>
      <c r="D2294" s="2" t="s">
        <v>84</v>
      </c>
      <c r="E2294" s="2" t="s">
        <v>19824</v>
      </c>
      <c r="F2294" s="2" t="s">
        <v>19825</v>
      </c>
      <c r="G2294" s="2">
        <v>548092</v>
      </c>
      <c r="H2294" s="3" t="str">
        <f>HYPERLINK("https://cloud.oebiotech.com/#/lm/network/548092", "https://cloud.oebiotech.com/#/lm/network/548092")</f>
        <v>https://cloud.oebiotech.com/#/lm/network/548092</v>
      </c>
      <c r="I2294" s="2"/>
      <c r="J2294" s="2"/>
      <c r="K2294" s="2"/>
      <c r="L2294" s="2">
        <v>52940145</v>
      </c>
      <c r="M2294" s="2" t="s">
        <v>19826</v>
      </c>
      <c r="N2294" s="2"/>
      <c r="O2294" s="2"/>
      <c r="P2294" s="2"/>
      <c r="Q2294" s="2"/>
      <c r="R2294" s="2"/>
      <c r="S2294" s="2"/>
      <c r="T2294" s="2" t="s">
        <v>19827</v>
      </c>
      <c r="U2294" s="2" t="s">
        <v>19828</v>
      </c>
      <c r="V2294" s="2" t="s">
        <v>95</v>
      </c>
      <c r="W2294" s="2" t="s">
        <v>96</v>
      </c>
      <c r="X2294" s="2" t="s">
        <v>141</v>
      </c>
      <c r="Y2294" s="2" t="s">
        <v>98</v>
      </c>
      <c r="Z2294" s="2" t="s">
        <v>99</v>
      </c>
      <c r="AA2294" s="2" t="s">
        <v>142</v>
      </c>
      <c r="AB2294" s="2" t="s">
        <v>8443</v>
      </c>
      <c r="AC2294" s="2">
        <v>37.15</v>
      </c>
      <c r="AD2294" s="2">
        <v>85.77</v>
      </c>
      <c r="AE2294" s="2">
        <v>0</v>
      </c>
      <c r="AF2294" s="2" t="s">
        <v>5614</v>
      </c>
      <c r="AG2294" s="2" t="s">
        <v>132</v>
      </c>
      <c r="AH2294" s="2" t="s">
        <v>19829</v>
      </c>
      <c r="AI2294" s="2">
        <v>0.81</v>
      </c>
      <c r="AJ2294" s="2">
        <v>18.2269814192871</v>
      </c>
      <c r="AK2294" s="2">
        <v>17.855955703254299</v>
      </c>
      <c r="AL2294" s="2">
        <v>17.5728129326348</v>
      </c>
      <c r="AM2294" s="2">
        <v>18.481804594272599</v>
      </c>
      <c r="AN2294" s="2">
        <v>17.437208814092202</v>
      </c>
      <c r="AO2294" s="2">
        <v>17.9850417925994</v>
      </c>
      <c r="AP2294" s="2">
        <v>17.876659926001999</v>
      </c>
      <c r="AQ2294" s="2">
        <v>18.258307466519799</v>
      </c>
      <c r="AR2294" s="2">
        <v>20.013949901865299</v>
      </c>
      <c r="AS2294" s="2">
        <v>18.0566269202596</v>
      </c>
      <c r="AT2294" s="2">
        <v>18.662032856780002</v>
      </c>
      <c r="AU2294" s="2">
        <v>17.643592211605998</v>
      </c>
      <c r="AV2294" s="2">
        <v>18.0971781198404</v>
      </c>
      <c r="AW2294" s="2">
        <v>17.902714796104899</v>
      </c>
      <c r="AX2294" s="2">
        <v>16.952048667422499</v>
      </c>
      <c r="AY2294" s="2">
        <v>17.6125596977957</v>
      </c>
      <c r="AZ2294" s="2">
        <v>18.914878317102701</v>
      </c>
      <c r="BA2294" s="2">
        <v>17.415959499400799</v>
      </c>
      <c r="BB2294" s="2">
        <v>18.304204598848401</v>
      </c>
      <c r="BC2294" s="2">
        <v>17.151809161029099</v>
      </c>
      <c r="BD2294" s="2">
        <v>17.362304214043899</v>
      </c>
      <c r="BE2294" s="2">
        <v>18.778107553360801</v>
      </c>
      <c r="BF2294" s="2">
        <v>17.43621792211</v>
      </c>
      <c r="BG2294" s="2">
        <v>17.737676530081799</v>
      </c>
      <c r="BH2294" s="2">
        <v>17.8165723335702</v>
      </c>
      <c r="BI2294" s="2">
        <v>18.490584584260901</v>
      </c>
      <c r="BJ2294" s="2">
        <v>16.628891187057199</v>
      </c>
      <c r="BK2294" s="2">
        <v>17.197755951658301</v>
      </c>
      <c r="BL2294" s="2">
        <v>17.9796437334114</v>
      </c>
      <c r="BM2294" s="2">
        <v>17.539398528349199</v>
      </c>
      <c r="BN2294" s="2">
        <v>17.523596565131399</v>
      </c>
      <c r="BO2294" s="2">
        <v>18.860203827369499</v>
      </c>
      <c r="BP2294" s="2">
        <v>16.772030739677799</v>
      </c>
      <c r="BQ2294" s="2">
        <v>17.905210700371999</v>
      </c>
      <c r="BR2294" s="2">
        <v>18.452323618952001</v>
      </c>
      <c r="BS2294" s="2">
        <v>17.619606804816598</v>
      </c>
      <c r="BT2294" s="2">
        <v>17.727003127090398</v>
      </c>
      <c r="BU2294" s="2">
        <v>18.313036019078901</v>
      </c>
      <c r="BV2294" s="2">
        <v>17.7074191262817</v>
      </c>
      <c r="BW2294" s="2">
        <v>18.249531171438701</v>
      </c>
      <c r="BX2294" s="2">
        <v>17.241214167627898</v>
      </c>
      <c r="BY2294" s="2">
        <v>17.452845374408</v>
      </c>
      <c r="BZ2294" s="2">
        <v>18.064493485570299</v>
      </c>
      <c r="CA2294" s="2">
        <v>16.8902376728104</v>
      </c>
      <c r="CB2294" s="2">
        <v>17.8173196539903</v>
      </c>
      <c r="CC2294" s="2">
        <v>17.759969886307001</v>
      </c>
      <c r="CD2294" s="2">
        <v>16.083512153256802</v>
      </c>
      <c r="CE2294" s="2">
        <v>17.433074608121601</v>
      </c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</row>
    <row r="2295" spans="1:97">
      <c r="A2295" s="2" t="s">
        <v>19830</v>
      </c>
      <c r="B2295" s="2">
        <v>187.02215000000001</v>
      </c>
      <c r="C2295" s="2">
        <v>4.8090000000000002</v>
      </c>
      <c r="D2295" s="2" t="s">
        <v>146</v>
      </c>
      <c r="E2295" s="2" t="s">
        <v>19831</v>
      </c>
      <c r="F2295" s="2" t="s">
        <v>19832</v>
      </c>
      <c r="G2295" s="2">
        <v>207514</v>
      </c>
      <c r="H2295" s="3" t="str">
        <f>HYPERLINK("https://cloud.oebiotech.com/#/lm/network/207514", "https://cloud.oebiotech.com/#/lm/network/207514")</f>
        <v>https://cloud.oebiotech.com/#/lm/network/207514</v>
      </c>
      <c r="I2295" s="2" t="s">
        <v>19833</v>
      </c>
      <c r="J2295" s="2"/>
      <c r="K2295" s="2"/>
      <c r="L2295" s="2"/>
      <c r="M2295" s="2"/>
      <c r="N2295" s="2"/>
      <c r="O2295" s="2"/>
      <c r="P2295" s="2">
        <v>24559</v>
      </c>
      <c r="Q2295" s="2"/>
      <c r="R2295" s="2"/>
      <c r="S2295" s="2"/>
      <c r="T2295" s="2" t="s">
        <v>19834</v>
      </c>
      <c r="U2295" s="2" t="s">
        <v>19835</v>
      </c>
      <c r="V2295" s="2" t="s">
        <v>553</v>
      </c>
      <c r="W2295" s="2" t="s">
        <v>19836</v>
      </c>
      <c r="X2295" s="2" t="s">
        <v>19837</v>
      </c>
      <c r="Y2295" s="2" t="s">
        <v>556</v>
      </c>
      <c r="Z2295" s="2" t="s">
        <v>10315</v>
      </c>
      <c r="AA2295" s="2" t="s">
        <v>19838</v>
      </c>
      <c r="AB2295" s="2" t="s">
        <v>8443</v>
      </c>
      <c r="AC2295" s="2">
        <v>37.15</v>
      </c>
      <c r="AD2295" s="2">
        <v>96.82</v>
      </c>
      <c r="AE2295" s="2">
        <v>0</v>
      </c>
      <c r="AF2295" s="2" t="s">
        <v>5614</v>
      </c>
      <c r="AG2295" s="2" t="s">
        <v>993</v>
      </c>
      <c r="AH2295" s="2" t="s">
        <v>19839</v>
      </c>
      <c r="AI2295" s="2">
        <v>-3.21</v>
      </c>
      <c r="AJ2295" s="2">
        <v>17.894057358703201</v>
      </c>
      <c r="AK2295" s="2">
        <v>18.023102412059199</v>
      </c>
      <c r="AL2295" s="2">
        <v>17.542834563307899</v>
      </c>
      <c r="AM2295" s="2">
        <v>18.1729156756465</v>
      </c>
      <c r="AN2295" s="2">
        <v>18.271370968899099</v>
      </c>
      <c r="AO2295" s="2">
        <v>18.068164273636999</v>
      </c>
      <c r="AP2295" s="2">
        <v>18.057009823599099</v>
      </c>
      <c r="AQ2295" s="2">
        <v>18.365757996166799</v>
      </c>
      <c r="AR2295" s="2">
        <v>17.141610846069</v>
      </c>
      <c r="AS2295" s="2">
        <v>15.043253327993099</v>
      </c>
      <c r="AT2295" s="2">
        <v>14.954243120864</v>
      </c>
      <c r="AU2295" s="2">
        <v>15.682535167057701</v>
      </c>
      <c r="AV2295" s="2">
        <v>20.1477930318758</v>
      </c>
      <c r="AW2295" s="2">
        <v>17.844055157119602</v>
      </c>
      <c r="AX2295" s="2">
        <v>17.6842633904423</v>
      </c>
      <c r="AY2295" s="2">
        <v>16.170762651579299</v>
      </c>
      <c r="AZ2295" s="2">
        <v>17.923131766698699</v>
      </c>
      <c r="BA2295" s="2">
        <v>15.8972775382609</v>
      </c>
      <c r="BB2295" s="2">
        <v>16.6559847082308</v>
      </c>
      <c r="BC2295" s="2">
        <v>14.661419605856301</v>
      </c>
      <c r="BD2295" s="2">
        <v>17.591008519954499</v>
      </c>
      <c r="BE2295" s="2">
        <v>20.9054145139458</v>
      </c>
      <c r="BF2295" s="2">
        <v>17.1985071987827</v>
      </c>
      <c r="BG2295" s="2">
        <v>17.022100534217198</v>
      </c>
      <c r="BH2295" s="2">
        <v>19.212453494701101</v>
      </c>
      <c r="BI2295" s="2">
        <v>19.124306827929999</v>
      </c>
      <c r="BJ2295" s="2">
        <v>19.610241952869298</v>
      </c>
      <c r="BK2295" s="2">
        <v>15.9895585944119</v>
      </c>
      <c r="BL2295" s="2">
        <v>18.059620348180101</v>
      </c>
      <c r="BM2295" s="2">
        <v>14.696989253405601</v>
      </c>
      <c r="BN2295" s="2">
        <v>14.9292829157484</v>
      </c>
      <c r="BO2295" s="2">
        <v>13.6876239123649</v>
      </c>
      <c r="BP2295" s="2">
        <v>18.544373448957501</v>
      </c>
      <c r="BQ2295" s="2">
        <v>17.473073179540201</v>
      </c>
      <c r="BR2295" s="2">
        <v>17.219767407327801</v>
      </c>
      <c r="BS2295" s="2">
        <v>17.355998907565201</v>
      </c>
      <c r="BT2295" s="2">
        <v>17.950601174198201</v>
      </c>
      <c r="BU2295" s="2">
        <v>16.480612882070101</v>
      </c>
      <c r="BV2295" s="2">
        <v>16.701227528567301</v>
      </c>
      <c r="BW2295" s="2">
        <v>14.919203657489</v>
      </c>
      <c r="BX2295" s="2">
        <v>17.455023977790798</v>
      </c>
      <c r="BY2295" s="2">
        <v>20.957966182766999</v>
      </c>
      <c r="BZ2295" s="2">
        <v>16.441912376521401</v>
      </c>
      <c r="CA2295" s="2">
        <v>15.501127166943199</v>
      </c>
      <c r="CB2295" s="2">
        <v>17.6788369562294</v>
      </c>
      <c r="CC2295" s="2">
        <v>16.324450077248201</v>
      </c>
      <c r="CD2295" s="2">
        <v>18.351863741744001</v>
      </c>
      <c r="CE2295" s="2">
        <v>15.2556740668405</v>
      </c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</row>
    <row r="2296" spans="1:97">
      <c r="A2296" s="2" t="s">
        <v>19840</v>
      </c>
      <c r="B2296" s="2">
        <v>157.03612000000001</v>
      </c>
      <c r="C2296" s="2">
        <v>3.7290000000000001</v>
      </c>
      <c r="D2296" s="2" t="s">
        <v>84</v>
      </c>
      <c r="E2296" s="2" t="s">
        <v>19841</v>
      </c>
      <c r="F2296" s="2" t="s">
        <v>19842</v>
      </c>
      <c r="G2296" s="2">
        <v>202469</v>
      </c>
      <c r="H2296" s="3" t="str">
        <f>HYPERLINK("https://cloud.oebiotech.com/#/lm/network/202469", "https://cloud.oebiotech.com/#/lm/network/202469")</f>
        <v>https://cloud.oebiotech.com/#/lm/network/202469</v>
      </c>
      <c r="I2296" s="2" t="s">
        <v>19843</v>
      </c>
      <c r="J2296" s="2"/>
      <c r="K2296" s="2"/>
      <c r="L2296" s="2">
        <v>188244</v>
      </c>
      <c r="M2296" s="2"/>
      <c r="N2296" s="2"/>
      <c r="O2296" s="2"/>
      <c r="P2296" s="2"/>
      <c r="Q2296" s="2"/>
      <c r="R2296" s="2"/>
      <c r="S2296" s="2"/>
      <c r="T2296" s="2" t="s">
        <v>19844</v>
      </c>
      <c r="U2296" s="2" t="s">
        <v>19845</v>
      </c>
      <c r="V2296" s="2" t="s">
        <v>115</v>
      </c>
      <c r="W2296" s="2" t="s">
        <v>116</v>
      </c>
      <c r="X2296" s="2" t="s">
        <v>5270</v>
      </c>
      <c r="Y2296" s="2" t="s">
        <v>118</v>
      </c>
      <c r="Z2296" s="2" t="s">
        <v>119</v>
      </c>
      <c r="AA2296" s="2" t="s">
        <v>5271</v>
      </c>
      <c r="AB2296" s="2" t="s">
        <v>8443</v>
      </c>
      <c r="AC2296" s="2">
        <v>37.14</v>
      </c>
      <c r="AD2296" s="2">
        <v>96.59</v>
      </c>
      <c r="AE2296" s="2">
        <v>0</v>
      </c>
      <c r="AF2296" s="2" t="s">
        <v>5614</v>
      </c>
      <c r="AG2296" s="2" t="s">
        <v>103</v>
      </c>
      <c r="AH2296" s="2" t="s">
        <v>19846</v>
      </c>
      <c r="AI2296" s="2">
        <v>-3.18</v>
      </c>
      <c r="AJ2296" s="2">
        <v>18.611426074650002</v>
      </c>
      <c r="AK2296" s="2">
        <v>18.414092165600401</v>
      </c>
      <c r="AL2296" s="2">
        <v>19.043421022360299</v>
      </c>
      <c r="AM2296" s="2">
        <v>18.213328626269899</v>
      </c>
      <c r="AN2296" s="2">
        <v>18.595109135955699</v>
      </c>
      <c r="AO2296" s="2">
        <v>18.774674505491902</v>
      </c>
      <c r="AP2296" s="2">
        <v>17.967608478247399</v>
      </c>
      <c r="AQ2296" s="2">
        <v>18.229154857505499</v>
      </c>
      <c r="AR2296" s="2">
        <v>18.8114597413681</v>
      </c>
      <c r="AS2296" s="2">
        <v>18.369246819040502</v>
      </c>
      <c r="AT2296" s="2">
        <v>18.532656886619701</v>
      </c>
      <c r="AU2296" s="2">
        <v>18.538744760090601</v>
      </c>
      <c r="AV2296" s="2">
        <v>18.498514307501701</v>
      </c>
      <c r="AW2296" s="2">
        <v>18.402961244663999</v>
      </c>
      <c r="AX2296" s="2">
        <v>18.446345049725501</v>
      </c>
      <c r="AY2296" s="2">
        <v>18.657316286095401</v>
      </c>
      <c r="AZ2296" s="2">
        <v>18.675605458578001</v>
      </c>
      <c r="BA2296" s="2">
        <v>18.642922855913099</v>
      </c>
      <c r="BB2296" s="2">
        <v>18.667706719537701</v>
      </c>
      <c r="BC2296" s="2">
        <v>18.499519705734102</v>
      </c>
      <c r="BD2296" s="2">
        <v>18.695735909505601</v>
      </c>
      <c r="BE2296" s="2">
        <v>18.132368035523101</v>
      </c>
      <c r="BF2296" s="2">
        <v>18.229306738543201</v>
      </c>
      <c r="BG2296" s="2">
        <v>17.953669417343999</v>
      </c>
      <c r="BH2296" s="2">
        <v>18.644321257158399</v>
      </c>
      <c r="BI2296" s="2">
        <v>18.701742920845099</v>
      </c>
      <c r="BJ2296" s="2">
        <v>18.371783747211701</v>
      </c>
      <c r="BK2296" s="2">
        <v>18.087446628658199</v>
      </c>
      <c r="BL2296" s="2">
        <v>18.422945397658399</v>
      </c>
      <c r="BM2296" s="2">
        <v>18.0841745371477</v>
      </c>
      <c r="BN2296" s="2">
        <v>18.114808148214099</v>
      </c>
      <c r="BO2296" s="2">
        <v>18.335137824321901</v>
      </c>
      <c r="BP2296" s="2">
        <v>18.619022154860701</v>
      </c>
      <c r="BQ2296" s="2">
        <v>18.7939840302022</v>
      </c>
      <c r="BR2296" s="2">
        <v>18.574007424302401</v>
      </c>
      <c r="BS2296" s="2">
        <v>18.384098177258</v>
      </c>
      <c r="BT2296" s="2">
        <v>18.219652187007298</v>
      </c>
      <c r="BU2296" s="2">
        <v>18.8592984267082</v>
      </c>
      <c r="BV2296" s="2">
        <v>18.6689136462467</v>
      </c>
      <c r="BW2296" s="2">
        <v>18.568292905502901</v>
      </c>
      <c r="BX2296" s="2">
        <v>18.268176272860099</v>
      </c>
      <c r="BY2296" s="2">
        <v>18.750975425612399</v>
      </c>
      <c r="BZ2296" s="2">
        <v>18.107953746750901</v>
      </c>
      <c r="CA2296" s="2">
        <v>18.155850672321801</v>
      </c>
      <c r="CB2296" s="2">
        <v>18.484159141519001</v>
      </c>
      <c r="CC2296" s="2">
        <v>17.986342045061299</v>
      </c>
      <c r="CD2296" s="2">
        <v>18.599334758012599</v>
      </c>
      <c r="CE2296" s="2">
        <v>17.890474955542501</v>
      </c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</row>
    <row r="2297" spans="1:97">
      <c r="A2297" s="2" t="s">
        <v>19847</v>
      </c>
      <c r="B2297" s="2">
        <v>311.05606</v>
      </c>
      <c r="C2297" s="2">
        <v>1.264</v>
      </c>
      <c r="D2297" s="2" t="s">
        <v>84</v>
      </c>
      <c r="E2297" s="2" t="s">
        <v>19848</v>
      </c>
      <c r="F2297" s="2" t="s">
        <v>19849</v>
      </c>
      <c r="G2297" s="2">
        <v>48773</v>
      </c>
      <c r="H2297" s="3" t="str">
        <f>HYPERLINK("https://cloud.oebiotech.com/#/lm/network/48773", "https://cloud.oebiotech.com/#/lm/network/48773")</f>
        <v>https://cloud.oebiotech.com/#/lm/network/48773</v>
      </c>
      <c r="I2297" s="2" t="s">
        <v>19850</v>
      </c>
      <c r="J2297" s="2">
        <v>58456</v>
      </c>
      <c r="K2297" s="2"/>
      <c r="L2297" s="2">
        <v>104756</v>
      </c>
      <c r="M2297" s="2" t="s">
        <v>19851</v>
      </c>
      <c r="N2297" s="2" t="s">
        <v>12618</v>
      </c>
      <c r="O2297" s="2" t="s">
        <v>12619</v>
      </c>
      <c r="P2297" s="2">
        <v>30725</v>
      </c>
      <c r="Q2297" s="2" t="s">
        <v>19852</v>
      </c>
      <c r="R2297" s="2" t="s">
        <v>19853</v>
      </c>
      <c r="S2297" s="2" t="s">
        <v>19854</v>
      </c>
      <c r="T2297" s="2" t="s">
        <v>19855</v>
      </c>
      <c r="U2297" s="2" t="s">
        <v>19856</v>
      </c>
      <c r="V2297" s="2" t="s">
        <v>845</v>
      </c>
      <c r="W2297" s="2" t="s">
        <v>846</v>
      </c>
      <c r="X2297" s="2" t="s">
        <v>11121</v>
      </c>
      <c r="Y2297" s="2" t="s">
        <v>847</v>
      </c>
      <c r="Z2297" s="2" t="s">
        <v>848</v>
      </c>
      <c r="AA2297" s="2" t="s">
        <v>11122</v>
      </c>
      <c r="AB2297" s="2" t="s">
        <v>8443</v>
      </c>
      <c r="AC2297" s="2">
        <v>37.130000000000003</v>
      </c>
      <c r="AD2297" s="2">
        <v>88.71</v>
      </c>
      <c r="AE2297" s="2">
        <v>0</v>
      </c>
      <c r="AF2297" s="2" t="s">
        <v>5614</v>
      </c>
      <c r="AG2297" s="2" t="s">
        <v>1088</v>
      </c>
      <c r="AH2297" s="2" t="s">
        <v>19857</v>
      </c>
      <c r="AI2297" s="2">
        <v>-1.61</v>
      </c>
      <c r="AJ2297" s="2">
        <v>18.323386870689099</v>
      </c>
      <c r="AK2297" s="2">
        <v>18.1645970375634</v>
      </c>
      <c r="AL2297" s="2">
        <v>18.564278982193802</v>
      </c>
      <c r="AM2297" s="2">
        <v>19.064215712465199</v>
      </c>
      <c r="AN2297" s="2">
        <v>18.965104169806601</v>
      </c>
      <c r="AO2297" s="2">
        <v>18.285760265238899</v>
      </c>
      <c r="AP2297" s="2">
        <v>18.8393132337645</v>
      </c>
      <c r="AQ2297" s="2">
        <v>18.937755956626901</v>
      </c>
      <c r="AR2297" s="2">
        <v>18.334937958537001</v>
      </c>
      <c r="AS2297" s="2">
        <v>19.240427189216302</v>
      </c>
      <c r="AT2297" s="2">
        <v>19.1314846764446</v>
      </c>
      <c r="AU2297" s="2">
        <v>18.133730385354699</v>
      </c>
      <c r="AV2297" s="2">
        <v>18.265616374106099</v>
      </c>
      <c r="AW2297" s="2">
        <v>17.769839973896001</v>
      </c>
      <c r="AX2297" s="2">
        <v>18.646212556539101</v>
      </c>
      <c r="AY2297" s="2">
        <v>18.871144300951201</v>
      </c>
      <c r="AZ2297" s="2">
        <v>18.9564432885192</v>
      </c>
      <c r="BA2297" s="2">
        <v>18.8712023095467</v>
      </c>
      <c r="BB2297" s="2">
        <v>18.555115999424199</v>
      </c>
      <c r="BC2297" s="2">
        <v>17.6324806683322</v>
      </c>
      <c r="BD2297" s="2">
        <v>18.604495461050998</v>
      </c>
      <c r="BE2297" s="2">
        <v>18.4444597164313</v>
      </c>
      <c r="BF2297" s="2">
        <v>18.906533840222298</v>
      </c>
      <c r="BG2297" s="2">
        <v>18.874111509785202</v>
      </c>
      <c r="BH2297" s="2">
        <v>18.022233095956398</v>
      </c>
      <c r="BI2297" s="2">
        <v>18.316052512251801</v>
      </c>
      <c r="BJ2297" s="2">
        <v>18.692489335275301</v>
      </c>
      <c r="BK2297" s="2">
        <v>19.2625396301043</v>
      </c>
      <c r="BL2297" s="2">
        <v>19.157655943344601</v>
      </c>
      <c r="BM2297" s="2">
        <v>17.7367116208545</v>
      </c>
      <c r="BN2297" s="2">
        <v>18.120957708524099</v>
      </c>
      <c r="BO2297" s="2">
        <v>17.9137427142078</v>
      </c>
      <c r="BP2297" s="2">
        <v>19.032874051582901</v>
      </c>
      <c r="BQ2297" s="2">
        <v>18.6384319542668</v>
      </c>
      <c r="BR2297" s="2">
        <v>18.8910065920021</v>
      </c>
      <c r="BS2297" s="2">
        <v>18.773331156118001</v>
      </c>
      <c r="BT2297" s="2">
        <v>18.182915763708099</v>
      </c>
      <c r="BU2297" s="2">
        <v>18.620968146887101</v>
      </c>
      <c r="BV2297" s="2">
        <v>17.850893883375502</v>
      </c>
      <c r="BW2297" s="2">
        <v>19.025675459811101</v>
      </c>
      <c r="BX2297" s="2">
        <v>17.998983706209302</v>
      </c>
      <c r="BY2297" s="2">
        <v>18.282634725776902</v>
      </c>
      <c r="BZ2297" s="2">
        <v>18.6123595546647</v>
      </c>
      <c r="CA2297" s="2">
        <v>17.280827124304999</v>
      </c>
      <c r="CB2297" s="2">
        <v>19.017884973294699</v>
      </c>
      <c r="CC2297" s="2">
        <v>18.8954917084892</v>
      </c>
      <c r="CD2297" s="2">
        <v>17.950752258608802</v>
      </c>
      <c r="CE2297" s="2">
        <v>18.9960859010604</v>
      </c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</row>
    <row r="2298" spans="1:97">
      <c r="A2298" s="2" t="s">
        <v>19858</v>
      </c>
      <c r="B2298" s="2">
        <v>538.34974</v>
      </c>
      <c r="C2298" s="2">
        <v>8.6289999999999996</v>
      </c>
      <c r="D2298" s="2" t="s">
        <v>84</v>
      </c>
      <c r="E2298" s="2" t="s">
        <v>19859</v>
      </c>
      <c r="F2298" s="2" t="s">
        <v>19860</v>
      </c>
      <c r="G2298" s="2">
        <v>46813</v>
      </c>
      <c r="H2298" s="3" t="str">
        <f>HYPERLINK("https://cloud.oebiotech.com/#/lm/network/46813", "https://cloud.oebiotech.com/#/lm/network/46813")</f>
        <v>https://cloud.oebiotech.com/#/lm/network/46813</v>
      </c>
      <c r="I2298" s="2"/>
      <c r="J2298" s="2"/>
      <c r="K2298" s="2" t="s">
        <v>19861</v>
      </c>
      <c r="L2298" s="2">
        <v>487462</v>
      </c>
      <c r="M2298" s="2"/>
      <c r="N2298" s="2"/>
      <c r="O2298" s="2"/>
      <c r="P2298" s="2"/>
      <c r="Q2298" s="2"/>
      <c r="R2298" s="2"/>
      <c r="S2298" s="2"/>
      <c r="T2298" s="2" t="s">
        <v>19862</v>
      </c>
      <c r="U2298" s="2" t="s">
        <v>19863</v>
      </c>
      <c r="V2298" s="2" t="s">
        <v>95</v>
      </c>
      <c r="W2298" s="2" t="s">
        <v>152</v>
      </c>
      <c r="X2298" s="2" t="s">
        <v>278</v>
      </c>
      <c r="Y2298" s="2" t="s">
        <v>98</v>
      </c>
      <c r="Z2298" s="2" t="s">
        <v>154</v>
      </c>
      <c r="AA2298" s="2" t="s">
        <v>279</v>
      </c>
      <c r="AB2298" s="2" t="s">
        <v>8443</v>
      </c>
      <c r="AC2298" s="2">
        <v>37.130000000000003</v>
      </c>
      <c r="AD2298" s="2">
        <v>77</v>
      </c>
      <c r="AE2298" s="2">
        <v>0</v>
      </c>
      <c r="AF2298" s="2" t="s">
        <v>5614</v>
      </c>
      <c r="AG2298" s="2" t="s">
        <v>1088</v>
      </c>
      <c r="AH2298" s="2" t="s">
        <v>19864</v>
      </c>
      <c r="AI2298" s="2">
        <v>6.69</v>
      </c>
      <c r="AJ2298" s="2">
        <v>18.097996500541502</v>
      </c>
      <c r="AK2298" s="2">
        <v>18.449173436646099</v>
      </c>
      <c r="AL2298" s="2">
        <v>18.194452590407199</v>
      </c>
      <c r="AM2298" s="2">
        <v>17.814167298413601</v>
      </c>
      <c r="AN2298" s="2">
        <v>18.461111772197601</v>
      </c>
      <c r="AO2298" s="2">
        <v>18.470900160894899</v>
      </c>
      <c r="AP2298" s="2">
        <v>18.391457329193699</v>
      </c>
      <c r="AQ2298" s="2">
        <v>18.218945918864598</v>
      </c>
      <c r="AR2298" s="2">
        <v>18.021346228808799</v>
      </c>
      <c r="AS2298" s="2">
        <v>16.278959015927001</v>
      </c>
      <c r="AT2298" s="2">
        <v>18.254206203329598</v>
      </c>
      <c r="AU2298" s="2">
        <v>18.521134647612499</v>
      </c>
      <c r="AV2298" s="2">
        <v>19.068006912312399</v>
      </c>
      <c r="AW2298" s="2">
        <v>17.9267701004648</v>
      </c>
      <c r="AX2298" s="2">
        <v>18.305543760045499</v>
      </c>
      <c r="AY2298" s="2">
        <v>17.5825467417617</v>
      </c>
      <c r="AZ2298" s="2">
        <v>17.5691920948668</v>
      </c>
      <c r="BA2298" s="2">
        <v>17.533676492322101</v>
      </c>
      <c r="BB2298" s="2">
        <v>17.355081340233902</v>
      </c>
      <c r="BC2298" s="2">
        <v>18.523891397717701</v>
      </c>
      <c r="BD2298" s="2">
        <v>17.411730765119</v>
      </c>
      <c r="BE2298" s="2">
        <v>18.9712560516592</v>
      </c>
      <c r="BF2298" s="2">
        <v>17.1279410368101</v>
      </c>
      <c r="BG2298" s="2">
        <v>17.447766432677</v>
      </c>
      <c r="BH2298" s="2">
        <v>18.114192225972101</v>
      </c>
      <c r="BI2298" s="2">
        <v>19.261843198038999</v>
      </c>
      <c r="BJ2298" s="2">
        <v>17.739270092264299</v>
      </c>
      <c r="BK2298" s="2">
        <v>16.099232115628201</v>
      </c>
      <c r="BL2298" s="2">
        <v>18.463099450995902</v>
      </c>
      <c r="BM2298" s="2">
        <v>17.9964254356133</v>
      </c>
      <c r="BN2298" s="2">
        <v>19.023225729518199</v>
      </c>
      <c r="BO2298" s="2">
        <v>18.852805712199299</v>
      </c>
      <c r="BP2298" s="2">
        <v>19.4221221882622</v>
      </c>
      <c r="BQ2298" s="2">
        <v>18.054458004087099</v>
      </c>
      <c r="BR2298" s="2">
        <v>18.413744931712799</v>
      </c>
      <c r="BS2298" s="2">
        <v>17.923341762792099</v>
      </c>
      <c r="BT2298" s="2">
        <v>17.3856897022429</v>
      </c>
      <c r="BU2298" s="2">
        <v>17.558392236383099</v>
      </c>
      <c r="BV2298" s="2">
        <v>17.534832061366501</v>
      </c>
      <c r="BW2298" s="2">
        <v>18.312396232985598</v>
      </c>
      <c r="BX2298" s="2">
        <v>18.016437034906598</v>
      </c>
      <c r="BY2298" s="2">
        <v>18.140989094161199</v>
      </c>
      <c r="BZ2298" s="2">
        <v>17.9313634612177</v>
      </c>
      <c r="CA2298" s="2">
        <v>17.1019961822775</v>
      </c>
      <c r="CB2298" s="2">
        <v>18.042078814416399</v>
      </c>
      <c r="CC2298" s="2">
        <v>18.175874196508001</v>
      </c>
      <c r="CD2298" s="2">
        <v>18.887889820462</v>
      </c>
      <c r="CE2298" s="2">
        <v>15.7694876625176</v>
      </c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</row>
    <row r="2299" spans="1:97">
      <c r="A2299" s="2" t="s">
        <v>19865</v>
      </c>
      <c r="B2299" s="2">
        <v>351.17971</v>
      </c>
      <c r="C2299" s="2">
        <v>9.7089999999999996</v>
      </c>
      <c r="D2299" s="2" t="s">
        <v>84</v>
      </c>
      <c r="E2299" s="2" t="s">
        <v>19866</v>
      </c>
      <c r="F2299" s="2" t="s">
        <v>19867</v>
      </c>
      <c r="G2299" s="2">
        <v>60367</v>
      </c>
      <c r="H2299" s="3" t="str">
        <f>HYPERLINK("https://cloud.oebiotech.com/#/lm/network/60367", "https://cloud.oebiotech.com/#/lm/network/60367")</f>
        <v>https://cloud.oebiotech.com/#/lm/network/60367</v>
      </c>
      <c r="I2299" s="2" t="s">
        <v>19868</v>
      </c>
      <c r="J2299" s="2">
        <v>91725</v>
      </c>
      <c r="K2299" s="2"/>
      <c r="L2299" s="2">
        <v>5319830</v>
      </c>
      <c r="M2299" s="2"/>
      <c r="N2299" s="2"/>
      <c r="O2299" s="2"/>
      <c r="P2299" s="2">
        <v>175476</v>
      </c>
      <c r="Q2299" s="2"/>
      <c r="R2299" s="2"/>
      <c r="S2299" s="2" t="s">
        <v>19869</v>
      </c>
      <c r="T2299" s="2" t="s">
        <v>19870</v>
      </c>
      <c r="U2299" s="2" t="s">
        <v>19871</v>
      </c>
      <c r="V2299" s="2" t="s">
        <v>95</v>
      </c>
      <c r="W2299" s="2" t="s">
        <v>180</v>
      </c>
      <c r="X2299" s="2" t="s">
        <v>2949</v>
      </c>
      <c r="Y2299" s="2" t="s">
        <v>98</v>
      </c>
      <c r="Z2299" s="2" t="s">
        <v>182</v>
      </c>
      <c r="AA2299" s="2" t="s">
        <v>2950</v>
      </c>
      <c r="AB2299" s="2" t="s">
        <v>8443</v>
      </c>
      <c r="AC2299" s="2">
        <v>37.119999999999997</v>
      </c>
      <c r="AD2299" s="2">
        <v>87.68</v>
      </c>
      <c r="AE2299" s="2">
        <v>0</v>
      </c>
      <c r="AF2299" s="2" t="s">
        <v>5614</v>
      </c>
      <c r="AG2299" s="2" t="s">
        <v>103</v>
      </c>
      <c r="AH2299" s="2" t="s">
        <v>19872</v>
      </c>
      <c r="AI2299" s="2">
        <v>1.42</v>
      </c>
      <c r="AJ2299" s="2">
        <v>16.9714628356713</v>
      </c>
      <c r="AK2299" s="2">
        <v>17.479809230665399</v>
      </c>
      <c r="AL2299" s="2">
        <v>17.324705232221699</v>
      </c>
      <c r="AM2299" s="2">
        <v>17.041893001728099</v>
      </c>
      <c r="AN2299" s="2">
        <v>17.314721570261199</v>
      </c>
      <c r="AO2299" s="2">
        <v>16.504152654697499</v>
      </c>
      <c r="AP2299" s="2">
        <v>17.189965343699399</v>
      </c>
      <c r="AQ2299" s="2">
        <v>17.023278638520999</v>
      </c>
      <c r="AR2299" s="2">
        <v>16.937279901256101</v>
      </c>
      <c r="AS2299" s="2">
        <v>15.8747746368209</v>
      </c>
      <c r="AT2299" s="2">
        <v>16.768295221491599</v>
      </c>
      <c r="AU2299" s="2">
        <v>16.175238820043301</v>
      </c>
      <c r="AV2299" s="2">
        <v>16.614128778986299</v>
      </c>
      <c r="AW2299" s="2">
        <v>16.788679593891999</v>
      </c>
      <c r="AX2299" s="2">
        <v>9.6233145402724691</v>
      </c>
      <c r="AY2299" s="2">
        <v>16.8453371485307</v>
      </c>
      <c r="AZ2299" s="2">
        <v>16.741176095388699</v>
      </c>
      <c r="BA2299" s="2">
        <v>16.305359615011898</v>
      </c>
      <c r="BB2299" s="2">
        <v>17.5030450916564</v>
      </c>
      <c r="BC2299" s="2">
        <v>17.246510706314901</v>
      </c>
      <c r="BD2299" s="2">
        <v>17.099916696427201</v>
      </c>
      <c r="BE2299" s="2">
        <v>16.398511573022201</v>
      </c>
      <c r="BF2299" s="2">
        <v>16.6202225465982</v>
      </c>
      <c r="BG2299" s="2">
        <v>14.777525024629201</v>
      </c>
      <c r="BH2299" s="2">
        <v>17.8782395498284</v>
      </c>
      <c r="BI2299" s="2">
        <v>16.878350564706199</v>
      </c>
      <c r="BJ2299" s="2">
        <v>15.8826826885446</v>
      </c>
      <c r="BK2299" s="2">
        <v>16.1759475155316</v>
      </c>
      <c r="BL2299" s="2">
        <v>17.567430739707302</v>
      </c>
      <c r="BM2299" s="2">
        <v>17.808064911846799</v>
      </c>
      <c r="BN2299" s="2">
        <v>17.9606838055266</v>
      </c>
      <c r="BO2299" s="2">
        <v>16.769855918518498</v>
      </c>
      <c r="BP2299" s="2">
        <v>17.254259867270399</v>
      </c>
      <c r="BQ2299" s="2">
        <v>17.210906257198101</v>
      </c>
      <c r="BR2299" s="2">
        <v>16.744196974298902</v>
      </c>
      <c r="BS2299" s="2">
        <v>17.023344379450499</v>
      </c>
      <c r="BT2299" s="2">
        <v>17.045646839788802</v>
      </c>
      <c r="BU2299" s="2">
        <v>16.4150615491323</v>
      </c>
      <c r="BV2299" s="2">
        <v>17.8305717158823</v>
      </c>
      <c r="BW2299" s="2">
        <v>14.642253118997999</v>
      </c>
      <c r="BX2299" s="2">
        <v>16.093128666319799</v>
      </c>
      <c r="BY2299" s="2">
        <v>18.124086720587101</v>
      </c>
      <c r="BZ2299" s="2">
        <v>16.736569599989799</v>
      </c>
      <c r="CA2299" s="2">
        <v>16.996918745303201</v>
      </c>
      <c r="CB2299" s="2">
        <v>17.381000250058101</v>
      </c>
      <c r="CC2299" s="2">
        <v>16.9709879770671</v>
      </c>
      <c r="CD2299" s="2">
        <v>17.764515018590298</v>
      </c>
      <c r="CE2299" s="2">
        <v>17.3680129913785</v>
      </c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</row>
    <row r="2300" spans="1:97">
      <c r="A2300" s="2" t="s">
        <v>19873</v>
      </c>
      <c r="B2300" s="2">
        <v>579.27811999999994</v>
      </c>
      <c r="C2300" s="2">
        <v>7.38</v>
      </c>
      <c r="D2300" s="2" t="s">
        <v>146</v>
      </c>
      <c r="E2300" s="2" t="s">
        <v>19874</v>
      </c>
      <c r="F2300" s="2" t="s">
        <v>19875</v>
      </c>
      <c r="G2300" s="2">
        <v>46714</v>
      </c>
      <c r="H2300" s="3" t="str">
        <f>HYPERLINK("https://cloud.oebiotech.com/#/lm/network/46714", "https://cloud.oebiotech.com/#/lm/network/46714")</f>
        <v>https://cloud.oebiotech.com/#/lm/network/46714</v>
      </c>
      <c r="I2300" s="2"/>
      <c r="J2300" s="2"/>
      <c r="K2300" s="2" t="s">
        <v>19876</v>
      </c>
      <c r="L2300" s="2"/>
      <c r="M2300" s="2"/>
      <c r="N2300" s="2"/>
      <c r="O2300" s="2"/>
      <c r="P2300" s="2"/>
      <c r="Q2300" s="2"/>
      <c r="R2300" s="2"/>
      <c r="S2300" s="2"/>
      <c r="T2300" s="2" t="s">
        <v>19877</v>
      </c>
      <c r="U2300" s="2" t="s">
        <v>19878</v>
      </c>
      <c r="V2300" s="2" t="s">
        <v>95</v>
      </c>
      <c r="W2300" s="2" t="s">
        <v>152</v>
      </c>
      <c r="X2300" s="2" t="s">
        <v>7803</v>
      </c>
      <c r="Y2300" s="2" t="s">
        <v>98</v>
      </c>
      <c r="Z2300" s="2" t="s">
        <v>154</v>
      </c>
      <c r="AA2300" s="2" t="s">
        <v>7804</v>
      </c>
      <c r="AB2300" s="2" t="s">
        <v>8443</v>
      </c>
      <c r="AC2300" s="2">
        <v>37.119999999999997</v>
      </c>
      <c r="AD2300" s="2">
        <v>52.88</v>
      </c>
      <c r="AE2300" s="2">
        <v>0</v>
      </c>
      <c r="AF2300" s="2" t="s">
        <v>5614</v>
      </c>
      <c r="AG2300" s="2" t="s">
        <v>4062</v>
      </c>
      <c r="AH2300" s="2" t="s">
        <v>19879</v>
      </c>
      <c r="AI2300" s="2">
        <v>-2.93</v>
      </c>
      <c r="AJ2300" s="2">
        <v>16.203410140621699</v>
      </c>
      <c r="AK2300" s="2">
        <v>16.9612061647932</v>
      </c>
      <c r="AL2300" s="2">
        <v>16.659342608498701</v>
      </c>
      <c r="AM2300" s="2">
        <v>16.0019042554427</v>
      </c>
      <c r="AN2300" s="2">
        <v>16.444933342680699</v>
      </c>
      <c r="AO2300" s="2">
        <v>16.2209305320395</v>
      </c>
      <c r="AP2300" s="2">
        <v>16.883541707690298</v>
      </c>
      <c r="AQ2300" s="2">
        <v>17.025066655531599</v>
      </c>
      <c r="AR2300" s="2">
        <v>15.3860096412901</v>
      </c>
      <c r="AS2300" s="2">
        <v>14.187528378073401</v>
      </c>
      <c r="AT2300" s="2">
        <v>16.2314970232561</v>
      </c>
      <c r="AU2300" s="2">
        <v>15.123087963791299</v>
      </c>
      <c r="AV2300" s="2">
        <v>17.435775724859901</v>
      </c>
      <c r="AW2300" s="2">
        <v>17.558735416426501</v>
      </c>
      <c r="AX2300" s="2">
        <v>15.2898258217045</v>
      </c>
      <c r="AY2300" s="2">
        <v>16.3127484406685</v>
      </c>
      <c r="AZ2300" s="2">
        <v>16.933293232143502</v>
      </c>
      <c r="BA2300" s="2">
        <v>15.239295325587801</v>
      </c>
      <c r="BB2300" s="2">
        <v>15.667945608543</v>
      </c>
      <c r="BC2300" s="2">
        <v>16.4592868807845</v>
      </c>
      <c r="BD2300" s="2">
        <v>16.032849655533401</v>
      </c>
      <c r="BE2300" s="2">
        <v>18.2649438460022</v>
      </c>
      <c r="BF2300" s="2">
        <v>14.628602172954499</v>
      </c>
      <c r="BG2300" s="2">
        <v>17.1790344436961</v>
      </c>
      <c r="BH2300" s="2">
        <v>17.3686490904255</v>
      </c>
      <c r="BI2300" s="2">
        <v>15.0689440809986</v>
      </c>
      <c r="BJ2300" s="2">
        <v>17.2833151131709</v>
      </c>
      <c r="BK2300" s="2">
        <v>16.7207387102933</v>
      </c>
      <c r="BL2300" s="2">
        <v>16.234547835966499</v>
      </c>
      <c r="BM2300" s="2">
        <v>15.949839702614399</v>
      </c>
      <c r="BN2300" s="2">
        <v>16.1277503459672</v>
      </c>
      <c r="BO2300" s="2">
        <v>16.482662709545099</v>
      </c>
      <c r="BP2300" s="2">
        <v>15.310748027980001</v>
      </c>
      <c r="BQ2300" s="2">
        <v>16.044915524887301</v>
      </c>
      <c r="BR2300" s="2">
        <v>15.9629264978492</v>
      </c>
      <c r="BS2300" s="2">
        <v>16.002698345583401</v>
      </c>
      <c r="BT2300" s="2">
        <v>14.753574557536</v>
      </c>
      <c r="BU2300" s="2">
        <v>15.917124724470399</v>
      </c>
      <c r="BV2300" s="2">
        <v>12.8248235312397</v>
      </c>
      <c r="BW2300" s="2">
        <v>12.5724610205133</v>
      </c>
      <c r="BX2300" s="2">
        <v>15.256883503755001</v>
      </c>
      <c r="BY2300" s="2">
        <v>17.7355954224867</v>
      </c>
      <c r="BZ2300" s="2">
        <v>15.899441659884801</v>
      </c>
      <c r="CA2300" s="2">
        <v>14.2919893950335</v>
      </c>
      <c r="CB2300" s="2">
        <v>16.288965897482399</v>
      </c>
      <c r="CC2300" s="2">
        <v>15.980840444672101</v>
      </c>
      <c r="CD2300" s="2">
        <v>15.737480800707599</v>
      </c>
      <c r="CE2300" s="2">
        <v>15.6679489338648</v>
      </c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</row>
    <row r="2301" spans="1:97">
      <c r="A2301" s="2" t="s">
        <v>19880</v>
      </c>
      <c r="B2301" s="2">
        <v>324.06643000000003</v>
      </c>
      <c r="C2301" s="2">
        <v>10.439</v>
      </c>
      <c r="D2301" s="2" t="s">
        <v>146</v>
      </c>
      <c r="E2301" s="2" t="s">
        <v>19881</v>
      </c>
      <c r="F2301" s="2" t="s">
        <v>19882</v>
      </c>
      <c r="G2301" s="2">
        <v>206746</v>
      </c>
      <c r="H2301" s="3" t="str">
        <f>HYPERLINK("https://cloud.oebiotech.com/#/lm/network/206746", "https://cloud.oebiotech.com/#/lm/network/206746")</f>
        <v>https://cloud.oebiotech.com/#/lm/network/206746</v>
      </c>
      <c r="I2301" s="2" t="s">
        <v>19883</v>
      </c>
      <c r="J2301" s="2">
        <v>319124</v>
      </c>
      <c r="K2301" s="2"/>
      <c r="L2301" s="2">
        <v>68792</v>
      </c>
      <c r="M2301" s="2"/>
      <c r="N2301" s="2"/>
      <c r="O2301" s="2"/>
      <c r="P2301" s="2"/>
      <c r="Q2301" s="2"/>
      <c r="R2301" s="2"/>
      <c r="S2301" s="2"/>
      <c r="T2301" s="2" t="s">
        <v>19884</v>
      </c>
      <c r="U2301" s="2" t="s">
        <v>19885</v>
      </c>
      <c r="V2301" s="2" t="s">
        <v>553</v>
      </c>
      <c r="W2301" s="2" t="s">
        <v>554</v>
      </c>
      <c r="X2301" s="2" t="s">
        <v>555</v>
      </c>
      <c r="Y2301" s="2" t="s">
        <v>556</v>
      </c>
      <c r="Z2301" s="2" t="s">
        <v>557</v>
      </c>
      <c r="AA2301" s="2" t="s">
        <v>558</v>
      </c>
      <c r="AB2301" s="2" t="s">
        <v>8443</v>
      </c>
      <c r="AC2301" s="2">
        <v>37.119999999999997</v>
      </c>
      <c r="AD2301" s="2">
        <v>88.3</v>
      </c>
      <c r="AE2301" s="2">
        <v>0</v>
      </c>
      <c r="AF2301" s="2" t="s">
        <v>19886</v>
      </c>
      <c r="AG2301" s="2" t="s">
        <v>157</v>
      </c>
      <c r="AH2301" s="2" t="s">
        <v>19887</v>
      </c>
      <c r="AI2301" s="2">
        <v>-1.54</v>
      </c>
      <c r="AJ2301" s="2">
        <v>16.578728102302701</v>
      </c>
      <c r="AK2301" s="2">
        <v>16.5047102291005</v>
      </c>
      <c r="AL2301" s="2">
        <v>17.027203759878201</v>
      </c>
      <c r="AM2301" s="2">
        <v>16.880234359058001</v>
      </c>
      <c r="AN2301" s="2">
        <v>17.0530832222024</v>
      </c>
      <c r="AO2301" s="2">
        <v>17.249572371897798</v>
      </c>
      <c r="AP2301" s="2">
        <v>16.697714481563601</v>
      </c>
      <c r="AQ2301" s="2">
        <v>17.192279809348701</v>
      </c>
      <c r="AR2301" s="2">
        <v>9.6233145402724691</v>
      </c>
      <c r="AS2301" s="2">
        <v>16.836155662822598</v>
      </c>
      <c r="AT2301" s="2">
        <v>17.738898429490199</v>
      </c>
      <c r="AU2301" s="2">
        <v>15.378516703347699</v>
      </c>
      <c r="AV2301" s="2">
        <v>9.6233145402724691</v>
      </c>
      <c r="AW2301" s="2">
        <v>15.549866773630599</v>
      </c>
      <c r="AX2301" s="2">
        <v>16.453498609663399</v>
      </c>
      <c r="AY2301" s="2">
        <v>16.3018576808376</v>
      </c>
      <c r="AZ2301" s="2">
        <v>9.6233145402724691</v>
      </c>
      <c r="BA2301" s="2">
        <v>17.4882310927057</v>
      </c>
      <c r="BB2301" s="2">
        <v>17.604704370569898</v>
      </c>
      <c r="BC2301" s="2">
        <v>18.295205540676601</v>
      </c>
      <c r="BD2301" s="2">
        <v>14.2438753710277</v>
      </c>
      <c r="BE2301" s="2">
        <v>14.726630086189299</v>
      </c>
      <c r="BF2301" s="2">
        <v>15.3534184082322</v>
      </c>
      <c r="BG2301" s="2">
        <v>18.0170339631199</v>
      </c>
      <c r="BH2301" s="2">
        <v>14.212965959806599</v>
      </c>
      <c r="BI2301" s="2">
        <v>9.6233145402724691</v>
      </c>
      <c r="BJ2301" s="2">
        <v>15.2056107631978</v>
      </c>
      <c r="BK2301" s="2">
        <v>9.6233145402724691</v>
      </c>
      <c r="BL2301" s="2">
        <v>16.414886036526699</v>
      </c>
      <c r="BM2301" s="2">
        <v>13.9074239935952</v>
      </c>
      <c r="BN2301" s="2">
        <v>14.122061966248101</v>
      </c>
      <c r="BO2301" s="2">
        <v>17.797145117809301</v>
      </c>
      <c r="BP2301" s="2">
        <v>16.818602273020399</v>
      </c>
      <c r="BQ2301" s="2">
        <v>17.973601859028101</v>
      </c>
      <c r="BR2301" s="2">
        <v>18.070719706404699</v>
      </c>
      <c r="BS2301" s="2">
        <v>9.6233145402724691</v>
      </c>
      <c r="BT2301" s="2">
        <v>16.0982365106054</v>
      </c>
      <c r="BU2301" s="2">
        <v>17.508323493247399</v>
      </c>
      <c r="BV2301" s="2">
        <v>18.0017077534308</v>
      </c>
      <c r="BW2301" s="2">
        <v>16.472457467491498</v>
      </c>
      <c r="BX2301" s="2">
        <v>14.3548561175653</v>
      </c>
      <c r="BY2301" s="2">
        <v>9.6233145402724691</v>
      </c>
      <c r="BZ2301" s="2">
        <v>15.879308745790301</v>
      </c>
      <c r="CA2301" s="2">
        <v>15.037898233516</v>
      </c>
      <c r="CB2301" s="2">
        <v>17.4959114591129</v>
      </c>
      <c r="CC2301" s="2">
        <v>17.465331957381899</v>
      </c>
      <c r="CD2301" s="2">
        <v>16.024601003882001</v>
      </c>
      <c r="CE2301" s="2">
        <v>17.778540606100599</v>
      </c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</row>
    <row r="2302" spans="1:97">
      <c r="A2302" s="2" t="s">
        <v>19888</v>
      </c>
      <c r="B2302" s="2">
        <v>469.25677000000002</v>
      </c>
      <c r="C2302" s="2">
        <v>10.218</v>
      </c>
      <c r="D2302" s="2" t="s">
        <v>146</v>
      </c>
      <c r="E2302" s="2" t="s">
        <v>19889</v>
      </c>
      <c r="F2302" s="2"/>
      <c r="G2302" s="2">
        <v>594752</v>
      </c>
      <c r="H2302" s="3" t="str">
        <f>HYPERLINK("https://cloud.oebiotech.com/#/lm/network/594752", "https://cloud.oebiotech.com/#/lm/network/594752")</f>
        <v>https://cloud.oebiotech.com/#/lm/network/594752</v>
      </c>
      <c r="I2302" s="2"/>
      <c r="J2302" s="2"/>
      <c r="K2302" s="2"/>
      <c r="L2302" s="2">
        <v>17786744</v>
      </c>
      <c r="M2302" s="2"/>
      <c r="N2302" s="2"/>
      <c r="O2302" s="2"/>
      <c r="P2302" s="2"/>
      <c r="Q2302" s="2"/>
      <c r="R2302" s="2"/>
      <c r="S2302" s="2"/>
      <c r="T2302" s="2" t="s">
        <v>19890</v>
      </c>
      <c r="U2302" s="2" t="s">
        <v>19891</v>
      </c>
      <c r="V2302" s="2" t="s">
        <v>95</v>
      </c>
      <c r="W2302" s="2" t="s">
        <v>202</v>
      </c>
      <c r="X2302" s="2" t="s">
        <v>6038</v>
      </c>
      <c r="Y2302" s="2" t="s">
        <v>98</v>
      </c>
      <c r="Z2302" s="2" t="s">
        <v>204</v>
      </c>
      <c r="AA2302" s="2" t="s">
        <v>6039</v>
      </c>
      <c r="AB2302" s="2" t="s">
        <v>8443</v>
      </c>
      <c r="AC2302" s="2">
        <v>37.119999999999997</v>
      </c>
      <c r="AD2302" s="2">
        <v>85.61</v>
      </c>
      <c r="AE2302" s="2">
        <v>0</v>
      </c>
      <c r="AF2302" s="2" t="s">
        <v>5614</v>
      </c>
      <c r="AG2302" s="2" t="s">
        <v>157</v>
      </c>
      <c r="AH2302" s="2" t="s">
        <v>19892</v>
      </c>
      <c r="AI2302" s="2">
        <v>0.85</v>
      </c>
      <c r="AJ2302" s="2">
        <v>17.444213925903799</v>
      </c>
      <c r="AK2302" s="2">
        <v>17.322225426376999</v>
      </c>
      <c r="AL2302" s="2">
        <v>17.269823051295901</v>
      </c>
      <c r="AM2302" s="2">
        <v>16.918997249483201</v>
      </c>
      <c r="AN2302" s="2">
        <v>17.428962287808499</v>
      </c>
      <c r="AO2302" s="2">
        <v>16.5779617442793</v>
      </c>
      <c r="AP2302" s="2">
        <v>17.0108789246698</v>
      </c>
      <c r="AQ2302" s="2">
        <v>16.415747709097499</v>
      </c>
      <c r="AR2302" s="2">
        <v>14.3783551475984</v>
      </c>
      <c r="AS2302" s="2">
        <v>16.019371154103901</v>
      </c>
      <c r="AT2302" s="2">
        <v>17.0518555272239</v>
      </c>
      <c r="AU2302" s="2">
        <v>15.609437905832401</v>
      </c>
      <c r="AV2302" s="2">
        <v>17.3882833081828</v>
      </c>
      <c r="AW2302" s="2">
        <v>15.091728755175801</v>
      </c>
      <c r="AX2302" s="2">
        <v>17.0218953267361</v>
      </c>
      <c r="AY2302" s="2">
        <v>17.085109851837501</v>
      </c>
      <c r="AZ2302" s="2">
        <v>17.980461882648001</v>
      </c>
      <c r="BA2302" s="2">
        <v>17.132950401020398</v>
      </c>
      <c r="BB2302" s="2">
        <v>17.317193359185499</v>
      </c>
      <c r="BC2302" s="2">
        <v>17.774370446478699</v>
      </c>
      <c r="BD2302" s="2">
        <v>17.7034410346748</v>
      </c>
      <c r="BE2302" s="2">
        <v>18.4557438038538</v>
      </c>
      <c r="BF2302" s="2">
        <v>15.5485025516364</v>
      </c>
      <c r="BG2302" s="2">
        <v>15.5325595661704</v>
      </c>
      <c r="BH2302" s="2">
        <v>14.4296564975888</v>
      </c>
      <c r="BI2302" s="2">
        <v>15.7271605215468</v>
      </c>
      <c r="BJ2302" s="2">
        <v>17.658292386571201</v>
      </c>
      <c r="BK2302" s="2">
        <v>15.0954872708307</v>
      </c>
      <c r="BL2302" s="2">
        <v>16.924728200144902</v>
      </c>
      <c r="BM2302" s="2">
        <v>16.507507571310502</v>
      </c>
      <c r="BN2302" s="2">
        <v>16.875538671082001</v>
      </c>
      <c r="BO2302" s="2">
        <v>16.251639956387901</v>
      </c>
      <c r="BP2302" s="2">
        <v>17.2498004807881</v>
      </c>
      <c r="BQ2302" s="2">
        <v>16.023591937024801</v>
      </c>
      <c r="BR2302" s="2">
        <v>16.844397324978701</v>
      </c>
      <c r="BS2302" s="2">
        <v>17.033635286133901</v>
      </c>
      <c r="BT2302" s="2">
        <v>17.573850924790101</v>
      </c>
      <c r="BU2302" s="2">
        <v>15.996087694538</v>
      </c>
      <c r="BV2302" s="2">
        <v>17.366020169587699</v>
      </c>
      <c r="BW2302" s="2">
        <v>16.7665827394991</v>
      </c>
      <c r="BX2302" s="2">
        <v>17.024550578118902</v>
      </c>
      <c r="BY2302" s="2">
        <v>18.49139274901</v>
      </c>
      <c r="BZ2302" s="2">
        <v>9.6233145402724691</v>
      </c>
      <c r="CA2302" s="2">
        <v>16.2339847228852</v>
      </c>
      <c r="CB2302" s="2">
        <v>15.0081550268334</v>
      </c>
      <c r="CC2302" s="2">
        <v>16.697839207955401</v>
      </c>
      <c r="CD2302" s="2">
        <v>17.747637118874401</v>
      </c>
      <c r="CE2302" s="2">
        <v>15.743873244905499</v>
      </c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</row>
    <row r="2303" spans="1:97">
      <c r="A2303" s="2" t="s">
        <v>19893</v>
      </c>
      <c r="B2303" s="2">
        <v>240.09913</v>
      </c>
      <c r="C2303" s="2">
        <v>11.38</v>
      </c>
      <c r="D2303" s="2" t="s">
        <v>84</v>
      </c>
      <c r="E2303" s="2" t="s">
        <v>19894</v>
      </c>
      <c r="F2303" s="2" t="s">
        <v>19895</v>
      </c>
      <c r="G2303" s="2">
        <v>198632</v>
      </c>
      <c r="H2303" s="3" t="str">
        <f>HYPERLINK("https://cloud.oebiotech.com/#/lm/network/198632", "https://cloud.oebiotech.com/#/lm/network/198632")</f>
        <v>https://cloud.oebiotech.com/#/lm/network/198632</v>
      </c>
      <c r="I2303" s="2" t="s">
        <v>19896</v>
      </c>
      <c r="J2303" s="2"/>
      <c r="K2303" s="2"/>
      <c r="L2303" s="2">
        <v>150971</v>
      </c>
      <c r="M2303" s="2"/>
      <c r="N2303" s="2"/>
      <c r="O2303" s="2"/>
      <c r="P2303" s="2">
        <v>19228</v>
      </c>
      <c r="Q2303" s="2"/>
      <c r="R2303" s="2"/>
      <c r="S2303" s="2"/>
      <c r="T2303" s="2" t="s">
        <v>19897</v>
      </c>
      <c r="U2303" s="2" t="s">
        <v>19898</v>
      </c>
      <c r="V2303" s="2" t="s">
        <v>818</v>
      </c>
      <c r="W2303" s="2" t="s">
        <v>1873</v>
      </c>
      <c r="X2303" s="2" t="s">
        <v>375</v>
      </c>
      <c r="Y2303" s="2" t="s">
        <v>820</v>
      </c>
      <c r="Z2303" s="2" t="s">
        <v>1874</v>
      </c>
      <c r="AA2303" s="2"/>
      <c r="AB2303" s="2" t="s">
        <v>8443</v>
      </c>
      <c r="AC2303" s="2">
        <v>37.11</v>
      </c>
      <c r="AD2303" s="2">
        <v>93.04</v>
      </c>
      <c r="AE2303" s="2">
        <v>0</v>
      </c>
      <c r="AF2303" s="2" t="s">
        <v>5614</v>
      </c>
      <c r="AG2303" s="2" t="s">
        <v>1088</v>
      </c>
      <c r="AH2303" s="2" t="s">
        <v>19899</v>
      </c>
      <c r="AI2303" s="2">
        <v>-2.5</v>
      </c>
      <c r="AJ2303" s="2">
        <v>18.5796704165911</v>
      </c>
      <c r="AK2303" s="2">
        <v>19.001090453106201</v>
      </c>
      <c r="AL2303" s="2">
        <v>17.878326673876199</v>
      </c>
      <c r="AM2303" s="2">
        <v>18.653060297088999</v>
      </c>
      <c r="AN2303" s="2">
        <v>18.4971432077663</v>
      </c>
      <c r="AO2303" s="2">
        <v>18.702953261950402</v>
      </c>
      <c r="AP2303" s="2">
        <v>18.591519096003601</v>
      </c>
      <c r="AQ2303" s="2">
        <v>18.6999691222648</v>
      </c>
      <c r="AR2303" s="2">
        <v>19.621407111967098</v>
      </c>
      <c r="AS2303" s="2">
        <v>17.683373800725601</v>
      </c>
      <c r="AT2303" s="2">
        <v>18.663863092297799</v>
      </c>
      <c r="AU2303" s="2">
        <v>18.753777417652401</v>
      </c>
      <c r="AV2303" s="2">
        <v>18.2325869384843</v>
      </c>
      <c r="AW2303" s="2">
        <v>18.663202104815099</v>
      </c>
      <c r="AX2303" s="2">
        <v>18.818526726069798</v>
      </c>
      <c r="AY2303" s="2">
        <v>18.5902404343028</v>
      </c>
      <c r="AZ2303" s="2">
        <v>18.801499655660098</v>
      </c>
      <c r="BA2303" s="2">
        <v>16.875726197284099</v>
      </c>
      <c r="BB2303" s="2">
        <v>18.953691865218701</v>
      </c>
      <c r="BC2303" s="2">
        <v>19.3377365024688</v>
      </c>
      <c r="BD2303" s="2">
        <v>18.792853351108398</v>
      </c>
      <c r="BE2303" s="2">
        <v>19.129228824292099</v>
      </c>
      <c r="BF2303" s="2">
        <v>18.419814140364501</v>
      </c>
      <c r="BG2303" s="2">
        <v>18.936348744202501</v>
      </c>
      <c r="BH2303" s="2">
        <v>18.456896447007502</v>
      </c>
      <c r="BI2303" s="2">
        <v>18.031159271985199</v>
      </c>
      <c r="BJ2303" s="2">
        <v>18.142884450867999</v>
      </c>
      <c r="BK2303" s="2">
        <v>18.0210378117362</v>
      </c>
      <c r="BL2303" s="2">
        <v>18.612219473953498</v>
      </c>
      <c r="BM2303" s="2">
        <v>17.590571334674902</v>
      </c>
      <c r="BN2303" s="2">
        <v>18.818641402351599</v>
      </c>
      <c r="BO2303" s="2">
        <v>18.590331345346399</v>
      </c>
      <c r="BP2303" s="2">
        <v>18.806952076554399</v>
      </c>
      <c r="BQ2303" s="2">
        <v>18.841630651950101</v>
      </c>
      <c r="BR2303" s="2">
        <v>18.9081976218629</v>
      </c>
      <c r="BS2303" s="2">
        <v>18.9131147397209</v>
      </c>
      <c r="BT2303" s="2">
        <v>18.8311399931791</v>
      </c>
      <c r="BU2303" s="2">
        <v>18.410337891161898</v>
      </c>
      <c r="BV2303" s="2">
        <v>19.3211764587655</v>
      </c>
      <c r="BW2303" s="2">
        <v>17.016945905491301</v>
      </c>
      <c r="BX2303" s="2">
        <v>18.757171376006202</v>
      </c>
      <c r="BY2303" s="2">
        <v>19.4217886523023</v>
      </c>
      <c r="BZ2303" s="2">
        <v>18.384172859416999</v>
      </c>
      <c r="CA2303" s="2">
        <v>18.948346126722001</v>
      </c>
      <c r="CB2303" s="2">
        <v>17.038833811029502</v>
      </c>
      <c r="CC2303" s="2">
        <v>18.7859588423822</v>
      </c>
      <c r="CD2303" s="2">
        <v>19.047132168297999</v>
      </c>
      <c r="CE2303" s="2">
        <v>17.660229514542198</v>
      </c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</row>
    <row r="2304" spans="1:97">
      <c r="A2304" s="2" t="s">
        <v>19900</v>
      </c>
      <c r="B2304" s="2">
        <v>243.03276</v>
      </c>
      <c r="C2304" s="2">
        <v>5.9320000000000004</v>
      </c>
      <c r="D2304" s="2" t="s">
        <v>146</v>
      </c>
      <c r="E2304" s="2" t="s">
        <v>19901</v>
      </c>
      <c r="F2304" s="2"/>
      <c r="G2304" s="2">
        <v>594934</v>
      </c>
      <c r="H2304" s="3" t="str">
        <f>HYPERLINK("https://cloud.oebiotech.com/#/lm/network/594934", "https://cloud.oebiotech.com/#/lm/network/594934")</f>
        <v>https://cloud.oebiotech.com/#/lm/network/594934</v>
      </c>
      <c r="I2304" s="2"/>
      <c r="J2304" s="2"/>
      <c r="K2304" s="2"/>
      <c r="L2304" s="2">
        <v>130242332</v>
      </c>
      <c r="M2304" s="2"/>
      <c r="N2304" s="2"/>
      <c r="O2304" s="2"/>
      <c r="P2304" s="2"/>
      <c r="Q2304" s="2"/>
      <c r="R2304" s="2"/>
      <c r="S2304" s="2"/>
      <c r="T2304" s="2" t="s">
        <v>19902</v>
      </c>
      <c r="U2304" s="2" t="s">
        <v>19903</v>
      </c>
      <c r="V2304" s="2" t="s">
        <v>115</v>
      </c>
      <c r="W2304" s="2" t="s">
        <v>613</v>
      </c>
      <c r="X2304" s="2" t="s">
        <v>614</v>
      </c>
      <c r="Y2304" s="2" t="s">
        <v>118</v>
      </c>
      <c r="Z2304" s="2" t="s">
        <v>615</v>
      </c>
      <c r="AA2304" s="2" t="s">
        <v>616</v>
      </c>
      <c r="AB2304" s="2" t="s">
        <v>8443</v>
      </c>
      <c r="AC2304" s="2">
        <v>37.1</v>
      </c>
      <c r="AD2304" s="2">
        <v>90.81</v>
      </c>
      <c r="AE2304" s="2">
        <v>0</v>
      </c>
      <c r="AF2304" s="2" t="s">
        <v>5614</v>
      </c>
      <c r="AG2304" s="2" t="s">
        <v>194</v>
      </c>
      <c r="AH2304" s="2" t="s">
        <v>19904</v>
      </c>
      <c r="AI2304" s="2">
        <v>2.06</v>
      </c>
      <c r="AJ2304" s="2">
        <v>18.140552160642301</v>
      </c>
      <c r="AK2304" s="2">
        <v>18.044433770299701</v>
      </c>
      <c r="AL2304" s="2">
        <v>17.8399992486417</v>
      </c>
      <c r="AM2304" s="2">
        <v>18.136920941549999</v>
      </c>
      <c r="AN2304" s="2">
        <v>17.805301021738298</v>
      </c>
      <c r="AO2304" s="2">
        <v>17.6496217737592</v>
      </c>
      <c r="AP2304" s="2">
        <v>17.746684951409001</v>
      </c>
      <c r="AQ2304" s="2">
        <v>17.9746531556824</v>
      </c>
      <c r="AR2304" s="2">
        <v>13.827086617032201</v>
      </c>
      <c r="AS2304" s="2">
        <v>11.1233195918636</v>
      </c>
      <c r="AT2304" s="2">
        <v>9.6233145402724691</v>
      </c>
      <c r="AU2304" s="2">
        <v>12.678782775019499</v>
      </c>
      <c r="AV2304" s="2">
        <v>16.465358823912801</v>
      </c>
      <c r="AW2304" s="2">
        <v>17.666871821617399</v>
      </c>
      <c r="AX2304" s="2">
        <v>9.6233145402724691</v>
      </c>
      <c r="AY2304" s="2">
        <v>15.4778218129281</v>
      </c>
      <c r="AZ2304" s="2">
        <v>13.634091791775701</v>
      </c>
      <c r="BA2304" s="2">
        <v>17.653160947977</v>
      </c>
      <c r="BB2304" s="2">
        <v>14.117574113984499</v>
      </c>
      <c r="BC2304" s="2">
        <v>17.7586475739073</v>
      </c>
      <c r="BD2304" s="2">
        <v>15.4700452296279</v>
      </c>
      <c r="BE2304" s="2">
        <v>14.379609185227901</v>
      </c>
      <c r="BF2304" s="2">
        <v>16.044189603524099</v>
      </c>
      <c r="BG2304" s="2">
        <v>17.007549978268401</v>
      </c>
      <c r="BH2304" s="2">
        <v>18.4071151238421</v>
      </c>
      <c r="BI2304" s="2">
        <v>19.192571794273601</v>
      </c>
      <c r="BJ2304" s="2">
        <v>15.8990306745604</v>
      </c>
      <c r="BK2304" s="2">
        <v>14.9201509160866</v>
      </c>
      <c r="BL2304" s="2">
        <v>13.5329646316988</v>
      </c>
      <c r="BM2304" s="2">
        <v>21.788197075686998</v>
      </c>
      <c r="BN2304" s="2">
        <v>13.356809573410301</v>
      </c>
      <c r="BO2304" s="2">
        <v>11.4776925039509</v>
      </c>
      <c r="BP2304" s="2">
        <v>13.268767129710101</v>
      </c>
      <c r="BQ2304" s="2">
        <v>15.673084603287</v>
      </c>
      <c r="BR2304" s="2">
        <v>18.226971450466898</v>
      </c>
      <c r="BS2304" s="2">
        <v>18.111940724748301</v>
      </c>
      <c r="BT2304" s="2">
        <v>9.6233145402724691</v>
      </c>
      <c r="BU2304" s="2">
        <v>15.238392423219</v>
      </c>
      <c r="BV2304" s="2">
        <v>9.6233145402724691</v>
      </c>
      <c r="BW2304" s="2">
        <v>9.6233145402724691</v>
      </c>
      <c r="BX2304" s="2">
        <v>16.998319149721301</v>
      </c>
      <c r="BY2304" s="2">
        <v>18.977301140434101</v>
      </c>
      <c r="BZ2304" s="2">
        <v>9.6233145402724691</v>
      </c>
      <c r="CA2304" s="2">
        <v>15.453795663508901</v>
      </c>
      <c r="CB2304" s="2">
        <v>21.198575042418302</v>
      </c>
      <c r="CC2304" s="2">
        <v>19.276986133611</v>
      </c>
      <c r="CD2304" s="2">
        <v>20.617603253234499</v>
      </c>
      <c r="CE2304" s="2">
        <v>9.6233145402724691</v>
      </c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</row>
    <row r="2305" spans="1:97">
      <c r="A2305" s="2" t="s">
        <v>19905</v>
      </c>
      <c r="B2305" s="2">
        <v>253.08244999999999</v>
      </c>
      <c r="C2305" s="2">
        <v>10.326000000000001</v>
      </c>
      <c r="D2305" s="2" t="s">
        <v>146</v>
      </c>
      <c r="E2305" s="2" t="s">
        <v>19906</v>
      </c>
      <c r="F2305" s="2" t="s">
        <v>19907</v>
      </c>
      <c r="G2305" s="2">
        <v>82620</v>
      </c>
      <c r="H2305" s="3" t="str">
        <f>HYPERLINK("https://cloud.oebiotech.com/#/lm/network/82620", "https://cloud.oebiotech.com/#/lm/network/82620")</f>
        <v>https://cloud.oebiotech.com/#/lm/network/82620</v>
      </c>
      <c r="I2305" s="2" t="s">
        <v>19908</v>
      </c>
      <c r="J2305" s="2"/>
      <c r="K2305" s="2"/>
      <c r="L2305" s="2">
        <v>719629</v>
      </c>
      <c r="M2305" s="2"/>
      <c r="N2305" s="2"/>
      <c r="O2305" s="2"/>
      <c r="P2305" s="2"/>
      <c r="Q2305" s="2"/>
      <c r="R2305" s="2"/>
      <c r="S2305" s="2" t="s">
        <v>19909</v>
      </c>
      <c r="T2305" s="2" t="s">
        <v>19910</v>
      </c>
      <c r="U2305" s="2" t="s">
        <v>19911</v>
      </c>
      <c r="V2305" s="2" t="s">
        <v>115</v>
      </c>
      <c r="W2305" s="2" t="s">
        <v>116</v>
      </c>
      <c r="X2305" s="2" t="s">
        <v>117</v>
      </c>
      <c r="Y2305" s="2" t="s">
        <v>118</v>
      </c>
      <c r="Z2305" s="2" t="s">
        <v>119</v>
      </c>
      <c r="AA2305" s="2" t="s">
        <v>120</v>
      </c>
      <c r="AB2305" s="2" t="s">
        <v>8443</v>
      </c>
      <c r="AC2305" s="2">
        <v>37.1</v>
      </c>
      <c r="AD2305" s="2">
        <v>92.34</v>
      </c>
      <c r="AE2305" s="2">
        <v>0</v>
      </c>
      <c r="AF2305" s="2" t="s">
        <v>19912</v>
      </c>
      <c r="AG2305" s="2" t="s">
        <v>157</v>
      </c>
      <c r="AH2305" s="2" t="s">
        <v>19913</v>
      </c>
      <c r="AI2305" s="2">
        <v>2.37</v>
      </c>
      <c r="AJ2305" s="2">
        <v>20.2595091243785</v>
      </c>
      <c r="AK2305" s="2">
        <v>20.103150179704301</v>
      </c>
      <c r="AL2305" s="2">
        <v>19.9869909685256</v>
      </c>
      <c r="AM2305" s="2">
        <v>20.066599793484901</v>
      </c>
      <c r="AN2305" s="2">
        <v>20.047687700916999</v>
      </c>
      <c r="AO2305" s="2">
        <v>20.017505814747999</v>
      </c>
      <c r="AP2305" s="2">
        <v>20.133514721350199</v>
      </c>
      <c r="AQ2305" s="2">
        <v>19.777752600904201</v>
      </c>
      <c r="AR2305" s="2">
        <v>13.701844664436299</v>
      </c>
      <c r="AS2305" s="2">
        <v>16.690188038555199</v>
      </c>
      <c r="AT2305" s="2">
        <v>17.346186298698999</v>
      </c>
      <c r="AU2305" s="2">
        <v>21.5510705570677</v>
      </c>
      <c r="AV2305" s="2">
        <v>17.6801844372091</v>
      </c>
      <c r="AW2305" s="2">
        <v>18.9470081328774</v>
      </c>
      <c r="AX2305" s="2">
        <v>17.063779720597001</v>
      </c>
      <c r="AY2305" s="2">
        <v>17.8467998388581</v>
      </c>
      <c r="AZ2305" s="2">
        <v>17.411923125357202</v>
      </c>
      <c r="BA2305" s="2">
        <v>24.1938509299302</v>
      </c>
      <c r="BB2305" s="2">
        <v>17.668654698510998</v>
      </c>
      <c r="BC2305" s="2">
        <v>17.185361736683301</v>
      </c>
      <c r="BD2305" s="2">
        <v>15.377503378605001</v>
      </c>
      <c r="BE2305" s="2">
        <v>18.108240814849999</v>
      </c>
      <c r="BF2305" s="2">
        <v>22.875182384390701</v>
      </c>
      <c r="BG2305" s="2">
        <v>18.635815808945999</v>
      </c>
      <c r="BH2305" s="2">
        <v>17.1650015690158</v>
      </c>
      <c r="BI2305" s="2">
        <v>16.165577143479101</v>
      </c>
      <c r="BJ2305" s="2">
        <v>18.800294553928001</v>
      </c>
      <c r="BK2305" s="2">
        <v>18.2528142119431</v>
      </c>
      <c r="BL2305" s="2">
        <v>16.902278064729401</v>
      </c>
      <c r="BM2305" s="2">
        <v>16.867623226009101</v>
      </c>
      <c r="BN2305" s="2">
        <v>17.296938695057001</v>
      </c>
      <c r="BO2305" s="2">
        <v>21.443941796614599</v>
      </c>
      <c r="BP2305" s="2">
        <v>17.779526811133898</v>
      </c>
      <c r="BQ2305" s="2">
        <v>18.108343179464299</v>
      </c>
      <c r="BR2305" s="2">
        <v>18.165148330905001</v>
      </c>
      <c r="BS2305" s="2">
        <v>17.768383234844499</v>
      </c>
      <c r="BT2305" s="2">
        <v>17.858140214284401</v>
      </c>
      <c r="BU2305" s="2">
        <v>23.861138383234699</v>
      </c>
      <c r="BV2305" s="2">
        <v>18.219671375279301</v>
      </c>
      <c r="BW2305" s="2">
        <v>16.648494373126599</v>
      </c>
      <c r="BX2305" s="2">
        <v>15.534177322150301</v>
      </c>
      <c r="BY2305" s="2">
        <v>18.007900755625698</v>
      </c>
      <c r="BZ2305" s="2">
        <v>22.298045656001701</v>
      </c>
      <c r="CA2305" s="2">
        <v>18.489908233459101</v>
      </c>
      <c r="CB2305" s="2">
        <v>15.0988327638039</v>
      </c>
      <c r="CC2305" s="2">
        <v>17.8277155871519</v>
      </c>
      <c r="CD2305" s="2">
        <v>18.540435140250501</v>
      </c>
      <c r="CE2305" s="2">
        <v>17.833625905437799</v>
      </c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</row>
    <row r="2306" spans="1:97">
      <c r="A2306" s="2" t="s">
        <v>19914</v>
      </c>
      <c r="B2306" s="2">
        <v>243.00118000000001</v>
      </c>
      <c r="C2306" s="2">
        <v>3.5289999999999999</v>
      </c>
      <c r="D2306" s="2" t="s">
        <v>146</v>
      </c>
      <c r="E2306" s="2" t="s">
        <v>19915</v>
      </c>
      <c r="F2306" s="2" t="s">
        <v>19916</v>
      </c>
      <c r="G2306" s="2">
        <v>200615</v>
      </c>
      <c r="H2306" s="3" t="str">
        <f>HYPERLINK("https://cloud.oebiotech.com/#/lm/network/200615", "https://cloud.oebiotech.com/#/lm/network/200615")</f>
        <v>https://cloud.oebiotech.com/#/lm/network/200615</v>
      </c>
      <c r="I2306" s="2" t="s">
        <v>19917</v>
      </c>
      <c r="J2306" s="2"/>
      <c r="K2306" s="2"/>
      <c r="L2306" s="2">
        <v>15592785</v>
      </c>
      <c r="M2306" s="2"/>
      <c r="N2306" s="2"/>
      <c r="O2306" s="2"/>
      <c r="P2306" s="2"/>
      <c r="Q2306" s="2"/>
      <c r="R2306" s="2"/>
      <c r="S2306" s="2"/>
      <c r="T2306" s="2" t="s">
        <v>19918</v>
      </c>
      <c r="U2306" s="2" t="s">
        <v>19919</v>
      </c>
      <c r="V2306" s="2" t="s">
        <v>553</v>
      </c>
      <c r="W2306" s="2" t="s">
        <v>554</v>
      </c>
      <c r="X2306" s="2" t="s">
        <v>555</v>
      </c>
      <c r="Y2306" s="2" t="s">
        <v>556</v>
      </c>
      <c r="Z2306" s="2" t="s">
        <v>557</v>
      </c>
      <c r="AA2306" s="2" t="s">
        <v>558</v>
      </c>
      <c r="AB2306" s="2" t="s">
        <v>8443</v>
      </c>
      <c r="AC2306" s="2">
        <v>37.1</v>
      </c>
      <c r="AD2306" s="2">
        <v>88.73</v>
      </c>
      <c r="AE2306" s="2">
        <v>0</v>
      </c>
      <c r="AF2306" s="2" t="s">
        <v>5614</v>
      </c>
      <c r="AG2306" s="2" t="s">
        <v>157</v>
      </c>
      <c r="AH2306" s="2" t="s">
        <v>19920</v>
      </c>
      <c r="AI2306" s="2">
        <v>1.65</v>
      </c>
      <c r="AJ2306" s="2">
        <v>18.171158810773601</v>
      </c>
      <c r="AK2306" s="2">
        <v>18.421341660174999</v>
      </c>
      <c r="AL2306" s="2">
        <v>17.732781272688001</v>
      </c>
      <c r="AM2306" s="2">
        <v>18.478256643945301</v>
      </c>
      <c r="AN2306" s="2">
        <v>18.414671487531798</v>
      </c>
      <c r="AO2306" s="2">
        <v>17.832807641657901</v>
      </c>
      <c r="AP2306" s="2">
        <v>17.3533249281945</v>
      </c>
      <c r="AQ2306" s="2">
        <v>18.264232008561201</v>
      </c>
      <c r="AR2306" s="2">
        <v>18.380000467932199</v>
      </c>
      <c r="AS2306" s="2">
        <v>16.981480321587799</v>
      </c>
      <c r="AT2306" s="2">
        <v>17.2729033805211</v>
      </c>
      <c r="AU2306" s="2">
        <v>17.250628923629399</v>
      </c>
      <c r="AV2306" s="2">
        <v>17.844042525826499</v>
      </c>
      <c r="AW2306" s="2">
        <v>18.317411465459401</v>
      </c>
      <c r="AX2306" s="2">
        <v>17.9370477216622</v>
      </c>
      <c r="AY2306" s="2">
        <v>17.423733510556001</v>
      </c>
      <c r="AZ2306" s="2">
        <v>17.899394984360701</v>
      </c>
      <c r="BA2306" s="2">
        <v>17.005254683999201</v>
      </c>
      <c r="BB2306" s="2">
        <v>17.5444959365107</v>
      </c>
      <c r="BC2306" s="2">
        <v>18.0069480715933</v>
      </c>
      <c r="BD2306" s="2">
        <v>18.113351135625098</v>
      </c>
      <c r="BE2306" s="2">
        <v>17.9421164126543</v>
      </c>
      <c r="BF2306" s="2">
        <v>17.444288351020099</v>
      </c>
      <c r="BG2306" s="2">
        <v>20.586039636326699</v>
      </c>
      <c r="BH2306" s="2">
        <v>16.8150882917618</v>
      </c>
      <c r="BI2306" s="2">
        <v>19.322727787908299</v>
      </c>
      <c r="BJ2306" s="2">
        <v>18.530231926223099</v>
      </c>
      <c r="BK2306" s="2">
        <v>17.803260466715301</v>
      </c>
      <c r="BL2306" s="2">
        <v>17.094524952441699</v>
      </c>
      <c r="BM2306" s="2">
        <v>17.661326906728299</v>
      </c>
      <c r="BN2306" s="2">
        <v>18.118756537939699</v>
      </c>
      <c r="BO2306" s="2">
        <v>17.8451945230183</v>
      </c>
      <c r="BP2306" s="2">
        <v>18.2021104764667</v>
      </c>
      <c r="BQ2306" s="2">
        <v>18.152848334518701</v>
      </c>
      <c r="BR2306" s="2">
        <v>18.399412161077301</v>
      </c>
      <c r="BS2306" s="2">
        <v>17.4296835464535</v>
      </c>
      <c r="BT2306" s="2">
        <v>17.1618379967904</v>
      </c>
      <c r="BU2306" s="2">
        <v>17.700384716511699</v>
      </c>
      <c r="BV2306" s="2">
        <v>18.379539850589499</v>
      </c>
      <c r="BW2306" s="2">
        <v>17.143224952123401</v>
      </c>
      <c r="BX2306" s="2">
        <v>17.694720800832499</v>
      </c>
      <c r="BY2306" s="2">
        <v>18.675722498773698</v>
      </c>
      <c r="BZ2306" s="2">
        <v>17.3668111414792</v>
      </c>
      <c r="CA2306" s="2">
        <v>19.012093921576302</v>
      </c>
      <c r="CB2306" s="2">
        <v>17.833381370725299</v>
      </c>
      <c r="CC2306" s="2">
        <v>18.9488237055375</v>
      </c>
      <c r="CD2306" s="2">
        <v>18.701344945498001</v>
      </c>
      <c r="CE2306" s="2">
        <v>18.415212897161499</v>
      </c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</row>
    <row r="2307" spans="1:97">
      <c r="A2307" s="2" t="s">
        <v>19921</v>
      </c>
      <c r="B2307" s="2">
        <v>167.02269000000001</v>
      </c>
      <c r="C2307" s="2">
        <v>1.2509999999999999</v>
      </c>
      <c r="D2307" s="2" t="s">
        <v>84</v>
      </c>
      <c r="E2307" s="2" t="s">
        <v>19922</v>
      </c>
      <c r="F2307" s="2" t="s">
        <v>19923</v>
      </c>
      <c r="G2307" s="2">
        <v>56066</v>
      </c>
      <c r="H2307" s="3" t="str">
        <f>HYPERLINK("https://cloud.oebiotech.com/#/lm/network/56066", "https://cloud.oebiotech.com/#/lm/network/56066")</f>
        <v>https://cloud.oebiotech.com/#/lm/network/56066</v>
      </c>
      <c r="I2307" s="2" t="s">
        <v>19924</v>
      </c>
      <c r="J2307" s="2">
        <v>87756</v>
      </c>
      <c r="K2307" s="2"/>
      <c r="L2307" s="2">
        <v>107297</v>
      </c>
      <c r="M2307" s="2"/>
      <c r="N2307" s="2"/>
      <c r="O2307" s="2"/>
      <c r="P2307" s="2">
        <v>144050</v>
      </c>
      <c r="Q2307" s="2"/>
      <c r="R2307" s="2"/>
      <c r="S2307" s="2" t="s">
        <v>19925</v>
      </c>
      <c r="T2307" s="2" t="s">
        <v>19926</v>
      </c>
      <c r="U2307" s="2" t="s">
        <v>19927</v>
      </c>
      <c r="V2307" s="2" t="s">
        <v>115</v>
      </c>
      <c r="W2307" s="2" t="s">
        <v>116</v>
      </c>
      <c r="X2307" s="2" t="s">
        <v>117</v>
      </c>
      <c r="Y2307" s="2" t="s">
        <v>118</v>
      </c>
      <c r="Z2307" s="2" t="s">
        <v>119</v>
      </c>
      <c r="AA2307" s="2" t="s">
        <v>120</v>
      </c>
      <c r="AB2307" s="2" t="s">
        <v>8443</v>
      </c>
      <c r="AC2307" s="2">
        <v>37.1</v>
      </c>
      <c r="AD2307" s="2">
        <v>72.03</v>
      </c>
      <c r="AE2307" s="2">
        <v>0</v>
      </c>
      <c r="AF2307" s="2" t="s">
        <v>19928</v>
      </c>
      <c r="AG2307" s="2" t="s">
        <v>3544</v>
      </c>
      <c r="AH2307" s="2" t="s">
        <v>14671</v>
      </c>
      <c r="AI2307" s="2">
        <v>-5.99</v>
      </c>
      <c r="AJ2307" s="2">
        <v>23.906220951661201</v>
      </c>
      <c r="AK2307" s="2">
        <v>23.869365970040199</v>
      </c>
      <c r="AL2307" s="2">
        <v>23.701105755313499</v>
      </c>
      <c r="AM2307" s="2">
        <v>23.564351544300202</v>
      </c>
      <c r="AN2307" s="2">
        <v>23.672251309312301</v>
      </c>
      <c r="AO2307" s="2">
        <v>23.8671267621487</v>
      </c>
      <c r="AP2307" s="2">
        <v>23.913919351252201</v>
      </c>
      <c r="AQ2307" s="2">
        <v>24.007481585428799</v>
      </c>
      <c r="AR2307" s="2">
        <v>22.221550069791601</v>
      </c>
      <c r="AS2307" s="2">
        <v>23.905630435301202</v>
      </c>
      <c r="AT2307" s="2">
        <v>23.6892225891613</v>
      </c>
      <c r="AU2307" s="2">
        <v>23.656258830001502</v>
      </c>
      <c r="AV2307" s="2">
        <v>23.205029677348701</v>
      </c>
      <c r="AW2307" s="2">
        <v>22.738778186125</v>
      </c>
      <c r="AX2307" s="2">
        <v>23.842992775379201</v>
      </c>
      <c r="AY2307" s="2">
        <v>22.7719781087611</v>
      </c>
      <c r="AZ2307" s="2">
        <v>23.6377106049889</v>
      </c>
      <c r="BA2307" s="2">
        <v>23.876384991811001</v>
      </c>
      <c r="BB2307" s="2">
        <v>23.194733651862499</v>
      </c>
      <c r="BC2307" s="2">
        <v>23.092973896659299</v>
      </c>
      <c r="BD2307" s="2">
        <v>23.4813103719423</v>
      </c>
      <c r="BE2307" s="2">
        <v>23.237435170219399</v>
      </c>
      <c r="BF2307" s="2">
        <v>23.827842556496599</v>
      </c>
      <c r="BG2307" s="2">
        <v>22.741718664239301</v>
      </c>
      <c r="BH2307" s="2">
        <v>22.4131079253719</v>
      </c>
      <c r="BI2307" s="2">
        <v>23.810315317650701</v>
      </c>
      <c r="BJ2307" s="2">
        <v>22.489405000922702</v>
      </c>
      <c r="BK2307" s="2">
        <v>22.451108503845099</v>
      </c>
      <c r="BL2307" s="2">
        <v>22.931381479321001</v>
      </c>
      <c r="BM2307" s="2">
        <v>23.258304734522</v>
      </c>
      <c r="BN2307" s="2">
        <v>23.781195263222099</v>
      </c>
      <c r="BO2307" s="2">
        <v>22.800178826720899</v>
      </c>
      <c r="BP2307" s="2">
        <v>21.986062905425602</v>
      </c>
      <c r="BQ2307" s="2">
        <v>23.886864152772699</v>
      </c>
      <c r="BR2307" s="2">
        <v>22.530200193618199</v>
      </c>
      <c r="BS2307" s="2">
        <v>23.519889877272501</v>
      </c>
      <c r="BT2307" s="2">
        <v>23.822275325445698</v>
      </c>
      <c r="BU2307" s="2">
        <v>23.304548622662999</v>
      </c>
      <c r="BV2307" s="2">
        <v>23.684643452244298</v>
      </c>
      <c r="BW2307" s="2">
        <v>23.701336331637499</v>
      </c>
      <c r="BX2307" s="2">
        <v>22.698918091924899</v>
      </c>
      <c r="BY2307" s="2">
        <v>22.495822804696299</v>
      </c>
      <c r="BZ2307" s="2">
        <v>22.8079628715296</v>
      </c>
      <c r="CA2307" s="2">
        <v>23.774081422835401</v>
      </c>
      <c r="CB2307" s="2">
        <v>22.650546074217399</v>
      </c>
      <c r="CC2307" s="2">
        <v>23.388207097348499</v>
      </c>
      <c r="CD2307" s="2">
        <v>22.744958849823899</v>
      </c>
      <c r="CE2307" s="2">
        <v>23.561036948182402</v>
      </c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</row>
    <row r="2308" spans="1:97">
      <c r="A2308" s="2" t="s">
        <v>19929</v>
      </c>
      <c r="B2308" s="2">
        <v>340.24767000000003</v>
      </c>
      <c r="C2308" s="2">
        <v>7.2210000000000001</v>
      </c>
      <c r="D2308" s="2" t="s">
        <v>84</v>
      </c>
      <c r="E2308" s="2" t="s">
        <v>19930</v>
      </c>
      <c r="F2308" s="2" t="s">
        <v>19931</v>
      </c>
      <c r="G2308" s="2">
        <v>205611</v>
      </c>
      <c r="H2308" s="3" t="str">
        <f>HYPERLINK("https://cloud.oebiotech.com/#/lm/network/205611", "https://cloud.oebiotech.com/#/lm/network/205611")</f>
        <v>https://cloud.oebiotech.com/#/lm/network/205611</v>
      </c>
      <c r="I2308" s="2" t="s">
        <v>19932</v>
      </c>
      <c r="J2308" s="2">
        <v>70945</v>
      </c>
      <c r="K2308" s="2"/>
      <c r="L2308" s="2">
        <v>2971</v>
      </c>
      <c r="M2308" s="2" t="s">
        <v>19933</v>
      </c>
      <c r="N2308" s="2"/>
      <c r="O2308" s="2"/>
      <c r="P2308" s="2">
        <v>52020</v>
      </c>
      <c r="Q2308" s="2"/>
      <c r="R2308" s="2"/>
      <c r="S2308" s="2" t="s">
        <v>19934</v>
      </c>
      <c r="T2308" s="2" t="s">
        <v>19935</v>
      </c>
      <c r="U2308" s="2" t="s">
        <v>19936</v>
      </c>
      <c r="V2308" s="2" t="s">
        <v>95</v>
      </c>
      <c r="W2308" s="2" t="s">
        <v>180</v>
      </c>
      <c r="X2308" s="2" t="s">
        <v>8269</v>
      </c>
      <c r="Y2308" s="2" t="s">
        <v>98</v>
      </c>
      <c r="Z2308" s="2" t="s">
        <v>182</v>
      </c>
      <c r="AA2308" s="2" t="s">
        <v>8270</v>
      </c>
      <c r="AB2308" s="2" t="s">
        <v>8443</v>
      </c>
      <c r="AC2308" s="2">
        <v>37.090000000000003</v>
      </c>
      <c r="AD2308" s="2">
        <v>87.79</v>
      </c>
      <c r="AE2308" s="2">
        <v>0</v>
      </c>
      <c r="AF2308" s="2" t="s">
        <v>19937</v>
      </c>
      <c r="AG2308" s="2" t="s">
        <v>132</v>
      </c>
      <c r="AH2308" s="2" t="s">
        <v>7195</v>
      </c>
      <c r="AI2308" s="2">
        <v>1.47</v>
      </c>
      <c r="AJ2308" s="2">
        <v>16.420265698037799</v>
      </c>
      <c r="AK2308" s="2">
        <v>17.303974768482199</v>
      </c>
      <c r="AL2308" s="2">
        <v>17.0267961697873</v>
      </c>
      <c r="AM2308" s="2">
        <v>17.513270359644601</v>
      </c>
      <c r="AN2308" s="2">
        <v>17.665001633380601</v>
      </c>
      <c r="AO2308" s="2">
        <v>17.564984452852698</v>
      </c>
      <c r="AP2308" s="2">
        <v>17.263579052327199</v>
      </c>
      <c r="AQ2308" s="2">
        <v>17.526923961661701</v>
      </c>
      <c r="AR2308" s="2">
        <v>16.3359482163882</v>
      </c>
      <c r="AS2308" s="2">
        <v>16.722306182237102</v>
      </c>
      <c r="AT2308" s="2">
        <v>15.3444953051089</v>
      </c>
      <c r="AU2308" s="2">
        <v>14.8881267759698</v>
      </c>
      <c r="AV2308" s="2">
        <v>15.005106952662899</v>
      </c>
      <c r="AW2308" s="2">
        <v>17.270967508821201</v>
      </c>
      <c r="AX2308" s="2">
        <v>16.1535363966217</v>
      </c>
      <c r="AY2308" s="2">
        <v>18.519734602498101</v>
      </c>
      <c r="AZ2308" s="2">
        <v>15.559278493435899</v>
      </c>
      <c r="BA2308" s="2">
        <v>17.4324731469456</v>
      </c>
      <c r="BB2308" s="2">
        <v>18.4303462077925</v>
      </c>
      <c r="BC2308" s="2">
        <v>18.467584257502001</v>
      </c>
      <c r="BD2308" s="2">
        <v>14.619383204815099</v>
      </c>
      <c r="BE2308" s="2">
        <v>17.611608914611601</v>
      </c>
      <c r="BF2308" s="2">
        <v>16.762946194910199</v>
      </c>
      <c r="BG2308" s="2">
        <v>18.069301279764598</v>
      </c>
      <c r="BH2308" s="2">
        <v>13.8268096343559</v>
      </c>
      <c r="BI2308" s="2">
        <v>17.0839051753101</v>
      </c>
      <c r="BJ2308" s="2">
        <v>17.610993232242802</v>
      </c>
      <c r="BK2308" s="2">
        <v>9.6233145402724691</v>
      </c>
      <c r="BL2308" s="2">
        <v>15.6790707096958</v>
      </c>
      <c r="BM2308" s="2">
        <v>17.219771849600502</v>
      </c>
      <c r="BN2308" s="2">
        <v>16.987497853631002</v>
      </c>
      <c r="BO2308" s="2">
        <v>18.672794711798399</v>
      </c>
      <c r="BP2308" s="2">
        <v>16.809153144334601</v>
      </c>
      <c r="BQ2308" s="2">
        <v>18.351126574398201</v>
      </c>
      <c r="BR2308" s="2">
        <v>18.269956379268098</v>
      </c>
      <c r="BS2308" s="2">
        <v>17.0917265861179</v>
      </c>
      <c r="BT2308" s="2">
        <v>17.681790875977001</v>
      </c>
      <c r="BU2308" s="2">
        <v>17.296877680501201</v>
      </c>
      <c r="BV2308" s="2">
        <v>18.330742463747399</v>
      </c>
      <c r="BW2308" s="2">
        <v>15.894075008517399</v>
      </c>
      <c r="BX2308" s="2">
        <v>17.304778658198899</v>
      </c>
      <c r="BY2308" s="2">
        <v>17.223381821511399</v>
      </c>
      <c r="BZ2308" s="2">
        <v>16.497293944382101</v>
      </c>
      <c r="CA2308" s="2">
        <v>16.158578132859699</v>
      </c>
      <c r="CB2308" s="2">
        <v>15.6086614179876</v>
      </c>
      <c r="CC2308" s="2">
        <v>16.291721103945701</v>
      </c>
      <c r="CD2308" s="2">
        <v>15.3431801623385</v>
      </c>
      <c r="CE2308" s="2">
        <v>17.5098482875147</v>
      </c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</row>
    <row r="2309" spans="1:97">
      <c r="A2309" s="2" t="s">
        <v>19938</v>
      </c>
      <c r="B2309" s="2">
        <v>397.23525000000001</v>
      </c>
      <c r="C2309" s="2">
        <v>13.131</v>
      </c>
      <c r="D2309" s="2" t="s">
        <v>146</v>
      </c>
      <c r="E2309" s="2" t="s">
        <v>19939</v>
      </c>
      <c r="F2309" s="2" t="s">
        <v>19940</v>
      </c>
      <c r="G2309" s="2">
        <v>206309</v>
      </c>
      <c r="H2309" s="3" t="str">
        <f>HYPERLINK("https://cloud.oebiotech.com/#/lm/network/206309", "https://cloud.oebiotech.com/#/lm/network/206309")</f>
        <v>https://cloud.oebiotech.com/#/lm/network/206309</v>
      </c>
      <c r="I2309" s="2" t="s">
        <v>19941</v>
      </c>
      <c r="J2309" s="2"/>
      <c r="K2309" s="2"/>
      <c r="L2309" s="2">
        <v>14632458</v>
      </c>
      <c r="M2309" s="2"/>
      <c r="N2309" s="2"/>
      <c r="O2309" s="2"/>
      <c r="P2309" s="2"/>
      <c r="Q2309" s="2"/>
      <c r="R2309" s="2"/>
      <c r="S2309" s="2"/>
      <c r="T2309" s="2" t="s">
        <v>19942</v>
      </c>
      <c r="U2309" s="2" t="s">
        <v>19943</v>
      </c>
      <c r="V2309" s="2" t="s">
        <v>115</v>
      </c>
      <c r="W2309" s="2" t="s">
        <v>116</v>
      </c>
      <c r="X2309" s="2" t="s">
        <v>117</v>
      </c>
      <c r="Y2309" s="2" t="s">
        <v>118</v>
      </c>
      <c r="Z2309" s="2" t="s">
        <v>119</v>
      </c>
      <c r="AA2309" s="2" t="s">
        <v>120</v>
      </c>
      <c r="AB2309" s="2" t="s">
        <v>8443</v>
      </c>
      <c r="AC2309" s="2">
        <v>37.08</v>
      </c>
      <c r="AD2309" s="2">
        <v>85.4</v>
      </c>
      <c r="AE2309" s="2">
        <v>0</v>
      </c>
      <c r="AF2309" s="2" t="s">
        <v>19944</v>
      </c>
      <c r="AG2309" s="2" t="s">
        <v>993</v>
      </c>
      <c r="AH2309" s="2" t="s">
        <v>19945</v>
      </c>
      <c r="AI2309" s="2">
        <v>-0.25</v>
      </c>
      <c r="AJ2309" s="2">
        <v>18.2565644708469</v>
      </c>
      <c r="AK2309" s="2">
        <v>17.603806699566999</v>
      </c>
      <c r="AL2309" s="2">
        <v>17.7355145088125</v>
      </c>
      <c r="AM2309" s="2">
        <v>17.670524793586299</v>
      </c>
      <c r="AN2309" s="2">
        <v>17.918490534059</v>
      </c>
      <c r="AO2309" s="2">
        <v>17.498690296935699</v>
      </c>
      <c r="AP2309" s="2">
        <v>17.882907608343601</v>
      </c>
      <c r="AQ2309" s="2">
        <v>17.3793825979416</v>
      </c>
      <c r="AR2309" s="2">
        <v>16.596436562399699</v>
      </c>
      <c r="AS2309" s="2">
        <v>17.289229567194699</v>
      </c>
      <c r="AT2309" s="2">
        <v>17.999861306523901</v>
      </c>
      <c r="AU2309" s="2">
        <v>16.929072395338</v>
      </c>
      <c r="AV2309" s="2">
        <v>16.555463592009598</v>
      </c>
      <c r="AW2309" s="2">
        <v>15.746232451624</v>
      </c>
      <c r="AX2309" s="2">
        <v>18.0796720670205</v>
      </c>
      <c r="AY2309" s="2">
        <v>17.074258037136602</v>
      </c>
      <c r="AZ2309" s="2">
        <v>15.436253470998</v>
      </c>
      <c r="BA2309" s="2">
        <v>16.797357555271301</v>
      </c>
      <c r="BB2309" s="2">
        <v>17.9084536075035</v>
      </c>
      <c r="BC2309" s="2">
        <v>19.047010264935398</v>
      </c>
      <c r="BD2309" s="2">
        <v>14.7305975031076</v>
      </c>
      <c r="BE2309" s="2">
        <v>14.4938948426817</v>
      </c>
      <c r="BF2309" s="2">
        <v>16.861138291395601</v>
      </c>
      <c r="BG2309" s="2">
        <v>18.515118692206499</v>
      </c>
      <c r="BH2309" s="2">
        <v>16.220370013733</v>
      </c>
      <c r="BI2309" s="2">
        <v>17.8391125462676</v>
      </c>
      <c r="BJ2309" s="2">
        <v>16.984846873297901</v>
      </c>
      <c r="BK2309" s="2">
        <v>15.658647472781199</v>
      </c>
      <c r="BL2309" s="2">
        <v>18.260244490338799</v>
      </c>
      <c r="BM2309" s="2">
        <v>16.689895218312198</v>
      </c>
      <c r="BN2309" s="2">
        <v>15.202614002736899</v>
      </c>
      <c r="BO2309" s="2">
        <v>17.953362897872999</v>
      </c>
      <c r="BP2309" s="2">
        <v>17.6121549912136</v>
      </c>
      <c r="BQ2309" s="2">
        <v>18.811318211686299</v>
      </c>
      <c r="BR2309" s="2">
        <v>17.855623382871102</v>
      </c>
      <c r="BS2309" s="2">
        <v>16.2085498752657</v>
      </c>
      <c r="BT2309" s="2">
        <v>17.179603767581099</v>
      </c>
      <c r="BU2309" s="2">
        <v>16.771463419458598</v>
      </c>
      <c r="BV2309" s="2">
        <v>17.721606096803001</v>
      </c>
      <c r="BW2309" s="2">
        <v>17.2441813309803</v>
      </c>
      <c r="BX2309" s="2">
        <v>16.390102268983298</v>
      </c>
      <c r="BY2309" s="2">
        <v>15.3709366424455</v>
      </c>
      <c r="BZ2309" s="2">
        <v>18.126874536788801</v>
      </c>
      <c r="CA2309" s="2">
        <v>16.1542338732893</v>
      </c>
      <c r="CB2309" s="2">
        <v>18.8009960228962</v>
      </c>
      <c r="CC2309" s="2">
        <v>17.982350190362599</v>
      </c>
      <c r="CD2309" s="2">
        <v>16.729926981059201</v>
      </c>
      <c r="CE2309" s="2">
        <v>19.085245645733899</v>
      </c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</row>
    <row r="2310" spans="1:97">
      <c r="A2310" s="2" t="s">
        <v>19946</v>
      </c>
      <c r="B2310" s="2">
        <v>454.29225000000002</v>
      </c>
      <c r="C2310" s="2">
        <v>7.7409999999999997</v>
      </c>
      <c r="D2310" s="2" t="s">
        <v>84</v>
      </c>
      <c r="E2310" s="2" t="s">
        <v>19947</v>
      </c>
      <c r="F2310" s="2" t="s">
        <v>19948</v>
      </c>
      <c r="G2310" s="2">
        <v>26109</v>
      </c>
      <c r="H2310" s="3" t="str">
        <f>HYPERLINK("https://cloud.oebiotech.com/#/lm/network/26109", "https://cloud.oebiotech.com/#/lm/network/26109")</f>
        <v>https://cloud.oebiotech.com/#/lm/network/26109</v>
      </c>
      <c r="I2310" s="2" t="s">
        <v>19949</v>
      </c>
      <c r="J2310" s="2"/>
      <c r="K2310" s="2" t="s">
        <v>19950</v>
      </c>
      <c r="L2310" s="2">
        <v>5885531</v>
      </c>
      <c r="M2310" s="2"/>
      <c r="N2310" s="2"/>
      <c r="O2310" s="2"/>
      <c r="P2310" s="2">
        <v>52288</v>
      </c>
      <c r="Q2310" s="2" t="s">
        <v>19951</v>
      </c>
      <c r="R2310" s="2" t="s">
        <v>19952</v>
      </c>
      <c r="S2310" s="2"/>
      <c r="T2310" s="2" t="s">
        <v>19953</v>
      </c>
      <c r="U2310" s="2" t="s">
        <v>19954</v>
      </c>
      <c r="V2310" s="2" t="s">
        <v>95</v>
      </c>
      <c r="W2310" s="2" t="s">
        <v>202</v>
      </c>
      <c r="X2310" s="2" t="s">
        <v>6038</v>
      </c>
      <c r="Y2310" s="2" t="s">
        <v>98</v>
      </c>
      <c r="Z2310" s="2" t="s">
        <v>204</v>
      </c>
      <c r="AA2310" s="2" t="s">
        <v>6039</v>
      </c>
      <c r="AB2310" s="2" t="s">
        <v>8443</v>
      </c>
      <c r="AC2310" s="2">
        <v>37.07</v>
      </c>
      <c r="AD2310" s="2">
        <v>85.84</v>
      </c>
      <c r="AE2310" s="2">
        <v>0</v>
      </c>
      <c r="AF2310" s="2" t="s">
        <v>19955</v>
      </c>
      <c r="AG2310" s="2" t="s">
        <v>132</v>
      </c>
      <c r="AH2310" s="2" t="s">
        <v>19956</v>
      </c>
      <c r="AI2310" s="2">
        <v>1.1000000000000001</v>
      </c>
      <c r="AJ2310" s="2">
        <v>17.717571874219399</v>
      </c>
      <c r="AK2310" s="2">
        <v>18.0356816276317</v>
      </c>
      <c r="AL2310" s="2">
        <v>18.1211976736605</v>
      </c>
      <c r="AM2310" s="2">
        <v>18.0344711622005</v>
      </c>
      <c r="AN2310" s="2">
        <v>18.4109615229012</v>
      </c>
      <c r="AO2310" s="2">
        <v>17.9469371638965</v>
      </c>
      <c r="AP2310" s="2">
        <v>18.103316549315998</v>
      </c>
      <c r="AQ2310" s="2">
        <v>18.143085162956702</v>
      </c>
      <c r="AR2310" s="2">
        <v>16.831235112195699</v>
      </c>
      <c r="AS2310" s="2">
        <v>9.6233145402724691</v>
      </c>
      <c r="AT2310" s="2">
        <v>18.0546719850961</v>
      </c>
      <c r="AU2310" s="2">
        <v>18.058280924267599</v>
      </c>
      <c r="AV2310" s="2">
        <v>17.402933606866199</v>
      </c>
      <c r="AW2310" s="2">
        <v>18.7721509442386</v>
      </c>
      <c r="AX2310" s="2">
        <v>17.973280484418702</v>
      </c>
      <c r="AY2310" s="2">
        <v>19.1617795279458</v>
      </c>
      <c r="AZ2310" s="2">
        <v>9.6233145402724691</v>
      </c>
      <c r="BA2310" s="2">
        <v>17.352030921510401</v>
      </c>
      <c r="BB2310" s="2">
        <v>20.456558412797101</v>
      </c>
      <c r="BC2310" s="2">
        <v>19.182572841149302</v>
      </c>
      <c r="BD2310" s="2">
        <v>17.6380944893174</v>
      </c>
      <c r="BE2310" s="2">
        <v>16.720679668193601</v>
      </c>
      <c r="BF2310" s="2">
        <v>18.2174078570918</v>
      </c>
      <c r="BG2310" s="2">
        <v>16.930530494257098</v>
      </c>
      <c r="BH2310" s="2">
        <v>18.526739770143099</v>
      </c>
      <c r="BI2310" s="2">
        <v>9.6233145402724691</v>
      </c>
      <c r="BJ2310" s="2">
        <v>18.260031630461199</v>
      </c>
      <c r="BK2310" s="2">
        <v>17.481602056474401</v>
      </c>
      <c r="BL2310" s="2">
        <v>16.471075819011698</v>
      </c>
      <c r="BM2310" s="2">
        <v>18.1972197172826</v>
      </c>
      <c r="BN2310" s="2">
        <v>18.8651312370929</v>
      </c>
      <c r="BO2310" s="2">
        <v>14.9125329210909</v>
      </c>
      <c r="BP2310" s="2">
        <v>17.282208200553601</v>
      </c>
      <c r="BQ2310" s="2">
        <v>18.397156188246999</v>
      </c>
      <c r="BR2310" s="2">
        <v>17.754803032004101</v>
      </c>
      <c r="BS2310" s="2">
        <v>18.5325959765051</v>
      </c>
      <c r="BT2310" s="2">
        <v>18.086178374217099</v>
      </c>
      <c r="BU2310" s="2">
        <v>18.383757187847799</v>
      </c>
      <c r="BV2310" s="2">
        <v>19.829574779420302</v>
      </c>
      <c r="BW2310" s="2">
        <v>19.2019846511628</v>
      </c>
      <c r="BX2310" s="2">
        <v>15.997293951494999</v>
      </c>
      <c r="BY2310" s="2">
        <v>17.230754603619499</v>
      </c>
      <c r="BZ2310" s="2">
        <v>18.378359296793199</v>
      </c>
      <c r="CA2310" s="2">
        <v>18.489154325992299</v>
      </c>
      <c r="CB2310" s="2">
        <v>17.587248360809099</v>
      </c>
      <c r="CC2310" s="2">
        <v>9.6233145402724691</v>
      </c>
      <c r="CD2310" s="2">
        <v>17.227186188065598</v>
      </c>
      <c r="CE2310" s="2">
        <v>17.450680791743601</v>
      </c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</row>
    <row r="2311" spans="1:97">
      <c r="A2311" s="2" t="s">
        <v>19957</v>
      </c>
      <c r="B2311" s="2">
        <v>512.35164999999995</v>
      </c>
      <c r="C2311" s="2">
        <v>10.372</v>
      </c>
      <c r="D2311" s="2" t="s">
        <v>84</v>
      </c>
      <c r="E2311" s="2" t="s">
        <v>19958</v>
      </c>
      <c r="F2311" s="2" t="s">
        <v>19959</v>
      </c>
      <c r="G2311" s="2">
        <v>19903</v>
      </c>
      <c r="H2311" s="3" t="str">
        <f>HYPERLINK("https://cloud.oebiotech.com/#/lm/network/19903", "https://cloud.oebiotech.com/#/lm/network/19903")</f>
        <v>https://cloud.oebiotech.com/#/lm/network/19903</v>
      </c>
      <c r="I2311" s="2"/>
      <c r="J2311" s="2">
        <v>46691</v>
      </c>
      <c r="K2311" s="2" t="s">
        <v>19960</v>
      </c>
      <c r="L2311" s="2">
        <v>44256608</v>
      </c>
      <c r="M2311" s="2"/>
      <c r="N2311" s="2"/>
      <c r="O2311" s="2"/>
      <c r="P2311" s="2"/>
      <c r="Q2311" s="2"/>
      <c r="R2311" s="2"/>
      <c r="S2311" s="2"/>
      <c r="T2311" s="2" t="s">
        <v>19961</v>
      </c>
      <c r="U2311" s="2" t="s">
        <v>19962</v>
      </c>
      <c r="V2311" s="2" t="s">
        <v>95</v>
      </c>
      <c r="W2311" s="2" t="s">
        <v>202</v>
      </c>
      <c r="X2311" s="2" t="s">
        <v>203</v>
      </c>
      <c r="Y2311" s="2" t="s">
        <v>98</v>
      </c>
      <c r="Z2311" s="2" t="s">
        <v>204</v>
      </c>
      <c r="AA2311" s="2" t="s">
        <v>205</v>
      </c>
      <c r="AB2311" s="2" t="s">
        <v>8443</v>
      </c>
      <c r="AC2311" s="2">
        <v>37.07</v>
      </c>
      <c r="AD2311" s="2">
        <v>91.11</v>
      </c>
      <c r="AE2311" s="2">
        <v>0</v>
      </c>
      <c r="AF2311" s="2" t="s">
        <v>19963</v>
      </c>
      <c r="AG2311" s="2" t="s">
        <v>1088</v>
      </c>
      <c r="AH2311" s="2" t="s">
        <v>19964</v>
      </c>
      <c r="AI2311" s="2">
        <v>-2.15</v>
      </c>
      <c r="AJ2311" s="2">
        <v>20.7448397324595</v>
      </c>
      <c r="AK2311" s="2">
        <v>20.534606334905</v>
      </c>
      <c r="AL2311" s="2">
        <v>20.588158358507499</v>
      </c>
      <c r="AM2311" s="2">
        <v>20.797429263270899</v>
      </c>
      <c r="AN2311" s="2">
        <v>20.963368792662699</v>
      </c>
      <c r="AO2311" s="2">
        <v>20.6156500023062</v>
      </c>
      <c r="AP2311" s="2">
        <v>20.801624202408401</v>
      </c>
      <c r="AQ2311" s="2">
        <v>20.521140534218201</v>
      </c>
      <c r="AR2311" s="2">
        <v>9.6233145402724691</v>
      </c>
      <c r="AS2311" s="2">
        <v>16.448215538916099</v>
      </c>
      <c r="AT2311" s="2">
        <v>19.989730069922199</v>
      </c>
      <c r="AU2311" s="2">
        <v>9.6233145402724691</v>
      </c>
      <c r="AV2311" s="2">
        <v>20.080076093534601</v>
      </c>
      <c r="AW2311" s="2">
        <v>20.287031424604201</v>
      </c>
      <c r="AX2311" s="2">
        <v>20.08651253016</v>
      </c>
      <c r="AY2311" s="2">
        <v>20.239057715579801</v>
      </c>
      <c r="AZ2311" s="2">
        <v>16.920484403217401</v>
      </c>
      <c r="BA2311" s="2">
        <v>20.724471735929999</v>
      </c>
      <c r="BB2311" s="2">
        <v>20.030648467767801</v>
      </c>
      <c r="BC2311" s="2">
        <v>21.283437336985699</v>
      </c>
      <c r="BD2311" s="2">
        <v>18.750522208897099</v>
      </c>
      <c r="BE2311" s="2">
        <v>19.642019811994601</v>
      </c>
      <c r="BF2311" s="2">
        <v>19.265172102026899</v>
      </c>
      <c r="BG2311" s="2">
        <v>19.908511791718201</v>
      </c>
      <c r="BH2311" s="2">
        <v>20.019019176468699</v>
      </c>
      <c r="BI2311" s="2">
        <v>20.2970459122559</v>
      </c>
      <c r="BJ2311" s="2">
        <v>20.032928611706499</v>
      </c>
      <c r="BK2311" s="2">
        <v>20.038316995267898</v>
      </c>
      <c r="BL2311" s="2">
        <v>18.653548962123701</v>
      </c>
      <c r="BM2311" s="2">
        <v>20.760924273650101</v>
      </c>
      <c r="BN2311" s="2">
        <v>21.873341536861101</v>
      </c>
      <c r="BO2311" s="2">
        <v>20.1261370657915</v>
      </c>
      <c r="BP2311" s="2">
        <v>21.0870337742167</v>
      </c>
      <c r="BQ2311" s="2">
        <v>21.534375595267399</v>
      </c>
      <c r="BR2311" s="2">
        <v>21.6770006015816</v>
      </c>
      <c r="BS2311" s="2">
        <v>22.248633079475301</v>
      </c>
      <c r="BT2311" s="2">
        <v>20.785873658359701</v>
      </c>
      <c r="BU2311" s="2">
        <v>21.292739703419802</v>
      </c>
      <c r="BV2311" s="2">
        <v>21.253261785881801</v>
      </c>
      <c r="BW2311" s="2">
        <v>21.4021510220789</v>
      </c>
      <c r="BX2311" s="2">
        <v>20.820585704129801</v>
      </c>
      <c r="BY2311" s="2">
        <v>21.524023520737799</v>
      </c>
      <c r="BZ2311" s="2">
        <v>20.911372522319201</v>
      </c>
      <c r="CA2311" s="2">
        <v>20.899893290017001</v>
      </c>
      <c r="CB2311" s="2">
        <v>20.0637625551471</v>
      </c>
      <c r="CC2311" s="2">
        <v>21.203211852440099</v>
      </c>
      <c r="CD2311" s="2">
        <v>21.834510916315399</v>
      </c>
      <c r="CE2311" s="2">
        <v>21.594479850526799</v>
      </c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</row>
    <row r="2312" spans="1:97">
      <c r="A2312" s="2" t="s">
        <v>19965</v>
      </c>
      <c r="B2312" s="2">
        <v>346.33105999999998</v>
      </c>
      <c r="C2312" s="2">
        <v>9.8339999999999996</v>
      </c>
      <c r="D2312" s="2" t="s">
        <v>84</v>
      </c>
      <c r="E2312" s="2" t="s">
        <v>19966</v>
      </c>
      <c r="F2312" s="2" t="s">
        <v>19967</v>
      </c>
      <c r="G2312" s="2">
        <v>1702</v>
      </c>
      <c r="H2312" s="3" t="str">
        <f>HYPERLINK("https://cloud.oebiotech.com/#/lm/network/1702", "https://cloud.oebiotech.com/#/lm/network/1702")</f>
        <v>https://cloud.oebiotech.com/#/lm/network/1702</v>
      </c>
      <c r="I2312" s="2"/>
      <c r="J2312" s="2">
        <v>74505</v>
      </c>
      <c r="K2312" s="2" t="s">
        <v>19968</v>
      </c>
      <c r="L2312" s="2">
        <v>5282919</v>
      </c>
      <c r="M2312" s="2"/>
      <c r="N2312" s="2"/>
      <c r="O2312" s="2"/>
      <c r="P2312" s="2">
        <v>79190</v>
      </c>
      <c r="Q2312" s="2"/>
      <c r="R2312" s="2"/>
      <c r="S2312" s="2"/>
      <c r="T2312" s="2" t="s">
        <v>19969</v>
      </c>
      <c r="U2312" s="2" t="s">
        <v>19970</v>
      </c>
      <c r="V2312" s="2" t="s">
        <v>95</v>
      </c>
      <c r="W2312" s="2" t="s">
        <v>96</v>
      </c>
      <c r="X2312" s="2" t="s">
        <v>141</v>
      </c>
      <c r="Y2312" s="2" t="s">
        <v>98</v>
      </c>
      <c r="Z2312" s="2" t="s">
        <v>99</v>
      </c>
      <c r="AA2312" s="2" t="s">
        <v>142</v>
      </c>
      <c r="AB2312" s="2" t="s">
        <v>8443</v>
      </c>
      <c r="AC2312" s="2">
        <v>37.07</v>
      </c>
      <c r="AD2312" s="2">
        <v>87.57</v>
      </c>
      <c r="AE2312" s="2">
        <v>0</v>
      </c>
      <c r="AF2312" s="2" t="s">
        <v>5614</v>
      </c>
      <c r="AG2312" s="2" t="s">
        <v>132</v>
      </c>
      <c r="AH2312" s="2" t="s">
        <v>19971</v>
      </c>
      <c r="AI2312" s="2">
        <v>1.44</v>
      </c>
      <c r="AJ2312" s="2">
        <v>19.537708259355501</v>
      </c>
      <c r="AK2312" s="2">
        <v>19.7642053758834</v>
      </c>
      <c r="AL2312" s="2">
        <v>19.684254673986899</v>
      </c>
      <c r="AM2312" s="2">
        <v>19.525309193664299</v>
      </c>
      <c r="AN2312" s="2">
        <v>19.6293487751478</v>
      </c>
      <c r="AO2312" s="2">
        <v>19.8289237088002</v>
      </c>
      <c r="AP2312" s="2">
        <v>19.532943521494499</v>
      </c>
      <c r="AQ2312" s="2">
        <v>19.597428839709899</v>
      </c>
      <c r="AR2312" s="2">
        <v>19.389606595658801</v>
      </c>
      <c r="AS2312" s="2">
        <v>18.709132020080499</v>
      </c>
      <c r="AT2312" s="2">
        <v>20.476262990241</v>
      </c>
      <c r="AU2312" s="2">
        <v>17.679948528218301</v>
      </c>
      <c r="AV2312" s="2">
        <v>16.912664248330699</v>
      </c>
      <c r="AW2312" s="2">
        <v>18.586655723849599</v>
      </c>
      <c r="AX2312" s="2">
        <v>17.873802086313098</v>
      </c>
      <c r="AY2312" s="2">
        <v>17.7968205107206</v>
      </c>
      <c r="AZ2312" s="2">
        <v>19.0137804771669</v>
      </c>
      <c r="BA2312" s="2">
        <v>16.076474294183701</v>
      </c>
      <c r="BB2312" s="2">
        <v>20.052720897104301</v>
      </c>
      <c r="BC2312" s="2">
        <v>18.311940779152199</v>
      </c>
      <c r="BD2312" s="2">
        <v>18.325930718177499</v>
      </c>
      <c r="BE2312" s="2">
        <v>20.619723212118501</v>
      </c>
      <c r="BF2312" s="2">
        <v>17.9695551557008</v>
      </c>
      <c r="BG2312" s="2">
        <v>17.9484201064659</v>
      </c>
      <c r="BH2312" s="2">
        <v>17.1418865067937</v>
      </c>
      <c r="BI2312" s="2">
        <v>20.6222838997742</v>
      </c>
      <c r="BJ2312" s="2">
        <v>16.587838740513099</v>
      </c>
      <c r="BK2312" s="2">
        <v>18.002612484920899</v>
      </c>
      <c r="BL2312" s="2">
        <v>17.1574028947696</v>
      </c>
      <c r="BM2312" s="2">
        <v>15.814496350222999</v>
      </c>
      <c r="BN2312" s="2">
        <v>17.1356118007084</v>
      </c>
      <c r="BO2312" s="2">
        <v>20.154138385902002</v>
      </c>
      <c r="BP2312" s="2">
        <v>17.476881450259999</v>
      </c>
      <c r="BQ2312" s="2">
        <v>17.804704104789899</v>
      </c>
      <c r="BR2312" s="2">
        <v>19.335753259699299</v>
      </c>
      <c r="BS2312" s="2">
        <v>17.119421431600099</v>
      </c>
      <c r="BT2312" s="2">
        <v>18.007468293145799</v>
      </c>
      <c r="BU2312" s="2">
        <v>18.194406659096401</v>
      </c>
      <c r="BV2312" s="2">
        <v>17.292612547688002</v>
      </c>
      <c r="BW2312" s="2">
        <v>16.517531145788301</v>
      </c>
      <c r="BX2312" s="2">
        <v>16.7104862894587</v>
      </c>
      <c r="BY2312" s="2">
        <v>17.952192318592299</v>
      </c>
      <c r="BZ2312" s="2">
        <v>20.800706821220501</v>
      </c>
      <c r="CA2312" s="2">
        <v>17.3825397655907</v>
      </c>
      <c r="CB2312" s="2">
        <v>18.345261254186902</v>
      </c>
      <c r="CC2312" s="2">
        <v>16.9873814927689</v>
      </c>
      <c r="CD2312" s="2">
        <v>17.841661146568601</v>
      </c>
      <c r="CE2312" s="2">
        <v>17.362324592630902</v>
      </c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</row>
    <row r="2313" spans="1:97">
      <c r="A2313" s="2" t="s">
        <v>19972</v>
      </c>
      <c r="B2313" s="2">
        <v>411.04275000000001</v>
      </c>
      <c r="C2313" s="2">
        <v>0.80500000000000005</v>
      </c>
      <c r="D2313" s="2" t="s">
        <v>146</v>
      </c>
      <c r="E2313" s="2" t="s">
        <v>19973</v>
      </c>
      <c r="F2313" s="2" t="s">
        <v>19974</v>
      </c>
      <c r="G2313" s="2">
        <v>211424</v>
      </c>
      <c r="H2313" s="3" t="str">
        <f>HYPERLINK("https://cloud.oebiotech.com/#/lm/network/211424", "https://cloud.oebiotech.com/#/lm/network/211424")</f>
        <v>https://cloud.oebiotech.com/#/lm/network/211424</v>
      </c>
      <c r="I2313" s="2" t="s">
        <v>19975</v>
      </c>
      <c r="J2313" s="2"/>
      <c r="K2313" s="2"/>
      <c r="L2313" s="2">
        <v>17938267</v>
      </c>
      <c r="M2313" s="2"/>
      <c r="N2313" s="2"/>
      <c r="O2313" s="2"/>
      <c r="P2313" s="2"/>
      <c r="Q2313" s="2"/>
      <c r="R2313" s="2"/>
      <c r="S2313" s="2"/>
      <c r="T2313" s="2" t="s">
        <v>19976</v>
      </c>
      <c r="U2313" s="2" t="s">
        <v>19977</v>
      </c>
      <c r="V2313" s="2" t="s">
        <v>115</v>
      </c>
      <c r="W2313" s="2" t="s">
        <v>116</v>
      </c>
      <c r="X2313" s="2" t="s">
        <v>19978</v>
      </c>
      <c r="Y2313" s="2" t="s">
        <v>118</v>
      </c>
      <c r="Z2313" s="2" t="s">
        <v>119</v>
      </c>
      <c r="AA2313" s="2" t="s">
        <v>19979</v>
      </c>
      <c r="AB2313" s="2" t="s">
        <v>8443</v>
      </c>
      <c r="AC2313" s="2">
        <v>37.07</v>
      </c>
      <c r="AD2313" s="2">
        <v>94.94</v>
      </c>
      <c r="AE2313" s="2">
        <v>0</v>
      </c>
      <c r="AF2313" s="2" t="s">
        <v>19980</v>
      </c>
      <c r="AG2313" s="2" t="s">
        <v>157</v>
      </c>
      <c r="AH2313" s="2" t="s">
        <v>19981</v>
      </c>
      <c r="AI2313" s="2">
        <v>-2.92</v>
      </c>
      <c r="AJ2313" s="2">
        <v>23.548793915124499</v>
      </c>
      <c r="AK2313" s="2">
        <v>23.3908561302927</v>
      </c>
      <c r="AL2313" s="2">
        <v>23.469215505393301</v>
      </c>
      <c r="AM2313" s="2">
        <v>23.464790353318399</v>
      </c>
      <c r="AN2313" s="2">
        <v>23.414248578914702</v>
      </c>
      <c r="AO2313" s="2">
        <v>23.4870692868346</v>
      </c>
      <c r="AP2313" s="2">
        <v>23.341862359495501</v>
      </c>
      <c r="AQ2313" s="2">
        <v>23.393779486834301</v>
      </c>
      <c r="AR2313" s="2">
        <v>23.497273213426698</v>
      </c>
      <c r="AS2313" s="2">
        <v>23.6641486182045</v>
      </c>
      <c r="AT2313" s="2">
        <v>23.517506690824298</v>
      </c>
      <c r="AU2313" s="2">
        <v>23.6651102583</v>
      </c>
      <c r="AV2313" s="2">
        <v>23.150232037214799</v>
      </c>
      <c r="AW2313" s="2">
        <v>23.489154013546401</v>
      </c>
      <c r="AX2313" s="2">
        <v>23.423238043132798</v>
      </c>
      <c r="AY2313" s="2">
        <v>23.358508587475399</v>
      </c>
      <c r="AZ2313" s="2">
        <v>23.4683120206392</v>
      </c>
      <c r="BA2313" s="2">
        <v>23.6608381446095</v>
      </c>
      <c r="BB2313" s="2">
        <v>23.6920474913159</v>
      </c>
      <c r="BC2313" s="2">
        <v>23.251119509996901</v>
      </c>
      <c r="BD2313" s="2">
        <v>23.317576868612999</v>
      </c>
      <c r="BE2313" s="2">
        <v>23.1179907242513</v>
      </c>
      <c r="BF2313" s="2">
        <v>22.932546579751602</v>
      </c>
      <c r="BG2313" s="2">
        <v>22.825737304624599</v>
      </c>
      <c r="BH2313" s="2">
        <v>23.149573212568999</v>
      </c>
      <c r="BI2313" s="2">
        <v>23.432869401488599</v>
      </c>
      <c r="BJ2313" s="2">
        <v>23.437645293765499</v>
      </c>
      <c r="BK2313" s="2">
        <v>23.676320982987999</v>
      </c>
      <c r="BL2313" s="2">
        <v>23.204670055111901</v>
      </c>
      <c r="BM2313" s="2">
        <v>23.803419353440699</v>
      </c>
      <c r="BN2313" s="2">
        <v>23.6059743605941</v>
      </c>
      <c r="BO2313" s="2">
        <v>23.193014762530701</v>
      </c>
      <c r="BP2313" s="2">
        <v>23.2150129838944</v>
      </c>
      <c r="BQ2313" s="2">
        <v>23.1500525717621</v>
      </c>
      <c r="BR2313" s="2">
        <v>22.8252229147006</v>
      </c>
      <c r="BS2313" s="2">
        <v>23.428174623912199</v>
      </c>
      <c r="BT2313" s="2">
        <v>23.271114525499101</v>
      </c>
      <c r="BU2313" s="2">
        <v>23.4077332231982</v>
      </c>
      <c r="BV2313" s="2">
        <v>23.462055765936402</v>
      </c>
      <c r="BW2313" s="2">
        <v>23.726682835656799</v>
      </c>
      <c r="BX2313" s="2">
        <v>23.851862705230801</v>
      </c>
      <c r="BY2313" s="2">
        <v>22.5755465012654</v>
      </c>
      <c r="BZ2313" s="2">
        <v>23.7413519495312</v>
      </c>
      <c r="CA2313" s="2">
        <v>22.635153345705401</v>
      </c>
      <c r="CB2313" s="2">
        <v>23.9042114586804</v>
      </c>
      <c r="CC2313" s="2">
        <v>23.435969108758901</v>
      </c>
      <c r="CD2313" s="2">
        <v>23.384353004726901</v>
      </c>
      <c r="CE2313" s="2">
        <v>23.607926445635901</v>
      </c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</row>
    <row r="2314" spans="1:97">
      <c r="A2314" s="2" t="s">
        <v>19982</v>
      </c>
      <c r="B2314" s="2">
        <v>898.57798000000003</v>
      </c>
      <c r="C2314" s="2">
        <v>10.558999999999999</v>
      </c>
      <c r="D2314" s="2" t="s">
        <v>146</v>
      </c>
      <c r="E2314" s="2" t="s">
        <v>19983</v>
      </c>
      <c r="F2314" s="2" t="s">
        <v>19984</v>
      </c>
      <c r="G2314" s="2">
        <v>243776</v>
      </c>
      <c r="H2314" s="3" t="str">
        <f>HYPERLINK("https://cloud.oebiotech.com/#/lm/network/243776", "https://cloud.oebiotech.com/#/lm/network/243776")</f>
        <v>https://cloud.oebiotech.com/#/lm/network/243776</v>
      </c>
      <c r="I2314" s="2" t="s">
        <v>19985</v>
      </c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 t="s">
        <v>19986</v>
      </c>
      <c r="U2314" s="2" t="s">
        <v>19987</v>
      </c>
      <c r="V2314" s="2" t="s">
        <v>95</v>
      </c>
      <c r="W2314" s="2" t="s">
        <v>2361</v>
      </c>
      <c r="X2314" s="2" t="s">
        <v>2362</v>
      </c>
      <c r="Y2314" s="2" t="s">
        <v>98</v>
      </c>
      <c r="Z2314" s="2" t="s">
        <v>2363</v>
      </c>
      <c r="AA2314" s="2" t="s">
        <v>2364</v>
      </c>
      <c r="AB2314" s="2" t="s">
        <v>8443</v>
      </c>
      <c r="AC2314" s="2">
        <v>37.06</v>
      </c>
      <c r="AD2314" s="2">
        <v>58.68</v>
      </c>
      <c r="AE2314" s="2">
        <v>0</v>
      </c>
      <c r="AF2314" s="2" t="s">
        <v>19988</v>
      </c>
      <c r="AG2314" s="2" t="s">
        <v>194</v>
      </c>
      <c r="AH2314" s="2" t="s">
        <v>19989</v>
      </c>
      <c r="AI2314" s="2">
        <v>-3.34</v>
      </c>
      <c r="AJ2314" s="2">
        <v>19.633033807797101</v>
      </c>
      <c r="AK2314" s="2">
        <v>18.945308714563399</v>
      </c>
      <c r="AL2314" s="2">
        <v>19.455021589011199</v>
      </c>
      <c r="AM2314" s="2">
        <v>18.859222736106499</v>
      </c>
      <c r="AN2314" s="2">
        <v>19.388628022002901</v>
      </c>
      <c r="AO2314" s="2">
        <v>19.306353096003701</v>
      </c>
      <c r="AP2314" s="2">
        <v>19.067537088616302</v>
      </c>
      <c r="AQ2314" s="2">
        <v>19.278469763219</v>
      </c>
      <c r="AR2314" s="2">
        <v>18.947958569446801</v>
      </c>
      <c r="AS2314" s="2">
        <v>19.711168965073298</v>
      </c>
      <c r="AT2314" s="2">
        <v>19.266223038009802</v>
      </c>
      <c r="AU2314" s="2">
        <v>18.650253173931301</v>
      </c>
      <c r="AV2314" s="2">
        <v>18.924759104255099</v>
      </c>
      <c r="AW2314" s="2">
        <v>19.5764923738029</v>
      </c>
      <c r="AX2314" s="2">
        <v>19.592640125544602</v>
      </c>
      <c r="AY2314" s="2">
        <v>20.353442089598101</v>
      </c>
      <c r="AZ2314" s="2">
        <v>19.692489948256199</v>
      </c>
      <c r="BA2314" s="2">
        <v>19.746076008651599</v>
      </c>
      <c r="BB2314" s="2">
        <v>19.2069418241127</v>
      </c>
      <c r="BC2314" s="2">
        <v>18.978745757518801</v>
      </c>
      <c r="BD2314" s="2">
        <v>19.196237151741698</v>
      </c>
      <c r="BE2314" s="2">
        <v>19.048069417378201</v>
      </c>
      <c r="BF2314" s="2">
        <v>19.1070768447942</v>
      </c>
      <c r="BG2314" s="2">
        <v>18.872778179548501</v>
      </c>
      <c r="BH2314" s="2">
        <v>19.6925241726119</v>
      </c>
      <c r="BI2314" s="2">
        <v>18.914567997812998</v>
      </c>
      <c r="BJ2314" s="2">
        <v>19.241871970553301</v>
      </c>
      <c r="BK2314" s="2">
        <v>20.3051172737222</v>
      </c>
      <c r="BL2314" s="2">
        <v>19.4437024527479</v>
      </c>
      <c r="BM2314" s="2">
        <v>19.5762729713521</v>
      </c>
      <c r="BN2314" s="2">
        <v>19.140728462494501</v>
      </c>
      <c r="BO2314" s="2">
        <v>19.4977577330442</v>
      </c>
      <c r="BP2314" s="2">
        <v>19.545399253445002</v>
      </c>
      <c r="BQ2314" s="2">
        <v>19.451211514370002</v>
      </c>
      <c r="BR2314" s="2">
        <v>19.252199548552198</v>
      </c>
      <c r="BS2314" s="2">
        <v>19.364945592395301</v>
      </c>
      <c r="BT2314" s="2">
        <v>19.858564409300499</v>
      </c>
      <c r="BU2314" s="2">
        <v>19.7383276259776</v>
      </c>
      <c r="BV2314" s="2">
        <v>19.181877484895299</v>
      </c>
      <c r="BW2314" s="2">
        <v>18.9417411598561</v>
      </c>
      <c r="BX2314" s="2">
        <v>19.4529852318345</v>
      </c>
      <c r="BY2314" s="2">
        <v>19.201647835066201</v>
      </c>
      <c r="BZ2314" s="2">
        <v>19.2055986173111</v>
      </c>
      <c r="CA2314" s="2">
        <v>19.1530474177973</v>
      </c>
      <c r="CB2314" s="2">
        <v>18.678624207655599</v>
      </c>
      <c r="CC2314" s="2">
        <v>19.730672242431801</v>
      </c>
      <c r="CD2314" s="2">
        <v>19.227545767874599</v>
      </c>
      <c r="CE2314" s="2">
        <v>19.616952678689699</v>
      </c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</row>
    <row r="2315" spans="1:97">
      <c r="A2315" s="2" t="s">
        <v>19990</v>
      </c>
      <c r="B2315" s="2">
        <v>386.99731000000003</v>
      </c>
      <c r="C2315" s="2">
        <v>0.74199999999999999</v>
      </c>
      <c r="D2315" s="2" t="s">
        <v>146</v>
      </c>
      <c r="E2315" s="2" t="s">
        <v>19991</v>
      </c>
      <c r="F2315" s="2" t="s">
        <v>19992</v>
      </c>
      <c r="G2315" s="2">
        <v>47337</v>
      </c>
      <c r="H2315" s="3" t="str">
        <f>HYPERLINK("https://cloud.oebiotech.com/#/lm/network/47337", "https://cloud.oebiotech.com/#/lm/network/47337")</f>
        <v>https://cloud.oebiotech.com/#/lm/network/47337</v>
      </c>
      <c r="I2315" s="2" t="s">
        <v>19993</v>
      </c>
      <c r="J2315" s="2">
        <v>5931</v>
      </c>
      <c r="K2315" s="2"/>
      <c r="L2315" s="2">
        <v>145729</v>
      </c>
      <c r="M2315" s="2" t="s">
        <v>19994</v>
      </c>
      <c r="N2315" s="2" t="s">
        <v>9082</v>
      </c>
      <c r="O2315" s="2" t="s">
        <v>9083</v>
      </c>
      <c r="P2315" s="2">
        <v>28850</v>
      </c>
      <c r="Q2315" s="2"/>
      <c r="R2315" s="2"/>
      <c r="S2315" s="2" t="s">
        <v>19995</v>
      </c>
      <c r="T2315" s="2" t="s">
        <v>19996</v>
      </c>
      <c r="U2315" s="2" t="s">
        <v>19997</v>
      </c>
      <c r="V2315" s="2" t="s">
        <v>818</v>
      </c>
      <c r="W2315" s="2" t="s">
        <v>8374</v>
      </c>
      <c r="X2315" s="2" t="s">
        <v>8375</v>
      </c>
      <c r="Y2315" s="2" t="s">
        <v>820</v>
      </c>
      <c r="Z2315" s="2" t="s">
        <v>8376</v>
      </c>
      <c r="AA2315" s="2" t="s">
        <v>8377</v>
      </c>
      <c r="AB2315" s="2" t="s">
        <v>8443</v>
      </c>
      <c r="AC2315" s="2">
        <v>37.049999999999997</v>
      </c>
      <c r="AD2315" s="2">
        <v>80.98</v>
      </c>
      <c r="AE2315" s="2">
        <v>0</v>
      </c>
      <c r="AF2315" s="2" t="s">
        <v>19998</v>
      </c>
      <c r="AG2315" s="2" t="s">
        <v>194</v>
      </c>
      <c r="AH2315" s="2" t="s">
        <v>19999</v>
      </c>
      <c r="AI2315" s="2">
        <v>6.98</v>
      </c>
      <c r="AJ2315" s="2">
        <v>23.880971695623298</v>
      </c>
      <c r="AK2315" s="2">
        <v>23.878977362087301</v>
      </c>
      <c r="AL2315" s="2">
        <v>23.830434565384401</v>
      </c>
      <c r="AM2315" s="2">
        <v>23.9094902705741</v>
      </c>
      <c r="AN2315" s="2">
        <v>22.859711477254201</v>
      </c>
      <c r="AO2315" s="2">
        <v>23.814658625460901</v>
      </c>
      <c r="AP2315" s="2">
        <v>23.854044375247</v>
      </c>
      <c r="AQ2315" s="2">
        <v>23.7233072454606</v>
      </c>
      <c r="AR2315" s="2">
        <v>23.485872549625402</v>
      </c>
      <c r="AS2315" s="2">
        <v>23.2441277511424</v>
      </c>
      <c r="AT2315" s="2">
        <v>23.473954338387301</v>
      </c>
      <c r="AU2315" s="2">
        <v>23.988567058194</v>
      </c>
      <c r="AV2315" s="2">
        <v>23.563390179483601</v>
      </c>
      <c r="AW2315" s="2">
        <v>23.537894004314399</v>
      </c>
      <c r="AX2315" s="2">
        <v>23.3646297070588</v>
      </c>
      <c r="AY2315" s="2">
        <v>23.658179393497299</v>
      </c>
      <c r="AZ2315" s="2">
        <v>23.445750537524098</v>
      </c>
      <c r="BA2315" s="2">
        <v>23.801951286724201</v>
      </c>
      <c r="BB2315" s="2">
        <v>23.911357181421099</v>
      </c>
      <c r="BC2315" s="2">
        <v>24.614215777618401</v>
      </c>
      <c r="BD2315" s="2">
        <v>24.032733387022098</v>
      </c>
      <c r="BE2315" s="2">
        <v>24.073715391962999</v>
      </c>
      <c r="BF2315" s="2">
        <v>24.009125956050099</v>
      </c>
      <c r="BG2315" s="2">
        <v>23.777358379648899</v>
      </c>
      <c r="BH2315" s="2">
        <v>23.576684188662</v>
      </c>
      <c r="BI2315" s="2">
        <v>23.641525122019399</v>
      </c>
      <c r="BJ2315" s="2">
        <v>23.058286888669802</v>
      </c>
      <c r="BK2315" s="2">
        <v>23.8536800561338</v>
      </c>
      <c r="BL2315" s="2">
        <v>23.701914753839699</v>
      </c>
      <c r="BM2315" s="2">
        <v>24.154196796638502</v>
      </c>
      <c r="BN2315" s="2">
        <v>23.584585949458301</v>
      </c>
      <c r="BO2315" s="2">
        <v>23.358990116278001</v>
      </c>
      <c r="BP2315" s="2">
        <v>23.250934339317599</v>
      </c>
      <c r="BQ2315" s="2">
        <v>23.8036520942278</v>
      </c>
      <c r="BR2315" s="2">
        <v>23.715824120346099</v>
      </c>
      <c r="BS2315" s="2">
        <v>23.505819390440401</v>
      </c>
      <c r="BT2315" s="2">
        <v>23.601836202697299</v>
      </c>
      <c r="BU2315" s="2">
        <v>23.536581082058301</v>
      </c>
      <c r="BV2315" s="2">
        <v>23.936447599803799</v>
      </c>
      <c r="BW2315" s="2">
        <v>23.9669288525936</v>
      </c>
      <c r="BX2315" s="2">
        <v>23.860789661897599</v>
      </c>
      <c r="BY2315" s="2">
        <v>23.687302460732301</v>
      </c>
      <c r="BZ2315" s="2">
        <v>24.1388909963405</v>
      </c>
      <c r="CA2315" s="2">
        <v>23.8234759072424</v>
      </c>
      <c r="CB2315" s="2">
        <v>23.519215603574899</v>
      </c>
      <c r="CC2315" s="2">
        <v>23.6582273456632</v>
      </c>
      <c r="CD2315" s="2">
        <v>22.786737827384901</v>
      </c>
      <c r="CE2315" s="2">
        <v>23.4946951273065</v>
      </c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</row>
    <row r="2316" spans="1:97">
      <c r="A2316" s="2" t="s">
        <v>20000</v>
      </c>
      <c r="B2316" s="2">
        <v>294.24232999999998</v>
      </c>
      <c r="C2316" s="2">
        <v>6.2320000000000002</v>
      </c>
      <c r="D2316" s="2" t="s">
        <v>84</v>
      </c>
      <c r="E2316" s="2" t="s">
        <v>20001</v>
      </c>
      <c r="F2316" s="2" t="s">
        <v>20002</v>
      </c>
      <c r="G2316" s="2">
        <v>8896</v>
      </c>
      <c r="H2316" s="3" t="str">
        <f>HYPERLINK("https://cloud.oebiotech.com/#/lm/network/8896", "https://cloud.oebiotech.com/#/lm/network/8896")</f>
        <v>https://cloud.oebiotech.com/#/lm/network/8896</v>
      </c>
      <c r="I2316" s="2"/>
      <c r="J2316" s="2"/>
      <c r="K2316" s="2" t="s">
        <v>20003</v>
      </c>
      <c r="L2316" s="2">
        <v>5316694</v>
      </c>
      <c r="M2316" s="2"/>
      <c r="N2316" s="2"/>
      <c r="O2316" s="2"/>
      <c r="P2316" s="2"/>
      <c r="Q2316" s="2"/>
      <c r="R2316" s="2"/>
      <c r="S2316" s="2"/>
      <c r="T2316" s="2" t="s">
        <v>20004</v>
      </c>
      <c r="U2316" s="2" t="s">
        <v>20005</v>
      </c>
      <c r="V2316" s="2" t="s">
        <v>95</v>
      </c>
      <c r="W2316" s="2" t="s">
        <v>96</v>
      </c>
      <c r="X2316" s="2" t="s">
        <v>315</v>
      </c>
      <c r="Y2316" s="2" t="s">
        <v>98</v>
      </c>
      <c r="Z2316" s="2" t="s">
        <v>99</v>
      </c>
      <c r="AA2316" s="2" t="s">
        <v>316</v>
      </c>
      <c r="AB2316" s="2" t="s">
        <v>8443</v>
      </c>
      <c r="AC2316" s="2">
        <v>37.049999999999997</v>
      </c>
      <c r="AD2316" s="2">
        <v>88.76</v>
      </c>
      <c r="AE2316" s="2">
        <v>0</v>
      </c>
      <c r="AF2316" s="2" t="s">
        <v>5614</v>
      </c>
      <c r="AG2316" s="2" t="s">
        <v>103</v>
      </c>
      <c r="AH2316" s="2" t="s">
        <v>20006</v>
      </c>
      <c r="AI2316" s="2">
        <v>1.7</v>
      </c>
      <c r="AJ2316" s="2">
        <v>18.6855425798942</v>
      </c>
      <c r="AK2316" s="2">
        <v>18.191924001533099</v>
      </c>
      <c r="AL2316" s="2">
        <v>17.908902894683401</v>
      </c>
      <c r="AM2316" s="2">
        <v>18.320039265443501</v>
      </c>
      <c r="AN2316" s="2">
        <v>18.8300692784034</v>
      </c>
      <c r="AO2316" s="2">
        <v>18.4615598612247</v>
      </c>
      <c r="AP2316" s="2">
        <v>17.700103579376002</v>
      </c>
      <c r="AQ2316" s="2">
        <v>18.6627416598498</v>
      </c>
      <c r="AR2316" s="2">
        <v>17.702798478798901</v>
      </c>
      <c r="AS2316" s="2">
        <v>18.753396578558799</v>
      </c>
      <c r="AT2316" s="2">
        <v>18.4341266843897</v>
      </c>
      <c r="AU2316" s="2">
        <v>18.730113485945399</v>
      </c>
      <c r="AV2316" s="2">
        <v>18.058705714354801</v>
      </c>
      <c r="AW2316" s="2">
        <v>18.6738674817306</v>
      </c>
      <c r="AX2316" s="2">
        <v>18.448939051413898</v>
      </c>
      <c r="AY2316" s="2">
        <v>18.4331896367299</v>
      </c>
      <c r="AZ2316" s="2">
        <v>17.9697271424421</v>
      </c>
      <c r="BA2316" s="2">
        <v>18.174858503108702</v>
      </c>
      <c r="BB2316" s="2">
        <v>18.7979344115444</v>
      </c>
      <c r="BC2316" s="2">
        <v>18.6288384783339</v>
      </c>
      <c r="BD2316" s="2">
        <v>18.392776242765699</v>
      </c>
      <c r="BE2316" s="2">
        <v>18.522088079620801</v>
      </c>
      <c r="BF2316" s="2">
        <v>18.659041507790999</v>
      </c>
      <c r="BG2316" s="2">
        <v>18.745000594811899</v>
      </c>
      <c r="BH2316" s="2">
        <v>18.765907766948001</v>
      </c>
      <c r="BI2316" s="2">
        <v>18.488802108795799</v>
      </c>
      <c r="BJ2316" s="2">
        <v>18.256290016619701</v>
      </c>
      <c r="BK2316" s="2">
        <v>18.5507514440785</v>
      </c>
      <c r="BL2316" s="2">
        <v>18.037693598913499</v>
      </c>
      <c r="BM2316" s="2">
        <v>18.587942508108</v>
      </c>
      <c r="BN2316" s="2">
        <v>18.602764460342001</v>
      </c>
      <c r="BO2316" s="2">
        <v>18.678669936805999</v>
      </c>
      <c r="BP2316" s="2">
        <v>18.046359664294702</v>
      </c>
      <c r="BQ2316" s="2">
        <v>18.5981511730558</v>
      </c>
      <c r="BR2316" s="2">
        <v>18.570679161289501</v>
      </c>
      <c r="BS2316" s="2">
        <v>18.454884337949601</v>
      </c>
      <c r="BT2316" s="2">
        <v>17.8212622725143</v>
      </c>
      <c r="BU2316" s="2">
        <v>18.852419934007902</v>
      </c>
      <c r="BV2316" s="2">
        <v>18.205119691983899</v>
      </c>
      <c r="BW2316" s="2">
        <v>18.3488654920682</v>
      </c>
      <c r="BX2316" s="2">
        <v>18.753311302787498</v>
      </c>
      <c r="BY2316" s="2">
        <v>18.435297332061701</v>
      </c>
      <c r="BZ2316" s="2">
        <v>17.804012506341198</v>
      </c>
      <c r="CA2316" s="2">
        <v>18.212494390315602</v>
      </c>
      <c r="CB2316" s="2">
        <v>18.461346706521201</v>
      </c>
      <c r="CC2316" s="2">
        <v>18.0391419825235</v>
      </c>
      <c r="CD2316" s="2">
        <v>18.564541318103</v>
      </c>
      <c r="CE2316" s="2">
        <v>18.4665474261671</v>
      </c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</row>
    <row r="2317" spans="1:97">
      <c r="A2317" s="2" t="s">
        <v>20007</v>
      </c>
      <c r="B2317" s="2">
        <v>633.45393000000001</v>
      </c>
      <c r="C2317" s="2">
        <v>13.009</v>
      </c>
      <c r="D2317" s="2" t="s">
        <v>84</v>
      </c>
      <c r="E2317" s="2" t="s">
        <v>20008</v>
      </c>
      <c r="F2317" s="2" t="s">
        <v>20009</v>
      </c>
      <c r="G2317" s="2">
        <v>23568</v>
      </c>
      <c r="H2317" s="3" t="str">
        <f>HYPERLINK("https://cloud.oebiotech.com/#/lm/network/23568", "https://cloud.oebiotech.com/#/lm/network/23568")</f>
        <v>https://cloud.oebiotech.com/#/lm/network/23568</v>
      </c>
      <c r="I2317" s="2"/>
      <c r="J2317" s="2">
        <v>79905</v>
      </c>
      <c r="K2317" s="2" t="s">
        <v>20010</v>
      </c>
      <c r="L2317" s="2">
        <v>52927341</v>
      </c>
      <c r="M2317" s="2"/>
      <c r="N2317" s="2"/>
      <c r="O2317" s="2"/>
      <c r="P2317" s="2"/>
      <c r="Q2317" s="2"/>
      <c r="R2317" s="2"/>
      <c r="S2317" s="2"/>
      <c r="T2317" s="2" t="s">
        <v>20011</v>
      </c>
      <c r="U2317" s="2" t="s">
        <v>20012</v>
      </c>
      <c r="V2317" s="2" t="s">
        <v>95</v>
      </c>
      <c r="W2317" s="2" t="s">
        <v>202</v>
      </c>
      <c r="X2317" s="2" t="s">
        <v>4982</v>
      </c>
      <c r="Y2317" s="2" t="s">
        <v>98</v>
      </c>
      <c r="Z2317" s="2" t="s">
        <v>204</v>
      </c>
      <c r="AA2317" s="2" t="s">
        <v>4983</v>
      </c>
      <c r="AB2317" s="2" t="s">
        <v>8443</v>
      </c>
      <c r="AC2317" s="2">
        <v>37.049999999999997</v>
      </c>
      <c r="AD2317" s="2">
        <v>76.08</v>
      </c>
      <c r="AE2317" s="2">
        <v>0</v>
      </c>
      <c r="AF2317" s="2" t="s">
        <v>5614</v>
      </c>
      <c r="AG2317" s="2" t="s">
        <v>1088</v>
      </c>
      <c r="AH2317" s="2" t="s">
        <v>20013</v>
      </c>
      <c r="AI2317" s="2">
        <v>-6.79</v>
      </c>
      <c r="AJ2317" s="2">
        <v>19.514093280690101</v>
      </c>
      <c r="AK2317" s="2">
        <v>19.178979171252799</v>
      </c>
      <c r="AL2317" s="2">
        <v>18.952464249489399</v>
      </c>
      <c r="AM2317" s="2">
        <v>19.237043873553699</v>
      </c>
      <c r="AN2317" s="2">
        <v>19.269483582187</v>
      </c>
      <c r="AO2317" s="2">
        <v>19.096996774710199</v>
      </c>
      <c r="AP2317" s="2">
        <v>19.3270505342769</v>
      </c>
      <c r="AQ2317" s="2">
        <v>19.1548083704322</v>
      </c>
      <c r="AR2317" s="2">
        <v>19.059640916151999</v>
      </c>
      <c r="AS2317" s="2">
        <v>19.312768335089402</v>
      </c>
      <c r="AT2317" s="2">
        <v>19.0266103772327</v>
      </c>
      <c r="AU2317" s="2">
        <v>18.887346323316201</v>
      </c>
      <c r="AV2317" s="2">
        <v>19.005424413784102</v>
      </c>
      <c r="AW2317" s="2">
        <v>18.4697294871686</v>
      </c>
      <c r="AX2317" s="2">
        <v>19.157239007519902</v>
      </c>
      <c r="AY2317" s="2">
        <v>19.1451742344323</v>
      </c>
      <c r="AZ2317" s="2">
        <v>18.8924370095196</v>
      </c>
      <c r="BA2317" s="2">
        <v>18.650061384047</v>
      </c>
      <c r="BB2317" s="2">
        <v>18.977242800102999</v>
      </c>
      <c r="BC2317" s="2">
        <v>19.597294195204501</v>
      </c>
      <c r="BD2317" s="2">
        <v>19.029550508809599</v>
      </c>
      <c r="BE2317" s="2">
        <v>18.9429880352879</v>
      </c>
      <c r="BF2317" s="2">
        <v>18.9279522826014</v>
      </c>
      <c r="BG2317" s="2">
        <v>19.109261532261399</v>
      </c>
      <c r="BH2317" s="2">
        <v>18.757581200932101</v>
      </c>
      <c r="BI2317" s="2">
        <v>19.158348374278901</v>
      </c>
      <c r="BJ2317" s="2">
        <v>19.044234890909902</v>
      </c>
      <c r="BK2317" s="2">
        <v>19.015718250018701</v>
      </c>
      <c r="BL2317" s="2">
        <v>18.948495479766699</v>
      </c>
      <c r="BM2317" s="2">
        <v>19.303858011687002</v>
      </c>
      <c r="BN2317" s="2">
        <v>18.532008581253798</v>
      </c>
      <c r="BO2317" s="2">
        <v>19.3252835804679</v>
      </c>
      <c r="BP2317" s="2">
        <v>18.868045245344099</v>
      </c>
      <c r="BQ2317" s="2">
        <v>19.240215974471901</v>
      </c>
      <c r="BR2317" s="2">
        <v>17.915790934513002</v>
      </c>
      <c r="BS2317" s="2">
        <v>19.153655535664502</v>
      </c>
      <c r="BT2317" s="2">
        <v>18.950470493069599</v>
      </c>
      <c r="BU2317" s="2">
        <v>18.727882573751302</v>
      </c>
      <c r="BV2317" s="2">
        <v>18.386604389401001</v>
      </c>
      <c r="BW2317" s="2">
        <v>19.0688604997727</v>
      </c>
      <c r="BX2317" s="2">
        <v>19.386792741845799</v>
      </c>
      <c r="BY2317" s="2">
        <v>19.010678970603099</v>
      </c>
      <c r="BZ2317" s="2">
        <v>19.359850258623599</v>
      </c>
      <c r="CA2317" s="2">
        <v>19.321106108397402</v>
      </c>
      <c r="CB2317" s="2">
        <v>18.39008085115</v>
      </c>
      <c r="CC2317" s="2">
        <v>19.000482846474199</v>
      </c>
      <c r="CD2317" s="2">
        <v>18.622555388952701</v>
      </c>
      <c r="CE2317" s="2">
        <v>19.380477785555701</v>
      </c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</row>
    <row r="2318" spans="1:97">
      <c r="A2318" s="2" t="s">
        <v>20014</v>
      </c>
      <c r="B2318" s="2">
        <v>231.03281999999999</v>
      </c>
      <c r="C2318" s="2">
        <v>6.5229999999999997</v>
      </c>
      <c r="D2318" s="2" t="s">
        <v>146</v>
      </c>
      <c r="E2318" s="2" t="s">
        <v>20015</v>
      </c>
      <c r="F2318" s="2" t="s">
        <v>20016</v>
      </c>
      <c r="G2318" s="2">
        <v>257655</v>
      </c>
      <c r="H2318" s="3" t="str">
        <f>HYPERLINK("https://cloud.oebiotech.com/#/lm/network/257655", "https://cloud.oebiotech.com/#/lm/network/257655")</f>
        <v>https://cloud.oebiotech.com/#/lm/network/257655</v>
      </c>
      <c r="I2318" s="2" t="s">
        <v>20017</v>
      </c>
      <c r="J2318" s="2"/>
      <c r="K2318" s="2"/>
      <c r="L2318" s="2">
        <v>88463799</v>
      </c>
      <c r="M2318" s="2"/>
      <c r="N2318" s="2"/>
      <c r="O2318" s="2"/>
      <c r="P2318" s="2"/>
      <c r="Q2318" s="2"/>
      <c r="R2318" s="2"/>
      <c r="S2318" s="2"/>
      <c r="T2318" s="2" t="s">
        <v>20018</v>
      </c>
      <c r="U2318" s="2" t="s">
        <v>20019</v>
      </c>
      <c r="V2318" s="2" t="s">
        <v>385</v>
      </c>
      <c r="W2318" s="2" t="s">
        <v>3319</v>
      </c>
      <c r="X2318" s="2" t="s">
        <v>20020</v>
      </c>
      <c r="Y2318" s="2" t="s">
        <v>388</v>
      </c>
      <c r="Z2318" s="2" t="s">
        <v>3321</v>
      </c>
      <c r="AA2318" s="2" t="s">
        <v>20021</v>
      </c>
      <c r="AB2318" s="2" t="s">
        <v>8443</v>
      </c>
      <c r="AC2318" s="2">
        <v>37.049999999999997</v>
      </c>
      <c r="AD2318" s="2">
        <v>91.06</v>
      </c>
      <c r="AE2318" s="2">
        <v>0</v>
      </c>
      <c r="AF2318" s="2" t="s">
        <v>5614</v>
      </c>
      <c r="AG2318" s="2" t="s">
        <v>194</v>
      </c>
      <c r="AH2318" s="2" t="s">
        <v>20022</v>
      </c>
      <c r="AI2318" s="2">
        <v>2.16</v>
      </c>
      <c r="AJ2318" s="2">
        <v>17.334575677583999</v>
      </c>
      <c r="AK2318" s="2">
        <v>17.131172297560099</v>
      </c>
      <c r="AL2318" s="2">
        <v>17.993652306345499</v>
      </c>
      <c r="AM2318" s="2">
        <v>17.923934671323501</v>
      </c>
      <c r="AN2318" s="2">
        <v>17.656831234417702</v>
      </c>
      <c r="AO2318" s="2">
        <v>17.909064095043899</v>
      </c>
      <c r="AP2318" s="2">
        <v>17.632812066364799</v>
      </c>
      <c r="AQ2318" s="2">
        <v>17.304989650707</v>
      </c>
      <c r="AR2318" s="2">
        <v>12.542935121636599</v>
      </c>
      <c r="AS2318" s="2">
        <v>16.066585998619601</v>
      </c>
      <c r="AT2318" s="2">
        <v>9.6233145402724691</v>
      </c>
      <c r="AU2318" s="2">
        <v>16.955695422349802</v>
      </c>
      <c r="AV2318" s="2">
        <v>18.504053159403</v>
      </c>
      <c r="AW2318" s="2">
        <v>9.6233145402724691</v>
      </c>
      <c r="AX2318" s="2">
        <v>9.6233145402724691</v>
      </c>
      <c r="AY2318" s="2">
        <v>15.2767896077217</v>
      </c>
      <c r="AZ2318" s="2">
        <v>9.6233145402724691</v>
      </c>
      <c r="BA2318" s="2">
        <v>16.058305290454399</v>
      </c>
      <c r="BB2318" s="2">
        <v>17.464173350648601</v>
      </c>
      <c r="BC2318" s="2">
        <v>9.6233145402724691</v>
      </c>
      <c r="BD2318" s="2">
        <v>16.680763878615199</v>
      </c>
      <c r="BE2318" s="2">
        <v>16.9781465727607</v>
      </c>
      <c r="BF2318" s="2">
        <v>9.6233145402724691</v>
      </c>
      <c r="BG2318" s="2">
        <v>9.6233145402724691</v>
      </c>
      <c r="BH2318" s="2">
        <v>9.6233145402724691</v>
      </c>
      <c r="BI2318" s="2">
        <v>9.6233145402724691</v>
      </c>
      <c r="BJ2318" s="2">
        <v>9.6233145402724691</v>
      </c>
      <c r="BK2318" s="2">
        <v>11.3759788326748</v>
      </c>
      <c r="BL2318" s="2">
        <v>18.194722761963099</v>
      </c>
      <c r="BM2318" s="2">
        <v>18.207333631396899</v>
      </c>
      <c r="BN2318" s="2">
        <v>9.6233145402724691</v>
      </c>
      <c r="BO2318" s="2">
        <v>12.289696163395201</v>
      </c>
      <c r="BP2318" s="2">
        <v>16.345641910796999</v>
      </c>
      <c r="BQ2318" s="2">
        <v>9.6233145402724691</v>
      </c>
      <c r="BR2318" s="2">
        <v>9.6233145402724691</v>
      </c>
      <c r="BS2318" s="2">
        <v>18.185621663568899</v>
      </c>
      <c r="BT2318" s="2">
        <v>14.902251210002801</v>
      </c>
      <c r="BU2318" s="2">
        <v>17.988402217132499</v>
      </c>
      <c r="BV2318" s="2">
        <v>9.6233145402724691</v>
      </c>
      <c r="BW2318" s="2">
        <v>9.6233145402724691</v>
      </c>
      <c r="BX2318" s="2">
        <v>18.1298080821045</v>
      </c>
      <c r="BY2318" s="2">
        <v>20.963270573881601</v>
      </c>
      <c r="BZ2318" s="2">
        <v>17.0011981526151</v>
      </c>
      <c r="CA2318" s="2">
        <v>14.7792638249022</v>
      </c>
      <c r="CB2318" s="2">
        <v>21.432741989536201</v>
      </c>
      <c r="CC2318" s="2">
        <v>9.6233145402724691</v>
      </c>
      <c r="CD2318" s="2">
        <v>9.6233145402724691</v>
      </c>
      <c r="CE2318" s="2">
        <v>9.6233145402724691</v>
      </c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</row>
    <row r="2319" spans="1:97">
      <c r="A2319" s="2" t="s">
        <v>20023</v>
      </c>
      <c r="B2319" s="2">
        <v>476.30621000000002</v>
      </c>
      <c r="C2319" s="2">
        <v>4.5</v>
      </c>
      <c r="D2319" s="2" t="s">
        <v>84</v>
      </c>
      <c r="E2319" s="2" t="s">
        <v>20024</v>
      </c>
      <c r="F2319" s="2" t="s">
        <v>20025</v>
      </c>
      <c r="G2319" s="2">
        <v>208961</v>
      </c>
      <c r="H2319" s="3" t="str">
        <f>HYPERLINK("https://cloud.oebiotech.com/#/lm/network/208961", "https://cloud.oebiotech.com/#/lm/network/208961")</f>
        <v>https://cloud.oebiotech.com/#/lm/network/208961</v>
      </c>
      <c r="I2319" s="2" t="s">
        <v>20026</v>
      </c>
      <c r="J2319" s="2"/>
      <c r="K2319" s="2"/>
      <c r="L2319" s="2">
        <v>16049404</v>
      </c>
      <c r="M2319" s="2"/>
      <c r="N2319" s="2"/>
      <c r="O2319" s="2"/>
      <c r="P2319" s="2"/>
      <c r="Q2319" s="2"/>
      <c r="R2319" s="2"/>
      <c r="S2319" s="2"/>
      <c r="T2319" s="2" t="s">
        <v>20027</v>
      </c>
      <c r="U2319" s="2" t="s">
        <v>20028</v>
      </c>
      <c r="V2319" s="2" t="s">
        <v>553</v>
      </c>
      <c r="W2319" s="2" t="s">
        <v>14714</v>
      </c>
      <c r="X2319" s="2" t="s">
        <v>375</v>
      </c>
      <c r="Y2319" s="2" t="s">
        <v>556</v>
      </c>
      <c r="Z2319" s="2" t="s">
        <v>14715</v>
      </c>
      <c r="AA2319" s="2"/>
      <c r="AB2319" s="2" t="s">
        <v>5118</v>
      </c>
      <c r="AC2319" s="2">
        <v>37.049999999999997</v>
      </c>
      <c r="AD2319" s="2">
        <v>92.03</v>
      </c>
      <c r="AE2319" s="2">
        <v>45.17</v>
      </c>
      <c r="AF2319" s="2" t="s">
        <v>20029</v>
      </c>
      <c r="AG2319" s="2" t="s">
        <v>132</v>
      </c>
      <c r="AH2319" s="2" t="s">
        <v>20030</v>
      </c>
      <c r="AI2319" s="2">
        <v>-8.82</v>
      </c>
      <c r="AJ2319" s="2">
        <v>20.5217447901809</v>
      </c>
      <c r="AK2319" s="2">
        <v>20.518365636370898</v>
      </c>
      <c r="AL2319" s="2">
        <v>20.4370835264119</v>
      </c>
      <c r="AM2319" s="2">
        <v>20.3928091792028</v>
      </c>
      <c r="AN2319" s="2">
        <v>20.055757682710802</v>
      </c>
      <c r="AO2319" s="2">
        <v>20.278869736111599</v>
      </c>
      <c r="AP2319" s="2">
        <v>20.494097752666502</v>
      </c>
      <c r="AQ2319" s="2">
        <v>20.381454043140501</v>
      </c>
      <c r="AR2319" s="2">
        <v>19.2556550518606</v>
      </c>
      <c r="AS2319" s="2">
        <v>19.551762381943998</v>
      </c>
      <c r="AT2319" s="2">
        <v>20.301956386095299</v>
      </c>
      <c r="AU2319" s="2">
        <v>20.6824361761897</v>
      </c>
      <c r="AV2319" s="2">
        <v>20.380562219895499</v>
      </c>
      <c r="AW2319" s="2">
        <v>20.513778881424901</v>
      </c>
      <c r="AX2319" s="2">
        <v>19.6164633750627</v>
      </c>
      <c r="AY2319" s="2">
        <v>19.903766262790398</v>
      </c>
      <c r="AZ2319" s="2">
        <v>19.2564328019923</v>
      </c>
      <c r="BA2319" s="2">
        <v>19.275636372407</v>
      </c>
      <c r="BB2319" s="2">
        <v>18.349747418327301</v>
      </c>
      <c r="BC2319" s="2">
        <v>18.304963011040901</v>
      </c>
      <c r="BD2319" s="2">
        <v>20.5071117417965</v>
      </c>
      <c r="BE2319" s="2">
        <v>20.257720675661201</v>
      </c>
      <c r="BF2319" s="2">
        <v>20.948267829262399</v>
      </c>
      <c r="BG2319" s="2">
        <v>18.2503602778303</v>
      </c>
      <c r="BH2319" s="2">
        <v>20.2499815234893</v>
      </c>
      <c r="BI2319" s="2">
        <v>20.550014563362001</v>
      </c>
      <c r="BJ2319" s="2">
        <v>17.939422363663599</v>
      </c>
      <c r="BK2319" s="2">
        <v>20.2102889689445</v>
      </c>
      <c r="BL2319" s="2">
        <v>20.276357931267899</v>
      </c>
      <c r="BM2319" s="2">
        <v>22.006393979965001</v>
      </c>
      <c r="BN2319" s="2">
        <v>20.067045020901801</v>
      </c>
      <c r="BO2319" s="2">
        <v>19.7310636693053</v>
      </c>
      <c r="BP2319" s="2">
        <v>19.8713705603931</v>
      </c>
      <c r="BQ2319" s="2">
        <v>20.677131868520298</v>
      </c>
      <c r="BR2319" s="2">
        <v>18.0567896811467</v>
      </c>
      <c r="BS2319" s="2">
        <v>21.028807008199699</v>
      </c>
      <c r="BT2319" s="2">
        <v>18.348321595634602</v>
      </c>
      <c r="BU2319" s="2">
        <v>19.993619112048801</v>
      </c>
      <c r="BV2319" s="2">
        <v>18.362761592667699</v>
      </c>
      <c r="BW2319" s="2">
        <v>17.9447801661154</v>
      </c>
      <c r="BX2319" s="2">
        <v>20.336507769290701</v>
      </c>
      <c r="BY2319" s="2">
        <v>20.7255053252265</v>
      </c>
      <c r="BZ2319" s="2">
        <v>18.126823731402901</v>
      </c>
      <c r="CA2319" s="2">
        <v>23.2936271815745</v>
      </c>
      <c r="CB2319" s="2">
        <v>18.799876391765299</v>
      </c>
      <c r="CC2319" s="2">
        <v>19.020271907139399</v>
      </c>
      <c r="CD2319" s="2">
        <v>20.42091904031</v>
      </c>
      <c r="CE2319" s="2">
        <v>20.669480183296599</v>
      </c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</row>
    <row r="2320" spans="1:97">
      <c r="A2320" s="2" t="s">
        <v>20031</v>
      </c>
      <c r="B2320" s="2">
        <v>335.11072000000001</v>
      </c>
      <c r="C2320" s="2">
        <v>9.2189999999999994</v>
      </c>
      <c r="D2320" s="2" t="s">
        <v>146</v>
      </c>
      <c r="E2320" s="2" t="s">
        <v>20032</v>
      </c>
      <c r="F2320" s="2"/>
      <c r="G2320" s="2">
        <v>596032</v>
      </c>
      <c r="H2320" s="3" t="str">
        <f>HYPERLINK("https://cloud.oebiotech.com/#/lm/network/596032", "https://cloud.oebiotech.com/#/lm/network/596032")</f>
        <v>https://cloud.oebiotech.com/#/lm/network/596032</v>
      </c>
      <c r="I2320" s="2"/>
      <c r="J2320" s="2"/>
      <c r="K2320" s="2"/>
      <c r="L2320" s="2">
        <v>15071017</v>
      </c>
      <c r="M2320" s="2"/>
      <c r="N2320" s="2"/>
      <c r="O2320" s="2"/>
      <c r="P2320" s="2"/>
      <c r="Q2320" s="2"/>
      <c r="R2320" s="2"/>
      <c r="S2320" s="2"/>
      <c r="T2320" s="2" t="s">
        <v>20033</v>
      </c>
      <c r="U2320" s="2" t="s">
        <v>20034</v>
      </c>
      <c r="V2320" s="2" t="s">
        <v>845</v>
      </c>
      <c r="W2320" s="2" t="s">
        <v>846</v>
      </c>
      <c r="X2320" s="2" t="s">
        <v>375</v>
      </c>
      <c r="Y2320" s="2" t="s">
        <v>847</v>
      </c>
      <c r="Z2320" s="2" t="s">
        <v>848</v>
      </c>
      <c r="AA2320" s="2"/>
      <c r="AB2320" s="2" t="s">
        <v>8443</v>
      </c>
      <c r="AC2320" s="2">
        <v>37.04</v>
      </c>
      <c r="AD2320" s="2">
        <v>96.27</v>
      </c>
      <c r="AE2320" s="2">
        <v>38.549999999999997</v>
      </c>
      <c r="AF2320" s="2" t="s">
        <v>20035</v>
      </c>
      <c r="AG2320" s="2" t="s">
        <v>157</v>
      </c>
      <c r="AH2320" s="2" t="s">
        <v>7984</v>
      </c>
      <c r="AI2320" s="2">
        <v>8.65</v>
      </c>
      <c r="AJ2320" s="2">
        <v>21.815913675173299</v>
      </c>
      <c r="AK2320" s="2">
        <v>21.639866646868001</v>
      </c>
      <c r="AL2320" s="2">
        <v>21.593591949712099</v>
      </c>
      <c r="AM2320" s="2">
        <v>21.691354980882199</v>
      </c>
      <c r="AN2320" s="2">
        <v>21.705629109809099</v>
      </c>
      <c r="AO2320" s="2">
        <v>21.7975566394921</v>
      </c>
      <c r="AP2320" s="2">
        <v>21.8089594118854</v>
      </c>
      <c r="AQ2320" s="2">
        <v>21.681734995776999</v>
      </c>
      <c r="AR2320" s="2">
        <v>22.323845741723801</v>
      </c>
      <c r="AS2320" s="2">
        <v>20.783537441229502</v>
      </c>
      <c r="AT2320" s="2">
        <v>20.945744121299601</v>
      </c>
      <c r="AU2320" s="2">
        <v>21.857542789852499</v>
      </c>
      <c r="AV2320" s="2">
        <v>21.792645026818899</v>
      </c>
      <c r="AW2320" s="2">
        <v>21.605223871068102</v>
      </c>
      <c r="AX2320" s="2">
        <v>20.987691887810801</v>
      </c>
      <c r="AY2320" s="2">
        <v>21.484550402770001</v>
      </c>
      <c r="AZ2320" s="2">
        <v>20.7723845813276</v>
      </c>
      <c r="BA2320" s="2">
        <v>21.197977882514301</v>
      </c>
      <c r="BB2320" s="2">
        <v>21.696705382492599</v>
      </c>
      <c r="BC2320" s="2">
        <v>22.257919335823701</v>
      </c>
      <c r="BD2320" s="2">
        <v>21.513826556391599</v>
      </c>
      <c r="BE2320" s="2">
        <v>22.1357563357302</v>
      </c>
      <c r="BF2320" s="2">
        <v>21.063950455682999</v>
      </c>
      <c r="BG2320" s="2">
        <v>21.080068993423499</v>
      </c>
      <c r="BH2320" s="2">
        <v>22.973101801642301</v>
      </c>
      <c r="BI2320" s="2">
        <v>20.416821840147001</v>
      </c>
      <c r="BJ2320" s="2">
        <v>21.256428188987801</v>
      </c>
      <c r="BK2320" s="2">
        <v>22.115495609391999</v>
      </c>
      <c r="BL2320" s="2">
        <v>20.437015832596</v>
      </c>
      <c r="BM2320" s="2">
        <v>21.737333185701601</v>
      </c>
      <c r="BN2320" s="2">
        <v>22.321315274492999</v>
      </c>
      <c r="BO2320" s="2">
        <v>22.635718215525799</v>
      </c>
      <c r="BP2320" s="2">
        <v>20.2115227229773</v>
      </c>
      <c r="BQ2320" s="2">
        <v>22.285663016239202</v>
      </c>
      <c r="BR2320" s="2">
        <v>21.29518187615</v>
      </c>
      <c r="BS2320" s="2">
        <v>21.722332401313601</v>
      </c>
      <c r="BT2320" s="2">
        <v>21.5765004146038</v>
      </c>
      <c r="BU2320" s="2">
        <v>21.4355169745834</v>
      </c>
      <c r="BV2320" s="2">
        <v>21.6197584816769</v>
      </c>
      <c r="BW2320" s="2">
        <v>19.984835847474901</v>
      </c>
      <c r="BX2320" s="2">
        <v>21.068846988856301</v>
      </c>
      <c r="BY2320" s="2">
        <v>22.667403227384199</v>
      </c>
      <c r="BZ2320" s="2">
        <v>21.256570286942399</v>
      </c>
      <c r="CA2320" s="2">
        <v>20.885797151041999</v>
      </c>
      <c r="CB2320" s="2">
        <v>20.873671085356801</v>
      </c>
      <c r="CC2320" s="2">
        <v>21.228838402966801</v>
      </c>
      <c r="CD2320" s="2">
        <v>21.9230693257085</v>
      </c>
      <c r="CE2320" s="2">
        <v>22.1930899761795</v>
      </c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</row>
    <row r="2321" spans="1:97">
      <c r="A2321" s="2" t="s">
        <v>20036</v>
      </c>
      <c r="B2321" s="2">
        <v>438.29736000000003</v>
      </c>
      <c r="C2321" s="2">
        <v>9.2509999999999994</v>
      </c>
      <c r="D2321" s="2" t="s">
        <v>84</v>
      </c>
      <c r="E2321" s="2" t="s">
        <v>20037</v>
      </c>
      <c r="F2321" s="2" t="s">
        <v>20038</v>
      </c>
      <c r="G2321" s="2">
        <v>18143</v>
      </c>
      <c r="H2321" s="3" t="str">
        <f>HYPERLINK("https://cloud.oebiotech.com/#/lm/network/18143", "https://cloud.oebiotech.com/#/lm/network/18143")</f>
        <v>https://cloud.oebiotech.com/#/lm/network/18143</v>
      </c>
      <c r="I2321" s="2"/>
      <c r="J2321" s="2">
        <v>75588</v>
      </c>
      <c r="K2321" s="2" t="s">
        <v>20039</v>
      </c>
      <c r="L2321" s="2">
        <v>52922108</v>
      </c>
      <c r="M2321" s="2"/>
      <c r="N2321" s="2"/>
      <c r="O2321" s="2"/>
      <c r="P2321" s="2"/>
      <c r="Q2321" s="2"/>
      <c r="R2321" s="2"/>
      <c r="S2321" s="2"/>
      <c r="T2321" s="2" t="s">
        <v>20040</v>
      </c>
      <c r="U2321" s="2" t="s">
        <v>20041</v>
      </c>
      <c r="V2321" s="2" t="s">
        <v>95</v>
      </c>
      <c r="W2321" s="2" t="s">
        <v>202</v>
      </c>
      <c r="X2321" s="2" t="s">
        <v>6038</v>
      </c>
      <c r="Y2321" s="2" t="s">
        <v>98</v>
      </c>
      <c r="Z2321" s="2" t="s">
        <v>204</v>
      </c>
      <c r="AA2321" s="2" t="s">
        <v>6039</v>
      </c>
      <c r="AB2321" s="2" t="s">
        <v>8443</v>
      </c>
      <c r="AC2321" s="2">
        <v>37.04</v>
      </c>
      <c r="AD2321" s="2">
        <v>85.89</v>
      </c>
      <c r="AE2321" s="2">
        <v>0</v>
      </c>
      <c r="AF2321" s="2" t="s">
        <v>20042</v>
      </c>
      <c r="AG2321" s="2" t="s">
        <v>132</v>
      </c>
      <c r="AH2321" s="2" t="s">
        <v>20043</v>
      </c>
      <c r="AI2321" s="2">
        <v>1.1399999999999999</v>
      </c>
      <c r="AJ2321" s="2">
        <v>17.889257904270199</v>
      </c>
      <c r="AK2321" s="2">
        <v>17.931127614338301</v>
      </c>
      <c r="AL2321" s="2">
        <v>17.276266468109998</v>
      </c>
      <c r="AM2321" s="2">
        <v>18.130389369972399</v>
      </c>
      <c r="AN2321" s="2">
        <v>17.9960447056446</v>
      </c>
      <c r="AO2321" s="2">
        <v>16.476084342344599</v>
      </c>
      <c r="AP2321" s="2">
        <v>17.811384791637401</v>
      </c>
      <c r="AQ2321" s="2">
        <v>17.722989523886</v>
      </c>
      <c r="AR2321" s="2">
        <v>18.5678538304042</v>
      </c>
      <c r="AS2321" s="2">
        <v>9.6233145402724691</v>
      </c>
      <c r="AT2321" s="2">
        <v>17.088517770144801</v>
      </c>
      <c r="AU2321" s="2">
        <v>18.5974455170754</v>
      </c>
      <c r="AV2321" s="2">
        <v>19.203395968695101</v>
      </c>
      <c r="AW2321" s="2">
        <v>17.003108736203401</v>
      </c>
      <c r="AX2321" s="2">
        <v>9.6233145402724691</v>
      </c>
      <c r="AY2321" s="2">
        <v>20.916852440679801</v>
      </c>
      <c r="AZ2321" s="2">
        <v>17.518839073844099</v>
      </c>
      <c r="BA2321" s="2">
        <v>9.6233145402724691</v>
      </c>
      <c r="BB2321" s="2">
        <v>9.6233145402724691</v>
      </c>
      <c r="BC2321" s="2">
        <v>9.6233145402724691</v>
      </c>
      <c r="BD2321" s="2">
        <v>16.953798928250698</v>
      </c>
      <c r="BE2321" s="2">
        <v>19.977475951621901</v>
      </c>
      <c r="BF2321" s="2">
        <v>9.6233145402724691</v>
      </c>
      <c r="BG2321" s="2">
        <v>9.6233145402724691</v>
      </c>
      <c r="BH2321" s="2">
        <v>16.824094823343898</v>
      </c>
      <c r="BI2321" s="2">
        <v>14.658152894395</v>
      </c>
      <c r="BJ2321" s="2">
        <v>19.221101270209701</v>
      </c>
      <c r="BK2321" s="2">
        <v>9.6233145402724691</v>
      </c>
      <c r="BL2321" s="2">
        <v>14.857589855934201</v>
      </c>
      <c r="BM2321" s="2">
        <v>18.717774941038499</v>
      </c>
      <c r="BN2321" s="2">
        <v>18.303283853415699</v>
      </c>
      <c r="BO2321" s="2">
        <v>16.9445871647996</v>
      </c>
      <c r="BP2321" s="2">
        <v>19.468521311190301</v>
      </c>
      <c r="BQ2321" s="2">
        <v>19.8169445426545</v>
      </c>
      <c r="BR2321" s="2">
        <v>17.4841635481385</v>
      </c>
      <c r="BS2321" s="2">
        <v>20.530857765952099</v>
      </c>
      <c r="BT2321" s="2">
        <v>18.724805592065699</v>
      </c>
      <c r="BU2321" s="2">
        <v>14.583257921114701</v>
      </c>
      <c r="BV2321" s="2">
        <v>9.6233145402724691</v>
      </c>
      <c r="BW2321" s="2">
        <v>9.6233145402724691</v>
      </c>
      <c r="BX2321" s="2">
        <v>18.407111264046701</v>
      </c>
      <c r="BY2321" s="2">
        <v>19.696168418015201</v>
      </c>
      <c r="BZ2321" s="2">
        <v>9.6233145402724691</v>
      </c>
      <c r="CA2321" s="2">
        <v>9.6233145402724691</v>
      </c>
      <c r="CB2321" s="2">
        <v>9.6233145402724691</v>
      </c>
      <c r="CC2321" s="2">
        <v>9.6233145402724691</v>
      </c>
      <c r="CD2321" s="2">
        <v>18.4545455005759</v>
      </c>
      <c r="CE2321" s="2">
        <v>9.6233145402724691</v>
      </c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</row>
    <row r="2322" spans="1:97">
      <c r="A2322" s="2" t="s">
        <v>20044</v>
      </c>
      <c r="B2322" s="2">
        <v>225.0693</v>
      </c>
      <c r="C2322" s="2">
        <v>5.55</v>
      </c>
      <c r="D2322" s="2" t="s">
        <v>146</v>
      </c>
      <c r="E2322" s="2" t="s">
        <v>20045</v>
      </c>
      <c r="F2322" s="2" t="s">
        <v>20046</v>
      </c>
      <c r="G2322" s="2">
        <v>203407</v>
      </c>
      <c r="H2322" s="3" t="str">
        <f>HYPERLINK("https://cloud.oebiotech.com/#/lm/network/203407", "https://cloud.oebiotech.com/#/lm/network/203407")</f>
        <v>https://cloud.oebiotech.com/#/lm/network/203407</v>
      </c>
      <c r="I2322" s="2" t="s">
        <v>20047</v>
      </c>
      <c r="J2322" s="2"/>
      <c r="K2322" s="2"/>
      <c r="L2322" s="2">
        <v>15010</v>
      </c>
      <c r="M2322" s="2"/>
      <c r="N2322" s="2"/>
      <c r="O2322" s="2"/>
      <c r="P2322" s="2"/>
      <c r="Q2322" s="2"/>
      <c r="R2322" s="2"/>
      <c r="S2322" s="2"/>
      <c r="T2322" s="2" t="s">
        <v>20048</v>
      </c>
      <c r="U2322" s="2" t="s">
        <v>20049</v>
      </c>
      <c r="V2322" s="2" t="s">
        <v>385</v>
      </c>
      <c r="W2322" s="2" t="s">
        <v>386</v>
      </c>
      <c r="X2322" s="2" t="s">
        <v>20050</v>
      </c>
      <c r="Y2322" s="2" t="s">
        <v>388</v>
      </c>
      <c r="Z2322" s="2" t="s">
        <v>389</v>
      </c>
      <c r="AA2322" s="2" t="s">
        <v>20051</v>
      </c>
      <c r="AB2322" s="2" t="s">
        <v>8443</v>
      </c>
      <c r="AC2322" s="2">
        <v>37.03</v>
      </c>
      <c r="AD2322" s="2">
        <v>91.25</v>
      </c>
      <c r="AE2322" s="2">
        <v>0</v>
      </c>
      <c r="AF2322" s="2" t="s">
        <v>20052</v>
      </c>
      <c r="AG2322" s="2" t="s">
        <v>993</v>
      </c>
      <c r="AH2322" s="2" t="s">
        <v>9885</v>
      </c>
      <c r="AI2322" s="2">
        <v>2.2200000000000002</v>
      </c>
      <c r="AJ2322" s="2">
        <v>21.326003709353699</v>
      </c>
      <c r="AK2322" s="2">
        <v>20.7804441701877</v>
      </c>
      <c r="AL2322" s="2">
        <v>21.280024192371499</v>
      </c>
      <c r="AM2322" s="2">
        <v>21.4656682014027</v>
      </c>
      <c r="AN2322" s="2">
        <v>21.301675241371001</v>
      </c>
      <c r="AO2322" s="2">
        <v>20.9472771395614</v>
      </c>
      <c r="AP2322" s="2">
        <v>21.358073626139099</v>
      </c>
      <c r="AQ2322" s="2">
        <v>21.345915196727301</v>
      </c>
      <c r="AR2322" s="2">
        <v>21.288283506097098</v>
      </c>
      <c r="AS2322" s="2">
        <v>16.4077190338447</v>
      </c>
      <c r="AT2322" s="2">
        <v>19.918565929655699</v>
      </c>
      <c r="AU2322" s="2">
        <v>19.8241131014811</v>
      </c>
      <c r="AV2322" s="2">
        <v>22.076037368047999</v>
      </c>
      <c r="AW2322" s="2">
        <v>23.185264441097299</v>
      </c>
      <c r="AX2322" s="2">
        <v>22.6476212687257</v>
      </c>
      <c r="AY2322" s="2">
        <v>21.9074161705683</v>
      </c>
      <c r="AZ2322" s="2">
        <v>19.9872196489621</v>
      </c>
      <c r="BA2322" s="2">
        <v>18.453813463900602</v>
      </c>
      <c r="BB2322" s="2">
        <v>20.2670834159929</v>
      </c>
      <c r="BC2322" s="2">
        <v>18.204875621637299</v>
      </c>
      <c r="BD2322" s="2">
        <v>21.184918026314101</v>
      </c>
      <c r="BE2322" s="2">
        <v>20.714508308903799</v>
      </c>
      <c r="BF2322" s="2">
        <v>21.634754614044802</v>
      </c>
      <c r="BG2322" s="2">
        <v>22.6701823742664</v>
      </c>
      <c r="BH2322" s="2">
        <v>18.265164088031</v>
      </c>
      <c r="BI2322" s="2">
        <v>21.469545333424701</v>
      </c>
      <c r="BJ2322" s="2">
        <v>21.520044660405599</v>
      </c>
      <c r="BK2322" s="2">
        <v>21.504486179688701</v>
      </c>
      <c r="BL2322" s="2">
        <v>19.7968518881599</v>
      </c>
      <c r="BM2322" s="2">
        <v>15.964485274483</v>
      </c>
      <c r="BN2322" s="2">
        <v>19.9306430288934</v>
      </c>
      <c r="BO2322" s="2">
        <v>18.8672040700548</v>
      </c>
      <c r="BP2322" s="2">
        <v>21.944295691025101</v>
      </c>
      <c r="BQ2322" s="2">
        <v>21.833342832189999</v>
      </c>
      <c r="BR2322" s="2">
        <v>22.8531329031679</v>
      </c>
      <c r="BS2322" s="2">
        <v>21.603446868892199</v>
      </c>
      <c r="BT2322" s="2">
        <v>19.696729337638001</v>
      </c>
      <c r="BU2322" s="2">
        <v>18.288663252996699</v>
      </c>
      <c r="BV2322" s="2">
        <v>16.2853165996538</v>
      </c>
      <c r="BW2322" s="2">
        <v>18.993225172037899</v>
      </c>
      <c r="BX2322" s="2">
        <v>20.962667919260799</v>
      </c>
      <c r="BY2322" s="2">
        <v>21.689891853638201</v>
      </c>
      <c r="BZ2322" s="2">
        <v>20.368469693698199</v>
      </c>
      <c r="CA2322" s="2">
        <v>20.379534911585601</v>
      </c>
      <c r="CB2322" s="2">
        <v>17.7856858527139</v>
      </c>
      <c r="CC2322" s="2">
        <v>21.945921230451699</v>
      </c>
      <c r="CD2322" s="2">
        <v>20.863670442543199</v>
      </c>
      <c r="CE2322" s="2">
        <v>21.410763016130499</v>
      </c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</row>
    <row r="2323" spans="1:97">
      <c r="A2323" s="2" t="s">
        <v>20053</v>
      </c>
      <c r="B2323" s="2">
        <v>288.00353000000001</v>
      </c>
      <c r="C2323" s="2">
        <v>0.97799999999999998</v>
      </c>
      <c r="D2323" s="2" t="s">
        <v>84</v>
      </c>
      <c r="E2323" s="2" t="s">
        <v>20054</v>
      </c>
      <c r="F2323" s="2" t="s">
        <v>20055</v>
      </c>
      <c r="G2323" s="2">
        <v>82479</v>
      </c>
      <c r="H2323" s="3" t="str">
        <f>HYPERLINK("https://cloud.oebiotech.com/#/lm/network/82479", "https://cloud.oebiotech.com/#/lm/network/82479")</f>
        <v>https://cloud.oebiotech.com/#/lm/network/82479</v>
      </c>
      <c r="I2323" s="2" t="s">
        <v>20056</v>
      </c>
      <c r="J2323" s="2">
        <v>441398</v>
      </c>
      <c r="K2323" s="2"/>
      <c r="L2323" s="2">
        <v>394397</v>
      </c>
      <c r="M2323" s="2"/>
      <c r="N2323" s="2"/>
      <c r="O2323" s="2"/>
      <c r="P2323" s="2"/>
      <c r="Q2323" s="2"/>
      <c r="R2323" s="2"/>
      <c r="S2323" s="2"/>
      <c r="T2323" s="2" t="s">
        <v>20057</v>
      </c>
      <c r="U2323" s="2" t="s">
        <v>20058</v>
      </c>
      <c r="V2323" s="2" t="s">
        <v>385</v>
      </c>
      <c r="W2323" s="2" t="s">
        <v>386</v>
      </c>
      <c r="X2323" s="2" t="s">
        <v>1059</v>
      </c>
      <c r="Y2323" s="2" t="s">
        <v>388</v>
      </c>
      <c r="Z2323" s="2" t="s">
        <v>389</v>
      </c>
      <c r="AA2323" s="2" t="s">
        <v>1060</v>
      </c>
      <c r="AB2323" s="2" t="s">
        <v>8443</v>
      </c>
      <c r="AC2323" s="2">
        <v>37.020000000000003</v>
      </c>
      <c r="AD2323" s="2">
        <v>72.739999999999995</v>
      </c>
      <c r="AE2323" s="2">
        <v>39.57</v>
      </c>
      <c r="AF2323" s="2" t="s">
        <v>20059</v>
      </c>
      <c r="AG2323" s="2" t="s">
        <v>1578</v>
      </c>
      <c r="AH2323" s="2" t="s">
        <v>20060</v>
      </c>
      <c r="AI2323" s="2">
        <v>4.8600000000000003</v>
      </c>
      <c r="AJ2323" s="2">
        <v>21.495686287804102</v>
      </c>
      <c r="AK2323" s="2">
        <v>22.160289316353399</v>
      </c>
      <c r="AL2323" s="2">
        <v>21.961196794187298</v>
      </c>
      <c r="AM2323" s="2">
        <v>21.819708987143201</v>
      </c>
      <c r="AN2323" s="2">
        <v>21.0362535677388</v>
      </c>
      <c r="AO2323" s="2">
        <v>22.295252008021201</v>
      </c>
      <c r="AP2323" s="2">
        <v>21.917679658633801</v>
      </c>
      <c r="AQ2323" s="2">
        <v>22.131827840911399</v>
      </c>
      <c r="AR2323" s="2">
        <v>21.700783329247098</v>
      </c>
      <c r="AS2323" s="2">
        <v>21.860009625781199</v>
      </c>
      <c r="AT2323" s="2">
        <v>22.005332251974099</v>
      </c>
      <c r="AU2323" s="2">
        <v>21.271961612973001</v>
      </c>
      <c r="AV2323" s="2">
        <v>21.847709238804299</v>
      </c>
      <c r="AW2323" s="2">
        <v>21.897407096453399</v>
      </c>
      <c r="AX2323" s="2">
        <v>21.303030624547901</v>
      </c>
      <c r="AY2323" s="2">
        <v>21.8353744652571</v>
      </c>
      <c r="AZ2323" s="2">
        <v>21.925867518126701</v>
      </c>
      <c r="BA2323" s="2">
        <v>21.916215568008901</v>
      </c>
      <c r="BB2323" s="2">
        <v>22.0366496086247</v>
      </c>
      <c r="BC2323" s="2">
        <v>21.616538147005599</v>
      </c>
      <c r="BD2323" s="2">
        <v>22.054370647868801</v>
      </c>
      <c r="BE2323" s="2">
        <v>21.793815209394499</v>
      </c>
      <c r="BF2323" s="2">
        <v>21.893505000684101</v>
      </c>
      <c r="BG2323" s="2">
        <v>21.754637281633901</v>
      </c>
      <c r="BH2323" s="2">
        <v>21.756470439252102</v>
      </c>
      <c r="BI2323" s="2">
        <v>21.808662470665801</v>
      </c>
      <c r="BJ2323" s="2">
        <v>21.8293973860299</v>
      </c>
      <c r="BK2323" s="2">
        <v>21.009250272288</v>
      </c>
      <c r="BL2323" s="2">
        <v>21.011938654082702</v>
      </c>
      <c r="BM2323" s="2">
        <v>21.9637584617698</v>
      </c>
      <c r="BN2323" s="2">
        <v>21.921431032205401</v>
      </c>
      <c r="BO2323" s="2">
        <v>21.7995716109466</v>
      </c>
      <c r="BP2323" s="2">
        <v>21.7613381233217</v>
      </c>
      <c r="BQ2323" s="2">
        <v>21.894767541418599</v>
      </c>
      <c r="BR2323" s="2">
        <v>21.9425901913805</v>
      </c>
      <c r="BS2323" s="2">
        <v>21.696754417111499</v>
      </c>
      <c r="BT2323" s="2">
        <v>21.608255792219701</v>
      </c>
      <c r="BU2323" s="2">
        <v>22.1654865166531</v>
      </c>
      <c r="BV2323" s="2">
        <v>22.019298355744901</v>
      </c>
      <c r="BW2323" s="2">
        <v>22.251625496340498</v>
      </c>
      <c r="BX2323" s="2">
        <v>22.030312841791002</v>
      </c>
      <c r="BY2323" s="2">
        <v>21.672091440631402</v>
      </c>
      <c r="BZ2323" s="2">
        <v>21.910631785062701</v>
      </c>
      <c r="CA2323" s="2">
        <v>21.996054197525801</v>
      </c>
      <c r="CB2323" s="2">
        <v>21.895000832340301</v>
      </c>
      <c r="CC2323" s="2">
        <v>22.029714031444101</v>
      </c>
      <c r="CD2323" s="2">
        <v>21.346364348243998</v>
      </c>
      <c r="CE2323" s="2">
        <v>21.886725588263801</v>
      </c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</row>
    <row r="2324" spans="1:97">
      <c r="A2324" s="2" t="s">
        <v>20061</v>
      </c>
      <c r="B2324" s="2">
        <v>1017.68614</v>
      </c>
      <c r="C2324" s="2">
        <v>10.734</v>
      </c>
      <c r="D2324" s="2" t="s">
        <v>84</v>
      </c>
      <c r="E2324" s="2" t="s">
        <v>20062</v>
      </c>
      <c r="F2324" s="2" t="s">
        <v>20063</v>
      </c>
      <c r="G2324" s="2">
        <v>51915</v>
      </c>
      <c r="H2324" s="3" t="str">
        <f>HYPERLINK("https://cloud.oebiotech.com/#/lm/network/51915", "https://cloud.oebiotech.com/#/lm/network/51915")</f>
        <v>https://cloud.oebiotech.com/#/lm/network/51915</v>
      </c>
      <c r="I2324" s="2" t="s">
        <v>20064</v>
      </c>
      <c r="J2324" s="2">
        <v>62864</v>
      </c>
      <c r="K2324" s="2"/>
      <c r="L2324" s="2">
        <v>25246061</v>
      </c>
      <c r="M2324" s="2"/>
      <c r="N2324" s="2"/>
      <c r="O2324" s="2"/>
      <c r="P2324" s="2">
        <v>84599</v>
      </c>
      <c r="Q2324" s="2"/>
      <c r="R2324" s="2"/>
      <c r="S2324" s="2"/>
      <c r="T2324" s="2" t="s">
        <v>20065</v>
      </c>
      <c r="U2324" s="2" t="s">
        <v>20066</v>
      </c>
      <c r="V2324" s="2" t="s">
        <v>95</v>
      </c>
      <c r="W2324" s="2" t="s">
        <v>180</v>
      </c>
      <c r="X2324" s="2" t="s">
        <v>11006</v>
      </c>
      <c r="Y2324" s="2" t="s">
        <v>98</v>
      </c>
      <c r="Z2324" s="2" t="s">
        <v>182</v>
      </c>
      <c r="AA2324" s="2" t="s">
        <v>11007</v>
      </c>
      <c r="AB2324" s="2" t="s">
        <v>8443</v>
      </c>
      <c r="AC2324" s="2">
        <v>37.020000000000003</v>
      </c>
      <c r="AD2324" s="2">
        <v>89.96</v>
      </c>
      <c r="AE2324" s="2">
        <v>0</v>
      </c>
      <c r="AF2324" s="2" t="s">
        <v>20067</v>
      </c>
      <c r="AG2324" s="2" t="s">
        <v>1578</v>
      </c>
      <c r="AH2324" s="2" t="s">
        <v>20068</v>
      </c>
      <c r="AI2324" s="2">
        <v>-1.97</v>
      </c>
      <c r="AJ2324" s="2">
        <v>22.496778185726299</v>
      </c>
      <c r="AK2324" s="2">
        <v>22.479713352920999</v>
      </c>
      <c r="AL2324" s="2">
        <v>22.437754705721499</v>
      </c>
      <c r="AM2324" s="2">
        <v>22.3942120284579</v>
      </c>
      <c r="AN2324" s="2">
        <v>22.416996125570499</v>
      </c>
      <c r="AO2324" s="2">
        <v>22.4569938881877</v>
      </c>
      <c r="AP2324" s="2">
        <v>22.599632180053</v>
      </c>
      <c r="AQ2324" s="2">
        <v>22.725078398689899</v>
      </c>
      <c r="AR2324" s="2">
        <v>23.055005801705899</v>
      </c>
      <c r="AS2324" s="2">
        <v>20.899026852744601</v>
      </c>
      <c r="AT2324" s="2">
        <v>21.876279582901901</v>
      </c>
      <c r="AU2324" s="2">
        <v>21.8602247308492</v>
      </c>
      <c r="AV2324" s="2">
        <v>21.855086382130501</v>
      </c>
      <c r="AW2324" s="2">
        <v>22.232938782766801</v>
      </c>
      <c r="AX2324" s="2">
        <v>22.500884670427698</v>
      </c>
      <c r="AY2324" s="2">
        <v>21.536278248705301</v>
      </c>
      <c r="AZ2324" s="2">
        <v>22.574686838493001</v>
      </c>
      <c r="BA2324" s="2">
        <v>20.3855418180745</v>
      </c>
      <c r="BB2324" s="2">
        <v>21.935399683468901</v>
      </c>
      <c r="BC2324" s="2">
        <v>23.138978130868399</v>
      </c>
      <c r="BD2324" s="2">
        <v>21.747329573393301</v>
      </c>
      <c r="BE2324" s="2">
        <v>23.165172710523201</v>
      </c>
      <c r="BF2324" s="2">
        <v>22.378183387455699</v>
      </c>
      <c r="BG2324" s="2">
        <v>22.881054707608801</v>
      </c>
      <c r="BH2324" s="2">
        <v>22.102541542036398</v>
      </c>
      <c r="BI2324" s="2">
        <v>22.813874640108001</v>
      </c>
      <c r="BJ2324" s="2">
        <v>21.952334970671799</v>
      </c>
      <c r="BK2324" s="2">
        <v>21.516854995657798</v>
      </c>
      <c r="BL2324" s="2">
        <v>22.429823072949599</v>
      </c>
      <c r="BM2324" s="2">
        <v>22.239063092661802</v>
      </c>
      <c r="BN2324" s="2">
        <v>22.3733116097386</v>
      </c>
      <c r="BO2324" s="2">
        <v>22.201488398388001</v>
      </c>
      <c r="BP2324" s="2">
        <v>22.438450884190999</v>
      </c>
      <c r="BQ2324" s="2">
        <v>22.3287158155462</v>
      </c>
      <c r="BR2324" s="2">
        <v>22.559709383588601</v>
      </c>
      <c r="BS2324" s="2">
        <v>22.785361819926301</v>
      </c>
      <c r="BT2324" s="2">
        <v>22.391325048929499</v>
      </c>
      <c r="BU2324" s="2">
        <v>22.0580288045558</v>
      </c>
      <c r="BV2324" s="2">
        <v>22.313550344522302</v>
      </c>
      <c r="BW2324" s="2">
        <v>21.616863263872499</v>
      </c>
      <c r="BX2324" s="2">
        <v>22.269161398422</v>
      </c>
      <c r="BY2324" s="2">
        <v>23.339608794591701</v>
      </c>
      <c r="BZ2324" s="2">
        <v>22.2385580258102</v>
      </c>
      <c r="CA2324" s="2">
        <v>22.882337062694301</v>
      </c>
      <c r="CB2324" s="2">
        <v>22.596519745340998</v>
      </c>
      <c r="CC2324" s="2">
        <v>21.568964243044199</v>
      </c>
      <c r="CD2324" s="2">
        <v>22.964244784913301</v>
      </c>
      <c r="CE2324" s="2">
        <v>21.1104768293274</v>
      </c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</row>
    <row r="2325" spans="1:97">
      <c r="A2325" s="2" t="s">
        <v>20069</v>
      </c>
      <c r="B2325" s="2">
        <v>417.37684999999999</v>
      </c>
      <c r="C2325" s="2">
        <v>10.119</v>
      </c>
      <c r="D2325" s="2" t="s">
        <v>84</v>
      </c>
      <c r="E2325" s="2" t="s">
        <v>20070</v>
      </c>
      <c r="F2325" s="2" t="s">
        <v>20071</v>
      </c>
      <c r="G2325" s="2">
        <v>37456</v>
      </c>
      <c r="H2325" s="3" t="str">
        <f>HYPERLINK("https://cloud.oebiotech.com/#/lm/network/37456", "https://cloud.oebiotech.com/#/lm/network/37456")</f>
        <v>https://cloud.oebiotech.com/#/lm/network/37456</v>
      </c>
      <c r="I2325" s="2" t="s">
        <v>20072</v>
      </c>
      <c r="J2325" s="2">
        <v>102919</v>
      </c>
      <c r="K2325" s="2" t="s">
        <v>20073</v>
      </c>
      <c r="L2325" s="2">
        <v>92729</v>
      </c>
      <c r="M2325" s="2" t="s">
        <v>20074</v>
      </c>
      <c r="N2325" s="2" t="s">
        <v>6558</v>
      </c>
      <c r="O2325" s="2" t="s">
        <v>6559</v>
      </c>
      <c r="P2325" s="2">
        <v>18185</v>
      </c>
      <c r="Q2325" s="2"/>
      <c r="R2325" s="2"/>
      <c r="S2325" s="2" t="s">
        <v>20075</v>
      </c>
      <c r="T2325" s="2" t="s">
        <v>20076</v>
      </c>
      <c r="U2325" s="2" t="s">
        <v>20077</v>
      </c>
      <c r="V2325" s="2" t="s">
        <v>95</v>
      </c>
      <c r="W2325" s="2" t="s">
        <v>180</v>
      </c>
      <c r="X2325" s="2" t="s">
        <v>8269</v>
      </c>
      <c r="Y2325" s="2" t="s">
        <v>98</v>
      </c>
      <c r="Z2325" s="2" t="s">
        <v>182</v>
      </c>
      <c r="AA2325" s="2" t="s">
        <v>8270</v>
      </c>
      <c r="AB2325" s="2" t="s">
        <v>8443</v>
      </c>
      <c r="AC2325" s="2">
        <v>37.01</v>
      </c>
      <c r="AD2325" s="2">
        <v>96.04</v>
      </c>
      <c r="AE2325" s="2">
        <v>0</v>
      </c>
      <c r="AF2325" s="2" t="s">
        <v>20078</v>
      </c>
      <c r="AG2325" s="2" t="s">
        <v>103</v>
      </c>
      <c r="AH2325" s="2" t="s">
        <v>12604</v>
      </c>
      <c r="AI2325" s="2">
        <v>-9.82</v>
      </c>
      <c r="AJ2325" s="2">
        <v>21.001689771473</v>
      </c>
      <c r="AK2325" s="2">
        <v>20.865991489900502</v>
      </c>
      <c r="AL2325" s="2">
        <v>21.0637612914249</v>
      </c>
      <c r="AM2325" s="2">
        <v>20.910411406456099</v>
      </c>
      <c r="AN2325" s="2">
        <v>20.767655412424901</v>
      </c>
      <c r="AO2325" s="2">
        <v>20.9771558792566</v>
      </c>
      <c r="AP2325" s="2">
        <v>20.9849998913426</v>
      </c>
      <c r="AQ2325" s="2">
        <v>20.956116153636501</v>
      </c>
      <c r="AR2325" s="2">
        <v>20.5837998882952</v>
      </c>
      <c r="AS2325" s="2">
        <v>20.840936072287899</v>
      </c>
      <c r="AT2325" s="2">
        <v>20.8597535180478</v>
      </c>
      <c r="AU2325" s="2">
        <v>20.758046589346598</v>
      </c>
      <c r="AV2325" s="2">
        <v>20.666366982055699</v>
      </c>
      <c r="AW2325" s="2">
        <v>20.9399944518964</v>
      </c>
      <c r="AX2325" s="2">
        <v>20.7203104750512</v>
      </c>
      <c r="AY2325" s="2">
        <v>20.750639320694301</v>
      </c>
      <c r="AZ2325" s="2">
        <v>20.789984981709299</v>
      </c>
      <c r="BA2325" s="2">
        <v>20.837104111270602</v>
      </c>
      <c r="BB2325" s="2">
        <v>20.801317355027699</v>
      </c>
      <c r="BC2325" s="2">
        <v>20.805368934922701</v>
      </c>
      <c r="BD2325" s="2">
        <v>20.6966249320575</v>
      </c>
      <c r="BE2325" s="2">
        <v>20.815800505324901</v>
      </c>
      <c r="BF2325" s="2">
        <v>20.933708438735</v>
      </c>
      <c r="BG2325" s="2">
        <v>20.799402027669998</v>
      </c>
      <c r="BH2325" s="2">
        <v>20.912764906425899</v>
      </c>
      <c r="BI2325" s="2">
        <v>20.6348881910377</v>
      </c>
      <c r="BJ2325" s="2">
        <v>20.588986149141501</v>
      </c>
      <c r="BK2325" s="2">
        <v>20.7983535720033</v>
      </c>
      <c r="BL2325" s="2">
        <v>20.769949734851501</v>
      </c>
      <c r="BM2325" s="2">
        <v>20.2073224295271</v>
      </c>
      <c r="BN2325" s="2">
        <v>20.645003875021601</v>
      </c>
      <c r="BO2325" s="2">
        <v>20.831896905051501</v>
      </c>
      <c r="BP2325" s="2">
        <v>20.624176592905101</v>
      </c>
      <c r="BQ2325" s="2">
        <v>20.802627619901799</v>
      </c>
      <c r="BR2325" s="2">
        <v>20.4500277294025</v>
      </c>
      <c r="BS2325" s="2">
        <v>20.588279527379498</v>
      </c>
      <c r="BT2325" s="2">
        <v>20.333804578616402</v>
      </c>
      <c r="BU2325" s="2">
        <v>20.681732396844701</v>
      </c>
      <c r="BV2325" s="2">
        <v>20.815273731932301</v>
      </c>
      <c r="BW2325" s="2">
        <v>20.674950933452699</v>
      </c>
      <c r="BX2325" s="2">
        <v>20.4250376149324</v>
      </c>
      <c r="BY2325" s="2">
        <v>20.5923082483848</v>
      </c>
      <c r="BZ2325" s="2">
        <v>20.753388318913199</v>
      </c>
      <c r="CA2325" s="2">
        <v>20.714323658176799</v>
      </c>
      <c r="CB2325" s="2">
        <v>20.7330751275647</v>
      </c>
      <c r="CC2325" s="2">
        <v>20.445583067199902</v>
      </c>
      <c r="CD2325" s="2">
        <v>20.606832278365498</v>
      </c>
      <c r="CE2325" s="2">
        <v>20.312288012004799</v>
      </c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</row>
    <row r="2326" spans="1:97">
      <c r="A2326" s="2" t="s">
        <v>20079</v>
      </c>
      <c r="B2326" s="2">
        <v>382.14440999999999</v>
      </c>
      <c r="C2326" s="2">
        <v>12.58</v>
      </c>
      <c r="D2326" s="2" t="s">
        <v>146</v>
      </c>
      <c r="E2326" s="2" t="s">
        <v>20080</v>
      </c>
      <c r="F2326" s="2" t="s">
        <v>20081</v>
      </c>
      <c r="G2326" s="2">
        <v>213024</v>
      </c>
      <c r="H2326" s="3" t="str">
        <f>HYPERLINK("https://cloud.oebiotech.com/#/lm/network/213024", "https://cloud.oebiotech.com/#/lm/network/213024")</f>
        <v>https://cloud.oebiotech.com/#/lm/network/213024</v>
      </c>
      <c r="I2326" s="2" t="s">
        <v>20082</v>
      </c>
      <c r="J2326" s="2">
        <v>314578</v>
      </c>
      <c r="K2326" s="2"/>
      <c r="L2326" s="2">
        <v>47979</v>
      </c>
      <c r="M2326" s="2"/>
      <c r="N2326" s="2"/>
      <c r="O2326" s="2"/>
      <c r="P2326" s="2"/>
      <c r="Q2326" s="2"/>
      <c r="R2326" s="2"/>
      <c r="S2326" s="2"/>
      <c r="T2326" s="2" t="s">
        <v>20083</v>
      </c>
      <c r="U2326" s="2" t="s">
        <v>20084</v>
      </c>
      <c r="V2326" s="2" t="s">
        <v>385</v>
      </c>
      <c r="W2326" s="2" t="s">
        <v>386</v>
      </c>
      <c r="X2326" s="2" t="s">
        <v>13266</v>
      </c>
      <c r="Y2326" s="2" t="s">
        <v>388</v>
      </c>
      <c r="Z2326" s="2" t="s">
        <v>389</v>
      </c>
      <c r="AA2326" s="2" t="s">
        <v>13267</v>
      </c>
      <c r="AB2326" s="2" t="s">
        <v>8443</v>
      </c>
      <c r="AC2326" s="2">
        <v>37.01</v>
      </c>
      <c r="AD2326" s="2">
        <v>85.03</v>
      </c>
      <c r="AE2326" s="2">
        <v>0</v>
      </c>
      <c r="AF2326" s="2" t="s">
        <v>5614</v>
      </c>
      <c r="AG2326" s="2" t="s">
        <v>194</v>
      </c>
      <c r="AH2326" s="2" t="s">
        <v>20085</v>
      </c>
      <c r="AI2326" s="2">
        <v>-0.52</v>
      </c>
      <c r="AJ2326" s="2">
        <v>17.4159967884361</v>
      </c>
      <c r="AK2326" s="2">
        <v>16.865018052067299</v>
      </c>
      <c r="AL2326" s="2">
        <v>16.5914395096082</v>
      </c>
      <c r="AM2326" s="2">
        <v>16.480396725313099</v>
      </c>
      <c r="AN2326" s="2">
        <v>17.16038652116</v>
      </c>
      <c r="AO2326" s="2">
        <v>16.225705650182299</v>
      </c>
      <c r="AP2326" s="2">
        <v>17.226863811035201</v>
      </c>
      <c r="AQ2326" s="2">
        <v>17.083554119490898</v>
      </c>
      <c r="AR2326" s="2">
        <v>15.3602874513383</v>
      </c>
      <c r="AS2326" s="2">
        <v>16.8454118865107</v>
      </c>
      <c r="AT2326" s="2">
        <v>16.424282768090499</v>
      </c>
      <c r="AU2326" s="2">
        <v>16.7083327520584</v>
      </c>
      <c r="AV2326" s="2">
        <v>15.8899887096341</v>
      </c>
      <c r="AW2326" s="2">
        <v>16.1107204361798</v>
      </c>
      <c r="AX2326" s="2">
        <v>16.646948890420799</v>
      </c>
      <c r="AY2326" s="2">
        <v>15.656826766354</v>
      </c>
      <c r="AZ2326" s="2">
        <v>14.462435171914199</v>
      </c>
      <c r="BA2326" s="2">
        <v>16.484837681055499</v>
      </c>
      <c r="BB2326" s="2">
        <v>15.8696176984032</v>
      </c>
      <c r="BC2326" s="2">
        <v>16.258078121732101</v>
      </c>
      <c r="BD2326" s="2">
        <v>13.6465553351622</v>
      </c>
      <c r="BE2326" s="2">
        <v>14.970705390657599</v>
      </c>
      <c r="BF2326" s="2">
        <v>16.541882500614602</v>
      </c>
      <c r="BG2326" s="2">
        <v>16.852770027931999</v>
      </c>
      <c r="BH2326" s="2">
        <v>15.062210186032001</v>
      </c>
      <c r="BI2326" s="2">
        <v>16.803961567183499</v>
      </c>
      <c r="BJ2326" s="2">
        <v>15.7549895120409</v>
      </c>
      <c r="BK2326" s="2">
        <v>15.663596461428501</v>
      </c>
      <c r="BL2326" s="2">
        <v>16.898011676769102</v>
      </c>
      <c r="BM2326" s="2">
        <v>16.019092674591601</v>
      </c>
      <c r="BN2326" s="2">
        <v>15.970706289271201</v>
      </c>
      <c r="BO2326" s="2">
        <v>17.244167298392501</v>
      </c>
      <c r="BP2326" s="2">
        <v>17.360910937793001</v>
      </c>
      <c r="BQ2326" s="2">
        <v>16.916241967211501</v>
      </c>
      <c r="BR2326" s="2">
        <v>17.490203683748</v>
      </c>
      <c r="BS2326" s="2">
        <v>14.8251535786861</v>
      </c>
      <c r="BT2326" s="2">
        <v>16.543988032108999</v>
      </c>
      <c r="BU2326" s="2">
        <v>17.092213819187901</v>
      </c>
      <c r="BV2326" s="2">
        <v>16.9807278960144</v>
      </c>
      <c r="BW2326" s="2">
        <v>16.5842289619006</v>
      </c>
      <c r="BX2326" s="2">
        <v>17.0659718489566</v>
      </c>
      <c r="BY2326" s="2">
        <v>15.2373873732472</v>
      </c>
      <c r="BZ2326" s="2">
        <v>17.231037381417899</v>
      </c>
      <c r="CA2326" s="2">
        <v>16.068753300943399</v>
      </c>
      <c r="CB2326" s="2">
        <v>16.973041467138302</v>
      </c>
      <c r="CC2326" s="2">
        <v>17.420110560437301</v>
      </c>
      <c r="CD2326" s="2">
        <v>16.483855918033001</v>
      </c>
      <c r="CE2326" s="2">
        <v>17.129713366166101</v>
      </c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</row>
    <row r="2327" spans="1:97">
      <c r="A2327" s="2" t="s">
        <v>20086</v>
      </c>
      <c r="B2327" s="2">
        <v>683.25424999999996</v>
      </c>
      <c r="C2327" s="2">
        <v>8.8339999999999996</v>
      </c>
      <c r="D2327" s="2" t="s">
        <v>146</v>
      </c>
      <c r="E2327" s="2" t="s">
        <v>20087</v>
      </c>
      <c r="F2327" s="2" t="s">
        <v>20088</v>
      </c>
      <c r="G2327" s="2">
        <v>54943</v>
      </c>
      <c r="H2327" s="3" t="str">
        <f>HYPERLINK("https://cloud.oebiotech.com/#/lm/network/54943", "https://cloud.oebiotech.com/#/lm/network/54943")</f>
        <v>https://cloud.oebiotech.com/#/lm/network/54943</v>
      </c>
      <c r="I2327" s="2" t="s">
        <v>20089</v>
      </c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 t="s">
        <v>20090</v>
      </c>
      <c r="U2327" s="2" t="s">
        <v>20091</v>
      </c>
      <c r="V2327" s="2" t="s">
        <v>338</v>
      </c>
      <c r="W2327" s="2" t="s">
        <v>339</v>
      </c>
      <c r="X2327" s="2" t="s">
        <v>340</v>
      </c>
      <c r="Y2327" s="2" t="s">
        <v>341</v>
      </c>
      <c r="Z2327" s="2" t="s">
        <v>341</v>
      </c>
      <c r="AA2327" s="2" t="s">
        <v>342</v>
      </c>
      <c r="AB2327" s="2" t="s">
        <v>8443</v>
      </c>
      <c r="AC2327" s="2">
        <v>37.01</v>
      </c>
      <c r="AD2327" s="2">
        <v>91.04</v>
      </c>
      <c r="AE2327" s="2">
        <v>0</v>
      </c>
      <c r="AF2327" s="2" t="s">
        <v>20092</v>
      </c>
      <c r="AG2327" s="2" t="s">
        <v>3880</v>
      </c>
      <c r="AH2327" s="2" t="s">
        <v>20093</v>
      </c>
      <c r="AI2327" s="2">
        <v>2.2000000000000002</v>
      </c>
      <c r="AJ2327" s="2">
        <v>21.113030524287399</v>
      </c>
      <c r="AK2327" s="2">
        <v>21.163818474018701</v>
      </c>
      <c r="AL2327" s="2">
        <v>21.1865356876202</v>
      </c>
      <c r="AM2327" s="2">
        <v>20.694964624646499</v>
      </c>
      <c r="AN2327" s="2">
        <v>21.0984730624299</v>
      </c>
      <c r="AO2327" s="2">
        <v>21.149225577724302</v>
      </c>
      <c r="AP2327" s="2">
        <v>19.8216311096038</v>
      </c>
      <c r="AQ2327" s="2">
        <v>21.0411818306575</v>
      </c>
      <c r="AR2327" s="2">
        <v>19.853856783176099</v>
      </c>
      <c r="AS2327" s="2">
        <v>20.6262449656627</v>
      </c>
      <c r="AT2327" s="2">
        <v>21.123475619196999</v>
      </c>
      <c r="AU2327" s="2">
        <v>21.183707434956698</v>
      </c>
      <c r="AV2327" s="2">
        <v>20.7052656687035</v>
      </c>
      <c r="AW2327" s="2">
        <v>21.1666080808975</v>
      </c>
      <c r="AX2327" s="2">
        <v>21.1175151550385</v>
      </c>
      <c r="AY2327" s="2">
        <v>21.272084830883902</v>
      </c>
      <c r="AZ2327" s="2">
        <v>20.817046490505899</v>
      </c>
      <c r="BA2327" s="2">
        <v>20.748684817693</v>
      </c>
      <c r="BB2327" s="2">
        <v>21.164208078436602</v>
      </c>
      <c r="BC2327" s="2">
        <v>20.481973058519401</v>
      </c>
      <c r="BD2327" s="2">
        <v>21.211099919057101</v>
      </c>
      <c r="BE2327" s="2">
        <v>21.275633150200601</v>
      </c>
      <c r="BF2327" s="2">
        <v>19.6186972329855</v>
      </c>
      <c r="BG2327" s="2">
        <v>20.7069995696096</v>
      </c>
      <c r="BH2327" s="2">
        <v>21.298237934318099</v>
      </c>
      <c r="BI2327" s="2">
        <v>21.141784805042601</v>
      </c>
      <c r="BJ2327" s="2">
        <v>20.563889493422199</v>
      </c>
      <c r="BK2327" s="2">
        <v>20.826415366638301</v>
      </c>
      <c r="BL2327" s="2">
        <v>20.4129681549758</v>
      </c>
      <c r="BM2327" s="2">
        <v>21.2472191041279</v>
      </c>
      <c r="BN2327" s="2">
        <v>20.8721698260706</v>
      </c>
      <c r="BO2327" s="2">
        <v>20.842116239771698</v>
      </c>
      <c r="BP2327" s="2">
        <v>20.4547620416133</v>
      </c>
      <c r="BQ2327" s="2">
        <v>20.874014581852901</v>
      </c>
      <c r="BR2327" s="2">
        <v>20.4989120449948</v>
      </c>
      <c r="BS2327" s="2">
        <v>21.006737438038201</v>
      </c>
      <c r="BT2327" s="2">
        <v>19.843034256357601</v>
      </c>
      <c r="BU2327" s="2">
        <v>20.526897482235899</v>
      </c>
      <c r="BV2327" s="2">
        <v>21.011265862638702</v>
      </c>
      <c r="BW2327" s="2">
        <v>20.4754346161481</v>
      </c>
      <c r="BX2327" s="2">
        <v>21.05831831906</v>
      </c>
      <c r="BY2327" s="2">
        <v>20.586163430266101</v>
      </c>
      <c r="BZ2327" s="2">
        <v>21.272676014240002</v>
      </c>
      <c r="CA2327" s="2">
        <v>21.100751783550798</v>
      </c>
      <c r="CB2327" s="2">
        <v>20.961540640014601</v>
      </c>
      <c r="CC2327" s="2">
        <v>21.090972582862399</v>
      </c>
      <c r="CD2327" s="2">
        <v>20.6372331787035</v>
      </c>
      <c r="CE2327" s="2">
        <v>20.921298517268301</v>
      </c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</row>
    <row r="2328" spans="1:97">
      <c r="A2328" s="2" t="s">
        <v>20094</v>
      </c>
      <c r="B2328" s="2">
        <v>403.03395999999998</v>
      </c>
      <c r="C2328" s="2">
        <v>0.66100000000000003</v>
      </c>
      <c r="D2328" s="2" t="s">
        <v>146</v>
      </c>
      <c r="E2328" s="2" t="s">
        <v>20095</v>
      </c>
      <c r="F2328" s="2" t="s">
        <v>20096</v>
      </c>
      <c r="G2328" s="2">
        <v>64276</v>
      </c>
      <c r="H2328" s="3" t="str">
        <f>HYPERLINK("https://cloud.oebiotech.com/#/lm/network/64276", "https://cloud.oebiotech.com/#/lm/network/64276")</f>
        <v>https://cloud.oebiotech.com/#/lm/network/64276</v>
      </c>
      <c r="I2328" s="2" t="s">
        <v>20097</v>
      </c>
      <c r="J2328" s="2">
        <v>95595</v>
      </c>
      <c r="K2328" s="2"/>
      <c r="L2328" s="2">
        <v>131753055</v>
      </c>
      <c r="M2328" s="2"/>
      <c r="N2328" s="2"/>
      <c r="O2328" s="2"/>
      <c r="P2328" s="2">
        <v>169044</v>
      </c>
      <c r="Q2328" s="2"/>
      <c r="R2328" s="2"/>
      <c r="S2328" s="2"/>
      <c r="T2328" s="2" t="s">
        <v>20098</v>
      </c>
      <c r="U2328" s="2" t="s">
        <v>20099</v>
      </c>
      <c r="V2328" s="2" t="s">
        <v>845</v>
      </c>
      <c r="W2328" s="2" t="s">
        <v>970</v>
      </c>
      <c r="X2328" s="2" t="s">
        <v>971</v>
      </c>
      <c r="Y2328" s="2" t="s">
        <v>847</v>
      </c>
      <c r="Z2328" s="2" t="s">
        <v>972</v>
      </c>
      <c r="AA2328" s="2" t="s">
        <v>973</v>
      </c>
      <c r="AB2328" s="2" t="s">
        <v>8443</v>
      </c>
      <c r="AC2328" s="2">
        <v>37</v>
      </c>
      <c r="AD2328" s="2">
        <v>86.22</v>
      </c>
      <c r="AE2328" s="2">
        <v>0</v>
      </c>
      <c r="AF2328" s="2" t="s">
        <v>20100</v>
      </c>
      <c r="AG2328" s="2" t="s">
        <v>993</v>
      </c>
      <c r="AH2328" s="2" t="s">
        <v>20101</v>
      </c>
      <c r="AI2328" s="2">
        <v>-1.24</v>
      </c>
      <c r="AJ2328" s="2">
        <v>21.1186626459852</v>
      </c>
      <c r="AK2328" s="2">
        <v>21.348430621505798</v>
      </c>
      <c r="AL2328" s="2">
        <v>21.145786537432301</v>
      </c>
      <c r="AM2328" s="2">
        <v>21.2592027654722</v>
      </c>
      <c r="AN2328" s="2">
        <v>21.216582981072602</v>
      </c>
      <c r="AO2328" s="2">
        <v>21.358844005243299</v>
      </c>
      <c r="AP2328" s="2">
        <v>21.160170249854399</v>
      </c>
      <c r="AQ2328" s="2">
        <v>21.276034688522699</v>
      </c>
      <c r="AR2328" s="2">
        <v>20.934174873226301</v>
      </c>
      <c r="AS2328" s="2">
        <v>19.3729086221675</v>
      </c>
      <c r="AT2328" s="2">
        <v>20.417831206420001</v>
      </c>
      <c r="AU2328" s="2">
        <v>20.935189068033502</v>
      </c>
      <c r="AV2328" s="2">
        <v>21.1510425292451</v>
      </c>
      <c r="AW2328" s="2">
        <v>20.837128455835099</v>
      </c>
      <c r="AX2328" s="2">
        <v>20.949762155743301</v>
      </c>
      <c r="AY2328" s="2">
        <v>20.6020382245208</v>
      </c>
      <c r="AZ2328" s="2">
        <v>20.981900560329901</v>
      </c>
      <c r="BA2328" s="2">
        <v>20.074736063486199</v>
      </c>
      <c r="BB2328" s="2">
        <v>21.204939967449</v>
      </c>
      <c r="BC2328" s="2">
        <v>21.971990071632099</v>
      </c>
      <c r="BD2328" s="2">
        <v>20.783942082829999</v>
      </c>
      <c r="BE2328" s="2">
        <v>21.373724009804999</v>
      </c>
      <c r="BF2328" s="2">
        <v>20.954010772005699</v>
      </c>
      <c r="BG2328" s="2">
        <v>21.2193751574309</v>
      </c>
      <c r="BH2328" s="2">
        <v>20.9742449538161</v>
      </c>
      <c r="BI2328" s="2">
        <v>21.1767945245779</v>
      </c>
      <c r="BJ2328" s="2">
        <v>21.187459197411201</v>
      </c>
      <c r="BK2328" s="2">
        <v>20.467626265273701</v>
      </c>
      <c r="BL2328" s="2">
        <v>20.382100671875801</v>
      </c>
      <c r="BM2328" s="2">
        <v>22.060562253209401</v>
      </c>
      <c r="BN2328" s="2">
        <v>21.277125505864898</v>
      </c>
      <c r="BO2328" s="2">
        <v>20.4437905094467</v>
      </c>
      <c r="BP2328" s="2">
        <v>20.733985981235701</v>
      </c>
      <c r="BQ2328" s="2">
        <v>20.916639303976002</v>
      </c>
      <c r="BR2328" s="2">
        <v>20.605854975105999</v>
      </c>
      <c r="BS2328" s="2">
        <v>20.527517305628201</v>
      </c>
      <c r="BT2328" s="2">
        <v>21.137820418572701</v>
      </c>
      <c r="BU2328" s="2">
        <v>21.110777163343599</v>
      </c>
      <c r="BV2328" s="2">
        <v>21.414605360831299</v>
      </c>
      <c r="BW2328" s="2">
        <v>20.436036218632498</v>
      </c>
      <c r="BX2328" s="2">
        <v>21.260732600704699</v>
      </c>
      <c r="BY2328" s="2">
        <v>21.517183727475</v>
      </c>
      <c r="BZ2328" s="2">
        <v>21.462581196779901</v>
      </c>
      <c r="CA2328" s="2">
        <v>21.159855585294501</v>
      </c>
      <c r="CB2328" s="2">
        <v>20.142742472693801</v>
      </c>
      <c r="CC2328" s="2">
        <v>20.546157556463601</v>
      </c>
      <c r="CD2328" s="2">
        <v>21.036393253935501</v>
      </c>
      <c r="CE2328" s="2">
        <v>20.2607573481197</v>
      </c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</row>
    <row r="2329" spans="1:97">
      <c r="A2329" s="2" t="s">
        <v>20102</v>
      </c>
      <c r="B2329" s="2">
        <v>673.22491000000002</v>
      </c>
      <c r="C2329" s="2">
        <v>7.0179999999999998</v>
      </c>
      <c r="D2329" s="2" t="s">
        <v>146</v>
      </c>
      <c r="E2329" s="2" t="s">
        <v>20103</v>
      </c>
      <c r="F2329" s="2" t="s">
        <v>20104</v>
      </c>
      <c r="G2329" s="2">
        <v>201472</v>
      </c>
      <c r="H2329" s="3" t="str">
        <f>HYPERLINK("https://cloud.oebiotech.com/#/lm/network/201472", "https://cloud.oebiotech.com/#/lm/network/201472")</f>
        <v>https://cloud.oebiotech.com/#/lm/network/201472</v>
      </c>
      <c r="I2329" s="2" t="s">
        <v>20105</v>
      </c>
      <c r="J2329" s="2"/>
      <c r="K2329" s="2"/>
      <c r="L2329" s="2">
        <v>4390797</v>
      </c>
      <c r="M2329" s="2"/>
      <c r="N2329" s="2"/>
      <c r="O2329" s="2"/>
      <c r="P2329" s="2"/>
      <c r="Q2329" s="2"/>
      <c r="R2329" s="2"/>
      <c r="S2329" s="2"/>
      <c r="T2329" s="2" t="s">
        <v>20106</v>
      </c>
      <c r="U2329" s="2" t="s">
        <v>20107</v>
      </c>
      <c r="V2329" s="2" t="s">
        <v>338</v>
      </c>
      <c r="W2329" s="2" t="s">
        <v>339</v>
      </c>
      <c r="X2329" s="2" t="s">
        <v>663</v>
      </c>
      <c r="Y2329" s="2" t="s">
        <v>341</v>
      </c>
      <c r="Z2329" s="2" t="s">
        <v>341</v>
      </c>
      <c r="AA2329" s="2" t="s">
        <v>664</v>
      </c>
      <c r="AB2329" s="2" t="s">
        <v>5118</v>
      </c>
      <c r="AC2329" s="2">
        <v>37</v>
      </c>
      <c r="AD2329" s="2">
        <v>80.06</v>
      </c>
      <c r="AE2329" s="2">
        <v>60.47</v>
      </c>
      <c r="AF2329" s="2" t="s">
        <v>20108</v>
      </c>
      <c r="AG2329" s="2" t="s">
        <v>194</v>
      </c>
      <c r="AH2329" s="2" t="s">
        <v>20109</v>
      </c>
      <c r="AI2329" s="2">
        <v>8.91</v>
      </c>
      <c r="AJ2329" s="2">
        <v>18.019712934862099</v>
      </c>
      <c r="AK2329" s="2">
        <v>17.713657021747299</v>
      </c>
      <c r="AL2329" s="2">
        <v>17.609781418857299</v>
      </c>
      <c r="AM2329" s="2">
        <v>17.558763737090999</v>
      </c>
      <c r="AN2329" s="2">
        <v>17.847138847835101</v>
      </c>
      <c r="AO2329" s="2">
        <v>17.859690558754501</v>
      </c>
      <c r="AP2329" s="2">
        <v>17.787555397181102</v>
      </c>
      <c r="AQ2329" s="2">
        <v>17.722716759640299</v>
      </c>
      <c r="AR2329" s="2">
        <v>16.125980443474599</v>
      </c>
      <c r="AS2329" s="2">
        <v>17.237659052196701</v>
      </c>
      <c r="AT2329" s="2">
        <v>18.811576360423601</v>
      </c>
      <c r="AU2329" s="2">
        <v>16.180999443944302</v>
      </c>
      <c r="AV2329" s="2">
        <v>17.669340185527702</v>
      </c>
      <c r="AW2329" s="2">
        <v>17.675837083537498</v>
      </c>
      <c r="AX2329" s="2">
        <v>18.124738411485801</v>
      </c>
      <c r="AY2329" s="2">
        <v>17.920072796604199</v>
      </c>
      <c r="AZ2329" s="2">
        <v>16.4658756481377</v>
      </c>
      <c r="BA2329" s="2">
        <v>17.026042478418599</v>
      </c>
      <c r="BB2329" s="2">
        <v>17.542987249040898</v>
      </c>
      <c r="BC2329" s="2">
        <v>18.9543669283909</v>
      </c>
      <c r="BD2329" s="2">
        <v>15.7222808300053</v>
      </c>
      <c r="BE2329" s="2">
        <v>19.4073511950285</v>
      </c>
      <c r="BF2329" s="2">
        <v>16.564587014529099</v>
      </c>
      <c r="BG2329" s="2">
        <v>18.5581791651028</v>
      </c>
      <c r="BH2329" s="2">
        <v>17.230524776522401</v>
      </c>
      <c r="BI2329" s="2">
        <v>18.2019265190368</v>
      </c>
      <c r="BJ2329" s="2">
        <v>18.587114319756399</v>
      </c>
      <c r="BK2329" s="2">
        <v>16.495441903871001</v>
      </c>
      <c r="BL2329" s="2">
        <v>17.457303759266601</v>
      </c>
      <c r="BM2329" s="2">
        <v>16.208583213905001</v>
      </c>
      <c r="BN2329" s="2">
        <v>17.706822848378401</v>
      </c>
      <c r="BO2329" s="2">
        <v>18.274485990961502</v>
      </c>
      <c r="BP2329" s="2">
        <v>17.8665382682718</v>
      </c>
      <c r="BQ2329" s="2">
        <v>17.496840205258</v>
      </c>
      <c r="BR2329" s="2">
        <v>18.393848685035898</v>
      </c>
      <c r="BS2329" s="2">
        <v>17.487331019799399</v>
      </c>
      <c r="BT2329" s="2">
        <v>16.7064122415395</v>
      </c>
      <c r="BU2329" s="2">
        <v>17.590826046654001</v>
      </c>
      <c r="BV2329" s="2">
        <v>17.633195549655401</v>
      </c>
      <c r="BW2329" s="2">
        <v>17.3069201174442</v>
      </c>
      <c r="BX2329" s="2">
        <v>16.394389338776701</v>
      </c>
      <c r="BY2329" s="2">
        <v>18.311213794179299</v>
      </c>
      <c r="BZ2329" s="2">
        <v>15.9126674056506</v>
      </c>
      <c r="CA2329" s="2">
        <v>17.193516120324102</v>
      </c>
      <c r="CB2329" s="2">
        <v>17.7998895737833</v>
      </c>
      <c r="CC2329" s="2">
        <v>16.700938971995601</v>
      </c>
      <c r="CD2329" s="2">
        <v>18.6085876804317</v>
      </c>
      <c r="CE2329" s="2">
        <v>17.289465630958201</v>
      </c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</row>
    <row r="2330" spans="1:97">
      <c r="A2330" s="2" t="s">
        <v>20110</v>
      </c>
      <c r="B2330" s="2">
        <v>813.61703</v>
      </c>
      <c r="C2330" s="2">
        <v>12.260999999999999</v>
      </c>
      <c r="D2330" s="2" t="s">
        <v>84</v>
      </c>
      <c r="E2330" s="2" t="s">
        <v>20111</v>
      </c>
      <c r="F2330" s="2" t="s">
        <v>20112</v>
      </c>
      <c r="G2330" s="2">
        <v>251281</v>
      </c>
      <c r="H2330" s="3" t="str">
        <f>HYPERLINK("https://cloud.oebiotech.com/#/lm/network/251281", "https://cloud.oebiotech.com/#/lm/network/251281")</f>
        <v>https://cloud.oebiotech.com/#/lm/network/251281</v>
      </c>
      <c r="I2330" s="2" t="s">
        <v>20113</v>
      </c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 t="s">
        <v>20114</v>
      </c>
      <c r="U2330" s="2" t="s">
        <v>20115</v>
      </c>
      <c r="V2330" s="2" t="s">
        <v>95</v>
      </c>
      <c r="W2330" s="2" t="s">
        <v>96</v>
      </c>
      <c r="X2330" s="2" t="s">
        <v>353</v>
      </c>
      <c r="Y2330" s="2" t="s">
        <v>98</v>
      </c>
      <c r="Z2330" s="2" t="s">
        <v>99</v>
      </c>
      <c r="AA2330" s="2" t="s">
        <v>354</v>
      </c>
      <c r="AB2330" s="2" t="s">
        <v>8443</v>
      </c>
      <c r="AC2330" s="2">
        <v>36.99</v>
      </c>
      <c r="AD2330" s="2">
        <v>71.55</v>
      </c>
      <c r="AE2330" s="2">
        <v>0</v>
      </c>
      <c r="AF2330" s="2" t="s">
        <v>5614</v>
      </c>
      <c r="AG2330" s="2" t="s">
        <v>1578</v>
      </c>
      <c r="AH2330" s="2" t="s">
        <v>11182</v>
      </c>
      <c r="AI2330" s="2">
        <v>5.53</v>
      </c>
      <c r="AJ2330" s="2">
        <v>24.6328767265395</v>
      </c>
      <c r="AK2330" s="2">
        <v>24.764065929205401</v>
      </c>
      <c r="AL2330" s="2">
        <v>24.6992019022817</v>
      </c>
      <c r="AM2330" s="2">
        <v>25.0492647135444</v>
      </c>
      <c r="AN2330" s="2">
        <v>24.788612259956299</v>
      </c>
      <c r="AO2330" s="2">
        <v>24.784925922715502</v>
      </c>
      <c r="AP2330" s="2">
        <v>25.129227913830601</v>
      </c>
      <c r="AQ2330" s="2">
        <v>24.775076974057399</v>
      </c>
      <c r="AR2330" s="2">
        <v>23.844160450318601</v>
      </c>
      <c r="AS2330" s="2">
        <v>24.0543123329184</v>
      </c>
      <c r="AT2330" s="2">
        <v>24.3466817341703</v>
      </c>
      <c r="AU2330" s="2">
        <v>24.5423357348221</v>
      </c>
      <c r="AV2330" s="2">
        <v>22.9462240419811</v>
      </c>
      <c r="AW2330" s="2">
        <v>24.555709906819398</v>
      </c>
      <c r="AX2330" s="2">
        <v>24.714345937363401</v>
      </c>
      <c r="AY2330" s="2">
        <v>25.017857952813898</v>
      </c>
      <c r="AZ2330" s="2">
        <v>24.869663149565898</v>
      </c>
      <c r="BA2330" s="2">
        <v>24.802341431497101</v>
      </c>
      <c r="BB2330" s="2">
        <v>24.831770536986902</v>
      </c>
      <c r="BC2330" s="2">
        <v>23.4325688735466</v>
      </c>
      <c r="BD2330" s="2">
        <v>23.542263723264099</v>
      </c>
      <c r="BE2330" s="2">
        <v>24.8966417421884</v>
      </c>
      <c r="BF2330" s="2">
        <v>24.869655699340299</v>
      </c>
      <c r="BG2330" s="2">
        <v>24.8679965633753</v>
      </c>
      <c r="BH2330" s="2">
        <v>24.762738415647</v>
      </c>
      <c r="BI2330" s="2">
        <v>23.209901426682201</v>
      </c>
      <c r="BJ2330" s="2">
        <v>24.4712285768363</v>
      </c>
      <c r="BK2330" s="2">
        <v>24.7360624745228</v>
      </c>
      <c r="BL2330" s="2">
        <v>23.964827263429601</v>
      </c>
      <c r="BM2330" s="2">
        <v>24.328698162462398</v>
      </c>
      <c r="BN2330" s="2">
        <v>24.5234484550068</v>
      </c>
      <c r="BO2330" s="2">
        <v>24.1830667278867</v>
      </c>
      <c r="BP2330" s="2">
        <v>25.268479485166399</v>
      </c>
      <c r="BQ2330" s="2">
        <v>25.3129334106073</v>
      </c>
      <c r="BR2330" s="2">
        <v>24.873356522238701</v>
      </c>
      <c r="BS2330" s="2">
        <v>24.666801462137698</v>
      </c>
      <c r="BT2330" s="2">
        <v>24.859830056441101</v>
      </c>
      <c r="BU2330" s="2">
        <v>23.5013455884229</v>
      </c>
      <c r="BV2330" s="2">
        <v>24.450608398368502</v>
      </c>
      <c r="BW2330" s="2">
        <v>24.920350923471801</v>
      </c>
      <c r="BX2330" s="2">
        <v>24.811947114111099</v>
      </c>
      <c r="BY2330" s="2">
        <v>24.947499366115501</v>
      </c>
      <c r="BZ2330" s="2">
        <v>24.954889129345599</v>
      </c>
      <c r="CA2330" s="2">
        <v>24.817295068993602</v>
      </c>
      <c r="CB2330" s="2">
        <v>24.7601293391252</v>
      </c>
      <c r="CC2330" s="2">
        <v>24.271653533543301</v>
      </c>
      <c r="CD2330" s="2">
        <v>24.922438065470701</v>
      </c>
      <c r="CE2330" s="2">
        <v>24.510143533749002</v>
      </c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</row>
    <row r="2331" spans="1:97">
      <c r="A2331" s="2" t="s">
        <v>20116</v>
      </c>
      <c r="B2331" s="2">
        <v>290.13182</v>
      </c>
      <c r="C2331" s="2">
        <v>10.385999999999999</v>
      </c>
      <c r="D2331" s="2" t="s">
        <v>84</v>
      </c>
      <c r="E2331" s="2" t="s">
        <v>20117</v>
      </c>
      <c r="F2331" s="2" t="s">
        <v>20118</v>
      </c>
      <c r="G2331" s="2">
        <v>209188</v>
      </c>
      <c r="H2331" s="3" t="str">
        <f>HYPERLINK("https://cloud.oebiotech.com/#/lm/network/209188", "https://cloud.oebiotech.com/#/lm/network/209188")</f>
        <v>https://cloud.oebiotech.com/#/lm/network/209188</v>
      </c>
      <c r="I2331" s="2" t="s">
        <v>20119</v>
      </c>
      <c r="J2331" s="2"/>
      <c r="K2331" s="2"/>
      <c r="L2331" s="2">
        <v>129887057</v>
      </c>
      <c r="M2331" s="2"/>
      <c r="N2331" s="2"/>
      <c r="O2331" s="2"/>
      <c r="P2331" s="2"/>
      <c r="Q2331" s="2"/>
      <c r="R2331" s="2"/>
      <c r="S2331" s="2"/>
      <c r="T2331" s="2" t="s">
        <v>20120</v>
      </c>
      <c r="U2331" s="2" t="s">
        <v>20121</v>
      </c>
      <c r="V2331" s="2" t="s">
        <v>553</v>
      </c>
      <c r="W2331" s="2" t="s">
        <v>2781</v>
      </c>
      <c r="X2331" s="2" t="s">
        <v>375</v>
      </c>
      <c r="Y2331" s="2" t="s">
        <v>556</v>
      </c>
      <c r="Z2331" s="2" t="s">
        <v>2782</v>
      </c>
      <c r="AA2331" s="2"/>
      <c r="AB2331" s="2" t="s">
        <v>8443</v>
      </c>
      <c r="AC2331" s="2">
        <v>36.979999999999997</v>
      </c>
      <c r="AD2331" s="2">
        <v>86.8</v>
      </c>
      <c r="AE2331" s="2">
        <v>0</v>
      </c>
      <c r="AF2331" s="2" t="s">
        <v>5614</v>
      </c>
      <c r="AG2331" s="2" t="s">
        <v>132</v>
      </c>
      <c r="AH2331" s="2" t="s">
        <v>20122</v>
      </c>
      <c r="AI2331" s="2">
        <v>1.38</v>
      </c>
      <c r="AJ2331" s="2">
        <v>21.823586365960701</v>
      </c>
      <c r="AK2331" s="2">
        <v>21.626066284722999</v>
      </c>
      <c r="AL2331" s="2">
        <v>21.6362352493393</v>
      </c>
      <c r="AM2331" s="2">
        <v>22.014732076489999</v>
      </c>
      <c r="AN2331" s="2">
        <v>22.084765105551401</v>
      </c>
      <c r="AO2331" s="2">
        <v>21.853082303898798</v>
      </c>
      <c r="AP2331" s="2">
        <v>21.870316216955899</v>
      </c>
      <c r="AQ2331" s="2">
        <v>21.951376228904099</v>
      </c>
      <c r="AR2331" s="2">
        <v>22.005629493291799</v>
      </c>
      <c r="AS2331" s="2">
        <v>21.0589395386245</v>
      </c>
      <c r="AT2331" s="2">
        <v>21.522850807524701</v>
      </c>
      <c r="AU2331" s="2">
        <v>21.8573903735949</v>
      </c>
      <c r="AV2331" s="2">
        <v>21.3525749948152</v>
      </c>
      <c r="AW2331" s="2">
        <v>21.728210895067001</v>
      </c>
      <c r="AX2331" s="2">
        <v>21.985770000952598</v>
      </c>
      <c r="AY2331" s="2">
        <v>21.755129886124401</v>
      </c>
      <c r="AZ2331" s="2">
        <v>21.685615430041398</v>
      </c>
      <c r="BA2331" s="2">
        <v>20.6974452278386</v>
      </c>
      <c r="BB2331" s="2">
        <v>21.651271321597999</v>
      </c>
      <c r="BC2331" s="2">
        <v>20.801250411471901</v>
      </c>
      <c r="BD2331" s="2">
        <v>21.578740349779</v>
      </c>
      <c r="BE2331" s="2">
        <v>22.193182658312999</v>
      </c>
      <c r="BF2331" s="2">
        <v>21.699073120315401</v>
      </c>
      <c r="BG2331" s="2">
        <v>21.621156830398402</v>
      </c>
      <c r="BH2331" s="2">
        <v>22.004339564736501</v>
      </c>
      <c r="BI2331" s="2">
        <v>21.5965639168409</v>
      </c>
      <c r="BJ2331" s="2">
        <v>21.484711968816299</v>
      </c>
      <c r="BK2331" s="2">
        <v>21.269711486344999</v>
      </c>
      <c r="BL2331" s="2">
        <v>21.597129200812301</v>
      </c>
      <c r="BM2331" s="2">
        <v>22.134444827345</v>
      </c>
      <c r="BN2331" s="2">
        <v>22.120245959718901</v>
      </c>
      <c r="BO2331" s="2">
        <v>21.687542206398401</v>
      </c>
      <c r="BP2331" s="2">
        <v>21.6510318238801</v>
      </c>
      <c r="BQ2331" s="2">
        <v>21.765975869045899</v>
      </c>
      <c r="BR2331" s="2">
        <v>22.167639859236601</v>
      </c>
      <c r="BS2331" s="2">
        <v>22.014142216280401</v>
      </c>
      <c r="BT2331" s="2">
        <v>21.810071881489598</v>
      </c>
      <c r="BU2331" s="2">
        <v>21.493355991355799</v>
      </c>
      <c r="BV2331" s="2">
        <v>21.520376114772901</v>
      </c>
      <c r="BW2331" s="2">
        <v>21.391160349697401</v>
      </c>
      <c r="BX2331" s="2">
        <v>21.713380359981301</v>
      </c>
      <c r="BY2331" s="2">
        <v>22.403100767917302</v>
      </c>
      <c r="BZ2331" s="2">
        <v>21.807054013419201</v>
      </c>
      <c r="CA2331" s="2">
        <v>22.051557640191501</v>
      </c>
      <c r="CB2331" s="2">
        <v>21.695267332630799</v>
      </c>
      <c r="CC2331" s="2">
        <v>21.3785906378574</v>
      </c>
      <c r="CD2331" s="2">
        <v>21.827994728834099</v>
      </c>
      <c r="CE2331" s="2">
        <v>21.353788300381702</v>
      </c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</row>
    <row r="2332" spans="1:97">
      <c r="A2332" s="2" t="s">
        <v>20123</v>
      </c>
      <c r="B2332" s="2">
        <v>329.11261000000002</v>
      </c>
      <c r="C2332" s="2">
        <v>7.5250000000000004</v>
      </c>
      <c r="D2332" s="2" t="s">
        <v>84</v>
      </c>
      <c r="E2332" s="2" t="s">
        <v>20124</v>
      </c>
      <c r="F2332" s="2" t="s">
        <v>20125</v>
      </c>
      <c r="G2332" s="2">
        <v>64195</v>
      </c>
      <c r="H2332" s="3" t="str">
        <f>HYPERLINK("https://cloud.oebiotech.com/#/lm/network/64195", "https://cloud.oebiotech.com/#/lm/network/64195")</f>
        <v>https://cloud.oebiotech.com/#/lm/network/64195</v>
      </c>
      <c r="I2332" s="2" t="s">
        <v>20126</v>
      </c>
      <c r="J2332" s="2">
        <v>95520</v>
      </c>
      <c r="K2332" s="2"/>
      <c r="L2332" s="2">
        <v>101680139</v>
      </c>
      <c r="M2332" s="2"/>
      <c r="N2332" s="2"/>
      <c r="O2332" s="2"/>
      <c r="P2332" s="2"/>
      <c r="Q2332" s="2"/>
      <c r="R2332" s="2"/>
      <c r="S2332" s="2" t="s">
        <v>20127</v>
      </c>
      <c r="T2332" s="2" t="s">
        <v>20128</v>
      </c>
      <c r="U2332" s="2" t="s">
        <v>20129</v>
      </c>
      <c r="V2332" s="2" t="s">
        <v>553</v>
      </c>
      <c r="W2332" s="2" t="s">
        <v>1599</v>
      </c>
      <c r="X2332" s="2" t="s">
        <v>11153</v>
      </c>
      <c r="Y2332" s="2" t="s">
        <v>556</v>
      </c>
      <c r="Z2332" s="2" t="s">
        <v>1601</v>
      </c>
      <c r="AA2332" s="2" t="s">
        <v>11154</v>
      </c>
      <c r="AB2332" s="2" t="s">
        <v>8443</v>
      </c>
      <c r="AC2332" s="2">
        <v>36.979999999999997</v>
      </c>
      <c r="AD2332" s="2">
        <v>89</v>
      </c>
      <c r="AE2332" s="2">
        <v>0</v>
      </c>
      <c r="AF2332" s="2" t="s">
        <v>5614</v>
      </c>
      <c r="AG2332" s="2" t="s">
        <v>132</v>
      </c>
      <c r="AH2332" s="2" t="s">
        <v>20130</v>
      </c>
      <c r="AI2332" s="2">
        <v>1.82</v>
      </c>
      <c r="AJ2332" s="2">
        <v>17.5419311128265</v>
      </c>
      <c r="AK2332" s="2">
        <v>17.925150015986301</v>
      </c>
      <c r="AL2332" s="2">
        <v>17.931435835274598</v>
      </c>
      <c r="AM2332" s="2">
        <v>17.601248700496701</v>
      </c>
      <c r="AN2332" s="2">
        <v>17.6511119704377</v>
      </c>
      <c r="AO2332" s="2">
        <v>18.0421743307861</v>
      </c>
      <c r="AP2332" s="2">
        <v>17.8613003736792</v>
      </c>
      <c r="AQ2332" s="2">
        <v>17.779241378111902</v>
      </c>
      <c r="AR2332" s="2">
        <v>16.5854734234373</v>
      </c>
      <c r="AS2332" s="2">
        <v>16.044841903522499</v>
      </c>
      <c r="AT2332" s="2">
        <v>17.8204830867592</v>
      </c>
      <c r="AU2332" s="2">
        <v>15.8241052680221</v>
      </c>
      <c r="AV2332" s="2">
        <v>17.2802880454087</v>
      </c>
      <c r="AW2332" s="2">
        <v>17.336398901091702</v>
      </c>
      <c r="AX2332" s="2">
        <v>17.392314236018599</v>
      </c>
      <c r="AY2332" s="2">
        <v>17.436343844203801</v>
      </c>
      <c r="AZ2332" s="2">
        <v>17.787518858999</v>
      </c>
      <c r="BA2332" s="2">
        <v>16.7158449863309</v>
      </c>
      <c r="BB2332" s="2">
        <v>17.7392453660784</v>
      </c>
      <c r="BC2332" s="2">
        <v>17.953367502114698</v>
      </c>
      <c r="BD2332" s="2">
        <v>17.333858789687799</v>
      </c>
      <c r="BE2332" s="2">
        <v>18.1299245696549</v>
      </c>
      <c r="BF2332" s="2">
        <v>17.278657803419701</v>
      </c>
      <c r="BG2332" s="2">
        <v>17.873630289198498</v>
      </c>
      <c r="BH2332" s="2">
        <v>17.915500885434</v>
      </c>
      <c r="BI2332" s="2">
        <v>18.1657916000993</v>
      </c>
      <c r="BJ2332" s="2">
        <v>17.607394976366098</v>
      </c>
      <c r="BK2332" s="2">
        <v>17.185439075996001</v>
      </c>
      <c r="BL2332" s="2">
        <v>17.0426343991147</v>
      </c>
      <c r="BM2332" s="2">
        <v>17.2186965151073</v>
      </c>
      <c r="BN2332" s="2">
        <v>17.8677688990565</v>
      </c>
      <c r="BO2332" s="2">
        <v>16.0076854164632</v>
      </c>
      <c r="BP2332" s="2">
        <v>17.350944014456299</v>
      </c>
      <c r="BQ2332" s="2">
        <v>17.964816170772401</v>
      </c>
      <c r="BR2332" s="2">
        <v>17.143048033076099</v>
      </c>
      <c r="BS2332" s="2">
        <v>17.660289968724399</v>
      </c>
      <c r="BT2332" s="2">
        <v>17.823267961775102</v>
      </c>
      <c r="BU2332" s="2">
        <v>17.916762940946299</v>
      </c>
      <c r="BV2332" s="2">
        <v>17.902552825818301</v>
      </c>
      <c r="BW2332" s="2">
        <v>16.525214454681901</v>
      </c>
      <c r="BX2332" s="2">
        <v>17.096403442692601</v>
      </c>
      <c r="BY2332" s="2">
        <v>18.6941102700752</v>
      </c>
      <c r="BZ2332" s="2">
        <v>17.7672562970325</v>
      </c>
      <c r="CA2332" s="2">
        <v>17.612992070551901</v>
      </c>
      <c r="CB2332" s="2">
        <v>15.7281062555098</v>
      </c>
      <c r="CC2332" s="2">
        <v>18.2948861685888</v>
      </c>
      <c r="CD2332" s="2">
        <v>17.7113525326493</v>
      </c>
      <c r="CE2332" s="2">
        <v>17.909636474562699</v>
      </c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</row>
    <row r="2333" spans="1:97">
      <c r="A2333" s="2" t="s">
        <v>20131</v>
      </c>
      <c r="B2333" s="2">
        <v>285.00439</v>
      </c>
      <c r="C2333" s="2">
        <v>4.8120000000000003</v>
      </c>
      <c r="D2333" s="2" t="s">
        <v>146</v>
      </c>
      <c r="E2333" s="2" t="s">
        <v>20132</v>
      </c>
      <c r="F2333" s="2" t="s">
        <v>20133</v>
      </c>
      <c r="G2333" s="2">
        <v>255275</v>
      </c>
      <c r="H2333" s="3" t="str">
        <f>HYPERLINK("https://cloud.oebiotech.com/#/lm/network/255275", "https://cloud.oebiotech.com/#/lm/network/255275")</f>
        <v>https://cloud.oebiotech.com/#/lm/network/255275</v>
      </c>
      <c r="I2333" s="2" t="s">
        <v>20134</v>
      </c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 t="s">
        <v>20135</v>
      </c>
      <c r="U2333" s="2" t="s">
        <v>20136</v>
      </c>
      <c r="V2333" s="2" t="s">
        <v>553</v>
      </c>
      <c r="W2333" s="2" t="s">
        <v>19626</v>
      </c>
      <c r="X2333" s="2" t="s">
        <v>375</v>
      </c>
      <c r="Y2333" s="2" t="s">
        <v>556</v>
      </c>
      <c r="Z2333" s="2" t="s">
        <v>19627</v>
      </c>
      <c r="AA2333" s="2"/>
      <c r="AB2333" s="2" t="s">
        <v>8443</v>
      </c>
      <c r="AC2333" s="2">
        <v>36.979999999999997</v>
      </c>
      <c r="AD2333" s="2">
        <v>84.89</v>
      </c>
      <c r="AE2333" s="2">
        <v>0</v>
      </c>
      <c r="AF2333" s="2" t="s">
        <v>5614</v>
      </c>
      <c r="AG2333" s="2" t="s">
        <v>993</v>
      </c>
      <c r="AH2333" s="2" t="s">
        <v>20137</v>
      </c>
      <c r="AI2333" s="2">
        <v>0</v>
      </c>
      <c r="AJ2333" s="2">
        <v>16.900569320493702</v>
      </c>
      <c r="AK2333" s="2">
        <v>16.962746921556299</v>
      </c>
      <c r="AL2333" s="2">
        <v>16.813578548463699</v>
      </c>
      <c r="AM2333" s="2">
        <v>17.134132581066002</v>
      </c>
      <c r="AN2333" s="2">
        <v>16.817919616847799</v>
      </c>
      <c r="AO2333" s="2">
        <v>16.867643615089001</v>
      </c>
      <c r="AP2333" s="2">
        <v>16.841332397185202</v>
      </c>
      <c r="AQ2333" s="2">
        <v>17.0874154978987</v>
      </c>
      <c r="AR2333" s="2">
        <v>14.9045518355399</v>
      </c>
      <c r="AS2333" s="2">
        <v>9.6233145402724691</v>
      </c>
      <c r="AT2333" s="2">
        <v>9.6233145402724691</v>
      </c>
      <c r="AU2333" s="2">
        <v>13.6825809781473</v>
      </c>
      <c r="AV2333" s="2">
        <v>18.660791021053999</v>
      </c>
      <c r="AW2333" s="2">
        <v>16.652801848320902</v>
      </c>
      <c r="AX2333" s="2">
        <v>16.0175326736187</v>
      </c>
      <c r="AY2333" s="2">
        <v>14.6559745094577</v>
      </c>
      <c r="AZ2333" s="2">
        <v>16.131046864712701</v>
      </c>
      <c r="BA2333" s="2">
        <v>9.6233145402724691</v>
      </c>
      <c r="BB2333" s="2">
        <v>13.7865453145429</v>
      </c>
      <c r="BC2333" s="2">
        <v>9.6233145402724691</v>
      </c>
      <c r="BD2333" s="2">
        <v>15.8633439559121</v>
      </c>
      <c r="BE2333" s="2">
        <v>18.987485085483399</v>
      </c>
      <c r="BF2333" s="2">
        <v>16.273020619873201</v>
      </c>
      <c r="BG2333" s="2">
        <v>13.311843375374</v>
      </c>
      <c r="BH2333" s="2">
        <v>17.907445823026698</v>
      </c>
      <c r="BI2333" s="2">
        <v>17.739772963891099</v>
      </c>
      <c r="BJ2333" s="2">
        <v>18.1781819820058</v>
      </c>
      <c r="BK2333" s="2">
        <v>13.006308544448499</v>
      </c>
      <c r="BL2333" s="2">
        <v>16.801449196089699</v>
      </c>
      <c r="BM2333" s="2">
        <v>9.6233145402724691</v>
      </c>
      <c r="BN2333" s="2">
        <v>13.819461625829</v>
      </c>
      <c r="BO2333" s="2">
        <v>9.6233145402724691</v>
      </c>
      <c r="BP2333" s="2">
        <v>18.0693055809292</v>
      </c>
      <c r="BQ2333" s="2">
        <v>16.624105608032998</v>
      </c>
      <c r="BR2333" s="2">
        <v>16.736978978481901</v>
      </c>
      <c r="BS2333" s="2">
        <v>16.813655951836701</v>
      </c>
      <c r="BT2333" s="2">
        <v>16.546997824416401</v>
      </c>
      <c r="BU2333" s="2">
        <v>14.6452565021048</v>
      </c>
      <c r="BV2333" s="2">
        <v>14.1874278560053</v>
      </c>
      <c r="BW2333" s="2">
        <v>9.6233145402724691</v>
      </c>
      <c r="BX2333" s="2">
        <v>16.338375837835802</v>
      </c>
      <c r="BY2333" s="2">
        <v>19.161021678372801</v>
      </c>
      <c r="BZ2333" s="2">
        <v>14.7756149100502</v>
      </c>
      <c r="CA2333" s="2">
        <v>9.6233145402724691</v>
      </c>
      <c r="CB2333" s="2">
        <v>17.002408167634702</v>
      </c>
      <c r="CC2333" s="2">
        <v>12.4119875706429</v>
      </c>
      <c r="CD2333" s="2">
        <v>18.088837710451699</v>
      </c>
      <c r="CE2333" s="2">
        <v>9.6233145402724691</v>
      </c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</row>
    <row r="2334" spans="1:97">
      <c r="A2334" s="2" t="s">
        <v>20138</v>
      </c>
      <c r="B2334" s="2">
        <v>319.10275999999999</v>
      </c>
      <c r="C2334" s="2">
        <v>3.8460000000000001</v>
      </c>
      <c r="D2334" s="2" t="s">
        <v>146</v>
      </c>
      <c r="E2334" s="2" t="s">
        <v>20139</v>
      </c>
      <c r="F2334" s="2" t="s">
        <v>20140</v>
      </c>
      <c r="G2334" s="2">
        <v>200098</v>
      </c>
      <c r="H2334" s="3" t="str">
        <f>HYPERLINK("https://cloud.oebiotech.com/#/lm/network/200098", "https://cloud.oebiotech.com/#/lm/network/200098")</f>
        <v>https://cloud.oebiotech.com/#/lm/network/200098</v>
      </c>
      <c r="I2334" s="2" t="s">
        <v>20141</v>
      </c>
      <c r="J2334" s="2"/>
      <c r="K2334" s="2"/>
      <c r="L2334" s="2">
        <v>8879</v>
      </c>
      <c r="M2334" s="2"/>
      <c r="N2334" s="2"/>
      <c r="O2334" s="2"/>
      <c r="P2334" s="2"/>
      <c r="Q2334" s="2"/>
      <c r="R2334" s="2"/>
      <c r="S2334" s="2"/>
      <c r="T2334" s="2" t="s">
        <v>20142</v>
      </c>
      <c r="U2334" s="2" t="s">
        <v>20143</v>
      </c>
      <c r="V2334" s="2" t="s">
        <v>115</v>
      </c>
      <c r="W2334" s="2" t="s">
        <v>5480</v>
      </c>
      <c r="X2334" s="2" t="s">
        <v>20144</v>
      </c>
      <c r="Y2334" s="2" t="s">
        <v>118</v>
      </c>
      <c r="Z2334" s="2" t="s">
        <v>5482</v>
      </c>
      <c r="AA2334" s="2" t="s">
        <v>20145</v>
      </c>
      <c r="AB2334" s="2" t="s">
        <v>8443</v>
      </c>
      <c r="AC2334" s="2">
        <v>36.979999999999997</v>
      </c>
      <c r="AD2334" s="2">
        <v>90.84</v>
      </c>
      <c r="AE2334" s="2">
        <v>0</v>
      </c>
      <c r="AF2334" s="2" t="s">
        <v>5614</v>
      </c>
      <c r="AG2334" s="2" t="s">
        <v>157</v>
      </c>
      <c r="AH2334" s="2" t="s">
        <v>20146</v>
      </c>
      <c r="AI2334" s="2">
        <v>2.19</v>
      </c>
      <c r="AJ2334" s="2">
        <v>16.2669834047819</v>
      </c>
      <c r="AK2334" s="2">
        <v>16.4489927126256</v>
      </c>
      <c r="AL2334" s="2">
        <v>16.674516153906101</v>
      </c>
      <c r="AM2334" s="2">
        <v>15.546824842868199</v>
      </c>
      <c r="AN2334" s="2">
        <v>16.380499621220999</v>
      </c>
      <c r="AO2334" s="2">
        <v>15.979718358118401</v>
      </c>
      <c r="AP2334" s="2">
        <v>16.020318060096901</v>
      </c>
      <c r="AQ2334" s="2">
        <v>16.441076248248201</v>
      </c>
      <c r="AR2334" s="2">
        <v>16.468174403323001</v>
      </c>
      <c r="AS2334" s="2">
        <v>14.285401496358499</v>
      </c>
      <c r="AT2334" s="2">
        <v>15.292636540829101</v>
      </c>
      <c r="AU2334" s="2">
        <v>16.244524204120701</v>
      </c>
      <c r="AV2334" s="2">
        <v>15.614859062866101</v>
      </c>
      <c r="AW2334" s="2">
        <v>16.134242802938399</v>
      </c>
      <c r="AX2334" s="2">
        <v>15.1531276472247</v>
      </c>
      <c r="AY2334" s="2">
        <v>17.1506639903529</v>
      </c>
      <c r="AZ2334" s="2">
        <v>15.298917446376</v>
      </c>
      <c r="BA2334" s="2">
        <v>15.4347093378623</v>
      </c>
      <c r="BB2334" s="2">
        <v>16.137843296438898</v>
      </c>
      <c r="BC2334" s="2">
        <v>16.328857916988699</v>
      </c>
      <c r="BD2334" s="2">
        <v>13.5136807224041</v>
      </c>
      <c r="BE2334" s="2">
        <v>14.9879545459215</v>
      </c>
      <c r="BF2334" s="2">
        <v>15.322265834781</v>
      </c>
      <c r="BG2334" s="2">
        <v>15.2038916644061</v>
      </c>
      <c r="BH2334" s="2">
        <v>17.3866599147808</v>
      </c>
      <c r="BI2334" s="2">
        <v>15.660181455838901</v>
      </c>
      <c r="BJ2334" s="2">
        <v>15.7842547488065</v>
      </c>
      <c r="BK2334" s="2">
        <v>12.959061918656699</v>
      </c>
      <c r="BL2334" s="2">
        <v>15.337466502880501</v>
      </c>
      <c r="BM2334" s="2">
        <v>16.9010338598668</v>
      </c>
      <c r="BN2334" s="2">
        <v>15.1864272796886</v>
      </c>
      <c r="BO2334" s="2">
        <v>15.360830627488401</v>
      </c>
      <c r="BP2334" s="2">
        <v>15.1252879395752</v>
      </c>
      <c r="BQ2334" s="2">
        <v>16.306404765899799</v>
      </c>
      <c r="BR2334" s="2">
        <v>15.602937748116201</v>
      </c>
      <c r="BS2334" s="2">
        <v>16.670500105440698</v>
      </c>
      <c r="BT2334" s="2">
        <v>14.1970715253709</v>
      </c>
      <c r="BU2334" s="2">
        <v>15.7325445359553</v>
      </c>
      <c r="BV2334" s="2">
        <v>17.706561713797999</v>
      </c>
      <c r="BW2334" s="2">
        <v>12.416876678417999</v>
      </c>
      <c r="BX2334" s="2">
        <v>14.8717353799584</v>
      </c>
      <c r="BY2334" s="2">
        <v>17.045627431025899</v>
      </c>
      <c r="BZ2334" s="2">
        <v>15.2170947451377</v>
      </c>
      <c r="CA2334" s="2">
        <v>15.1874831440095</v>
      </c>
      <c r="CB2334" s="2">
        <v>15.8764886487451</v>
      </c>
      <c r="CC2334" s="2">
        <v>14.4214435743234</v>
      </c>
      <c r="CD2334" s="2">
        <v>16.8106725435531</v>
      </c>
      <c r="CE2334" s="2">
        <v>16.0224163644484</v>
      </c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</row>
    <row r="2335" spans="1:97">
      <c r="A2335" s="2" t="s">
        <v>20147</v>
      </c>
      <c r="B2335" s="2">
        <v>397.10752000000002</v>
      </c>
      <c r="C2335" s="2">
        <v>9.8460000000000001</v>
      </c>
      <c r="D2335" s="2" t="s">
        <v>146</v>
      </c>
      <c r="E2335" s="2" t="s">
        <v>20148</v>
      </c>
      <c r="F2335" s="2" t="s">
        <v>20149</v>
      </c>
      <c r="G2335" s="2">
        <v>547693</v>
      </c>
      <c r="H2335" s="3" t="str">
        <f>HYPERLINK("https://cloud.oebiotech.com/#/lm/network/547693", "https://cloud.oebiotech.com/#/lm/network/547693")</f>
        <v>https://cloud.oebiotech.com/#/lm/network/547693</v>
      </c>
      <c r="I2335" s="2"/>
      <c r="J2335" s="2"/>
      <c r="K2335" s="2"/>
      <c r="L2335" s="2">
        <v>445702</v>
      </c>
      <c r="M2335" s="2" t="s">
        <v>20150</v>
      </c>
      <c r="N2335" s="2"/>
      <c r="O2335" s="2"/>
      <c r="P2335" s="2"/>
      <c r="Q2335" s="2"/>
      <c r="R2335" s="2"/>
      <c r="S2335" s="2"/>
      <c r="T2335" s="2" t="s">
        <v>20151</v>
      </c>
      <c r="U2335" s="2" t="s">
        <v>20152</v>
      </c>
      <c r="V2335" s="2" t="s">
        <v>115</v>
      </c>
      <c r="W2335" s="2" t="s">
        <v>116</v>
      </c>
      <c r="X2335" s="2" t="s">
        <v>117</v>
      </c>
      <c r="Y2335" s="2" t="s">
        <v>118</v>
      </c>
      <c r="Z2335" s="2" t="s">
        <v>119</v>
      </c>
      <c r="AA2335" s="2" t="s">
        <v>120</v>
      </c>
      <c r="AB2335" s="2" t="s">
        <v>8443</v>
      </c>
      <c r="AC2335" s="2">
        <v>36.979999999999997</v>
      </c>
      <c r="AD2335" s="2">
        <v>84.91</v>
      </c>
      <c r="AE2335" s="2">
        <v>0</v>
      </c>
      <c r="AF2335" s="2" t="s">
        <v>5614</v>
      </c>
      <c r="AG2335" s="2" t="s">
        <v>157</v>
      </c>
      <c r="AH2335" s="2" t="s">
        <v>20153</v>
      </c>
      <c r="AI2335" s="2">
        <v>0</v>
      </c>
      <c r="AJ2335" s="2">
        <v>17.629190960214999</v>
      </c>
      <c r="AK2335" s="2">
        <v>17.126894697160399</v>
      </c>
      <c r="AL2335" s="2">
        <v>17.403049815243801</v>
      </c>
      <c r="AM2335" s="2">
        <v>17.358938657121598</v>
      </c>
      <c r="AN2335" s="2">
        <v>17.268203691924899</v>
      </c>
      <c r="AO2335" s="2">
        <v>17.669498046460301</v>
      </c>
      <c r="AP2335" s="2">
        <v>17.367921561064598</v>
      </c>
      <c r="AQ2335" s="2">
        <v>17.3252027556955</v>
      </c>
      <c r="AR2335" s="2">
        <v>17.4258108103582</v>
      </c>
      <c r="AS2335" s="2">
        <v>17.744638682666601</v>
      </c>
      <c r="AT2335" s="2">
        <v>17.463146280413302</v>
      </c>
      <c r="AU2335" s="2">
        <v>16.7117806877772</v>
      </c>
      <c r="AV2335" s="2">
        <v>17.389328841667901</v>
      </c>
      <c r="AW2335" s="2">
        <v>17.459049969303098</v>
      </c>
      <c r="AX2335" s="2">
        <v>17.483224082973798</v>
      </c>
      <c r="AY2335" s="2">
        <v>17.589257959127099</v>
      </c>
      <c r="AZ2335" s="2">
        <v>16.1269978130554</v>
      </c>
      <c r="BA2335" s="2">
        <v>17.382788566152001</v>
      </c>
      <c r="BB2335" s="2">
        <v>17.157243202397101</v>
      </c>
      <c r="BC2335" s="2">
        <v>17.204998521374399</v>
      </c>
      <c r="BD2335" s="2">
        <v>17.4584416996762</v>
      </c>
      <c r="BE2335" s="2">
        <v>17.3122108773021</v>
      </c>
      <c r="BF2335" s="2">
        <v>17.457988233819702</v>
      </c>
      <c r="BG2335" s="2">
        <v>17.256765406236202</v>
      </c>
      <c r="BH2335" s="2">
        <v>17.446236195191702</v>
      </c>
      <c r="BI2335" s="2">
        <v>16.706211751722201</v>
      </c>
      <c r="BJ2335" s="2">
        <v>16.942293763625401</v>
      </c>
      <c r="BK2335" s="2">
        <v>17.487316022986199</v>
      </c>
      <c r="BL2335" s="2">
        <v>17.320844522069599</v>
      </c>
      <c r="BM2335" s="2">
        <v>17.375694836885799</v>
      </c>
      <c r="BN2335" s="2">
        <v>18.181715068798201</v>
      </c>
      <c r="BO2335" s="2">
        <v>17.3826404053933</v>
      </c>
      <c r="BP2335" s="2">
        <v>16.626408334902401</v>
      </c>
      <c r="BQ2335" s="2">
        <v>17.625195990253101</v>
      </c>
      <c r="BR2335" s="2">
        <v>17.567072534364101</v>
      </c>
      <c r="BS2335" s="2">
        <v>17.235264743143301</v>
      </c>
      <c r="BT2335" s="2">
        <v>17.551280333595098</v>
      </c>
      <c r="BU2335" s="2">
        <v>17.6428807024677</v>
      </c>
      <c r="BV2335" s="2">
        <v>16.6226641597599</v>
      </c>
      <c r="BW2335" s="2">
        <v>16.4377522348478</v>
      </c>
      <c r="BX2335" s="2">
        <v>17.308106212513501</v>
      </c>
      <c r="BY2335" s="2">
        <v>17.733210929438101</v>
      </c>
      <c r="BZ2335" s="2">
        <v>16.574046648190802</v>
      </c>
      <c r="CA2335" s="2">
        <v>17.520323255063801</v>
      </c>
      <c r="CB2335" s="2">
        <v>17.636120945859201</v>
      </c>
      <c r="CC2335" s="2">
        <v>17.114577996094098</v>
      </c>
      <c r="CD2335" s="2">
        <v>17.467635160177899</v>
      </c>
      <c r="CE2335" s="2">
        <v>17.065086222683298</v>
      </c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</row>
    <row r="2336" spans="1:97">
      <c r="A2336" s="2" t="s">
        <v>20154</v>
      </c>
      <c r="B2336" s="2">
        <v>105.03368</v>
      </c>
      <c r="C2336" s="2">
        <v>4.3019999999999996</v>
      </c>
      <c r="D2336" s="2" t="s">
        <v>84</v>
      </c>
      <c r="E2336" s="2" t="s">
        <v>20155</v>
      </c>
      <c r="F2336" s="2" t="s">
        <v>20156</v>
      </c>
      <c r="G2336" s="2">
        <v>199680</v>
      </c>
      <c r="H2336" s="3" t="str">
        <f>HYPERLINK("https://cloud.oebiotech.com/#/lm/network/199680", "https://cloud.oebiotech.com/#/lm/network/199680")</f>
        <v>https://cloud.oebiotech.com/#/lm/network/199680</v>
      </c>
      <c r="I2336" s="2" t="s">
        <v>20157</v>
      </c>
      <c r="J2336" s="2">
        <v>326436</v>
      </c>
      <c r="K2336" s="2"/>
      <c r="L2336" s="2">
        <v>9229</v>
      </c>
      <c r="M2336" s="2"/>
      <c r="N2336" s="2"/>
      <c r="O2336" s="2"/>
      <c r="P2336" s="2">
        <v>38732</v>
      </c>
      <c r="Q2336" s="2"/>
      <c r="R2336" s="2"/>
      <c r="S2336" s="2"/>
      <c r="T2336" s="2" t="s">
        <v>20158</v>
      </c>
      <c r="U2336" s="2" t="s">
        <v>20159</v>
      </c>
      <c r="V2336" s="2" t="s">
        <v>553</v>
      </c>
      <c r="W2336" s="2" t="s">
        <v>6195</v>
      </c>
      <c r="X2336" s="2" t="s">
        <v>375</v>
      </c>
      <c r="Y2336" s="2" t="s">
        <v>556</v>
      </c>
      <c r="Z2336" s="2" t="s">
        <v>6196</v>
      </c>
      <c r="AA2336" s="2"/>
      <c r="AB2336" s="2" t="s">
        <v>8443</v>
      </c>
      <c r="AC2336" s="2">
        <v>36.97</v>
      </c>
      <c r="AD2336" s="2">
        <v>98.88</v>
      </c>
      <c r="AE2336" s="2">
        <v>0</v>
      </c>
      <c r="AF2336" s="2" t="s">
        <v>20160</v>
      </c>
      <c r="AG2336" s="2" t="s">
        <v>1088</v>
      </c>
      <c r="AH2336" s="2" t="s">
        <v>10610</v>
      </c>
      <c r="AI2336" s="2">
        <v>3.81</v>
      </c>
      <c r="AJ2336" s="2">
        <v>22.4196552563902</v>
      </c>
      <c r="AK2336" s="2">
        <v>22.4842252664467</v>
      </c>
      <c r="AL2336" s="2">
        <v>22.403199130516398</v>
      </c>
      <c r="AM2336" s="2">
        <v>22.5096060179891</v>
      </c>
      <c r="AN2336" s="2">
        <v>22.480260841591001</v>
      </c>
      <c r="AO2336" s="2">
        <v>22.505159517726799</v>
      </c>
      <c r="AP2336" s="2">
        <v>22.465963166211299</v>
      </c>
      <c r="AQ2336" s="2">
        <v>22.606024606241601</v>
      </c>
      <c r="AR2336" s="2">
        <v>22.600598873515398</v>
      </c>
      <c r="AS2336" s="2">
        <v>20.750366868381199</v>
      </c>
      <c r="AT2336" s="2">
        <v>20.134406565656501</v>
      </c>
      <c r="AU2336" s="2">
        <v>21.2615357505452</v>
      </c>
      <c r="AV2336" s="2">
        <v>23.5419594711624</v>
      </c>
      <c r="AW2336" s="2">
        <v>20.512123209657201</v>
      </c>
      <c r="AX2336" s="2">
        <v>20.540617903777001</v>
      </c>
      <c r="AY2336" s="2">
        <v>23.121718699436101</v>
      </c>
      <c r="AZ2336" s="2">
        <v>20.953946034615999</v>
      </c>
      <c r="BA2336" s="2">
        <v>21.315787979549398</v>
      </c>
      <c r="BB2336" s="2">
        <v>21.8715202961694</v>
      </c>
      <c r="BC2336" s="2">
        <v>20.350063165020199</v>
      </c>
      <c r="BD2336" s="2">
        <v>21.868213114795001</v>
      </c>
      <c r="BE2336" s="2">
        <v>22.784928791911799</v>
      </c>
      <c r="BF2336" s="2">
        <v>22.294871014039199</v>
      </c>
      <c r="BG2336" s="2">
        <v>22.215751380643699</v>
      </c>
      <c r="BH2336" s="2">
        <v>19.4872583701728</v>
      </c>
      <c r="BI2336" s="2">
        <v>21.798693174754401</v>
      </c>
      <c r="BJ2336" s="2">
        <v>21.4280223184447</v>
      </c>
      <c r="BK2336" s="2">
        <v>21.297091309742299</v>
      </c>
      <c r="BL2336" s="2">
        <v>22.8224478461131</v>
      </c>
      <c r="BM2336" s="2">
        <v>22.164184660198501</v>
      </c>
      <c r="BN2336" s="2">
        <v>21.087931380249</v>
      </c>
      <c r="BO2336" s="2">
        <v>20.6169861410953</v>
      </c>
      <c r="BP2336" s="2">
        <v>21.716960041303</v>
      </c>
      <c r="BQ2336" s="2">
        <v>22.594478791245098</v>
      </c>
      <c r="BR2336" s="2">
        <v>19.368584725863599</v>
      </c>
      <c r="BS2336" s="2">
        <v>23.0381446782891</v>
      </c>
      <c r="BT2336" s="2">
        <v>21.117674074899799</v>
      </c>
      <c r="BU2336" s="2">
        <v>23.052032466841901</v>
      </c>
      <c r="BV2336" s="2">
        <v>22.282077213654102</v>
      </c>
      <c r="BW2336" s="2">
        <v>20.156375096461801</v>
      </c>
      <c r="BX2336" s="2">
        <v>22.316369940518801</v>
      </c>
      <c r="BY2336" s="2">
        <v>23.729708584414901</v>
      </c>
      <c r="BZ2336" s="2">
        <v>22.508110486421799</v>
      </c>
      <c r="CA2336" s="2">
        <v>22.367116796890599</v>
      </c>
      <c r="CB2336" s="2">
        <v>22.576795033150699</v>
      </c>
      <c r="CC2336" s="2">
        <v>19.930692558675599</v>
      </c>
      <c r="CD2336" s="2">
        <v>22.3985496784681</v>
      </c>
      <c r="CE2336" s="2">
        <v>21.051581137816001</v>
      </c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</row>
    <row r="2337" spans="1:97">
      <c r="A2337" s="2" t="s">
        <v>20161</v>
      </c>
      <c r="B2337" s="2">
        <v>497.28809999999999</v>
      </c>
      <c r="C2337" s="2">
        <v>10.816000000000001</v>
      </c>
      <c r="D2337" s="2" t="s">
        <v>146</v>
      </c>
      <c r="E2337" s="2" t="s">
        <v>20162</v>
      </c>
      <c r="F2337" s="2" t="s">
        <v>20163</v>
      </c>
      <c r="G2337" s="2">
        <v>45539</v>
      </c>
      <c r="H2337" s="3" t="str">
        <f>HYPERLINK("https://cloud.oebiotech.com/#/lm/network/45539", "https://cloud.oebiotech.com/#/lm/network/45539")</f>
        <v>https://cloud.oebiotech.com/#/lm/network/45539</v>
      </c>
      <c r="I2337" s="2"/>
      <c r="J2337" s="2"/>
      <c r="K2337" s="2" t="s">
        <v>20164</v>
      </c>
      <c r="L2337" s="2">
        <v>9547485</v>
      </c>
      <c r="M2337" s="2"/>
      <c r="N2337" s="2"/>
      <c r="O2337" s="2"/>
      <c r="P2337" s="2"/>
      <c r="Q2337" s="2"/>
      <c r="R2337" s="2"/>
      <c r="S2337" s="2"/>
      <c r="T2337" s="2" t="s">
        <v>20165</v>
      </c>
      <c r="U2337" s="2" t="s">
        <v>20166</v>
      </c>
      <c r="V2337" s="2" t="s">
        <v>95</v>
      </c>
      <c r="W2337" s="2" t="s">
        <v>152</v>
      </c>
      <c r="X2337" s="2" t="s">
        <v>1484</v>
      </c>
      <c r="Y2337" s="2" t="s">
        <v>98</v>
      </c>
      <c r="Z2337" s="2" t="s">
        <v>154</v>
      </c>
      <c r="AA2337" s="2" t="s">
        <v>1485</v>
      </c>
      <c r="AB2337" s="2" t="s">
        <v>8443</v>
      </c>
      <c r="AC2337" s="2">
        <v>36.97</v>
      </c>
      <c r="AD2337" s="2">
        <v>54.61</v>
      </c>
      <c r="AE2337" s="2">
        <v>0</v>
      </c>
      <c r="AF2337" s="2" t="s">
        <v>20167</v>
      </c>
      <c r="AG2337" s="2" t="s">
        <v>4062</v>
      </c>
      <c r="AH2337" s="2" t="s">
        <v>20168</v>
      </c>
      <c r="AI2337" s="2">
        <v>-3.82</v>
      </c>
      <c r="AJ2337" s="2">
        <v>19.019553619180702</v>
      </c>
      <c r="AK2337" s="2">
        <v>18.608980615181899</v>
      </c>
      <c r="AL2337" s="2">
        <v>18.519839470700202</v>
      </c>
      <c r="AM2337" s="2">
        <v>18.658509444446501</v>
      </c>
      <c r="AN2337" s="2">
        <v>18.879936294345502</v>
      </c>
      <c r="AO2337" s="2">
        <v>18.5782282023217</v>
      </c>
      <c r="AP2337" s="2">
        <v>18.6958775906215</v>
      </c>
      <c r="AQ2337" s="2">
        <v>18.381557018812099</v>
      </c>
      <c r="AR2337" s="2">
        <v>17.727941521180799</v>
      </c>
      <c r="AS2337" s="2">
        <v>17.648413901073098</v>
      </c>
      <c r="AT2337" s="2">
        <v>18.601294990203499</v>
      </c>
      <c r="AU2337" s="2">
        <v>18.6557760032251</v>
      </c>
      <c r="AV2337" s="2">
        <v>17.962711794271499</v>
      </c>
      <c r="AW2337" s="2">
        <v>18.5595744138596</v>
      </c>
      <c r="AX2337" s="2">
        <v>19.163635501145102</v>
      </c>
      <c r="AY2337" s="2">
        <v>17.6085415158438</v>
      </c>
      <c r="AZ2337" s="2">
        <v>17.528419846961199</v>
      </c>
      <c r="BA2337" s="2">
        <v>18.398226884127698</v>
      </c>
      <c r="BB2337" s="2">
        <v>19.222752128816101</v>
      </c>
      <c r="BC2337" s="2">
        <v>19.426493372722899</v>
      </c>
      <c r="BD2337" s="2">
        <v>17.613683367360601</v>
      </c>
      <c r="BE2337" s="2">
        <v>18.4382852157831</v>
      </c>
      <c r="BF2337" s="2">
        <v>18.108145131830302</v>
      </c>
      <c r="BG2337" s="2">
        <v>19.358222742759999</v>
      </c>
      <c r="BH2337" s="2">
        <v>18.589183296281401</v>
      </c>
      <c r="BI2337" s="2">
        <v>18.839281520598899</v>
      </c>
      <c r="BJ2337" s="2">
        <v>19.4703207226414</v>
      </c>
      <c r="BK2337" s="2">
        <v>17.8111412878986</v>
      </c>
      <c r="BL2337" s="2">
        <v>18.579661505043301</v>
      </c>
      <c r="BM2337" s="2">
        <v>18.1702708209246</v>
      </c>
      <c r="BN2337" s="2">
        <v>19.168076470242301</v>
      </c>
      <c r="BO2337" s="2">
        <v>19.0008082296089</v>
      </c>
      <c r="BP2337" s="2">
        <v>18.098081290148901</v>
      </c>
      <c r="BQ2337" s="2">
        <v>18.761048070001401</v>
      </c>
      <c r="BR2337" s="2">
        <v>19.6859289105988</v>
      </c>
      <c r="BS2337" s="2">
        <v>17.811038027896998</v>
      </c>
      <c r="BT2337" s="2">
        <v>18.383120416366701</v>
      </c>
      <c r="BU2337" s="2">
        <v>18.9128076363058</v>
      </c>
      <c r="BV2337" s="2">
        <v>19.221033964198298</v>
      </c>
      <c r="BW2337" s="2">
        <v>17.627264265904099</v>
      </c>
      <c r="BX2337" s="2">
        <v>18.045500361163501</v>
      </c>
      <c r="BY2337" s="2">
        <v>18.742812038895298</v>
      </c>
      <c r="BZ2337" s="2">
        <v>17.6944621594177</v>
      </c>
      <c r="CA2337" s="2">
        <v>17.6166926323023</v>
      </c>
      <c r="CB2337" s="2">
        <v>18.702154249698602</v>
      </c>
      <c r="CC2337" s="2">
        <v>19.295105026833198</v>
      </c>
      <c r="CD2337" s="2">
        <v>18.560527937163801</v>
      </c>
      <c r="CE2337" s="2">
        <v>18.393311474097299</v>
      </c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</row>
    <row r="2338" spans="1:97">
      <c r="A2338" s="2" t="s">
        <v>20169</v>
      </c>
      <c r="B2338" s="2">
        <v>314.34116</v>
      </c>
      <c r="C2338" s="2">
        <v>10.295999999999999</v>
      </c>
      <c r="D2338" s="2" t="s">
        <v>84</v>
      </c>
      <c r="E2338" s="2" t="s">
        <v>20170</v>
      </c>
      <c r="F2338" s="2" t="s">
        <v>20171</v>
      </c>
      <c r="G2338" s="2">
        <v>35825</v>
      </c>
      <c r="H2338" s="3" t="str">
        <f>HYPERLINK("https://cloud.oebiotech.com/#/lm/network/35825", "https://cloud.oebiotech.com/#/lm/network/35825")</f>
        <v>https://cloud.oebiotech.com/#/lm/network/35825</v>
      </c>
      <c r="I2338" s="2" t="s">
        <v>20172</v>
      </c>
      <c r="J2338" s="2">
        <v>391</v>
      </c>
      <c r="K2338" s="2" t="s">
        <v>20173</v>
      </c>
      <c r="L2338" s="2">
        <v>5280435</v>
      </c>
      <c r="M2338" s="2" t="s">
        <v>20174</v>
      </c>
      <c r="N2338" s="2"/>
      <c r="O2338" s="2"/>
      <c r="P2338" s="2">
        <v>17327</v>
      </c>
      <c r="Q2338" s="2"/>
      <c r="R2338" s="2"/>
      <c r="S2338" s="2" t="s">
        <v>20175</v>
      </c>
      <c r="T2338" s="2" t="s">
        <v>20176</v>
      </c>
      <c r="U2338" s="2" t="s">
        <v>20177</v>
      </c>
      <c r="V2338" s="2" t="s">
        <v>95</v>
      </c>
      <c r="W2338" s="2" t="s">
        <v>180</v>
      </c>
      <c r="X2338" s="2" t="s">
        <v>3643</v>
      </c>
      <c r="Y2338" s="2" t="s">
        <v>98</v>
      </c>
      <c r="Z2338" s="2" t="s">
        <v>182</v>
      </c>
      <c r="AA2338" s="2" t="s">
        <v>3644</v>
      </c>
      <c r="AB2338" s="2" t="s">
        <v>8443</v>
      </c>
      <c r="AC2338" s="2">
        <v>36.97</v>
      </c>
      <c r="AD2338" s="2">
        <v>87.78</v>
      </c>
      <c r="AE2338" s="2">
        <v>0</v>
      </c>
      <c r="AF2338" s="2" t="s">
        <v>5614</v>
      </c>
      <c r="AG2338" s="2" t="s">
        <v>132</v>
      </c>
      <c r="AH2338" s="2" t="s">
        <v>20178</v>
      </c>
      <c r="AI2338" s="2">
        <v>1.59</v>
      </c>
      <c r="AJ2338" s="2">
        <v>19.1995582400606</v>
      </c>
      <c r="AK2338" s="2">
        <v>19.238264684070401</v>
      </c>
      <c r="AL2338" s="2">
        <v>19.280740168529299</v>
      </c>
      <c r="AM2338" s="2">
        <v>18.9586139969512</v>
      </c>
      <c r="AN2338" s="2">
        <v>18.860285741811602</v>
      </c>
      <c r="AO2338" s="2">
        <v>19.2995414823129</v>
      </c>
      <c r="AP2338" s="2">
        <v>19.2225118961764</v>
      </c>
      <c r="AQ2338" s="2">
        <v>19.078228509192101</v>
      </c>
      <c r="AR2338" s="2">
        <v>19.4344040310507</v>
      </c>
      <c r="AS2338" s="2">
        <v>18.693517789222501</v>
      </c>
      <c r="AT2338" s="2">
        <v>19.280238173377001</v>
      </c>
      <c r="AU2338" s="2">
        <v>17.8553134360771</v>
      </c>
      <c r="AV2338" s="2">
        <v>17.037691078998201</v>
      </c>
      <c r="AW2338" s="2">
        <v>18.7342377660766</v>
      </c>
      <c r="AX2338" s="2">
        <v>16.28127606704</v>
      </c>
      <c r="AY2338" s="2">
        <v>16.953343571266299</v>
      </c>
      <c r="AZ2338" s="2">
        <v>18.909855766956699</v>
      </c>
      <c r="BA2338" s="2">
        <v>18.065843824380401</v>
      </c>
      <c r="BB2338" s="2">
        <v>19.127644211011901</v>
      </c>
      <c r="BC2338" s="2">
        <v>18.513812935821601</v>
      </c>
      <c r="BD2338" s="2">
        <v>18.203982541398201</v>
      </c>
      <c r="BE2338" s="2">
        <v>17.839410368299099</v>
      </c>
      <c r="BF2338" s="2">
        <v>18.389023086597501</v>
      </c>
      <c r="BG2338" s="2">
        <v>17.9181003764221</v>
      </c>
      <c r="BH2338" s="2">
        <v>17.457208596402001</v>
      </c>
      <c r="BI2338" s="2">
        <v>20.769929781135801</v>
      </c>
      <c r="BJ2338" s="2">
        <v>17.8161472985331</v>
      </c>
      <c r="BK2338" s="2">
        <v>16.5022854700428</v>
      </c>
      <c r="BL2338" s="2">
        <v>15.8725551316126</v>
      </c>
      <c r="BM2338" s="2">
        <v>15.6626411189148</v>
      </c>
      <c r="BN2338" s="2">
        <v>16.7725667812024</v>
      </c>
      <c r="BO2338" s="2">
        <v>18.8548298286773</v>
      </c>
      <c r="BP2338" s="2">
        <v>15.7730557340918</v>
      </c>
      <c r="BQ2338" s="2">
        <v>17.343382056186101</v>
      </c>
      <c r="BR2338" s="2">
        <v>18.710647816488201</v>
      </c>
      <c r="BS2338" s="2">
        <v>16.001166478740899</v>
      </c>
      <c r="BT2338" s="2">
        <v>18.142201611373402</v>
      </c>
      <c r="BU2338" s="2">
        <v>17.220242558473402</v>
      </c>
      <c r="BV2338" s="2">
        <v>16.236906628233701</v>
      </c>
      <c r="BW2338" s="2">
        <v>17.924148204932099</v>
      </c>
      <c r="BX2338" s="2">
        <v>17.265217529093601</v>
      </c>
      <c r="BY2338" s="2">
        <v>17.840146016166699</v>
      </c>
      <c r="BZ2338" s="2">
        <v>19.456341740129499</v>
      </c>
      <c r="CA2338" s="2">
        <v>17.6259773973213</v>
      </c>
      <c r="CB2338" s="2">
        <v>17.867563504856601</v>
      </c>
      <c r="CC2338" s="2">
        <v>15.450148987574201</v>
      </c>
      <c r="CD2338" s="2">
        <v>17.4041745381592</v>
      </c>
      <c r="CE2338" s="2">
        <v>18.074459223411498</v>
      </c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</row>
    <row r="2339" spans="1:97">
      <c r="A2339" s="2" t="s">
        <v>20179</v>
      </c>
      <c r="B2339" s="2">
        <v>430.31587999999999</v>
      </c>
      <c r="C2339" s="2">
        <v>7.7709999999999999</v>
      </c>
      <c r="D2339" s="2" t="s">
        <v>84</v>
      </c>
      <c r="E2339" s="2" t="s">
        <v>20180</v>
      </c>
      <c r="F2339" s="2" t="s">
        <v>20181</v>
      </c>
      <c r="G2339" s="2">
        <v>47174</v>
      </c>
      <c r="H2339" s="3" t="str">
        <f>HYPERLINK("https://cloud.oebiotech.com/#/lm/network/47174", "https://cloud.oebiotech.com/#/lm/network/47174")</f>
        <v>https://cloud.oebiotech.com/#/lm/network/47174</v>
      </c>
      <c r="I2339" s="2" t="s">
        <v>20182</v>
      </c>
      <c r="J2339" s="2">
        <v>75447</v>
      </c>
      <c r="K2339" s="2"/>
      <c r="L2339" s="2">
        <v>566787</v>
      </c>
      <c r="M2339" s="2"/>
      <c r="N2339" s="2"/>
      <c r="O2339" s="2"/>
      <c r="P2339" s="2">
        <v>73081</v>
      </c>
      <c r="Q2339" s="2"/>
      <c r="R2339" s="2"/>
      <c r="S2339" s="2" t="s">
        <v>20183</v>
      </c>
      <c r="T2339" s="2" t="s">
        <v>20184</v>
      </c>
      <c r="U2339" s="2" t="s">
        <v>20185</v>
      </c>
      <c r="V2339" s="2" t="s">
        <v>95</v>
      </c>
      <c r="W2339" s="2" t="s">
        <v>96</v>
      </c>
      <c r="X2339" s="2" t="s">
        <v>97</v>
      </c>
      <c r="Y2339" s="2" t="s">
        <v>98</v>
      </c>
      <c r="Z2339" s="2" t="s">
        <v>99</v>
      </c>
      <c r="AA2339" s="2" t="s">
        <v>100</v>
      </c>
      <c r="AB2339" s="2" t="s">
        <v>8443</v>
      </c>
      <c r="AC2339" s="2">
        <v>36.97</v>
      </c>
      <c r="AD2339" s="2">
        <v>84.86</v>
      </c>
      <c r="AE2339" s="2">
        <v>0</v>
      </c>
      <c r="AF2339" s="2" t="s">
        <v>5614</v>
      </c>
      <c r="AG2339" s="2" t="s">
        <v>103</v>
      </c>
      <c r="AH2339" s="2" t="s">
        <v>20186</v>
      </c>
      <c r="AI2339" s="2">
        <v>0.93</v>
      </c>
      <c r="AJ2339" s="2">
        <v>17.844145289836199</v>
      </c>
      <c r="AK2339" s="2">
        <v>17.920664956598301</v>
      </c>
      <c r="AL2339" s="2">
        <v>18.126366351981002</v>
      </c>
      <c r="AM2339" s="2">
        <v>17.880352036995799</v>
      </c>
      <c r="AN2339" s="2">
        <v>18.0630217187847</v>
      </c>
      <c r="AO2339" s="2">
        <v>17.716762468713998</v>
      </c>
      <c r="AP2339" s="2">
        <v>17.712027306599399</v>
      </c>
      <c r="AQ2339" s="2">
        <v>17.849859414811601</v>
      </c>
      <c r="AR2339" s="2">
        <v>17.8133777562788</v>
      </c>
      <c r="AS2339" s="2">
        <v>9.6233145402724691</v>
      </c>
      <c r="AT2339" s="2">
        <v>18.272604727845899</v>
      </c>
      <c r="AU2339" s="2">
        <v>17.0850323385311</v>
      </c>
      <c r="AV2339" s="2">
        <v>17.327742353724201</v>
      </c>
      <c r="AW2339" s="2">
        <v>18.132298292525402</v>
      </c>
      <c r="AX2339" s="2">
        <v>17.548866751211701</v>
      </c>
      <c r="AY2339" s="2">
        <v>17.9164306917639</v>
      </c>
      <c r="AZ2339" s="2">
        <v>15.9402374223052</v>
      </c>
      <c r="BA2339" s="2">
        <v>17.079419781083999</v>
      </c>
      <c r="BB2339" s="2">
        <v>18.089903993495899</v>
      </c>
      <c r="BC2339" s="2">
        <v>17.971649749425001</v>
      </c>
      <c r="BD2339" s="2">
        <v>16.431838388956699</v>
      </c>
      <c r="BE2339" s="2">
        <v>17.687172120248398</v>
      </c>
      <c r="BF2339" s="2">
        <v>17.946306682772001</v>
      </c>
      <c r="BG2339" s="2">
        <v>15.999226448586599</v>
      </c>
      <c r="BH2339" s="2">
        <v>17.5773357355597</v>
      </c>
      <c r="BI2339" s="2">
        <v>18.340964154666501</v>
      </c>
      <c r="BJ2339" s="2">
        <v>18.829496150509399</v>
      </c>
      <c r="BK2339" s="2">
        <v>17.013717188197301</v>
      </c>
      <c r="BL2339" s="2">
        <v>18.476445096934299</v>
      </c>
      <c r="BM2339" s="2">
        <v>17.1142112423619</v>
      </c>
      <c r="BN2339" s="2">
        <v>17.636833318200299</v>
      </c>
      <c r="BO2339" s="2">
        <v>17.4199458627143</v>
      </c>
      <c r="BP2339" s="2">
        <v>17.830279058738999</v>
      </c>
      <c r="BQ2339" s="2">
        <v>17.807320391459101</v>
      </c>
      <c r="BR2339" s="2">
        <v>17.722299110343599</v>
      </c>
      <c r="BS2339" s="2">
        <v>18.6267544251224</v>
      </c>
      <c r="BT2339" s="2">
        <v>17.6682279564846</v>
      </c>
      <c r="BU2339" s="2">
        <v>17.982968849440802</v>
      </c>
      <c r="BV2339" s="2">
        <v>16.9120897349848</v>
      </c>
      <c r="BW2339" s="2">
        <v>17.403623061704401</v>
      </c>
      <c r="BX2339" s="2">
        <v>16.022384286014798</v>
      </c>
      <c r="BY2339" s="2">
        <v>17.787769315088301</v>
      </c>
      <c r="BZ2339" s="2">
        <v>18.026158194655</v>
      </c>
      <c r="CA2339" s="2">
        <v>17.725971492432201</v>
      </c>
      <c r="CB2339" s="2">
        <v>17.335134465095202</v>
      </c>
      <c r="CC2339" s="2">
        <v>16.4640364289106</v>
      </c>
      <c r="CD2339" s="2">
        <v>17.768805327053698</v>
      </c>
      <c r="CE2339" s="2">
        <v>17.987769455324202</v>
      </c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</row>
    <row r="2340" spans="1:97">
      <c r="A2340" s="2" t="s">
        <v>20187</v>
      </c>
      <c r="B2340" s="2">
        <v>739.06152999999995</v>
      </c>
      <c r="C2340" s="2">
        <v>0.72799999999999998</v>
      </c>
      <c r="D2340" s="2" t="s">
        <v>84</v>
      </c>
      <c r="E2340" s="2" t="s">
        <v>20188</v>
      </c>
      <c r="F2340" s="2" t="s">
        <v>20189</v>
      </c>
      <c r="G2340" s="2">
        <v>20</v>
      </c>
      <c r="H2340" s="3" t="str">
        <f>HYPERLINK("https://cloud.oebiotech.com/#/lm/network/20", "https://cloud.oebiotech.com/#/lm/network/20")</f>
        <v>https://cloud.oebiotech.com/#/lm/network/20</v>
      </c>
      <c r="I2340" s="2"/>
      <c r="J2340" s="2">
        <v>96753</v>
      </c>
      <c r="K2340" s="2" t="s">
        <v>20190</v>
      </c>
      <c r="L2340" s="2">
        <v>56935797</v>
      </c>
      <c r="M2340" s="2"/>
      <c r="N2340" s="2"/>
      <c r="O2340" s="2"/>
      <c r="P2340" s="2"/>
      <c r="Q2340" s="2"/>
      <c r="R2340" s="2"/>
      <c r="S2340" s="2"/>
      <c r="T2340" s="2" t="s">
        <v>20191</v>
      </c>
      <c r="U2340" s="2" t="s">
        <v>20192</v>
      </c>
      <c r="V2340" s="2" t="s">
        <v>115</v>
      </c>
      <c r="W2340" s="2" t="s">
        <v>613</v>
      </c>
      <c r="X2340" s="2" t="s">
        <v>7162</v>
      </c>
      <c r="Y2340" s="2" t="s">
        <v>118</v>
      </c>
      <c r="Z2340" s="2" t="s">
        <v>615</v>
      </c>
      <c r="AA2340" s="2" t="s">
        <v>7163</v>
      </c>
      <c r="AB2340" s="2" t="s">
        <v>8443</v>
      </c>
      <c r="AC2340" s="2">
        <v>36.97</v>
      </c>
      <c r="AD2340" s="2">
        <v>89.98</v>
      </c>
      <c r="AE2340" s="2">
        <v>0</v>
      </c>
      <c r="AF2340" s="2" t="s">
        <v>20193</v>
      </c>
      <c r="AG2340" s="2" t="s">
        <v>3544</v>
      </c>
      <c r="AH2340" s="2" t="s">
        <v>20194</v>
      </c>
      <c r="AI2340" s="2">
        <v>2.0299999999999998</v>
      </c>
      <c r="AJ2340" s="2">
        <v>22.454662042626001</v>
      </c>
      <c r="AK2340" s="2">
        <v>22.422503249955799</v>
      </c>
      <c r="AL2340" s="2">
        <v>22.3448225656151</v>
      </c>
      <c r="AM2340" s="2">
        <v>22.618173683904701</v>
      </c>
      <c r="AN2340" s="2">
        <v>22.4592093724176</v>
      </c>
      <c r="AO2340" s="2">
        <v>22.613022339259</v>
      </c>
      <c r="AP2340" s="2">
        <v>22.441943060529098</v>
      </c>
      <c r="AQ2340" s="2">
        <v>22.3896349362895</v>
      </c>
      <c r="AR2340" s="2">
        <v>22.439241997754799</v>
      </c>
      <c r="AS2340" s="2">
        <v>21.7650720712229</v>
      </c>
      <c r="AT2340" s="2">
        <v>22.3739090850137</v>
      </c>
      <c r="AU2340" s="2">
        <v>22.003478493072802</v>
      </c>
      <c r="AV2340" s="2">
        <v>22.682887615244599</v>
      </c>
      <c r="AW2340" s="2">
        <v>22.389417102944101</v>
      </c>
      <c r="AX2340" s="2">
        <v>22.2327568121237</v>
      </c>
      <c r="AY2340" s="2">
        <v>22.392806989052701</v>
      </c>
      <c r="AZ2340" s="2">
        <v>22.2860273029811</v>
      </c>
      <c r="BA2340" s="2">
        <v>22.283831598314698</v>
      </c>
      <c r="BB2340" s="2">
        <v>22.347449740761</v>
      </c>
      <c r="BC2340" s="2">
        <v>22.925498186723299</v>
      </c>
      <c r="BD2340" s="2">
        <v>22.676553197903299</v>
      </c>
      <c r="BE2340" s="2">
        <v>22.1164275842034</v>
      </c>
      <c r="BF2340" s="2">
        <v>22.432160972854199</v>
      </c>
      <c r="BG2340" s="2">
        <v>21.993208428379202</v>
      </c>
      <c r="BH2340" s="2">
        <v>22.358263569495499</v>
      </c>
      <c r="BI2340" s="2">
        <v>22.203148938376401</v>
      </c>
      <c r="BJ2340" s="2">
        <v>22.246058625471701</v>
      </c>
      <c r="BK2340" s="2">
        <v>22.566831313613498</v>
      </c>
      <c r="BL2340" s="2">
        <v>22.3473893493444</v>
      </c>
      <c r="BM2340" s="2">
        <v>22.1136725213535</v>
      </c>
      <c r="BN2340" s="2">
        <v>22.385926072694598</v>
      </c>
      <c r="BO2340" s="2">
        <v>22.552259502177701</v>
      </c>
      <c r="BP2340" s="2">
        <v>22.069365415617</v>
      </c>
      <c r="BQ2340" s="2">
        <v>22.034437254977199</v>
      </c>
      <c r="BR2340" s="2">
        <v>21.817718768391199</v>
      </c>
      <c r="BS2340" s="2">
        <v>22.777057293490302</v>
      </c>
      <c r="BT2340" s="2">
        <v>22.4355160055559</v>
      </c>
      <c r="BU2340" s="2">
        <v>22.466776972231202</v>
      </c>
      <c r="BV2340" s="2">
        <v>22.321059488926501</v>
      </c>
      <c r="BW2340" s="2">
        <v>22.157879689186601</v>
      </c>
      <c r="BX2340" s="2">
        <v>22.345607563021201</v>
      </c>
      <c r="BY2340" s="2">
        <v>22.1428900210426</v>
      </c>
      <c r="BZ2340" s="2">
        <v>22.4452751547472</v>
      </c>
      <c r="CA2340" s="2">
        <v>22.5689797687889</v>
      </c>
      <c r="CB2340" s="2">
        <v>22.323479265149601</v>
      </c>
      <c r="CC2340" s="2">
        <v>22.394084078582601</v>
      </c>
      <c r="CD2340" s="2">
        <v>22.380182046733399</v>
      </c>
      <c r="CE2340" s="2">
        <v>22.120739604572002</v>
      </c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</row>
    <row r="2341" spans="1:97">
      <c r="A2341" s="2" t="s">
        <v>20195</v>
      </c>
      <c r="B2341" s="2">
        <v>219.16969</v>
      </c>
      <c r="C2341" s="2">
        <v>0.753</v>
      </c>
      <c r="D2341" s="2" t="s">
        <v>84</v>
      </c>
      <c r="E2341" s="2" t="s">
        <v>20196</v>
      </c>
      <c r="F2341" s="2" t="s">
        <v>20197</v>
      </c>
      <c r="G2341" s="2">
        <v>64622</v>
      </c>
      <c r="H2341" s="3" t="str">
        <f>HYPERLINK("https://cloud.oebiotech.com/#/lm/network/64622", "https://cloud.oebiotech.com/#/lm/network/64622")</f>
        <v>https://cloud.oebiotech.com/#/lm/network/64622</v>
      </c>
      <c r="I2341" s="2" t="s">
        <v>20198</v>
      </c>
      <c r="J2341" s="2"/>
      <c r="K2341" s="2"/>
      <c r="L2341" s="2">
        <v>85213140</v>
      </c>
      <c r="M2341" s="2"/>
      <c r="N2341" s="2"/>
      <c r="O2341" s="2"/>
      <c r="P2341" s="2"/>
      <c r="Q2341" s="2"/>
      <c r="R2341" s="2"/>
      <c r="S2341" s="2"/>
      <c r="T2341" s="2" t="s">
        <v>20199</v>
      </c>
      <c r="U2341" s="2" t="s">
        <v>20200</v>
      </c>
      <c r="V2341" s="2" t="s">
        <v>115</v>
      </c>
      <c r="W2341" s="2" t="s">
        <v>116</v>
      </c>
      <c r="X2341" s="2" t="s">
        <v>117</v>
      </c>
      <c r="Y2341" s="2" t="s">
        <v>118</v>
      </c>
      <c r="Z2341" s="2" t="s">
        <v>119</v>
      </c>
      <c r="AA2341" s="2" t="s">
        <v>120</v>
      </c>
      <c r="AB2341" s="2" t="s">
        <v>8443</v>
      </c>
      <c r="AC2341" s="2">
        <v>36.96</v>
      </c>
      <c r="AD2341" s="2">
        <v>93.51</v>
      </c>
      <c r="AE2341" s="2">
        <v>0</v>
      </c>
      <c r="AF2341" s="2" t="s">
        <v>5614</v>
      </c>
      <c r="AG2341" s="2" t="s">
        <v>132</v>
      </c>
      <c r="AH2341" s="2" t="s">
        <v>20201</v>
      </c>
      <c r="AI2341" s="2">
        <v>2.74</v>
      </c>
      <c r="AJ2341" s="2">
        <v>21.3198829141826</v>
      </c>
      <c r="AK2341" s="2">
        <v>21.989048519995901</v>
      </c>
      <c r="AL2341" s="2">
        <v>21.510951916490299</v>
      </c>
      <c r="AM2341" s="2">
        <v>22.157875733559301</v>
      </c>
      <c r="AN2341" s="2">
        <v>21.534599714632702</v>
      </c>
      <c r="AO2341" s="2">
        <v>21.695501298133198</v>
      </c>
      <c r="AP2341" s="2">
        <v>21.817525253833299</v>
      </c>
      <c r="AQ2341" s="2">
        <v>21.5838820543695</v>
      </c>
      <c r="AR2341" s="2">
        <v>23.777809504410602</v>
      </c>
      <c r="AS2341" s="2">
        <v>9.6233145402724691</v>
      </c>
      <c r="AT2341" s="2">
        <v>9.6233145402724691</v>
      </c>
      <c r="AU2341" s="2">
        <v>20.180590609225401</v>
      </c>
      <c r="AV2341" s="2">
        <v>20.250426588075399</v>
      </c>
      <c r="AW2341" s="2">
        <v>9.6233145402724691</v>
      </c>
      <c r="AX2341" s="2">
        <v>18.875288538219198</v>
      </c>
      <c r="AY2341" s="2">
        <v>9.6233145402724691</v>
      </c>
      <c r="AZ2341" s="2">
        <v>9.6233145402724691</v>
      </c>
      <c r="BA2341" s="2">
        <v>9.6233145402724691</v>
      </c>
      <c r="BB2341" s="2">
        <v>20.112525093498601</v>
      </c>
      <c r="BC2341" s="2">
        <v>17.890489146140801</v>
      </c>
      <c r="BD2341" s="2">
        <v>19.979601256443001</v>
      </c>
      <c r="BE2341" s="2">
        <v>9.6233145402724691</v>
      </c>
      <c r="BF2341" s="2">
        <v>9.6233145402724691</v>
      </c>
      <c r="BG2341" s="2">
        <v>22.323472112844399</v>
      </c>
      <c r="BH2341" s="2">
        <v>18.171456152002001</v>
      </c>
      <c r="BI2341" s="2">
        <v>20.7410099326401</v>
      </c>
      <c r="BJ2341" s="2">
        <v>9.6233145402724691</v>
      </c>
      <c r="BK2341" s="2">
        <v>18.333906252723001</v>
      </c>
      <c r="BL2341" s="2">
        <v>23.843562526600799</v>
      </c>
      <c r="BM2341" s="2">
        <v>18.879440858770302</v>
      </c>
      <c r="BN2341" s="2">
        <v>17.6664005140663</v>
      </c>
      <c r="BO2341" s="2">
        <v>21.481070712866899</v>
      </c>
      <c r="BP2341" s="2">
        <v>21.8590285920356</v>
      </c>
      <c r="BQ2341" s="2">
        <v>20.8391119386872</v>
      </c>
      <c r="BR2341" s="2">
        <v>9.6233145402724691</v>
      </c>
      <c r="BS2341" s="2">
        <v>22.407488813636501</v>
      </c>
      <c r="BT2341" s="2">
        <v>20.23522696593</v>
      </c>
      <c r="BU2341" s="2">
        <v>9.6233145402724691</v>
      </c>
      <c r="BV2341" s="2">
        <v>22.666758979597901</v>
      </c>
      <c r="BW2341" s="2">
        <v>20.7947799243553</v>
      </c>
      <c r="BX2341" s="2">
        <v>18.993653494803201</v>
      </c>
      <c r="BY2341" s="2">
        <v>22.427575417608601</v>
      </c>
      <c r="BZ2341" s="2">
        <v>9.6233145402724691</v>
      </c>
      <c r="CA2341" s="2">
        <v>19.4068457641965</v>
      </c>
      <c r="CB2341" s="2">
        <v>19.723294371932401</v>
      </c>
      <c r="CC2341" s="2">
        <v>20.3584783691281</v>
      </c>
      <c r="CD2341" s="2">
        <v>22.334477730573902</v>
      </c>
      <c r="CE2341" s="2">
        <v>18.979822558337901</v>
      </c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</row>
    <row r="2342" spans="1:97">
      <c r="A2342" s="2" t="s">
        <v>20202</v>
      </c>
      <c r="B2342" s="2">
        <v>715.63766999999996</v>
      </c>
      <c r="C2342" s="2">
        <v>4.1769999999999996</v>
      </c>
      <c r="D2342" s="2" t="s">
        <v>84</v>
      </c>
      <c r="E2342" s="2" t="s">
        <v>20203</v>
      </c>
      <c r="F2342" s="2" t="s">
        <v>20204</v>
      </c>
      <c r="G2342" s="2">
        <v>43884</v>
      </c>
      <c r="H2342" s="3" t="str">
        <f>HYPERLINK("https://cloud.oebiotech.com/#/lm/network/43884", "https://cloud.oebiotech.com/#/lm/network/43884")</f>
        <v>https://cloud.oebiotech.com/#/lm/network/43884</v>
      </c>
      <c r="I2342" s="2"/>
      <c r="J2342" s="2">
        <v>103390</v>
      </c>
      <c r="K2342" s="2" t="s">
        <v>20205</v>
      </c>
      <c r="L2342" s="2">
        <v>70699316</v>
      </c>
      <c r="M2342" s="2"/>
      <c r="N2342" s="2"/>
      <c r="O2342" s="2"/>
      <c r="P2342" s="2"/>
      <c r="Q2342" s="2"/>
      <c r="R2342" s="2"/>
      <c r="S2342" s="2"/>
      <c r="T2342" s="2" t="s">
        <v>20206</v>
      </c>
      <c r="U2342" s="2" t="s">
        <v>20207</v>
      </c>
      <c r="V2342" s="2" t="s">
        <v>95</v>
      </c>
      <c r="W2342" s="2" t="s">
        <v>152</v>
      </c>
      <c r="X2342" s="2" t="s">
        <v>3262</v>
      </c>
      <c r="Y2342" s="2" t="s">
        <v>98</v>
      </c>
      <c r="Z2342" s="2" t="s">
        <v>154</v>
      </c>
      <c r="AA2342" s="2" t="s">
        <v>3263</v>
      </c>
      <c r="AB2342" s="2" t="s">
        <v>8443</v>
      </c>
      <c r="AC2342" s="2">
        <v>36.96</v>
      </c>
      <c r="AD2342" s="2">
        <v>88.9</v>
      </c>
      <c r="AE2342" s="2">
        <v>0</v>
      </c>
      <c r="AF2342" s="2" t="s">
        <v>5614</v>
      </c>
      <c r="AG2342" s="2" t="s">
        <v>1578</v>
      </c>
      <c r="AH2342" s="2" t="s">
        <v>20208</v>
      </c>
      <c r="AI2342" s="2">
        <v>-1.82</v>
      </c>
      <c r="AJ2342" s="2">
        <v>21.0777158590497</v>
      </c>
      <c r="AK2342" s="2">
        <v>21.1017975177976</v>
      </c>
      <c r="AL2342" s="2">
        <v>20.591742418499798</v>
      </c>
      <c r="AM2342" s="2">
        <v>21.0149021009798</v>
      </c>
      <c r="AN2342" s="2">
        <v>20.8079640012248</v>
      </c>
      <c r="AO2342" s="2">
        <v>20.932918271479899</v>
      </c>
      <c r="AP2342" s="2">
        <v>20.751625443421201</v>
      </c>
      <c r="AQ2342" s="2">
        <v>20.807227550997698</v>
      </c>
      <c r="AR2342" s="2">
        <v>19.664742746213602</v>
      </c>
      <c r="AS2342" s="2">
        <v>19.0029882454964</v>
      </c>
      <c r="AT2342" s="2">
        <v>19.5090501661006</v>
      </c>
      <c r="AU2342" s="2">
        <v>19.247578471718398</v>
      </c>
      <c r="AV2342" s="2">
        <v>20.053807095838</v>
      </c>
      <c r="AW2342" s="2">
        <v>19.847231893089901</v>
      </c>
      <c r="AX2342" s="2">
        <v>19.813906717131101</v>
      </c>
      <c r="AY2342" s="2">
        <v>18.771419346101201</v>
      </c>
      <c r="AZ2342" s="2">
        <v>19.910800179979901</v>
      </c>
      <c r="BA2342" s="2">
        <v>19.3039724503789</v>
      </c>
      <c r="BB2342" s="2">
        <v>18.931398667552099</v>
      </c>
      <c r="BC2342" s="2">
        <v>19.631063203606899</v>
      </c>
      <c r="BD2342" s="2">
        <v>20.287629185493799</v>
      </c>
      <c r="BE2342" s="2">
        <v>20.6329458410728</v>
      </c>
      <c r="BF2342" s="2">
        <v>20.219242579415599</v>
      </c>
      <c r="BG2342" s="2">
        <v>20.292425396478802</v>
      </c>
      <c r="BH2342" s="2">
        <v>20.1708112729732</v>
      </c>
      <c r="BI2342" s="2">
        <v>20.274549995886101</v>
      </c>
      <c r="BJ2342" s="2">
        <v>20.374978650817599</v>
      </c>
      <c r="BK2342" s="2">
        <v>20.261429419747898</v>
      </c>
      <c r="BL2342" s="2">
        <v>18.7596157411697</v>
      </c>
      <c r="BM2342" s="2">
        <v>19.340926352288399</v>
      </c>
      <c r="BN2342" s="2">
        <v>20.407153721227999</v>
      </c>
      <c r="BO2342" s="2">
        <v>20.4236454417176</v>
      </c>
      <c r="BP2342" s="2">
        <v>20.0479562306143</v>
      </c>
      <c r="BQ2342" s="2">
        <v>20.155010260328002</v>
      </c>
      <c r="BR2342" s="2">
        <v>20.2214905730468</v>
      </c>
      <c r="BS2342" s="2">
        <v>20.173388414710502</v>
      </c>
      <c r="BT2342" s="2">
        <v>19.953913512125698</v>
      </c>
      <c r="BU2342" s="2">
        <v>19.382247557993502</v>
      </c>
      <c r="BV2342" s="2">
        <v>19.690212221540399</v>
      </c>
      <c r="BW2342" s="2">
        <v>16.947347913445402</v>
      </c>
      <c r="BX2342" s="2">
        <v>20.056288918465501</v>
      </c>
      <c r="BY2342" s="2">
        <v>21.468133664716799</v>
      </c>
      <c r="BZ2342" s="2">
        <v>20.224718376710602</v>
      </c>
      <c r="CA2342" s="2">
        <v>20.1292931306687</v>
      </c>
      <c r="CB2342" s="2">
        <v>20.300586364378798</v>
      </c>
      <c r="CC2342" s="2">
        <v>19.9716525276901</v>
      </c>
      <c r="CD2342" s="2">
        <v>21.673176834764401</v>
      </c>
      <c r="CE2342" s="2">
        <v>20.6801075511909</v>
      </c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</row>
    <row r="2343" spans="1:97">
      <c r="A2343" s="2" t="s">
        <v>20209</v>
      </c>
      <c r="B2343" s="2">
        <v>198.03792000000001</v>
      </c>
      <c r="C2343" s="2">
        <v>1.35</v>
      </c>
      <c r="D2343" s="2" t="s">
        <v>146</v>
      </c>
      <c r="E2343" s="2" t="s">
        <v>3319</v>
      </c>
      <c r="F2343" s="2" t="s">
        <v>20210</v>
      </c>
      <c r="G2343" s="2">
        <v>255395</v>
      </c>
      <c r="H2343" s="3" t="str">
        <f>HYPERLINK("https://cloud.oebiotech.com/#/lm/network/255395", "https://cloud.oebiotech.com/#/lm/network/255395")</f>
        <v>https://cloud.oebiotech.com/#/lm/network/255395</v>
      </c>
      <c r="I2343" s="2" t="s">
        <v>20211</v>
      </c>
      <c r="J2343" s="2"/>
      <c r="K2343" s="2"/>
      <c r="L2343" s="2">
        <v>7108</v>
      </c>
      <c r="M2343" s="2"/>
      <c r="N2343" s="2"/>
      <c r="O2343" s="2"/>
      <c r="P2343" s="2">
        <v>37931</v>
      </c>
      <c r="Q2343" s="2"/>
      <c r="R2343" s="2"/>
      <c r="S2343" s="2"/>
      <c r="T2343" s="2" t="s">
        <v>20212</v>
      </c>
      <c r="U2343" s="2" t="s">
        <v>20213</v>
      </c>
      <c r="V2343" s="2" t="s">
        <v>553</v>
      </c>
      <c r="W2343" s="2" t="s">
        <v>13779</v>
      </c>
      <c r="X2343" s="2" t="s">
        <v>16512</v>
      </c>
      <c r="Y2343" s="2" t="s">
        <v>556</v>
      </c>
      <c r="Z2343" s="2" t="s">
        <v>13780</v>
      </c>
      <c r="AA2343" s="2" t="s">
        <v>16513</v>
      </c>
      <c r="AB2343" s="2" t="s">
        <v>8443</v>
      </c>
      <c r="AC2343" s="2">
        <v>36.96</v>
      </c>
      <c r="AD2343" s="2">
        <v>89.9</v>
      </c>
      <c r="AE2343" s="2">
        <v>0</v>
      </c>
      <c r="AF2343" s="2" t="s">
        <v>5614</v>
      </c>
      <c r="AG2343" s="2" t="s">
        <v>194</v>
      </c>
      <c r="AH2343" s="2" t="s">
        <v>20214</v>
      </c>
      <c r="AI2343" s="2">
        <v>2.02</v>
      </c>
      <c r="AJ2343" s="2">
        <v>19.223337485618298</v>
      </c>
      <c r="AK2343" s="2">
        <v>19.327751058017899</v>
      </c>
      <c r="AL2343" s="2">
        <v>19.2715484929805</v>
      </c>
      <c r="AM2343" s="2">
        <v>19.373128324875601</v>
      </c>
      <c r="AN2343" s="2">
        <v>19.1287585156525</v>
      </c>
      <c r="AO2343" s="2">
        <v>19.668765328193601</v>
      </c>
      <c r="AP2343" s="2">
        <v>18.791132198138101</v>
      </c>
      <c r="AQ2343" s="2">
        <v>19.638020737906999</v>
      </c>
      <c r="AR2343" s="2">
        <v>18.8235482684541</v>
      </c>
      <c r="AS2343" s="2">
        <v>18.258847782751499</v>
      </c>
      <c r="AT2343" s="2">
        <v>18.635999373391201</v>
      </c>
      <c r="AU2343" s="2">
        <v>18.785638221066701</v>
      </c>
      <c r="AV2343" s="2">
        <v>19.287931877918201</v>
      </c>
      <c r="AW2343" s="2">
        <v>19.455980055206101</v>
      </c>
      <c r="AX2343" s="2">
        <v>18.651849976864298</v>
      </c>
      <c r="AY2343" s="2">
        <v>18.048121396472101</v>
      </c>
      <c r="AZ2343" s="2">
        <v>18.612579422629999</v>
      </c>
      <c r="BA2343" s="2">
        <v>18.179534375941799</v>
      </c>
      <c r="BB2343" s="2">
        <v>18.991419096453701</v>
      </c>
      <c r="BC2343" s="2">
        <v>19.164464042711899</v>
      </c>
      <c r="BD2343" s="2">
        <v>19.2884747100589</v>
      </c>
      <c r="BE2343" s="2">
        <v>19.516698720703602</v>
      </c>
      <c r="BF2343" s="2">
        <v>19.153142098936101</v>
      </c>
      <c r="BG2343" s="2">
        <v>19.2792149971214</v>
      </c>
      <c r="BH2343" s="2">
        <v>19.411971480273198</v>
      </c>
      <c r="BI2343" s="2">
        <v>19.330757932607199</v>
      </c>
      <c r="BJ2343" s="2">
        <v>19.1757635045178</v>
      </c>
      <c r="BK2343" s="2">
        <v>18.603635037290299</v>
      </c>
      <c r="BL2343" s="2">
        <v>18.8596591690631</v>
      </c>
      <c r="BM2343" s="2">
        <v>19.129060874520501</v>
      </c>
      <c r="BN2343" s="2">
        <v>18.866601502921299</v>
      </c>
      <c r="BO2343" s="2">
        <v>19.188839404515701</v>
      </c>
      <c r="BP2343" s="2">
        <v>19.687361192984699</v>
      </c>
      <c r="BQ2343" s="2">
        <v>19.863261201460599</v>
      </c>
      <c r="BR2343" s="2">
        <v>19.563588750264199</v>
      </c>
      <c r="BS2343" s="2">
        <v>18.842181666758201</v>
      </c>
      <c r="BT2343" s="2">
        <v>19.3477955490509</v>
      </c>
      <c r="BU2343" s="2">
        <v>18.748921352438298</v>
      </c>
      <c r="BV2343" s="2">
        <v>19.4020864430369</v>
      </c>
      <c r="BW2343" s="2">
        <v>18.2211868205653</v>
      </c>
      <c r="BX2343" s="2">
        <v>19.545866759119399</v>
      </c>
      <c r="BY2343" s="2">
        <v>19.947045214636901</v>
      </c>
      <c r="BZ2343" s="2">
        <v>19.334460389274899</v>
      </c>
      <c r="CA2343" s="2">
        <v>19.2609463791004</v>
      </c>
      <c r="CB2343" s="2">
        <v>18.884448094314301</v>
      </c>
      <c r="CC2343" s="2">
        <v>19.292902550399901</v>
      </c>
      <c r="CD2343" s="2">
        <v>19.5782720850255</v>
      </c>
      <c r="CE2343" s="2">
        <v>19.405459049998999</v>
      </c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</row>
    <row r="2344" spans="1:97">
      <c r="A2344" s="2" t="s">
        <v>20215</v>
      </c>
      <c r="B2344" s="2">
        <v>240.04848999999999</v>
      </c>
      <c r="C2344" s="2">
        <v>1.0660000000000001</v>
      </c>
      <c r="D2344" s="2" t="s">
        <v>146</v>
      </c>
      <c r="E2344" s="2" t="s">
        <v>20216</v>
      </c>
      <c r="F2344" s="2" t="s">
        <v>20217</v>
      </c>
      <c r="G2344" s="2">
        <v>200420</v>
      </c>
      <c r="H2344" s="3" t="str">
        <f>HYPERLINK("https://cloud.oebiotech.com/#/lm/network/200420", "https://cloud.oebiotech.com/#/lm/network/200420")</f>
        <v>https://cloud.oebiotech.com/#/lm/network/200420</v>
      </c>
      <c r="I2344" s="2" t="s">
        <v>20218</v>
      </c>
      <c r="J2344" s="2">
        <v>357941</v>
      </c>
      <c r="K2344" s="2"/>
      <c r="L2344" s="2">
        <v>81131</v>
      </c>
      <c r="M2344" s="2"/>
      <c r="N2344" s="2"/>
      <c r="O2344" s="2"/>
      <c r="P2344" s="2"/>
      <c r="Q2344" s="2"/>
      <c r="R2344" s="2"/>
      <c r="S2344" s="2"/>
      <c r="T2344" s="2" t="s">
        <v>20219</v>
      </c>
      <c r="U2344" s="2" t="s">
        <v>20220</v>
      </c>
      <c r="V2344" s="2" t="s">
        <v>553</v>
      </c>
      <c r="W2344" s="2" t="s">
        <v>13779</v>
      </c>
      <c r="X2344" s="2" t="s">
        <v>16512</v>
      </c>
      <c r="Y2344" s="2" t="s">
        <v>556</v>
      </c>
      <c r="Z2344" s="2" t="s">
        <v>13780</v>
      </c>
      <c r="AA2344" s="2" t="s">
        <v>16513</v>
      </c>
      <c r="AB2344" s="2" t="s">
        <v>8443</v>
      </c>
      <c r="AC2344" s="2">
        <v>36.96</v>
      </c>
      <c r="AD2344" s="2">
        <v>88.16</v>
      </c>
      <c r="AE2344" s="2">
        <v>0</v>
      </c>
      <c r="AF2344" s="2" t="s">
        <v>20221</v>
      </c>
      <c r="AG2344" s="2" t="s">
        <v>194</v>
      </c>
      <c r="AH2344" s="2" t="s">
        <v>20222</v>
      </c>
      <c r="AI2344" s="2">
        <v>1.67</v>
      </c>
      <c r="AJ2344" s="2">
        <v>21.0668723661082</v>
      </c>
      <c r="AK2344" s="2">
        <v>21.2367012028384</v>
      </c>
      <c r="AL2344" s="2">
        <v>21.157321693703199</v>
      </c>
      <c r="AM2344" s="2">
        <v>21.1509505913046</v>
      </c>
      <c r="AN2344" s="2">
        <v>21.244002434305902</v>
      </c>
      <c r="AO2344" s="2">
        <v>21.203806623297702</v>
      </c>
      <c r="AP2344" s="2">
        <v>21.043626701723898</v>
      </c>
      <c r="AQ2344" s="2">
        <v>21.396551915787999</v>
      </c>
      <c r="AR2344" s="2">
        <v>20.618665951832099</v>
      </c>
      <c r="AS2344" s="2">
        <v>20.781881409797101</v>
      </c>
      <c r="AT2344" s="2">
        <v>21.394111724150001</v>
      </c>
      <c r="AU2344" s="2">
        <v>19.9149606441452</v>
      </c>
      <c r="AV2344" s="2">
        <v>20.946002387055099</v>
      </c>
      <c r="AW2344" s="2">
        <v>21.302972855957201</v>
      </c>
      <c r="AX2344" s="2">
        <v>20.870349990972802</v>
      </c>
      <c r="AY2344" s="2">
        <v>20.730879359740001</v>
      </c>
      <c r="AZ2344" s="2">
        <v>20.7422147097252</v>
      </c>
      <c r="BA2344" s="2">
        <v>20.235806033862399</v>
      </c>
      <c r="BB2344" s="2">
        <v>21.1451168530823</v>
      </c>
      <c r="BC2344" s="2">
        <v>21.2318574342099</v>
      </c>
      <c r="BD2344" s="2">
        <v>19.8886466599761</v>
      </c>
      <c r="BE2344" s="2">
        <v>20.623468971498301</v>
      </c>
      <c r="BF2344" s="2">
        <v>21.4946332120122</v>
      </c>
      <c r="BG2344" s="2">
        <v>21.1769356190627</v>
      </c>
      <c r="BH2344" s="2">
        <v>20.4558839623894</v>
      </c>
      <c r="BI2344" s="2">
        <v>20.778410561146199</v>
      </c>
      <c r="BJ2344" s="2">
        <v>21.598785146279798</v>
      </c>
      <c r="BK2344" s="2">
        <v>20.7378263540311</v>
      </c>
      <c r="BL2344" s="2">
        <v>20.159274729303199</v>
      </c>
      <c r="BM2344" s="2">
        <v>20.301855303524601</v>
      </c>
      <c r="BN2344" s="2">
        <v>20.6523373186863</v>
      </c>
      <c r="BO2344" s="2">
        <v>20.221532393307701</v>
      </c>
      <c r="BP2344" s="2">
        <v>21.210603495908199</v>
      </c>
      <c r="BQ2344" s="2">
        <v>21.1226987193653</v>
      </c>
      <c r="BR2344" s="2">
        <v>21.340149565729298</v>
      </c>
      <c r="BS2344" s="2">
        <v>21.1735225352543</v>
      </c>
      <c r="BT2344" s="2">
        <v>20.1611310216589</v>
      </c>
      <c r="BU2344" s="2">
        <v>22.638200174386501</v>
      </c>
      <c r="BV2344" s="2">
        <v>21.0275814854032</v>
      </c>
      <c r="BW2344" s="2">
        <v>20.385282799953099</v>
      </c>
      <c r="BX2344" s="2">
        <v>20.158456465714998</v>
      </c>
      <c r="BY2344" s="2">
        <v>21.441192692711802</v>
      </c>
      <c r="BZ2344" s="2">
        <v>20.774078198598701</v>
      </c>
      <c r="CA2344" s="2">
        <v>21.437462242204099</v>
      </c>
      <c r="CB2344" s="2">
        <v>20.474216978128901</v>
      </c>
      <c r="CC2344" s="2">
        <v>20.7754125495658</v>
      </c>
      <c r="CD2344" s="2">
        <v>21.854791295887299</v>
      </c>
      <c r="CE2344" s="2">
        <v>21.047372216162799</v>
      </c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</row>
    <row r="2345" spans="1:97">
      <c r="A2345" s="2" t="s">
        <v>20223</v>
      </c>
      <c r="B2345" s="2">
        <v>384.20348999999999</v>
      </c>
      <c r="C2345" s="2">
        <v>4.9390000000000001</v>
      </c>
      <c r="D2345" s="2" t="s">
        <v>84</v>
      </c>
      <c r="E2345" s="2" t="s">
        <v>20224</v>
      </c>
      <c r="F2345" s="2" t="s">
        <v>20225</v>
      </c>
      <c r="G2345" s="2">
        <v>207395</v>
      </c>
      <c r="H2345" s="3" t="str">
        <f>HYPERLINK("https://cloud.oebiotech.com/#/lm/network/207395", "https://cloud.oebiotech.com/#/lm/network/207395")</f>
        <v>https://cloud.oebiotech.com/#/lm/network/207395</v>
      </c>
      <c r="I2345" s="2" t="s">
        <v>20226</v>
      </c>
      <c r="J2345" s="2"/>
      <c r="K2345" s="2"/>
      <c r="L2345" s="2">
        <v>11617559</v>
      </c>
      <c r="M2345" s="2"/>
      <c r="N2345" s="2"/>
      <c r="O2345" s="2"/>
      <c r="P2345" s="2"/>
      <c r="Q2345" s="2"/>
      <c r="R2345" s="2"/>
      <c r="S2345" s="2"/>
      <c r="T2345" s="2" t="s">
        <v>20227</v>
      </c>
      <c r="U2345" s="2" t="s">
        <v>20228</v>
      </c>
      <c r="V2345" s="2" t="s">
        <v>385</v>
      </c>
      <c r="W2345" s="2" t="s">
        <v>3055</v>
      </c>
      <c r="X2345" s="2" t="s">
        <v>4768</v>
      </c>
      <c r="Y2345" s="2" t="s">
        <v>388</v>
      </c>
      <c r="Z2345" s="2" t="s">
        <v>3056</v>
      </c>
      <c r="AA2345" s="2" t="s">
        <v>4769</v>
      </c>
      <c r="AB2345" s="2" t="s">
        <v>8443</v>
      </c>
      <c r="AC2345" s="2">
        <v>36.950000000000003</v>
      </c>
      <c r="AD2345" s="2">
        <v>86.26</v>
      </c>
      <c r="AE2345" s="2">
        <v>0</v>
      </c>
      <c r="AF2345" s="2" t="s">
        <v>20229</v>
      </c>
      <c r="AG2345" s="2" t="s">
        <v>132</v>
      </c>
      <c r="AH2345" s="2" t="s">
        <v>20230</v>
      </c>
      <c r="AI2345" s="2">
        <v>-1.3</v>
      </c>
      <c r="AJ2345" s="2">
        <v>18.9786280183109</v>
      </c>
      <c r="AK2345" s="2">
        <v>18.884741711348099</v>
      </c>
      <c r="AL2345" s="2">
        <v>18.744581924505201</v>
      </c>
      <c r="AM2345" s="2">
        <v>18.758348414316199</v>
      </c>
      <c r="AN2345" s="2">
        <v>18.918735937434398</v>
      </c>
      <c r="AO2345" s="2">
        <v>18.749331628466301</v>
      </c>
      <c r="AP2345" s="2">
        <v>18.370289459850401</v>
      </c>
      <c r="AQ2345" s="2">
        <v>18.678026191399798</v>
      </c>
      <c r="AR2345" s="2">
        <v>15.854035837748899</v>
      </c>
      <c r="AS2345" s="2">
        <v>14.5633953084466</v>
      </c>
      <c r="AT2345" s="2">
        <v>9.6233145402724691</v>
      </c>
      <c r="AU2345" s="2">
        <v>16.0606490737316</v>
      </c>
      <c r="AV2345" s="2">
        <v>15.2925067754139</v>
      </c>
      <c r="AW2345" s="2">
        <v>16.675055618143801</v>
      </c>
      <c r="AX2345" s="2">
        <v>9.6233145402724691</v>
      </c>
      <c r="AY2345" s="2">
        <v>9.6233145402724691</v>
      </c>
      <c r="AZ2345" s="2">
        <v>9.6233145402724691</v>
      </c>
      <c r="BA2345" s="2">
        <v>9.6233145402724691</v>
      </c>
      <c r="BB2345" s="2">
        <v>15.2076523000772</v>
      </c>
      <c r="BC2345" s="2">
        <v>9.6233145402724691</v>
      </c>
      <c r="BD2345" s="2">
        <v>9.6233145402724691</v>
      </c>
      <c r="BE2345" s="2">
        <v>14.7076902150341</v>
      </c>
      <c r="BF2345" s="2">
        <v>17.851840280404801</v>
      </c>
      <c r="BG2345" s="2">
        <v>9.6233145402724691</v>
      </c>
      <c r="BH2345" s="2">
        <v>15.9758168519484</v>
      </c>
      <c r="BI2345" s="2">
        <v>9.6233145402724691</v>
      </c>
      <c r="BJ2345" s="2">
        <v>14.9366991234323</v>
      </c>
      <c r="BK2345" s="2">
        <v>15.652806888934601</v>
      </c>
      <c r="BL2345" s="2">
        <v>9.6233145402724691</v>
      </c>
      <c r="BM2345" s="2">
        <v>21.173598316052999</v>
      </c>
      <c r="BN2345" s="2">
        <v>14.904532549452799</v>
      </c>
      <c r="BO2345" s="2">
        <v>9.6233145402724691</v>
      </c>
      <c r="BP2345" s="2">
        <v>9.6233145402724691</v>
      </c>
      <c r="BQ2345" s="2">
        <v>14.5608695650056</v>
      </c>
      <c r="BR2345" s="2">
        <v>9.6233145402724691</v>
      </c>
      <c r="BS2345" s="2">
        <v>9.6233145402724691</v>
      </c>
      <c r="BT2345" s="2">
        <v>9.6233145402724691</v>
      </c>
      <c r="BU2345" s="2">
        <v>9.6233145402724691</v>
      </c>
      <c r="BV2345" s="2">
        <v>15.8523427233134</v>
      </c>
      <c r="BW2345" s="2">
        <v>9.6233145402724691</v>
      </c>
      <c r="BX2345" s="2">
        <v>15.898076057065101</v>
      </c>
      <c r="BY2345" s="2">
        <v>16.731634055766001</v>
      </c>
      <c r="BZ2345" s="2">
        <v>9.6233145402724691</v>
      </c>
      <c r="CA2345" s="2">
        <v>24.099684212364298</v>
      </c>
      <c r="CB2345" s="2">
        <v>19.3718544337864</v>
      </c>
      <c r="CC2345" s="2">
        <v>14.6335333818938</v>
      </c>
      <c r="CD2345" s="2">
        <v>15.140585760250101</v>
      </c>
      <c r="CE2345" s="2">
        <v>9.6233145402724691</v>
      </c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</row>
    <row r="2346" spans="1:97">
      <c r="A2346" s="2" t="s">
        <v>20231</v>
      </c>
      <c r="B2346" s="2">
        <v>395.31578999999999</v>
      </c>
      <c r="C2346" s="2">
        <v>13.673</v>
      </c>
      <c r="D2346" s="2" t="s">
        <v>146</v>
      </c>
      <c r="E2346" s="2" t="s">
        <v>20232</v>
      </c>
      <c r="F2346" s="2" t="s">
        <v>20233</v>
      </c>
      <c r="G2346" s="2">
        <v>113956</v>
      </c>
      <c r="H2346" s="3" t="str">
        <f>HYPERLINK("https://cloud.oebiotech.com/#/lm/network/113956", "https://cloud.oebiotech.com/#/lm/network/113956")</f>
        <v>https://cloud.oebiotech.com/#/lm/network/113956</v>
      </c>
      <c r="I2346" s="2" t="s">
        <v>20234</v>
      </c>
      <c r="J2346" s="2"/>
      <c r="K2346" s="2"/>
      <c r="L2346" s="2">
        <v>131802187</v>
      </c>
      <c r="M2346" s="2"/>
      <c r="N2346" s="2"/>
      <c r="O2346" s="2"/>
      <c r="P2346" s="2"/>
      <c r="Q2346" s="2"/>
      <c r="R2346" s="2"/>
      <c r="S2346" s="2"/>
      <c r="T2346" s="2" t="s">
        <v>20235</v>
      </c>
      <c r="U2346" s="2" t="s">
        <v>20236</v>
      </c>
      <c r="V2346" s="2" t="s">
        <v>95</v>
      </c>
      <c r="W2346" s="2" t="s">
        <v>7709</v>
      </c>
      <c r="X2346" s="2" t="s">
        <v>9387</v>
      </c>
      <c r="Y2346" s="2" t="s">
        <v>98</v>
      </c>
      <c r="Z2346" s="2" t="s">
        <v>7711</v>
      </c>
      <c r="AA2346" s="2" t="s">
        <v>9388</v>
      </c>
      <c r="AB2346" s="2" t="s">
        <v>8443</v>
      </c>
      <c r="AC2346" s="2">
        <v>36.950000000000003</v>
      </c>
      <c r="AD2346" s="2">
        <v>84.75</v>
      </c>
      <c r="AE2346" s="2">
        <v>0</v>
      </c>
      <c r="AF2346" s="2" t="s">
        <v>5614</v>
      </c>
      <c r="AG2346" s="2" t="s">
        <v>993</v>
      </c>
      <c r="AH2346" s="2" t="s">
        <v>20237</v>
      </c>
      <c r="AI2346" s="2">
        <v>0.76</v>
      </c>
      <c r="AJ2346" s="2">
        <v>17.317581316401299</v>
      </c>
      <c r="AK2346" s="2">
        <v>16.7745582750712</v>
      </c>
      <c r="AL2346" s="2">
        <v>16.670249327394899</v>
      </c>
      <c r="AM2346" s="2">
        <v>16.365837477455301</v>
      </c>
      <c r="AN2346" s="2">
        <v>16.9456528958709</v>
      </c>
      <c r="AO2346" s="2">
        <v>16.5273424496575</v>
      </c>
      <c r="AP2346" s="2">
        <v>17.120010007830899</v>
      </c>
      <c r="AQ2346" s="2">
        <v>16.775675989578101</v>
      </c>
      <c r="AR2346" s="2">
        <v>15.0360344888238</v>
      </c>
      <c r="AS2346" s="2">
        <v>16.076477843313899</v>
      </c>
      <c r="AT2346" s="2">
        <v>16.2700257085957</v>
      </c>
      <c r="AU2346" s="2">
        <v>15.0350800131779</v>
      </c>
      <c r="AV2346" s="2">
        <v>14.896194258867499</v>
      </c>
      <c r="AW2346" s="2">
        <v>16.8563056394993</v>
      </c>
      <c r="AX2346" s="2">
        <v>15.5263228650002</v>
      </c>
      <c r="AY2346" s="2">
        <v>16.957372113395</v>
      </c>
      <c r="AZ2346" s="2">
        <v>16.0443307182809</v>
      </c>
      <c r="BA2346" s="2">
        <v>16.9925170756749</v>
      </c>
      <c r="BB2346" s="2">
        <v>16.368834836417399</v>
      </c>
      <c r="BC2346" s="2">
        <v>16.6773685310155</v>
      </c>
      <c r="BD2346" s="2">
        <v>14.124017081103799</v>
      </c>
      <c r="BE2346" s="2">
        <v>16.654124685101699</v>
      </c>
      <c r="BF2346" s="2">
        <v>16.131518588370401</v>
      </c>
      <c r="BG2346" s="2">
        <v>16.7013194591527</v>
      </c>
      <c r="BH2346" s="2">
        <v>14.769027339470201</v>
      </c>
      <c r="BI2346" s="2">
        <v>16.3122191217481</v>
      </c>
      <c r="BJ2346" s="2">
        <v>16.7920068258769</v>
      </c>
      <c r="BK2346" s="2">
        <v>12.911545537555201</v>
      </c>
      <c r="BL2346" s="2">
        <v>15.7187616235605</v>
      </c>
      <c r="BM2346" s="2">
        <v>16.122875302137398</v>
      </c>
      <c r="BN2346" s="2">
        <v>15.3461120052325</v>
      </c>
      <c r="BO2346" s="2">
        <v>16.7783954567875</v>
      </c>
      <c r="BP2346" s="2">
        <v>15.518329508714301</v>
      </c>
      <c r="BQ2346" s="2">
        <v>17.247234306811901</v>
      </c>
      <c r="BR2346" s="2">
        <v>15.2775634736916</v>
      </c>
      <c r="BS2346" s="2">
        <v>16.555725551288202</v>
      </c>
      <c r="BT2346" s="2">
        <v>17.298081546654199</v>
      </c>
      <c r="BU2346" s="2">
        <v>16.576876676736699</v>
      </c>
      <c r="BV2346" s="2">
        <v>16.5833096402623</v>
      </c>
      <c r="BW2346" s="2">
        <v>15.606267842434301</v>
      </c>
      <c r="BX2346" s="2">
        <v>15.563884439511501</v>
      </c>
      <c r="BY2346" s="2">
        <v>16.849411576444499</v>
      </c>
      <c r="BZ2346" s="2">
        <v>17.101251947204499</v>
      </c>
      <c r="CA2346" s="2">
        <v>16.027206244171801</v>
      </c>
      <c r="CB2346" s="2">
        <v>15.5054878042148</v>
      </c>
      <c r="CC2346" s="2">
        <v>15.7611023980472</v>
      </c>
      <c r="CD2346" s="2">
        <v>17.4784429035528</v>
      </c>
      <c r="CE2346" s="2">
        <v>16.404017909998501</v>
      </c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</row>
    <row r="2347" spans="1:97">
      <c r="A2347" s="2" t="s">
        <v>20238</v>
      </c>
      <c r="B2347" s="2">
        <v>1001.6939</v>
      </c>
      <c r="C2347" s="2">
        <v>10.901</v>
      </c>
      <c r="D2347" s="2" t="s">
        <v>84</v>
      </c>
      <c r="E2347" s="2" t="s">
        <v>20239</v>
      </c>
      <c r="F2347" s="2" t="s">
        <v>20240</v>
      </c>
      <c r="G2347" s="2">
        <v>13396</v>
      </c>
      <c r="H2347" s="3" t="str">
        <f>HYPERLINK("https://cloud.oebiotech.com/#/lm/network/13396", "https://cloud.oebiotech.com/#/lm/network/13396")</f>
        <v>https://cloud.oebiotech.com/#/lm/network/13396</v>
      </c>
      <c r="I2347" s="2"/>
      <c r="J2347" s="2">
        <v>38786</v>
      </c>
      <c r="K2347" s="2" t="s">
        <v>20241</v>
      </c>
      <c r="L2347" s="2">
        <v>9546248</v>
      </c>
      <c r="M2347" s="2"/>
      <c r="N2347" s="2"/>
      <c r="O2347" s="2"/>
      <c r="P2347" s="2"/>
      <c r="Q2347" s="2"/>
      <c r="R2347" s="2"/>
      <c r="S2347" s="2"/>
      <c r="T2347" s="2" t="s">
        <v>20242</v>
      </c>
      <c r="U2347" s="2" t="s">
        <v>20243</v>
      </c>
      <c r="V2347" s="2" t="s">
        <v>95</v>
      </c>
      <c r="W2347" s="2" t="s">
        <v>7709</v>
      </c>
      <c r="X2347" s="2" t="s">
        <v>10776</v>
      </c>
      <c r="Y2347" s="2" t="s">
        <v>98</v>
      </c>
      <c r="Z2347" s="2" t="s">
        <v>7711</v>
      </c>
      <c r="AA2347" s="2" t="s">
        <v>10777</v>
      </c>
      <c r="AB2347" s="2" t="s">
        <v>8443</v>
      </c>
      <c r="AC2347" s="2">
        <v>36.950000000000003</v>
      </c>
      <c r="AD2347" s="2">
        <v>74.180000000000007</v>
      </c>
      <c r="AE2347" s="2">
        <v>42.62</v>
      </c>
      <c r="AF2347" s="2" t="s">
        <v>20244</v>
      </c>
      <c r="AG2347" s="2" t="s">
        <v>3544</v>
      </c>
      <c r="AH2347" s="2" t="s">
        <v>20245</v>
      </c>
      <c r="AI2347" s="2">
        <v>5.59</v>
      </c>
      <c r="AJ2347" s="2">
        <v>19.804380973626898</v>
      </c>
      <c r="AK2347" s="2">
        <v>19.403452767705101</v>
      </c>
      <c r="AL2347" s="2">
        <v>19.582155178952501</v>
      </c>
      <c r="AM2347" s="2">
        <v>19.495329098073402</v>
      </c>
      <c r="AN2347" s="2">
        <v>18.591262606819399</v>
      </c>
      <c r="AO2347" s="2">
        <v>19.488278231567602</v>
      </c>
      <c r="AP2347" s="2">
        <v>20.101837660586799</v>
      </c>
      <c r="AQ2347" s="2">
        <v>19.8800453845631</v>
      </c>
      <c r="AR2347" s="2">
        <v>19.7712183067975</v>
      </c>
      <c r="AS2347" s="2">
        <v>17.7356618555667</v>
      </c>
      <c r="AT2347" s="2">
        <v>18.4855857107353</v>
      </c>
      <c r="AU2347" s="2">
        <v>17.550857162359499</v>
      </c>
      <c r="AV2347" s="2">
        <v>19.094850443092199</v>
      </c>
      <c r="AW2347" s="2">
        <v>19.201176260916199</v>
      </c>
      <c r="AX2347" s="2">
        <v>19.434316631571299</v>
      </c>
      <c r="AY2347" s="2">
        <v>18.294549630012199</v>
      </c>
      <c r="AZ2347" s="2">
        <v>19.240364575783499</v>
      </c>
      <c r="BA2347" s="2">
        <v>15.9641558255936</v>
      </c>
      <c r="BB2347" s="2">
        <v>19.010504093914101</v>
      </c>
      <c r="BC2347" s="2">
        <v>20.9877804934391</v>
      </c>
      <c r="BD2347" s="2">
        <v>17.514077711686198</v>
      </c>
      <c r="BE2347" s="2">
        <v>20.6995448091165</v>
      </c>
      <c r="BF2347" s="2">
        <v>18.778820756879501</v>
      </c>
      <c r="BG2347" s="2">
        <v>19.962206165935999</v>
      </c>
      <c r="BH2347" s="2">
        <v>19.176346125564699</v>
      </c>
      <c r="BI2347" s="2">
        <v>19.667625250589101</v>
      </c>
      <c r="BJ2347" s="2">
        <v>19.447552844341399</v>
      </c>
      <c r="BK2347" s="2">
        <v>17.641455148828499</v>
      </c>
      <c r="BL2347" s="2">
        <v>19.002938925978199</v>
      </c>
      <c r="BM2347" s="2">
        <v>18.327150206907501</v>
      </c>
      <c r="BN2347" s="2">
        <v>17.745393143844701</v>
      </c>
      <c r="BO2347" s="2">
        <v>19.1092104854764</v>
      </c>
      <c r="BP2347" s="2">
        <v>19.420750518882102</v>
      </c>
      <c r="BQ2347" s="2">
        <v>18.0967243668739</v>
      </c>
      <c r="BR2347" s="2">
        <v>19.843965095422298</v>
      </c>
      <c r="BS2347" s="2">
        <v>18.532197315094098</v>
      </c>
      <c r="BT2347" s="2">
        <v>18.748354075643402</v>
      </c>
      <c r="BU2347" s="2">
        <v>18.403573219609399</v>
      </c>
      <c r="BV2347" s="2">
        <v>19.197597520976501</v>
      </c>
      <c r="BW2347" s="2">
        <v>17.3042943636061</v>
      </c>
      <c r="BX2347" s="2">
        <v>18.685240635158099</v>
      </c>
      <c r="BY2347" s="2">
        <v>20.743948959139999</v>
      </c>
      <c r="BZ2347" s="2">
        <v>19.2685974864496</v>
      </c>
      <c r="CA2347" s="2">
        <v>19.294283564956199</v>
      </c>
      <c r="CB2347" s="2">
        <v>18.410513419645099</v>
      </c>
      <c r="CC2347" s="2">
        <v>18.037620841288899</v>
      </c>
      <c r="CD2347" s="2">
        <v>19.7782921204433</v>
      </c>
      <c r="CE2347" s="2">
        <v>18.058479435924799</v>
      </c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</row>
    <row r="2348" spans="1:97">
      <c r="A2348" s="2" t="s">
        <v>20246</v>
      </c>
      <c r="B2348" s="2">
        <v>403.01456999999999</v>
      </c>
      <c r="C2348" s="2">
        <v>4.95</v>
      </c>
      <c r="D2348" s="2" t="s">
        <v>146</v>
      </c>
      <c r="E2348" s="2" t="s">
        <v>20247</v>
      </c>
      <c r="F2348" s="2" t="s">
        <v>20248</v>
      </c>
      <c r="G2348" s="2">
        <v>2884</v>
      </c>
      <c r="H2348" s="3" t="str">
        <f>HYPERLINK("https://cloud.oebiotech.com/#/lm/network/2884", "https://cloud.oebiotech.com/#/lm/network/2884")</f>
        <v>https://cloud.oebiotech.com/#/lm/network/2884</v>
      </c>
      <c r="I2348" s="2"/>
      <c r="J2348" s="2">
        <v>45915</v>
      </c>
      <c r="K2348" s="2" t="s">
        <v>20249</v>
      </c>
      <c r="L2348" s="2">
        <v>54675766</v>
      </c>
      <c r="M2348" s="2" t="s">
        <v>20250</v>
      </c>
      <c r="N2348" s="2"/>
      <c r="O2348" s="2"/>
      <c r="P2348" s="2">
        <v>17424</v>
      </c>
      <c r="Q2348" s="2"/>
      <c r="R2348" s="2"/>
      <c r="S2348" s="2"/>
      <c r="T2348" s="2" t="s">
        <v>20251</v>
      </c>
      <c r="U2348" s="2" t="s">
        <v>20252</v>
      </c>
      <c r="V2348" s="2" t="s">
        <v>115</v>
      </c>
      <c r="W2348" s="2" t="s">
        <v>116</v>
      </c>
      <c r="X2348" s="2" t="s">
        <v>1642</v>
      </c>
      <c r="Y2348" s="2" t="s">
        <v>118</v>
      </c>
      <c r="Z2348" s="2" t="s">
        <v>119</v>
      </c>
      <c r="AA2348" s="2" t="s">
        <v>1643</v>
      </c>
      <c r="AB2348" s="2" t="s">
        <v>8443</v>
      </c>
      <c r="AC2348" s="2">
        <v>36.950000000000003</v>
      </c>
      <c r="AD2348" s="2">
        <v>89.72</v>
      </c>
      <c r="AE2348" s="2">
        <v>0</v>
      </c>
      <c r="AF2348" s="2" t="s">
        <v>20253</v>
      </c>
      <c r="AG2348" s="2" t="s">
        <v>3880</v>
      </c>
      <c r="AH2348" s="2" t="s">
        <v>20254</v>
      </c>
      <c r="AI2348" s="2">
        <v>1.99</v>
      </c>
      <c r="AJ2348" s="2">
        <v>18.1293756479545</v>
      </c>
      <c r="AK2348" s="2">
        <v>17.931337084761601</v>
      </c>
      <c r="AL2348" s="2">
        <v>18.102317300376701</v>
      </c>
      <c r="AM2348" s="2">
        <v>18.094482118578799</v>
      </c>
      <c r="AN2348" s="2">
        <v>18.2580490829036</v>
      </c>
      <c r="AO2348" s="2">
        <v>18.111205883326299</v>
      </c>
      <c r="AP2348" s="2">
        <v>18.0730524226448</v>
      </c>
      <c r="AQ2348" s="2">
        <v>18.185174372512101</v>
      </c>
      <c r="AR2348" s="2">
        <v>16.853241196358699</v>
      </c>
      <c r="AS2348" s="2">
        <v>15.3466176101172</v>
      </c>
      <c r="AT2348" s="2">
        <v>17.163988357502301</v>
      </c>
      <c r="AU2348" s="2">
        <v>18.6759294750868</v>
      </c>
      <c r="AV2348" s="2">
        <v>17.341451065022799</v>
      </c>
      <c r="AW2348" s="2">
        <v>17.4581127508314</v>
      </c>
      <c r="AX2348" s="2">
        <v>16.288597381791899</v>
      </c>
      <c r="AY2348" s="2">
        <v>15.534242079797799</v>
      </c>
      <c r="AZ2348" s="2">
        <v>17.0339975173478</v>
      </c>
      <c r="BA2348" s="2">
        <v>18.844421416521602</v>
      </c>
      <c r="BB2348" s="2">
        <v>19.0765051400092</v>
      </c>
      <c r="BC2348" s="2">
        <v>18.752331412437801</v>
      </c>
      <c r="BD2348" s="2">
        <v>18.714328370959201</v>
      </c>
      <c r="BE2348" s="2">
        <v>17.437985194488501</v>
      </c>
      <c r="BF2348" s="2">
        <v>17.5731291732572</v>
      </c>
      <c r="BG2348" s="2">
        <v>17.793368344211299</v>
      </c>
      <c r="BH2348" s="2">
        <v>18.590947832057001</v>
      </c>
      <c r="BI2348" s="2">
        <v>16.569014631545699</v>
      </c>
      <c r="BJ2348" s="2">
        <v>19.226823508840901</v>
      </c>
      <c r="BK2348" s="2">
        <v>19.2302990412947</v>
      </c>
      <c r="BL2348" s="2">
        <v>17.9366243101625</v>
      </c>
      <c r="BM2348" s="2">
        <v>17.811197180721599</v>
      </c>
      <c r="BN2348" s="2">
        <v>18.3272826397716</v>
      </c>
      <c r="BO2348" s="2">
        <v>18.596975639895501</v>
      </c>
      <c r="BP2348" s="2">
        <v>16.715932639646901</v>
      </c>
      <c r="BQ2348" s="2">
        <v>16.6243852424981</v>
      </c>
      <c r="BR2348" s="2">
        <v>16.6062769526567</v>
      </c>
      <c r="BS2348" s="2">
        <v>16.685044267013101</v>
      </c>
      <c r="BT2348" s="2">
        <v>19.524057219357001</v>
      </c>
      <c r="BU2348" s="2">
        <v>18.880478434413298</v>
      </c>
      <c r="BV2348" s="2">
        <v>18.5616383421625</v>
      </c>
      <c r="BW2348" s="2">
        <v>17.7578152646017</v>
      </c>
      <c r="BX2348" s="2">
        <v>18.4402696499786</v>
      </c>
      <c r="BY2348" s="2">
        <v>17.606010924936601</v>
      </c>
      <c r="BZ2348" s="2">
        <v>16.6497494650101</v>
      </c>
      <c r="CA2348" s="2">
        <v>17.593527609176299</v>
      </c>
      <c r="CB2348" s="2">
        <v>17.748704412355501</v>
      </c>
      <c r="CC2348" s="2">
        <v>16.587639825655099</v>
      </c>
      <c r="CD2348" s="2">
        <v>18.864148503435</v>
      </c>
      <c r="CE2348" s="2">
        <v>19.099070117078099</v>
      </c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</row>
    <row r="2349" spans="1:97">
      <c r="A2349" s="2" t="s">
        <v>20255</v>
      </c>
      <c r="B2349" s="2">
        <v>1003.70713</v>
      </c>
      <c r="C2349" s="2">
        <v>10.891999999999999</v>
      </c>
      <c r="D2349" s="2" t="s">
        <v>84</v>
      </c>
      <c r="E2349" s="2" t="s">
        <v>20256</v>
      </c>
      <c r="F2349" s="2" t="s">
        <v>20257</v>
      </c>
      <c r="G2349" s="2">
        <v>13351</v>
      </c>
      <c r="H2349" s="3" t="str">
        <f>HYPERLINK("https://cloud.oebiotech.com/#/lm/network/13351", "https://cloud.oebiotech.com/#/lm/network/13351")</f>
        <v>https://cloud.oebiotech.com/#/lm/network/13351</v>
      </c>
      <c r="I2349" s="2"/>
      <c r="J2349" s="2">
        <v>38741</v>
      </c>
      <c r="K2349" s="2" t="s">
        <v>20258</v>
      </c>
      <c r="L2349" s="2">
        <v>9546203</v>
      </c>
      <c r="M2349" s="2"/>
      <c r="N2349" s="2"/>
      <c r="O2349" s="2"/>
      <c r="P2349" s="2"/>
      <c r="Q2349" s="2"/>
      <c r="R2349" s="2"/>
      <c r="S2349" s="2"/>
      <c r="T2349" s="2" t="s">
        <v>20259</v>
      </c>
      <c r="U2349" s="2" t="s">
        <v>20260</v>
      </c>
      <c r="V2349" s="2" t="s">
        <v>95</v>
      </c>
      <c r="W2349" s="2" t="s">
        <v>7709</v>
      </c>
      <c r="X2349" s="2" t="s">
        <v>10776</v>
      </c>
      <c r="Y2349" s="2" t="s">
        <v>98</v>
      </c>
      <c r="Z2349" s="2" t="s">
        <v>7711</v>
      </c>
      <c r="AA2349" s="2" t="s">
        <v>10777</v>
      </c>
      <c r="AB2349" s="2" t="s">
        <v>8443</v>
      </c>
      <c r="AC2349" s="2">
        <v>36.94</v>
      </c>
      <c r="AD2349" s="2">
        <v>88.67</v>
      </c>
      <c r="AE2349" s="2">
        <v>42.31</v>
      </c>
      <c r="AF2349" s="2" t="s">
        <v>20261</v>
      </c>
      <c r="AG2349" s="2" t="s">
        <v>3544</v>
      </c>
      <c r="AH2349" s="2" t="s">
        <v>20262</v>
      </c>
      <c r="AI2349" s="2">
        <v>7.97</v>
      </c>
      <c r="AJ2349" s="2">
        <v>19.878984993910699</v>
      </c>
      <c r="AK2349" s="2">
        <v>19.802901113689199</v>
      </c>
      <c r="AL2349" s="2">
        <v>19.851684954164501</v>
      </c>
      <c r="AM2349" s="2">
        <v>20.0785420484873</v>
      </c>
      <c r="AN2349" s="2">
        <v>19.892781825036</v>
      </c>
      <c r="AO2349" s="2">
        <v>20.130480170335399</v>
      </c>
      <c r="AP2349" s="2">
        <v>20.053693669037902</v>
      </c>
      <c r="AQ2349" s="2">
        <v>20.078297488210399</v>
      </c>
      <c r="AR2349" s="2">
        <v>20.450564330345902</v>
      </c>
      <c r="AS2349" s="2">
        <v>17.5937630561357</v>
      </c>
      <c r="AT2349" s="2">
        <v>18.790187027148502</v>
      </c>
      <c r="AU2349" s="2">
        <v>18.787304457511901</v>
      </c>
      <c r="AV2349" s="2">
        <v>19.654018645369199</v>
      </c>
      <c r="AW2349" s="2">
        <v>19.3436497800718</v>
      </c>
      <c r="AX2349" s="2">
        <v>19.444775073463699</v>
      </c>
      <c r="AY2349" s="2">
        <v>19.094371394109402</v>
      </c>
      <c r="AZ2349" s="2">
        <v>19.999390915274599</v>
      </c>
      <c r="BA2349" s="2">
        <v>17.104315976952901</v>
      </c>
      <c r="BB2349" s="2">
        <v>19.484742370433899</v>
      </c>
      <c r="BC2349" s="2">
        <v>20.7420858399785</v>
      </c>
      <c r="BD2349" s="2">
        <v>19.379745073991899</v>
      </c>
      <c r="BE2349" s="2">
        <v>20.835927257616</v>
      </c>
      <c r="BF2349" s="2">
        <v>19.273899383871399</v>
      </c>
      <c r="BG2349" s="2">
        <v>20.208620647516199</v>
      </c>
      <c r="BH2349" s="2">
        <v>20.490855918942501</v>
      </c>
      <c r="BI2349" s="2">
        <v>20.0559211769916</v>
      </c>
      <c r="BJ2349" s="2">
        <v>19.574529631974801</v>
      </c>
      <c r="BK2349" s="2">
        <v>18.262531257386701</v>
      </c>
      <c r="BL2349" s="2">
        <v>20.273150453387299</v>
      </c>
      <c r="BM2349" s="2">
        <v>19.457484787884201</v>
      </c>
      <c r="BN2349" s="2">
        <v>20.159624736744799</v>
      </c>
      <c r="BO2349" s="2">
        <v>19.7948930620224</v>
      </c>
      <c r="BP2349" s="2">
        <v>19.581070833887701</v>
      </c>
      <c r="BQ2349" s="2">
        <v>19.842438326785299</v>
      </c>
      <c r="BR2349" s="2">
        <v>20.268352751123398</v>
      </c>
      <c r="BS2349" s="2">
        <v>19.891361599786201</v>
      </c>
      <c r="BT2349" s="2">
        <v>20.172759754076999</v>
      </c>
      <c r="BU2349" s="2">
        <v>19.2224833589651</v>
      </c>
      <c r="BV2349" s="2">
        <v>19.737490521789699</v>
      </c>
      <c r="BW2349" s="2">
        <v>19.002451709036201</v>
      </c>
      <c r="BX2349" s="2">
        <v>19.103571170767701</v>
      </c>
      <c r="BY2349" s="2">
        <v>21.3034118615412</v>
      </c>
      <c r="BZ2349" s="2">
        <v>19.131186669377499</v>
      </c>
      <c r="CA2349" s="2">
        <v>20.363487396920799</v>
      </c>
      <c r="CB2349" s="2">
        <v>19.4833363235782</v>
      </c>
      <c r="CC2349" s="2">
        <v>17.962982737902902</v>
      </c>
      <c r="CD2349" s="2">
        <v>20.049705049024102</v>
      </c>
      <c r="CE2349" s="2">
        <v>18.799971413401501</v>
      </c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</row>
    <row r="2350" spans="1:97">
      <c r="A2350" s="2" t="s">
        <v>20263</v>
      </c>
      <c r="B2350" s="2">
        <v>293.12790000000001</v>
      </c>
      <c r="C2350" s="2">
        <v>0.80200000000000005</v>
      </c>
      <c r="D2350" s="2" t="s">
        <v>84</v>
      </c>
      <c r="E2350" s="2" t="s">
        <v>20264</v>
      </c>
      <c r="F2350" s="2" t="s">
        <v>20265</v>
      </c>
      <c r="G2350" s="2">
        <v>199178</v>
      </c>
      <c r="H2350" s="3" t="str">
        <f>HYPERLINK("https://cloud.oebiotech.com/#/lm/network/199178", "https://cloud.oebiotech.com/#/lm/network/199178")</f>
        <v>https://cloud.oebiotech.com/#/lm/network/199178</v>
      </c>
      <c r="I2350" s="2" t="s">
        <v>20266</v>
      </c>
      <c r="J2350" s="2"/>
      <c r="K2350" s="2"/>
      <c r="L2350" s="2">
        <v>3476986</v>
      </c>
      <c r="M2350" s="2"/>
      <c r="N2350" s="2"/>
      <c r="O2350" s="2"/>
      <c r="P2350" s="2">
        <v>75379</v>
      </c>
      <c r="Q2350" s="2"/>
      <c r="R2350" s="2"/>
      <c r="S2350" s="2"/>
      <c r="T2350" s="2" t="s">
        <v>20267</v>
      </c>
      <c r="U2350" s="2" t="s">
        <v>20268</v>
      </c>
      <c r="V2350" s="2" t="s">
        <v>553</v>
      </c>
      <c r="W2350" s="2" t="s">
        <v>1599</v>
      </c>
      <c r="X2350" s="2" t="s">
        <v>20269</v>
      </c>
      <c r="Y2350" s="2" t="s">
        <v>556</v>
      </c>
      <c r="Z2350" s="2" t="s">
        <v>1601</v>
      </c>
      <c r="AA2350" s="2" t="s">
        <v>20270</v>
      </c>
      <c r="AB2350" s="2" t="s">
        <v>8443</v>
      </c>
      <c r="AC2350" s="2">
        <v>36.94</v>
      </c>
      <c r="AD2350" s="2">
        <v>88.27</v>
      </c>
      <c r="AE2350" s="2">
        <v>0</v>
      </c>
      <c r="AF2350" s="2" t="s">
        <v>5614</v>
      </c>
      <c r="AG2350" s="2" t="s">
        <v>103</v>
      </c>
      <c r="AH2350" s="2" t="s">
        <v>20271</v>
      </c>
      <c r="AI2350" s="2">
        <v>1.71</v>
      </c>
      <c r="AJ2350" s="2">
        <v>22.465547891942901</v>
      </c>
      <c r="AK2350" s="2">
        <v>22.006527259952101</v>
      </c>
      <c r="AL2350" s="2">
        <v>22.366175112007401</v>
      </c>
      <c r="AM2350" s="2">
        <v>20.954218849480299</v>
      </c>
      <c r="AN2350" s="2">
        <v>22.333356828192802</v>
      </c>
      <c r="AO2350" s="2">
        <v>22.196370789022001</v>
      </c>
      <c r="AP2350" s="2">
        <v>22.352261028814201</v>
      </c>
      <c r="AQ2350" s="2">
        <v>22.312044196966198</v>
      </c>
      <c r="AR2350" s="2">
        <v>22.4231561648193</v>
      </c>
      <c r="AS2350" s="2">
        <v>22.286706462046698</v>
      </c>
      <c r="AT2350" s="2">
        <v>21.0527248168776</v>
      </c>
      <c r="AU2350" s="2">
        <v>21.4447764330477</v>
      </c>
      <c r="AV2350" s="2">
        <v>22.105461272678401</v>
      </c>
      <c r="AW2350" s="2">
        <v>22.0774796863296</v>
      </c>
      <c r="AX2350" s="2">
        <v>21.983734846596999</v>
      </c>
      <c r="AY2350" s="2">
        <v>22.225979484741401</v>
      </c>
      <c r="AZ2350" s="2">
        <v>22.019163714918601</v>
      </c>
      <c r="BA2350" s="2">
        <v>22.2390373524327</v>
      </c>
      <c r="BB2350" s="2">
        <v>22.240492330041601</v>
      </c>
      <c r="BC2350" s="2">
        <v>21.2155299366981</v>
      </c>
      <c r="BD2350" s="2">
        <v>21.420327607554999</v>
      </c>
      <c r="BE2350" s="2">
        <v>22.002526289519199</v>
      </c>
      <c r="BF2350" s="2">
        <v>22.329644245948501</v>
      </c>
      <c r="BG2350" s="2">
        <v>22.181911851932298</v>
      </c>
      <c r="BH2350" s="2">
        <v>21.649880178975302</v>
      </c>
      <c r="BI2350" s="2">
        <v>22.103590580576199</v>
      </c>
      <c r="BJ2350" s="2">
        <v>22.103885892466401</v>
      </c>
      <c r="BK2350" s="2">
        <v>22.342234528702299</v>
      </c>
      <c r="BL2350" s="2">
        <v>22.4458737958198</v>
      </c>
      <c r="BM2350" s="2">
        <v>22.517704146061099</v>
      </c>
      <c r="BN2350" s="2">
        <v>21.842511005321199</v>
      </c>
      <c r="BO2350" s="2">
        <v>22.171181028567901</v>
      </c>
      <c r="BP2350" s="2">
        <v>21.749978079842801</v>
      </c>
      <c r="BQ2350" s="2">
        <v>21.886818481352499</v>
      </c>
      <c r="BR2350" s="2">
        <v>22.376359704194702</v>
      </c>
      <c r="BS2350" s="2">
        <v>21.737246905589199</v>
      </c>
      <c r="BT2350" s="2">
        <v>20.959813708165601</v>
      </c>
      <c r="BU2350" s="2">
        <v>22.4531229475941</v>
      </c>
      <c r="BV2350" s="2">
        <v>22.441900794518801</v>
      </c>
      <c r="BW2350" s="2">
        <v>22.484907107644599</v>
      </c>
      <c r="BX2350" s="2">
        <v>22.444980007457598</v>
      </c>
      <c r="BY2350" s="2">
        <v>21.9496829057573</v>
      </c>
      <c r="BZ2350" s="2">
        <v>22.579996750301699</v>
      </c>
      <c r="CA2350" s="2">
        <v>22.3882001734307</v>
      </c>
      <c r="CB2350" s="2">
        <v>21.833913137547398</v>
      </c>
      <c r="CC2350" s="2">
        <v>22.0095563604457</v>
      </c>
      <c r="CD2350" s="2">
        <v>21.442738196424202</v>
      </c>
      <c r="CE2350" s="2">
        <v>22.192941545998899</v>
      </c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</row>
    <row r="2351" spans="1:97">
      <c r="A2351" s="2" t="s">
        <v>20272</v>
      </c>
      <c r="B2351" s="2">
        <v>231.06764999999999</v>
      </c>
      <c r="C2351" s="2">
        <v>1.0760000000000001</v>
      </c>
      <c r="D2351" s="2" t="s">
        <v>146</v>
      </c>
      <c r="E2351" s="2" t="s">
        <v>20273</v>
      </c>
      <c r="F2351" s="2" t="s">
        <v>20274</v>
      </c>
      <c r="G2351" s="2">
        <v>209863</v>
      </c>
      <c r="H2351" s="3" t="str">
        <f>HYPERLINK("https://cloud.oebiotech.com/#/lm/network/209863", "https://cloud.oebiotech.com/#/lm/network/209863")</f>
        <v>https://cloud.oebiotech.com/#/lm/network/209863</v>
      </c>
      <c r="I2351" s="2" t="s">
        <v>20275</v>
      </c>
      <c r="J2351" s="2">
        <v>321093</v>
      </c>
      <c r="K2351" s="2"/>
      <c r="L2351" s="2">
        <v>4593</v>
      </c>
      <c r="M2351" s="2"/>
      <c r="N2351" s="2"/>
      <c r="O2351" s="2"/>
      <c r="P2351" s="2"/>
      <c r="Q2351" s="2"/>
      <c r="R2351" s="2"/>
      <c r="S2351" s="2"/>
      <c r="T2351" s="2" t="s">
        <v>20276</v>
      </c>
      <c r="U2351" s="2" t="s">
        <v>20277</v>
      </c>
      <c r="V2351" s="2" t="s">
        <v>553</v>
      </c>
      <c r="W2351" s="2" t="s">
        <v>2447</v>
      </c>
      <c r="X2351" s="2" t="s">
        <v>12825</v>
      </c>
      <c r="Y2351" s="2" t="s">
        <v>556</v>
      </c>
      <c r="Z2351" s="2" t="s">
        <v>2449</v>
      </c>
      <c r="AA2351" s="2" t="s">
        <v>12826</v>
      </c>
      <c r="AB2351" s="2" t="s">
        <v>8443</v>
      </c>
      <c r="AC2351" s="2">
        <v>36.93</v>
      </c>
      <c r="AD2351" s="2">
        <v>90.45</v>
      </c>
      <c r="AE2351" s="2">
        <v>0</v>
      </c>
      <c r="AF2351" s="2" t="s">
        <v>5614</v>
      </c>
      <c r="AG2351" s="2" t="s">
        <v>993</v>
      </c>
      <c r="AH2351" s="2" t="s">
        <v>20278</v>
      </c>
      <c r="AI2351" s="2">
        <v>-2.16</v>
      </c>
      <c r="AJ2351" s="2">
        <v>18.0208948882055</v>
      </c>
      <c r="AK2351" s="2">
        <v>17.948644931409</v>
      </c>
      <c r="AL2351" s="2">
        <v>17.027090990045199</v>
      </c>
      <c r="AM2351" s="2">
        <v>17.8516816452759</v>
      </c>
      <c r="AN2351" s="2">
        <v>18.2533530800562</v>
      </c>
      <c r="AO2351" s="2">
        <v>18.0392124140105</v>
      </c>
      <c r="AP2351" s="2">
        <v>17.832276463964199</v>
      </c>
      <c r="AQ2351" s="2">
        <v>18.179861624489501</v>
      </c>
      <c r="AR2351" s="2">
        <v>18.6207125814745</v>
      </c>
      <c r="AS2351" s="2">
        <v>13.807646732360899</v>
      </c>
      <c r="AT2351" s="2">
        <v>14.7873970583748</v>
      </c>
      <c r="AU2351" s="2">
        <v>17.969842800425901</v>
      </c>
      <c r="AV2351" s="2">
        <v>17.256031732249301</v>
      </c>
      <c r="AW2351" s="2">
        <v>18.1459545783284</v>
      </c>
      <c r="AX2351" s="2">
        <v>15.503516449451499</v>
      </c>
      <c r="AY2351" s="2">
        <v>20.3713998867164</v>
      </c>
      <c r="AZ2351" s="2">
        <v>17.412345814092099</v>
      </c>
      <c r="BA2351" s="2">
        <v>15.6916587452633</v>
      </c>
      <c r="BB2351" s="2">
        <v>16.7728167541079</v>
      </c>
      <c r="BC2351" s="2">
        <v>18.0957395954023</v>
      </c>
      <c r="BD2351" s="2">
        <v>17.428860331078901</v>
      </c>
      <c r="BE2351" s="2">
        <v>17.536520351628798</v>
      </c>
      <c r="BF2351" s="2">
        <v>18.768483099587598</v>
      </c>
      <c r="BG2351" s="2">
        <v>17.741629788657999</v>
      </c>
      <c r="BH2351" s="2">
        <v>14.5518692462557</v>
      </c>
      <c r="BI2351" s="2">
        <v>17.974800454192899</v>
      </c>
      <c r="BJ2351" s="2">
        <v>16.900244407757</v>
      </c>
      <c r="BK2351" s="2">
        <v>18.439795788296799</v>
      </c>
      <c r="BL2351" s="2">
        <v>16.655609821013702</v>
      </c>
      <c r="BM2351" s="2">
        <v>16.141081325976199</v>
      </c>
      <c r="BN2351" s="2">
        <v>16.973106958335499</v>
      </c>
      <c r="BO2351" s="2">
        <v>17.708188044483698</v>
      </c>
      <c r="BP2351" s="2">
        <v>17.813053398456301</v>
      </c>
      <c r="BQ2351" s="2">
        <v>18.055929899166198</v>
      </c>
      <c r="BR2351" s="2">
        <v>16.491794704821402</v>
      </c>
      <c r="BS2351" s="2">
        <v>18.7248928358615</v>
      </c>
      <c r="BT2351" s="2">
        <v>17.676884598806101</v>
      </c>
      <c r="BU2351" s="2">
        <v>17.614605827504601</v>
      </c>
      <c r="BV2351" s="2">
        <v>20.285936625722599</v>
      </c>
      <c r="BW2351" s="2">
        <v>15.850771885803599</v>
      </c>
      <c r="BX2351" s="2">
        <v>16.4355330486447</v>
      </c>
      <c r="BY2351" s="2">
        <v>19.196349646245999</v>
      </c>
      <c r="BZ2351" s="2">
        <v>17.493407116753399</v>
      </c>
      <c r="CA2351" s="2">
        <v>16.768829551774001</v>
      </c>
      <c r="CB2351" s="2">
        <v>17.419796943992299</v>
      </c>
      <c r="CC2351" s="2">
        <v>17.213374243910899</v>
      </c>
      <c r="CD2351" s="2">
        <v>16.688510817755901</v>
      </c>
      <c r="CE2351" s="2">
        <v>17.430283720985098</v>
      </c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</row>
    <row r="2352" spans="1:97">
      <c r="A2352" s="2" t="s">
        <v>20279</v>
      </c>
      <c r="B2352" s="2">
        <v>202.02856</v>
      </c>
      <c r="C2352" s="2">
        <v>1.0089999999999999</v>
      </c>
      <c r="D2352" s="2" t="s">
        <v>84</v>
      </c>
      <c r="E2352" s="2" t="s">
        <v>20280</v>
      </c>
      <c r="F2352" s="2" t="s">
        <v>20281</v>
      </c>
      <c r="G2352" s="2">
        <v>206135</v>
      </c>
      <c r="H2352" s="3" t="str">
        <f>HYPERLINK("https://cloud.oebiotech.com/#/lm/network/206135", "https://cloud.oebiotech.com/#/lm/network/206135")</f>
        <v>https://cloud.oebiotech.com/#/lm/network/206135</v>
      </c>
      <c r="I2352" s="2" t="s">
        <v>20282</v>
      </c>
      <c r="J2352" s="2"/>
      <c r="K2352" s="2"/>
      <c r="L2352" s="2">
        <v>6205</v>
      </c>
      <c r="M2352" s="2"/>
      <c r="N2352" s="2"/>
      <c r="O2352" s="2"/>
      <c r="P2352" s="2">
        <v>68662</v>
      </c>
      <c r="Q2352" s="2"/>
      <c r="R2352" s="2"/>
      <c r="S2352" s="2"/>
      <c r="T2352" s="2" t="s">
        <v>20283</v>
      </c>
      <c r="U2352" s="2" t="s">
        <v>20284</v>
      </c>
      <c r="V2352" s="2" t="s">
        <v>115</v>
      </c>
      <c r="W2352" s="2" t="s">
        <v>116</v>
      </c>
      <c r="X2352" s="2" t="s">
        <v>117</v>
      </c>
      <c r="Y2352" s="2" t="s">
        <v>118</v>
      </c>
      <c r="Z2352" s="2" t="s">
        <v>119</v>
      </c>
      <c r="AA2352" s="2" t="s">
        <v>120</v>
      </c>
      <c r="AB2352" s="2" t="s">
        <v>8443</v>
      </c>
      <c r="AC2352" s="2">
        <v>36.93</v>
      </c>
      <c r="AD2352" s="2">
        <v>74.78</v>
      </c>
      <c r="AE2352" s="2">
        <v>0</v>
      </c>
      <c r="AF2352" s="2" t="s">
        <v>5614</v>
      </c>
      <c r="AG2352" s="2" t="s">
        <v>3544</v>
      </c>
      <c r="AH2352" s="2" t="s">
        <v>9487</v>
      </c>
      <c r="AI2352" s="2">
        <v>6.43</v>
      </c>
      <c r="AJ2352" s="2">
        <v>18.233879103009201</v>
      </c>
      <c r="AK2352" s="2">
        <v>17.857162032317301</v>
      </c>
      <c r="AL2352" s="2">
        <v>18.3227759045621</v>
      </c>
      <c r="AM2352" s="2">
        <v>17.988010762142</v>
      </c>
      <c r="AN2352" s="2">
        <v>17.141528327168999</v>
      </c>
      <c r="AO2352" s="2">
        <v>18.324932355134099</v>
      </c>
      <c r="AP2352" s="2">
        <v>18.518688497335301</v>
      </c>
      <c r="AQ2352" s="2">
        <v>18.412691235012701</v>
      </c>
      <c r="AR2352" s="2">
        <v>18.4269121626551</v>
      </c>
      <c r="AS2352" s="2">
        <v>18.858826319463201</v>
      </c>
      <c r="AT2352" s="2">
        <v>17.9168083583277</v>
      </c>
      <c r="AU2352" s="2">
        <v>16.832072260200899</v>
      </c>
      <c r="AV2352" s="2">
        <v>16.968755316629899</v>
      </c>
      <c r="AW2352" s="2">
        <v>18.155004662611098</v>
      </c>
      <c r="AX2352" s="2">
        <v>18.291778335771902</v>
      </c>
      <c r="AY2352" s="2">
        <v>17.547133196639599</v>
      </c>
      <c r="AZ2352" s="2">
        <v>17.9027607756314</v>
      </c>
      <c r="BA2352" s="2">
        <v>16.830564226877499</v>
      </c>
      <c r="BB2352" s="2">
        <v>17.9230386574893</v>
      </c>
      <c r="BC2352" s="2">
        <v>17.428465599838301</v>
      </c>
      <c r="BD2352" s="2">
        <v>18.416123827914099</v>
      </c>
      <c r="BE2352" s="2">
        <v>15.8456593518583</v>
      </c>
      <c r="BF2352" s="2">
        <v>18.3338111067591</v>
      </c>
      <c r="BG2352" s="2">
        <v>18.624761228279599</v>
      </c>
      <c r="BH2352" s="2">
        <v>17.7286142949282</v>
      </c>
      <c r="BI2352" s="2">
        <v>18.814793164801799</v>
      </c>
      <c r="BJ2352" s="2">
        <v>18.320423637518498</v>
      </c>
      <c r="BK2352" s="2">
        <v>18.6976656534695</v>
      </c>
      <c r="BL2352" s="2">
        <v>18.2885476384787</v>
      </c>
      <c r="BM2352" s="2">
        <v>16.834264995940298</v>
      </c>
      <c r="BN2352" s="2">
        <v>16.818680405812199</v>
      </c>
      <c r="BO2352" s="2">
        <v>16.740228350508399</v>
      </c>
      <c r="BP2352" s="2">
        <v>18.1733750306419</v>
      </c>
      <c r="BQ2352" s="2">
        <v>18.067998170971599</v>
      </c>
      <c r="BR2352" s="2">
        <v>18.666147461639301</v>
      </c>
      <c r="BS2352" s="2">
        <v>18.520261975474</v>
      </c>
      <c r="BT2352" s="2">
        <v>17.458209055846901</v>
      </c>
      <c r="BU2352" s="2">
        <v>19.236275944480699</v>
      </c>
      <c r="BV2352" s="2">
        <v>18.307601423061701</v>
      </c>
      <c r="BW2352" s="2">
        <v>17.855150314662598</v>
      </c>
      <c r="BX2352" s="2">
        <v>17.8168935269759</v>
      </c>
      <c r="BY2352" s="2">
        <v>18.953704765484801</v>
      </c>
      <c r="BZ2352" s="2">
        <v>15.545982843846501</v>
      </c>
      <c r="CA2352" s="2">
        <v>18.344205866716599</v>
      </c>
      <c r="CB2352" s="2">
        <v>18.068032978518499</v>
      </c>
      <c r="CC2352" s="2">
        <v>18.273432840500099</v>
      </c>
      <c r="CD2352" s="2">
        <v>18.3121094135677</v>
      </c>
      <c r="CE2352" s="2">
        <v>18.6175430461053</v>
      </c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</row>
    <row r="2353" spans="1:97">
      <c r="A2353" s="2" t="s">
        <v>20285</v>
      </c>
      <c r="B2353" s="2">
        <v>465.3449</v>
      </c>
      <c r="C2353" s="2">
        <v>8.3759999999999994</v>
      </c>
      <c r="D2353" s="2" t="s">
        <v>84</v>
      </c>
      <c r="E2353" s="2" t="s">
        <v>20286</v>
      </c>
      <c r="F2353" s="2" t="s">
        <v>20287</v>
      </c>
      <c r="G2353" s="2">
        <v>48737</v>
      </c>
      <c r="H2353" s="3" t="str">
        <f>HYPERLINK("https://cloud.oebiotech.com/#/lm/network/48737", "https://cloud.oebiotech.com/#/lm/network/48737")</f>
        <v>https://cloud.oebiotech.com/#/lm/network/48737</v>
      </c>
      <c r="I2353" s="2" t="s">
        <v>20288</v>
      </c>
      <c r="J2353" s="2"/>
      <c r="K2353" s="2"/>
      <c r="L2353" s="2">
        <v>5280613</v>
      </c>
      <c r="M2353" s="2" t="s">
        <v>20289</v>
      </c>
      <c r="N2353" s="2" t="s">
        <v>20290</v>
      </c>
      <c r="O2353" s="2" t="s">
        <v>20291</v>
      </c>
      <c r="P2353" s="2">
        <v>52897</v>
      </c>
      <c r="Q2353" s="2"/>
      <c r="R2353" s="2"/>
      <c r="S2353" s="2" t="s">
        <v>20292</v>
      </c>
      <c r="T2353" s="2" t="s">
        <v>20293</v>
      </c>
      <c r="U2353" s="2" t="s">
        <v>20294</v>
      </c>
      <c r="V2353" s="2" t="s">
        <v>95</v>
      </c>
      <c r="W2353" s="2" t="s">
        <v>2361</v>
      </c>
      <c r="X2353" s="2" t="s">
        <v>2362</v>
      </c>
      <c r="Y2353" s="2" t="s">
        <v>98</v>
      </c>
      <c r="Z2353" s="2" t="s">
        <v>2363</v>
      </c>
      <c r="AA2353" s="2" t="s">
        <v>2364</v>
      </c>
      <c r="AB2353" s="2" t="s">
        <v>8443</v>
      </c>
      <c r="AC2353" s="2">
        <v>36.92</v>
      </c>
      <c r="AD2353" s="2">
        <v>84.58</v>
      </c>
      <c r="AE2353" s="2">
        <v>0</v>
      </c>
      <c r="AF2353" s="2" t="s">
        <v>5614</v>
      </c>
      <c r="AG2353" s="2" t="s">
        <v>4104</v>
      </c>
      <c r="AH2353" s="2" t="s">
        <v>20295</v>
      </c>
      <c r="AI2353" s="2">
        <v>0.64</v>
      </c>
      <c r="AJ2353" s="2">
        <v>16.917102574686599</v>
      </c>
      <c r="AK2353" s="2">
        <v>17.1391062369403</v>
      </c>
      <c r="AL2353" s="2">
        <v>17.2035428194277</v>
      </c>
      <c r="AM2353" s="2">
        <v>16.955092830533001</v>
      </c>
      <c r="AN2353" s="2">
        <v>17.236867679752301</v>
      </c>
      <c r="AO2353" s="2">
        <v>17.385403145781499</v>
      </c>
      <c r="AP2353" s="2">
        <v>16.4585085057433</v>
      </c>
      <c r="AQ2353" s="2">
        <v>17.445698385787701</v>
      </c>
      <c r="AR2353" s="2">
        <v>16.9432527766897</v>
      </c>
      <c r="AS2353" s="2">
        <v>13.8571266683128</v>
      </c>
      <c r="AT2353" s="2">
        <v>16.368088127065601</v>
      </c>
      <c r="AU2353" s="2">
        <v>16.7956192602269</v>
      </c>
      <c r="AV2353" s="2">
        <v>17.559947850196998</v>
      </c>
      <c r="AW2353" s="2">
        <v>16.949197035369199</v>
      </c>
      <c r="AX2353" s="2">
        <v>16.280268921580301</v>
      </c>
      <c r="AY2353" s="2">
        <v>9.6233145402724691</v>
      </c>
      <c r="AZ2353" s="2">
        <v>17.013750550170698</v>
      </c>
      <c r="BA2353" s="2">
        <v>14.907790121013001</v>
      </c>
      <c r="BB2353" s="2">
        <v>16.572032837528901</v>
      </c>
      <c r="BC2353" s="2">
        <v>16.641121778120599</v>
      </c>
      <c r="BD2353" s="2">
        <v>17.031371459108801</v>
      </c>
      <c r="BE2353" s="2">
        <v>17.544826140727402</v>
      </c>
      <c r="BF2353" s="2">
        <v>16.821004605190598</v>
      </c>
      <c r="BG2353" s="2">
        <v>16.848777328507399</v>
      </c>
      <c r="BH2353" s="2">
        <v>16.897949892609301</v>
      </c>
      <c r="BI2353" s="2">
        <v>16.556372532144501</v>
      </c>
      <c r="BJ2353" s="2">
        <v>16.1195385581591</v>
      </c>
      <c r="BK2353" s="2">
        <v>14.3881007223843</v>
      </c>
      <c r="BL2353" s="2">
        <v>15.9993068397354</v>
      </c>
      <c r="BM2353" s="2">
        <v>17.441252089398699</v>
      </c>
      <c r="BN2353" s="2">
        <v>17.105996567393301</v>
      </c>
      <c r="BO2353" s="2">
        <v>17.5610048356296</v>
      </c>
      <c r="BP2353" s="2">
        <v>18.189845112969198</v>
      </c>
      <c r="BQ2353" s="2">
        <v>16.9800977290557</v>
      </c>
      <c r="BR2353" s="2">
        <v>17.835487062301802</v>
      </c>
      <c r="BS2353" s="2">
        <v>17.564131622945101</v>
      </c>
      <c r="BT2353" s="2">
        <v>17.465715136807599</v>
      </c>
      <c r="BU2353" s="2">
        <v>15.020906604671</v>
      </c>
      <c r="BV2353" s="2">
        <v>17.378982810514</v>
      </c>
      <c r="BW2353" s="2">
        <v>16.1860900525256</v>
      </c>
      <c r="BX2353" s="2">
        <v>16.2491995806371</v>
      </c>
      <c r="BY2353" s="2">
        <v>18.092460161405999</v>
      </c>
      <c r="BZ2353" s="2">
        <v>16.792520882037799</v>
      </c>
      <c r="CA2353" s="2">
        <v>17.7090528403821</v>
      </c>
      <c r="CB2353" s="2">
        <v>16.350360668859199</v>
      </c>
      <c r="CC2353" s="2">
        <v>15.4180182755579</v>
      </c>
      <c r="CD2353" s="2">
        <v>17.401389628069499</v>
      </c>
      <c r="CE2353" s="2">
        <v>15.8232000306004</v>
      </c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</row>
    <row r="2354" spans="1:97">
      <c r="A2354" s="2" t="s">
        <v>20296</v>
      </c>
      <c r="B2354" s="2">
        <v>91.054519999999997</v>
      </c>
      <c r="C2354" s="2">
        <v>1.1299999999999999</v>
      </c>
      <c r="D2354" s="2" t="s">
        <v>84</v>
      </c>
      <c r="E2354" s="2" t="s">
        <v>20297</v>
      </c>
      <c r="F2354" s="2" t="s">
        <v>20298</v>
      </c>
      <c r="G2354" s="2">
        <v>47780</v>
      </c>
      <c r="H2354" s="3" t="str">
        <f>HYPERLINK("https://cloud.oebiotech.com/#/lm/network/47780", "https://cloud.oebiotech.com/#/lm/network/47780")</f>
        <v>https://cloud.oebiotech.com/#/lm/network/47780</v>
      </c>
      <c r="I2354" s="2" t="s">
        <v>20299</v>
      </c>
      <c r="J2354" s="2">
        <v>43247</v>
      </c>
      <c r="K2354" s="2"/>
      <c r="L2354" s="2">
        <v>342</v>
      </c>
      <c r="M2354" s="2" t="s">
        <v>20300</v>
      </c>
      <c r="N2354" s="2"/>
      <c r="O2354" s="2"/>
      <c r="P2354" s="2">
        <v>17231</v>
      </c>
      <c r="Q2354" s="2"/>
      <c r="R2354" s="2"/>
      <c r="S2354" s="2" t="s">
        <v>20301</v>
      </c>
      <c r="T2354" s="2" t="s">
        <v>20302</v>
      </c>
      <c r="U2354" s="2" t="s">
        <v>20303</v>
      </c>
      <c r="V2354" s="2" t="s">
        <v>385</v>
      </c>
      <c r="W2354" s="2" t="s">
        <v>3319</v>
      </c>
      <c r="X2354" s="2" t="s">
        <v>20304</v>
      </c>
      <c r="Y2354" s="2" t="s">
        <v>388</v>
      </c>
      <c r="Z2354" s="2" t="s">
        <v>3321</v>
      </c>
      <c r="AA2354" s="2" t="s">
        <v>20305</v>
      </c>
      <c r="AB2354" s="2" t="s">
        <v>8443</v>
      </c>
      <c r="AC2354" s="2">
        <v>36.909999999999997</v>
      </c>
      <c r="AD2354" s="2">
        <v>96</v>
      </c>
      <c r="AE2354" s="2">
        <v>0</v>
      </c>
      <c r="AF2354" s="2" t="s">
        <v>5614</v>
      </c>
      <c r="AG2354" s="2" t="s">
        <v>1088</v>
      </c>
      <c r="AH2354" s="2" t="s">
        <v>20306</v>
      </c>
      <c r="AI2354" s="2">
        <v>3.29</v>
      </c>
      <c r="AJ2354" s="2">
        <v>23.500217685957701</v>
      </c>
      <c r="AK2354" s="2">
        <v>23.413816309485998</v>
      </c>
      <c r="AL2354" s="2">
        <v>23.797376782912199</v>
      </c>
      <c r="AM2354" s="2">
        <v>23.547747568815399</v>
      </c>
      <c r="AN2354" s="2">
        <v>23.462895419134401</v>
      </c>
      <c r="AO2354" s="2">
        <v>23.712954106334301</v>
      </c>
      <c r="AP2354" s="2">
        <v>24.159737976373801</v>
      </c>
      <c r="AQ2354" s="2">
        <v>23.408128039629499</v>
      </c>
      <c r="AR2354" s="2">
        <v>22.579742089026901</v>
      </c>
      <c r="AS2354" s="2">
        <v>22.8159960879061</v>
      </c>
      <c r="AT2354" s="2">
        <v>23.321300151404099</v>
      </c>
      <c r="AU2354" s="2">
        <v>23.475519498060098</v>
      </c>
      <c r="AV2354" s="2">
        <v>23.7194669434577</v>
      </c>
      <c r="AW2354" s="2">
        <v>23.414321388761699</v>
      </c>
      <c r="AX2354" s="2">
        <v>23.234372986122001</v>
      </c>
      <c r="AY2354" s="2">
        <v>23.532435276166499</v>
      </c>
      <c r="AZ2354" s="2">
        <v>23.421996781142798</v>
      </c>
      <c r="BA2354" s="2">
        <v>23.4000602273222</v>
      </c>
      <c r="BB2354" s="2">
        <v>23.694582797638201</v>
      </c>
      <c r="BC2354" s="2">
        <v>23.663518510358202</v>
      </c>
      <c r="BD2354" s="2">
        <v>22.917440092484</v>
      </c>
      <c r="BE2354" s="2">
        <v>23.544162718720901</v>
      </c>
      <c r="BF2354" s="2">
        <v>23.643807068491999</v>
      </c>
      <c r="BG2354" s="2">
        <v>23.520070262093199</v>
      </c>
      <c r="BH2354" s="2">
        <v>23.584339424393001</v>
      </c>
      <c r="BI2354" s="2">
        <v>23.471047744779401</v>
      </c>
      <c r="BJ2354" s="2">
        <v>23.410029885717499</v>
      </c>
      <c r="BK2354" s="2">
        <v>23.280777875396598</v>
      </c>
      <c r="BL2354" s="2">
        <v>23.482163388366299</v>
      </c>
      <c r="BM2354" s="2">
        <v>24.114242883089702</v>
      </c>
      <c r="BN2354" s="2">
        <v>23.694999355519801</v>
      </c>
      <c r="BO2354" s="2">
        <v>23.397147720400199</v>
      </c>
      <c r="BP2354" s="2">
        <v>23.256012714782099</v>
      </c>
      <c r="BQ2354" s="2">
        <v>23.5657491505448</v>
      </c>
      <c r="BR2354" s="2">
        <v>23.4166961788546</v>
      </c>
      <c r="BS2354" s="2">
        <v>23.761156455141801</v>
      </c>
      <c r="BT2354" s="2">
        <v>23.014408053224599</v>
      </c>
      <c r="BU2354" s="2">
        <v>23.5004510344842</v>
      </c>
      <c r="BV2354" s="2">
        <v>23.646848151192302</v>
      </c>
      <c r="BW2354" s="2">
        <v>23.421158441885499</v>
      </c>
      <c r="BX2354" s="2">
        <v>23.279919331735002</v>
      </c>
      <c r="BY2354" s="2">
        <v>23.8237199947005</v>
      </c>
      <c r="BZ2354" s="2">
        <v>23.8300063994967</v>
      </c>
      <c r="CA2354" s="2">
        <v>23.944069051975401</v>
      </c>
      <c r="CB2354" s="2">
        <v>23.4558128942239</v>
      </c>
      <c r="CC2354" s="2">
        <v>23.1982941872811</v>
      </c>
      <c r="CD2354" s="2">
        <v>23.667131245491401</v>
      </c>
      <c r="CE2354" s="2">
        <v>23.6817712130836</v>
      </c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</row>
    <row r="2355" spans="1:97">
      <c r="A2355" s="2" t="s">
        <v>20307</v>
      </c>
      <c r="B2355" s="2">
        <v>242.04653999999999</v>
      </c>
      <c r="C2355" s="2">
        <v>3.51</v>
      </c>
      <c r="D2355" s="2" t="s">
        <v>146</v>
      </c>
      <c r="E2355" s="2" t="s">
        <v>20308</v>
      </c>
      <c r="F2355" s="2" t="s">
        <v>20309</v>
      </c>
      <c r="G2355" s="2">
        <v>199770</v>
      </c>
      <c r="H2355" s="3" t="str">
        <f>HYPERLINK("https://cloud.oebiotech.com/#/lm/network/199770", "https://cloud.oebiotech.com/#/lm/network/199770")</f>
        <v>https://cloud.oebiotech.com/#/lm/network/199770</v>
      </c>
      <c r="I2355" s="2" t="s">
        <v>20310</v>
      </c>
      <c r="J2355" s="2"/>
      <c r="K2355" s="2"/>
      <c r="L2355" s="2">
        <v>66491</v>
      </c>
      <c r="M2355" s="2"/>
      <c r="N2355" s="2"/>
      <c r="O2355" s="2"/>
      <c r="P2355" s="2"/>
      <c r="Q2355" s="2"/>
      <c r="R2355" s="2"/>
      <c r="S2355" s="2"/>
      <c r="T2355" s="2" t="s">
        <v>20311</v>
      </c>
      <c r="U2355" s="2" t="s">
        <v>20312</v>
      </c>
      <c r="V2355" s="2" t="s">
        <v>553</v>
      </c>
      <c r="W2355" s="2" t="s">
        <v>9926</v>
      </c>
      <c r="X2355" s="2" t="s">
        <v>20313</v>
      </c>
      <c r="Y2355" s="2" t="s">
        <v>556</v>
      </c>
      <c r="Z2355" s="2" t="s">
        <v>9927</v>
      </c>
      <c r="AA2355" s="2" t="s">
        <v>20314</v>
      </c>
      <c r="AB2355" s="2" t="s">
        <v>8443</v>
      </c>
      <c r="AC2355" s="2">
        <v>36.909999999999997</v>
      </c>
      <c r="AD2355" s="2">
        <v>91.95</v>
      </c>
      <c r="AE2355" s="2">
        <v>0</v>
      </c>
      <c r="AF2355" s="2" t="s">
        <v>5614</v>
      </c>
      <c r="AG2355" s="2" t="s">
        <v>157</v>
      </c>
      <c r="AH2355" s="2" t="s">
        <v>20315</v>
      </c>
      <c r="AI2355" s="2">
        <v>-2.48</v>
      </c>
      <c r="AJ2355" s="2">
        <v>18.334806052022099</v>
      </c>
      <c r="AK2355" s="2">
        <v>18.464354257317598</v>
      </c>
      <c r="AL2355" s="2">
        <v>17.8916625046256</v>
      </c>
      <c r="AM2355" s="2">
        <v>18.3762825733426</v>
      </c>
      <c r="AN2355" s="2">
        <v>18.179177403316402</v>
      </c>
      <c r="AO2355" s="2">
        <v>18.405322195982802</v>
      </c>
      <c r="AP2355" s="2">
        <v>18.4856193562714</v>
      </c>
      <c r="AQ2355" s="2">
        <v>18.020161606172099</v>
      </c>
      <c r="AR2355" s="2">
        <v>17.703872760159499</v>
      </c>
      <c r="AS2355" s="2">
        <v>16.801641804485101</v>
      </c>
      <c r="AT2355" s="2">
        <v>17.929033085542599</v>
      </c>
      <c r="AU2355" s="2">
        <v>18.332150041410198</v>
      </c>
      <c r="AV2355" s="2">
        <v>18.420587148284799</v>
      </c>
      <c r="AW2355" s="2">
        <v>18.7738193028677</v>
      </c>
      <c r="AX2355" s="2">
        <v>17.743360031636598</v>
      </c>
      <c r="AY2355" s="2">
        <v>18.630432341410401</v>
      </c>
      <c r="AZ2355" s="2">
        <v>17.724338448321301</v>
      </c>
      <c r="BA2355" s="2">
        <v>18.400418516566301</v>
      </c>
      <c r="BB2355" s="2">
        <v>18.089504688751202</v>
      </c>
      <c r="BC2355" s="2">
        <v>19.1431141684536</v>
      </c>
      <c r="BD2355" s="2">
        <v>17.7060300590582</v>
      </c>
      <c r="BE2355" s="2">
        <v>18.3122330396846</v>
      </c>
      <c r="BF2355" s="2">
        <v>18.4388932316688</v>
      </c>
      <c r="BG2355" s="2">
        <v>17.0332749000166</v>
      </c>
      <c r="BH2355" s="2">
        <v>17.9571505153557</v>
      </c>
      <c r="BI2355" s="2">
        <v>17.933693132738298</v>
      </c>
      <c r="BJ2355" s="2">
        <v>18.2059529058888</v>
      </c>
      <c r="BK2355" s="2">
        <v>18.291564997431198</v>
      </c>
      <c r="BL2355" s="2">
        <v>18.4150073125682</v>
      </c>
      <c r="BM2355" s="2">
        <v>18.5694449349708</v>
      </c>
      <c r="BN2355" s="2">
        <v>18.727752409030199</v>
      </c>
      <c r="BO2355" s="2">
        <v>18.310425510245199</v>
      </c>
      <c r="BP2355" s="2">
        <v>18.284224915852601</v>
      </c>
      <c r="BQ2355" s="2">
        <v>18.5907084169684</v>
      </c>
      <c r="BR2355" s="2">
        <v>18.436046469807199</v>
      </c>
      <c r="BS2355" s="2">
        <v>18.187810479043598</v>
      </c>
      <c r="BT2355" s="2">
        <v>18.364986915724302</v>
      </c>
      <c r="BU2355" s="2">
        <v>18.003988661248901</v>
      </c>
      <c r="BV2355" s="2">
        <v>18.5274158386725</v>
      </c>
      <c r="BW2355" s="2">
        <v>18.143288139358699</v>
      </c>
      <c r="BX2355" s="2">
        <v>18.4291377313589</v>
      </c>
      <c r="BY2355" s="2">
        <v>17.2407551898138</v>
      </c>
      <c r="BZ2355" s="2">
        <v>18.770975732594501</v>
      </c>
      <c r="CA2355" s="2">
        <v>18.034915805055601</v>
      </c>
      <c r="CB2355" s="2">
        <v>17.554297678355599</v>
      </c>
      <c r="CC2355" s="2">
        <v>18.5059046107638</v>
      </c>
      <c r="CD2355" s="2">
        <v>17.8656095617931</v>
      </c>
      <c r="CE2355" s="2">
        <v>18.358359737852702</v>
      </c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</row>
    <row r="2356" spans="1:97">
      <c r="A2356" s="2" t="s">
        <v>20316</v>
      </c>
      <c r="B2356" s="2">
        <v>205.15816000000001</v>
      </c>
      <c r="C2356" s="2">
        <v>3.6859999999999999</v>
      </c>
      <c r="D2356" s="2" t="s">
        <v>84</v>
      </c>
      <c r="E2356" s="2" t="s">
        <v>20317</v>
      </c>
      <c r="F2356" s="2" t="s">
        <v>20317</v>
      </c>
      <c r="G2356" s="2">
        <v>6641</v>
      </c>
      <c r="H2356" s="3" t="str">
        <f>HYPERLINK("https://cloud.oebiotech.com/#/lm/network/6641", "https://cloud.oebiotech.com/#/lm/network/6641")</f>
        <v>https://cloud.oebiotech.com/#/lm/network/6641</v>
      </c>
      <c r="I2356" s="2"/>
      <c r="J2356" s="2">
        <v>46470</v>
      </c>
      <c r="K2356" s="2" t="s">
        <v>20318</v>
      </c>
      <c r="L2356" s="2">
        <v>25034157</v>
      </c>
      <c r="M2356" s="2"/>
      <c r="N2356" s="2"/>
      <c r="O2356" s="2"/>
      <c r="P2356" s="2"/>
      <c r="Q2356" s="2"/>
      <c r="R2356" s="2"/>
      <c r="S2356" s="2"/>
      <c r="T2356" s="2" t="s">
        <v>20319</v>
      </c>
      <c r="U2356" s="2" t="s">
        <v>20320</v>
      </c>
      <c r="V2356" s="2" t="s">
        <v>95</v>
      </c>
      <c r="W2356" s="2" t="s">
        <v>96</v>
      </c>
      <c r="X2356" s="2" t="s">
        <v>129</v>
      </c>
      <c r="Y2356" s="2" t="s">
        <v>98</v>
      </c>
      <c r="Z2356" s="2" t="s">
        <v>99</v>
      </c>
      <c r="AA2356" s="2" t="s">
        <v>130</v>
      </c>
      <c r="AB2356" s="2" t="s">
        <v>8443</v>
      </c>
      <c r="AC2356" s="2">
        <v>36.909999999999997</v>
      </c>
      <c r="AD2356" s="2">
        <v>91.74</v>
      </c>
      <c r="AE2356" s="2">
        <v>0</v>
      </c>
      <c r="AF2356" s="2" t="s">
        <v>5614</v>
      </c>
      <c r="AG2356" s="2" t="s">
        <v>103</v>
      </c>
      <c r="AH2356" s="2" t="s">
        <v>6613</v>
      </c>
      <c r="AI2356" s="2">
        <v>2.44</v>
      </c>
      <c r="AJ2356" s="2">
        <v>19.5037129454123</v>
      </c>
      <c r="AK2356" s="2">
        <v>19.711708794150699</v>
      </c>
      <c r="AL2356" s="2">
        <v>19.901521082282802</v>
      </c>
      <c r="AM2356" s="2">
        <v>20.161267338464199</v>
      </c>
      <c r="AN2356" s="2">
        <v>18.9379731996911</v>
      </c>
      <c r="AO2356" s="2">
        <v>20.057876998735502</v>
      </c>
      <c r="AP2356" s="2">
        <v>18.9359721605991</v>
      </c>
      <c r="AQ2356" s="2">
        <v>19.5958201048321</v>
      </c>
      <c r="AR2356" s="2">
        <v>19.684734856795501</v>
      </c>
      <c r="AS2356" s="2">
        <v>19.904522009614901</v>
      </c>
      <c r="AT2356" s="2">
        <v>19.539592867001701</v>
      </c>
      <c r="AU2356" s="2">
        <v>19.879130317222899</v>
      </c>
      <c r="AV2356" s="2">
        <v>19.497339404015701</v>
      </c>
      <c r="AW2356" s="2">
        <v>19.677886702307202</v>
      </c>
      <c r="AX2356" s="2">
        <v>19.892401714045501</v>
      </c>
      <c r="AY2356" s="2">
        <v>19.7603407906768</v>
      </c>
      <c r="AZ2356" s="2">
        <v>19.888345437574401</v>
      </c>
      <c r="BA2356" s="2">
        <v>19.853823652370501</v>
      </c>
      <c r="BB2356" s="2">
        <v>19.230940009880701</v>
      </c>
      <c r="BC2356" s="2">
        <v>19.9622093579124</v>
      </c>
      <c r="BD2356" s="2">
        <v>20.362566448635299</v>
      </c>
      <c r="BE2356" s="2">
        <v>19.671348198536901</v>
      </c>
      <c r="BF2356" s="2">
        <v>19.7310536395714</v>
      </c>
      <c r="BG2356" s="2">
        <v>19.496597035791702</v>
      </c>
      <c r="BH2356" s="2">
        <v>19.8605740575962</v>
      </c>
      <c r="BI2356" s="2">
        <v>20.1418117603525</v>
      </c>
      <c r="BJ2356" s="2">
        <v>20.061912531575501</v>
      </c>
      <c r="BK2356" s="2">
        <v>19.878036868757999</v>
      </c>
      <c r="BL2356" s="2">
        <v>20.279654297665999</v>
      </c>
      <c r="BM2356" s="2">
        <v>19.731098598760099</v>
      </c>
      <c r="BN2356" s="2">
        <v>20.4866721318777</v>
      </c>
      <c r="BO2356" s="2">
        <v>18.646828719114101</v>
      </c>
      <c r="BP2356" s="2">
        <v>20.268057439464801</v>
      </c>
      <c r="BQ2356" s="2">
        <v>19.793820205221799</v>
      </c>
      <c r="BR2356" s="2">
        <v>19.864413331642901</v>
      </c>
      <c r="BS2356" s="2">
        <v>20.1828427494886</v>
      </c>
      <c r="BT2356" s="2">
        <v>20.1731991473196</v>
      </c>
      <c r="BU2356" s="2">
        <v>20.068149351952801</v>
      </c>
      <c r="BV2356" s="2">
        <v>19.872641682874601</v>
      </c>
      <c r="BW2356" s="2">
        <v>19.8880336697061</v>
      </c>
      <c r="BX2356" s="2">
        <v>20.2936305125716</v>
      </c>
      <c r="BY2356" s="2">
        <v>19.482675785541101</v>
      </c>
      <c r="BZ2356" s="2">
        <v>19.911993921516299</v>
      </c>
      <c r="CA2356" s="2">
        <v>19.7491434988119</v>
      </c>
      <c r="CB2356" s="2">
        <v>20.049775006600498</v>
      </c>
      <c r="CC2356" s="2">
        <v>19.871229357363099</v>
      </c>
      <c r="CD2356" s="2">
        <v>19.729177250981699</v>
      </c>
      <c r="CE2356" s="2">
        <v>19.325668073059401</v>
      </c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</row>
    <row r="2357" spans="1:97">
      <c r="A2357" s="2" t="s">
        <v>20321</v>
      </c>
      <c r="B2357" s="2">
        <v>437.32242000000002</v>
      </c>
      <c r="C2357" s="2">
        <v>10.031000000000001</v>
      </c>
      <c r="D2357" s="2" t="s">
        <v>146</v>
      </c>
      <c r="E2357" s="2" t="s">
        <v>20322</v>
      </c>
      <c r="F2357" s="2" t="s">
        <v>20323</v>
      </c>
      <c r="G2357" s="2">
        <v>43434</v>
      </c>
      <c r="H2357" s="3" t="str">
        <f>HYPERLINK("https://cloud.oebiotech.com/#/lm/network/43434", "https://cloud.oebiotech.com/#/lm/network/43434")</f>
        <v>https://cloud.oebiotech.com/#/lm/network/43434</v>
      </c>
      <c r="I2357" s="2" t="s">
        <v>20324</v>
      </c>
      <c r="J2357" s="2"/>
      <c r="K2357" s="2" t="s">
        <v>20325</v>
      </c>
      <c r="L2357" s="2">
        <v>99470</v>
      </c>
      <c r="M2357" s="2" t="s">
        <v>20326</v>
      </c>
      <c r="N2357" s="2" t="s">
        <v>20327</v>
      </c>
      <c r="O2357" s="2" t="s">
        <v>20328</v>
      </c>
      <c r="P2357" s="2">
        <v>17703</v>
      </c>
      <c r="Q2357" s="2" t="s">
        <v>20329</v>
      </c>
      <c r="R2357" s="2" t="s">
        <v>20330</v>
      </c>
      <c r="S2357" s="2"/>
      <c r="T2357" s="2" t="s">
        <v>20331</v>
      </c>
      <c r="U2357" s="2" t="s">
        <v>20332</v>
      </c>
      <c r="V2357" s="2" t="s">
        <v>95</v>
      </c>
      <c r="W2357" s="2" t="s">
        <v>152</v>
      </c>
      <c r="X2357" s="2" t="s">
        <v>278</v>
      </c>
      <c r="Y2357" s="2" t="s">
        <v>98</v>
      </c>
      <c r="Z2357" s="2" t="s">
        <v>154</v>
      </c>
      <c r="AA2357" s="2" t="s">
        <v>279</v>
      </c>
      <c r="AB2357" s="2" t="s">
        <v>8443</v>
      </c>
      <c r="AC2357" s="2">
        <v>36.9</v>
      </c>
      <c r="AD2357" s="2">
        <v>92.91</v>
      </c>
      <c r="AE2357" s="2">
        <v>31.9</v>
      </c>
      <c r="AF2357" s="2" t="s">
        <v>20333</v>
      </c>
      <c r="AG2357" s="2" t="s">
        <v>4062</v>
      </c>
      <c r="AH2357" s="2" t="s">
        <v>504</v>
      </c>
      <c r="AI2357" s="2">
        <v>-7.32</v>
      </c>
      <c r="AJ2357" s="2">
        <v>22.2040965744884</v>
      </c>
      <c r="AK2357" s="2">
        <v>22.3128345546173</v>
      </c>
      <c r="AL2357" s="2">
        <v>22.250590578045799</v>
      </c>
      <c r="AM2357" s="2">
        <v>22.159086983545901</v>
      </c>
      <c r="AN2357" s="2">
        <v>22.243116586669</v>
      </c>
      <c r="AO2357" s="2">
        <v>22.171517522316702</v>
      </c>
      <c r="AP2357" s="2">
        <v>22.046465479140402</v>
      </c>
      <c r="AQ2357" s="2">
        <v>22.0613342922728</v>
      </c>
      <c r="AR2357" s="2">
        <v>22.205156559154201</v>
      </c>
      <c r="AS2357" s="2">
        <v>22.3854015974132</v>
      </c>
      <c r="AT2357" s="2">
        <v>22.151705053876199</v>
      </c>
      <c r="AU2357" s="2">
        <v>22.184880801710001</v>
      </c>
      <c r="AV2357" s="2">
        <v>22.131333598549201</v>
      </c>
      <c r="AW2357" s="2">
        <v>22.2964951495862</v>
      </c>
      <c r="AX2357" s="2">
        <v>22.1914993657211</v>
      </c>
      <c r="AY2357" s="2">
        <v>22.203937635166799</v>
      </c>
      <c r="AZ2357" s="2">
        <v>22.1479352186144</v>
      </c>
      <c r="BA2357" s="2">
        <v>22.273953284650901</v>
      </c>
      <c r="BB2357" s="2">
        <v>22.098942372401901</v>
      </c>
      <c r="BC2357" s="2">
        <v>22.301278608474899</v>
      </c>
      <c r="BD2357" s="2">
        <v>22.140143042621201</v>
      </c>
      <c r="BE2357" s="2">
        <v>22.162320916753099</v>
      </c>
      <c r="BF2357" s="2">
        <v>22.075497230460702</v>
      </c>
      <c r="BG2357" s="2">
        <v>22.2057227797232</v>
      </c>
      <c r="BH2357" s="2">
        <v>22.148259877388501</v>
      </c>
      <c r="BI2357" s="2">
        <v>22.041508250358</v>
      </c>
      <c r="BJ2357" s="2">
        <v>22.071598206548298</v>
      </c>
      <c r="BK2357" s="2">
        <v>22.114077111718501</v>
      </c>
      <c r="BL2357" s="2">
        <v>22.183746540151301</v>
      </c>
      <c r="BM2357" s="2">
        <v>22.139655228717199</v>
      </c>
      <c r="BN2357" s="2">
        <v>22.0002575038394</v>
      </c>
      <c r="BO2357" s="2">
        <v>22.149192650196401</v>
      </c>
      <c r="BP2357" s="2">
        <v>22.042857359762799</v>
      </c>
      <c r="BQ2357" s="2">
        <v>22.136712011360501</v>
      </c>
      <c r="BR2357" s="2">
        <v>22.122647292811401</v>
      </c>
      <c r="BS2357" s="2">
        <v>22.133758827119301</v>
      </c>
      <c r="BT2357" s="2">
        <v>21.975921844970699</v>
      </c>
      <c r="BU2357" s="2">
        <v>22.103112865908699</v>
      </c>
      <c r="BV2357" s="2">
        <v>22.0542435673065</v>
      </c>
      <c r="BW2357" s="2">
        <v>22.130138457750299</v>
      </c>
      <c r="BX2357" s="2">
        <v>22.0731160584515</v>
      </c>
      <c r="BY2357" s="2">
        <v>22.074404385422699</v>
      </c>
      <c r="BZ2357" s="2">
        <v>22.044977039858601</v>
      </c>
      <c r="CA2357" s="2">
        <v>22.077022997601599</v>
      </c>
      <c r="CB2357" s="2">
        <v>22.053145361271699</v>
      </c>
      <c r="CC2357" s="2">
        <v>22.117287229229099</v>
      </c>
      <c r="CD2357" s="2">
        <v>22.005482780342302</v>
      </c>
      <c r="CE2357" s="2">
        <v>22.048211603567299</v>
      </c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</row>
    <row r="2358" spans="1:97">
      <c r="A2358" s="2" t="s">
        <v>20334</v>
      </c>
      <c r="B2358" s="2">
        <v>335.16716000000002</v>
      </c>
      <c r="C2358" s="2">
        <v>4.0640000000000001</v>
      </c>
      <c r="D2358" s="2" t="s">
        <v>84</v>
      </c>
      <c r="E2358" s="2" t="s">
        <v>20335</v>
      </c>
      <c r="F2358" s="2" t="s">
        <v>20335</v>
      </c>
      <c r="G2358" s="2">
        <v>211110</v>
      </c>
      <c r="H2358" s="3" t="str">
        <f>HYPERLINK("https://cloud.oebiotech.com/#/lm/network/211110", "https://cloud.oebiotech.com/#/lm/network/211110")</f>
        <v>https://cloud.oebiotech.com/#/lm/network/211110</v>
      </c>
      <c r="I2358" s="2" t="s">
        <v>20336</v>
      </c>
      <c r="J2358" s="2"/>
      <c r="K2358" s="2"/>
      <c r="L2358" s="2">
        <v>92008635</v>
      </c>
      <c r="M2358" s="2"/>
      <c r="N2358" s="2"/>
      <c r="O2358" s="2"/>
      <c r="P2358" s="2"/>
      <c r="Q2358" s="2"/>
      <c r="R2358" s="2"/>
      <c r="S2358" s="2"/>
      <c r="T2358" s="2" t="s">
        <v>20337</v>
      </c>
      <c r="U2358" s="2" t="s">
        <v>20338</v>
      </c>
      <c r="V2358" s="2" t="s">
        <v>95</v>
      </c>
      <c r="W2358" s="2" t="s">
        <v>180</v>
      </c>
      <c r="X2358" s="2" t="s">
        <v>181</v>
      </c>
      <c r="Y2358" s="2" t="s">
        <v>98</v>
      </c>
      <c r="Z2358" s="2" t="s">
        <v>182</v>
      </c>
      <c r="AA2358" s="2" t="s">
        <v>183</v>
      </c>
      <c r="AB2358" s="2" t="s">
        <v>8443</v>
      </c>
      <c r="AC2358" s="2">
        <v>36.9</v>
      </c>
      <c r="AD2358" s="2">
        <v>84.52</v>
      </c>
      <c r="AE2358" s="2">
        <v>0</v>
      </c>
      <c r="AF2358" s="2" t="s">
        <v>5614</v>
      </c>
      <c r="AG2358" s="2" t="s">
        <v>103</v>
      </c>
      <c r="AH2358" s="2" t="s">
        <v>20339</v>
      </c>
      <c r="AI2358" s="2">
        <v>0.9</v>
      </c>
      <c r="AJ2358" s="2">
        <v>16.8932662120855</v>
      </c>
      <c r="AK2358" s="2">
        <v>16.901384641234699</v>
      </c>
      <c r="AL2358" s="2">
        <v>17.168995427025401</v>
      </c>
      <c r="AM2358" s="2">
        <v>17.4836638618908</v>
      </c>
      <c r="AN2358" s="2">
        <v>16.861996908120599</v>
      </c>
      <c r="AO2358" s="2">
        <v>16.649490562734101</v>
      </c>
      <c r="AP2358" s="2">
        <v>16.8173835528189</v>
      </c>
      <c r="AQ2358" s="2">
        <v>17.494740682327901</v>
      </c>
      <c r="AR2358" s="2">
        <v>9.6233145402724691</v>
      </c>
      <c r="AS2358" s="2">
        <v>13.931565799347</v>
      </c>
      <c r="AT2358" s="2">
        <v>15.523793177921799</v>
      </c>
      <c r="AU2358" s="2">
        <v>16.898973538095099</v>
      </c>
      <c r="AV2358" s="2">
        <v>18.049228082697901</v>
      </c>
      <c r="AW2358" s="2">
        <v>17.601824894259501</v>
      </c>
      <c r="AX2358" s="2">
        <v>17.370764361202902</v>
      </c>
      <c r="AY2358" s="2">
        <v>16.299128582098401</v>
      </c>
      <c r="AZ2358" s="2">
        <v>18.090112367962199</v>
      </c>
      <c r="BA2358" s="2">
        <v>17.443293325763801</v>
      </c>
      <c r="BB2358" s="2">
        <v>9.6233145402724691</v>
      </c>
      <c r="BC2358" s="2">
        <v>9.6233145402724691</v>
      </c>
      <c r="BD2358" s="2">
        <v>17.162505706744401</v>
      </c>
      <c r="BE2358" s="2">
        <v>17.012716406494899</v>
      </c>
      <c r="BF2358" s="2">
        <v>15.4011428481345</v>
      </c>
      <c r="BG2358" s="2">
        <v>9.6233145402724691</v>
      </c>
      <c r="BH2358" s="2">
        <v>15.868998059137899</v>
      </c>
      <c r="BI2358" s="2">
        <v>16.539145934173199</v>
      </c>
      <c r="BJ2358" s="2">
        <v>9.6233145402724691</v>
      </c>
      <c r="BK2358" s="2">
        <v>17.165326094041902</v>
      </c>
      <c r="BL2358" s="2">
        <v>15.883148248024</v>
      </c>
      <c r="BM2358" s="2">
        <v>17.036885016398099</v>
      </c>
      <c r="BN2358" s="2">
        <v>16.671179601337101</v>
      </c>
      <c r="BO2358" s="2">
        <v>17.3312939016412</v>
      </c>
      <c r="BP2358" s="2">
        <v>17.2875818999165</v>
      </c>
      <c r="BQ2358" s="2">
        <v>16.8080564249703</v>
      </c>
      <c r="BR2358" s="2">
        <v>9.6233145402724691</v>
      </c>
      <c r="BS2358" s="2">
        <v>17.097511422592699</v>
      </c>
      <c r="BT2358" s="2">
        <v>9.6233145402724691</v>
      </c>
      <c r="BU2358" s="2">
        <v>17.510626652948101</v>
      </c>
      <c r="BV2358" s="2">
        <v>9.6233145402724691</v>
      </c>
      <c r="BW2358" s="2">
        <v>9.6233145402724691</v>
      </c>
      <c r="BX2358" s="2">
        <v>17.118812950006401</v>
      </c>
      <c r="BY2358" s="2">
        <v>18.414848182114401</v>
      </c>
      <c r="BZ2358" s="2">
        <v>13.928621077572901</v>
      </c>
      <c r="CA2358" s="2">
        <v>9.6233145402724691</v>
      </c>
      <c r="CB2358" s="2">
        <v>9.6233145402724691</v>
      </c>
      <c r="CC2358" s="2">
        <v>18.0380580288288</v>
      </c>
      <c r="CD2358" s="2">
        <v>17.9379052608836</v>
      </c>
      <c r="CE2358" s="2">
        <v>16.624219010769199</v>
      </c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</row>
    <row r="2359" spans="1:97">
      <c r="A2359" s="2" t="s">
        <v>20340</v>
      </c>
      <c r="B2359" s="2">
        <v>676.45860000000005</v>
      </c>
      <c r="C2359" s="2">
        <v>10.901999999999999</v>
      </c>
      <c r="D2359" s="2" t="s">
        <v>84</v>
      </c>
      <c r="E2359" s="2" t="s">
        <v>20341</v>
      </c>
      <c r="F2359" s="2" t="s">
        <v>20342</v>
      </c>
      <c r="G2359" s="2">
        <v>243003</v>
      </c>
      <c r="H2359" s="3" t="str">
        <f>HYPERLINK("https://cloud.oebiotech.com/#/lm/network/243003", "https://cloud.oebiotech.com/#/lm/network/243003")</f>
        <v>https://cloud.oebiotech.com/#/lm/network/243003</v>
      </c>
      <c r="I2359" s="2" t="s">
        <v>20343</v>
      </c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 t="s">
        <v>20344</v>
      </c>
      <c r="U2359" s="2" t="s">
        <v>20345</v>
      </c>
      <c r="V2359" s="2" t="s">
        <v>95</v>
      </c>
      <c r="W2359" s="2" t="s">
        <v>96</v>
      </c>
      <c r="X2359" s="2" t="s">
        <v>3216</v>
      </c>
      <c r="Y2359" s="2" t="s">
        <v>98</v>
      </c>
      <c r="Z2359" s="2" t="s">
        <v>99</v>
      </c>
      <c r="AA2359" s="2" t="s">
        <v>3217</v>
      </c>
      <c r="AB2359" s="2" t="s">
        <v>8443</v>
      </c>
      <c r="AC2359" s="2">
        <v>36.9</v>
      </c>
      <c r="AD2359" s="2">
        <v>73.930000000000007</v>
      </c>
      <c r="AE2359" s="2">
        <v>0</v>
      </c>
      <c r="AF2359" s="2" t="s">
        <v>5614</v>
      </c>
      <c r="AG2359" s="2" t="s">
        <v>3544</v>
      </c>
      <c r="AH2359" s="2" t="s">
        <v>20346</v>
      </c>
      <c r="AI2359" s="2">
        <v>-5.47</v>
      </c>
      <c r="AJ2359" s="2">
        <v>20.397033893296602</v>
      </c>
      <c r="AK2359" s="2">
        <v>19.5967200826633</v>
      </c>
      <c r="AL2359" s="2">
        <v>19.740249798243699</v>
      </c>
      <c r="AM2359" s="2">
        <v>19.1905917371169</v>
      </c>
      <c r="AN2359" s="2">
        <v>19.729807785803501</v>
      </c>
      <c r="AO2359" s="2">
        <v>19.697921600855501</v>
      </c>
      <c r="AP2359" s="2">
        <v>19.1391377713046</v>
      </c>
      <c r="AQ2359" s="2">
        <v>19.678400801637899</v>
      </c>
      <c r="AR2359" s="2">
        <v>20.3196905751972</v>
      </c>
      <c r="AS2359" s="2">
        <v>19.063265932391801</v>
      </c>
      <c r="AT2359" s="2">
        <v>19.485753832316401</v>
      </c>
      <c r="AU2359" s="2">
        <v>16.6770218785739</v>
      </c>
      <c r="AV2359" s="2">
        <v>18.398209094426399</v>
      </c>
      <c r="AW2359" s="2">
        <v>19.782674961454699</v>
      </c>
      <c r="AX2359" s="2">
        <v>20.147578950743299</v>
      </c>
      <c r="AY2359" s="2">
        <v>19.419930621877199</v>
      </c>
      <c r="AZ2359" s="2">
        <v>19.766352989832399</v>
      </c>
      <c r="BA2359" s="2">
        <v>19.0340573159956</v>
      </c>
      <c r="BB2359" s="2">
        <v>19.552210884885099</v>
      </c>
      <c r="BC2359" s="2">
        <v>19.9324227092869</v>
      </c>
      <c r="BD2359" s="2">
        <v>19.842191582237302</v>
      </c>
      <c r="BE2359" s="2">
        <v>19.7343609459754</v>
      </c>
      <c r="BF2359" s="2">
        <v>19.826172602019501</v>
      </c>
      <c r="BG2359" s="2">
        <v>19.350543496861501</v>
      </c>
      <c r="BH2359" s="2">
        <v>19.2620856210652</v>
      </c>
      <c r="BI2359" s="2">
        <v>19.6681370272225</v>
      </c>
      <c r="BJ2359" s="2">
        <v>19.524731236892698</v>
      </c>
      <c r="BK2359" s="2">
        <v>19.442916998099999</v>
      </c>
      <c r="BL2359" s="2">
        <v>19.9886093456787</v>
      </c>
      <c r="BM2359" s="2">
        <v>19.8070165934983</v>
      </c>
      <c r="BN2359" s="2">
        <v>20.0466395110112</v>
      </c>
      <c r="BO2359" s="2">
        <v>19.789170649048899</v>
      </c>
      <c r="BP2359" s="2">
        <v>19.747964527129898</v>
      </c>
      <c r="BQ2359" s="2">
        <v>19.962489772304199</v>
      </c>
      <c r="BR2359" s="2">
        <v>19.7293222255296</v>
      </c>
      <c r="BS2359" s="2">
        <v>19.654510569658399</v>
      </c>
      <c r="BT2359" s="2">
        <v>19.8745559196391</v>
      </c>
      <c r="BU2359" s="2">
        <v>19.650321323513001</v>
      </c>
      <c r="BV2359" s="2">
        <v>19.473099664412</v>
      </c>
      <c r="BW2359" s="2">
        <v>18.7650075171426</v>
      </c>
      <c r="BX2359" s="2">
        <v>19.616628672227499</v>
      </c>
      <c r="BY2359" s="2">
        <v>20.244732397067601</v>
      </c>
      <c r="BZ2359" s="2">
        <v>19.851994431300898</v>
      </c>
      <c r="CA2359" s="2">
        <v>19.769835342176101</v>
      </c>
      <c r="CB2359" s="2">
        <v>18.835582666123699</v>
      </c>
      <c r="CC2359" s="2">
        <v>18.937296254166501</v>
      </c>
      <c r="CD2359" s="2">
        <v>18.943325329507001</v>
      </c>
      <c r="CE2359" s="2">
        <v>19.116334797129898</v>
      </c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</row>
    <row r="2360" spans="1:97">
      <c r="A2360" s="2" t="s">
        <v>20347</v>
      </c>
      <c r="B2360" s="2">
        <v>459.09264000000002</v>
      </c>
      <c r="C2360" s="2">
        <v>7.5289999999999999</v>
      </c>
      <c r="D2360" s="2" t="s">
        <v>146</v>
      </c>
      <c r="E2360" s="2" t="s">
        <v>20348</v>
      </c>
      <c r="F2360" s="2" t="s">
        <v>20349</v>
      </c>
      <c r="G2360" s="2">
        <v>32915</v>
      </c>
      <c r="H2360" s="3" t="str">
        <f>HYPERLINK("https://cloud.oebiotech.com/#/lm/network/32915", "https://cloud.oebiotech.com/#/lm/network/32915")</f>
        <v>https://cloud.oebiotech.com/#/lm/network/32915</v>
      </c>
      <c r="I2360" s="2"/>
      <c r="J2360" s="2"/>
      <c r="K2360" s="2" t="s">
        <v>20350</v>
      </c>
      <c r="L2360" s="2">
        <v>44259743</v>
      </c>
      <c r="M2360" s="2"/>
      <c r="N2360" s="2"/>
      <c r="O2360" s="2"/>
      <c r="P2360" s="2"/>
      <c r="Q2360" s="2"/>
      <c r="R2360" s="2"/>
      <c r="S2360" s="2"/>
      <c r="T2360" s="2" t="s">
        <v>20351</v>
      </c>
      <c r="U2360" s="2" t="s">
        <v>20352</v>
      </c>
      <c r="V2360" s="2" t="s">
        <v>845</v>
      </c>
      <c r="W2360" s="2" t="s">
        <v>1853</v>
      </c>
      <c r="X2360" s="2" t="s">
        <v>6175</v>
      </c>
      <c r="Y2360" s="2" t="s">
        <v>847</v>
      </c>
      <c r="Z2360" s="2" t="s">
        <v>1855</v>
      </c>
      <c r="AA2360" s="2" t="s">
        <v>6176</v>
      </c>
      <c r="AB2360" s="2" t="s">
        <v>8443</v>
      </c>
      <c r="AC2360" s="2">
        <v>36.9</v>
      </c>
      <c r="AD2360" s="2">
        <v>84.52</v>
      </c>
      <c r="AE2360" s="2">
        <v>0</v>
      </c>
      <c r="AF2360" s="2" t="s">
        <v>5614</v>
      </c>
      <c r="AG2360" s="2" t="s">
        <v>993</v>
      </c>
      <c r="AH2360" s="2" t="s">
        <v>20353</v>
      </c>
      <c r="AI2360" s="2">
        <v>0.22</v>
      </c>
      <c r="AJ2360" s="2">
        <v>17.050306017947701</v>
      </c>
      <c r="AK2360" s="2">
        <v>16.302387601099301</v>
      </c>
      <c r="AL2360" s="2">
        <v>16.652357785156699</v>
      </c>
      <c r="AM2360" s="2">
        <v>16.8761412357821</v>
      </c>
      <c r="AN2360" s="2">
        <v>16.694816818921399</v>
      </c>
      <c r="AO2360" s="2">
        <v>16.694755210315801</v>
      </c>
      <c r="AP2360" s="2">
        <v>17.341396161154801</v>
      </c>
      <c r="AQ2360" s="2">
        <v>17.029239445532301</v>
      </c>
      <c r="AR2360" s="2">
        <v>16.529861047262902</v>
      </c>
      <c r="AS2360" s="2">
        <v>16.516344854187999</v>
      </c>
      <c r="AT2360" s="2">
        <v>16.789644058877201</v>
      </c>
      <c r="AU2360" s="2">
        <v>16.760399775000899</v>
      </c>
      <c r="AV2360" s="2">
        <v>16.962149189382799</v>
      </c>
      <c r="AW2360" s="2">
        <v>16.894261325263699</v>
      </c>
      <c r="AX2360" s="2">
        <v>16.483067222828598</v>
      </c>
      <c r="AY2360" s="2">
        <v>16.398616782626</v>
      </c>
      <c r="AZ2360" s="2">
        <v>16.474727075074899</v>
      </c>
      <c r="BA2360" s="2">
        <v>16.707539376808199</v>
      </c>
      <c r="BB2360" s="2">
        <v>16.9447297881139</v>
      </c>
      <c r="BC2360" s="2">
        <v>16.788403167470701</v>
      </c>
      <c r="BD2360" s="2">
        <v>16.664379503844899</v>
      </c>
      <c r="BE2360" s="2">
        <v>16.8781836200036</v>
      </c>
      <c r="BF2360" s="2">
        <v>16.614328101636801</v>
      </c>
      <c r="BG2360" s="2">
        <v>16.796116057267302</v>
      </c>
      <c r="BH2360" s="2">
        <v>16.753067200779501</v>
      </c>
      <c r="BI2360" s="2">
        <v>16.7383787588108</v>
      </c>
      <c r="BJ2360" s="2">
        <v>16.618918269528699</v>
      </c>
      <c r="BK2360" s="2">
        <v>16.801569816159802</v>
      </c>
      <c r="BL2360" s="2">
        <v>16.453002097438599</v>
      </c>
      <c r="BM2360" s="2">
        <v>16.830835167948401</v>
      </c>
      <c r="BN2360" s="2">
        <v>16.799525111421001</v>
      </c>
      <c r="BO2360" s="2">
        <v>16.4581850202553</v>
      </c>
      <c r="BP2360" s="2">
        <v>16.653126371899099</v>
      </c>
      <c r="BQ2360" s="2">
        <v>16.822434650760801</v>
      </c>
      <c r="BR2360" s="2">
        <v>17.006314243046699</v>
      </c>
      <c r="BS2360" s="2">
        <v>16.4140560664218</v>
      </c>
      <c r="BT2360" s="2">
        <v>17.086390967780702</v>
      </c>
      <c r="BU2360" s="2">
        <v>17.020497122850799</v>
      </c>
      <c r="BV2360" s="2">
        <v>16.5617834582693</v>
      </c>
      <c r="BW2360" s="2">
        <v>16.733689970325401</v>
      </c>
      <c r="BX2360" s="2">
        <v>16.245806886075801</v>
      </c>
      <c r="BY2360" s="2">
        <v>17.229907908461701</v>
      </c>
      <c r="BZ2360" s="2">
        <v>16.8707614398853</v>
      </c>
      <c r="CA2360" s="2">
        <v>16.248685700465099</v>
      </c>
      <c r="CB2360" s="2">
        <v>16.987554365205799</v>
      </c>
      <c r="CC2360" s="2">
        <v>16.5119195483665</v>
      </c>
      <c r="CD2360" s="2">
        <v>15.915623132096901</v>
      </c>
      <c r="CE2360" s="2">
        <v>16.780098341067099</v>
      </c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</row>
    <row r="2361" spans="1:97">
      <c r="A2361" s="2" t="s">
        <v>20354</v>
      </c>
      <c r="B2361" s="2">
        <v>510.26548000000003</v>
      </c>
      <c r="C2361" s="2">
        <v>8.8179999999999996</v>
      </c>
      <c r="D2361" s="2" t="s">
        <v>84</v>
      </c>
      <c r="E2361" s="2" t="s">
        <v>20355</v>
      </c>
      <c r="F2361" s="2" t="s">
        <v>20356</v>
      </c>
      <c r="G2361" s="2">
        <v>83276</v>
      </c>
      <c r="H2361" s="3" t="str">
        <f>HYPERLINK("https://cloud.oebiotech.com/#/lm/network/83276", "https://cloud.oebiotech.com/#/lm/network/83276")</f>
        <v>https://cloud.oebiotech.com/#/lm/network/83276</v>
      </c>
      <c r="I2361" s="2" t="s">
        <v>20357</v>
      </c>
      <c r="J2361" s="2"/>
      <c r="K2361" s="2"/>
      <c r="L2361" s="2">
        <v>131770406</v>
      </c>
      <c r="M2361" s="2"/>
      <c r="N2361" s="2"/>
      <c r="O2361" s="2"/>
      <c r="P2361" s="2"/>
      <c r="Q2361" s="2"/>
      <c r="R2361" s="2"/>
      <c r="S2361" s="2"/>
      <c r="T2361" s="2" t="s">
        <v>20358</v>
      </c>
      <c r="U2361" s="2" t="s">
        <v>20359</v>
      </c>
      <c r="V2361" s="2" t="s">
        <v>95</v>
      </c>
      <c r="W2361" s="2" t="s">
        <v>180</v>
      </c>
      <c r="X2361" s="2" t="s">
        <v>2714</v>
      </c>
      <c r="Y2361" s="2" t="s">
        <v>98</v>
      </c>
      <c r="Z2361" s="2" t="s">
        <v>182</v>
      </c>
      <c r="AA2361" s="2" t="s">
        <v>2715</v>
      </c>
      <c r="AB2361" s="2" t="s">
        <v>5118</v>
      </c>
      <c r="AC2361" s="2">
        <v>36.9</v>
      </c>
      <c r="AD2361" s="2">
        <v>82.33</v>
      </c>
      <c r="AE2361" s="2">
        <v>51.94</v>
      </c>
      <c r="AF2361" s="2" t="s">
        <v>20360</v>
      </c>
      <c r="AG2361" s="2" t="s">
        <v>132</v>
      </c>
      <c r="AH2361" s="2" t="s">
        <v>20361</v>
      </c>
      <c r="AI2361" s="2">
        <v>8.23</v>
      </c>
      <c r="AJ2361" s="2">
        <v>22.0126304273792</v>
      </c>
      <c r="AK2361" s="2">
        <v>21.978627505135702</v>
      </c>
      <c r="AL2361" s="2">
        <v>22.074661410479798</v>
      </c>
      <c r="AM2361" s="2">
        <v>21.9882912312884</v>
      </c>
      <c r="AN2361" s="2">
        <v>21.802164997209999</v>
      </c>
      <c r="AO2361" s="2">
        <v>21.919326958503301</v>
      </c>
      <c r="AP2361" s="2">
        <v>22.0615343256285</v>
      </c>
      <c r="AQ2361" s="2">
        <v>21.844385194765199</v>
      </c>
      <c r="AR2361" s="2">
        <v>21.519018309503601</v>
      </c>
      <c r="AS2361" s="2">
        <v>22.007316962247</v>
      </c>
      <c r="AT2361" s="2">
        <v>21.878546792096898</v>
      </c>
      <c r="AU2361" s="2">
        <v>21.320817523660399</v>
      </c>
      <c r="AV2361" s="2">
        <v>22.012210704003</v>
      </c>
      <c r="AW2361" s="2">
        <v>21.784780147154098</v>
      </c>
      <c r="AX2361" s="2">
        <v>21.975000994719998</v>
      </c>
      <c r="AY2361" s="2">
        <v>21.7992063250197</v>
      </c>
      <c r="AZ2361" s="2">
        <v>21.590051008753498</v>
      </c>
      <c r="BA2361" s="2">
        <v>21.974202769313202</v>
      </c>
      <c r="BB2361" s="2">
        <v>21.9814001991836</v>
      </c>
      <c r="BC2361" s="2">
        <v>21.9799194439763</v>
      </c>
      <c r="BD2361" s="2">
        <v>22.112708601030899</v>
      </c>
      <c r="BE2361" s="2">
        <v>21.948995797477401</v>
      </c>
      <c r="BF2361" s="2">
        <v>21.846286285886698</v>
      </c>
      <c r="BG2361" s="2">
        <v>22.1207349795217</v>
      </c>
      <c r="BH2361" s="2">
        <v>21.348692224054499</v>
      </c>
      <c r="BI2361" s="2">
        <v>21.760144927878201</v>
      </c>
      <c r="BJ2361" s="2">
        <v>21.915796363989699</v>
      </c>
      <c r="BK2361" s="2">
        <v>21.9595930331568</v>
      </c>
      <c r="BL2361" s="2">
        <v>21.813028166524699</v>
      </c>
      <c r="BM2361" s="2">
        <v>21.8936918279704</v>
      </c>
      <c r="BN2361" s="2">
        <v>21.779434673614301</v>
      </c>
      <c r="BO2361" s="2">
        <v>21.934212318709001</v>
      </c>
      <c r="BP2361" s="2">
        <v>21.901629579944199</v>
      </c>
      <c r="BQ2361" s="2">
        <v>21.6855531064374</v>
      </c>
      <c r="BR2361" s="2">
        <v>21.921003862018601</v>
      </c>
      <c r="BS2361" s="2">
        <v>21.853724658898301</v>
      </c>
      <c r="BT2361" s="2">
        <v>21.902346870323701</v>
      </c>
      <c r="BU2361" s="2">
        <v>21.567669992057098</v>
      </c>
      <c r="BV2361" s="2">
        <v>21.900360789178102</v>
      </c>
      <c r="BW2361" s="2">
        <v>21.8577278562089</v>
      </c>
      <c r="BX2361" s="2">
        <v>21.884672992433199</v>
      </c>
      <c r="BY2361" s="2">
        <v>21.780584059667401</v>
      </c>
      <c r="BZ2361" s="2">
        <v>22.048529232953999</v>
      </c>
      <c r="CA2361" s="2">
        <v>21.9836916097886</v>
      </c>
      <c r="CB2361" s="2">
        <v>21.8782224050825</v>
      </c>
      <c r="CC2361" s="2">
        <v>21.9214847473779</v>
      </c>
      <c r="CD2361" s="2">
        <v>21.912015488144601</v>
      </c>
      <c r="CE2361" s="2">
        <v>21.948331121404699</v>
      </c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</row>
    <row r="2362" spans="1:97">
      <c r="A2362" s="2" t="s">
        <v>20362</v>
      </c>
      <c r="B2362" s="2">
        <v>333.06520999999998</v>
      </c>
      <c r="C2362" s="2">
        <v>1.282</v>
      </c>
      <c r="D2362" s="2" t="s">
        <v>146</v>
      </c>
      <c r="E2362" s="2" t="s">
        <v>20363</v>
      </c>
      <c r="F2362" s="2" t="s">
        <v>20364</v>
      </c>
      <c r="G2362" s="2">
        <v>202255</v>
      </c>
      <c r="H2362" s="3" t="str">
        <f>HYPERLINK("https://cloud.oebiotech.com/#/lm/network/202255", "https://cloud.oebiotech.com/#/lm/network/202255")</f>
        <v>https://cloud.oebiotech.com/#/lm/network/202255</v>
      </c>
      <c r="I2362" s="2" t="s">
        <v>20365</v>
      </c>
      <c r="J2362" s="2"/>
      <c r="K2362" s="2"/>
      <c r="L2362" s="2">
        <v>473359</v>
      </c>
      <c r="M2362" s="2"/>
      <c r="N2362" s="2"/>
      <c r="O2362" s="2"/>
      <c r="P2362" s="2"/>
      <c r="Q2362" s="2"/>
      <c r="R2362" s="2"/>
      <c r="S2362" s="2"/>
      <c r="T2362" s="2" t="s">
        <v>20366</v>
      </c>
      <c r="U2362" s="2" t="s">
        <v>20367</v>
      </c>
      <c r="V2362" s="2" t="s">
        <v>385</v>
      </c>
      <c r="W2362" s="2" t="s">
        <v>386</v>
      </c>
      <c r="X2362" s="2" t="s">
        <v>13266</v>
      </c>
      <c r="Y2362" s="2" t="s">
        <v>388</v>
      </c>
      <c r="Z2362" s="2" t="s">
        <v>389</v>
      </c>
      <c r="AA2362" s="2" t="s">
        <v>13267</v>
      </c>
      <c r="AB2362" s="2" t="s">
        <v>8443</v>
      </c>
      <c r="AC2362" s="2">
        <v>36.89</v>
      </c>
      <c r="AD2362" s="2">
        <v>86.96</v>
      </c>
      <c r="AE2362" s="2">
        <v>0</v>
      </c>
      <c r="AF2362" s="2" t="s">
        <v>5614</v>
      </c>
      <c r="AG2362" s="2" t="s">
        <v>993</v>
      </c>
      <c r="AH2362" s="2" t="s">
        <v>20368</v>
      </c>
      <c r="AI2362" s="2">
        <v>1.5</v>
      </c>
      <c r="AJ2362" s="2">
        <v>17.806046710613799</v>
      </c>
      <c r="AK2362" s="2">
        <v>17.7651835838487</v>
      </c>
      <c r="AL2362" s="2">
        <v>17.590248293746701</v>
      </c>
      <c r="AM2362" s="2">
        <v>17.724370159997001</v>
      </c>
      <c r="AN2362" s="2">
        <v>17.889594628089899</v>
      </c>
      <c r="AO2362" s="2">
        <v>16.797411388061999</v>
      </c>
      <c r="AP2362" s="2">
        <v>17.802711355078898</v>
      </c>
      <c r="AQ2362" s="2">
        <v>17.616278528506601</v>
      </c>
      <c r="AR2362" s="2">
        <v>17.575716057137701</v>
      </c>
      <c r="AS2362" s="2">
        <v>18.169403278387499</v>
      </c>
      <c r="AT2362" s="2">
        <v>17.820465011883901</v>
      </c>
      <c r="AU2362" s="2">
        <v>17.346873029046201</v>
      </c>
      <c r="AV2362" s="2">
        <v>17.3507269490586</v>
      </c>
      <c r="AW2362" s="2">
        <v>17.7934802431596</v>
      </c>
      <c r="AX2362" s="2">
        <v>17.035317724633099</v>
      </c>
      <c r="AY2362" s="2">
        <v>17.647289280446198</v>
      </c>
      <c r="AZ2362" s="2">
        <v>17.809007964250998</v>
      </c>
      <c r="BA2362" s="2">
        <v>17.1762125047178</v>
      </c>
      <c r="BB2362" s="2">
        <v>17.025878914091098</v>
      </c>
      <c r="BC2362" s="2">
        <v>16.525741778257199</v>
      </c>
      <c r="BD2362" s="2">
        <v>17.128530276413599</v>
      </c>
      <c r="BE2362" s="2">
        <v>16.836881140309899</v>
      </c>
      <c r="BF2362" s="2">
        <v>16.479621923853301</v>
      </c>
      <c r="BG2362" s="2">
        <v>17.192371709698499</v>
      </c>
      <c r="BH2362" s="2">
        <v>17.635082238873501</v>
      </c>
      <c r="BI2362" s="2">
        <v>16.565572633256402</v>
      </c>
      <c r="BJ2362" s="2">
        <v>17.302221039997999</v>
      </c>
      <c r="BK2362" s="2">
        <v>17.761085512083501</v>
      </c>
      <c r="BL2362" s="2">
        <v>16.6478757605182</v>
      </c>
      <c r="BM2362" s="2">
        <v>17.514674839887199</v>
      </c>
      <c r="BN2362" s="2">
        <v>16.9982523686664</v>
      </c>
      <c r="BO2362" s="2">
        <v>17.2871091167444</v>
      </c>
      <c r="BP2362" s="2">
        <v>16.131528636195402</v>
      </c>
      <c r="BQ2362" s="2">
        <v>17.660083104632399</v>
      </c>
      <c r="BR2362" s="2">
        <v>17.206427667419401</v>
      </c>
      <c r="BS2362" s="2">
        <v>17.706105626554901</v>
      </c>
      <c r="BT2362" s="2">
        <v>17.288109607005602</v>
      </c>
      <c r="BU2362" s="2">
        <v>17.532265738809102</v>
      </c>
      <c r="BV2362" s="2">
        <v>16.825818911666801</v>
      </c>
      <c r="BW2362" s="2">
        <v>17.388116113972199</v>
      </c>
      <c r="BX2362" s="2">
        <v>17.137147557052</v>
      </c>
      <c r="BY2362" s="2">
        <v>16.3743207226001</v>
      </c>
      <c r="BZ2362" s="2">
        <v>17.321750388716602</v>
      </c>
      <c r="CA2362" s="2">
        <v>16.6849949739671</v>
      </c>
      <c r="CB2362" s="2">
        <v>16.842472379958899</v>
      </c>
      <c r="CC2362" s="2">
        <v>17.4450153309927</v>
      </c>
      <c r="CD2362" s="2">
        <v>17.312304134309901</v>
      </c>
      <c r="CE2362" s="2">
        <v>17.317666278531799</v>
      </c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</row>
    <row r="2363" spans="1:97">
      <c r="A2363" s="2" t="s">
        <v>20369</v>
      </c>
      <c r="B2363" s="2">
        <v>573.11235999999997</v>
      </c>
      <c r="C2363" s="2">
        <v>4.1769999999999996</v>
      </c>
      <c r="D2363" s="2" t="s">
        <v>84</v>
      </c>
      <c r="E2363" s="2" t="s">
        <v>20370</v>
      </c>
      <c r="F2363" s="2" t="s">
        <v>20371</v>
      </c>
      <c r="G2363" s="2">
        <v>212091</v>
      </c>
      <c r="H2363" s="3" t="str">
        <f>HYPERLINK("https://cloud.oebiotech.com/#/lm/network/212091", "https://cloud.oebiotech.com/#/lm/network/212091")</f>
        <v>https://cloud.oebiotech.com/#/lm/network/212091</v>
      </c>
      <c r="I2363" s="2" t="s">
        <v>20372</v>
      </c>
      <c r="J2363" s="2"/>
      <c r="K2363" s="2"/>
      <c r="L2363" s="2">
        <v>4682818</v>
      </c>
      <c r="M2363" s="2"/>
      <c r="N2363" s="2"/>
      <c r="O2363" s="2"/>
      <c r="P2363" s="2"/>
      <c r="Q2363" s="2"/>
      <c r="R2363" s="2"/>
      <c r="S2363" s="2"/>
      <c r="T2363" s="2" t="s">
        <v>20373</v>
      </c>
      <c r="U2363" s="2" t="s">
        <v>20374</v>
      </c>
      <c r="V2363" s="2" t="s">
        <v>553</v>
      </c>
      <c r="W2363" s="2" t="s">
        <v>7358</v>
      </c>
      <c r="X2363" s="2" t="s">
        <v>375</v>
      </c>
      <c r="Y2363" s="2" t="s">
        <v>556</v>
      </c>
      <c r="Z2363" s="2" t="s">
        <v>7359</v>
      </c>
      <c r="AA2363" s="2"/>
      <c r="AB2363" s="2" t="s">
        <v>8443</v>
      </c>
      <c r="AC2363" s="2">
        <v>36.89</v>
      </c>
      <c r="AD2363" s="2">
        <v>73.13</v>
      </c>
      <c r="AE2363" s="2">
        <v>0</v>
      </c>
      <c r="AF2363" s="2" t="s">
        <v>5614</v>
      </c>
      <c r="AG2363" s="2" t="s">
        <v>3544</v>
      </c>
      <c r="AH2363" s="2" t="s">
        <v>20375</v>
      </c>
      <c r="AI2363" s="2">
        <v>-6.63</v>
      </c>
      <c r="AJ2363" s="2">
        <v>22.019733221307199</v>
      </c>
      <c r="AK2363" s="2">
        <v>22.183550691618901</v>
      </c>
      <c r="AL2363" s="2">
        <v>21.8573112032776</v>
      </c>
      <c r="AM2363" s="2">
        <v>21.927899379012899</v>
      </c>
      <c r="AN2363" s="2">
        <v>21.831694325080999</v>
      </c>
      <c r="AO2363" s="2">
        <v>21.8339828662121</v>
      </c>
      <c r="AP2363" s="2">
        <v>21.175391318372501</v>
      </c>
      <c r="AQ2363" s="2">
        <v>21.8356516472853</v>
      </c>
      <c r="AR2363" s="2">
        <v>20.424323779680201</v>
      </c>
      <c r="AS2363" s="2">
        <v>19.713736200838099</v>
      </c>
      <c r="AT2363" s="2">
        <v>19.959858136907499</v>
      </c>
      <c r="AU2363" s="2">
        <v>20.4160592577852</v>
      </c>
      <c r="AV2363" s="2">
        <v>21.133037495932701</v>
      </c>
      <c r="AW2363" s="2">
        <v>19.636455173078001</v>
      </c>
      <c r="AX2363" s="2">
        <v>20.9561225645874</v>
      </c>
      <c r="AY2363" s="2">
        <v>20.110243799133499</v>
      </c>
      <c r="AZ2363" s="2">
        <v>20.566845740764801</v>
      </c>
      <c r="BA2363" s="2">
        <v>20.300001861420601</v>
      </c>
      <c r="BB2363" s="2">
        <v>20.788928853182899</v>
      </c>
      <c r="BC2363" s="2">
        <v>20.832867204619401</v>
      </c>
      <c r="BD2363" s="2">
        <v>20.8636344059789</v>
      </c>
      <c r="BE2363" s="2">
        <v>22.129166974502599</v>
      </c>
      <c r="BF2363" s="2">
        <v>21.0925715229844</v>
      </c>
      <c r="BG2363" s="2">
        <v>21.169452275930499</v>
      </c>
      <c r="BH2363" s="2">
        <v>21.299200040292099</v>
      </c>
      <c r="BI2363" s="2">
        <v>21.216213326886798</v>
      </c>
      <c r="BJ2363" s="2">
        <v>21.2343619103764</v>
      </c>
      <c r="BK2363" s="2">
        <v>21.315132929834402</v>
      </c>
      <c r="BL2363" s="2">
        <v>20.211640911218499</v>
      </c>
      <c r="BM2363" s="2">
        <v>20.372769133955401</v>
      </c>
      <c r="BN2363" s="2">
        <v>21.567588280668101</v>
      </c>
      <c r="BO2363" s="2">
        <v>21.402718912033599</v>
      </c>
      <c r="BP2363" s="2">
        <v>21.299163548469998</v>
      </c>
      <c r="BQ2363" s="2">
        <v>21.036586141270899</v>
      </c>
      <c r="BR2363" s="2">
        <v>20.297890246362702</v>
      </c>
      <c r="BS2363" s="2">
        <v>21.1665645335971</v>
      </c>
      <c r="BT2363" s="2">
        <v>20.407673709949599</v>
      </c>
      <c r="BU2363" s="2">
        <v>20.538346183881298</v>
      </c>
      <c r="BV2363" s="2">
        <v>21.0053311142218</v>
      </c>
      <c r="BW2363" s="2">
        <v>18.432497940972901</v>
      </c>
      <c r="BX2363" s="2">
        <v>20.895761065328799</v>
      </c>
      <c r="BY2363" s="2">
        <v>22.507139939760201</v>
      </c>
      <c r="BZ2363" s="2">
        <v>21.091913493998501</v>
      </c>
      <c r="CA2363" s="2">
        <v>20.995255729954199</v>
      </c>
      <c r="CB2363" s="2">
        <v>21.778431677303999</v>
      </c>
      <c r="CC2363" s="2">
        <v>20.940169482483501</v>
      </c>
      <c r="CD2363" s="2">
        <v>22.6686408821875</v>
      </c>
      <c r="CE2363" s="2">
        <v>21.5686791202283</v>
      </c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</row>
    <row r="2364" spans="1:97">
      <c r="A2364" s="2" t="s">
        <v>20376</v>
      </c>
      <c r="B2364" s="2">
        <v>648.27372000000003</v>
      </c>
      <c r="C2364" s="2">
        <v>9.8109999999999999</v>
      </c>
      <c r="D2364" s="2" t="s">
        <v>146</v>
      </c>
      <c r="E2364" s="2" t="s">
        <v>20377</v>
      </c>
      <c r="F2364" s="2" t="s">
        <v>20378</v>
      </c>
      <c r="G2364" s="2">
        <v>205885</v>
      </c>
      <c r="H2364" s="3" t="str">
        <f>HYPERLINK("https://cloud.oebiotech.com/#/lm/network/205885", "https://cloud.oebiotech.com/#/lm/network/205885")</f>
        <v>https://cloud.oebiotech.com/#/lm/network/205885</v>
      </c>
      <c r="I2364" s="2" t="s">
        <v>20379</v>
      </c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 t="s">
        <v>20380</v>
      </c>
      <c r="U2364" s="2" t="s">
        <v>20381</v>
      </c>
      <c r="V2364" s="2" t="s">
        <v>95</v>
      </c>
      <c r="W2364" s="2" t="s">
        <v>96</v>
      </c>
      <c r="X2364" s="2" t="s">
        <v>2173</v>
      </c>
      <c r="Y2364" s="2" t="s">
        <v>98</v>
      </c>
      <c r="Z2364" s="2" t="s">
        <v>99</v>
      </c>
      <c r="AA2364" s="2" t="s">
        <v>2174</v>
      </c>
      <c r="AB2364" s="2" t="s">
        <v>8443</v>
      </c>
      <c r="AC2364" s="2">
        <v>36.89</v>
      </c>
      <c r="AD2364" s="2">
        <v>92.53</v>
      </c>
      <c r="AE2364" s="2">
        <v>0</v>
      </c>
      <c r="AF2364" s="2" t="s">
        <v>20382</v>
      </c>
      <c r="AG2364" s="2" t="s">
        <v>157</v>
      </c>
      <c r="AH2364" s="2" t="s">
        <v>20383</v>
      </c>
      <c r="AI2364" s="2">
        <v>-2.62</v>
      </c>
      <c r="AJ2364" s="2">
        <v>19.179517683547399</v>
      </c>
      <c r="AK2364" s="2">
        <v>19.3484544119015</v>
      </c>
      <c r="AL2364" s="2">
        <v>18.530930205049099</v>
      </c>
      <c r="AM2364" s="2">
        <v>19.253361783232599</v>
      </c>
      <c r="AN2364" s="2">
        <v>19.364574890142901</v>
      </c>
      <c r="AO2364" s="2">
        <v>19.190467700354802</v>
      </c>
      <c r="AP2364" s="2">
        <v>19.156787814286599</v>
      </c>
      <c r="AQ2364" s="2">
        <v>19.4439433946694</v>
      </c>
      <c r="AR2364" s="2">
        <v>19.3195434196899</v>
      </c>
      <c r="AS2364" s="2">
        <v>17.6043917189231</v>
      </c>
      <c r="AT2364" s="2">
        <v>19.022720017596001</v>
      </c>
      <c r="AU2364" s="2">
        <v>19.021236986096</v>
      </c>
      <c r="AV2364" s="2">
        <v>19.131039351461599</v>
      </c>
      <c r="AW2364" s="2">
        <v>18.8815353684519</v>
      </c>
      <c r="AX2364" s="2">
        <v>18.783693143219701</v>
      </c>
      <c r="AY2364" s="2">
        <v>18.231720087108801</v>
      </c>
      <c r="AZ2364" s="2">
        <v>18.814981090762998</v>
      </c>
      <c r="BA2364" s="2">
        <v>18.862484082439099</v>
      </c>
      <c r="BB2364" s="2">
        <v>19.011602034847801</v>
      </c>
      <c r="BC2364" s="2">
        <v>18.6278825539591</v>
      </c>
      <c r="BD2364" s="2">
        <v>18.162110213454099</v>
      </c>
      <c r="BE2364" s="2">
        <v>18.459017419958201</v>
      </c>
      <c r="BF2364" s="2">
        <v>18.2803611396013</v>
      </c>
      <c r="BG2364" s="2">
        <v>19.6720673794132</v>
      </c>
      <c r="BH2364" s="2">
        <v>17.858207977290299</v>
      </c>
      <c r="BI2364" s="2">
        <v>19.963352182240101</v>
      </c>
      <c r="BJ2364" s="2">
        <v>18.763776360540302</v>
      </c>
      <c r="BK2364" s="2">
        <v>18.370857994865201</v>
      </c>
      <c r="BL2364" s="2">
        <v>19.015054660313599</v>
      </c>
      <c r="BM2364" s="2">
        <v>18.6684846608889</v>
      </c>
      <c r="BN2364" s="2">
        <v>18.680811531210999</v>
      </c>
      <c r="BO2364" s="2">
        <v>19.517817687913301</v>
      </c>
      <c r="BP2364" s="2">
        <v>19.2643099759653</v>
      </c>
      <c r="BQ2364" s="2">
        <v>18.646123235778099</v>
      </c>
      <c r="BR2364" s="2">
        <v>19.990013651286901</v>
      </c>
      <c r="BS2364" s="2">
        <v>19.9997612820904</v>
      </c>
      <c r="BT2364" s="2">
        <v>18.718511404048002</v>
      </c>
      <c r="BU2364" s="2">
        <v>19.6911782713501</v>
      </c>
      <c r="BV2364" s="2">
        <v>19.471126578794799</v>
      </c>
      <c r="BW2364" s="2">
        <v>16.820824659324899</v>
      </c>
      <c r="BX2364" s="2">
        <v>18.5223376237034</v>
      </c>
      <c r="BY2364" s="2">
        <v>19.633962973055599</v>
      </c>
      <c r="BZ2364" s="2">
        <v>18.7574356528362</v>
      </c>
      <c r="CA2364" s="2">
        <v>19.643021608576898</v>
      </c>
      <c r="CB2364" s="2">
        <v>19.556995095148999</v>
      </c>
      <c r="CC2364" s="2">
        <v>19.3107614498646</v>
      </c>
      <c r="CD2364" s="2">
        <v>19.388176375084701</v>
      </c>
      <c r="CE2364" s="2">
        <v>18.775622078991901</v>
      </c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</row>
    <row r="2365" spans="1:97">
      <c r="A2365" s="2" t="s">
        <v>20384</v>
      </c>
      <c r="B2365" s="2">
        <v>249.02897999999999</v>
      </c>
      <c r="C2365" s="2">
        <v>1.3919999999999999</v>
      </c>
      <c r="D2365" s="2" t="s">
        <v>84</v>
      </c>
      <c r="E2365" s="2" t="s">
        <v>20385</v>
      </c>
      <c r="F2365" s="2"/>
      <c r="G2365" s="2">
        <v>595723</v>
      </c>
      <c r="H2365" s="3" t="str">
        <f>HYPERLINK("https://cloud.oebiotech.com/#/lm/network/595723", "https://cloud.oebiotech.com/#/lm/network/595723")</f>
        <v>https://cloud.oebiotech.com/#/lm/network/595723</v>
      </c>
      <c r="I2365" s="2"/>
      <c r="J2365" s="2"/>
      <c r="K2365" s="2"/>
      <c r="L2365" s="2">
        <v>85987822</v>
      </c>
      <c r="M2365" s="2"/>
      <c r="N2365" s="2"/>
      <c r="O2365" s="2"/>
      <c r="P2365" s="2"/>
      <c r="Q2365" s="2"/>
      <c r="R2365" s="2"/>
      <c r="S2365" s="2"/>
      <c r="T2365" s="2" t="s">
        <v>20386</v>
      </c>
      <c r="U2365" s="2" t="s">
        <v>20387</v>
      </c>
      <c r="V2365" s="2" t="s">
        <v>115</v>
      </c>
      <c r="W2365" s="2" t="s">
        <v>116</v>
      </c>
      <c r="X2365" s="2" t="s">
        <v>117</v>
      </c>
      <c r="Y2365" s="2" t="s">
        <v>118</v>
      </c>
      <c r="Z2365" s="2" t="s">
        <v>119</v>
      </c>
      <c r="AA2365" s="2" t="s">
        <v>120</v>
      </c>
      <c r="AB2365" s="2" t="s">
        <v>8443</v>
      </c>
      <c r="AC2365" s="2">
        <v>36.869999999999997</v>
      </c>
      <c r="AD2365" s="2">
        <v>73.94</v>
      </c>
      <c r="AE2365" s="2">
        <v>0</v>
      </c>
      <c r="AF2365" s="2" t="s">
        <v>5614</v>
      </c>
      <c r="AG2365" s="2" t="s">
        <v>3544</v>
      </c>
      <c r="AH2365" s="2" t="s">
        <v>20388</v>
      </c>
      <c r="AI2365" s="2">
        <v>-7.23</v>
      </c>
      <c r="AJ2365" s="2">
        <v>19.146036744979501</v>
      </c>
      <c r="AK2365" s="2">
        <v>20.126227529085899</v>
      </c>
      <c r="AL2365" s="2">
        <v>19.957859265640099</v>
      </c>
      <c r="AM2365" s="2">
        <v>19.648064118498802</v>
      </c>
      <c r="AN2365" s="2">
        <v>19.925272606997499</v>
      </c>
      <c r="AO2365" s="2">
        <v>19.380755917209701</v>
      </c>
      <c r="AP2365" s="2">
        <v>19.5364236898819</v>
      </c>
      <c r="AQ2365" s="2">
        <v>19.807496841057102</v>
      </c>
      <c r="AR2365" s="2">
        <v>19.4212670487005</v>
      </c>
      <c r="AS2365" s="2">
        <v>18.618061674032401</v>
      </c>
      <c r="AT2365" s="2">
        <v>19.348917692574702</v>
      </c>
      <c r="AU2365" s="2">
        <v>19.7770300691766</v>
      </c>
      <c r="AV2365" s="2">
        <v>20.067982709431401</v>
      </c>
      <c r="AW2365" s="2">
        <v>20.048250750547201</v>
      </c>
      <c r="AX2365" s="2">
        <v>20.007777517026501</v>
      </c>
      <c r="AY2365" s="2">
        <v>19.584529901795399</v>
      </c>
      <c r="AZ2365" s="2">
        <v>20.3301189328165</v>
      </c>
      <c r="BA2365" s="2">
        <v>18.8093380377546</v>
      </c>
      <c r="BB2365" s="2">
        <v>19.822977303398499</v>
      </c>
      <c r="BC2365" s="2">
        <v>19.6098377134328</v>
      </c>
      <c r="BD2365" s="2">
        <v>19.2041785620216</v>
      </c>
      <c r="BE2365" s="2">
        <v>19.8594675861568</v>
      </c>
      <c r="BF2365" s="2">
        <v>18.360954476623</v>
      </c>
      <c r="BG2365" s="2">
        <v>19.296747153548601</v>
      </c>
      <c r="BH2365" s="2">
        <v>20.210186535635401</v>
      </c>
      <c r="BI2365" s="2">
        <v>20.143152069087499</v>
      </c>
      <c r="BJ2365" s="2">
        <v>19.699543106225001</v>
      </c>
      <c r="BK2365" s="2">
        <v>19.421638691064501</v>
      </c>
      <c r="BL2365" s="2">
        <v>19.515583427609702</v>
      </c>
      <c r="BM2365" s="2">
        <v>20.664852140213899</v>
      </c>
      <c r="BN2365" s="2">
        <v>20.093899650280999</v>
      </c>
      <c r="BO2365" s="2">
        <v>19.5269652888386</v>
      </c>
      <c r="BP2365" s="2">
        <v>19.8911648043977</v>
      </c>
      <c r="BQ2365" s="2">
        <v>20.604294458427699</v>
      </c>
      <c r="BR2365" s="2">
        <v>19.593008348572098</v>
      </c>
      <c r="BS2365" s="2">
        <v>19.358662853897702</v>
      </c>
      <c r="BT2365" s="2">
        <v>19.3582651606817</v>
      </c>
      <c r="BU2365" s="2">
        <v>19.6105110224585</v>
      </c>
      <c r="BV2365" s="2">
        <v>19.556736415596198</v>
      </c>
      <c r="BW2365" s="2">
        <v>18.5249819306263</v>
      </c>
      <c r="BX2365" s="2">
        <v>20.3135848330203</v>
      </c>
      <c r="BY2365" s="2">
        <v>19.7906286071428</v>
      </c>
      <c r="BZ2365" s="2">
        <v>19.387632525178301</v>
      </c>
      <c r="CA2365" s="2">
        <v>18.7761843602315</v>
      </c>
      <c r="CB2365" s="2">
        <v>18.911007720101001</v>
      </c>
      <c r="CC2365" s="2">
        <v>18.805090412277401</v>
      </c>
      <c r="CD2365" s="2">
        <v>20.6302942446369</v>
      </c>
      <c r="CE2365" s="2">
        <v>19.344935030222299</v>
      </c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</row>
    <row r="2366" spans="1:97">
      <c r="A2366" s="2" t="s">
        <v>20389</v>
      </c>
      <c r="B2366" s="2">
        <v>157.09778</v>
      </c>
      <c r="C2366" s="2">
        <v>0.79300000000000004</v>
      </c>
      <c r="D2366" s="2" t="s">
        <v>146</v>
      </c>
      <c r="E2366" s="2" t="s">
        <v>20390</v>
      </c>
      <c r="F2366" s="2" t="s">
        <v>20391</v>
      </c>
      <c r="G2366" s="2">
        <v>199732</v>
      </c>
      <c r="H2366" s="3" t="str">
        <f>HYPERLINK("https://cloud.oebiotech.com/#/lm/network/199732", "https://cloud.oebiotech.com/#/lm/network/199732")</f>
        <v>https://cloud.oebiotech.com/#/lm/network/199732</v>
      </c>
      <c r="I2366" s="2" t="s">
        <v>20392</v>
      </c>
      <c r="J2366" s="2"/>
      <c r="K2366" s="2"/>
      <c r="L2366" s="2">
        <v>9237</v>
      </c>
      <c r="M2366" s="2"/>
      <c r="N2366" s="2"/>
      <c r="O2366" s="2"/>
      <c r="P2366" s="2">
        <v>151129</v>
      </c>
      <c r="Q2366" s="2"/>
      <c r="R2366" s="2"/>
      <c r="S2366" s="2"/>
      <c r="T2366" s="2" t="s">
        <v>20393</v>
      </c>
      <c r="U2366" s="2" t="s">
        <v>20394</v>
      </c>
      <c r="V2366" s="2" t="s">
        <v>553</v>
      </c>
      <c r="W2366" s="2" t="s">
        <v>10242</v>
      </c>
      <c r="X2366" s="2" t="s">
        <v>10243</v>
      </c>
      <c r="Y2366" s="2" t="s">
        <v>556</v>
      </c>
      <c r="Z2366" s="2" t="s">
        <v>10244</v>
      </c>
      <c r="AA2366" s="2" t="s">
        <v>10245</v>
      </c>
      <c r="AB2366" s="2" t="s">
        <v>8443</v>
      </c>
      <c r="AC2366" s="2">
        <v>36.869999999999997</v>
      </c>
      <c r="AD2366" s="2">
        <v>95.24</v>
      </c>
      <c r="AE2366" s="2">
        <v>0</v>
      </c>
      <c r="AF2366" s="2" t="s">
        <v>5614</v>
      </c>
      <c r="AG2366" s="2" t="s">
        <v>157</v>
      </c>
      <c r="AH2366" s="2" t="s">
        <v>20395</v>
      </c>
      <c r="AI2366" s="2">
        <v>3.18</v>
      </c>
      <c r="AJ2366" s="2">
        <v>20.1290996745415</v>
      </c>
      <c r="AK2366" s="2">
        <v>21.177395715765702</v>
      </c>
      <c r="AL2366" s="2">
        <v>20.620402771630101</v>
      </c>
      <c r="AM2366" s="2">
        <v>20.9242610934878</v>
      </c>
      <c r="AN2366" s="2">
        <v>20.762219055045499</v>
      </c>
      <c r="AO2366" s="2">
        <v>21.166715837194101</v>
      </c>
      <c r="AP2366" s="2">
        <v>20.8470644440238</v>
      </c>
      <c r="AQ2366" s="2">
        <v>20.756075056165098</v>
      </c>
      <c r="AR2366" s="2">
        <v>19.967293154543299</v>
      </c>
      <c r="AS2366" s="2">
        <v>20.743911603666099</v>
      </c>
      <c r="AT2366" s="2">
        <v>19.570504271125401</v>
      </c>
      <c r="AU2366" s="2">
        <v>21.531237328508698</v>
      </c>
      <c r="AV2366" s="2">
        <v>20.956776303618501</v>
      </c>
      <c r="AW2366" s="2">
        <v>20.8145577457238</v>
      </c>
      <c r="AX2366" s="2">
        <v>20.766021427773101</v>
      </c>
      <c r="AY2366" s="2">
        <v>19.356463404580101</v>
      </c>
      <c r="AZ2366" s="2">
        <v>20.976434402563399</v>
      </c>
      <c r="BA2366" s="2">
        <v>20.089899585249398</v>
      </c>
      <c r="BB2366" s="2">
        <v>20.176150998927699</v>
      </c>
      <c r="BC2366" s="2">
        <v>21.0005753529665</v>
      </c>
      <c r="BD2366" s="2">
        <v>21.288106316759801</v>
      </c>
      <c r="BE2366" s="2">
        <v>20.620612889384901</v>
      </c>
      <c r="BF2366" s="2">
        <v>21.207547600205</v>
      </c>
      <c r="BG2366" s="2">
        <v>21.024201810289998</v>
      </c>
      <c r="BH2366" s="2">
        <v>19.0982468700381</v>
      </c>
      <c r="BI2366" s="2">
        <v>20.879553590998398</v>
      </c>
      <c r="BJ2366" s="2">
        <v>19.384445494491299</v>
      </c>
      <c r="BK2366" s="2">
        <v>20.890863491507702</v>
      </c>
      <c r="BL2366" s="2">
        <v>21.051902658384599</v>
      </c>
      <c r="BM2366" s="2">
        <v>21.438731704857901</v>
      </c>
      <c r="BN2366" s="2">
        <v>20.979426918925402</v>
      </c>
      <c r="BO2366" s="2">
        <v>19.810270325342699</v>
      </c>
      <c r="BP2366" s="2">
        <v>20.380710826704298</v>
      </c>
      <c r="BQ2366" s="2">
        <v>21.0437731304444</v>
      </c>
      <c r="BR2366" s="2">
        <v>20.539816224722099</v>
      </c>
      <c r="BS2366" s="2">
        <v>20.321936438085601</v>
      </c>
      <c r="BT2366" s="2">
        <v>20.496344208420702</v>
      </c>
      <c r="BU2366" s="2">
        <v>20.877647543320201</v>
      </c>
      <c r="BV2366" s="2">
        <v>20.820894431512301</v>
      </c>
      <c r="BW2366" s="2">
        <v>21.7203970683628</v>
      </c>
      <c r="BX2366" s="2">
        <v>21.129540819292899</v>
      </c>
      <c r="BY2366" s="2">
        <v>20.1507121907852</v>
      </c>
      <c r="BZ2366" s="2">
        <v>21.199016352820099</v>
      </c>
      <c r="CA2366" s="2">
        <v>20.656581324481198</v>
      </c>
      <c r="CB2366" s="2">
        <v>19.803936317590299</v>
      </c>
      <c r="CC2366" s="2">
        <v>20.651014313268799</v>
      </c>
      <c r="CD2366" s="2">
        <v>19.925639680141501</v>
      </c>
      <c r="CE2366" s="2">
        <v>20.821591236082401</v>
      </c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</row>
    <row r="2367" spans="1:97">
      <c r="A2367" s="2" t="s">
        <v>20396</v>
      </c>
      <c r="B2367" s="2">
        <v>477.10298999999998</v>
      </c>
      <c r="C2367" s="2">
        <v>0.91800000000000004</v>
      </c>
      <c r="D2367" s="2" t="s">
        <v>84</v>
      </c>
      <c r="E2367" s="2" t="s">
        <v>20397</v>
      </c>
      <c r="F2367" s="2" t="s">
        <v>20398</v>
      </c>
      <c r="G2367" s="2">
        <v>33049</v>
      </c>
      <c r="H2367" s="3" t="str">
        <f>HYPERLINK("https://cloud.oebiotech.com/#/lm/network/33049", "https://cloud.oebiotech.com/#/lm/network/33049")</f>
        <v>https://cloud.oebiotech.com/#/lm/network/33049</v>
      </c>
      <c r="I2367" s="2"/>
      <c r="J2367" s="2"/>
      <c r="K2367" s="2" t="s">
        <v>20399</v>
      </c>
      <c r="L2367" s="2">
        <v>122213617</v>
      </c>
      <c r="M2367" s="2"/>
      <c r="N2367" s="2"/>
      <c r="O2367" s="2"/>
      <c r="P2367" s="2"/>
      <c r="Q2367" s="2"/>
      <c r="R2367" s="2"/>
      <c r="S2367" s="2"/>
      <c r="T2367" s="2" t="s">
        <v>20400</v>
      </c>
      <c r="U2367" s="2" t="s">
        <v>20401</v>
      </c>
      <c r="V2367" s="2" t="s">
        <v>845</v>
      </c>
      <c r="W2367" s="2" t="s">
        <v>1853</v>
      </c>
      <c r="X2367" s="2" t="s">
        <v>6175</v>
      </c>
      <c r="Y2367" s="2" t="s">
        <v>847</v>
      </c>
      <c r="Z2367" s="2" t="s">
        <v>1855</v>
      </c>
      <c r="AA2367" s="2" t="s">
        <v>6176</v>
      </c>
      <c r="AB2367" s="2" t="s">
        <v>8443</v>
      </c>
      <c r="AC2367" s="2">
        <v>36.86</v>
      </c>
      <c r="AD2367" s="2">
        <v>84.32</v>
      </c>
      <c r="AE2367" s="2">
        <v>0</v>
      </c>
      <c r="AF2367" s="2" t="s">
        <v>20402</v>
      </c>
      <c r="AG2367" s="2" t="s">
        <v>1088</v>
      </c>
      <c r="AH2367" s="2" t="s">
        <v>20403</v>
      </c>
      <c r="AI2367" s="2">
        <v>0.63</v>
      </c>
      <c r="AJ2367" s="2">
        <v>20.900636748407901</v>
      </c>
      <c r="AK2367" s="2">
        <v>20.4575330623539</v>
      </c>
      <c r="AL2367" s="2">
        <v>20.722599576888999</v>
      </c>
      <c r="AM2367" s="2">
        <v>20.7511679759061</v>
      </c>
      <c r="AN2367" s="2">
        <v>21.022954249279401</v>
      </c>
      <c r="AO2367" s="2">
        <v>20.636945326765801</v>
      </c>
      <c r="AP2367" s="2">
        <v>20.426750921326001</v>
      </c>
      <c r="AQ2367" s="2">
        <v>19.823103695973298</v>
      </c>
      <c r="AR2367" s="2">
        <v>20.180997405034802</v>
      </c>
      <c r="AS2367" s="2">
        <v>20.629335006388899</v>
      </c>
      <c r="AT2367" s="2">
        <v>20.514688514919001</v>
      </c>
      <c r="AU2367" s="2">
        <v>20.848951522413699</v>
      </c>
      <c r="AV2367" s="2">
        <v>21.357343100205199</v>
      </c>
      <c r="AW2367" s="2">
        <v>21.260458863682501</v>
      </c>
      <c r="AX2367" s="2">
        <v>20.7443675585465</v>
      </c>
      <c r="AY2367" s="2">
        <v>21.221511229622301</v>
      </c>
      <c r="AZ2367" s="2">
        <v>21.338068907755002</v>
      </c>
      <c r="BA2367" s="2">
        <v>20.2492958896446</v>
      </c>
      <c r="BB2367" s="2">
        <v>21.329748175988598</v>
      </c>
      <c r="BC2367" s="2">
        <v>20.2301763662193</v>
      </c>
      <c r="BD2367" s="2">
        <v>20.0775143636628</v>
      </c>
      <c r="BE2367" s="2">
        <v>21.0033582185537</v>
      </c>
      <c r="BF2367" s="2">
        <v>20.538777813536701</v>
      </c>
      <c r="BG2367" s="2">
        <v>20.991958395005302</v>
      </c>
      <c r="BH2367" s="2">
        <v>21.1437873607291</v>
      </c>
      <c r="BI2367" s="2">
        <v>20.595574850230498</v>
      </c>
      <c r="BJ2367" s="2">
        <v>21.3635902674636</v>
      </c>
      <c r="BK2367" s="2">
        <v>20.9764513035745</v>
      </c>
      <c r="BL2367" s="2">
        <v>20.428275760011601</v>
      </c>
      <c r="BM2367" s="2">
        <v>21.6116434286375</v>
      </c>
      <c r="BN2367" s="2">
        <v>20.8748823999419</v>
      </c>
      <c r="BO2367" s="2">
        <v>20.746151894470799</v>
      </c>
      <c r="BP2367" s="2">
        <v>20.440260077736198</v>
      </c>
      <c r="BQ2367" s="2">
        <v>21.595539826714699</v>
      </c>
      <c r="BR2367" s="2">
        <v>20.5833867655682</v>
      </c>
      <c r="BS2367" s="2">
        <v>20.490518414764601</v>
      </c>
      <c r="BT2367" s="2">
        <v>20.3947297712823</v>
      </c>
      <c r="BU2367" s="2">
        <v>20.3658436487102</v>
      </c>
      <c r="BV2367" s="2">
        <v>21.312745283677799</v>
      </c>
      <c r="BW2367" s="2">
        <v>20.100327568824</v>
      </c>
      <c r="BX2367" s="2">
        <v>20.2425400682434</v>
      </c>
      <c r="BY2367" s="2">
        <v>21.020539056949801</v>
      </c>
      <c r="BZ2367" s="2">
        <v>20.783922561430501</v>
      </c>
      <c r="CA2367" s="2">
        <v>20.855844532847399</v>
      </c>
      <c r="CB2367" s="2">
        <v>20.428706125210098</v>
      </c>
      <c r="CC2367" s="2">
        <v>20.616128154931701</v>
      </c>
      <c r="CD2367" s="2">
        <v>20.824580793802301</v>
      </c>
      <c r="CE2367" s="2">
        <v>20.408284529361001</v>
      </c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</row>
    <row r="2368" spans="1:97">
      <c r="A2368" s="2" t="s">
        <v>20404</v>
      </c>
      <c r="B2368" s="2">
        <v>255.15853999999999</v>
      </c>
      <c r="C2368" s="2">
        <v>10.201000000000001</v>
      </c>
      <c r="D2368" s="2" t="s">
        <v>84</v>
      </c>
      <c r="E2368" s="2" t="s">
        <v>20405</v>
      </c>
      <c r="F2368" s="2" t="s">
        <v>20406</v>
      </c>
      <c r="G2368" s="2">
        <v>2013</v>
      </c>
      <c r="H2368" s="3" t="str">
        <f>HYPERLINK("https://cloud.oebiotech.com/#/lm/network/2013", "https://cloud.oebiotech.com/#/lm/network/2013")</f>
        <v>https://cloud.oebiotech.com/#/lm/network/2013</v>
      </c>
      <c r="I2368" s="2"/>
      <c r="J2368" s="2"/>
      <c r="K2368" s="2" t="s">
        <v>20407</v>
      </c>
      <c r="L2368" s="2"/>
      <c r="M2368" s="2"/>
      <c r="N2368" s="2"/>
      <c r="O2368" s="2"/>
      <c r="P2368" s="2"/>
      <c r="Q2368" s="2"/>
      <c r="R2368" s="2"/>
      <c r="S2368" s="2"/>
      <c r="T2368" s="2" t="s">
        <v>20408</v>
      </c>
      <c r="U2368" s="2" t="s">
        <v>20409</v>
      </c>
      <c r="V2368" s="2" t="s">
        <v>95</v>
      </c>
      <c r="W2368" s="2" t="s">
        <v>96</v>
      </c>
      <c r="X2368" s="2" t="s">
        <v>141</v>
      </c>
      <c r="Y2368" s="2" t="s">
        <v>98</v>
      </c>
      <c r="Z2368" s="2" t="s">
        <v>99</v>
      </c>
      <c r="AA2368" s="2" t="s">
        <v>142</v>
      </c>
      <c r="AB2368" s="2" t="s">
        <v>8443</v>
      </c>
      <c r="AC2368" s="2">
        <v>36.86</v>
      </c>
      <c r="AD2368" s="2">
        <v>91.03</v>
      </c>
      <c r="AE2368" s="2">
        <v>0</v>
      </c>
      <c r="AF2368" s="2" t="s">
        <v>5614</v>
      </c>
      <c r="AG2368" s="2" t="s">
        <v>103</v>
      </c>
      <c r="AH2368" s="2" t="s">
        <v>20410</v>
      </c>
      <c r="AI2368" s="2">
        <v>2.35</v>
      </c>
      <c r="AJ2368" s="2">
        <v>18.978328460521599</v>
      </c>
      <c r="AK2368" s="2">
        <v>19.183347180014</v>
      </c>
      <c r="AL2368" s="2">
        <v>19.0261095257855</v>
      </c>
      <c r="AM2368" s="2">
        <v>18.925248437395599</v>
      </c>
      <c r="AN2368" s="2">
        <v>18.926490126510402</v>
      </c>
      <c r="AO2368" s="2">
        <v>18.845544720650899</v>
      </c>
      <c r="AP2368" s="2">
        <v>19.3850437533583</v>
      </c>
      <c r="AQ2368" s="2">
        <v>18.035865611518101</v>
      </c>
      <c r="AR2368" s="2">
        <v>19.2980961611594</v>
      </c>
      <c r="AS2368" s="2">
        <v>19.015255751459598</v>
      </c>
      <c r="AT2368" s="2">
        <v>18.990476098950499</v>
      </c>
      <c r="AU2368" s="2">
        <v>18.9088497239233</v>
      </c>
      <c r="AV2368" s="2">
        <v>18.954161883265801</v>
      </c>
      <c r="AW2368" s="2">
        <v>18.721884576771899</v>
      </c>
      <c r="AX2368" s="2">
        <v>19.009490145381999</v>
      </c>
      <c r="AY2368" s="2">
        <v>18.6638570827898</v>
      </c>
      <c r="AZ2368" s="2">
        <v>18.6779053819</v>
      </c>
      <c r="BA2368" s="2">
        <v>18.827850773718701</v>
      </c>
      <c r="BB2368" s="2">
        <v>19.327150974605701</v>
      </c>
      <c r="BC2368" s="2">
        <v>18.6654605596751</v>
      </c>
      <c r="BD2368" s="2">
        <v>19.406537160138299</v>
      </c>
      <c r="BE2368" s="2">
        <v>19.389032500584602</v>
      </c>
      <c r="BF2368" s="2">
        <v>18.978602715414699</v>
      </c>
      <c r="BG2368" s="2">
        <v>18.711904674443801</v>
      </c>
      <c r="BH2368" s="2">
        <v>18.8085041495567</v>
      </c>
      <c r="BI2368" s="2">
        <v>19.598893293962199</v>
      </c>
      <c r="BJ2368" s="2">
        <v>19.230571729890901</v>
      </c>
      <c r="BK2368" s="2">
        <v>18.787459649875199</v>
      </c>
      <c r="BL2368" s="2">
        <v>19.253426443649602</v>
      </c>
      <c r="BM2368" s="2">
        <v>19.302537230835501</v>
      </c>
      <c r="BN2368" s="2">
        <v>18.905688847316799</v>
      </c>
      <c r="BO2368" s="2">
        <v>18.8203285392654</v>
      </c>
      <c r="BP2368" s="2">
        <v>19.174314249343901</v>
      </c>
      <c r="BQ2368" s="2">
        <v>19.012822614331501</v>
      </c>
      <c r="BR2368" s="2">
        <v>18.553428343182802</v>
      </c>
      <c r="BS2368" s="2">
        <v>19.229221011057401</v>
      </c>
      <c r="BT2368" s="2">
        <v>19.225356250508302</v>
      </c>
      <c r="BU2368" s="2">
        <v>18.7277483879264</v>
      </c>
      <c r="BV2368" s="2">
        <v>19.107496014899102</v>
      </c>
      <c r="BW2368" s="2">
        <v>18.946238449791799</v>
      </c>
      <c r="BX2368" s="2">
        <v>19.096792891794099</v>
      </c>
      <c r="BY2368" s="2">
        <v>18.848795021572801</v>
      </c>
      <c r="BZ2368" s="2">
        <v>18.886923841990601</v>
      </c>
      <c r="CA2368" s="2">
        <v>18.451277569272399</v>
      </c>
      <c r="CB2368" s="2">
        <v>18.493113455778399</v>
      </c>
      <c r="CC2368" s="2">
        <v>18.828864796102099</v>
      </c>
      <c r="CD2368" s="2">
        <v>18.952960367833199</v>
      </c>
      <c r="CE2368" s="2">
        <v>19.122941838079999</v>
      </c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</row>
    <row r="2369" spans="1:97">
      <c r="A2369" s="2" t="s">
        <v>20411</v>
      </c>
      <c r="B2369" s="2">
        <v>269.02496000000002</v>
      </c>
      <c r="C2369" s="2">
        <v>1.0329999999999999</v>
      </c>
      <c r="D2369" s="2" t="s">
        <v>146</v>
      </c>
      <c r="E2369" s="2" t="s">
        <v>20412</v>
      </c>
      <c r="F2369" s="2" t="s">
        <v>20413</v>
      </c>
      <c r="G2369" s="2">
        <v>210031</v>
      </c>
      <c r="H2369" s="3" t="str">
        <f>HYPERLINK("https://cloud.oebiotech.com/#/lm/network/210031", "https://cloud.oebiotech.com/#/lm/network/210031")</f>
        <v>https://cloud.oebiotech.com/#/lm/network/210031</v>
      </c>
      <c r="I2369" s="2" t="s">
        <v>20414</v>
      </c>
      <c r="J2369" s="2"/>
      <c r="K2369" s="2"/>
      <c r="L2369" s="2">
        <v>10016012</v>
      </c>
      <c r="M2369" s="2"/>
      <c r="N2369" s="2"/>
      <c r="O2369" s="2"/>
      <c r="P2369" s="2"/>
      <c r="Q2369" s="2"/>
      <c r="R2369" s="2"/>
      <c r="S2369" s="2"/>
      <c r="T2369" s="2" t="s">
        <v>20415</v>
      </c>
      <c r="U2369" s="2" t="s">
        <v>20416</v>
      </c>
      <c r="V2369" s="2" t="s">
        <v>553</v>
      </c>
      <c r="W2369" s="2" t="s">
        <v>1599</v>
      </c>
      <c r="X2369" s="2" t="s">
        <v>20417</v>
      </c>
      <c r="Y2369" s="2" t="s">
        <v>556</v>
      </c>
      <c r="Z2369" s="2" t="s">
        <v>1601</v>
      </c>
      <c r="AA2369" s="2" t="s">
        <v>20418</v>
      </c>
      <c r="AB2369" s="2" t="s">
        <v>8443</v>
      </c>
      <c r="AC2369" s="2">
        <v>36.86</v>
      </c>
      <c r="AD2369" s="2">
        <v>53.29</v>
      </c>
      <c r="AE2369" s="2">
        <v>41.83</v>
      </c>
      <c r="AF2369" s="2" t="s">
        <v>20419</v>
      </c>
      <c r="AG2369" s="2" t="s">
        <v>194</v>
      </c>
      <c r="AH2369" s="2" t="s">
        <v>20420</v>
      </c>
      <c r="AI2369" s="2">
        <v>1.49</v>
      </c>
      <c r="AJ2369" s="2">
        <v>22.9098956119199</v>
      </c>
      <c r="AK2369" s="2">
        <v>22.874755691347801</v>
      </c>
      <c r="AL2369" s="2">
        <v>23.090455780832801</v>
      </c>
      <c r="AM2369" s="2">
        <v>23.0535813783926</v>
      </c>
      <c r="AN2369" s="2">
        <v>22.389313725627801</v>
      </c>
      <c r="AO2369" s="2">
        <v>22.9490529110289</v>
      </c>
      <c r="AP2369" s="2">
        <v>22.934310969815701</v>
      </c>
      <c r="AQ2369" s="2">
        <v>22.956481755711099</v>
      </c>
      <c r="AR2369" s="2">
        <v>23.0155148260191</v>
      </c>
      <c r="AS2369" s="2">
        <v>22.894467424198201</v>
      </c>
      <c r="AT2369" s="2">
        <v>22.358901958463701</v>
      </c>
      <c r="AU2369" s="2">
        <v>22.055380928077401</v>
      </c>
      <c r="AV2369" s="2">
        <v>22.8517713523518</v>
      </c>
      <c r="AW2369" s="2">
        <v>23.062035373374702</v>
      </c>
      <c r="AX2369" s="2">
        <v>22.372668876441899</v>
      </c>
      <c r="AY2369" s="2">
        <v>22.684760502998799</v>
      </c>
      <c r="AZ2369" s="2">
        <v>22.7941562271508</v>
      </c>
      <c r="BA2369" s="2">
        <v>22.1804419224312</v>
      </c>
      <c r="BB2369" s="2">
        <v>23.113262797964001</v>
      </c>
      <c r="BC2369" s="2">
        <v>22.539857259949699</v>
      </c>
      <c r="BD2369" s="2">
        <v>22.343024544567101</v>
      </c>
      <c r="BE2369" s="2">
        <v>22.305451350900501</v>
      </c>
      <c r="BF2369" s="2">
        <v>22.8073742960188</v>
      </c>
      <c r="BG2369" s="2">
        <v>23.266385771354798</v>
      </c>
      <c r="BH2369" s="2">
        <v>22.653370858252099</v>
      </c>
      <c r="BI2369" s="2">
        <v>23.281699567246601</v>
      </c>
      <c r="BJ2369" s="2">
        <v>23.369135047411699</v>
      </c>
      <c r="BK2369" s="2">
        <v>22.8845862638494</v>
      </c>
      <c r="BL2369" s="2">
        <v>22.8406428040363</v>
      </c>
      <c r="BM2369" s="2">
        <v>21.877740539798801</v>
      </c>
      <c r="BN2369" s="2">
        <v>22.409134007276599</v>
      </c>
      <c r="BO2369" s="2">
        <v>22.060337400577598</v>
      </c>
      <c r="BP2369" s="2">
        <v>23.212317455599798</v>
      </c>
      <c r="BQ2369" s="2">
        <v>22.644339315730299</v>
      </c>
      <c r="BR2369" s="2">
        <v>22.1615406223052</v>
      </c>
      <c r="BS2369" s="2">
        <v>23.1833591511887</v>
      </c>
      <c r="BT2369" s="2">
        <v>22.0663239992321</v>
      </c>
      <c r="BU2369" s="2">
        <v>23.052534208056301</v>
      </c>
      <c r="BV2369" s="2">
        <v>22.2791089636466</v>
      </c>
      <c r="BW2369" s="2">
        <v>22.4374299717628</v>
      </c>
      <c r="BX2369" s="2">
        <v>22.143638322376798</v>
      </c>
      <c r="BY2369" s="2">
        <v>22.8930537367408</v>
      </c>
      <c r="BZ2369" s="2">
        <v>22.396669916981999</v>
      </c>
      <c r="CA2369" s="2">
        <v>23.523646371645299</v>
      </c>
      <c r="CB2369" s="2">
        <v>22.503525019050201</v>
      </c>
      <c r="CC2369" s="2">
        <v>23.178834359684501</v>
      </c>
      <c r="CD2369" s="2">
        <v>23.2210595466365</v>
      </c>
      <c r="CE2369" s="2">
        <v>22.2501314042633</v>
      </c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</row>
    <row r="2370" spans="1:97">
      <c r="A2370" s="2" t="s">
        <v>20421</v>
      </c>
      <c r="B2370" s="2">
        <v>112.07717</v>
      </c>
      <c r="C2370" s="2">
        <v>8.9589999999999996</v>
      </c>
      <c r="D2370" s="2" t="s">
        <v>146</v>
      </c>
      <c r="E2370" s="2" t="s">
        <v>20422</v>
      </c>
      <c r="F2370" s="2" t="s">
        <v>20423</v>
      </c>
      <c r="G2370" s="2">
        <v>208652</v>
      </c>
      <c r="H2370" s="3" t="str">
        <f>HYPERLINK("https://cloud.oebiotech.com/#/lm/network/208652", "https://cloud.oebiotech.com/#/lm/network/208652")</f>
        <v>https://cloud.oebiotech.com/#/lm/network/208652</v>
      </c>
      <c r="I2370" s="2" t="s">
        <v>20424</v>
      </c>
      <c r="J2370" s="2"/>
      <c r="K2370" s="2"/>
      <c r="L2370" s="2">
        <v>450283</v>
      </c>
      <c r="M2370" s="2"/>
      <c r="N2370" s="2"/>
      <c r="O2370" s="2"/>
      <c r="P2370" s="2"/>
      <c r="Q2370" s="2"/>
      <c r="R2370" s="2"/>
      <c r="S2370" s="2"/>
      <c r="T2370" s="2" t="s">
        <v>20425</v>
      </c>
      <c r="U2370" s="2" t="s">
        <v>20426</v>
      </c>
      <c r="V2370" s="2" t="s">
        <v>166</v>
      </c>
      <c r="W2370" s="2" t="s">
        <v>167</v>
      </c>
      <c r="X2370" s="2" t="s">
        <v>20427</v>
      </c>
      <c r="Y2370" s="2" t="s">
        <v>169</v>
      </c>
      <c r="Z2370" s="2" t="s">
        <v>169</v>
      </c>
      <c r="AA2370" s="2" t="s">
        <v>20428</v>
      </c>
      <c r="AB2370" s="2" t="s">
        <v>8443</v>
      </c>
      <c r="AC2370" s="2">
        <v>36.85</v>
      </c>
      <c r="AD2370" s="2">
        <v>96.22</v>
      </c>
      <c r="AE2370" s="2">
        <v>0</v>
      </c>
      <c r="AF2370" s="2" t="s">
        <v>5614</v>
      </c>
      <c r="AG2370" s="2" t="s">
        <v>194</v>
      </c>
      <c r="AH2370" s="2" t="s">
        <v>20429</v>
      </c>
      <c r="AI2370" s="2">
        <v>-3.39</v>
      </c>
      <c r="AJ2370" s="2">
        <v>18.973627221759099</v>
      </c>
      <c r="AK2370" s="2">
        <v>18.8643672320535</v>
      </c>
      <c r="AL2370" s="2">
        <v>18.944768472400099</v>
      </c>
      <c r="AM2370" s="2">
        <v>18.8902175708659</v>
      </c>
      <c r="AN2370" s="2">
        <v>18.741545295723999</v>
      </c>
      <c r="AO2370" s="2">
        <v>18.877373022917102</v>
      </c>
      <c r="AP2370" s="2">
        <v>19.027795764895501</v>
      </c>
      <c r="AQ2370" s="2">
        <v>18.929700773069602</v>
      </c>
      <c r="AR2370" s="2">
        <v>18.359630197142302</v>
      </c>
      <c r="AS2370" s="2">
        <v>9.6233145402724691</v>
      </c>
      <c r="AT2370" s="2">
        <v>18.319226192736899</v>
      </c>
      <c r="AU2370" s="2">
        <v>18.7992238419769</v>
      </c>
      <c r="AV2370" s="2">
        <v>17.610019636999098</v>
      </c>
      <c r="AW2370" s="2">
        <v>21.150376892371401</v>
      </c>
      <c r="AX2370" s="2">
        <v>17.118254104617801</v>
      </c>
      <c r="AY2370" s="2">
        <v>18.576147578267101</v>
      </c>
      <c r="AZ2370" s="2">
        <v>15.9610087331882</v>
      </c>
      <c r="BA2370" s="2">
        <v>9.6233145402724691</v>
      </c>
      <c r="BB2370" s="2">
        <v>20.472143075816</v>
      </c>
      <c r="BC2370" s="2">
        <v>17.7409399419873</v>
      </c>
      <c r="BD2370" s="2">
        <v>16.2061961261984</v>
      </c>
      <c r="BE2370" s="2">
        <v>16.790844312506199</v>
      </c>
      <c r="BF2370" s="2">
        <v>16.028255097929399</v>
      </c>
      <c r="BG2370" s="2">
        <v>13.292417981825199</v>
      </c>
      <c r="BH2370" s="2">
        <v>17.9358799915086</v>
      </c>
      <c r="BI2370" s="2">
        <v>9.6233145402724691</v>
      </c>
      <c r="BJ2370" s="2">
        <v>17.501176005474601</v>
      </c>
      <c r="BK2370" s="2">
        <v>20.067616965500999</v>
      </c>
      <c r="BL2370" s="2">
        <v>9.6233145402724691</v>
      </c>
      <c r="BM2370" s="2">
        <v>19.498723638243099</v>
      </c>
      <c r="BN2370" s="2">
        <v>19.372756425492501</v>
      </c>
      <c r="BO2370" s="2">
        <v>15.474210401699599</v>
      </c>
      <c r="BP2370" s="2">
        <v>9.6233145402724691</v>
      </c>
      <c r="BQ2370" s="2">
        <v>19.484599225529699</v>
      </c>
      <c r="BR2370" s="2">
        <v>18.7146259327032</v>
      </c>
      <c r="BS2370" s="2">
        <v>17.946080921817799</v>
      </c>
      <c r="BT2370" s="2">
        <v>15.9044222374878</v>
      </c>
      <c r="BU2370" s="2">
        <v>9.6233145402724691</v>
      </c>
      <c r="BV2370" s="2">
        <v>20.286050960169799</v>
      </c>
      <c r="BW2370" s="2">
        <v>14.656225965028399</v>
      </c>
      <c r="BX2370" s="2">
        <v>17.1261184202687</v>
      </c>
      <c r="BY2370" s="2">
        <v>16.4378503961292</v>
      </c>
      <c r="BZ2370" s="2">
        <v>15.995473035782</v>
      </c>
      <c r="CA2370" s="2">
        <v>18.6226641597599</v>
      </c>
      <c r="CB2370" s="2">
        <v>17.3055146813889</v>
      </c>
      <c r="CC2370" s="2">
        <v>16.2255151218233</v>
      </c>
      <c r="CD2370" s="2">
        <v>18.186152744434601</v>
      </c>
      <c r="CE2370" s="2">
        <v>17.6088840875837</v>
      </c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</row>
    <row r="2371" spans="1:97">
      <c r="A2371" s="2" t="s">
        <v>20430</v>
      </c>
      <c r="B2371" s="2">
        <v>103.05448</v>
      </c>
      <c r="C2371" s="2">
        <v>3.7309999999999999</v>
      </c>
      <c r="D2371" s="2" t="s">
        <v>84</v>
      </c>
      <c r="E2371" s="2" t="s">
        <v>20431</v>
      </c>
      <c r="F2371" s="2" t="s">
        <v>20432</v>
      </c>
      <c r="G2371" s="2">
        <v>54546</v>
      </c>
      <c r="H2371" s="3" t="str">
        <f>HYPERLINK("https://cloud.oebiotech.com/#/lm/network/54546", "https://cloud.oebiotech.com/#/lm/network/54546")</f>
        <v>https://cloud.oebiotech.com/#/lm/network/54546</v>
      </c>
      <c r="I2371" s="2" t="s">
        <v>20433</v>
      </c>
      <c r="J2371" s="2">
        <v>66609</v>
      </c>
      <c r="K2371" s="2"/>
      <c r="L2371" s="2">
        <v>10722</v>
      </c>
      <c r="M2371" s="2" t="s">
        <v>20434</v>
      </c>
      <c r="N2371" s="2"/>
      <c r="O2371" s="2"/>
      <c r="P2371" s="2">
        <v>27434</v>
      </c>
      <c r="Q2371" s="2"/>
      <c r="R2371" s="2"/>
      <c r="S2371" s="2" t="s">
        <v>20435</v>
      </c>
      <c r="T2371" s="2" t="s">
        <v>20436</v>
      </c>
      <c r="U2371" s="2" t="s">
        <v>20437</v>
      </c>
      <c r="V2371" s="2" t="s">
        <v>385</v>
      </c>
      <c r="W2371" s="2" t="s">
        <v>386</v>
      </c>
      <c r="X2371" s="2" t="s">
        <v>12289</v>
      </c>
      <c r="Y2371" s="2" t="s">
        <v>388</v>
      </c>
      <c r="Z2371" s="2" t="s">
        <v>389</v>
      </c>
      <c r="AA2371" s="2" t="s">
        <v>12290</v>
      </c>
      <c r="AB2371" s="2" t="s">
        <v>8443</v>
      </c>
      <c r="AC2371" s="2">
        <v>36.83</v>
      </c>
      <c r="AD2371" s="2">
        <v>95.65</v>
      </c>
      <c r="AE2371" s="2">
        <v>0</v>
      </c>
      <c r="AF2371" s="2" t="s">
        <v>5614</v>
      </c>
      <c r="AG2371" s="2" t="s">
        <v>1088</v>
      </c>
      <c r="AH2371" s="2" t="s">
        <v>12291</v>
      </c>
      <c r="AI2371" s="2">
        <v>3.3</v>
      </c>
      <c r="AJ2371" s="2">
        <v>19.6852389580813</v>
      </c>
      <c r="AK2371" s="2">
        <v>20.029626963432499</v>
      </c>
      <c r="AL2371" s="2">
        <v>20.061866016282998</v>
      </c>
      <c r="AM2371" s="2">
        <v>19.838024798328998</v>
      </c>
      <c r="AN2371" s="2">
        <v>19.702613109364101</v>
      </c>
      <c r="AO2371" s="2">
        <v>20.053054072974302</v>
      </c>
      <c r="AP2371" s="2">
        <v>18.917222092052501</v>
      </c>
      <c r="AQ2371" s="2">
        <v>20.120660771061399</v>
      </c>
      <c r="AR2371" s="2">
        <v>19.640463825961799</v>
      </c>
      <c r="AS2371" s="2">
        <v>19.3886492091886</v>
      </c>
      <c r="AT2371" s="2">
        <v>19.771807351735099</v>
      </c>
      <c r="AU2371" s="2">
        <v>19.8439159768525</v>
      </c>
      <c r="AV2371" s="2">
        <v>19.914948137042099</v>
      </c>
      <c r="AW2371" s="2">
        <v>19.464975210918102</v>
      </c>
      <c r="AX2371" s="2">
        <v>19.6546857930133</v>
      </c>
      <c r="AY2371" s="2">
        <v>20.356795992985401</v>
      </c>
      <c r="AZ2371" s="2">
        <v>19.637452136671701</v>
      </c>
      <c r="BA2371" s="2">
        <v>19.735271310785102</v>
      </c>
      <c r="BB2371" s="2">
        <v>20.062005478582702</v>
      </c>
      <c r="BC2371" s="2">
        <v>19.485490351249101</v>
      </c>
      <c r="BD2371" s="2">
        <v>19.799627380734002</v>
      </c>
      <c r="BE2371" s="2">
        <v>20.221578908663702</v>
      </c>
      <c r="BF2371" s="2">
        <v>19.417486406321199</v>
      </c>
      <c r="BG2371" s="2">
        <v>19.7987227833224</v>
      </c>
      <c r="BH2371" s="2">
        <v>19.959538977860099</v>
      </c>
      <c r="BI2371" s="2">
        <v>19.822847648512901</v>
      </c>
      <c r="BJ2371" s="2">
        <v>19.847330728936299</v>
      </c>
      <c r="BK2371" s="2">
        <v>18.882242477294401</v>
      </c>
      <c r="BL2371" s="2">
        <v>19.772463026506401</v>
      </c>
      <c r="BM2371" s="2">
        <v>19.9836647396282</v>
      </c>
      <c r="BN2371" s="2">
        <v>19.888419704808399</v>
      </c>
      <c r="BO2371" s="2">
        <v>19.9245299893321</v>
      </c>
      <c r="BP2371" s="2">
        <v>19.875075390079498</v>
      </c>
      <c r="BQ2371" s="2">
        <v>19.952732304810599</v>
      </c>
      <c r="BR2371" s="2">
        <v>20.095485622515302</v>
      </c>
      <c r="BS2371" s="2">
        <v>19.1000411937877</v>
      </c>
      <c r="BT2371" s="2">
        <v>20.021911615401098</v>
      </c>
      <c r="BU2371" s="2">
        <v>20.232324164313098</v>
      </c>
      <c r="BV2371" s="2">
        <v>19.9614847252484</v>
      </c>
      <c r="BW2371" s="2">
        <v>19.5560677378928</v>
      </c>
      <c r="BX2371" s="2">
        <v>19.322255116540099</v>
      </c>
      <c r="BY2371" s="2">
        <v>20.018688055823699</v>
      </c>
      <c r="BZ2371" s="2">
        <v>20.003829026657201</v>
      </c>
      <c r="CA2371" s="2">
        <v>20.115847035376401</v>
      </c>
      <c r="CB2371" s="2">
        <v>19.8834715593174</v>
      </c>
      <c r="CC2371" s="2">
        <v>19.767219726139299</v>
      </c>
      <c r="CD2371" s="2">
        <v>19.750428306516</v>
      </c>
      <c r="CE2371" s="2">
        <v>19.4972983500525</v>
      </c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</row>
    <row r="2372" spans="1:97">
      <c r="A2372" s="2" t="s">
        <v>20438</v>
      </c>
      <c r="B2372" s="2">
        <v>308.14801</v>
      </c>
      <c r="C2372" s="2">
        <v>10.214</v>
      </c>
      <c r="D2372" s="2" t="s">
        <v>146</v>
      </c>
      <c r="E2372" s="2" t="s">
        <v>20439</v>
      </c>
      <c r="F2372" s="2" t="s">
        <v>20440</v>
      </c>
      <c r="G2372" s="2">
        <v>52717</v>
      </c>
      <c r="H2372" s="3" t="str">
        <f>HYPERLINK("https://cloud.oebiotech.com/#/lm/network/52717", "https://cloud.oebiotech.com/#/lm/network/52717")</f>
        <v>https://cloud.oebiotech.com/#/lm/network/52717</v>
      </c>
      <c r="I2372" s="2" t="s">
        <v>20441</v>
      </c>
      <c r="J2372" s="2">
        <v>85366</v>
      </c>
      <c r="K2372" s="2"/>
      <c r="L2372" s="2">
        <v>4167</v>
      </c>
      <c r="M2372" s="2"/>
      <c r="N2372" s="2"/>
      <c r="O2372" s="2"/>
      <c r="P2372" s="2">
        <v>51024</v>
      </c>
      <c r="Q2372" s="2"/>
      <c r="R2372" s="2"/>
      <c r="S2372" s="2" t="s">
        <v>20442</v>
      </c>
      <c r="T2372" s="2" t="s">
        <v>20443</v>
      </c>
      <c r="U2372" s="2" t="s">
        <v>20444</v>
      </c>
      <c r="V2372" s="2" t="s">
        <v>553</v>
      </c>
      <c r="W2372" s="2" t="s">
        <v>20445</v>
      </c>
      <c r="X2372" s="2" t="s">
        <v>20446</v>
      </c>
      <c r="Y2372" s="2" t="s">
        <v>556</v>
      </c>
      <c r="Z2372" s="2" t="s">
        <v>20447</v>
      </c>
      <c r="AA2372" s="2" t="s">
        <v>20448</v>
      </c>
      <c r="AB2372" s="2" t="s">
        <v>8443</v>
      </c>
      <c r="AC2372" s="2">
        <v>36.83</v>
      </c>
      <c r="AD2372" s="2">
        <v>84.16</v>
      </c>
      <c r="AE2372" s="2">
        <v>0</v>
      </c>
      <c r="AF2372" s="2" t="s">
        <v>5614</v>
      </c>
      <c r="AG2372" s="2" t="s">
        <v>194</v>
      </c>
      <c r="AH2372" s="2" t="s">
        <v>20449</v>
      </c>
      <c r="AI2372" s="2">
        <v>-0.32</v>
      </c>
      <c r="AJ2372" s="2">
        <v>25.393188437332402</v>
      </c>
      <c r="AK2372" s="2">
        <v>25.180342408309698</v>
      </c>
      <c r="AL2372" s="2">
        <v>25.222284203705499</v>
      </c>
      <c r="AM2372" s="2">
        <v>25.179289200652399</v>
      </c>
      <c r="AN2372" s="2">
        <v>25.169539824310299</v>
      </c>
      <c r="AO2372" s="2">
        <v>25.228906062741601</v>
      </c>
      <c r="AP2372" s="2">
        <v>25.172364594028899</v>
      </c>
      <c r="AQ2372" s="2">
        <v>25.217451180763302</v>
      </c>
      <c r="AR2372" s="2">
        <v>14.985331870511599</v>
      </c>
      <c r="AS2372" s="2">
        <v>9.6233145402724691</v>
      </c>
      <c r="AT2372" s="2">
        <v>9.6233145402724691</v>
      </c>
      <c r="AU2372" s="2">
        <v>9.6233145402724691</v>
      </c>
      <c r="AV2372" s="2">
        <v>9.6233145402724691</v>
      </c>
      <c r="AW2372" s="2">
        <v>13.1324868770542</v>
      </c>
      <c r="AX2372" s="2">
        <v>9.6233145402724691</v>
      </c>
      <c r="AY2372" s="2">
        <v>9.6233145402724691</v>
      </c>
      <c r="AZ2372" s="2">
        <v>9.6233145402724691</v>
      </c>
      <c r="BA2372" s="2">
        <v>9.6233145402724691</v>
      </c>
      <c r="BB2372" s="2">
        <v>13.2436961517118</v>
      </c>
      <c r="BC2372" s="2">
        <v>9.6233145402724691</v>
      </c>
      <c r="BD2372" s="2">
        <v>9.6233145402724691</v>
      </c>
      <c r="BE2372" s="2">
        <v>9.6233145402724691</v>
      </c>
      <c r="BF2372" s="2">
        <v>9.6233145402724691</v>
      </c>
      <c r="BG2372" s="2">
        <v>9.6233145402724691</v>
      </c>
      <c r="BH2372" s="2">
        <v>9.6233145402724691</v>
      </c>
      <c r="BI2372" s="2">
        <v>28.279775795012199</v>
      </c>
      <c r="BJ2372" s="2">
        <v>21.132129350114301</v>
      </c>
      <c r="BK2372" s="2">
        <v>19.146085510563999</v>
      </c>
      <c r="BL2372" s="2">
        <v>9.6233145402724691</v>
      </c>
      <c r="BM2372" s="2">
        <v>9.6233145402724691</v>
      </c>
      <c r="BN2372" s="2">
        <v>9.6233145402724691</v>
      </c>
      <c r="BO2372" s="2">
        <v>9.6233145402724691</v>
      </c>
      <c r="BP2372" s="2">
        <v>9.6233145402724691</v>
      </c>
      <c r="BQ2372" s="2">
        <v>9.6233145402724691</v>
      </c>
      <c r="BR2372" s="2">
        <v>14.6624414068718</v>
      </c>
      <c r="BS2372" s="2">
        <v>9.6233145402724691</v>
      </c>
      <c r="BT2372" s="2">
        <v>9.6233145402724691</v>
      </c>
      <c r="BU2372" s="2">
        <v>9.6233145402724691</v>
      </c>
      <c r="BV2372" s="2">
        <v>9.6233145402724691</v>
      </c>
      <c r="BW2372" s="2">
        <v>9.6233145402724691</v>
      </c>
      <c r="BX2372" s="2">
        <v>9.6233145402724691</v>
      </c>
      <c r="BY2372" s="2">
        <v>9.6233145402724691</v>
      </c>
      <c r="BZ2372" s="2">
        <v>9.6233145402724691</v>
      </c>
      <c r="CA2372" s="2">
        <v>9.6233145402724691</v>
      </c>
      <c r="CB2372" s="2">
        <v>14.5350444686065</v>
      </c>
      <c r="CC2372" s="2">
        <v>13.148277959607499</v>
      </c>
      <c r="CD2372" s="2">
        <v>9.6233145402724691</v>
      </c>
      <c r="CE2372" s="2">
        <v>9.6233145402724691</v>
      </c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</row>
    <row r="2373" spans="1:97">
      <c r="A2373" s="2" t="s">
        <v>20450</v>
      </c>
      <c r="B2373" s="2">
        <v>285.03336999999999</v>
      </c>
      <c r="C2373" s="2">
        <v>6.2469999999999999</v>
      </c>
      <c r="D2373" s="2" t="s">
        <v>146</v>
      </c>
      <c r="E2373" s="2" t="s">
        <v>20451</v>
      </c>
      <c r="F2373" s="2" t="s">
        <v>20452</v>
      </c>
      <c r="G2373" s="2">
        <v>202009</v>
      </c>
      <c r="H2373" s="3" t="str">
        <f>HYPERLINK("https://cloud.oebiotech.com/#/lm/network/202009", "https://cloud.oebiotech.com/#/lm/network/202009")</f>
        <v>https://cloud.oebiotech.com/#/lm/network/202009</v>
      </c>
      <c r="I2373" s="2" t="s">
        <v>20453</v>
      </c>
      <c r="J2373" s="2"/>
      <c r="K2373" s="2"/>
      <c r="L2373" s="2">
        <v>4668801</v>
      </c>
      <c r="M2373" s="2"/>
      <c r="N2373" s="2"/>
      <c r="O2373" s="2"/>
      <c r="P2373" s="2"/>
      <c r="Q2373" s="2"/>
      <c r="R2373" s="2"/>
      <c r="S2373" s="2"/>
      <c r="T2373" s="2" t="s">
        <v>20454</v>
      </c>
      <c r="U2373" s="2" t="s">
        <v>20455</v>
      </c>
      <c r="V2373" s="2" t="s">
        <v>553</v>
      </c>
      <c r="W2373" s="2" t="s">
        <v>933</v>
      </c>
      <c r="X2373" s="2" t="s">
        <v>16983</v>
      </c>
      <c r="Y2373" s="2" t="s">
        <v>556</v>
      </c>
      <c r="Z2373" s="2" t="s">
        <v>935</v>
      </c>
      <c r="AA2373" s="2" t="s">
        <v>16984</v>
      </c>
      <c r="AB2373" s="2" t="s">
        <v>8443</v>
      </c>
      <c r="AC2373" s="2">
        <v>36.83</v>
      </c>
      <c r="AD2373" s="2">
        <v>87.88</v>
      </c>
      <c r="AE2373" s="2">
        <v>0</v>
      </c>
      <c r="AF2373" s="2" t="s">
        <v>5614</v>
      </c>
      <c r="AG2373" s="2" t="s">
        <v>194</v>
      </c>
      <c r="AH2373" s="2" t="s">
        <v>20456</v>
      </c>
      <c r="AI2373" s="2">
        <v>1.75</v>
      </c>
      <c r="AJ2373" s="2">
        <v>17.443240545012898</v>
      </c>
      <c r="AK2373" s="2">
        <v>17.636816329017801</v>
      </c>
      <c r="AL2373" s="2">
        <v>17.315181676443402</v>
      </c>
      <c r="AM2373" s="2">
        <v>17.606062341022</v>
      </c>
      <c r="AN2373" s="2">
        <v>17.677775170129099</v>
      </c>
      <c r="AO2373" s="2">
        <v>17.464495895195299</v>
      </c>
      <c r="AP2373" s="2">
        <v>17.493664485234</v>
      </c>
      <c r="AQ2373" s="2">
        <v>17.6256954318734</v>
      </c>
      <c r="AR2373" s="2">
        <v>17.0625850233425</v>
      </c>
      <c r="AS2373" s="2">
        <v>17.675043898799601</v>
      </c>
      <c r="AT2373" s="2">
        <v>17.2006496052764</v>
      </c>
      <c r="AU2373" s="2">
        <v>17.208927795046701</v>
      </c>
      <c r="AV2373" s="2">
        <v>17.503177895019199</v>
      </c>
      <c r="AW2373" s="2">
        <v>17.317908949451699</v>
      </c>
      <c r="AX2373" s="2">
        <v>17.391419400458702</v>
      </c>
      <c r="AY2373" s="2">
        <v>17.397837214395199</v>
      </c>
      <c r="AZ2373" s="2">
        <v>17.351998668578201</v>
      </c>
      <c r="BA2373" s="2">
        <v>17.149748607759399</v>
      </c>
      <c r="BB2373" s="2">
        <v>17.4934043802076</v>
      </c>
      <c r="BC2373" s="2">
        <v>17.017425996367699</v>
      </c>
      <c r="BD2373" s="2">
        <v>17.5443174468707</v>
      </c>
      <c r="BE2373" s="2">
        <v>17.260762906181501</v>
      </c>
      <c r="BF2373" s="2">
        <v>17.164544400860301</v>
      </c>
      <c r="BG2373" s="2">
        <v>17.354825993411598</v>
      </c>
      <c r="BH2373" s="2">
        <v>17.404563331705901</v>
      </c>
      <c r="BI2373" s="2">
        <v>17.499060747244499</v>
      </c>
      <c r="BJ2373" s="2">
        <v>17.093186037825401</v>
      </c>
      <c r="BK2373" s="2">
        <v>17.501398324328299</v>
      </c>
      <c r="BL2373" s="2">
        <v>17.4258120394204</v>
      </c>
      <c r="BM2373" s="2">
        <v>17.305744978975198</v>
      </c>
      <c r="BN2373" s="2">
        <v>17.016394267239701</v>
      </c>
      <c r="BO2373" s="2">
        <v>17.5588333034346</v>
      </c>
      <c r="BP2373" s="2">
        <v>17.482637896335302</v>
      </c>
      <c r="BQ2373" s="2">
        <v>17.540952732023001</v>
      </c>
      <c r="BR2373" s="2">
        <v>17.3416728310597</v>
      </c>
      <c r="BS2373" s="2">
        <v>17.4803265068428</v>
      </c>
      <c r="BT2373" s="2">
        <v>17.306083679391801</v>
      </c>
      <c r="BU2373" s="2">
        <v>17.146962089802798</v>
      </c>
      <c r="BV2373" s="2">
        <v>17.3300436321714</v>
      </c>
      <c r="BW2373" s="2">
        <v>17.357609389640999</v>
      </c>
      <c r="BX2373" s="2">
        <v>17.227177066951999</v>
      </c>
      <c r="BY2373" s="2">
        <v>16.781866565794701</v>
      </c>
      <c r="BZ2373" s="2">
        <v>17.498806209191901</v>
      </c>
      <c r="CA2373" s="2">
        <v>17.147238618443399</v>
      </c>
      <c r="CB2373" s="2">
        <v>17.459499899762399</v>
      </c>
      <c r="CC2373" s="2">
        <v>17.070866109490201</v>
      </c>
      <c r="CD2373" s="2">
        <v>17.381314470328999</v>
      </c>
      <c r="CE2373" s="2">
        <v>17.6009303641214</v>
      </c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</row>
    <row r="2374" spans="1:97">
      <c r="A2374" s="2" t="s">
        <v>20457</v>
      </c>
      <c r="B2374" s="2">
        <v>425.21373</v>
      </c>
      <c r="C2374" s="2">
        <v>11.938000000000001</v>
      </c>
      <c r="D2374" s="2" t="s">
        <v>84</v>
      </c>
      <c r="E2374" s="2" t="s">
        <v>20458</v>
      </c>
      <c r="F2374" s="2" t="s">
        <v>20459</v>
      </c>
      <c r="G2374" s="2">
        <v>58240</v>
      </c>
      <c r="H2374" s="3" t="str">
        <f>HYPERLINK("https://cloud.oebiotech.com/#/lm/network/58240", "https://cloud.oebiotech.com/#/lm/network/58240")</f>
        <v>https://cloud.oebiotech.com/#/lm/network/58240</v>
      </c>
      <c r="I2374" s="2" t="s">
        <v>20460</v>
      </c>
      <c r="J2374" s="2">
        <v>89746</v>
      </c>
      <c r="K2374" s="2"/>
      <c r="L2374" s="2">
        <v>6505</v>
      </c>
      <c r="M2374" s="2"/>
      <c r="N2374" s="2"/>
      <c r="O2374" s="2"/>
      <c r="P2374" s="2"/>
      <c r="Q2374" s="2"/>
      <c r="R2374" s="2"/>
      <c r="S2374" s="2" t="s">
        <v>20461</v>
      </c>
      <c r="T2374" s="2" t="s">
        <v>20462</v>
      </c>
      <c r="U2374" s="2" t="s">
        <v>20463</v>
      </c>
      <c r="V2374" s="2" t="s">
        <v>115</v>
      </c>
      <c r="W2374" s="2" t="s">
        <v>116</v>
      </c>
      <c r="X2374" s="2" t="s">
        <v>769</v>
      </c>
      <c r="Y2374" s="2" t="s">
        <v>118</v>
      </c>
      <c r="Z2374" s="2" t="s">
        <v>119</v>
      </c>
      <c r="AA2374" s="2" t="s">
        <v>770</v>
      </c>
      <c r="AB2374" s="2" t="s">
        <v>8443</v>
      </c>
      <c r="AC2374" s="2">
        <v>36.82</v>
      </c>
      <c r="AD2374" s="2">
        <v>89.7</v>
      </c>
      <c r="AE2374" s="2">
        <v>0</v>
      </c>
      <c r="AF2374" s="2" t="s">
        <v>20464</v>
      </c>
      <c r="AG2374" s="2" t="s">
        <v>1578</v>
      </c>
      <c r="AH2374" s="2" t="s">
        <v>20465</v>
      </c>
      <c r="AI2374" s="2">
        <v>2.12</v>
      </c>
      <c r="AJ2374" s="2">
        <v>22.0565419013496</v>
      </c>
      <c r="AK2374" s="2">
        <v>21.911771571585401</v>
      </c>
      <c r="AL2374" s="2">
        <v>22.1083673687444</v>
      </c>
      <c r="AM2374" s="2">
        <v>21.9831018888637</v>
      </c>
      <c r="AN2374" s="2">
        <v>21.6919575485678</v>
      </c>
      <c r="AO2374" s="2">
        <v>21.8096678826935</v>
      </c>
      <c r="AP2374" s="2">
        <v>21.684444895661901</v>
      </c>
      <c r="AQ2374" s="2">
        <v>20.958367920596501</v>
      </c>
      <c r="AR2374" s="2">
        <v>21.2446789930069</v>
      </c>
      <c r="AS2374" s="2">
        <v>21.991896791050898</v>
      </c>
      <c r="AT2374" s="2">
        <v>21.754729120634501</v>
      </c>
      <c r="AU2374" s="2">
        <v>20.900320659730799</v>
      </c>
      <c r="AV2374" s="2">
        <v>21.194352333213502</v>
      </c>
      <c r="AW2374" s="2">
        <v>21.148131277906899</v>
      </c>
      <c r="AX2374" s="2">
        <v>21.900797924391899</v>
      </c>
      <c r="AY2374" s="2">
        <v>21.551718520797301</v>
      </c>
      <c r="AZ2374" s="2">
        <v>20.846376440022599</v>
      </c>
      <c r="BA2374" s="2">
        <v>22.128681040936101</v>
      </c>
      <c r="BB2374" s="2">
        <v>22.0410656115879</v>
      </c>
      <c r="BC2374" s="2">
        <v>21.870095050044799</v>
      </c>
      <c r="BD2374" s="2">
        <v>22.0375715522134</v>
      </c>
      <c r="BE2374" s="2">
        <v>21.6518758356296</v>
      </c>
      <c r="BF2374" s="2">
        <v>22.056175005121201</v>
      </c>
      <c r="BG2374" s="2">
        <v>21.379689361146799</v>
      </c>
      <c r="BH2374" s="2">
        <v>21.861549990220499</v>
      </c>
      <c r="BI2374" s="2">
        <v>21.815721446469698</v>
      </c>
      <c r="BJ2374" s="2">
        <v>21.782243688137701</v>
      </c>
      <c r="BK2374" s="2">
        <v>21.927655630799499</v>
      </c>
      <c r="BL2374" s="2">
        <v>20.841802778405398</v>
      </c>
      <c r="BM2374" s="2">
        <v>21.871817371576501</v>
      </c>
      <c r="BN2374" s="2">
        <v>21.732234559269202</v>
      </c>
      <c r="BO2374" s="2">
        <v>21.0770847596952</v>
      </c>
      <c r="BP2374" s="2">
        <v>20.7880828101042</v>
      </c>
      <c r="BQ2374" s="2">
        <v>21.826647815474502</v>
      </c>
      <c r="BR2374" s="2">
        <v>22.019721939785299</v>
      </c>
      <c r="BS2374" s="2">
        <v>22.033770014593198</v>
      </c>
      <c r="BT2374" s="2">
        <v>21.843393444308902</v>
      </c>
      <c r="BU2374" s="2">
        <v>20.8024531218202</v>
      </c>
      <c r="BV2374" s="2">
        <v>21.765263494107401</v>
      </c>
      <c r="BW2374" s="2">
        <v>21.736246751894299</v>
      </c>
      <c r="BX2374" s="2">
        <v>21.756579731761601</v>
      </c>
      <c r="BY2374" s="2">
        <v>21.8921498622238</v>
      </c>
      <c r="BZ2374" s="2">
        <v>21.841160414276299</v>
      </c>
      <c r="CA2374" s="2">
        <v>21.7046059851241</v>
      </c>
      <c r="CB2374" s="2">
        <v>21.525168832440102</v>
      </c>
      <c r="CC2374" s="2">
        <v>21.3982300943937</v>
      </c>
      <c r="CD2374" s="2">
        <v>21.572018607923798</v>
      </c>
      <c r="CE2374" s="2">
        <v>21.295254830716299</v>
      </c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</row>
    <row r="2375" spans="1:97">
      <c r="A2375" s="2" t="s">
        <v>20466</v>
      </c>
      <c r="B2375" s="2">
        <v>374.25416999999999</v>
      </c>
      <c r="C2375" s="2">
        <v>6.2069999999999999</v>
      </c>
      <c r="D2375" s="2" t="s">
        <v>146</v>
      </c>
      <c r="E2375" s="2" t="s">
        <v>20467</v>
      </c>
      <c r="F2375" s="2" t="s">
        <v>20468</v>
      </c>
      <c r="G2375" s="2">
        <v>197838</v>
      </c>
      <c r="H2375" s="3" t="str">
        <f>HYPERLINK("https://cloud.oebiotech.com/#/lm/network/197838", "https://cloud.oebiotech.com/#/lm/network/197838")</f>
        <v>https://cloud.oebiotech.com/#/lm/network/197838</v>
      </c>
      <c r="I2375" s="2" t="s">
        <v>20469</v>
      </c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 t="s">
        <v>20470</v>
      </c>
      <c r="U2375" s="2" t="s">
        <v>20471</v>
      </c>
      <c r="V2375" s="2" t="s">
        <v>95</v>
      </c>
      <c r="W2375" s="2" t="s">
        <v>96</v>
      </c>
      <c r="X2375" s="2" t="s">
        <v>97</v>
      </c>
      <c r="Y2375" s="2" t="s">
        <v>98</v>
      </c>
      <c r="Z2375" s="2" t="s">
        <v>99</v>
      </c>
      <c r="AA2375" s="2" t="s">
        <v>100</v>
      </c>
      <c r="AB2375" s="2" t="s">
        <v>8443</v>
      </c>
      <c r="AC2375" s="2">
        <v>36.82</v>
      </c>
      <c r="AD2375" s="2">
        <v>87.12</v>
      </c>
      <c r="AE2375" s="2">
        <v>0</v>
      </c>
      <c r="AF2375" s="2" t="s">
        <v>5614</v>
      </c>
      <c r="AG2375" s="2" t="s">
        <v>194</v>
      </c>
      <c r="AH2375" s="2" t="s">
        <v>20472</v>
      </c>
      <c r="AI2375" s="2">
        <v>1.6</v>
      </c>
      <c r="AJ2375" s="2">
        <v>19.100740274500399</v>
      </c>
      <c r="AK2375" s="2">
        <v>18.489869279662599</v>
      </c>
      <c r="AL2375" s="2">
        <v>18.3997764604885</v>
      </c>
      <c r="AM2375" s="2">
        <v>18.148604877822201</v>
      </c>
      <c r="AN2375" s="2">
        <v>18.598150664075199</v>
      </c>
      <c r="AO2375" s="2">
        <v>18.276852931363699</v>
      </c>
      <c r="AP2375" s="2">
        <v>18.739111540607102</v>
      </c>
      <c r="AQ2375" s="2">
        <v>18.447164648403199</v>
      </c>
      <c r="AR2375" s="2">
        <v>18.494607021867001</v>
      </c>
      <c r="AS2375" s="2">
        <v>18.610500280824098</v>
      </c>
      <c r="AT2375" s="2">
        <v>18.5549545900185</v>
      </c>
      <c r="AU2375" s="2">
        <v>18.3151463773393</v>
      </c>
      <c r="AV2375" s="2">
        <v>18.9807962461099</v>
      </c>
      <c r="AW2375" s="2">
        <v>18.228891246088001</v>
      </c>
      <c r="AX2375" s="2">
        <v>18.5150748291627</v>
      </c>
      <c r="AY2375" s="2">
        <v>18.610262394402501</v>
      </c>
      <c r="AZ2375" s="2">
        <v>18.687680325180501</v>
      </c>
      <c r="BA2375" s="2">
        <v>18.297032362162</v>
      </c>
      <c r="BB2375" s="2">
        <v>19.102949175934</v>
      </c>
      <c r="BC2375" s="2">
        <v>18.70637294854</v>
      </c>
      <c r="BD2375" s="2">
        <v>18.982969601228401</v>
      </c>
      <c r="BE2375" s="2">
        <v>18.259136052632101</v>
      </c>
      <c r="BF2375" s="2">
        <v>18.560282412154798</v>
      </c>
      <c r="BG2375" s="2">
        <v>18.475211258679</v>
      </c>
      <c r="BH2375" s="2">
        <v>18.4387980240361</v>
      </c>
      <c r="BI2375" s="2">
        <v>18.046590249349698</v>
      </c>
      <c r="BJ2375" s="2">
        <v>18.667900438828699</v>
      </c>
      <c r="BK2375" s="2">
        <v>18.763745730226798</v>
      </c>
      <c r="BL2375" s="2">
        <v>18.351251388780799</v>
      </c>
      <c r="BM2375" s="2">
        <v>19.059286731163699</v>
      </c>
      <c r="BN2375" s="2">
        <v>18.31210706417</v>
      </c>
      <c r="BO2375" s="2">
        <v>18.4737967395148</v>
      </c>
      <c r="BP2375" s="2">
        <v>18.961882185976901</v>
      </c>
      <c r="BQ2375" s="2">
        <v>18.425223690552698</v>
      </c>
      <c r="BR2375" s="2">
        <v>18.516321883335301</v>
      </c>
      <c r="BS2375" s="2">
        <v>18.2286785469054</v>
      </c>
      <c r="BT2375" s="2">
        <v>18.957061135216801</v>
      </c>
      <c r="BU2375" s="2">
        <v>18.756605510393801</v>
      </c>
      <c r="BV2375" s="2">
        <v>18.2838375117677</v>
      </c>
      <c r="BW2375" s="2">
        <v>18.923957731691001</v>
      </c>
      <c r="BX2375" s="2">
        <v>18.2631767545838</v>
      </c>
      <c r="BY2375" s="2">
        <v>18.318145973392902</v>
      </c>
      <c r="BZ2375" s="2">
        <v>18.3081057679995</v>
      </c>
      <c r="CA2375" s="2">
        <v>18.3001940775513</v>
      </c>
      <c r="CB2375" s="2">
        <v>19.086261476576801</v>
      </c>
      <c r="CC2375" s="2">
        <v>18.241184321744399</v>
      </c>
      <c r="CD2375" s="2">
        <v>18.615079843802899</v>
      </c>
      <c r="CE2375" s="2">
        <v>18.585256501474898</v>
      </c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</row>
    <row r="2376" spans="1:97">
      <c r="A2376" s="2" t="s">
        <v>20473</v>
      </c>
      <c r="B2376" s="2">
        <v>423.23827</v>
      </c>
      <c r="C2376" s="2">
        <v>10.076000000000001</v>
      </c>
      <c r="D2376" s="2" t="s">
        <v>146</v>
      </c>
      <c r="E2376" s="2" t="s">
        <v>20474</v>
      </c>
      <c r="F2376" s="2" t="s">
        <v>20475</v>
      </c>
      <c r="G2376" s="2">
        <v>213611</v>
      </c>
      <c r="H2376" s="3" t="str">
        <f>HYPERLINK("https://cloud.oebiotech.com/#/lm/network/213611", "https://cloud.oebiotech.com/#/lm/network/213611")</f>
        <v>https://cloud.oebiotech.com/#/lm/network/213611</v>
      </c>
      <c r="I2376" s="2" t="s">
        <v>20476</v>
      </c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 t="s">
        <v>20477</v>
      </c>
      <c r="U2376" s="2" t="s">
        <v>20478</v>
      </c>
      <c r="V2376" s="2" t="s">
        <v>95</v>
      </c>
      <c r="W2376" s="2" t="s">
        <v>7709</v>
      </c>
      <c r="X2376" s="2" t="s">
        <v>7710</v>
      </c>
      <c r="Y2376" s="2" t="s">
        <v>98</v>
      </c>
      <c r="Z2376" s="2" t="s">
        <v>7711</v>
      </c>
      <c r="AA2376" s="2" t="s">
        <v>7712</v>
      </c>
      <c r="AB2376" s="2" t="s">
        <v>8443</v>
      </c>
      <c r="AC2376" s="2">
        <v>36.82</v>
      </c>
      <c r="AD2376" s="2">
        <v>84.98</v>
      </c>
      <c r="AE2376" s="2">
        <v>0</v>
      </c>
      <c r="AF2376" s="2" t="s">
        <v>5614</v>
      </c>
      <c r="AG2376" s="2" t="s">
        <v>194</v>
      </c>
      <c r="AH2376" s="2" t="s">
        <v>20479</v>
      </c>
      <c r="AI2376" s="2">
        <v>1.18</v>
      </c>
      <c r="AJ2376" s="2">
        <v>17.083762062866899</v>
      </c>
      <c r="AK2376" s="2">
        <v>16.949166935383701</v>
      </c>
      <c r="AL2376" s="2">
        <v>17.331743593606099</v>
      </c>
      <c r="AM2376" s="2">
        <v>16.934125297238801</v>
      </c>
      <c r="AN2376" s="2">
        <v>17.6170904706375</v>
      </c>
      <c r="AO2376" s="2">
        <v>17.419982061628101</v>
      </c>
      <c r="AP2376" s="2">
        <v>17.769471520114699</v>
      </c>
      <c r="AQ2376" s="2">
        <v>17.6959209076098</v>
      </c>
      <c r="AR2376" s="2">
        <v>17.4630219575469</v>
      </c>
      <c r="AS2376" s="2">
        <v>17.045660489751299</v>
      </c>
      <c r="AT2376" s="2">
        <v>16.995651013491699</v>
      </c>
      <c r="AU2376" s="2">
        <v>17.435414299834701</v>
      </c>
      <c r="AV2376" s="2">
        <v>17.264330893332499</v>
      </c>
      <c r="AW2376" s="2">
        <v>17.086477841673499</v>
      </c>
      <c r="AX2376" s="2">
        <v>16.795344033563701</v>
      </c>
      <c r="AY2376" s="2">
        <v>16.6497808949693</v>
      </c>
      <c r="AZ2376" s="2">
        <v>17.474613251709201</v>
      </c>
      <c r="BA2376" s="2">
        <v>17.174699756209002</v>
      </c>
      <c r="BB2376" s="2">
        <v>17.597672870172101</v>
      </c>
      <c r="BC2376" s="2">
        <v>17.7345135540453</v>
      </c>
      <c r="BD2376" s="2">
        <v>17.139599813124601</v>
      </c>
      <c r="BE2376" s="2">
        <v>17.3457507874896</v>
      </c>
      <c r="BF2376" s="2">
        <v>17.438132247652302</v>
      </c>
      <c r="BG2376" s="2">
        <v>17.728999905422501</v>
      </c>
      <c r="BH2376" s="2">
        <v>16.5998423963735</v>
      </c>
      <c r="BI2376" s="2">
        <v>17.424081548339501</v>
      </c>
      <c r="BJ2376" s="2">
        <v>17.374771464288699</v>
      </c>
      <c r="BK2376" s="2">
        <v>17.682919715607301</v>
      </c>
      <c r="BL2376" s="2">
        <v>17.593359461357799</v>
      </c>
      <c r="BM2376" s="2">
        <v>17.774795744463301</v>
      </c>
      <c r="BN2376" s="2">
        <v>17.2630466968082</v>
      </c>
      <c r="BO2376" s="2">
        <v>17.701965042165298</v>
      </c>
      <c r="BP2376" s="2">
        <v>17.8160395197493</v>
      </c>
      <c r="BQ2376" s="2">
        <v>17.987572073190801</v>
      </c>
      <c r="BR2376" s="2">
        <v>17.686233840864301</v>
      </c>
      <c r="BS2376" s="2">
        <v>17.2855254004545</v>
      </c>
      <c r="BT2376" s="2">
        <v>16.897565188296699</v>
      </c>
      <c r="BU2376" s="2">
        <v>18.141741499656099</v>
      </c>
      <c r="BV2376" s="2">
        <v>16.904124070726802</v>
      </c>
      <c r="BW2376" s="2">
        <v>17.655218971084299</v>
      </c>
      <c r="BX2376" s="2">
        <v>17.580103812252698</v>
      </c>
      <c r="BY2376" s="2">
        <v>17.641310067234301</v>
      </c>
      <c r="BZ2376" s="2">
        <v>17.731360269236902</v>
      </c>
      <c r="CA2376" s="2">
        <v>17.737079422928399</v>
      </c>
      <c r="CB2376" s="2">
        <v>17.768867922898298</v>
      </c>
      <c r="CC2376" s="2">
        <v>17.579665224332398</v>
      </c>
      <c r="CD2376" s="2">
        <v>17.672167645512801</v>
      </c>
      <c r="CE2376" s="2">
        <v>17.894094079550399</v>
      </c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</row>
    <row r="2377" spans="1:97">
      <c r="A2377" s="2" t="s">
        <v>20480</v>
      </c>
      <c r="B2377" s="2">
        <v>455.22818000000001</v>
      </c>
      <c r="C2377" s="2">
        <v>7.6890000000000001</v>
      </c>
      <c r="D2377" s="2" t="s">
        <v>146</v>
      </c>
      <c r="E2377" s="2" t="s">
        <v>20481</v>
      </c>
      <c r="F2377" s="2" t="s">
        <v>20482</v>
      </c>
      <c r="G2377" s="2">
        <v>3830</v>
      </c>
      <c r="H2377" s="3" t="str">
        <f>HYPERLINK("https://cloud.oebiotech.com/#/lm/network/3830", "https://cloud.oebiotech.com/#/lm/network/3830")</f>
        <v>https://cloud.oebiotech.com/#/lm/network/3830</v>
      </c>
      <c r="I2377" s="2"/>
      <c r="J2377" s="2"/>
      <c r="K2377" s="2" t="s">
        <v>20483</v>
      </c>
      <c r="L2377" s="2">
        <v>118713850</v>
      </c>
      <c r="M2377" s="2"/>
      <c r="N2377" s="2"/>
      <c r="O2377" s="2"/>
      <c r="P2377" s="2"/>
      <c r="Q2377" s="2"/>
      <c r="R2377" s="2"/>
      <c r="S2377" s="2"/>
      <c r="T2377" s="2" t="s">
        <v>20484</v>
      </c>
      <c r="U2377" s="2" t="s">
        <v>20485</v>
      </c>
      <c r="V2377" s="2" t="s">
        <v>95</v>
      </c>
      <c r="W2377" s="2" t="s">
        <v>96</v>
      </c>
      <c r="X2377" s="2" t="s">
        <v>3216</v>
      </c>
      <c r="Y2377" s="2" t="s">
        <v>98</v>
      </c>
      <c r="Z2377" s="2" t="s">
        <v>99</v>
      </c>
      <c r="AA2377" s="2" t="s">
        <v>3217</v>
      </c>
      <c r="AB2377" s="2" t="s">
        <v>8443</v>
      </c>
      <c r="AC2377" s="2">
        <v>36.81</v>
      </c>
      <c r="AD2377" s="2">
        <v>84.06</v>
      </c>
      <c r="AE2377" s="2">
        <v>0</v>
      </c>
      <c r="AF2377" s="2" t="s">
        <v>20486</v>
      </c>
      <c r="AG2377" s="2" t="s">
        <v>157</v>
      </c>
      <c r="AH2377" s="2" t="s">
        <v>20487</v>
      </c>
      <c r="AI2377" s="2">
        <v>0.88</v>
      </c>
      <c r="AJ2377" s="2">
        <v>16.6862898634452</v>
      </c>
      <c r="AK2377" s="2">
        <v>16.0694818651892</v>
      </c>
      <c r="AL2377" s="2">
        <v>16.711718724051501</v>
      </c>
      <c r="AM2377" s="2">
        <v>16.542766034570899</v>
      </c>
      <c r="AN2377" s="2">
        <v>16.705485383717701</v>
      </c>
      <c r="AO2377" s="2">
        <v>16.593425263835901</v>
      </c>
      <c r="AP2377" s="2">
        <v>16.647890653038299</v>
      </c>
      <c r="AQ2377" s="2">
        <v>16.733818111290301</v>
      </c>
      <c r="AR2377" s="2">
        <v>15.3314078905168</v>
      </c>
      <c r="AS2377" s="2">
        <v>9.6233145402724691</v>
      </c>
      <c r="AT2377" s="2">
        <v>12.189296421014999</v>
      </c>
      <c r="AU2377" s="2">
        <v>11.5109075403556</v>
      </c>
      <c r="AV2377" s="2">
        <v>13.0496579922383</v>
      </c>
      <c r="AW2377" s="2">
        <v>15.0227098056596</v>
      </c>
      <c r="AX2377" s="2">
        <v>15.7926296696491</v>
      </c>
      <c r="AY2377" s="2">
        <v>19.572528005144601</v>
      </c>
      <c r="AZ2377" s="2">
        <v>11.8482395269204</v>
      </c>
      <c r="BA2377" s="2">
        <v>12.218178748808301</v>
      </c>
      <c r="BB2377" s="2">
        <v>9.6233145402724691</v>
      </c>
      <c r="BC2377" s="2">
        <v>18.180532652669001</v>
      </c>
      <c r="BD2377" s="2">
        <v>17.133616161192201</v>
      </c>
      <c r="BE2377" s="2">
        <v>17.1080344297891</v>
      </c>
      <c r="BF2377" s="2">
        <v>17.619333479373999</v>
      </c>
      <c r="BG2377" s="2">
        <v>17.8881786940042</v>
      </c>
      <c r="BH2377" s="2">
        <v>9.6233145402724691</v>
      </c>
      <c r="BI2377" s="2">
        <v>19.869531507719</v>
      </c>
      <c r="BJ2377" s="2">
        <v>11.910474093921</v>
      </c>
      <c r="BK2377" s="2">
        <v>11.9749415218231</v>
      </c>
      <c r="BL2377" s="2">
        <v>12.9261328854022</v>
      </c>
      <c r="BM2377" s="2">
        <v>12.7953720659618</v>
      </c>
      <c r="BN2377" s="2">
        <v>14.0289118358236</v>
      </c>
      <c r="BO2377" s="2">
        <v>9.6233145402724691</v>
      </c>
      <c r="BP2377" s="2">
        <v>9.6233145402724691</v>
      </c>
      <c r="BQ2377" s="2">
        <v>9.6233145402724691</v>
      </c>
      <c r="BR2377" s="2">
        <v>17.914202622959401</v>
      </c>
      <c r="BS2377" s="2">
        <v>20.150674389091002</v>
      </c>
      <c r="BT2377" s="2">
        <v>9.6233145402724691</v>
      </c>
      <c r="BU2377" s="2">
        <v>12.6907357230151</v>
      </c>
      <c r="BV2377" s="2">
        <v>14.821993657411101</v>
      </c>
      <c r="BW2377" s="2">
        <v>15.046175468196999</v>
      </c>
      <c r="BX2377" s="2">
        <v>17.9164252683188</v>
      </c>
      <c r="BY2377" s="2">
        <v>18.9606571679392</v>
      </c>
      <c r="BZ2377" s="2">
        <v>15.629160217116601</v>
      </c>
      <c r="CA2377" s="2">
        <v>17.235622081606198</v>
      </c>
      <c r="CB2377" s="2">
        <v>13.6298495022212</v>
      </c>
      <c r="CC2377" s="2">
        <v>19.032884245620199</v>
      </c>
      <c r="CD2377" s="2">
        <v>14.077394061888</v>
      </c>
      <c r="CE2377" s="2">
        <v>14.003006588851401</v>
      </c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</row>
    <row r="2378" spans="1:97">
      <c r="A2378" s="2" t="s">
        <v>20488</v>
      </c>
      <c r="B2378" s="2">
        <v>321.20125999999999</v>
      </c>
      <c r="C2378" s="2">
        <v>0.78800000000000003</v>
      </c>
      <c r="D2378" s="2" t="s">
        <v>84</v>
      </c>
      <c r="E2378" s="2" t="s">
        <v>20489</v>
      </c>
      <c r="F2378" s="2" t="s">
        <v>20490</v>
      </c>
      <c r="G2378" s="2">
        <v>198430</v>
      </c>
      <c r="H2378" s="3" t="str">
        <f>HYPERLINK("https://cloud.oebiotech.com/#/lm/network/198430", "https://cloud.oebiotech.com/#/lm/network/198430")</f>
        <v>https://cloud.oebiotech.com/#/lm/network/198430</v>
      </c>
      <c r="I2378" s="2" t="s">
        <v>20491</v>
      </c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 t="s">
        <v>20492</v>
      </c>
      <c r="U2378" s="2" t="s">
        <v>20493</v>
      </c>
      <c r="V2378" s="2" t="s">
        <v>95</v>
      </c>
      <c r="W2378" s="2" t="s">
        <v>96</v>
      </c>
      <c r="X2378" s="2" t="s">
        <v>97</v>
      </c>
      <c r="Y2378" s="2" t="s">
        <v>98</v>
      </c>
      <c r="Z2378" s="2" t="s">
        <v>99</v>
      </c>
      <c r="AA2378" s="2" t="s">
        <v>100</v>
      </c>
      <c r="AB2378" s="2" t="s">
        <v>8443</v>
      </c>
      <c r="AC2378" s="2">
        <v>36.81</v>
      </c>
      <c r="AD2378" s="2">
        <v>89.93</v>
      </c>
      <c r="AE2378" s="2">
        <v>0</v>
      </c>
      <c r="AF2378" s="2" t="s">
        <v>5614</v>
      </c>
      <c r="AG2378" s="2" t="s">
        <v>132</v>
      </c>
      <c r="AH2378" s="2" t="s">
        <v>20494</v>
      </c>
      <c r="AI2378" s="2">
        <v>2.1800000000000002</v>
      </c>
      <c r="AJ2378" s="2">
        <v>21.031905827731698</v>
      </c>
      <c r="AK2378" s="2">
        <v>21.262865784189099</v>
      </c>
      <c r="AL2378" s="2">
        <v>20.919942840156502</v>
      </c>
      <c r="AM2378" s="2">
        <v>20.938798529913299</v>
      </c>
      <c r="AN2378" s="2">
        <v>21.034733365479902</v>
      </c>
      <c r="AO2378" s="2">
        <v>20.7388979760639</v>
      </c>
      <c r="AP2378" s="2">
        <v>20.924487119563398</v>
      </c>
      <c r="AQ2378" s="2">
        <v>21.0168874739222</v>
      </c>
      <c r="AR2378" s="2">
        <v>20.710296178606299</v>
      </c>
      <c r="AS2378" s="2">
        <v>19.446004846983001</v>
      </c>
      <c r="AT2378" s="2">
        <v>21.248066344193798</v>
      </c>
      <c r="AU2378" s="2">
        <v>20.891135739011698</v>
      </c>
      <c r="AV2378" s="2">
        <v>20.650282515289401</v>
      </c>
      <c r="AW2378" s="2">
        <v>20.712160098748601</v>
      </c>
      <c r="AX2378" s="2">
        <v>21.552392481783901</v>
      </c>
      <c r="AY2378" s="2">
        <v>19.760700409755302</v>
      </c>
      <c r="AZ2378" s="2">
        <v>20.361865854896401</v>
      </c>
      <c r="BA2378" s="2">
        <v>19.966336953594102</v>
      </c>
      <c r="BB2378" s="2">
        <v>21.225191111711901</v>
      </c>
      <c r="BC2378" s="2">
        <v>21.788180464058001</v>
      </c>
      <c r="BD2378" s="2">
        <v>20.1928867827495</v>
      </c>
      <c r="BE2378" s="2">
        <v>19.861788585743898</v>
      </c>
      <c r="BF2378" s="2">
        <v>20.048342825591799</v>
      </c>
      <c r="BG2378" s="2">
        <v>20.686904523914102</v>
      </c>
      <c r="BH2378" s="2">
        <v>20.3363821740414</v>
      </c>
      <c r="BI2378" s="2">
        <v>20.3899146526565</v>
      </c>
      <c r="BJ2378" s="2">
        <v>20.133725181002902</v>
      </c>
      <c r="BK2378" s="2">
        <v>20.701329452358401</v>
      </c>
      <c r="BL2378" s="2">
        <v>21.609824676799899</v>
      </c>
      <c r="BM2378" s="2">
        <v>20.505101948302801</v>
      </c>
      <c r="BN2378" s="2">
        <v>21.260244789019101</v>
      </c>
      <c r="BO2378" s="2">
        <v>20.960668995145301</v>
      </c>
      <c r="BP2378" s="2">
        <v>20.4421449793569</v>
      </c>
      <c r="BQ2378" s="2">
        <v>21.608518617984998</v>
      </c>
      <c r="BR2378" s="2">
        <v>21.0401414998414</v>
      </c>
      <c r="BS2378" s="2">
        <v>20.224715150604101</v>
      </c>
      <c r="BT2378" s="2">
        <v>20.798360937377701</v>
      </c>
      <c r="BU2378" s="2">
        <v>21.089560297306399</v>
      </c>
      <c r="BV2378" s="2">
        <v>20.997901779407801</v>
      </c>
      <c r="BW2378" s="2">
        <v>20.515504997166001</v>
      </c>
      <c r="BX2378" s="2">
        <v>20.390051348614001</v>
      </c>
      <c r="BY2378" s="2">
        <v>20.267840175607098</v>
      </c>
      <c r="BZ2378" s="2">
        <v>19.807858273647199</v>
      </c>
      <c r="CA2378" s="2">
        <v>20.4009235882139</v>
      </c>
      <c r="CB2378" s="2">
        <v>20.646521285969701</v>
      </c>
      <c r="CC2378" s="2">
        <v>20.078498085943998</v>
      </c>
      <c r="CD2378" s="2">
        <v>20.440815456790499</v>
      </c>
      <c r="CE2378" s="2">
        <v>19.785780632459801</v>
      </c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</row>
    <row r="2379" spans="1:97">
      <c r="A2379" s="2" t="s">
        <v>20495</v>
      </c>
      <c r="B2379" s="2">
        <v>531.31267000000003</v>
      </c>
      <c r="C2379" s="2">
        <v>10.031000000000001</v>
      </c>
      <c r="D2379" s="2" t="s">
        <v>146</v>
      </c>
      <c r="E2379" s="2" t="s">
        <v>20496</v>
      </c>
      <c r="F2379" s="2" t="s">
        <v>20497</v>
      </c>
      <c r="G2379" s="2">
        <v>213299</v>
      </c>
      <c r="H2379" s="3" t="str">
        <f>HYPERLINK("https://cloud.oebiotech.com/#/lm/network/213299", "https://cloud.oebiotech.com/#/lm/network/213299")</f>
        <v>https://cloud.oebiotech.com/#/lm/network/213299</v>
      </c>
      <c r="I2379" s="2" t="s">
        <v>20498</v>
      </c>
      <c r="J2379" s="2"/>
      <c r="K2379" s="2"/>
      <c r="L2379" s="2">
        <v>4631411</v>
      </c>
      <c r="M2379" s="2"/>
      <c r="N2379" s="2"/>
      <c r="O2379" s="2"/>
      <c r="P2379" s="2"/>
      <c r="Q2379" s="2"/>
      <c r="R2379" s="2"/>
      <c r="S2379" s="2"/>
      <c r="T2379" s="2" t="s">
        <v>20499</v>
      </c>
      <c r="U2379" s="2" t="s">
        <v>20500</v>
      </c>
      <c r="V2379" s="2" t="s">
        <v>115</v>
      </c>
      <c r="W2379" s="2" t="s">
        <v>116</v>
      </c>
      <c r="X2379" s="2" t="s">
        <v>117</v>
      </c>
      <c r="Y2379" s="2" t="s">
        <v>118</v>
      </c>
      <c r="Z2379" s="2" t="s">
        <v>119</v>
      </c>
      <c r="AA2379" s="2" t="s">
        <v>120</v>
      </c>
      <c r="AB2379" s="2" t="s">
        <v>8443</v>
      </c>
      <c r="AC2379" s="2">
        <v>36.81</v>
      </c>
      <c r="AD2379" s="2">
        <v>84.72</v>
      </c>
      <c r="AE2379" s="2">
        <v>0</v>
      </c>
      <c r="AF2379" s="2" t="s">
        <v>5614</v>
      </c>
      <c r="AG2379" s="2" t="s">
        <v>157</v>
      </c>
      <c r="AH2379" s="2" t="s">
        <v>20501</v>
      </c>
      <c r="AI2379" s="2">
        <v>-1.1299999999999999</v>
      </c>
      <c r="AJ2379" s="2">
        <v>18.4165290833235</v>
      </c>
      <c r="AK2379" s="2">
        <v>18.185613727563201</v>
      </c>
      <c r="AL2379" s="2">
        <v>18.063818105174001</v>
      </c>
      <c r="AM2379" s="2">
        <v>18.1504551073341</v>
      </c>
      <c r="AN2379" s="2">
        <v>18.294594231157799</v>
      </c>
      <c r="AO2379" s="2">
        <v>18.2246869630746</v>
      </c>
      <c r="AP2379" s="2">
        <v>18.3690901448498</v>
      </c>
      <c r="AQ2379" s="2">
        <v>18.311299176472001</v>
      </c>
      <c r="AR2379" s="2">
        <v>18.257440697815699</v>
      </c>
      <c r="AS2379" s="2">
        <v>18.381069007437699</v>
      </c>
      <c r="AT2379" s="2">
        <v>17.978910341720201</v>
      </c>
      <c r="AU2379" s="2">
        <v>18.078256737165599</v>
      </c>
      <c r="AV2379" s="2">
        <v>18.332940485285899</v>
      </c>
      <c r="AW2379" s="2">
        <v>18.262284458313498</v>
      </c>
      <c r="AX2379" s="2">
        <v>17.983883346069099</v>
      </c>
      <c r="AY2379" s="2">
        <v>18.2758659659229</v>
      </c>
      <c r="AZ2379" s="2">
        <v>18.285950043449901</v>
      </c>
      <c r="BA2379" s="2">
        <v>17.6217797437188</v>
      </c>
      <c r="BB2379" s="2">
        <v>18.484121369942599</v>
      </c>
      <c r="BC2379" s="2">
        <v>17.996516685522</v>
      </c>
      <c r="BD2379" s="2">
        <v>18.3151238173091</v>
      </c>
      <c r="BE2379" s="2">
        <v>18.226712001804199</v>
      </c>
      <c r="BF2379" s="2">
        <v>17.979396612679999</v>
      </c>
      <c r="BG2379" s="2">
        <v>18.551890156421099</v>
      </c>
      <c r="BH2379" s="2">
        <v>18.295639898831901</v>
      </c>
      <c r="BI2379" s="2">
        <v>18.2079538409096</v>
      </c>
      <c r="BJ2379" s="2">
        <v>18.028037162367902</v>
      </c>
      <c r="BK2379" s="2">
        <v>18.185605355997701</v>
      </c>
      <c r="BL2379" s="2">
        <v>17.995216464136899</v>
      </c>
      <c r="BM2379" s="2">
        <v>18.301913172684198</v>
      </c>
      <c r="BN2379" s="2">
        <v>18.1513906061505</v>
      </c>
      <c r="BO2379" s="2">
        <v>18.253420580239698</v>
      </c>
      <c r="BP2379" s="2">
        <v>17.7899682474212</v>
      </c>
      <c r="BQ2379" s="2">
        <v>18.2639002964243</v>
      </c>
      <c r="BR2379" s="2">
        <v>18.2927693495764</v>
      </c>
      <c r="BS2379" s="2">
        <v>18.413393027395401</v>
      </c>
      <c r="BT2379" s="2">
        <v>18.351358505684299</v>
      </c>
      <c r="BU2379" s="2">
        <v>18.241264126671901</v>
      </c>
      <c r="BV2379" s="2">
        <v>18.417817210016299</v>
      </c>
      <c r="BW2379" s="2">
        <v>18.138148933440199</v>
      </c>
      <c r="BX2379" s="2">
        <v>18.255611835065402</v>
      </c>
      <c r="BY2379" s="2">
        <v>18.3877147856203</v>
      </c>
      <c r="BZ2379" s="2">
        <v>18.188220050604698</v>
      </c>
      <c r="CA2379" s="2">
        <v>18.137688627746101</v>
      </c>
      <c r="CB2379" s="2">
        <v>18.019364909540201</v>
      </c>
      <c r="CC2379" s="2">
        <v>18.1027802142595</v>
      </c>
      <c r="CD2379" s="2">
        <v>18.129003024821301</v>
      </c>
      <c r="CE2379" s="2">
        <v>18.310823011454101</v>
      </c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</row>
    <row r="2380" spans="1:97">
      <c r="A2380" s="2" t="s">
        <v>20502</v>
      </c>
      <c r="B2380" s="2">
        <v>397.01531</v>
      </c>
      <c r="C2380" s="2">
        <v>3.6619999999999999</v>
      </c>
      <c r="D2380" s="2" t="s">
        <v>146</v>
      </c>
      <c r="E2380" s="2" t="s">
        <v>20503</v>
      </c>
      <c r="F2380" s="2" t="s">
        <v>20504</v>
      </c>
      <c r="G2380" s="2">
        <v>210770</v>
      </c>
      <c r="H2380" s="3" t="str">
        <f>HYPERLINK("https://cloud.oebiotech.com/#/lm/network/210770", "https://cloud.oebiotech.com/#/lm/network/210770")</f>
        <v>https://cloud.oebiotech.com/#/lm/network/210770</v>
      </c>
      <c r="I2380" s="2" t="s">
        <v>20505</v>
      </c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 t="s">
        <v>20506</v>
      </c>
      <c r="U2380" s="2" t="s">
        <v>20507</v>
      </c>
      <c r="V2380" s="2" t="s">
        <v>115</v>
      </c>
      <c r="W2380" s="2" t="s">
        <v>116</v>
      </c>
      <c r="X2380" s="2" t="s">
        <v>1642</v>
      </c>
      <c r="Y2380" s="2" t="s">
        <v>118</v>
      </c>
      <c r="Z2380" s="2" t="s">
        <v>119</v>
      </c>
      <c r="AA2380" s="2" t="s">
        <v>1643</v>
      </c>
      <c r="AB2380" s="2" t="s">
        <v>8443</v>
      </c>
      <c r="AC2380" s="2">
        <v>36.799999999999997</v>
      </c>
      <c r="AD2380" s="2">
        <v>89.11</v>
      </c>
      <c r="AE2380" s="2">
        <v>0</v>
      </c>
      <c r="AF2380" s="2" t="s">
        <v>20508</v>
      </c>
      <c r="AG2380" s="2" t="s">
        <v>3880</v>
      </c>
      <c r="AH2380" s="2" t="s">
        <v>20509</v>
      </c>
      <c r="AI2380" s="2">
        <v>2.02</v>
      </c>
      <c r="AJ2380" s="2">
        <v>19.820144612718099</v>
      </c>
      <c r="AK2380" s="2">
        <v>19.9429932595989</v>
      </c>
      <c r="AL2380" s="2">
        <v>19.808953667166701</v>
      </c>
      <c r="AM2380" s="2">
        <v>19.759712947974698</v>
      </c>
      <c r="AN2380" s="2">
        <v>19.902179241582001</v>
      </c>
      <c r="AO2380" s="2">
        <v>19.880459795376701</v>
      </c>
      <c r="AP2380" s="2">
        <v>19.834076648035499</v>
      </c>
      <c r="AQ2380" s="2">
        <v>19.8775263869369</v>
      </c>
      <c r="AR2380" s="2">
        <v>19.090365298259901</v>
      </c>
      <c r="AS2380" s="2">
        <v>18.969223320726901</v>
      </c>
      <c r="AT2380" s="2">
        <v>19.608620290726002</v>
      </c>
      <c r="AU2380" s="2">
        <v>19.409648365612899</v>
      </c>
      <c r="AV2380" s="2">
        <v>19.663429353422</v>
      </c>
      <c r="AW2380" s="2">
        <v>19.689364398346399</v>
      </c>
      <c r="AX2380" s="2">
        <v>19.487953897596</v>
      </c>
      <c r="AY2380" s="2">
        <v>19.8448335157657</v>
      </c>
      <c r="AZ2380" s="2">
        <v>19.643358486856901</v>
      </c>
      <c r="BA2380" s="2">
        <v>19.335265338272599</v>
      </c>
      <c r="BB2380" s="2">
        <v>20.109810126532601</v>
      </c>
      <c r="BC2380" s="2">
        <v>19.967171746322599</v>
      </c>
      <c r="BD2380" s="2">
        <v>19.3654536546752</v>
      </c>
      <c r="BE2380" s="2">
        <v>20.315533823973698</v>
      </c>
      <c r="BF2380" s="2">
        <v>19.8777019139849</v>
      </c>
      <c r="BG2380" s="2">
        <v>20.0154754628877</v>
      </c>
      <c r="BH2380" s="2">
        <v>19.913398986676999</v>
      </c>
      <c r="BI2380" s="2">
        <v>19.625350889162998</v>
      </c>
      <c r="BJ2380" s="2">
        <v>19.917921103827101</v>
      </c>
      <c r="BK2380" s="2">
        <v>19.758090292149401</v>
      </c>
      <c r="BL2380" s="2">
        <v>19.581262747958199</v>
      </c>
      <c r="BM2380" s="2">
        <v>20.1390792122913</v>
      </c>
      <c r="BN2380" s="2">
        <v>19.932838562845902</v>
      </c>
      <c r="BO2380" s="2">
        <v>19.8090147963978</v>
      </c>
      <c r="BP2380" s="2">
        <v>19.665895787029498</v>
      </c>
      <c r="BQ2380" s="2">
        <v>19.8159781716456</v>
      </c>
      <c r="BR2380" s="2">
        <v>19.81391297827</v>
      </c>
      <c r="BS2380" s="2">
        <v>19.647961197238601</v>
      </c>
      <c r="BT2380" s="2">
        <v>19.593508716320599</v>
      </c>
      <c r="BU2380" s="2">
        <v>19.312135655637</v>
      </c>
      <c r="BV2380" s="2">
        <v>19.9283518154208</v>
      </c>
      <c r="BW2380" s="2">
        <v>19.457892054299201</v>
      </c>
      <c r="BX2380" s="2">
        <v>19.931844386248699</v>
      </c>
      <c r="BY2380" s="2">
        <v>20.3087665202249</v>
      </c>
      <c r="BZ2380" s="2">
        <v>19.976754655989001</v>
      </c>
      <c r="CA2380" s="2">
        <v>20.0303182004847</v>
      </c>
      <c r="CB2380" s="2">
        <v>19.695754597259899</v>
      </c>
      <c r="CC2380" s="2">
        <v>19.380854716178899</v>
      </c>
      <c r="CD2380" s="2">
        <v>20.063036943835201</v>
      </c>
      <c r="CE2380" s="2">
        <v>19.905514709586399</v>
      </c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</row>
    <row r="2381" spans="1:97">
      <c r="A2381" s="2" t="s">
        <v>20510</v>
      </c>
      <c r="B2381" s="2">
        <v>345.16422999999998</v>
      </c>
      <c r="C2381" s="2">
        <v>7.8239999999999998</v>
      </c>
      <c r="D2381" s="2" t="s">
        <v>146</v>
      </c>
      <c r="E2381" s="2" t="s">
        <v>20511</v>
      </c>
      <c r="F2381" s="2" t="s">
        <v>20512</v>
      </c>
      <c r="G2381" s="2">
        <v>208612</v>
      </c>
      <c r="H2381" s="3" t="str">
        <f>HYPERLINK("https://cloud.oebiotech.com/#/lm/network/208612", "https://cloud.oebiotech.com/#/lm/network/208612")</f>
        <v>https://cloud.oebiotech.com/#/lm/network/208612</v>
      </c>
      <c r="I2381" s="2" t="s">
        <v>20513</v>
      </c>
      <c r="J2381" s="2"/>
      <c r="K2381" s="2"/>
      <c r="L2381" s="2">
        <v>114745</v>
      </c>
      <c r="M2381" s="2"/>
      <c r="N2381" s="2"/>
      <c r="O2381" s="2"/>
      <c r="P2381" s="2"/>
      <c r="Q2381" s="2"/>
      <c r="R2381" s="2"/>
      <c r="S2381" s="2"/>
      <c r="T2381" s="2" t="s">
        <v>20514</v>
      </c>
      <c r="U2381" s="2" t="s">
        <v>20515</v>
      </c>
      <c r="V2381" s="2" t="s">
        <v>166</v>
      </c>
      <c r="W2381" s="2" t="s">
        <v>167</v>
      </c>
      <c r="X2381" s="2" t="s">
        <v>482</v>
      </c>
      <c r="Y2381" s="2" t="s">
        <v>169</v>
      </c>
      <c r="Z2381" s="2" t="s">
        <v>169</v>
      </c>
      <c r="AA2381" s="2" t="s">
        <v>483</v>
      </c>
      <c r="AB2381" s="2" t="s">
        <v>8443</v>
      </c>
      <c r="AC2381" s="2">
        <v>36.799999999999997</v>
      </c>
      <c r="AD2381" s="2">
        <v>84</v>
      </c>
      <c r="AE2381" s="2">
        <v>0</v>
      </c>
      <c r="AF2381" s="2" t="s">
        <v>5614</v>
      </c>
      <c r="AG2381" s="2" t="s">
        <v>157</v>
      </c>
      <c r="AH2381" s="2" t="s">
        <v>20516</v>
      </c>
      <c r="AI2381" s="2">
        <v>0</v>
      </c>
      <c r="AJ2381" s="2">
        <v>17.565792758000399</v>
      </c>
      <c r="AK2381" s="2">
        <v>17.509706046704601</v>
      </c>
      <c r="AL2381" s="2">
        <v>17.713851043905201</v>
      </c>
      <c r="AM2381" s="2">
        <v>17.978284520148399</v>
      </c>
      <c r="AN2381" s="2">
        <v>17.360266272242001</v>
      </c>
      <c r="AO2381" s="2">
        <v>17.821008592656401</v>
      </c>
      <c r="AP2381" s="2">
        <v>17.324989954042699</v>
      </c>
      <c r="AQ2381" s="2">
        <v>17.8874039518678</v>
      </c>
      <c r="AR2381" s="2">
        <v>16.535153850693899</v>
      </c>
      <c r="AS2381" s="2">
        <v>15.2528224795866</v>
      </c>
      <c r="AT2381" s="2">
        <v>18.0394109962206</v>
      </c>
      <c r="AU2381" s="2">
        <v>14.7887708322967</v>
      </c>
      <c r="AV2381" s="2">
        <v>17.2484456479275</v>
      </c>
      <c r="AW2381" s="2">
        <v>17.2857328166568</v>
      </c>
      <c r="AX2381" s="2">
        <v>17.174503346128201</v>
      </c>
      <c r="AY2381" s="2">
        <v>18.2478987330366</v>
      </c>
      <c r="AZ2381" s="2">
        <v>16.815448718989</v>
      </c>
      <c r="BA2381" s="2">
        <v>18.334249232622899</v>
      </c>
      <c r="BB2381" s="2">
        <v>17.47849164706</v>
      </c>
      <c r="BC2381" s="2">
        <v>18.0896809529359</v>
      </c>
      <c r="BD2381" s="2">
        <v>16.839007638718702</v>
      </c>
      <c r="BE2381" s="2">
        <v>16.993515710098201</v>
      </c>
      <c r="BF2381" s="2">
        <v>16.487408435423699</v>
      </c>
      <c r="BG2381" s="2">
        <v>17.169975778999699</v>
      </c>
      <c r="BH2381" s="2">
        <v>17.008785202934799</v>
      </c>
      <c r="BI2381" s="2">
        <v>16.7433027628845</v>
      </c>
      <c r="BJ2381" s="2">
        <v>17.574448511459899</v>
      </c>
      <c r="BK2381" s="2">
        <v>17.1975023774263</v>
      </c>
      <c r="BL2381" s="2">
        <v>16.887605232091499</v>
      </c>
      <c r="BM2381" s="2">
        <v>15.8400717427206</v>
      </c>
      <c r="BN2381" s="2">
        <v>18.271917901926901</v>
      </c>
      <c r="BO2381" s="2">
        <v>15.005770583099</v>
      </c>
      <c r="BP2381" s="2">
        <v>17.974031087687401</v>
      </c>
      <c r="BQ2381" s="2">
        <v>17.6899712945232</v>
      </c>
      <c r="BR2381" s="2">
        <v>16.581340654033099</v>
      </c>
      <c r="BS2381" s="2">
        <v>18.2380880327052</v>
      </c>
      <c r="BT2381" s="2">
        <v>17.849523915578001</v>
      </c>
      <c r="BU2381" s="2">
        <v>18.890031770508099</v>
      </c>
      <c r="BV2381" s="2">
        <v>17.6802774437216</v>
      </c>
      <c r="BW2381" s="2">
        <v>18.394037622785302</v>
      </c>
      <c r="BX2381" s="2">
        <v>16.518296617447401</v>
      </c>
      <c r="BY2381" s="2">
        <v>19.185651931287399</v>
      </c>
      <c r="BZ2381" s="2">
        <v>17.082310299927101</v>
      </c>
      <c r="CA2381" s="2">
        <v>17.672552342938701</v>
      </c>
      <c r="CB2381" s="2">
        <v>18.042212760042801</v>
      </c>
      <c r="CC2381" s="2">
        <v>17.014096226384201</v>
      </c>
      <c r="CD2381" s="2">
        <v>18.2539773132068</v>
      </c>
      <c r="CE2381" s="2">
        <v>17.775925810074501</v>
      </c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</row>
    <row r="2382" spans="1:97">
      <c r="A2382" s="2" t="s">
        <v>20517</v>
      </c>
      <c r="B2382" s="2">
        <v>285.18795999999998</v>
      </c>
      <c r="C2382" s="2">
        <v>8.2569999999999997</v>
      </c>
      <c r="D2382" s="2" t="s">
        <v>84</v>
      </c>
      <c r="E2382" s="2" t="s">
        <v>20518</v>
      </c>
      <c r="F2382" s="2" t="s">
        <v>20519</v>
      </c>
      <c r="G2382" s="2">
        <v>201810</v>
      </c>
      <c r="H2382" s="3" t="str">
        <f>HYPERLINK("https://cloud.oebiotech.com/#/lm/network/201810", "https://cloud.oebiotech.com/#/lm/network/201810")</f>
        <v>https://cloud.oebiotech.com/#/lm/network/201810</v>
      </c>
      <c r="I2382" s="2" t="s">
        <v>20520</v>
      </c>
      <c r="J2382" s="2"/>
      <c r="K2382" s="2"/>
      <c r="L2382" s="2">
        <v>44511091</v>
      </c>
      <c r="M2382" s="2"/>
      <c r="N2382" s="2"/>
      <c r="O2382" s="2"/>
      <c r="P2382" s="2">
        <v>91629</v>
      </c>
      <c r="Q2382" s="2"/>
      <c r="R2382" s="2"/>
      <c r="S2382" s="2"/>
      <c r="T2382" s="2" t="s">
        <v>20521</v>
      </c>
      <c r="U2382" s="2" t="s">
        <v>20522</v>
      </c>
      <c r="V2382" s="2" t="s">
        <v>95</v>
      </c>
      <c r="W2382" s="2" t="s">
        <v>152</v>
      </c>
      <c r="X2382" s="2" t="s">
        <v>1013</v>
      </c>
      <c r="Y2382" s="2" t="s">
        <v>98</v>
      </c>
      <c r="Z2382" s="2" t="s">
        <v>154</v>
      </c>
      <c r="AA2382" s="2" t="s">
        <v>1014</v>
      </c>
      <c r="AB2382" s="2" t="s">
        <v>8443</v>
      </c>
      <c r="AC2382" s="2">
        <v>36.79</v>
      </c>
      <c r="AD2382" s="2">
        <v>88.68</v>
      </c>
      <c r="AE2382" s="2">
        <v>0</v>
      </c>
      <c r="AF2382" s="2" t="s">
        <v>20523</v>
      </c>
      <c r="AG2382" s="2" t="s">
        <v>1088</v>
      </c>
      <c r="AH2382" s="2" t="s">
        <v>20524</v>
      </c>
      <c r="AI2382" s="2">
        <v>-8.77</v>
      </c>
      <c r="AJ2382" s="2">
        <v>17.9919704595256</v>
      </c>
      <c r="AK2382" s="2">
        <v>18.013488594316399</v>
      </c>
      <c r="AL2382" s="2">
        <v>18.033589852974998</v>
      </c>
      <c r="AM2382" s="2">
        <v>18.259758754413198</v>
      </c>
      <c r="AN2382" s="2">
        <v>17.9967626563758</v>
      </c>
      <c r="AO2382" s="2">
        <v>18.5445564217531</v>
      </c>
      <c r="AP2382" s="2">
        <v>17.9968605586491</v>
      </c>
      <c r="AQ2382" s="2">
        <v>18.318945581157099</v>
      </c>
      <c r="AR2382" s="2">
        <v>15.399074605554899</v>
      </c>
      <c r="AS2382" s="2">
        <v>18.186849863199001</v>
      </c>
      <c r="AT2382" s="2">
        <v>18.056579877037802</v>
      </c>
      <c r="AU2382" s="2">
        <v>14.506798480072201</v>
      </c>
      <c r="AV2382" s="2">
        <v>17.414089274395099</v>
      </c>
      <c r="AW2382" s="2">
        <v>17.295925841927801</v>
      </c>
      <c r="AX2382" s="2">
        <v>17.8333781585766</v>
      </c>
      <c r="AY2382" s="2">
        <v>17.575854152035099</v>
      </c>
      <c r="AZ2382" s="2">
        <v>15.387637720492</v>
      </c>
      <c r="BA2382" s="2">
        <v>18.633986929066101</v>
      </c>
      <c r="BB2382" s="2">
        <v>18.229376593757099</v>
      </c>
      <c r="BC2382" s="2">
        <v>19.932038176683101</v>
      </c>
      <c r="BD2382" s="2">
        <v>16.836674937176898</v>
      </c>
      <c r="BE2382" s="2">
        <v>18.151986395896799</v>
      </c>
      <c r="BF2382" s="2">
        <v>17.901221696452101</v>
      </c>
      <c r="BG2382" s="2">
        <v>17.994236522551098</v>
      </c>
      <c r="BH2382" s="2">
        <v>19.008341597052802</v>
      </c>
      <c r="BI2382" s="2">
        <v>17.857315691610399</v>
      </c>
      <c r="BJ2382" s="2">
        <v>18.592158768774201</v>
      </c>
      <c r="BK2382" s="2">
        <v>16.994353326358301</v>
      </c>
      <c r="BL2382" s="2">
        <v>17.438043367587198</v>
      </c>
      <c r="BM2382" s="2">
        <v>17.577703791969199</v>
      </c>
      <c r="BN2382" s="2">
        <v>17.789742621938998</v>
      </c>
      <c r="BO2382" s="2">
        <v>17.747678811020801</v>
      </c>
      <c r="BP2382" s="2">
        <v>17.1521003140255</v>
      </c>
      <c r="BQ2382" s="2">
        <v>16.9265084263643</v>
      </c>
      <c r="BR2382" s="2">
        <v>18.2295181246987</v>
      </c>
      <c r="BS2382" s="2">
        <v>16.494506709798699</v>
      </c>
      <c r="BT2382" s="2">
        <v>17.075454392648801</v>
      </c>
      <c r="BU2382" s="2">
        <v>17.9727671343719</v>
      </c>
      <c r="BV2382" s="2">
        <v>17.889062025217498</v>
      </c>
      <c r="BW2382" s="2">
        <v>18.683923221238899</v>
      </c>
      <c r="BX2382" s="2">
        <v>16.595479096937002</v>
      </c>
      <c r="BY2382" s="2">
        <v>18.311777268290001</v>
      </c>
      <c r="BZ2382" s="2">
        <v>17.087910816847401</v>
      </c>
      <c r="CA2382" s="2">
        <v>18.426961450555599</v>
      </c>
      <c r="CB2382" s="2">
        <v>17.0937656097211</v>
      </c>
      <c r="CC2382" s="2">
        <v>18.1549103013589</v>
      </c>
      <c r="CD2382" s="2">
        <v>17.310756280789899</v>
      </c>
      <c r="CE2382" s="2">
        <v>17.628935317120401</v>
      </c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</row>
    <row r="2383" spans="1:97">
      <c r="A2383" s="2" t="s">
        <v>20525</v>
      </c>
      <c r="B2383" s="2">
        <v>277.09557999999998</v>
      </c>
      <c r="C2383" s="2">
        <v>9.81</v>
      </c>
      <c r="D2383" s="2" t="s">
        <v>84</v>
      </c>
      <c r="E2383" s="2" t="s">
        <v>20526</v>
      </c>
      <c r="F2383" s="2" t="s">
        <v>20527</v>
      </c>
      <c r="G2383" s="2">
        <v>201870</v>
      </c>
      <c r="H2383" s="3" t="str">
        <f>HYPERLINK("https://cloud.oebiotech.com/#/lm/network/201870", "https://cloud.oebiotech.com/#/lm/network/201870")</f>
        <v>https://cloud.oebiotech.com/#/lm/network/201870</v>
      </c>
      <c r="I2383" s="2" t="s">
        <v>20528</v>
      </c>
      <c r="J2383" s="2"/>
      <c r="K2383" s="2"/>
      <c r="L2383" s="2">
        <v>77324</v>
      </c>
      <c r="M2383" s="2"/>
      <c r="N2383" s="2"/>
      <c r="O2383" s="2"/>
      <c r="P2383" s="2"/>
      <c r="Q2383" s="2"/>
      <c r="R2383" s="2"/>
      <c r="S2383" s="2"/>
      <c r="T2383" s="2" t="s">
        <v>20529</v>
      </c>
      <c r="U2383" s="2" t="s">
        <v>20530</v>
      </c>
      <c r="V2383" s="2" t="s">
        <v>385</v>
      </c>
      <c r="W2383" s="2" t="s">
        <v>386</v>
      </c>
      <c r="X2383" s="2" t="s">
        <v>12519</v>
      </c>
      <c r="Y2383" s="2" t="s">
        <v>388</v>
      </c>
      <c r="Z2383" s="2" t="s">
        <v>389</v>
      </c>
      <c r="AA2383" s="2" t="s">
        <v>12520</v>
      </c>
      <c r="AB2383" s="2" t="s">
        <v>8443</v>
      </c>
      <c r="AC2383" s="2">
        <v>36.79</v>
      </c>
      <c r="AD2383" s="2">
        <v>93.39</v>
      </c>
      <c r="AE2383" s="2">
        <v>0</v>
      </c>
      <c r="AF2383" s="2" t="s">
        <v>5614</v>
      </c>
      <c r="AG2383" s="2" t="s">
        <v>132</v>
      </c>
      <c r="AH2383" s="2" t="s">
        <v>20531</v>
      </c>
      <c r="AI2383" s="2">
        <v>-2.89</v>
      </c>
      <c r="AJ2383" s="2">
        <v>17.615585529042299</v>
      </c>
      <c r="AK2383" s="2">
        <v>18.215167331379799</v>
      </c>
      <c r="AL2383" s="2">
        <v>17.776148336319199</v>
      </c>
      <c r="AM2383" s="2">
        <v>17.596426225049701</v>
      </c>
      <c r="AN2383" s="2">
        <v>18.072612682742101</v>
      </c>
      <c r="AO2383" s="2">
        <v>18.3200136957784</v>
      </c>
      <c r="AP2383" s="2">
        <v>17.901306265028801</v>
      </c>
      <c r="AQ2383" s="2">
        <v>17.876625396416902</v>
      </c>
      <c r="AR2383" s="2">
        <v>18.373245641767198</v>
      </c>
      <c r="AS2383" s="2">
        <v>17.310511338598101</v>
      </c>
      <c r="AT2383" s="2">
        <v>17.2405590924776</v>
      </c>
      <c r="AU2383" s="2">
        <v>16.667661819508201</v>
      </c>
      <c r="AV2383" s="2">
        <v>14.961925781168601</v>
      </c>
      <c r="AW2383" s="2">
        <v>17.330585446528001</v>
      </c>
      <c r="AX2383" s="2">
        <v>16.944584648463799</v>
      </c>
      <c r="AY2383" s="2">
        <v>17.649620580985399</v>
      </c>
      <c r="AZ2383" s="2">
        <v>16.339649092776501</v>
      </c>
      <c r="BA2383" s="2">
        <v>16.3665175659726</v>
      </c>
      <c r="BB2383" s="2">
        <v>17.2219242695428</v>
      </c>
      <c r="BC2383" s="2">
        <v>17.424398745852901</v>
      </c>
      <c r="BD2383" s="2">
        <v>17.0471591736794</v>
      </c>
      <c r="BE2383" s="2">
        <v>17.833243736093799</v>
      </c>
      <c r="BF2383" s="2">
        <v>16.213071175226901</v>
      </c>
      <c r="BG2383" s="2">
        <v>16.675679776929499</v>
      </c>
      <c r="BH2383" s="2">
        <v>16.955160617647199</v>
      </c>
      <c r="BI2383" s="2">
        <v>16.519981560326201</v>
      </c>
      <c r="BJ2383" s="2">
        <v>16.5492570349709</v>
      </c>
      <c r="BK2383" s="2">
        <v>16.883978003801001</v>
      </c>
      <c r="BL2383" s="2">
        <v>15.003860889123899</v>
      </c>
      <c r="BM2383" s="2">
        <v>16.001525628508301</v>
      </c>
      <c r="BN2383" s="2">
        <v>17.064233741049499</v>
      </c>
      <c r="BO2383" s="2">
        <v>15.846917093573399</v>
      </c>
      <c r="BP2383" s="2">
        <v>17.9581555684777</v>
      </c>
      <c r="BQ2383" s="2">
        <v>17.163596611659798</v>
      </c>
      <c r="BR2383" s="2">
        <v>16.183204633009399</v>
      </c>
      <c r="BS2383" s="2">
        <v>15.847792897776401</v>
      </c>
      <c r="BT2383" s="2">
        <v>15.547860011876599</v>
      </c>
      <c r="BU2383" s="2">
        <v>17.192327590554701</v>
      </c>
      <c r="BV2383" s="2">
        <v>16.9347562864378</v>
      </c>
      <c r="BW2383" s="2">
        <v>16.138456205648399</v>
      </c>
      <c r="BX2383" s="2">
        <v>16.4222909910407</v>
      </c>
      <c r="BY2383" s="2">
        <v>19.079247494021999</v>
      </c>
      <c r="BZ2383" s="2">
        <v>18.531713880260799</v>
      </c>
      <c r="CA2383" s="2">
        <v>17.139186295897499</v>
      </c>
      <c r="CB2383" s="2">
        <v>16.9920613829172</v>
      </c>
      <c r="CC2383" s="2">
        <v>15.906209945125299</v>
      </c>
      <c r="CD2383" s="2">
        <v>17.849918529839201</v>
      </c>
      <c r="CE2383" s="2">
        <v>16.7590732391178</v>
      </c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</row>
    <row r="2384" spans="1:97">
      <c r="A2384" s="2" t="s">
        <v>20532</v>
      </c>
      <c r="B2384" s="2">
        <v>301.07492000000002</v>
      </c>
      <c r="C2384" s="2">
        <v>8.2810000000000006</v>
      </c>
      <c r="D2384" s="2" t="s">
        <v>84</v>
      </c>
      <c r="E2384" s="2" t="s">
        <v>20533</v>
      </c>
      <c r="F2384" s="2" t="s">
        <v>20534</v>
      </c>
      <c r="G2384" s="2">
        <v>57399</v>
      </c>
      <c r="H2384" s="3" t="str">
        <f>HYPERLINK("https://cloud.oebiotech.com/#/lm/network/57399", "https://cloud.oebiotech.com/#/lm/network/57399")</f>
        <v>https://cloud.oebiotech.com/#/lm/network/57399</v>
      </c>
      <c r="I2384" s="2" t="s">
        <v>20535</v>
      </c>
      <c r="J2384" s="2">
        <v>43337</v>
      </c>
      <c r="K2384" s="2"/>
      <c r="L2384" s="2">
        <v>5338</v>
      </c>
      <c r="M2384" s="2"/>
      <c r="N2384" s="2"/>
      <c r="O2384" s="2"/>
      <c r="P2384" s="2"/>
      <c r="Q2384" s="2"/>
      <c r="R2384" s="2"/>
      <c r="S2384" s="2" t="s">
        <v>20536</v>
      </c>
      <c r="T2384" s="2" t="s">
        <v>20537</v>
      </c>
      <c r="U2384" s="2" t="s">
        <v>20538</v>
      </c>
      <c r="V2384" s="2" t="s">
        <v>553</v>
      </c>
      <c r="W2384" s="2" t="s">
        <v>10339</v>
      </c>
      <c r="X2384" s="2" t="s">
        <v>10340</v>
      </c>
      <c r="Y2384" s="2" t="s">
        <v>556</v>
      </c>
      <c r="Z2384" s="2" t="s">
        <v>10341</v>
      </c>
      <c r="AA2384" s="2" t="s">
        <v>10342</v>
      </c>
      <c r="AB2384" s="2" t="s">
        <v>8443</v>
      </c>
      <c r="AC2384" s="2">
        <v>36.79</v>
      </c>
      <c r="AD2384" s="2">
        <v>87.24</v>
      </c>
      <c r="AE2384" s="2">
        <v>0</v>
      </c>
      <c r="AF2384" s="2" t="s">
        <v>5614</v>
      </c>
      <c r="AG2384" s="2" t="s">
        <v>103</v>
      </c>
      <c r="AH2384" s="2" t="s">
        <v>20539</v>
      </c>
      <c r="AI2384" s="2">
        <v>1.66</v>
      </c>
      <c r="AJ2384" s="2">
        <v>17.900757571288199</v>
      </c>
      <c r="AK2384" s="2">
        <v>18.106753283483499</v>
      </c>
      <c r="AL2384" s="2">
        <v>17.661897065114001</v>
      </c>
      <c r="AM2384" s="2">
        <v>18.151844431413402</v>
      </c>
      <c r="AN2384" s="2">
        <v>18.219362394165501</v>
      </c>
      <c r="AO2384" s="2">
        <v>18.0062177474002</v>
      </c>
      <c r="AP2384" s="2">
        <v>17.894265885162099</v>
      </c>
      <c r="AQ2384" s="2">
        <v>17.652179197099901</v>
      </c>
      <c r="AR2384" s="2">
        <v>17.5329951363493</v>
      </c>
      <c r="AS2384" s="2">
        <v>17.864164739165702</v>
      </c>
      <c r="AT2384" s="2">
        <v>17.877806007012101</v>
      </c>
      <c r="AU2384" s="2">
        <v>18.0606030585821</v>
      </c>
      <c r="AV2384" s="2">
        <v>17.781228745605802</v>
      </c>
      <c r="AW2384" s="2">
        <v>18.2625107956368</v>
      </c>
      <c r="AX2384" s="2">
        <v>17.2614085980114</v>
      </c>
      <c r="AY2384" s="2">
        <v>17.5388451114218</v>
      </c>
      <c r="AZ2384" s="2">
        <v>18.504063016107299</v>
      </c>
      <c r="BA2384" s="2">
        <v>17.318137983463998</v>
      </c>
      <c r="BB2384" s="2">
        <v>16.928080073411198</v>
      </c>
      <c r="BC2384" s="2">
        <v>17.8926360770194</v>
      </c>
      <c r="BD2384" s="2">
        <v>17.9622735349114</v>
      </c>
      <c r="BE2384" s="2">
        <v>18.202797920349902</v>
      </c>
      <c r="BF2384" s="2">
        <v>17.4225865742183</v>
      </c>
      <c r="BG2384" s="2">
        <v>16.901512980443101</v>
      </c>
      <c r="BH2384" s="2">
        <v>17.5918204180158</v>
      </c>
      <c r="BI2384" s="2">
        <v>18.206907899185001</v>
      </c>
      <c r="BJ2384" s="2">
        <v>17.384400550776999</v>
      </c>
      <c r="BK2384" s="2">
        <v>17.270542994631501</v>
      </c>
      <c r="BL2384" s="2">
        <v>17.564074074680899</v>
      </c>
      <c r="BM2384" s="2">
        <v>17.749159346391</v>
      </c>
      <c r="BN2384" s="2">
        <v>17.293842513175601</v>
      </c>
      <c r="BO2384" s="2">
        <v>17.746768389545799</v>
      </c>
      <c r="BP2384" s="2">
        <v>17.609789569264901</v>
      </c>
      <c r="BQ2384" s="2">
        <v>18.056148108429401</v>
      </c>
      <c r="BR2384" s="2">
        <v>17.709114110767199</v>
      </c>
      <c r="BS2384" s="2">
        <v>17.6167282362333</v>
      </c>
      <c r="BT2384" s="2">
        <v>20.1361187429927</v>
      </c>
      <c r="BU2384" s="2">
        <v>17.351427741335801</v>
      </c>
      <c r="BV2384" s="2">
        <v>17.256437869945199</v>
      </c>
      <c r="BW2384" s="2">
        <v>16.811820825331701</v>
      </c>
      <c r="BX2384" s="2">
        <v>17.4060152039829</v>
      </c>
      <c r="BY2384" s="2">
        <v>18.2223733792917</v>
      </c>
      <c r="BZ2384" s="2">
        <v>17.768073225639402</v>
      </c>
      <c r="CA2384" s="2">
        <v>17.8808499691322</v>
      </c>
      <c r="CB2384" s="2">
        <v>17.6278917067783</v>
      </c>
      <c r="CC2384" s="2">
        <v>17.297261733536899</v>
      </c>
      <c r="CD2384" s="2">
        <v>17.404371567705599</v>
      </c>
      <c r="CE2384" s="2">
        <v>17.922121175676399</v>
      </c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</row>
    <row r="2385" spans="1:97">
      <c r="A2385" s="2" t="s">
        <v>20540</v>
      </c>
      <c r="B2385" s="2">
        <v>335.18466999999998</v>
      </c>
      <c r="C2385" s="2">
        <v>6.2549999999999999</v>
      </c>
      <c r="D2385" s="2" t="s">
        <v>84</v>
      </c>
      <c r="E2385" s="2" t="s">
        <v>20541</v>
      </c>
      <c r="F2385" s="2" t="s">
        <v>20542</v>
      </c>
      <c r="G2385" s="2">
        <v>35560</v>
      </c>
      <c r="H2385" s="3" t="str">
        <f>HYPERLINK("https://cloud.oebiotech.com/#/lm/network/35560", "https://cloud.oebiotech.com/#/lm/network/35560")</f>
        <v>https://cloud.oebiotech.com/#/lm/network/35560</v>
      </c>
      <c r="I2385" s="2"/>
      <c r="J2385" s="2"/>
      <c r="K2385" s="2" t="s">
        <v>20543</v>
      </c>
      <c r="L2385" s="2"/>
      <c r="M2385" s="2"/>
      <c r="N2385" s="2"/>
      <c r="O2385" s="2"/>
      <c r="P2385" s="2"/>
      <c r="Q2385" s="2"/>
      <c r="R2385" s="2"/>
      <c r="S2385" s="2"/>
      <c r="T2385" s="2" t="s">
        <v>20544</v>
      </c>
      <c r="U2385" s="2" t="s">
        <v>20545</v>
      </c>
      <c r="V2385" s="2" t="s">
        <v>95</v>
      </c>
      <c r="W2385" s="2" t="s">
        <v>96</v>
      </c>
      <c r="X2385" s="2" t="s">
        <v>97</v>
      </c>
      <c r="Y2385" s="2" t="s">
        <v>98</v>
      </c>
      <c r="Z2385" s="2" t="s">
        <v>99</v>
      </c>
      <c r="AA2385" s="2" t="s">
        <v>100</v>
      </c>
      <c r="AB2385" s="2" t="s">
        <v>8443</v>
      </c>
      <c r="AC2385" s="2">
        <v>36.79</v>
      </c>
      <c r="AD2385" s="2">
        <v>87.9</v>
      </c>
      <c r="AE2385" s="2">
        <v>0</v>
      </c>
      <c r="AF2385" s="2" t="s">
        <v>5614</v>
      </c>
      <c r="AG2385" s="2" t="s">
        <v>103</v>
      </c>
      <c r="AH2385" s="2" t="s">
        <v>20546</v>
      </c>
      <c r="AI2385" s="2">
        <v>1.79</v>
      </c>
      <c r="AJ2385" s="2">
        <v>18.234541708218401</v>
      </c>
      <c r="AK2385" s="2">
        <v>18.526869035171</v>
      </c>
      <c r="AL2385" s="2">
        <v>18.572449029565998</v>
      </c>
      <c r="AM2385" s="2">
        <v>18.346841006786899</v>
      </c>
      <c r="AN2385" s="2">
        <v>18.473080593767399</v>
      </c>
      <c r="AO2385" s="2">
        <v>18.433597258188001</v>
      </c>
      <c r="AP2385" s="2">
        <v>18.273599070705998</v>
      </c>
      <c r="AQ2385" s="2">
        <v>18.135544869613501</v>
      </c>
      <c r="AR2385" s="2">
        <v>17.496653146459099</v>
      </c>
      <c r="AS2385" s="2">
        <v>16.931608387157802</v>
      </c>
      <c r="AT2385" s="2">
        <v>18.509519373015401</v>
      </c>
      <c r="AU2385" s="2">
        <v>17.322198222696301</v>
      </c>
      <c r="AV2385" s="2">
        <v>18.271232664166099</v>
      </c>
      <c r="AW2385" s="2">
        <v>18.6550705839058</v>
      </c>
      <c r="AX2385" s="2">
        <v>17.079967733316199</v>
      </c>
      <c r="AY2385" s="2">
        <v>18.793259675802101</v>
      </c>
      <c r="AZ2385" s="2">
        <v>17.495415201374701</v>
      </c>
      <c r="BA2385" s="2">
        <v>18.417219862379799</v>
      </c>
      <c r="BB2385" s="2">
        <v>18.373780351674501</v>
      </c>
      <c r="BC2385" s="2">
        <v>17.515571339455001</v>
      </c>
      <c r="BD2385" s="2">
        <v>17.4130255785971</v>
      </c>
      <c r="BE2385" s="2">
        <v>17.247776421488702</v>
      </c>
      <c r="BF2385" s="2">
        <v>16.554353219424499</v>
      </c>
      <c r="BG2385" s="2">
        <v>18.427067798610999</v>
      </c>
      <c r="BH2385" s="2">
        <v>17.908997917148</v>
      </c>
      <c r="BI2385" s="2">
        <v>18.716503127229402</v>
      </c>
      <c r="BJ2385" s="2">
        <v>18.204306727814</v>
      </c>
      <c r="BK2385" s="2">
        <v>18.5489013228188</v>
      </c>
      <c r="BL2385" s="2">
        <v>18.028259415290002</v>
      </c>
      <c r="BM2385" s="2">
        <v>17.913664714378399</v>
      </c>
      <c r="BN2385" s="2">
        <v>19.185190805967199</v>
      </c>
      <c r="BO2385" s="2">
        <v>17.813716381195</v>
      </c>
      <c r="BP2385" s="2">
        <v>18.591686435910699</v>
      </c>
      <c r="BQ2385" s="2">
        <v>19.1121113412539</v>
      </c>
      <c r="BR2385" s="2">
        <v>17.500996119083101</v>
      </c>
      <c r="BS2385" s="2">
        <v>18.7681530123606</v>
      </c>
      <c r="BT2385" s="2">
        <v>18.3670822125362</v>
      </c>
      <c r="BU2385" s="2">
        <v>19.149267846436999</v>
      </c>
      <c r="BV2385" s="2">
        <v>18.9254924912027</v>
      </c>
      <c r="BW2385" s="2">
        <v>16.4188252216913</v>
      </c>
      <c r="BX2385" s="2">
        <v>17.226878765355401</v>
      </c>
      <c r="BY2385" s="2">
        <v>18.750734394972401</v>
      </c>
      <c r="BZ2385" s="2">
        <v>16.5220792650817</v>
      </c>
      <c r="CA2385" s="2">
        <v>18.593458419268998</v>
      </c>
      <c r="CB2385" s="2">
        <v>18.285964307406601</v>
      </c>
      <c r="CC2385" s="2">
        <v>18.236860814623199</v>
      </c>
      <c r="CD2385" s="2">
        <v>18.861677182475901</v>
      </c>
      <c r="CE2385" s="2">
        <v>18.489693308259501</v>
      </c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</row>
    <row r="2386" spans="1:97">
      <c r="A2386" s="2" t="s">
        <v>20547</v>
      </c>
      <c r="B2386" s="2">
        <v>307.07934</v>
      </c>
      <c r="C2386" s="2">
        <v>7.4089999999999998</v>
      </c>
      <c r="D2386" s="2" t="s">
        <v>146</v>
      </c>
      <c r="E2386" s="2" t="s">
        <v>20548</v>
      </c>
      <c r="F2386" s="2" t="s">
        <v>20549</v>
      </c>
      <c r="G2386" s="2">
        <v>594947</v>
      </c>
      <c r="H2386" s="3" t="str">
        <f>HYPERLINK("https://cloud.oebiotech.com/#/lm/network/594947", "https://cloud.oebiotech.com/#/lm/network/594947")</f>
        <v>https://cloud.oebiotech.com/#/lm/network/594947</v>
      </c>
      <c r="I2386" s="2"/>
      <c r="J2386" s="2"/>
      <c r="K2386" s="2"/>
      <c r="L2386" s="2">
        <v>159015</v>
      </c>
      <c r="M2386" s="2"/>
      <c r="N2386" s="2"/>
      <c r="O2386" s="2"/>
      <c r="P2386" s="2"/>
      <c r="Q2386" s="2"/>
      <c r="R2386" s="2"/>
      <c r="S2386" s="2"/>
      <c r="T2386" s="2" t="s">
        <v>20550</v>
      </c>
      <c r="U2386" s="2" t="s">
        <v>20551</v>
      </c>
      <c r="V2386" s="2" t="s">
        <v>845</v>
      </c>
      <c r="W2386" s="2" t="s">
        <v>846</v>
      </c>
      <c r="X2386" s="2" t="s">
        <v>11121</v>
      </c>
      <c r="Y2386" s="2" t="s">
        <v>847</v>
      </c>
      <c r="Z2386" s="2" t="s">
        <v>848</v>
      </c>
      <c r="AA2386" s="2" t="s">
        <v>11122</v>
      </c>
      <c r="AB2386" s="2" t="s">
        <v>8443</v>
      </c>
      <c r="AC2386" s="2">
        <v>36.79</v>
      </c>
      <c r="AD2386" s="2">
        <v>97.64</v>
      </c>
      <c r="AE2386" s="2">
        <v>43.64</v>
      </c>
      <c r="AF2386" s="2" t="s">
        <v>20552</v>
      </c>
      <c r="AG2386" s="2" t="s">
        <v>157</v>
      </c>
      <c r="AH2386" s="2" t="s">
        <v>20553</v>
      </c>
      <c r="AI2386" s="2">
        <v>9.77</v>
      </c>
      <c r="AJ2386" s="2">
        <v>24.010566162439101</v>
      </c>
      <c r="AK2386" s="2">
        <v>23.922040311855401</v>
      </c>
      <c r="AL2386" s="2">
        <v>23.7688130759804</v>
      </c>
      <c r="AM2386" s="2">
        <v>24.046209918479299</v>
      </c>
      <c r="AN2386" s="2">
        <v>23.8144921657601</v>
      </c>
      <c r="AO2386" s="2">
        <v>24.039708051997199</v>
      </c>
      <c r="AP2386" s="2">
        <v>23.9797280679072</v>
      </c>
      <c r="AQ2386" s="2">
        <v>23.902542760032201</v>
      </c>
      <c r="AR2386" s="2">
        <v>23.841292879216201</v>
      </c>
      <c r="AS2386" s="2">
        <v>22.8158451349865</v>
      </c>
      <c r="AT2386" s="2">
        <v>24.1665777810334</v>
      </c>
      <c r="AU2386" s="2">
        <v>24.001166068893699</v>
      </c>
      <c r="AV2386" s="2">
        <v>23.0029672433729</v>
      </c>
      <c r="AW2386" s="2">
        <v>24.705179748387</v>
      </c>
      <c r="AX2386" s="2">
        <v>22.391286141123899</v>
      </c>
      <c r="AY2386" s="2">
        <v>23.095324701489201</v>
      </c>
      <c r="AZ2386" s="2">
        <v>22.557700291614601</v>
      </c>
      <c r="BA2386" s="2">
        <v>24.494239283069899</v>
      </c>
      <c r="BB2386" s="2">
        <v>23.9802256057955</v>
      </c>
      <c r="BC2386" s="2">
        <v>24.2940521885102</v>
      </c>
      <c r="BD2386" s="2">
        <v>24.423016823252901</v>
      </c>
      <c r="BE2386" s="2">
        <v>23.115531478777999</v>
      </c>
      <c r="BF2386" s="2">
        <v>23.391200380796601</v>
      </c>
      <c r="BG2386" s="2">
        <v>23.4280869561534</v>
      </c>
      <c r="BH2386" s="2">
        <v>23.557164215336801</v>
      </c>
      <c r="BI2386" s="2">
        <v>23.195931841005901</v>
      </c>
      <c r="BJ2386" s="2">
        <v>25.821128250930201</v>
      </c>
      <c r="BK2386" s="2">
        <v>24.5248126440978</v>
      </c>
      <c r="BL2386" s="2">
        <v>23.731717774434198</v>
      </c>
      <c r="BM2386" s="2">
        <v>23.632973342895099</v>
      </c>
      <c r="BN2386" s="2">
        <v>24.642168881925102</v>
      </c>
      <c r="BO2386" s="2">
        <v>24.488664998226199</v>
      </c>
      <c r="BP2386" s="2">
        <v>20.838431849648</v>
      </c>
      <c r="BQ2386" s="2">
        <v>24.003945116470799</v>
      </c>
      <c r="BR2386" s="2">
        <v>23.063760527925499</v>
      </c>
      <c r="BS2386" s="2">
        <v>23.321868261570302</v>
      </c>
      <c r="BT2386" s="2">
        <v>25.784515726126799</v>
      </c>
      <c r="BU2386" s="2">
        <v>24.356135974244498</v>
      </c>
      <c r="BV2386" s="2">
        <v>23.769882673376699</v>
      </c>
      <c r="BW2386" s="2">
        <v>22.292730206861599</v>
      </c>
      <c r="BX2386" s="2">
        <v>23.994066833877</v>
      </c>
      <c r="BY2386" s="2">
        <v>23.3441095048662</v>
      </c>
      <c r="BZ2386" s="2">
        <v>22.029771167497699</v>
      </c>
      <c r="CA2386" s="2">
        <v>23.3671533298483</v>
      </c>
      <c r="CB2386" s="2">
        <v>22.041450875391</v>
      </c>
      <c r="CC2386" s="2">
        <v>23.997278544712898</v>
      </c>
      <c r="CD2386" s="2">
        <v>24.2759581660987</v>
      </c>
      <c r="CE2386" s="2">
        <v>24.2967237124112</v>
      </c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</row>
    <row r="2387" spans="1:97">
      <c r="A2387" s="2" t="s">
        <v>20554</v>
      </c>
      <c r="B2387" s="2">
        <v>265.04336000000001</v>
      </c>
      <c r="C2387" s="2">
        <v>1.1519999999999999</v>
      </c>
      <c r="D2387" s="2" t="s">
        <v>146</v>
      </c>
      <c r="E2387" s="2" t="s">
        <v>20555</v>
      </c>
      <c r="F2387" s="2" t="s">
        <v>20556</v>
      </c>
      <c r="G2387" s="2">
        <v>212201</v>
      </c>
      <c r="H2387" s="3" t="str">
        <f>HYPERLINK("https://cloud.oebiotech.com/#/lm/network/212201", "https://cloud.oebiotech.com/#/lm/network/212201")</f>
        <v>https://cloud.oebiotech.com/#/lm/network/212201</v>
      </c>
      <c r="I2387" s="2" t="s">
        <v>20557</v>
      </c>
      <c r="J2387" s="2">
        <v>447634</v>
      </c>
      <c r="K2387" s="2"/>
      <c r="L2387" s="2">
        <v>29566</v>
      </c>
      <c r="M2387" s="2"/>
      <c r="N2387" s="2"/>
      <c r="O2387" s="2"/>
      <c r="P2387" s="2"/>
      <c r="Q2387" s="2"/>
      <c r="R2387" s="2"/>
      <c r="S2387" s="2"/>
      <c r="T2387" s="2" t="s">
        <v>20558</v>
      </c>
      <c r="U2387" s="2" t="s">
        <v>20559</v>
      </c>
      <c r="V2387" s="2" t="s">
        <v>553</v>
      </c>
      <c r="W2387" s="2" t="s">
        <v>20560</v>
      </c>
      <c r="X2387" s="2" t="s">
        <v>375</v>
      </c>
      <c r="Y2387" s="2" t="s">
        <v>556</v>
      </c>
      <c r="Z2387" s="2" t="s">
        <v>20561</v>
      </c>
      <c r="AA2387" s="2"/>
      <c r="AB2387" s="2" t="s">
        <v>8443</v>
      </c>
      <c r="AC2387" s="2">
        <v>36.79</v>
      </c>
      <c r="AD2387" s="2">
        <v>88.4</v>
      </c>
      <c r="AE2387" s="2">
        <v>0</v>
      </c>
      <c r="AF2387" s="2" t="s">
        <v>5614</v>
      </c>
      <c r="AG2387" s="2" t="s">
        <v>993</v>
      </c>
      <c r="AH2387" s="2" t="s">
        <v>20562</v>
      </c>
      <c r="AI2387" s="2">
        <v>-1.89</v>
      </c>
      <c r="AJ2387" s="2">
        <v>17.965755486829099</v>
      </c>
      <c r="AK2387" s="2">
        <v>18.0063313387063</v>
      </c>
      <c r="AL2387" s="2">
        <v>18.230142431975501</v>
      </c>
      <c r="AM2387" s="2">
        <v>17.729859686061801</v>
      </c>
      <c r="AN2387" s="2">
        <v>17.9735440135183</v>
      </c>
      <c r="AO2387" s="2">
        <v>17.876678029725099</v>
      </c>
      <c r="AP2387" s="2">
        <v>18.0377990024935</v>
      </c>
      <c r="AQ2387" s="2">
        <v>18.109910722447701</v>
      </c>
      <c r="AR2387" s="2">
        <v>17.509242816526701</v>
      </c>
      <c r="AS2387" s="2">
        <v>16.6167801331313</v>
      </c>
      <c r="AT2387" s="2">
        <v>17.431963306861899</v>
      </c>
      <c r="AU2387" s="2">
        <v>18.230957759047001</v>
      </c>
      <c r="AV2387" s="2">
        <v>17.6323103251144</v>
      </c>
      <c r="AW2387" s="2">
        <v>17.690035154505502</v>
      </c>
      <c r="AX2387" s="2">
        <v>17.684552835896501</v>
      </c>
      <c r="AY2387" s="2">
        <v>17.980836652293402</v>
      </c>
      <c r="AZ2387" s="2">
        <v>18.003412499462598</v>
      </c>
      <c r="BA2387" s="2">
        <v>17.920235545599599</v>
      </c>
      <c r="BB2387" s="2">
        <v>18.2183389801055</v>
      </c>
      <c r="BC2387" s="2">
        <v>16.923556834898601</v>
      </c>
      <c r="BD2387" s="2">
        <v>17.008991080315401</v>
      </c>
      <c r="BE2387" s="2">
        <v>18.3297761955575</v>
      </c>
      <c r="BF2387" s="2">
        <v>18.029430669627999</v>
      </c>
      <c r="BG2387" s="2">
        <v>17.9606693839639</v>
      </c>
      <c r="BH2387" s="2">
        <v>18.441122825134698</v>
      </c>
      <c r="BI2387" s="2">
        <v>17.773061015682099</v>
      </c>
      <c r="BJ2387" s="2">
        <v>17.950904579868901</v>
      </c>
      <c r="BK2387" s="2">
        <v>17.848855005255601</v>
      </c>
      <c r="BL2387" s="2">
        <v>18.029482111378002</v>
      </c>
      <c r="BM2387" s="2">
        <v>18.863614497016801</v>
      </c>
      <c r="BN2387" s="2">
        <v>18.4631256405249</v>
      </c>
      <c r="BO2387" s="2">
        <v>18.099933745164201</v>
      </c>
      <c r="BP2387" s="2">
        <v>17.925751858161998</v>
      </c>
      <c r="BQ2387" s="2">
        <v>18.173882879376599</v>
      </c>
      <c r="BR2387" s="2">
        <v>17.458206011360801</v>
      </c>
      <c r="BS2387" s="2">
        <v>18.215055583524101</v>
      </c>
      <c r="BT2387" s="2">
        <v>17.2615134612108</v>
      </c>
      <c r="BU2387" s="2">
        <v>17.119296898211299</v>
      </c>
      <c r="BV2387" s="2">
        <v>18.174488667935702</v>
      </c>
      <c r="BW2387" s="2">
        <v>17.5715289083032</v>
      </c>
      <c r="BX2387" s="2">
        <v>18.283373131630398</v>
      </c>
      <c r="BY2387" s="2">
        <v>17.957906892373099</v>
      </c>
      <c r="BZ2387" s="2">
        <v>18.820965571056401</v>
      </c>
      <c r="CA2387" s="2">
        <v>18.166582228485598</v>
      </c>
      <c r="CB2387" s="2">
        <v>17.9385878358421</v>
      </c>
      <c r="CC2387" s="2">
        <v>17.724879250151599</v>
      </c>
      <c r="CD2387" s="2">
        <v>18.461706369333701</v>
      </c>
      <c r="CE2387" s="2">
        <v>17.7632054926218</v>
      </c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</row>
    <row r="2388" spans="1:97">
      <c r="A2388" s="2" t="s">
        <v>20563</v>
      </c>
      <c r="B2388" s="2">
        <v>511.22962000000001</v>
      </c>
      <c r="C2388" s="2">
        <v>8.7940000000000005</v>
      </c>
      <c r="D2388" s="2" t="s">
        <v>146</v>
      </c>
      <c r="E2388" s="2" t="s">
        <v>20564</v>
      </c>
      <c r="F2388" s="2" t="s">
        <v>20565</v>
      </c>
      <c r="G2388" s="2">
        <v>24868</v>
      </c>
      <c r="H2388" s="3" t="str">
        <f>HYPERLINK("https://cloud.oebiotech.com/#/lm/network/24868", "https://cloud.oebiotech.com/#/lm/network/24868")</f>
        <v>https://cloud.oebiotech.com/#/lm/network/24868</v>
      </c>
      <c r="I2388" s="2"/>
      <c r="J2388" s="2"/>
      <c r="K2388" s="2" t="s">
        <v>20566</v>
      </c>
      <c r="L2388" s="2">
        <v>42607492</v>
      </c>
      <c r="M2388" s="2"/>
      <c r="N2388" s="2"/>
      <c r="O2388" s="2"/>
      <c r="P2388" s="2"/>
      <c r="Q2388" s="2"/>
      <c r="R2388" s="2"/>
      <c r="S2388" s="2"/>
      <c r="T2388" s="2" t="s">
        <v>20567</v>
      </c>
      <c r="U2388" s="2" t="s">
        <v>20568</v>
      </c>
      <c r="V2388" s="2" t="s">
        <v>95</v>
      </c>
      <c r="W2388" s="2" t="s">
        <v>202</v>
      </c>
      <c r="X2388" s="2" t="s">
        <v>12415</v>
      </c>
      <c r="Y2388" s="2" t="s">
        <v>98</v>
      </c>
      <c r="Z2388" s="2" t="s">
        <v>204</v>
      </c>
      <c r="AA2388" s="2" t="s">
        <v>12416</v>
      </c>
      <c r="AB2388" s="2" t="s">
        <v>8443</v>
      </c>
      <c r="AC2388" s="2">
        <v>36.78</v>
      </c>
      <c r="AD2388" s="2">
        <v>90.65</v>
      </c>
      <c r="AE2388" s="2">
        <v>0</v>
      </c>
      <c r="AF2388" s="2" t="s">
        <v>20569</v>
      </c>
      <c r="AG2388" s="2" t="s">
        <v>993</v>
      </c>
      <c r="AH2388" s="2" t="s">
        <v>20570</v>
      </c>
      <c r="AI2388" s="2">
        <v>2.35</v>
      </c>
      <c r="AJ2388" s="2">
        <v>19.872472783613901</v>
      </c>
      <c r="AK2388" s="2">
        <v>19.8452897767365</v>
      </c>
      <c r="AL2388" s="2">
        <v>19.900489278459101</v>
      </c>
      <c r="AM2388" s="2">
        <v>20.0697656528049</v>
      </c>
      <c r="AN2388" s="2">
        <v>19.803081479534299</v>
      </c>
      <c r="AO2388" s="2">
        <v>19.782120789255</v>
      </c>
      <c r="AP2388" s="2">
        <v>19.929765473642401</v>
      </c>
      <c r="AQ2388" s="2">
        <v>19.783843945769299</v>
      </c>
      <c r="AR2388" s="2">
        <v>19.571290971063899</v>
      </c>
      <c r="AS2388" s="2">
        <v>19.4370750813728</v>
      </c>
      <c r="AT2388" s="2">
        <v>19.832291068711601</v>
      </c>
      <c r="AU2388" s="2">
        <v>19.565008149844299</v>
      </c>
      <c r="AV2388" s="2">
        <v>19.812352018228001</v>
      </c>
      <c r="AW2388" s="2">
        <v>19.746175870967701</v>
      </c>
      <c r="AX2388" s="2">
        <v>19.554863538756599</v>
      </c>
      <c r="AY2388" s="2">
        <v>19.816539725941901</v>
      </c>
      <c r="AZ2388" s="2">
        <v>19.7533377806052</v>
      </c>
      <c r="BA2388" s="2">
        <v>19.700220884578801</v>
      </c>
      <c r="BB2388" s="2">
        <v>19.745738374600801</v>
      </c>
      <c r="BC2388" s="2">
        <v>19.788542582090599</v>
      </c>
      <c r="BD2388" s="2">
        <v>19.760383221946</v>
      </c>
      <c r="BE2388" s="2">
        <v>19.846036853812802</v>
      </c>
      <c r="BF2388" s="2">
        <v>19.933125305972499</v>
      </c>
      <c r="BG2388" s="2">
        <v>19.7883977027677</v>
      </c>
      <c r="BH2388" s="2">
        <v>19.908768982106398</v>
      </c>
      <c r="BI2388" s="2">
        <v>19.3912482682085</v>
      </c>
      <c r="BJ2388" s="2">
        <v>19.795129428145</v>
      </c>
      <c r="BK2388" s="2">
        <v>19.6557633577007</v>
      </c>
      <c r="BL2388" s="2">
        <v>19.682685693543299</v>
      </c>
      <c r="BM2388" s="2">
        <v>19.643547875867199</v>
      </c>
      <c r="BN2388" s="2">
        <v>19.6399587000084</v>
      </c>
      <c r="BO2388" s="2">
        <v>19.925002501716701</v>
      </c>
      <c r="BP2388" s="2">
        <v>19.547850995766701</v>
      </c>
      <c r="BQ2388" s="2">
        <v>19.798761205930202</v>
      </c>
      <c r="BR2388" s="2">
        <v>19.6859007386245</v>
      </c>
      <c r="BS2388" s="2">
        <v>19.5174908738705</v>
      </c>
      <c r="BT2388" s="2">
        <v>19.646142067445801</v>
      </c>
      <c r="BU2388" s="2">
        <v>19.742116390725201</v>
      </c>
      <c r="BV2388" s="2">
        <v>19.845745525988502</v>
      </c>
      <c r="BW2388" s="2">
        <v>19.577232843681401</v>
      </c>
      <c r="BX2388" s="2">
        <v>19.6767220355086</v>
      </c>
      <c r="BY2388" s="2">
        <v>19.899805836434599</v>
      </c>
      <c r="BZ2388" s="2">
        <v>19.8043554792634</v>
      </c>
      <c r="CA2388" s="2">
        <v>19.821159703257798</v>
      </c>
      <c r="CB2388" s="2">
        <v>19.846070653768599</v>
      </c>
      <c r="CC2388" s="2">
        <v>19.839660525744002</v>
      </c>
      <c r="CD2388" s="2">
        <v>19.882170295027802</v>
      </c>
      <c r="CE2388" s="2">
        <v>19.7433820903486</v>
      </c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</row>
    <row r="2389" spans="1:97">
      <c r="A2389" s="2" t="s">
        <v>20571</v>
      </c>
      <c r="B2389" s="2">
        <v>376.31783999999999</v>
      </c>
      <c r="C2389" s="2">
        <v>11.997</v>
      </c>
      <c r="D2389" s="2" t="s">
        <v>84</v>
      </c>
      <c r="E2389" s="2" t="s">
        <v>20572</v>
      </c>
      <c r="F2389" s="2" t="s">
        <v>20573</v>
      </c>
      <c r="G2389" s="2">
        <v>8609</v>
      </c>
      <c r="H2389" s="3" t="str">
        <f>HYPERLINK("https://cloud.oebiotech.com/#/lm/network/8609", "https://cloud.oebiotech.com/#/lm/network/8609")</f>
        <v>https://cloud.oebiotech.com/#/lm/network/8609</v>
      </c>
      <c r="I2389" s="2"/>
      <c r="J2389" s="2">
        <v>36691</v>
      </c>
      <c r="K2389" s="2" t="s">
        <v>20574</v>
      </c>
      <c r="L2389" s="2">
        <v>5283404</v>
      </c>
      <c r="M2389" s="2"/>
      <c r="N2389" s="2"/>
      <c r="O2389" s="2"/>
      <c r="P2389" s="2">
        <v>137844</v>
      </c>
      <c r="Q2389" s="2"/>
      <c r="R2389" s="2"/>
      <c r="S2389" s="2"/>
      <c r="T2389" s="2" t="s">
        <v>20575</v>
      </c>
      <c r="U2389" s="2" t="s">
        <v>20576</v>
      </c>
      <c r="V2389" s="2" t="s">
        <v>95</v>
      </c>
      <c r="W2389" s="2" t="s">
        <v>96</v>
      </c>
      <c r="X2389" s="2" t="s">
        <v>315</v>
      </c>
      <c r="Y2389" s="2" t="s">
        <v>98</v>
      </c>
      <c r="Z2389" s="2" t="s">
        <v>99</v>
      </c>
      <c r="AA2389" s="2" t="s">
        <v>316</v>
      </c>
      <c r="AB2389" s="2" t="s">
        <v>8443</v>
      </c>
      <c r="AC2389" s="2">
        <v>36.78</v>
      </c>
      <c r="AD2389" s="2">
        <v>91.72</v>
      </c>
      <c r="AE2389" s="2">
        <v>0</v>
      </c>
      <c r="AF2389" s="2" t="s">
        <v>20577</v>
      </c>
      <c r="AG2389" s="2" t="s">
        <v>103</v>
      </c>
      <c r="AH2389" s="2" t="s">
        <v>20578</v>
      </c>
      <c r="AI2389" s="2">
        <v>8.5</v>
      </c>
      <c r="AJ2389" s="2">
        <v>20.943287694082901</v>
      </c>
      <c r="AK2389" s="2">
        <v>20.912867179784701</v>
      </c>
      <c r="AL2389" s="2">
        <v>20.598873190344399</v>
      </c>
      <c r="AM2389" s="2">
        <v>20.719458427720902</v>
      </c>
      <c r="AN2389" s="2">
        <v>20.796096089782701</v>
      </c>
      <c r="AO2389" s="2">
        <v>20.148862464896499</v>
      </c>
      <c r="AP2389" s="2">
        <v>20.475652536716598</v>
      </c>
      <c r="AQ2389" s="2">
        <v>20.616396667537099</v>
      </c>
      <c r="AR2389" s="2">
        <v>21.0033685272107</v>
      </c>
      <c r="AS2389" s="2">
        <v>20.459635721964499</v>
      </c>
      <c r="AT2389" s="2">
        <v>20.499053406927398</v>
      </c>
      <c r="AU2389" s="2">
        <v>19.299457100617499</v>
      </c>
      <c r="AV2389" s="2">
        <v>19.785013261211098</v>
      </c>
      <c r="AW2389" s="2">
        <v>20.147532868906598</v>
      </c>
      <c r="AX2389" s="2">
        <v>19.265197838101201</v>
      </c>
      <c r="AY2389" s="2">
        <v>19.737336907828801</v>
      </c>
      <c r="AZ2389" s="2">
        <v>20.215417973996502</v>
      </c>
      <c r="BA2389" s="2">
        <v>18.866973550254698</v>
      </c>
      <c r="BB2389" s="2">
        <v>20.581057461120199</v>
      </c>
      <c r="BC2389" s="2">
        <v>19.091986927225999</v>
      </c>
      <c r="BD2389" s="2">
        <v>19.934807906373202</v>
      </c>
      <c r="BE2389" s="2">
        <v>20.216579932094302</v>
      </c>
      <c r="BF2389" s="2">
        <v>19.3321050562121</v>
      </c>
      <c r="BG2389" s="2">
        <v>19.024967511588098</v>
      </c>
      <c r="BH2389" s="2">
        <v>18.620088025480001</v>
      </c>
      <c r="BI2389" s="2">
        <v>20.313631617158698</v>
      </c>
      <c r="BJ2389" s="2">
        <v>18.748160018991701</v>
      </c>
      <c r="BK2389" s="2">
        <v>19.148811224184701</v>
      </c>
      <c r="BL2389" s="2">
        <v>19.046582496279498</v>
      </c>
      <c r="BM2389" s="2">
        <v>19.166017429524299</v>
      </c>
      <c r="BN2389" s="2">
        <v>21.070819004320398</v>
      </c>
      <c r="BO2389" s="2">
        <v>20.218955092166301</v>
      </c>
      <c r="BP2389" s="2">
        <v>19.5715171503217</v>
      </c>
      <c r="BQ2389" s="2">
        <v>18.835853190610202</v>
      </c>
      <c r="BR2389" s="2">
        <v>20.224284753933301</v>
      </c>
      <c r="BS2389" s="2">
        <v>19.953794140702499</v>
      </c>
      <c r="BT2389" s="2">
        <v>19.171356385309899</v>
      </c>
      <c r="BU2389" s="2">
        <v>19.846832657063299</v>
      </c>
      <c r="BV2389" s="2">
        <v>19.789911478304401</v>
      </c>
      <c r="BW2389" s="2">
        <v>19.009651970209401</v>
      </c>
      <c r="BX2389" s="2">
        <v>18.901603188177901</v>
      </c>
      <c r="BY2389" s="2">
        <v>19.997284550474099</v>
      </c>
      <c r="BZ2389" s="2">
        <v>20.863634715991001</v>
      </c>
      <c r="CA2389" s="2">
        <v>19.2060661720759</v>
      </c>
      <c r="CB2389" s="2">
        <v>19.873177106195399</v>
      </c>
      <c r="CC2389" s="2">
        <v>18.450452249522002</v>
      </c>
      <c r="CD2389" s="2">
        <v>19.534762809542599</v>
      </c>
      <c r="CE2389" s="2">
        <v>19.142908276609301</v>
      </c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</row>
    <row r="2390" spans="1:97">
      <c r="A2390" s="2" t="s">
        <v>20579</v>
      </c>
      <c r="B2390" s="2">
        <v>434.17124999999999</v>
      </c>
      <c r="C2390" s="2">
        <v>13.304</v>
      </c>
      <c r="D2390" s="2" t="s">
        <v>84</v>
      </c>
      <c r="E2390" s="2" t="s">
        <v>20580</v>
      </c>
      <c r="F2390" s="2" t="s">
        <v>20581</v>
      </c>
      <c r="G2390" s="2">
        <v>208050</v>
      </c>
      <c r="H2390" s="3" t="str">
        <f>HYPERLINK("https://cloud.oebiotech.com/#/lm/network/208050", "https://cloud.oebiotech.com/#/lm/network/208050")</f>
        <v>https://cloud.oebiotech.com/#/lm/network/208050</v>
      </c>
      <c r="I2390" s="2" t="s">
        <v>20582</v>
      </c>
      <c r="J2390" s="2">
        <v>45586</v>
      </c>
      <c r="K2390" s="2"/>
      <c r="L2390" s="2">
        <v>46232606</v>
      </c>
      <c r="M2390" s="2"/>
      <c r="N2390" s="2"/>
      <c r="O2390" s="2"/>
      <c r="P2390" s="2"/>
      <c r="Q2390" s="2"/>
      <c r="R2390" s="2"/>
      <c r="S2390" s="2"/>
      <c r="T2390" s="2" t="s">
        <v>20583</v>
      </c>
      <c r="U2390" s="2" t="s">
        <v>20584</v>
      </c>
      <c r="V2390" s="2" t="s">
        <v>385</v>
      </c>
      <c r="W2390" s="2" t="s">
        <v>386</v>
      </c>
      <c r="X2390" s="2" t="s">
        <v>13298</v>
      </c>
      <c r="Y2390" s="2" t="s">
        <v>388</v>
      </c>
      <c r="Z2390" s="2" t="s">
        <v>389</v>
      </c>
      <c r="AA2390" s="2" t="s">
        <v>13299</v>
      </c>
      <c r="AB2390" s="2" t="s">
        <v>8443</v>
      </c>
      <c r="AC2390" s="2">
        <v>36.770000000000003</v>
      </c>
      <c r="AD2390" s="2">
        <v>83.86</v>
      </c>
      <c r="AE2390" s="2">
        <v>0</v>
      </c>
      <c r="AF2390" s="2" t="s">
        <v>5614</v>
      </c>
      <c r="AG2390" s="2" t="s">
        <v>103</v>
      </c>
      <c r="AH2390" s="2" t="s">
        <v>20585</v>
      </c>
      <c r="AI2390" s="2">
        <v>-0.23</v>
      </c>
      <c r="AJ2390" s="2">
        <v>18.725659987768999</v>
      </c>
      <c r="AK2390" s="2">
        <v>18.023376815592901</v>
      </c>
      <c r="AL2390" s="2">
        <v>17.5665842602195</v>
      </c>
      <c r="AM2390" s="2">
        <v>18.1377397022626</v>
      </c>
      <c r="AN2390" s="2">
        <v>17.811229360455702</v>
      </c>
      <c r="AO2390" s="2">
        <v>17.993635170334301</v>
      </c>
      <c r="AP2390" s="2">
        <v>18.217009330564299</v>
      </c>
      <c r="AQ2390" s="2">
        <v>17.666777738824901</v>
      </c>
      <c r="AR2390" s="2">
        <v>17.819527363270801</v>
      </c>
      <c r="AS2390" s="2">
        <v>17.074991560023701</v>
      </c>
      <c r="AT2390" s="2">
        <v>17.995516152124502</v>
      </c>
      <c r="AU2390" s="2">
        <v>17.927355872235999</v>
      </c>
      <c r="AV2390" s="2">
        <v>18.388663249731401</v>
      </c>
      <c r="AW2390" s="2">
        <v>18.2969702764678</v>
      </c>
      <c r="AX2390" s="2">
        <v>17.948145843321299</v>
      </c>
      <c r="AY2390" s="2">
        <v>17.490849936832699</v>
      </c>
      <c r="AZ2390" s="2">
        <v>17.869510286821701</v>
      </c>
      <c r="BA2390" s="2">
        <v>17.499433905453799</v>
      </c>
      <c r="BB2390" s="2">
        <v>18.222026096993002</v>
      </c>
      <c r="BC2390" s="2">
        <v>18.243128972947201</v>
      </c>
      <c r="BD2390" s="2">
        <v>16.795228600302899</v>
      </c>
      <c r="BE2390" s="2">
        <v>17.643547400267899</v>
      </c>
      <c r="BF2390" s="2">
        <v>17.725548394103299</v>
      </c>
      <c r="BG2390" s="2">
        <v>17.8937756431806</v>
      </c>
      <c r="BH2390" s="2">
        <v>18.0095881445103</v>
      </c>
      <c r="BI2390" s="2">
        <v>18.317808415524102</v>
      </c>
      <c r="BJ2390" s="2">
        <v>18.359323959470199</v>
      </c>
      <c r="BK2390" s="2">
        <v>17.729537104324699</v>
      </c>
      <c r="BL2390" s="2">
        <v>17.924110384928099</v>
      </c>
      <c r="BM2390" s="2">
        <v>17.570778946092801</v>
      </c>
      <c r="BN2390" s="2">
        <v>18.1751741410676</v>
      </c>
      <c r="BO2390" s="2">
        <v>18.532121352597098</v>
      </c>
      <c r="BP2390" s="2">
        <v>17.692851119011198</v>
      </c>
      <c r="BQ2390" s="2">
        <v>17.986037555464499</v>
      </c>
      <c r="BR2390" s="2">
        <v>17.0455461673263</v>
      </c>
      <c r="BS2390" s="2">
        <v>18.2349306049069</v>
      </c>
      <c r="BT2390" s="2">
        <v>18.156477410534698</v>
      </c>
      <c r="BU2390" s="2">
        <v>17.9930792451241</v>
      </c>
      <c r="BV2390" s="2">
        <v>17.5315412264899</v>
      </c>
      <c r="BW2390" s="2">
        <v>17.484652599256499</v>
      </c>
      <c r="BX2390" s="2">
        <v>17.607525665476398</v>
      </c>
      <c r="BY2390" s="2">
        <v>18.1590251191246</v>
      </c>
      <c r="BZ2390" s="2">
        <v>18.1628460825041</v>
      </c>
      <c r="CA2390" s="2">
        <v>18.343071915820101</v>
      </c>
      <c r="CB2390" s="2">
        <v>17.6863042278591</v>
      </c>
      <c r="CC2390" s="2">
        <v>17.812353632212101</v>
      </c>
      <c r="CD2390" s="2">
        <v>18.007094409711701</v>
      </c>
      <c r="CE2390" s="2">
        <v>18.1779546191975</v>
      </c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</row>
    <row r="2391" spans="1:97">
      <c r="A2391" s="2" t="s">
        <v>20586</v>
      </c>
      <c r="B2391" s="2">
        <v>409.33159000000001</v>
      </c>
      <c r="C2391" s="2">
        <v>13.673999999999999</v>
      </c>
      <c r="D2391" s="2" t="s">
        <v>146</v>
      </c>
      <c r="E2391" s="2" t="s">
        <v>20587</v>
      </c>
      <c r="F2391" s="2" t="s">
        <v>20588</v>
      </c>
      <c r="G2391" s="2">
        <v>113737</v>
      </c>
      <c r="H2391" s="3" t="str">
        <f>HYPERLINK("https://cloud.oebiotech.com/#/lm/network/113737", "https://cloud.oebiotech.com/#/lm/network/113737")</f>
        <v>https://cloud.oebiotech.com/#/lm/network/113737</v>
      </c>
      <c r="I2391" s="2" t="s">
        <v>20589</v>
      </c>
      <c r="J2391" s="2"/>
      <c r="K2391" s="2"/>
      <c r="L2391" s="2">
        <v>131799641</v>
      </c>
      <c r="M2391" s="2"/>
      <c r="N2391" s="2"/>
      <c r="O2391" s="2"/>
      <c r="P2391" s="2"/>
      <c r="Q2391" s="2"/>
      <c r="R2391" s="2"/>
      <c r="S2391" s="2"/>
      <c r="T2391" s="2" t="s">
        <v>20590</v>
      </c>
      <c r="U2391" s="2" t="s">
        <v>20591</v>
      </c>
      <c r="V2391" s="2" t="s">
        <v>95</v>
      </c>
      <c r="W2391" s="2" t="s">
        <v>7709</v>
      </c>
      <c r="X2391" s="2" t="s">
        <v>9387</v>
      </c>
      <c r="Y2391" s="2" t="s">
        <v>98</v>
      </c>
      <c r="Z2391" s="2" t="s">
        <v>7711</v>
      </c>
      <c r="AA2391" s="2" t="s">
        <v>9388</v>
      </c>
      <c r="AB2391" s="2" t="s">
        <v>8443</v>
      </c>
      <c r="AC2391" s="2">
        <v>36.770000000000003</v>
      </c>
      <c r="AD2391" s="2">
        <v>83.83</v>
      </c>
      <c r="AE2391" s="2">
        <v>0</v>
      </c>
      <c r="AF2391" s="2" t="s">
        <v>5614</v>
      </c>
      <c r="AG2391" s="2" t="s">
        <v>993</v>
      </c>
      <c r="AH2391" s="2" t="s">
        <v>20592</v>
      </c>
      <c r="AI2391" s="2">
        <v>0.49</v>
      </c>
      <c r="AJ2391" s="2">
        <v>18.0561835735807</v>
      </c>
      <c r="AK2391" s="2">
        <v>18.0941039811233</v>
      </c>
      <c r="AL2391" s="2">
        <v>17.871091736169099</v>
      </c>
      <c r="AM2391" s="2">
        <v>17.210256490297699</v>
      </c>
      <c r="AN2391" s="2">
        <v>18.297629520544099</v>
      </c>
      <c r="AO2391" s="2">
        <v>17.896287401776501</v>
      </c>
      <c r="AP2391" s="2">
        <v>18.370240794490702</v>
      </c>
      <c r="AQ2391" s="2">
        <v>17.730701841914801</v>
      </c>
      <c r="AR2391" s="2">
        <v>16.9807301269948</v>
      </c>
      <c r="AS2391" s="2">
        <v>16.736619275854199</v>
      </c>
      <c r="AT2391" s="2">
        <v>17.092460574350099</v>
      </c>
      <c r="AU2391" s="2">
        <v>16.383210171203199</v>
      </c>
      <c r="AV2391" s="2">
        <v>15.8409131207553</v>
      </c>
      <c r="AW2391" s="2">
        <v>17.548131786317398</v>
      </c>
      <c r="AX2391" s="2">
        <v>17.318234477656201</v>
      </c>
      <c r="AY2391" s="2">
        <v>17.8099672892609</v>
      </c>
      <c r="AZ2391" s="2">
        <v>16.902828123278599</v>
      </c>
      <c r="BA2391" s="2">
        <v>17.709565344226199</v>
      </c>
      <c r="BB2391" s="2">
        <v>17.211312557588901</v>
      </c>
      <c r="BC2391" s="2">
        <v>18.650392345030799</v>
      </c>
      <c r="BD2391" s="2">
        <v>16.881997804346799</v>
      </c>
      <c r="BE2391" s="2">
        <v>18.576851661138502</v>
      </c>
      <c r="BF2391" s="2">
        <v>15.7388103136996</v>
      </c>
      <c r="BG2391" s="2">
        <v>17.4969741269555</v>
      </c>
      <c r="BH2391" s="2">
        <v>17.328624618631402</v>
      </c>
      <c r="BI2391" s="2">
        <v>16.462061587726399</v>
      </c>
      <c r="BJ2391" s="2">
        <v>18.475613196092901</v>
      </c>
      <c r="BK2391" s="2">
        <v>16.332408995970901</v>
      </c>
      <c r="BL2391" s="2">
        <v>16.8045559555366</v>
      </c>
      <c r="BM2391" s="2">
        <v>17.511554470305001</v>
      </c>
      <c r="BN2391" s="2">
        <v>16.716206823432799</v>
      </c>
      <c r="BO2391" s="2">
        <v>16.162630499208198</v>
      </c>
      <c r="BP2391" s="2">
        <v>17.0385062296447</v>
      </c>
      <c r="BQ2391" s="2">
        <v>16.292025894589901</v>
      </c>
      <c r="BR2391" s="2">
        <v>16.8279808633255</v>
      </c>
      <c r="BS2391" s="2">
        <v>17.935209085484601</v>
      </c>
      <c r="BT2391" s="2">
        <v>17.4537152978329</v>
      </c>
      <c r="BU2391" s="2">
        <v>17.7039631033883</v>
      </c>
      <c r="BV2391" s="2">
        <v>17.4973501644055</v>
      </c>
      <c r="BW2391" s="2">
        <v>16.577534748460199</v>
      </c>
      <c r="BX2391" s="2">
        <v>17.958244965816199</v>
      </c>
      <c r="BY2391" s="2">
        <v>18.861362717491499</v>
      </c>
      <c r="BZ2391" s="2">
        <v>15.935369272651799</v>
      </c>
      <c r="CA2391" s="2">
        <v>17.0092365195216</v>
      </c>
      <c r="CB2391" s="2">
        <v>18.044127314367302</v>
      </c>
      <c r="CC2391" s="2">
        <v>16.7252109979156</v>
      </c>
      <c r="CD2391" s="2">
        <v>18.913834292894901</v>
      </c>
      <c r="CE2391" s="2">
        <v>17.851580575660901</v>
      </c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</row>
    <row r="2392" spans="1:97">
      <c r="A2392" s="2" t="s">
        <v>20593</v>
      </c>
      <c r="B2392" s="2">
        <v>396.19243</v>
      </c>
      <c r="C2392" s="2">
        <v>9.1620000000000008</v>
      </c>
      <c r="D2392" s="2" t="s">
        <v>146</v>
      </c>
      <c r="E2392" s="2" t="s">
        <v>20594</v>
      </c>
      <c r="F2392" s="2" t="s">
        <v>20595</v>
      </c>
      <c r="G2392" s="2">
        <v>204846</v>
      </c>
      <c r="H2392" s="3" t="str">
        <f>HYPERLINK("https://cloud.oebiotech.com/#/lm/network/204846", "https://cloud.oebiotech.com/#/lm/network/204846")</f>
        <v>https://cloud.oebiotech.com/#/lm/network/204846</v>
      </c>
      <c r="I2392" s="2" t="s">
        <v>20596</v>
      </c>
      <c r="J2392" s="2"/>
      <c r="K2392" s="2"/>
      <c r="L2392" s="2">
        <v>11537623</v>
      </c>
      <c r="M2392" s="2"/>
      <c r="N2392" s="2"/>
      <c r="O2392" s="2"/>
      <c r="P2392" s="2"/>
      <c r="Q2392" s="2"/>
      <c r="R2392" s="2"/>
      <c r="S2392" s="2"/>
      <c r="T2392" s="2" t="s">
        <v>20597</v>
      </c>
      <c r="U2392" s="2" t="s">
        <v>20598</v>
      </c>
      <c r="V2392" s="2" t="s">
        <v>385</v>
      </c>
      <c r="W2392" s="2" t="s">
        <v>386</v>
      </c>
      <c r="X2392" s="2" t="s">
        <v>7744</v>
      </c>
      <c r="Y2392" s="2" t="s">
        <v>388</v>
      </c>
      <c r="Z2392" s="2" t="s">
        <v>389</v>
      </c>
      <c r="AA2392" s="2" t="s">
        <v>7745</v>
      </c>
      <c r="AB2392" s="2" t="s">
        <v>8443</v>
      </c>
      <c r="AC2392" s="2">
        <v>36.770000000000003</v>
      </c>
      <c r="AD2392" s="2">
        <v>85.14</v>
      </c>
      <c r="AE2392" s="2">
        <v>0</v>
      </c>
      <c r="AF2392" s="2" t="s">
        <v>5614</v>
      </c>
      <c r="AG2392" s="2" t="s">
        <v>157</v>
      </c>
      <c r="AH2392" s="2" t="s">
        <v>20599</v>
      </c>
      <c r="AI2392" s="2">
        <v>1.26</v>
      </c>
      <c r="AJ2392" s="2">
        <v>18.986989094287399</v>
      </c>
      <c r="AK2392" s="2">
        <v>19.1524082441864</v>
      </c>
      <c r="AL2392" s="2">
        <v>19.240536546562399</v>
      </c>
      <c r="AM2392" s="2">
        <v>19.3043645803562</v>
      </c>
      <c r="AN2392" s="2">
        <v>19.371610057033902</v>
      </c>
      <c r="AO2392" s="2">
        <v>18.995560095239899</v>
      </c>
      <c r="AP2392" s="2">
        <v>19.251569992103299</v>
      </c>
      <c r="AQ2392" s="2">
        <v>18.806558432387298</v>
      </c>
      <c r="AR2392" s="2">
        <v>15.929752631986799</v>
      </c>
      <c r="AS2392" s="2">
        <v>15.6011431282892</v>
      </c>
      <c r="AT2392" s="2">
        <v>18.6137099822846</v>
      </c>
      <c r="AU2392" s="2">
        <v>17.650699217375099</v>
      </c>
      <c r="AV2392" s="2">
        <v>19.894247053280601</v>
      </c>
      <c r="AW2392" s="2">
        <v>20.0159950003783</v>
      </c>
      <c r="AX2392" s="2">
        <v>19.766606855996699</v>
      </c>
      <c r="AY2392" s="2">
        <v>19.791672397191402</v>
      </c>
      <c r="AZ2392" s="2">
        <v>19.3047668290526</v>
      </c>
      <c r="BA2392" s="2">
        <v>18.6364923990626</v>
      </c>
      <c r="BB2392" s="2">
        <v>19.031393187678301</v>
      </c>
      <c r="BC2392" s="2">
        <v>20.6399099171228</v>
      </c>
      <c r="BD2392" s="2">
        <v>18.310925674812999</v>
      </c>
      <c r="BE2392" s="2">
        <v>20.990521587702801</v>
      </c>
      <c r="BF2392" s="2">
        <v>17.2347362398224</v>
      </c>
      <c r="BG2392" s="2">
        <v>19.323248713273799</v>
      </c>
      <c r="BH2392" s="2">
        <v>19.790480612160401</v>
      </c>
      <c r="BI2392" s="2">
        <v>14.369748641396599</v>
      </c>
      <c r="BJ2392" s="2">
        <v>19.300090200657699</v>
      </c>
      <c r="BK2392" s="2">
        <v>19.720868774720099</v>
      </c>
      <c r="BL2392" s="2">
        <v>18.888392977369101</v>
      </c>
      <c r="BM2392" s="2">
        <v>18.208805181975102</v>
      </c>
      <c r="BN2392" s="2">
        <v>17.523123068543502</v>
      </c>
      <c r="BO2392" s="2">
        <v>18.763193495131699</v>
      </c>
      <c r="BP2392" s="2">
        <v>18.691042110534401</v>
      </c>
      <c r="BQ2392" s="2">
        <v>19.329853655695199</v>
      </c>
      <c r="BR2392" s="2">
        <v>20.026456441404001</v>
      </c>
      <c r="BS2392" s="2">
        <v>19.497443105880599</v>
      </c>
      <c r="BT2392" s="2">
        <v>18.933707365519801</v>
      </c>
      <c r="BU2392" s="2">
        <v>18.618010683824199</v>
      </c>
      <c r="BV2392" s="2">
        <v>16.738781424267401</v>
      </c>
      <c r="BW2392" s="2">
        <v>18.57789243058</v>
      </c>
      <c r="BX2392" s="2">
        <v>17.875446458760202</v>
      </c>
      <c r="BY2392" s="2">
        <v>20.914857227430701</v>
      </c>
      <c r="BZ2392" s="2">
        <v>17.5692777769085</v>
      </c>
      <c r="CA2392" s="2">
        <v>14.8390403731539</v>
      </c>
      <c r="CB2392" s="2">
        <v>19.120598875558802</v>
      </c>
      <c r="CC2392" s="2">
        <v>18.021907306105</v>
      </c>
      <c r="CD2392" s="2">
        <v>18.6549990059242</v>
      </c>
      <c r="CE2392" s="2">
        <v>18.862175212663299</v>
      </c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</row>
    <row r="2393" spans="1:97">
      <c r="A2393" s="2" t="s">
        <v>20600</v>
      </c>
      <c r="B2393" s="2">
        <v>271.14526000000001</v>
      </c>
      <c r="C2393" s="2">
        <v>10.188000000000001</v>
      </c>
      <c r="D2393" s="2" t="s">
        <v>84</v>
      </c>
      <c r="E2393" s="2" t="s">
        <v>20601</v>
      </c>
      <c r="F2393" s="2" t="s">
        <v>20602</v>
      </c>
      <c r="G2393" s="2">
        <v>61092</v>
      </c>
      <c r="H2393" s="3" t="str">
        <f>HYPERLINK("https://cloud.oebiotech.com/#/lm/network/61092", "https://cloud.oebiotech.com/#/lm/network/61092")</f>
        <v>https://cloud.oebiotech.com/#/lm/network/61092</v>
      </c>
      <c r="I2393" s="2" t="s">
        <v>20603</v>
      </c>
      <c r="J2393" s="2"/>
      <c r="K2393" s="2"/>
      <c r="L2393" s="2">
        <v>101133764</v>
      </c>
      <c r="M2393" s="2"/>
      <c r="N2393" s="2"/>
      <c r="O2393" s="2"/>
      <c r="P2393" s="2">
        <v>169694</v>
      </c>
      <c r="Q2393" s="2"/>
      <c r="R2393" s="2"/>
      <c r="S2393" s="2"/>
      <c r="T2393" s="2" t="s">
        <v>20604</v>
      </c>
      <c r="U2393" s="2" t="s">
        <v>20605</v>
      </c>
      <c r="V2393" s="2" t="s">
        <v>553</v>
      </c>
      <c r="W2393" s="2" t="s">
        <v>5641</v>
      </c>
      <c r="X2393" s="2" t="s">
        <v>375</v>
      </c>
      <c r="Y2393" s="2" t="s">
        <v>556</v>
      </c>
      <c r="Z2393" s="2" t="s">
        <v>5642</v>
      </c>
      <c r="AA2393" s="2"/>
      <c r="AB2393" s="2" t="s">
        <v>8443</v>
      </c>
      <c r="AC2393" s="2">
        <v>36.770000000000003</v>
      </c>
      <c r="AD2393" s="2">
        <v>89.9</v>
      </c>
      <c r="AE2393" s="2">
        <v>0</v>
      </c>
      <c r="AF2393" s="2" t="s">
        <v>5614</v>
      </c>
      <c r="AG2393" s="2" t="s">
        <v>1088</v>
      </c>
      <c r="AH2393" s="2" t="s">
        <v>20606</v>
      </c>
      <c r="AI2393" s="2">
        <v>-2.21</v>
      </c>
      <c r="AJ2393" s="2">
        <v>19.205740257286799</v>
      </c>
      <c r="AK2393" s="2">
        <v>19.052529843332099</v>
      </c>
      <c r="AL2393" s="2">
        <v>18.954529659907799</v>
      </c>
      <c r="AM2393" s="2">
        <v>19.221903695561501</v>
      </c>
      <c r="AN2393" s="2">
        <v>18.3477782724975</v>
      </c>
      <c r="AO2393" s="2">
        <v>19.0593503498594</v>
      </c>
      <c r="AP2393" s="2">
        <v>19.1241897091505</v>
      </c>
      <c r="AQ2393" s="2">
        <v>18.326270946282602</v>
      </c>
      <c r="AR2393" s="2">
        <v>19.288747705213201</v>
      </c>
      <c r="AS2393" s="2">
        <v>19.249956058320201</v>
      </c>
      <c r="AT2393" s="2">
        <v>19.158051894907</v>
      </c>
      <c r="AU2393" s="2">
        <v>18.007623392384598</v>
      </c>
      <c r="AV2393" s="2">
        <v>18.741975443896401</v>
      </c>
      <c r="AW2393" s="2">
        <v>18.4814159677919</v>
      </c>
      <c r="AX2393" s="2">
        <v>19.205504524984001</v>
      </c>
      <c r="AY2393" s="2">
        <v>19.389578280728099</v>
      </c>
      <c r="AZ2393" s="2">
        <v>19.096610417367401</v>
      </c>
      <c r="BA2393" s="2">
        <v>19.4891563452484</v>
      </c>
      <c r="BB2393" s="2">
        <v>19.491260853040899</v>
      </c>
      <c r="BC2393" s="2">
        <v>18.882426238387701</v>
      </c>
      <c r="BD2393" s="2">
        <v>19.254988470315801</v>
      </c>
      <c r="BE2393" s="2">
        <v>19.377802457121199</v>
      </c>
      <c r="BF2393" s="2">
        <v>19.3784181886687</v>
      </c>
      <c r="BG2393" s="2">
        <v>19.384141274944</v>
      </c>
      <c r="BH2393" s="2">
        <v>19.077424549022702</v>
      </c>
      <c r="BI2393" s="2">
        <v>18.456740908376599</v>
      </c>
      <c r="BJ2393" s="2">
        <v>19.0094164161269</v>
      </c>
      <c r="BK2393" s="2">
        <v>18.8582803818237</v>
      </c>
      <c r="BL2393" s="2">
        <v>19.1673200598166</v>
      </c>
      <c r="BM2393" s="2">
        <v>19.0327982799236</v>
      </c>
      <c r="BN2393" s="2">
        <v>18.643592599119302</v>
      </c>
      <c r="BO2393" s="2">
        <v>19.269345530179301</v>
      </c>
      <c r="BP2393" s="2">
        <v>19.228099464901501</v>
      </c>
      <c r="BQ2393" s="2">
        <v>19.045560884713701</v>
      </c>
      <c r="BR2393" s="2">
        <v>18.876254840751901</v>
      </c>
      <c r="BS2393" s="2">
        <v>19.207625516696599</v>
      </c>
      <c r="BT2393" s="2">
        <v>19.290068427019499</v>
      </c>
      <c r="BU2393" s="2">
        <v>19.521049011081001</v>
      </c>
      <c r="BV2393" s="2">
        <v>19.221457413343899</v>
      </c>
      <c r="BW2393" s="2">
        <v>19.272160529364101</v>
      </c>
      <c r="BX2393" s="2">
        <v>19.012523144906499</v>
      </c>
      <c r="BY2393" s="2">
        <v>19.3377284678851</v>
      </c>
      <c r="BZ2393" s="2">
        <v>19.124014354036099</v>
      </c>
      <c r="CA2393" s="2">
        <v>19.406893916002499</v>
      </c>
      <c r="CB2393" s="2">
        <v>19.502707844323599</v>
      </c>
      <c r="CC2393" s="2">
        <v>19.251015797632299</v>
      </c>
      <c r="CD2393" s="2">
        <v>18.5982786670561</v>
      </c>
      <c r="CE2393" s="2">
        <v>19.175272523122999</v>
      </c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</row>
    <row r="2394" spans="1:97">
      <c r="A2394" s="2" t="s">
        <v>20607</v>
      </c>
      <c r="B2394" s="2">
        <v>343.26274000000001</v>
      </c>
      <c r="C2394" s="2">
        <v>9.3320000000000007</v>
      </c>
      <c r="D2394" s="2" t="s">
        <v>84</v>
      </c>
      <c r="E2394" s="2" t="s">
        <v>20608</v>
      </c>
      <c r="F2394" s="2" t="s">
        <v>20609</v>
      </c>
      <c r="G2394" s="2">
        <v>1264</v>
      </c>
      <c r="H2394" s="3" t="str">
        <f>HYPERLINK("https://cloud.oebiotech.com/#/lm/network/1264", "https://cloud.oebiotech.com/#/lm/network/1264")</f>
        <v>https://cloud.oebiotech.com/#/lm/network/1264</v>
      </c>
      <c r="I2394" s="2"/>
      <c r="J2394" s="2">
        <v>74389</v>
      </c>
      <c r="K2394" s="2" t="s">
        <v>20610</v>
      </c>
      <c r="L2394" s="2">
        <v>44390819</v>
      </c>
      <c r="M2394" s="2"/>
      <c r="N2394" s="2"/>
      <c r="O2394" s="2"/>
      <c r="P2394" s="2"/>
      <c r="Q2394" s="2"/>
      <c r="R2394" s="2"/>
      <c r="S2394" s="2"/>
      <c r="T2394" s="2" t="s">
        <v>20611</v>
      </c>
      <c r="U2394" s="2" t="s">
        <v>20612</v>
      </c>
      <c r="V2394" s="2" t="s">
        <v>95</v>
      </c>
      <c r="W2394" s="2" t="s">
        <v>96</v>
      </c>
      <c r="X2394" s="2" t="s">
        <v>141</v>
      </c>
      <c r="Y2394" s="2" t="s">
        <v>98</v>
      </c>
      <c r="Z2394" s="2" t="s">
        <v>99</v>
      </c>
      <c r="AA2394" s="2" t="s">
        <v>142</v>
      </c>
      <c r="AB2394" s="2" t="s">
        <v>8443</v>
      </c>
      <c r="AC2394" s="2">
        <v>36.76</v>
      </c>
      <c r="AD2394" s="2">
        <v>86.1</v>
      </c>
      <c r="AE2394" s="2">
        <v>0</v>
      </c>
      <c r="AF2394" s="2" t="s">
        <v>20613</v>
      </c>
      <c r="AG2394" s="2" t="s">
        <v>103</v>
      </c>
      <c r="AH2394" s="2" t="s">
        <v>1866</v>
      </c>
      <c r="AI2394" s="2">
        <v>1.46</v>
      </c>
      <c r="AJ2394" s="2">
        <v>19.1916873017143</v>
      </c>
      <c r="AK2394" s="2">
        <v>19.055871767987401</v>
      </c>
      <c r="AL2394" s="2">
        <v>19.175259461140701</v>
      </c>
      <c r="AM2394" s="2">
        <v>19.4469735997314</v>
      </c>
      <c r="AN2394" s="2">
        <v>19.033639211061601</v>
      </c>
      <c r="AO2394" s="2">
        <v>19.1821503124843</v>
      </c>
      <c r="AP2394" s="2">
        <v>19.256903677013401</v>
      </c>
      <c r="AQ2394" s="2">
        <v>18.691821678481499</v>
      </c>
      <c r="AR2394" s="2">
        <v>17.7436247139226</v>
      </c>
      <c r="AS2394" s="2">
        <v>17.084499282853201</v>
      </c>
      <c r="AT2394" s="2">
        <v>18.564102216292302</v>
      </c>
      <c r="AU2394" s="2">
        <v>17.8986059926469</v>
      </c>
      <c r="AV2394" s="2">
        <v>18.938655541526799</v>
      </c>
      <c r="AW2394" s="2">
        <v>18.8075587238101</v>
      </c>
      <c r="AX2394" s="2">
        <v>16.264647297386201</v>
      </c>
      <c r="AY2394" s="2">
        <v>18.301416393348799</v>
      </c>
      <c r="AZ2394" s="2">
        <v>19.563791604492199</v>
      </c>
      <c r="BA2394" s="2">
        <v>20.0128500923587</v>
      </c>
      <c r="BB2394" s="2">
        <v>17.399774750181699</v>
      </c>
      <c r="BC2394" s="2">
        <v>19.386117472055101</v>
      </c>
      <c r="BD2394" s="2">
        <v>16.650684073373</v>
      </c>
      <c r="BE2394" s="2">
        <v>19.202235190567801</v>
      </c>
      <c r="BF2394" s="2">
        <v>17.836763067047499</v>
      </c>
      <c r="BG2394" s="2">
        <v>18.606587822596101</v>
      </c>
      <c r="BH2394" s="2">
        <v>18.029878054395599</v>
      </c>
      <c r="BI2394" s="2">
        <v>20.330472804153899</v>
      </c>
      <c r="BJ2394" s="2">
        <v>19.828763060306802</v>
      </c>
      <c r="BK2394" s="2">
        <v>19.065574646545901</v>
      </c>
      <c r="BL2394" s="2">
        <v>20.043309579876599</v>
      </c>
      <c r="BM2394" s="2">
        <v>19.224212802551001</v>
      </c>
      <c r="BN2394" s="2">
        <v>19.2876312707577</v>
      </c>
      <c r="BO2394" s="2">
        <v>17.843591773811202</v>
      </c>
      <c r="BP2394" s="2">
        <v>20.1823938077961</v>
      </c>
      <c r="BQ2394" s="2">
        <v>19.263220868838999</v>
      </c>
      <c r="BR2394" s="2">
        <v>17.4972183051106</v>
      </c>
      <c r="BS2394" s="2">
        <v>18.418786153099699</v>
      </c>
      <c r="BT2394" s="2">
        <v>18.591920869044799</v>
      </c>
      <c r="BU2394" s="2">
        <v>20.4503220246722</v>
      </c>
      <c r="BV2394" s="2">
        <v>18.591970854609698</v>
      </c>
      <c r="BW2394" s="2">
        <v>17.8726206579631</v>
      </c>
      <c r="BX2394" s="2">
        <v>17.242974680343401</v>
      </c>
      <c r="BY2394" s="2">
        <v>18.002332949171599</v>
      </c>
      <c r="BZ2394" s="2">
        <v>19.104602003842199</v>
      </c>
      <c r="CA2394" s="2">
        <v>18.5355136896228</v>
      </c>
      <c r="CB2394" s="2">
        <v>19.641738442792999</v>
      </c>
      <c r="CC2394" s="2">
        <v>19.676901570157</v>
      </c>
      <c r="CD2394" s="2">
        <v>20.3550754777471</v>
      </c>
      <c r="CE2394" s="2">
        <v>19.2483790728297</v>
      </c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</row>
    <row r="2395" spans="1:97">
      <c r="A2395" s="2" t="s">
        <v>20614</v>
      </c>
      <c r="B2395" s="2">
        <v>364.34147000000002</v>
      </c>
      <c r="C2395" s="2">
        <v>13.202999999999999</v>
      </c>
      <c r="D2395" s="2" t="s">
        <v>84</v>
      </c>
      <c r="E2395" s="2" t="s">
        <v>20615</v>
      </c>
      <c r="F2395" s="2" t="s">
        <v>20616</v>
      </c>
      <c r="G2395" s="2">
        <v>10467</v>
      </c>
      <c r="H2395" s="3" t="str">
        <f>HYPERLINK("https://cloud.oebiotech.com/#/lm/network/10467", "https://cloud.oebiotech.com/#/lm/network/10467")</f>
        <v>https://cloud.oebiotech.com/#/lm/network/10467</v>
      </c>
      <c r="I2395" s="2"/>
      <c r="J2395" s="2"/>
      <c r="K2395" s="2" t="s">
        <v>20617</v>
      </c>
      <c r="L2395" s="2">
        <v>14582682</v>
      </c>
      <c r="M2395" s="2"/>
      <c r="N2395" s="2"/>
      <c r="O2395" s="2"/>
      <c r="P2395" s="2"/>
      <c r="Q2395" s="2"/>
      <c r="R2395" s="2"/>
      <c r="S2395" s="2"/>
      <c r="T2395" s="2" t="s">
        <v>20618</v>
      </c>
      <c r="U2395" s="2" t="s">
        <v>20619</v>
      </c>
      <c r="V2395" s="2" t="s">
        <v>95</v>
      </c>
      <c r="W2395" s="2" t="s">
        <v>7709</v>
      </c>
      <c r="X2395" s="2" t="s">
        <v>7710</v>
      </c>
      <c r="Y2395" s="2" t="s">
        <v>98</v>
      </c>
      <c r="Z2395" s="2" t="s">
        <v>7711</v>
      </c>
      <c r="AA2395" s="2" t="s">
        <v>7712</v>
      </c>
      <c r="AB2395" s="2" t="s">
        <v>8443</v>
      </c>
      <c r="AC2395" s="2">
        <v>36.75</v>
      </c>
      <c r="AD2395" s="2">
        <v>86.99</v>
      </c>
      <c r="AE2395" s="2">
        <v>0</v>
      </c>
      <c r="AF2395" s="2" t="s">
        <v>20620</v>
      </c>
      <c r="AG2395" s="2" t="s">
        <v>132</v>
      </c>
      <c r="AH2395" s="2" t="s">
        <v>7713</v>
      </c>
      <c r="AI2395" s="2">
        <v>1.65</v>
      </c>
      <c r="AJ2395" s="2">
        <v>21.313950281283699</v>
      </c>
      <c r="AK2395" s="2">
        <v>20.186434739682401</v>
      </c>
      <c r="AL2395" s="2">
        <v>20.638142396538999</v>
      </c>
      <c r="AM2395" s="2">
        <v>20.540966131858301</v>
      </c>
      <c r="AN2395" s="2">
        <v>20.667641075292</v>
      </c>
      <c r="AO2395" s="2">
        <v>20.638145861993301</v>
      </c>
      <c r="AP2395" s="2">
        <v>20.573750760629299</v>
      </c>
      <c r="AQ2395" s="2">
        <v>20.7021199570401</v>
      </c>
      <c r="AR2395" s="2">
        <v>19.123623698827998</v>
      </c>
      <c r="AS2395" s="2">
        <v>20.601210735298601</v>
      </c>
      <c r="AT2395" s="2">
        <v>20.782756535853</v>
      </c>
      <c r="AU2395" s="2">
        <v>20.726216504269299</v>
      </c>
      <c r="AV2395" s="2">
        <v>19.2237721354165</v>
      </c>
      <c r="AW2395" s="2">
        <v>20.896504194481899</v>
      </c>
      <c r="AX2395" s="2">
        <v>20.410096830784099</v>
      </c>
      <c r="AY2395" s="2">
        <v>20.808780725893701</v>
      </c>
      <c r="AZ2395" s="2">
        <v>21.007537666941101</v>
      </c>
      <c r="BA2395" s="2">
        <v>20.7444453410276</v>
      </c>
      <c r="BB2395" s="2">
        <v>19.553289584971001</v>
      </c>
      <c r="BC2395" s="2">
        <v>20.152350184223501</v>
      </c>
      <c r="BD2395" s="2">
        <v>20.629533235381501</v>
      </c>
      <c r="BE2395" s="2">
        <v>19.939175904964301</v>
      </c>
      <c r="BF2395" s="2">
        <v>20.046061786256701</v>
      </c>
      <c r="BG2395" s="2">
        <v>19.713424677593501</v>
      </c>
      <c r="BH2395" s="2">
        <v>20.6020604595275</v>
      </c>
      <c r="BI2395" s="2">
        <v>20.613478964564901</v>
      </c>
      <c r="BJ2395" s="2">
        <v>20.392365506361099</v>
      </c>
      <c r="BK2395" s="2">
        <v>20.388465513509999</v>
      </c>
      <c r="BL2395" s="2">
        <v>20.552660964997401</v>
      </c>
      <c r="BM2395" s="2">
        <v>20.461123715715399</v>
      </c>
      <c r="BN2395" s="2">
        <v>20.9276206259497</v>
      </c>
      <c r="BO2395" s="2">
        <v>20.650365530479501</v>
      </c>
      <c r="BP2395" s="2">
        <v>20.590610001167398</v>
      </c>
      <c r="BQ2395" s="2">
        <v>20.235805029041799</v>
      </c>
      <c r="BR2395" s="2">
        <v>20.866835590373601</v>
      </c>
      <c r="BS2395" s="2">
        <v>20.5838218921145</v>
      </c>
      <c r="BT2395" s="2">
        <v>19.611593120544999</v>
      </c>
      <c r="BU2395" s="2">
        <v>20.730200318123799</v>
      </c>
      <c r="BV2395" s="2">
        <v>20.672984763336601</v>
      </c>
      <c r="BW2395" s="2">
        <v>20.400203556564701</v>
      </c>
      <c r="BX2395" s="2">
        <v>20.178443521662</v>
      </c>
      <c r="BY2395" s="2">
        <v>20.5585739911003</v>
      </c>
      <c r="BZ2395" s="2">
        <v>20.813568144720499</v>
      </c>
      <c r="CA2395" s="2">
        <v>20.695919310849799</v>
      </c>
      <c r="CB2395" s="2">
        <v>20.102205675975799</v>
      </c>
      <c r="CC2395" s="2">
        <v>19.6435069209051</v>
      </c>
      <c r="CD2395" s="2">
        <v>20.4199197207748</v>
      </c>
      <c r="CE2395" s="2">
        <v>20.452928602970601</v>
      </c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</row>
    <row r="2396" spans="1:97">
      <c r="A2396" s="2" t="s">
        <v>20621</v>
      </c>
      <c r="B2396" s="2">
        <v>505.26497000000001</v>
      </c>
      <c r="C2396" s="2">
        <v>6.36</v>
      </c>
      <c r="D2396" s="2" t="s">
        <v>146</v>
      </c>
      <c r="E2396" s="2" t="s">
        <v>20622</v>
      </c>
      <c r="F2396" s="2" t="s">
        <v>20623</v>
      </c>
      <c r="G2396" s="2">
        <v>10229</v>
      </c>
      <c r="H2396" s="3" t="str">
        <f>HYPERLINK("https://cloud.oebiotech.com/#/lm/network/10229", "https://cloud.oebiotech.com/#/lm/network/10229")</f>
        <v>https://cloud.oebiotech.com/#/lm/network/10229</v>
      </c>
      <c r="I2396" s="2" t="s">
        <v>20624</v>
      </c>
      <c r="J2396" s="2">
        <v>93048</v>
      </c>
      <c r="K2396" s="2" t="s">
        <v>20625</v>
      </c>
      <c r="L2396" s="2">
        <v>20979920</v>
      </c>
      <c r="M2396" s="2"/>
      <c r="N2396" s="2"/>
      <c r="O2396" s="2"/>
      <c r="P2396" s="2"/>
      <c r="Q2396" s="2"/>
      <c r="R2396" s="2"/>
      <c r="S2396" s="2" t="s">
        <v>20626</v>
      </c>
      <c r="T2396" s="2" t="s">
        <v>20627</v>
      </c>
      <c r="U2396" s="2" t="s">
        <v>20628</v>
      </c>
      <c r="V2396" s="2" t="s">
        <v>95</v>
      </c>
      <c r="W2396" s="2" t="s">
        <v>96</v>
      </c>
      <c r="X2396" s="2" t="s">
        <v>2173</v>
      </c>
      <c r="Y2396" s="2" t="s">
        <v>98</v>
      </c>
      <c r="Z2396" s="2" t="s">
        <v>99</v>
      </c>
      <c r="AA2396" s="2" t="s">
        <v>2174</v>
      </c>
      <c r="AB2396" s="2" t="s">
        <v>8443</v>
      </c>
      <c r="AC2396" s="2">
        <v>36.74</v>
      </c>
      <c r="AD2396" s="2">
        <v>83.72</v>
      </c>
      <c r="AE2396" s="2">
        <v>0</v>
      </c>
      <c r="AF2396" s="2" t="s">
        <v>20629</v>
      </c>
      <c r="AG2396" s="2" t="s">
        <v>194</v>
      </c>
      <c r="AH2396" s="2" t="s">
        <v>20630</v>
      </c>
      <c r="AI2396" s="2">
        <v>0.79</v>
      </c>
      <c r="AJ2396" s="2">
        <v>16.401986942445301</v>
      </c>
      <c r="AK2396" s="2">
        <v>16.5731141545055</v>
      </c>
      <c r="AL2396" s="2">
        <v>15.6707898360517</v>
      </c>
      <c r="AM2396" s="2">
        <v>15.9545119108524</v>
      </c>
      <c r="AN2396" s="2">
        <v>16.6820736832201</v>
      </c>
      <c r="AO2396" s="2">
        <v>16.486121509112699</v>
      </c>
      <c r="AP2396" s="2">
        <v>15.9826923877957</v>
      </c>
      <c r="AQ2396" s="2">
        <v>16.441520147134899</v>
      </c>
      <c r="AR2396" s="2">
        <v>17.402830293421498</v>
      </c>
      <c r="AS2396" s="2">
        <v>13.4639432253294</v>
      </c>
      <c r="AT2396" s="2">
        <v>11.575728316363801</v>
      </c>
      <c r="AU2396" s="2">
        <v>13.663751547580301</v>
      </c>
      <c r="AV2396" s="2">
        <v>16.329757804184698</v>
      </c>
      <c r="AW2396" s="2">
        <v>19.766419946639001</v>
      </c>
      <c r="AX2396" s="2">
        <v>13.4859751805327</v>
      </c>
      <c r="AY2396" s="2">
        <v>18.027747610120301</v>
      </c>
      <c r="AZ2396" s="2">
        <v>15.174926072502499</v>
      </c>
      <c r="BA2396" s="2">
        <v>14.519560701014001</v>
      </c>
      <c r="BB2396" s="2">
        <v>9.6233145402724691</v>
      </c>
      <c r="BC2396" s="2">
        <v>15.8458139349058</v>
      </c>
      <c r="BD2396" s="2">
        <v>15.754112931046601</v>
      </c>
      <c r="BE2396" s="2">
        <v>16.415080370477099</v>
      </c>
      <c r="BF2396" s="2">
        <v>17.0542122418166</v>
      </c>
      <c r="BG2396" s="2">
        <v>9.6233145402724691</v>
      </c>
      <c r="BH2396" s="2">
        <v>14.1532583012708</v>
      </c>
      <c r="BI2396" s="2">
        <v>9.6233145402724691</v>
      </c>
      <c r="BJ2396" s="2">
        <v>15.685626482137801</v>
      </c>
      <c r="BK2396" s="2">
        <v>15.443301016049499</v>
      </c>
      <c r="BL2396" s="2">
        <v>15.474449035581699</v>
      </c>
      <c r="BM2396" s="2">
        <v>15.7143295114167</v>
      </c>
      <c r="BN2396" s="2">
        <v>17.6563214368167</v>
      </c>
      <c r="BO2396" s="2">
        <v>9.6233145402724691</v>
      </c>
      <c r="BP2396" s="2">
        <v>11.4894315453821</v>
      </c>
      <c r="BQ2396" s="2">
        <v>15.242038619716199</v>
      </c>
      <c r="BR2396" s="2">
        <v>15.7791270864662</v>
      </c>
      <c r="BS2396" s="2">
        <v>18.6396513888584</v>
      </c>
      <c r="BT2396" s="2">
        <v>12.9718650350773</v>
      </c>
      <c r="BU2396" s="2">
        <v>16.787647918177498</v>
      </c>
      <c r="BV2396" s="2">
        <v>9.6233145402724691</v>
      </c>
      <c r="BW2396" s="2">
        <v>14.334149656355001</v>
      </c>
      <c r="BX2396" s="2">
        <v>16.305263235665599</v>
      </c>
      <c r="BY2396" s="2">
        <v>18.990114076740099</v>
      </c>
      <c r="BZ2396" s="2">
        <v>13.709237855543901</v>
      </c>
      <c r="CA2396" s="2">
        <v>15.4086325926634</v>
      </c>
      <c r="CB2396" s="2">
        <v>16.797054534185001</v>
      </c>
      <c r="CC2396" s="2">
        <v>13.873296067182199</v>
      </c>
      <c r="CD2396" s="2">
        <v>17.1851877806765</v>
      </c>
      <c r="CE2396" s="2">
        <v>14.142158923172</v>
      </c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</row>
    <row r="2397" spans="1:97">
      <c r="A2397" s="2" t="s">
        <v>20631</v>
      </c>
      <c r="B2397" s="2">
        <v>479.18876999999998</v>
      </c>
      <c r="C2397" s="2">
        <v>8.2530000000000001</v>
      </c>
      <c r="D2397" s="2" t="s">
        <v>84</v>
      </c>
      <c r="E2397" s="2" t="s">
        <v>20632</v>
      </c>
      <c r="F2397" s="2" t="s">
        <v>20633</v>
      </c>
      <c r="G2397" s="2">
        <v>213438</v>
      </c>
      <c r="H2397" s="3" t="str">
        <f>HYPERLINK("https://cloud.oebiotech.com/#/lm/network/213438", "https://cloud.oebiotech.com/#/lm/network/213438")</f>
        <v>https://cloud.oebiotech.com/#/lm/network/213438</v>
      </c>
      <c r="I2397" s="2" t="s">
        <v>20634</v>
      </c>
      <c r="J2397" s="2">
        <v>435159</v>
      </c>
      <c r="K2397" s="2"/>
      <c r="L2397" s="2">
        <v>153980</v>
      </c>
      <c r="M2397" s="2"/>
      <c r="N2397" s="2"/>
      <c r="O2397" s="2"/>
      <c r="P2397" s="2"/>
      <c r="Q2397" s="2"/>
      <c r="R2397" s="2"/>
      <c r="S2397" s="2"/>
      <c r="T2397" s="2" t="s">
        <v>20635</v>
      </c>
      <c r="U2397" s="2" t="s">
        <v>20636</v>
      </c>
      <c r="V2397" s="2" t="s">
        <v>553</v>
      </c>
      <c r="W2397" s="2" t="s">
        <v>1599</v>
      </c>
      <c r="X2397" s="2" t="s">
        <v>20637</v>
      </c>
      <c r="Y2397" s="2" t="s">
        <v>556</v>
      </c>
      <c r="Z2397" s="2" t="s">
        <v>1601</v>
      </c>
      <c r="AA2397" s="2" t="s">
        <v>20638</v>
      </c>
      <c r="AB2397" s="2" t="s">
        <v>8443</v>
      </c>
      <c r="AC2397" s="2">
        <v>36.729999999999997</v>
      </c>
      <c r="AD2397" s="2">
        <v>82.25</v>
      </c>
      <c r="AE2397" s="2">
        <v>0</v>
      </c>
      <c r="AF2397" s="2" t="s">
        <v>5614</v>
      </c>
      <c r="AG2397" s="2" t="s">
        <v>103</v>
      </c>
      <c r="AH2397" s="2" t="s">
        <v>20639</v>
      </c>
      <c r="AI2397" s="2">
        <v>7.72</v>
      </c>
      <c r="AJ2397" s="2">
        <v>19.541950145232999</v>
      </c>
      <c r="AK2397" s="2">
        <v>19.854677547783002</v>
      </c>
      <c r="AL2397" s="2">
        <v>19.507304041407401</v>
      </c>
      <c r="AM2397" s="2">
        <v>19.5462410465651</v>
      </c>
      <c r="AN2397" s="2">
        <v>19.617440363569099</v>
      </c>
      <c r="AO2397" s="2">
        <v>19.5507670543548</v>
      </c>
      <c r="AP2397" s="2">
        <v>18.906177554552499</v>
      </c>
      <c r="AQ2397" s="2">
        <v>19.274864201019302</v>
      </c>
      <c r="AR2397" s="2">
        <v>18.244736995367901</v>
      </c>
      <c r="AS2397" s="2">
        <v>17.097571809079302</v>
      </c>
      <c r="AT2397" s="2">
        <v>18.479286478912101</v>
      </c>
      <c r="AU2397" s="2">
        <v>18.2568815693181</v>
      </c>
      <c r="AV2397" s="2">
        <v>17.890207445555902</v>
      </c>
      <c r="AW2397" s="2">
        <v>18.2460479813146</v>
      </c>
      <c r="AX2397" s="2">
        <v>18.4839745235438</v>
      </c>
      <c r="AY2397" s="2">
        <v>18.8551162399758</v>
      </c>
      <c r="AZ2397" s="2">
        <v>18.170326428004199</v>
      </c>
      <c r="BA2397" s="2">
        <v>18.381254682475401</v>
      </c>
      <c r="BB2397" s="2">
        <v>18.9278007585946</v>
      </c>
      <c r="BC2397" s="2">
        <v>19.222150021401401</v>
      </c>
      <c r="BD2397" s="2">
        <v>18.9335163060898</v>
      </c>
      <c r="BE2397" s="2">
        <v>18.3071783024387</v>
      </c>
      <c r="BF2397" s="2">
        <v>18.931572493449298</v>
      </c>
      <c r="BG2397" s="2">
        <v>18.568978238480899</v>
      </c>
      <c r="BH2397" s="2">
        <v>19.117152965653901</v>
      </c>
      <c r="BI2397" s="2">
        <v>18.792684568693598</v>
      </c>
      <c r="BJ2397" s="2">
        <v>18.904751766505701</v>
      </c>
      <c r="BK2397" s="2">
        <v>19.0913875532807</v>
      </c>
      <c r="BL2397" s="2">
        <v>17.7344282132755</v>
      </c>
      <c r="BM2397" s="2">
        <v>18.409090895975702</v>
      </c>
      <c r="BN2397" s="2">
        <v>19.326048051061999</v>
      </c>
      <c r="BO2397" s="2">
        <v>18.209914605509901</v>
      </c>
      <c r="BP2397" s="2">
        <v>18.6718948764027</v>
      </c>
      <c r="BQ2397" s="2">
        <v>18.7734864100401</v>
      </c>
      <c r="BR2397" s="2">
        <v>18.854692581823802</v>
      </c>
      <c r="BS2397" s="2">
        <v>19.243786228933001</v>
      </c>
      <c r="BT2397" s="2">
        <v>19.018191836904101</v>
      </c>
      <c r="BU2397" s="2">
        <v>18.3975928757961</v>
      </c>
      <c r="BV2397" s="2">
        <v>19.508339724181699</v>
      </c>
      <c r="BW2397" s="2">
        <v>18.352181655601399</v>
      </c>
      <c r="BX2397" s="2">
        <v>19.1631766219596</v>
      </c>
      <c r="BY2397" s="2">
        <v>18.723269670437201</v>
      </c>
      <c r="BZ2397" s="2">
        <v>19.319261722977998</v>
      </c>
      <c r="CA2397" s="2">
        <v>19.514709065744299</v>
      </c>
      <c r="CB2397" s="2">
        <v>18.890696437650401</v>
      </c>
      <c r="CC2397" s="2">
        <v>18.172562823328199</v>
      </c>
      <c r="CD2397" s="2">
        <v>18.736629184399099</v>
      </c>
      <c r="CE2397" s="2">
        <v>18.559745910874799</v>
      </c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</row>
    <row r="2398" spans="1:97">
      <c r="A2398" s="2" t="s">
        <v>20640</v>
      </c>
      <c r="B2398" s="2">
        <v>403.32011999999997</v>
      </c>
      <c r="C2398" s="2">
        <v>7.2279999999999998</v>
      </c>
      <c r="D2398" s="2" t="s">
        <v>84</v>
      </c>
      <c r="E2398" s="2" t="s">
        <v>20641</v>
      </c>
      <c r="F2398" s="2" t="s">
        <v>20642</v>
      </c>
      <c r="G2398" s="2">
        <v>207654</v>
      </c>
      <c r="H2398" s="3" t="str">
        <f>HYPERLINK("https://cloud.oebiotech.com/#/lm/network/207654", "https://cloud.oebiotech.com/#/lm/network/207654")</f>
        <v>https://cloud.oebiotech.com/#/lm/network/207654</v>
      </c>
      <c r="I2398" s="2" t="s">
        <v>20643</v>
      </c>
      <c r="J2398" s="2"/>
      <c r="K2398" s="2"/>
      <c r="L2398" s="2">
        <v>129849063</v>
      </c>
      <c r="M2398" s="2"/>
      <c r="N2398" s="2"/>
      <c r="O2398" s="2"/>
      <c r="P2398" s="2"/>
      <c r="Q2398" s="2"/>
      <c r="R2398" s="2"/>
      <c r="S2398" s="2"/>
      <c r="T2398" s="2" t="s">
        <v>20644</v>
      </c>
      <c r="U2398" s="2" t="s">
        <v>20645</v>
      </c>
      <c r="V2398" s="2" t="s">
        <v>95</v>
      </c>
      <c r="W2398" s="2" t="s">
        <v>96</v>
      </c>
      <c r="X2398" s="2" t="s">
        <v>141</v>
      </c>
      <c r="Y2398" s="2" t="s">
        <v>98</v>
      </c>
      <c r="Z2398" s="2" t="s">
        <v>99</v>
      </c>
      <c r="AA2398" s="2" t="s">
        <v>142</v>
      </c>
      <c r="AB2398" s="2" t="s">
        <v>8443</v>
      </c>
      <c r="AC2398" s="2">
        <v>36.729999999999997</v>
      </c>
      <c r="AD2398" s="2">
        <v>85.88</v>
      </c>
      <c r="AE2398" s="2">
        <v>0</v>
      </c>
      <c r="AF2398" s="2" t="s">
        <v>5614</v>
      </c>
      <c r="AG2398" s="2" t="s">
        <v>132</v>
      </c>
      <c r="AH2398" s="2" t="s">
        <v>4619</v>
      </c>
      <c r="AI2398" s="2">
        <v>-8.68</v>
      </c>
      <c r="AJ2398" s="2">
        <v>17.6043152649601</v>
      </c>
      <c r="AK2398" s="2">
        <v>17.698194327312098</v>
      </c>
      <c r="AL2398" s="2">
        <v>17.6662225462353</v>
      </c>
      <c r="AM2398" s="2">
        <v>17.9153008920674</v>
      </c>
      <c r="AN2398" s="2">
        <v>17.856657800655899</v>
      </c>
      <c r="AO2398" s="2">
        <v>17.354271510584802</v>
      </c>
      <c r="AP2398" s="2">
        <v>17.918762923726302</v>
      </c>
      <c r="AQ2398" s="2">
        <v>17.897538363869501</v>
      </c>
      <c r="AR2398" s="2">
        <v>17.312130203354499</v>
      </c>
      <c r="AS2398" s="2">
        <v>14.981564160341399</v>
      </c>
      <c r="AT2398" s="2">
        <v>17.3340264534068</v>
      </c>
      <c r="AU2398" s="2">
        <v>16.3070515288819</v>
      </c>
      <c r="AV2398" s="2">
        <v>17.828356432790901</v>
      </c>
      <c r="AW2398" s="2">
        <v>18.3613297302951</v>
      </c>
      <c r="AX2398" s="2">
        <v>17.4684274820554</v>
      </c>
      <c r="AY2398" s="2">
        <v>17.739829713826399</v>
      </c>
      <c r="AZ2398" s="2">
        <v>17.229355092983099</v>
      </c>
      <c r="BA2398" s="2">
        <v>18.0649399684246</v>
      </c>
      <c r="BB2398" s="2">
        <v>16.465218984920899</v>
      </c>
      <c r="BC2398" s="2">
        <v>17.920091178039499</v>
      </c>
      <c r="BD2398" s="2">
        <v>16.504718607367401</v>
      </c>
      <c r="BE2398" s="2">
        <v>18.327459007959199</v>
      </c>
      <c r="BF2398" s="2">
        <v>17.023104253504201</v>
      </c>
      <c r="BG2398" s="2">
        <v>17.714256453231599</v>
      </c>
      <c r="BH2398" s="2">
        <v>16.9596945480654</v>
      </c>
      <c r="BI2398" s="2">
        <v>18.2475702435027</v>
      </c>
      <c r="BJ2398" s="2">
        <v>17.546172962121801</v>
      </c>
      <c r="BK2398" s="2">
        <v>17.750306916241399</v>
      </c>
      <c r="BL2398" s="2">
        <v>15.9059378769542</v>
      </c>
      <c r="BM2398" s="2">
        <v>13.9053578574699</v>
      </c>
      <c r="BN2398" s="2">
        <v>18.176791365997001</v>
      </c>
      <c r="BO2398" s="2">
        <v>15.946807606527999</v>
      </c>
      <c r="BP2398" s="2">
        <v>17.832247099474198</v>
      </c>
      <c r="BQ2398" s="2">
        <v>17.418086403273701</v>
      </c>
      <c r="BR2398" s="2">
        <v>17.500653082866599</v>
      </c>
      <c r="BS2398" s="2">
        <v>18.1130081400817</v>
      </c>
      <c r="BT2398" s="2">
        <v>16.967442205545598</v>
      </c>
      <c r="BU2398" s="2">
        <v>18.107935107306101</v>
      </c>
      <c r="BV2398" s="2">
        <v>16.890271046764301</v>
      </c>
      <c r="BW2398" s="2">
        <v>16.875975114760699</v>
      </c>
      <c r="BX2398" s="2">
        <v>16.672212336458301</v>
      </c>
      <c r="BY2398" s="2">
        <v>18.9694381536554</v>
      </c>
      <c r="BZ2398" s="2">
        <v>18.048100424077901</v>
      </c>
      <c r="CA2398" s="2">
        <v>17.1478116850014</v>
      </c>
      <c r="CB2398" s="2">
        <v>17.249102987357599</v>
      </c>
      <c r="CC2398" s="2">
        <v>18.2413991424594</v>
      </c>
      <c r="CD2398" s="2">
        <v>18.074362161985</v>
      </c>
      <c r="CE2398" s="2">
        <v>17.596568466305701</v>
      </c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</row>
    <row r="2399" spans="1:97">
      <c r="A2399" s="2" t="s">
        <v>20646</v>
      </c>
      <c r="B2399" s="2">
        <v>422.18141000000003</v>
      </c>
      <c r="C2399" s="2">
        <v>6.29</v>
      </c>
      <c r="D2399" s="2" t="s">
        <v>146</v>
      </c>
      <c r="E2399" s="2" t="s">
        <v>20647</v>
      </c>
      <c r="F2399" s="2" t="s">
        <v>20648</v>
      </c>
      <c r="G2399" s="2">
        <v>202896</v>
      </c>
      <c r="H2399" s="3" t="str">
        <f>HYPERLINK("https://cloud.oebiotech.com/#/lm/network/202896", "https://cloud.oebiotech.com/#/lm/network/202896")</f>
        <v>https://cloud.oebiotech.com/#/lm/network/202896</v>
      </c>
      <c r="I2399" s="2" t="s">
        <v>20649</v>
      </c>
      <c r="J2399" s="2"/>
      <c r="K2399" s="2"/>
      <c r="L2399" s="2">
        <v>5271</v>
      </c>
      <c r="M2399" s="2"/>
      <c r="N2399" s="2"/>
      <c r="O2399" s="2"/>
      <c r="P2399" s="2">
        <v>91956</v>
      </c>
      <c r="Q2399" s="2"/>
      <c r="R2399" s="2"/>
      <c r="S2399" s="2"/>
      <c r="T2399" s="2" t="s">
        <v>20650</v>
      </c>
      <c r="U2399" s="2" t="s">
        <v>20651</v>
      </c>
      <c r="V2399" s="2" t="s">
        <v>385</v>
      </c>
      <c r="W2399" s="2" t="s">
        <v>386</v>
      </c>
      <c r="X2399" s="2" t="s">
        <v>14500</v>
      </c>
      <c r="Y2399" s="2" t="s">
        <v>388</v>
      </c>
      <c r="Z2399" s="2" t="s">
        <v>389</v>
      </c>
      <c r="AA2399" s="2" t="s">
        <v>14501</v>
      </c>
      <c r="AB2399" s="2" t="s">
        <v>5118</v>
      </c>
      <c r="AC2399" s="2">
        <v>36.72</v>
      </c>
      <c r="AD2399" s="2">
        <v>75.569999999999993</v>
      </c>
      <c r="AE2399" s="2">
        <v>65.02</v>
      </c>
      <c r="AF2399" s="2" t="s">
        <v>20652</v>
      </c>
      <c r="AG2399" s="2" t="s">
        <v>4062</v>
      </c>
      <c r="AH2399" s="2" t="s">
        <v>20653</v>
      </c>
      <c r="AI2399" s="2">
        <v>9</v>
      </c>
      <c r="AJ2399" s="2">
        <v>19.2288408097718</v>
      </c>
      <c r="AK2399" s="2">
        <v>19.5390715865638</v>
      </c>
      <c r="AL2399" s="2">
        <v>19.551893403663801</v>
      </c>
      <c r="AM2399" s="2">
        <v>19.580622051880201</v>
      </c>
      <c r="AN2399" s="2">
        <v>19.410694515823199</v>
      </c>
      <c r="AO2399" s="2">
        <v>19.629975932646602</v>
      </c>
      <c r="AP2399" s="2">
        <v>19.605846974210799</v>
      </c>
      <c r="AQ2399" s="2">
        <v>19.6319427121561</v>
      </c>
      <c r="AR2399" s="2">
        <v>18.210262626927101</v>
      </c>
      <c r="AS2399" s="2">
        <v>18.094702820497599</v>
      </c>
      <c r="AT2399" s="2">
        <v>20.016210300125</v>
      </c>
      <c r="AU2399" s="2">
        <v>17.486250143408899</v>
      </c>
      <c r="AV2399" s="2">
        <v>19.219764288277101</v>
      </c>
      <c r="AW2399" s="2">
        <v>19.445199019645202</v>
      </c>
      <c r="AX2399" s="2">
        <v>19.726211089954798</v>
      </c>
      <c r="AY2399" s="2">
        <v>18.678817119817001</v>
      </c>
      <c r="AZ2399" s="2">
        <v>19.5040139453513</v>
      </c>
      <c r="BA2399" s="2">
        <v>18.901413220972199</v>
      </c>
      <c r="BB2399" s="2">
        <v>19.746986670272101</v>
      </c>
      <c r="BC2399" s="2">
        <v>20.6693412063849</v>
      </c>
      <c r="BD2399" s="2">
        <v>18.8066271831355</v>
      </c>
      <c r="BE2399" s="2">
        <v>20.101166894802699</v>
      </c>
      <c r="BF2399" s="2">
        <v>14.6209025151667</v>
      </c>
      <c r="BG2399" s="2">
        <v>20.245580338180101</v>
      </c>
      <c r="BH2399" s="2">
        <v>19.432987026151501</v>
      </c>
      <c r="BI2399" s="2">
        <v>17.721337543817</v>
      </c>
      <c r="BJ2399" s="2">
        <v>19.889557955923699</v>
      </c>
      <c r="BK2399" s="2">
        <v>19.3191775384857</v>
      </c>
      <c r="BL2399" s="2">
        <v>20.282908918610701</v>
      </c>
      <c r="BM2399" s="2">
        <v>19.556178082831799</v>
      </c>
      <c r="BN2399" s="2">
        <v>19.578691677076701</v>
      </c>
      <c r="BO2399" s="2">
        <v>18.828650006954899</v>
      </c>
      <c r="BP2399" s="2">
        <v>20.1374646989258</v>
      </c>
      <c r="BQ2399" s="2">
        <v>20.0211502557537</v>
      </c>
      <c r="BR2399" s="2">
        <v>19.4560280390351</v>
      </c>
      <c r="BS2399" s="2">
        <v>17.596972838217699</v>
      </c>
      <c r="BT2399" s="2">
        <v>19.8584112927456</v>
      </c>
      <c r="BU2399" s="2">
        <v>19.183380548810099</v>
      </c>
      <c r="BV2399" s="2">
        <v>19.637225765712799</v>
      </c>
      <c r="BW2399" s="2">
        <v>19.4511327960013</v>
      </c>
      <c r="BX2399" s="2">
        <v>19.1800891241685</v>
      </c>
      <c r="BY2399" s="2">
        <v>20.3725650730869</v>
      </c>
      <c r="BZ2399" s="2">
        <v>19.606976243576899</v>
      </c>
      <c r="CA2399" s="2">
        <v>14.9669893332913</v>
      </c>
      <c r="CB2399" s="2">
        <v>19.624191678525801</v>
      </c>
      <c r="CC2399" s="2">
        <v>19.7235011178627</v>
      </c>
      <c r="CD2399" s="2">
        <v>20.242369441072999</v>
      </c>
      <c r="CE2399" s="2">
        <v>20.162960916007801</v>
      </c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</row>
    <row r="2400" spans="1:97">
      <c r="A2400" s="2" t="s">
        <v>20654</v>
      </c>
      <c r="B2400" s="2">
        <v>287.23638999999997</v>
      </c>
      <c r="C2400" s="2">
        <v>7.8719999999999999</v>
      </c>
      <c r="D2400" s="2" t="s">
        <v>84</v>
      </c>
      <c r="E2400" s="2" t="s">
        <v>20655</v>
      </c>
      <c r="F2400" s="2" t="s">
        <v>20656</v>
      </c>
      <c r="G2400" s="2">
        <v>35893</v>
      </c>
      <c r="H2400" s="3" t="str">
        <f>HYPERLINK("https://cloud.oebiotech.com/#/lm/network/35893", "https://cloud.oebiotech.com/#/lm/network/35893")</f>
        <v>https://cloud.oebiotech.com/#/lm/network/35893</v>
      </c>
      <c r="I2400" s="2"/>
      <c r="J2400" s="2">
        <v>53587</v>
      </c>
      <c r="K2400" s="2" t="s">
        <v>20657</v>
      </c>
      <c r="L2400" s="2">
        <v>42608207</v>
      </c>
      <c r="M2400" s="2"/>
      <c r="N2400" s="2"/>
      <c r="O2400" s="2"/>
      <c r="P2400" s="2"/>
      <c r="Q2400" s="2"/>
      <c r="R2400" s="2"/>
      <c r="S2400" s="2"/>
      <c r="T2400" s="2" t="s">
        <v>20658</v>
      </c>
      <c r="U2400" s="2" t="s">
        <v>20659</v>
      </c>
      <c r="V2400" s="2" t="s">
        <v>95</v>
      </c>
      <c r="W2400" s="2" t="s">
        <v>180</v>
      </c>
      <c r="X2400" s="2" t="s">
        <v>181</v>
      </c>
      <c r="Y2400" s="2" t="s">
        <v>98</v>
      </c>
      <c r="Z2400" s="2" t="s">
        <v>182</v>
      </c>
      <c r="AA2400" s="2" t="s">
        <v>183</v>
      </c>
      <c r="AB2400" s="2" t="s">
        <v>8443</v>
      </c>
      <c r="AC2400" s="2">
        <v>36.72</v>
      </c>
      <c r="AD2400" s="2">
        <v>87.28</v>
      </c>
      <c r="AE2400" s="2">
        <v>0</v>
      </c>
      <c r="AF2400" s="2" t="s">
        <v>5614</v>
      </c>
      <c r="AG2400" s="2" t="s">
        <v>103</v>
      </c>
      <c r="AH2400" s="2" t="s">
        <v>1089</v>
      </c>
      <c r="AI2400" s="2">
        <v>1.74</v>
      </c>
      <c r="AJ2400" s="2">
        <v>17.590449042329599</v>
      </c>
      <c r="AK2400" s="2">
        <v>17.951933906883902</v>
      </c>
      <c r="AL2400" s="2">
        <v>17.876891600540301</v>
      </c>
      <c r="AM2400" s="2">
        <v>17.684171531083202</v>
      </c>
      <c r="AN2400" s="2">
        <v>17.2908857014829</v>
      </c>
      <c r="AO2400" s="2">
        <v>17.8283442831797</v>
      </c>
      <c r="AP2400" s="2">
        <v>17.178784072253102</v>
      </c>
      <c r="AQ2400" s="2">
        <v>17.4533972469399</v>
      </c>
      <c r="AR2400" s="2">
        <v>16.735777461663002</v>
      </c>
      <c r="AS2400" s="2">
        <v>16.2856250939837</v>
      </c>
      <c r="AT2400" s="2">
        <v>17.2162517414632</v>
      </c>
      <c r="AU2400" s="2">
        <v>17.2855934889911</v>
      </c>
      <c r="AV2400" s="2">
        <v>17.822086299609602</v>
      </c>
      <c r="AW2400" s="2">
        <v>18.6610135159106</v>
      </c>
      <c r="AX2400" s="2">
        <v>16.209623373384002</v>
      </c>
      <c r="AY2400" s="2">
        <v>18.255161289148798</v>
      </c>
      <c r="AZ2400" s="2">
        <v>16.2954340815667</v>
      </c>
      <c r="BA2400" s="2">
        <v>17.987088828143499</v>
      </c>
      <c r="BB2400" s="2">
        <v>17.288570167365599</v>
      </c>
      <c r="BC2400" s="2">
        <v>18.530741267266599</v>
      </c>
      <c r="BD2400" s="2">
        <v>16.391161005394999</v>
      </c>
      <c r="BE2400" s="2">
        <v>17.539696585607999</v>
      </c>
      <c r="BF2400" s="2">
        <v>16.384129762674501</v>
      </c>
      <c r="BG2400" s="2">
        <v>17.9651799168312</v>
      </c>
      <c r="BH2400" s="2">
        <v>17.0854781647202</v>
      </c>
      <c r="BI2400" s="2">
        <v>18.264440721716198</v>
      </c>
      <c r="BJ2400" s="2">
        <v>17.7289991085384</v>
      </c>
      <c r="BK2400" s="2">
        <v>17.943298512579101</v>
      </c>
      <c r="BL2400" s="2">
        <v>16.0624307151637</v>
      </c>
      <c r="BM2400" s="2">
        <v>17.609973410033</v>
      </c>
      <c r="BN2400" s="2">
        <v>18.082511354035098</v>
      </c>
      <c r="BO2400" s="2">
        <v>17.0137690842671</v>
      </c>
      <c r="BP2400" s="2">
        <v>17.7657495589572</v>
      </c>
      <c r="BQ2400" s="2">
        <v>17.630471482868501</v>
      </c>
      <c r="BR2400" s="2">
        <v>17.474429388599201</v>
      </c>
      <c r="BS2400" s="2">
        <v>18.394359442692501</v>
      </c>
      <c r="BT2400" s="2">
        <v>17.115921082392699</v>
      </c>
      <c r="BU2400" s="2">
        <v>17.6119515510619</v>
      </c>
      <c r="BV2400" s="2">
        <v>18.137170226653101</v>
      </c>
      <c r="BW2400" s="2">
        <v>16.824346469313099</v>
      </c>
      <c r="BX2400" s="2">
        <v>16.567798806669199</v>
      </c>
      <c r="BY2400" s="2">
        <v>18.024748321417398</v>
      </c>
      <c r="BZ2400" s="2">
        <v>16.768356870174301</v>
      </c>
      <c r="CA2400" s="2">
        <v>17.4327151967227</v>
      </c>
      <c r="CB2400" s="2">
        <v>18.619350604034899</v>
      </c>
      <c r="CC2400" s="2">
        <v>17.666007929168799</v>
      </c>
      <c r="CD2400" s="2">
        <v>18.229467100052599</v>
      </c>
      <c r="CE2400" s="2">
        <v>17.820711433957602</v>
      </c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</row>
    <row r="2401" spans="1:97">
      <c r="A2401" s="2" t="s">
        <v>20660</v>
      </c>
      <c r="B2401" s="2">
        <v>385.14368999999999</v>
      </c>
      <c r="C2401" s="2">
        <v>4.1829999999999998</v>
      </c>
      <c r="D2401" s="2" t="s">
        <v>84</v>
      </c>
      <c r="E2401" s="2" t="s">
        <v>20661</v>
      </c>
      <c r="F2401" s="2" t="s">
        <v>20662</v>
      </c>
      <c r="G2401" s="2">
        <v>29350</v>
      </c>
      <c r="H2401" s="3" t="str">
        <f>HYPERLINK("https://cloud.oebiotech.com/#/lm/network/29350", "https://cloud.oebiotech.com/#/lm/network/29350")</f>
        <v>https://cloud.oebiotech.com/#/lm/network/29350</v>
      </c>
      <c r="I2401" s="2"/>
      <c r="J2401" s="2">
        <v>47723</v>
      </c>
      <c r="K2401" s="2" t="s">
        <v>20663</v>
      </c>
      <c r="L2401" s="2">
        <v>14583601</v>
      </c>
      <c r="M2401" s="2"/>
      <c r="N2401" s="2"/>
      <c r="O2401" s="2"/>
      <c r="P2401" s="2"/>
      <c r="Q2401" s="2"/>
      <c r="R2401" s="2"/>
      <c r="S2401" s="2"/>
      <c r="T2401" s="2" t="s">
        <v>20664</v>
      </c>
      <c r="U2401" s="2" t="s">
        <v>20665</v>
      </c>
      <c r="V2401" s="2" t="s">
        <v>845</v>
      </c>
      <c r="W2401" s="2" t="s">
        <v>3853</v>
      </c>
      <c r="X2401" s="2" t="s">
        <v>20666</v>
      </c>
      <c r="Y2401" s="2" t="s">
        <v>847</v>
      </c>
      <c r="Z2401" s="2" t="s">
        <v>3855</v>
      </c>
      <c r="AA2401" s="2" t="s">
        <v>20667</v>
      </c>
      <c r="AB2401" s="2" t="s">
        <v>8443</v>
      </c>
      <c r="AC2401" s="2">
        <v>36.71</v>
      </c>
      <c r="AD2401" s="2">
        <v>83.57</v>
      </c>
      <c r="AE2401" s="2">
        <v>0</v>
      </c>
      <c r="AF2401" s="2" t="s">
        <v>20668</v>
      </c>
      <c r="AG2401" s="2" t="s">
        <v>1088</v>
      </c>
      <c r="AH2401" s="2" t="s">
        <v>20669</v>
      </c>
      <c r="AI2401" s="2">
        <v>0.78</v>
      </c>
      <c r="AJ2401" s="2">
        <v>17.492036943699802</v>
      </c>
      <c r="AK2401" s="2">
        <v>17.0840641609499</v>
      </c>
      <c r="AL2401" s="2">
        <v>17.612383314114599</v>
      </c>
      <c r="AM2401" s="2">
        <v>17.753544330079301</v>
      </c>
      <c r="AN2401" s="2">
        <v>17.185377901813499</v>
      </c>
      <c r="AO2401" s="2">
        <v>17.593915696845102</v>
      </c>
      <c r="AP2401" s="2">
        <v>17.4905469413678</v>
      </c>
      <c r="AQ2401" s="2">
        <v>17.4576448348969</v>
      </c>
      <c r="AR2401" s="2">
        <v>9.6233145402724691</v>
      </c>
      <c r="AS2401" s="2">
        <v>14.155576431947001</v>
      </c>
      <c r="AT2401" s="2">
        <v>16.643060656659099</v>
      </c>
      <c r="AU2401" s="2">
        <v>17.163977845521501</v>
      </c>
      <c r="AV2401" s="2">
        <v>17.423826722682801</v>
      </c>
      <c r="AW2401" s="2">
        <v>17.888840559524802</v>
      </c>
      <c r="AX2401" s="2">
        <v>16.751165082201201</v>
      </c>
      <c r="AY2401" s="2">
        <v>17.533723785146002</v>
      </c>
      <c r="AZ2401" s="2">
        <v>16.925180505315002</v>
      </c>
      <c r="BA2401" s="2">
        <v>16.5685869086583</v>
      </c>
      <c r="BB2401" s="2">
        <v>9.6233145402724691</v>
      </c>
      <c r="BC2401" s="2">
        <v>9.6233145402724691</v>
      </c>
      <c r="BD2401" s="2">
        <v>18.004966884560101</v>
      </c>
      <c r="BE2401" s="2">
        <v>18.362445274202599</v>
      </c>
      <c r="BF2401" s="2">
        <v>17.3663812153046</v>
      </c>
      <c r="BG2401" s="2">
        <v>9.6233145402724691</v>
      </c>
      <c r="BH2401" s="2">
        <v>17.689473212477399</v>
      </c>
      <c r="BI2401" s="2">
        <v>18.244095042344401</v>
      </c>
      <c r="BJ2401" s="2">
        <v>9.6233145402724691</v>
      </c>
      <c r="BK2401" s="2">
        <v>16.9235061165191</v>
      </c>
      <c r="BL2401" s="2">
        <v>17.871042208583098</v>
      </c>
      <c r="BM2401" s="2">
        <v>19.390964954295299</v>
      </c>
      <c r="BN2401" s="2">
        <v>17.634463944989498</v>
      </c>
      <c r="BO2401" s="2">
        <v>17.254330462535801</v>
      </c>
      <c r="BP2401" s="2">
        <v>17.320671088969998</v>
      </c>
      <c r="BQ2401" s="2">
        <v>17.895252852764099</v>
      </c>
      <c r="BR2401" s="2">
        <v>9.6233145402724691</v>
      </c>
      <c r="BS2401" s="2">
        <v>18.062521520779701</v>
      </c>
      <c r="BT2401" s="2">
        <v>9.6233145402724691</v>
      </c>
      <c r="BU2401" s="2">
        <v>17.979803862012702</v>
      </c>
      <c r="BV2401" s="2">
        <v>9.6233145402724691</v>
      </c>
      <c r="BW2401" s="2">
        <v>9.6233145402724691</v>
      </c>
      <c r="BX2401" s="2">
        <v>18.693117776409501</v>
      </c>
      <c r="BY2401" s="2">
        <v>19.403265912131399</v>
      </c>
      <c r="BZ2401" s="2">
        <v>9.6233145402724691</v>
      </c>
      <c r="CA2401" s="2">
        <v>16.8296229022876</v>
      </c>
      <c r="CB2401" s="2">
        <v>9.6233145402724691</v>
      </c>
      <c r="CC2401" s="2">
        <v>16.946685404253401</v>
      </c>
      <c r="CD2401" s="2">
        <v>18.190108478538001</v>
      </c>
      <c r="CE2401" s="2">
        <v>17.2028320616011</v>
      </c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</row>
    <row r="2402" spans="1:97">
      <c r="A2402" s="2" t="s">
        <v>20670</v>
      </c>
      <c r="B2402" s="2">
        <v>362.32589999999999</v>
      </c>
      <c r="C2402" s="2">
        <v>8.0860000000000003</v>
      </c>
      <c r="D2402" s="2" t="s">
        <v>84</v>
      </c>
      <c r="E2402" s="2" t="s">
        <v>20671</v>
      </c>
      <c r="F2402" s="2" t="s">
        <v>20672</v>
      </c>
      <c r="G2402" s="2">
        <v>93676</v>
      </c>
      <c r="H2402" s="3" t="str">
        <f>HYPERLINK("https://cloud.oebiotech.com/#/lm/network/93676", "https://cloud.oebiotech.com/#/lm/network/93676")</f>
        <v>https://cloud.oebiotech.com/#/lm/network/93676</v>
      </c>
      <c r="I2402" s="2" t="s">
        <v>20673</v>
      </c>
      <c r="J2402" s="2"/>
      <c r="K2402" s="2"/>
      <c r="L2402" s="2">
        <v>131779639</v>
      </c>
      <c r="M2402" s="2"/>
      <c r="N2402" s="2"/>
      <c r="O2402" s="2"/>
      <c r="P2402" s="2"/>
      <c r="Q2402" s="2"/>
      <c r="R2402" s="2"/>
      <c r="S2402" s="2"/>
      <c r="T2402" s="2" t="s">
        <v>20674</v>
      </c>
      <c r="U2402" s="2" t="s">
        <v>20675</v>
      </c>
      <c r="V2402" s="2" t="s">
        <v>95</v>
      </c>
      <c r="W2402" s="2" t="s">
        <v>7709</v>
      </c>
      <c r="X2402" s="2" t="s">
        <v>7710</v>
      </c>
      <c r="Y2402" s="2" t="s">
        <v>98</v>
      </c>
      <c r="Z2402" s="2" t="s">
        <v>7711</v>
      </c>
      <c r="AA2402" s="2" t="s">
        <v>7712</v>
      </c>
      <c r="AB2402" s="2" t="s">
        <v>8443</v>
      </c>
      <c r="AC2402" s="2">
        <v>36.71</v>
      </c>
      <c r="AD2402" s="2">
        <v>86.86</v>
      </c>
      <c r="AE2402" s="2">
        <v>0</v>
      </c>
      <c r="AF2402" s="2" t="s">
        <v>20676</v>
      </c>
      <c r="AG2402" s="2" t="s">
        <v>132</v>
      </c>
      <c r="AH2402" s="2" t="s">
        <v>10194</v>
      </c>
      <c r="AI2402" s="2">
        <v>1.66</v>
      </c>
      <c r="AJ2402" s="2">
        <v>20.909104355686502</v>
      </c>
      <c r="AK2402" s="2">
        <v>20.899736857921798</v>
      </c>
      <c r="AL2402" s="2">
        <v>20.812794981293099</v>
      </c>
      <c r="AM2402" s="2">
        <v>20.880734192378</v>
      </c>
      <c r="AN2402" s="2">
        <v>20.9418898087653</v>
      </c>
      <c r="AO2402" s="2">
        <v>20.987245106558401</v>
      </c>
      <c r="AP2402" s="2">
        <v>20.873703087720099</v>
      </c>
      <c r="AQ2402" s="2">
        <v>20.883449692255098</v>
      </c>
      <c r="AR2402" s="2">
        <v>18.949286505008601</v>
      </c>
      <c r="AS2402" s="2">
        <v>18.6996570006662</v>
      </c>
      <c r="AT2402" s="2">
        <v>15.6265298270526</v>
      </c>
      <c r="AU2402" s="2">
        <v>17.240990657711698</v>
      </c>
      <c r="AV2402" s="2">
        <v>9.6233145402724691</v>
      </c>
      <c r="AW2402" s="2">
        <v>18.227667503574398</v>
      </c>
      <c r="AX2402" s="2">
        <v>18.153147889478401</v>
      </c>
      <c r="AY2402" s="2">
        <v>15.2352584781788</v>
      </c>
      <c r="AZ2402" s="2">
        <v>9.6233145402724691</v>
      </c>
      <c r="BA2402" s="2">
        <v>15.5250708143118</v>
      </c>
      <c r="BB2402" s="2">
        <v>16.899011078424401</v>
      </c>
      <c r="BC2402" s="2">
        <v>17.0285301959143</v>
      </c>
      <c r="BD2402" s="2">
        <v>9.6233145402724691</v>
      </c>
      <c r="BE2402" s="2">
        <v>23.3700524468988</v>
      </c>
      <c r="BF2402" s="2">
        <v>14.797971003426801</v>
      </c>
      <c r="BG2402" s="2">
        <v>9.6233145402724691</v>
      </c>
      <c r="BH2402" s="2">
        <v>9.6233145402724691</v>
      </c>
      <c r="BI2402" s="2">
        <v>9.6233145402724691</v>
      </c>
      <c r="BJ2402" s="2">
        <v>16.487105972701698</v>
      </c>
      <c r="BK2402" s="2">
        <v>9.6233145402724691</v>
      </c>
      <c r="BL2402" s="2">
        <v>13.712610825636499</v>
      </c>
      <c r="BM2402" s="2">
        <v>9.6233145402724691</v>
      </c>
      <c r="BN2402" s="2">
        <v>15.250323958001999</v>
      </c>
      <c r="BO2402" s="2">
        <v>9.6233145402724691</v>
      </c>
      <c r="BP2402" s="2">
        <v>9.6233145402724691</v>
      </c>
      <c r="BQ2402" s="2">
        <v>9.6233145402724691</v>
      </c>
      <c r="BR2402" s="2">
        <v>18.317303741511999</v>
      </c>
      <c r="BS2402" s="2">
        <v>13.927157573528399</v>
      </c>
      <c r="BT2402" s="2">
        <v>15.600127789594</v>
      </c>
      <c r="BU2402" s="2">
        <v>9.6233145402724691</v>
      </c>
      <c r="BV2402" s="2">
        <v>16.181010706440201</v>
      </c>
      <c r="BW2402" s="2">
        <v>9.6233145402724691</v>
      </c>
      <c r="BX2402" s="2">
        <v>17.138522601848798</v>
      </c>
      <c r="BY2402" s="2">
        <v>23.878098081801699</v>
      </c>
      <c r="BZ2402" s="2">
        <v>9.6233145402724691</v>
      </c>
      <c r="CA2402" s="2">
        <v>16.163487725351199</v>
      </c>
      <c r="CB2402" s="2">
        <v>18.4086846233843</v>
      </c>
      <c r="CC2402" s="2">
        <v>15.2053747949388</v>
      </c>
      <c r="CD2402" s="2">
        <v>17.144927846764201</v>
      </c>
      <c r="CE2402" s="2">
        <v>17.246399921943699</v>
      </c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</row>
    <row r="2403" spans="1:97">
      <c r="A2403" s="2" t="s">
        <v>20677</v>
      </c>
      <c r="B2403" s="2">
        <v>401.99430000000001</v>
      </c>
      <c r="C2403" s="2">
        <v>3.7469999999999999</v>
      </c>
      <c r="D2403" s="2" t="s">
        <v>146</v>
      </c>
      <c r="E2403" s="2" t="s">
        <v>20678</v>
      </c>
      <c r="F2403" s="2" t="s">
        <v>20679</v>
      </c>
      <c r="G2403" s="2">
        <v>203529</v>
      </c>
      <c r="H2403" s="3" t="str">
        <f>HYPERLINK("https://cloud.oebiotech.com/#/lm/network/203529", "https://cloud.oebiotech.com/#/lm/network/203529")</f>
        <v>https://cloud.oebiotech.com/#/lm/network/203529</v>
      </c>
      <c r="I2403" s="2" t="s">
        <v>20680</v>
      </c>
      <c r="J2403" s="2">
        <v>72203</v>
      </c>
      <c r="K2403" s="2"/>
      <c r="L2403" s="2">
        <v>91687</v>
      </c>
      <c r="M2403" s="2" t="s">
        <v>20681</v>
      </c>
      <c r="N2403" s="2"/>
      <c r="O2403" s="2"/>
      <c r="P2403" s="2"/>
      <c r="Q2403" s="2"/>
      <c r="R2403" s="2"/>
      <c r="S2403" s="2" t="s">
        <v>20682</v>
      </c>
      <c r="T2403" s="2" t="s">
        <v>20683</v>
      </c>
      <c r="U2403" s="2" t="s">
        <v>20684</v>
      </c>
      <c r="V2403" s="2" t="s">
        <v>385</v>
      </c>
      <c r="W2403" s="2" t="s">
        <v>386</v>
      </c>
      <c r="X2403" s="2" t="s">
        <v>8386</v>
      </c>
      <c r="Y2403" s="2" t="s">
        <v>388</v>
      </c>
      <c r="Z2403" s="2" t="s">
        <v>389</v>
      </c>
      <c r="AA2403" s="2" t="s">
        <v>8387</v>
      </c>
      <c r="AB2403" s="2" t="s">
        <v>8443</v>
      </c>
      <c r="AC2403" s="2">
        <v>36.71</v>
      </c>
      <c r="AD2403" s="2">
        <v>63.83</v>
      </c>
      <c r="AE2403" s="2">
        <v>44.84</v>
      </c>
      <c r="AF2403" s="2" t="s">
        <v>20685</v>
      </c>
      <c r="AG2403" s="2" t="s">
        <v>4062</v>
      </c>
      <c r="AH2403" s="2" t="s">
        <v>20686</v>
      </c>
      <c r="AI2403" s="2">
        <v>-4.2300000000000004</v>
      </c>
      <c r="AJ2403" s="2">
        <v>21.713008194399301</v>
      </c>
      <c r="AK2403" s="2">
        <v>21.751470262518801</v>
      </c>
      <c r="AL2403" s="2">
        <v>21.846020282666501</v>
      </c>
      <c r="AM2403" s="2">
        <v>21.680071390848301</v>
      </c>
      <c r="AN2403" s="2">
        <v>21.985893108797502</v>
      </c>
      <c r="AO2403" s="2">
        <v>21.727468848045401</v>
      </c>
      <c r="AP2403" s="2">
        <v>21.648021895505401</v>
      </c>
      <c r="AQ2403" s="2">
        <v>21.670456701342701</v>
      </c>
      <c r="AR2403" s="2">
        <v>21.843771988025299</v>
      </c>
      <c r="AS2403" s="2">
        <v>21.856503850908801</v>
      </c>
      <c r="AT2403" s="2">
        <v>21.845783083926801</v>
      </c>
      <c r="AU2403" s="2">
        <v>21.7730598402079</v>
      </c>
      <c r="AV2403" s="2">
        <v>21.981331368966099</v>
      </c>
      <c r="AW2403" s="2">
        <v>21.833264987540399</v>
      </c>
      <c r="AX2403" s="2">
        <v>21.946210026761602</v>
      </c>
      <c r="AY2403" s="2">
        <v>21.8988810517621</v>
      </c>
      <c r="AZ2403" s="2">
        <v>21.826071921789101</v>
      </c>
      <c r="BA2403" s="2">
        <v>21.846993436356001</v>
      </c>
      <c r="BB2403" s="2">
        <v>21.617702418242999</v>
      </c>
      <c r="BC2403" s="2">
        <v>21.718748427254098</v>
      </c>
      <c r="BD2403" s="2">
        <v>21.781343279144199</v>
      </c>
      <c r="BE2403" s="2">
        <v>21.628202739010501</v>
      </c>
      <c r="BF2403" s="2">
        <v>21.932346751095299</v>
      </c>
      <c r="BG2403" s="2">
        <v>21.809715779361401</v>
      </c>
      <c r="BH2403" s="2">
        <v>21.9536940034316</v>
      </c>
      <c r="BI2403" s="2">
        <v>21.813704538179501</v>
      </c>
      <c r="BJ2403" s="2">
        <v>21.781895569472699</v>
      </c>
      <c r="BK2403" s="2">
        <v>21.909172334641699</v>
      </c>
      <c r="BL2403" s="2">
        <v>21.746320533561398</v>
      </c>
      <c r="BM2403" s="2">
        <v>21.685843088703098</v>
      </c>
      <c r="BN2403" s="2">
        <v>21.7014454987841</v>
      </c>
      <c r="BO2403" s="2">
        <v>21.813089659775201</v>
      </c>
      <c r="BP2403" s="2">
        <v>21.853197704886</v>
      </c>
      <c r="BQ2403" s="2">
        <v>21.9751073734489</v>
      </c>
      <c r="BR2403" s="2">
        <v>21.560909921820599</v>
      </c>
      <c r="BS2403" s="2">
        <v>21.852601315636601</v>
      </c>
      <c r="BT2403" s="2">
        <v>21.862977076005301</v>
      </c>
      <c r="BU2403" s="2">
        <v>21.8172606403148</v>
      </c>
      <c r="BV2403" s="2">
        <v>21.630581049307199</v>
      </c>
      <c r="BW2403" s="2">
        <v>21.8818831014834</v>
      </c>
      <c r="BX2403" s="2">
        <v>21.9720544357527</v>
      </c>
      <c r="BY2403" s="2">
        <v>21.593293199898401</v>
      </c>
      <c r="BZ2403" s="2">
        <v>21.767948140004801</v>
      </c>
      <c r="CA2403" s="2">
        <v>21.700737351834501</v>
      </c>
      <c r="CB2403" s="2">
        <v>21.855102457753301</v>
      </c>
      <c r="CC2403" s="2">
        <v>21.7498011375543</v>
      </c>
      <c r="CD2403" s="2">
        <v>21.636112185936899</v>
      </c>
      <c r="CE2403" s="2">
        <v>21.732716847083701</v>
      </c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</row>
    <row r="2404" spans="1:97">
      <c r="A2404" s="2" t="s">
        <v>20687</v>
      </c>
      <c r="B2404" s="2">
        <v>351.03933000000001</v>
      </c>
      <c r="C2404" s="2">
        <v>4.9530000000000003</v>
      </c>
      <c r="D2404" s="2" t="s">
        <v>84</v>
      </c>
      <c r="E2404" s="2" t="s">
        <v>20688</v>
      </c>
      <c r="F2404" s="2" t="s">
        <v>20689</v>
      </c>
      <c r="G2404" s="2">
        <v>596366</v>
      </c>
      <c r="H2404" s="3" t="str">
        <f>HYPERLINK("https://cloud.oebiotech.com/#/lm/network/596366", "https://cloud.oebiotech.com/#/lm/network/596366")</f>
        <v>https://cloud.oebiotech.com/#/lm/network/596366</v>
      </c>
      <c r="I2404" s="2"/>
      <c r="J2404" s="2"/>
      <c r="K2404" s="2"/>
      <c r="L2404" s="2">
        <v>131836728</v>
      </c>
      <c r="M2404" s="2"/>
      <c r="N2404" s="2"/>
      <c r="O2404" s="2"/>
      <c r="P2404" s="2"/>
      <c r="Q2404" s="2"/>
      <c r="R2404" s="2"/>
      <c r="S2404" s="2"/>
      <c r="T2404" s="2" t="s">
        <v>20690</v>
      </c>
      <c r="U2404" s="2" t="s">
        <v>20691</v>
      </c>
      <c r="V2404" s="2" t="s">
        <v>338</v>
      </c>
      <c r="W2404" s="2" t="s">
        <v>339</v>
      </c>
      <c r="X2404" s="2" t="s">
        <v>663</v>
      </c>
      <c r="Y2404" s="2" t="s">
        <v>341</v>
      </c>
      <c r="Z2404" s="2" t="s">
        <v>341</v>
      </c>
      <c r="AA2404" s="2" t="s">
        <v>664</v>
      </c>
      <c r="AB2404" s="2" t="s">
        <v>8443</v>
      </c>
      <c r="AC2404" s="2">
        <v>36.71</v>
      </c>
      <c r="AD2404" s="2">
        <v>88.5</v>
      </c>
      <c r="AE2404" s="2">
        <v>0</v>
      </c>
      <c r="AF2404" s="2" t="s">
        <v>5614</v>
      </c>
      <c r="AG2404" s="2" t="s">
        <v>1088</v>
      </c>
      <c r="AH2404" s="2" t="s">
        <v>20692</v>
      </c>
      <c r="AI2404" s="2">
        <v>-1.99</v>
      </c>
      <c r="AJ2404" s="2">
        <v>16.367561327241201</v>
      </c>
      <c r="AK2404" s="2">
        <v>17.229167111870002</v>
      </c>
      <c r="AL2404" s="2">
        <v>17.429497871531598</v>
      </c>
      <c r="AM2404" s="2">
        <v>17.3104965164862</v>
      </c>
      <c r="AN2404" s="2">
        <v>17.288946347791899</v>
      </c>
      <c r="AO2404" s="2">
        <v>16.688578566879102</v>
      </c>
      <c r="AP2404" s="2">
        <v>17.058858677914099</v>
      </c>
      <c r="AQ2404" s="2">
        <v>16.834938975949001</v>
      </c>
      <c r="AR2404" s="2">
        <v>15.0693192711358</v>
      </c>
      <c r="AS2404" s="2">
        <v>14.0257564178872</v>
      </c>
      <c r="AT2404" s="2">
        <v>16.1672577939121</v>
      </c>
      <c r="AU2404" s="2">
        <v>17.928003076320302</v>
      </c>
      <c r="AV2404" s="2">
        <v>15.8660159255694</v>
      </c>
      <c r="AW2404" s="2">
        <v>16.9931892861132</v>
      </c>
      <c r="AX2404" s="2">
        <v>14.5660558225059</v>
      </c>
      <c r="AY2404" s="2">
        <v>9.6233145402724691</v>
      </c>
      <c r="AZ2404" s="2">
        <v>9.6233145402724691</v>
      </c>
      <c r="BA2404" s="2">
        <v>18.188646696834901</v>
      </c>
      <c r="BB2404" s="2">
        <v>18.058937980097699</v>
      </c>
      <c r="BC2404" s="2">
        <v>16.665586717999801</v>
      </c>
      <c r="BD2404" s="2">
        <v>17.981501504711598</v>
      </c>
      <c r="BE2404" s="2">
        <v>15.8727448492834</v>
      </c>
      <c r="BF2404" s="2">
        <v>16.677385737564901</v>
      </c>
      <c r="BG2404" s="2">
        <v>17.149653554808101</v>
      </c>
      <c r="BH2404" s="2">
        <v>17.908101549550501</v>
      </c>
      <c r="BI2404" s="2">
        <v>9.6233145402724691</v>
      </c>
      <c r="BJ2404" s="2">
        <v>18.238483905117999</v>
      </c>
      <c r="BK2404" s="2">
        <v>18.7000416202232</v>
      </c>
      <c r="BL2404" s="2">
        <v>16.9445998607906</v>
      </c>
      <c r="BM2404" s="2">
        <v>16.024090821639302</v>
      </c>
      <c r="BN2404" s="2">
        <v>17.6297556057905</v>
      </c>
      <c r="BO2404" s="2">
        <v>17.869649564911299</v>
      </c>
      <c r="BP2404" s="2">
        <v>15.259457138066701</v>
      </c>
      <c r="BQ2404" s="2">
        <v>9.6233145402724691</v>
      </c>
      <c r="BR2404" s="2">
        <v>9.6233145402724691</v>
      </c>
      <c r="BS2404" s="2">
        <v>15.766984854888101</v>
      </c>
      <c r="BT2404" s="2">
        <v>18.844833730258301</v>
      </c>
      <c r="BU2404" s="2">
        <v>17.957602462175501</v>
      </c>
      <c r="BV2404" s="2">
        <v>17.738719158318599</v>
      </c>
      <c r="BW2404" s="2">
        <v>15.789775092790901</v>
      </c>
      <c r="BX2404" s="2">
        <v>17.697280433819699</v>
      </c>
      <c r="BY2404" s="2">
        <v>16.0031280665014</v>
      </c>
      <c r="BZ2404" s="2">
        <v>15.9518055941342</v>
      </c>
      <c r="CA2404" s="2">
        <v>9.6233145402724691</v>
      </c>
      <c r="CB2404" s="2">
        <v>14.7282282491259</v>
      </c>
      <c r="CC2404" s="2">
        <v>14.781410432380699</v>
      </c>
      <c r="CD2404" s="2">
        <v>17.964593682819601</v>
      </c>
      <c r="CE2404" s="2">
        <v>18.068355079107398</v>
      </c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</row>
    <row r="2405" spans="1:97">
      <c r="A2405" s="2" t="s">
        <v>20693</v>
      </c>
      <c r="B2405" s="2">
        <v>663.46459000000004</v>
      </c>
      <c r="C2405" s="2">
        <v>12.395</v>
      </c>
      <c r="D2405" s="2" t="s">
        <v>84</v>
      </c>
      <c r="E2405" s="2" t="s">
        <v>20694</v>
      </c>
      <c r="F2405" s="2" t="s">
        <v>20695</v>
      </c>
      <c r="G2405" s="2">
        <v>28203</v>
      </c>
      <c r="H2405" s="3" t="str">
        <f>HYPERLINK("https://cloud.oebiotech.com/#/lm/network/28203", "https://cloud.oebiotech.com/#/lm/network/28203")</f>
        <v>https://cloud.oebiotech.com/#/lm/network/28203</v>
      </c>
      <c r="I2405" s="2"/>
      <c r="J2405" s="2"/>
      <c r="K2405" s="2" t="s">
        <v>20696</v>
      </c>
      <c r="L2405" s="2"/>
      <c r="M2405" s="2"/>
      <c r="N2405" s="2"/>
      <c r="O2405" s="2"/>
      <c r="P2405" s="2"/>
      <c r="Q2405" s="2"/>
      <c r="R2405" s="2"/>
      <c r="S2405" s="2"/>
      <c r="T2405" s="2" t="s">
        <v>20697</v>
      </c>
      <c r="U2405" s="2" t="s">
        <v>20698</v>
      </c>
      <c r="V2405" s="2" t="s">
        <v>95</v>
      </c>
      <c r="W2405" s="2" t="s">
        <v>96</v>
      </c>
      <c r="X2405" s="2" t="s">
        <v>353</v>
      </c>
      <c r="Y2405" s="2" t="s">
        <v>98</v>
      </c>
      <c r="Z2405" s="2" t="s">
        <v>99</v>
      </c>
      <c r="AA2405" s="2" t="s">
        <v>354</v>
      </c>
      <c r="AB2405" s="2" t="s">
        <v>8443</v>
      </c>
      <c r="AC2405" s="2">
        <v>36.700000000000003</v>
      </c>
      <c r="AD2405" s="2">
        <v>74.42</v>
      </c>
      <c r="AE2405" s="2">
        <v>0</v>
      </c>
      <c r="AF2405" s="2" t="s">
        <v>5614</v>
      </c>
      <c r="AG2405" s="2" t="s">
        <v>3544</v>
      </c>
      <c r="AH2405" s="2" t="s">
        <v>20699</v>
      </c>
      <c r="AI2405" s="2">
        <v>-7.39</v>
      </c>
      <c r="AJ2405" s="2">
        <v>19.0529355868373</v>
      </c>
      <c r="AK2405" s="2">
        <v>18.5694192338707</v>
      </c>
      <c r="AL2405" s="2">
        <v>19.122462296231699</v>
      </c>
      <c r="AM2405" s="2">
        <v>19.023155975482801</v>
      </c>
      <c r="AN2405" s="2">
        <v>18.9434236062819</v>
      </c>
      <c r="AO2405" s="2">
        <v>19.046044555285199</v>
      </c>
      <c r="AP2405" s="2">
        <v>17.895934136537399</v>
      </c>
      <c r="AQ2405" s="2">
        <v>18.694824536811801</v>
      </c>
      <c r="AR2405" s="2">
        <v>19.127067787557699</v>
      </c>
      <c r="AS2405" s="2">
        <v>19.581592569362002</v>
      </c>
      <c r="AT2405" s="2">
        <v>19.311060093317401</v>
      </c>
      <c r="AU2405" s="2">
        <v>18.285206361956298</v>
      </c>
      <c r="AV2405" s="2">
        <v>19.210195669656599</v>
      </c>
      <c r="AW2405" s="2">
        <v>19.123945822141302</v>
      </c>
      <c r="AX2405" s="2">
        <v>18.970501587468402</v>
      </c>
      <c r="AY2405" s="2">
        <v>18.802154932972499</v>
      </c>
      <c r="AZ2405" s="2">
        <v>19.417008648618001</v>
      </c>
      <c r="BA2405" s="2">
        <v>18.519611568407299</v>
      </c>
      <c r="BB2405" s="2">
        <v>18.564266104213601</v>
      </c>
      <c r="BC2405" s="2">
        <v>19.314158271322601</v>
      </c>
      <c r="BD2405" s="2">
        <v>18.430046695766201</v>
      </c>
      <c r="BE2405" s="2">
        <v>19.293728368055699</v>
      </c>
      <c r="BF2405" s="2">
        <v>19.2147752038573</v>
      </c>
      <c r="BG2405" s="2">
        <v>18.829790948127801</v>
      </c>
      <c r="BH2405" s="2">
        <v>18.600761879372499</v>
      </c>
      <c r="BI2405" s="2">
        <v>18.630253578363899</v>
      </c>
      <c r="BJ2405" s="2">
        <v>18.753209402730999</v>
      </c>
      <c r="BK2405" s="2">
        <v>18.625212224824399</v>
      </c>
      <c r="BL2405" s="2">
        <v>18.773694473034901</v>
      </c>
      <c r="BM2405" s="2">
        <v>18.665984620416101</v>
      </c>
      <c r="BN2405" s="2">
        <v>18.741749689692199</v>
      </c>
      <c r="BO2405" s="2">
        <v>19.186852739959701</v>
      </c>
      <c r="BP2405" s="2">
        <v>18.943911142105001</v>
      </c>
      <c r="BQ2405" s="2">
        <v>19.3192063430592</v>
      </c>
      <c r="BR2405" s="2">
        <v>18.830139332393301</v>
      </c>
      <c r="BS2405" s="2">
        <v>19.464682224948199</v>
      </c>
      <c r="BT2405" s="2">
        <v>19.028726288570901</v>
      </c>
      <c r="BU2405" s="2">
        <v>18.849997885512501</v>
      </c>
      <c r="BV2405" s="2">
        <v>18.481749893346201</v>
      </c>
      <c r="BW2405" s="2">
        <v>18.412984533909501</v>
      </c>
      <c r="BX2405" s="2">
        <v>18.272557482581401</v>
      </c>
      <c r="BY2405" s="2">
        <v>19.1600481012152</v>
      </c>
      <c r="BZ2405" s="2">
        <v>18.942778245680799</v>
      </c>
      <c r="CA2405" s="2">
        <v>18.838976687996301</v>
      </c>
      <c r="CB2405" s="2">
        <v>18.920596575754001</v>
      </c>
      <c r="CC2405" s="2">
        <v>19.0019986493399</v>
      </c>
      <c r="CD2405" s="2">
        <v>18.7012812118667</v>
      </c>
      <c r="CE2405" s="2">
        <v>18.7509073720583</v>
      </c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</row>
    <row r="2406" spans="1:97">
      <c r="A2406" s="2" t="s">
        <v>20700</v>
      </c>
      <c r="B2406" s="2">
        <v>453.22509000000002</v>
      </c>
      <c r="C2406" s="2">
        <v>8.5589999999999993</v>
      </c>
      <c r="D2406" s="2" t="s">
        <v>146</v>
      </c>
      <c r="E2406" s="2" t="s">
        <v>20701</v>
      </c>
      <c r="F2406" s="2"/>
      <c r="G2406" s="2">
        <v>595095</v>
      </c>
      <c r="H2406" s="3" t="str">
        <f>HYPERLINK("https://cloud.oebiotech.com/#/lm/network/595095", "https://cloud.oebiotech.com/#/lm/network/595095")</f>
        <v>https://cloud.oebiotech.com/#/lm/network/595095</v>
      </c>
      <c r="I2406" s="2"/>
      <c r="J2406" s="2"/>
      <c r="K2406" s="2"/>
      <c r="L2406" s="2">
        <v>87978917</v>
      </c>
      <c r="M2406" s="2"/>
      <c r="N2406" s="2"/>
      <c r="O2406" s="2"/>
      <c r="P2406" s="2"/>
      <c r="Q2406" s="2"/>
      <c r="R2406" s="2"/>
      <c r="S2406" s="2"/>
      <c r="T2406" s="2" t="s">
        <v>20702</v>
      </c>
      <c r="U2406" s="2" t="s">
        <v>20703</v>
      </c>
      <c r="V2406" s="2" t="s">
        <v>95</v>
      </c>
      <c r="W2406" s="2" t="s">
        <v>202</v>
      </c>
      <c r="X2406" s="2" t="s">
        <v>6038</v>
      </c>
      <c r="Y2406" s="2" t="s">
        <v>98</v>
      </c>
      <c r="Z2406" s="2" t="s">
        <v>204</v>
      </c>
      <c r="AA2406" s="2" t="s">
        <v>6039</v>
      </c>
      <c r="AB2406" s="2" t="s">
        <v>8443</v>
      </c>
      <c r="AC2406" s="2">
        <v>36.69</v>
      </c>
      <c r="AD2406" s="2">
        <v>87.29</v>
      </c>
      <c r="AE2406" s="2">
        <v>0</v>
      </c>
      <c r="AF2406" s="2" t="s">
        <v>5614</v>
      </c>
      <c r="AG2406" s="2" t="s">
        <v>157</v>
      </c>
      <c r="AH2406" s="2" t="s">
        <v>20704</v>
      </c>
      <c r="AI2406" s="2">
        <v>1.77</v>
      </c>
      <c r="AJ2406" s="2">
        <v>16.2747870748697</v>
      </c>
      <c r="AK2406" s="2">
        <v>16.404055009867601</v>
      </c>
      <c r="AL2406" s="2">
        <v>16.4228862020436</v>
      </c>
      <c r="AM2406" s="2">
        <v>16.1046098095978</v>
      </c>
      <c r="AN2406" s="2">
        <v>16.390754226837799</v>
      </c>
      <c r="AO2406" s="2">
        <v>16.289932420919001</v>
      </c>
      <c r="AP2406" s="2">
        <v>16.471350857293501</v>
      </c>
      <c r="AQ2406" s="2">
        <v>16.340142359733399</v>
      </c>
      <c r="AR2406" s="2">
        <v>15.988387570694099</v>
      </c>
      <c r="AS2406" s="2">
        <v>9.6233145402724691</v>
      </c>
      <c r="AT2406" s="2">
        <v>17.002717461657301</v>
      </c>
      <c r="AU2406" s="2">
        <v>16.168483308262001</v>
      </c>
      <c r="AV2406" s="2">
        <v>15.8720844567507</v>
      </c>
      <c r="AW2406" s="2">
        <v>14.6771409723038</v>
      </c>
      <c r="AX2406" s="2">
        <v>16.854277810047499</v>
      </c>
      <c r="AY2406" s="2">
        <v>16.204905607465001</v>
      </c>
      <c r="AZ2406" s="2">
        <v>11.5493611329243</v>
      </c>
      <c r="BA2406" s="2">
        <v>15.4579323018315</v>
      </c>
      <c r="BB2406" s="2">
        <v>15.602516487096</v>
      </c>
      <c r="BC2406" s="2">
        <v>18.161596579194899</v>
      </c>
      <c r="BD2406" s="2">
        <v>13.777395056661501</v>
      </c>
      <c r="BE2406" s="2">
        <v>15.918611479556001</v>
      </c>
      <c r="BF2406" s="2">
        <v>13.5329634145423</v>
      </c>
      <c r="BG2406" s="2">
        <v>16.8744269308932</v>
      </c>
      <c r="BH2406" s="2">
        <v>14.036007864852399</v>
      </c>
      <c r="BI2406" s="2">
        <v>17.846159420805702</v>
      </c>
      <c r="BJ2406" s="2">
        <v>17.890944892922899</v>
      </c>
      <c r="BK2406" s="2">
        <v>15.6404406833712</v>
      </c>
      <c r="BL2406" s="2">
        <v>15.4140281446985</v>
      </c>
      <c r="BM2406" s="2">
        <v>13.782528355869299</v>
      </c>
      <c r="BN2406" s="2">
        <v>17.423911396084801</v>
      </c>
      <c r="BO2406" s="2">
        <v>15.407505781323501</v>
      </c>
      <c r="BP2406" s="2">
        <v>16.5848566839414</v>
      </c>
      <c r="BQ2406" s="2">
        <v>16.572392922451499</v>
      </c>
      <c r="BR2406" s="2">
        <v>17.054361813576101</v>
      </c>
      <c r="BS2406" s="2">
        <v>15.6108731633815</v>
      </c>
      <c r="BT2406" s="2">
        <v>13.030068762676001</v>
      </c>
      <c r="BU2406" s="2">
        <v>16.012457591024301</v>
      </c>
      <c r="BV2406" s="2">
        <v>15.937858836585701</v>
      </c>
      <c r="BW2406" s="2">
        <v>15.8726796892461</v>
      </c>
      <c r="BX2406" s="2">
        <v>13.6613438880952</v>
      </c>
      <c r="BY2406" s="2">
        <v>16.865457810414298</v>
      </c>
      <c r="BZ2406" s="2">
        <v>13.2244629974671</v>
      </c>
      <c r="CA2406" s="2">
        <v>15.167435395343199</v>
      </c>
      <c r="CB2406" s="2">
        <v>17.176663166810901</v>
      </c>
      <c r="CC2406" s="2">
        <v>18.271273431924399</v>
      </c>
      <c r="CD2406" s="2">
        <v>17.729071357570799</v>
      </c>
      <c r="CE2406" s="2">
        <v>15.8775949678366</v>
      </c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</row>
    <row r="2407" spans="1:97">
      <c r="A2407" s="2" t="s">
        <v>20705</v>
      </c>
      <c r="B2407" s="2">
        <v>630.15488000000005</v>
      </c>
      <c r="C2407" s="2">
        <v>0.79300000000000004</v>
      </c>
      <c r="D2407" s="2" t="s">
        <v>84</v>
      </c>
      <c r="E2407" s="2" t="s">
        <v>20706</v>
      </c>
      <c r="F2407" s="2" t="s">
        <v>20707</v>
      </c>
      <c r="G2407" s="2">
        <v>52788</v>
      </c>
      <c r="H2407" s="3" t="str">
        <f>HYPERLINK("https://cloud.oebiotech.com/#/lm/network/52788", "https://cloud.oebiotech.com/#/lm/network/52788")</f>
        <v>https://cloud.oebiotech.com/#/lm/network/52788</v>
      </c>
      <c r="I2407" s="2" t="s">
        <v>20708</v>
      </c>
      <c r="J2407" s="2">
        <v>3956</v>
      </c>
      <c r="K2407" s="2"/>
      <c r="L2407" s="2">
        <v>636405</v>
      </c>
      <c r="M2407" s="2" t="s">
        <v>20709</v>
      </c>
      <c r="N2407" s="2"/>
      <c r="O2407" s="2"/>
      <c r="P2407" s="2">
        <v>59213</v>
      </c>
      <c r="Q2407" s="2"/>
      <c r="R2407" s="2"/>
      <c r="S2407" s="2" t="s">
        <v>20710</v>
      </c>
      <c r="T2407" s="2" t="s">
        <v>20711</v>
      </c>
      <c r="U2407" s="2" t="s">
        <v>20712</v>
      </c>
      <c r="V2407" s="2" t="s">
        <v>115</v>
      </c>
      <c r="W2407" s="2" t="s">
        <v>116</v>
      </c>
      <c r="X2407" s="2" t="s">
        <v>117</v>
      </c>
      <c r="Y2407" s="2" t="s">
        <v>118</v>
      </c>
      <c r="Z2407" s="2" t="s">
        <v>119</v>
      </c>
      <c r="AA2407" s="2" t="s">
        <v>120</v>
      </c>
      <c r="AB2407" s="2" t="s">
        <v>8443</v>
      </c>
      <c r="AC2407" s="2">
        <v>36.69</v>
      </c>
      <c r="AD2407" s="2">
        <v>83.43</v>
      </c>
      <c r="AE2407" s="2">
        <v>0</v>
      </c>
      <c r="AF2407" s="2" t="s">
        <v>5614</v>
      </c>
      <c r="AG2407" s="2" t="s">
        <v>132</v>
      </c>
      <c r="AH2407" s="2" t="s">
        <v>20713</v>
      </c>
      <c r="AI2407" s="2">
        <v>-0.16</v>
      </c>
      <c r="AJ2407" s="2">
        <v>22.145221847276201</v>
      </c>
      <c r="AK2407" s="2">
        <v>23.1315192948604</v>
      </c>
      <c r="AL2407" s="2">
        <v>23.067919529336098</v>
      </c>
      <c r="AM2407" s="2">
        <v>23.366068822733901</v>
      </c>
      <c r="AN2407" s="2">
        <v>22.743381436975</v>
      </c>
      <c r="AO2407" s="2">
        <v>23.321927545918602</v>
      </c>
      <c r="AP2407" s="2">
        <v>23.0677606644877</v>
      </c>
      <c r="AQ2407" s="2">
        <v>23.002850831109399</v>
      </c>
      <c r="AR2407" s="2">
        <v>23.425031525235699</v>
      </c>
      <c r="AS2407" s="2">
        <v>23.480464280244099</v>
      </c>
      <c r="AT2407" s="2">
        <v>23.4002054892103</v>
      </c>
      <c r="AU2407" s="2">
        <v>23.668826387479999</v>
      </c>
      <c r="AV2407" s="2">
        <v>23.073157018716199</v>
      </c>
      <c r="AW2407" s="2">
        <v>23.450904178168599</v>
      </c>
      <c r="AX2407" s="2">
        <v>23.181970467157999</v>
      </c>
      <c r="AY2407" s="2">
        <v>23.389955154082202</v>
      </c>
      <c r="AZ2407" s="2">
        <v>22.657585386190799</v>
      </c>
      <c r="BA2407" s="2">
        <v>22.661024849455199</v>
      </c>
      <c r="BB2407" s="2">
        <v>23.256352020450102</v>
      </c>
      <c r="BC2407" s="2">
        <v>23.0888563831972</v>
      </c>
      <c r="BD2407" s="2">
        <v>23.606430163879399</v>
      </c>
      <c r="BE2407" s="2">
        <v>22.925823585451699</v>
      </c>
      <c r="BF2407" s="2">
        <v>23.6079855162854</v>
      </c>
      <c r="BG2407" s="2">
        <v>23.043908275169301</v>
      </c>
      <c r="BH2407" s="2">
        <v>23.194163912783701</v>
      </c>
      <c r="BI2407" s="2">
        <v>23.146540538224698</v>
      </c>
      <c r="BJ2407" s="2">
        <v>22.773477809854299</v>
      </c>
      <c r="BK2407" s="2">
        <v>23.371331077786799</v>
      </c>
      <c r="BL2407" s="2">
        <v>22.882893173237498</v>
      </c>
      <c r="BM2407" s="2">
        <v>23.535723146908101</v>
      </c>
      <c r="BN2407" s="2">
        <v>23.0348867699118</v>
      </c>
      <c r="BO2407" s="2">
        <v>22.813904711604401</v>
      </c>
      <c r="BP2407" s="2">
        <v>22.570697695458399</v>
      </c>
      <c r="BQ2407" s="2">
        <v>23.062899780880102</v>
      </c>
      <c r="BR2407" s="2">
        <v>23.1603625191192</v>
      </c>
      <c r="BS2407" s="2">
        <v>22.533339229393299</v>
      </c>
      <c r="BT2407" s="2">
        <v>23.297377393580199</v>
      </c>
      <c r="BU2407" s="2">
        <v>23.597227038766</v>
      </c>
      <c r="BV2407" s="2">
        <v>23.010527923203</v>
      </c>
      <c r="BW2407" s="2">
        <v>23.647048381586501</v>
      </c>
      <c r="BX2407" s="2">
        <v>23.544428123426002</v>
      </c>
      <c r="BY2407" s="2">
        <v>21.463785491682302</v>
      </c>
      <c r="BZ2407" s="2">
        <v>22.689500406196501</v>
      </c>
      <c r="CA2407" s="2">
        <v>22.674417341885601</v>
      </c>
      <c r="CB2407" s="2">
        <v>22.7949490664842</v>
      </c>
      <c r="CC2407" s="2">
        <v>23.182044112207102</v>
      </c>
      <c r="CD2407" s="2">
        <v>21.7042587529318</v>
      </c>
      <c r="CE2407" s="2">
        <v>22.085757575600802</v>
      </c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</row>
    <row r="2408" spans="1:97">
      <c r="A2408" s="2" t="s">
        <v>20714</v>
      </c>
      <c r="B2408" s="2">
        <v>237.00452000000001</v>
      </c>
      <c r="C2408" s="2">
        <v>1.113</v>
      </c>
      <c r="D2408" s="2" t="s">
        <v>146</v>
      </c>
      <c r="E2408" s="2" t="s">
        <v>20715</v>
      </c>
      <c r="F2408" s="2" t="s">
        <v>20716</v>
      </c>
      <c r="G2408" s="2">
        <v>10148</v>
      </c>
      <c r="H2408" s="3" t="str">
        <f>HYPERLINK("https://cloud.oebiotech.com/#/lm/network/10148", "https://cloud.oebiotech.com/#/lm/network/10148")</f>
        <v>https://cloud.oebiotech.com/#/lm/network/10148</v>
      </c>
      <c r="I2408" s="2"/>
      <c r="J2408" s="2"/>
      <c r="K2408" s="2" t="s">
        <v>20717</v>
      </c>
      <c r="L2408" s="2">
        <v>134812263</v>
      </c>
      <c r="M2408" s="2"/>
      <c r="N2408" s="2"/>
      <c r="O2408" s="2"/>
      <c r="P2408" s="2"/>
      <c r="Q2408" s="2"/>
      <c r="R2408" s="2"/>
      <c r="S2408" s="2"/>
      <c r="T2408" s="2" t="s">
        <v>20718</v>
      </c>
      <c r="U2408" s="2" t="s">
        <v>20719</v>
      </c>
      <c r="V2408" s="2" t="s">
        <v>553</v>
      </c>
      <c r="W2408" s="2" t="s">
        <v>13714</v>
      </c>
      <c r="X2408" s="2" t="s">
        <v>375</v>
      </c>
      <c r="Y2408" s="2" t="s">
        <v>556</v>
      </c>
      <c r="Z2408" s="2" t="s">
        <v>13715</v>
      </c>
      <c r="AA2408" s="2"/>
      <c r="AB2408" s="2" t="s">
        <v>8443</v>
      </c>
      <c r="AC2408" s="2">
        <v>36.68</v>
      </c>
      <c r="AD2408" s="2">
        <v>86.83</v>
      </c>
      <c r="AE2408" s="2">
        <v>0</v>
      </c>
      <c r="AF2408" s="2" t="s">
        <v>5614</v>
      </c>
      <c r="AG2408" s="2" t="s">
        <v>194</v>
      </c>
      <c r="AH2408" s="2" t="s">
        <v>20720</v>
      </c>
      <c r="AI2408" s="2">
        <v>1.69</v>
      </c>
      <c r="AJ2408" s="2">
        <v>17.109438817159901</v>
      </c>
      <c r="AK2408" s="2">
        <v>17.428244349376701</v>
      </c>
      <c r="AL2408" s="2">
        <v>17.082545137523802</v>
      </c>
      <c r="AM2408" s="2">
        <v>17.2639596050774</v>
      </c>
      <c r="AN2408" s="2">
        <v>16.8397582518955</v>
      </c>
      <c r="AO2408" s="2">
        <v>17.162764621861701</v>
      </c>
      <c r="AP2408" s="2">
        <v>16.745938450814801</v>
      </c>
      <c r="AQ2408" s="2">
        <v>17.462332358027599</v>
      </c>
      <c r="AR2408" s="2">
        <v>17.610912586852599</v>
      </c>
      <c r="AS2408" s="2">
        <v>17.774506735641101</v>
      </c>
      <c r="AT2408" s="2">
        <v>16.711532413609401</v>
      </c>
      <c r="AU2408" s="2">
        <v>17.233483369190299</v>
      </c>
      <c r="AV2408" s="2">
        <v>17.3573743371104</v>
      </c>
      <c r="AW2408" s="2">
        <v>17.413078732418999</v>
      </c>
      <c r="AX2408" s="2">
        <v>17.804236226468099</v>
      </c>
      <c r="AY2408" s="2">
        <v>17.4967176603027</v>
      </c>
      <c r="AZ2408" s="2">
        <v>17.9549249386823</v>
      </c>
      <c r="BA2408" s="2">
        <v>17.626309080200599</v>
      </c>
      <c r="BB2408" s="2">
        <v>17.4071892465114</v>
      </c>
      <c r="BC2408" s="2">
        <v>16.1449579102547</v>
      </c>
      <c r="BD2408" s="2">
        <v>16.822671401850499</v>
      </c>
      <c r="BE2408" s="2">
        <v>17.146515178254901</v>
      </c>
      <c r="BF2408" s="2">
        <v>17.4966912154364</v>
      </c>
      <c r="BG2408" s="2">
        <v>17.623440651562198</v>
      </c>
      <c r="BH2408" s="2">
        <v>17.461924465411201</v>
      </c>
      <c r="BI2408" s="2">
        <v>16.9024582611478</v>
      </c>
      <c r="BJ2408" s="2">
        <v>17.647185126674</v>
      </c>
      <c r="BK2408" s="2">
        <v>17.550756328178299</v>
      </c>
      <c r="BL2408" s="2">
        <v>17.9271951979702</v>
      </c>
      <c r="BM2408" s="2">
        <v>17.2745052825972</v>
      </c>
      <c r="BN2408" s="2">
        <v>17.337843909015199</v>
      </c>
      <c r="BO2408" s="2">
        <v>17.295379102312801</v>
      </c>
      <c r="BP2408" s="2">
        <v>17.666089437471001</v>
      </c>
      <c r="BQ2408" s="2">
        <v>17.5030500622949</v>
      </c>
      <c r="BR2408" s="2">
        <v>18.0609164813545</v>
      </c>
      <c r="BS2408" s="2">
        <v>16.909393649760499</v>
      </c>
      <c r="BT2408" s="2">
        <v>17.360189699069199</v>
      </c>
      <c r="BU2408" s="2">
        <v>17.136685179608701</v>
      </c>
      <c r="BV2408" s="2">
        <v>16.711408999939898</v>
      </c>
      <c r="BW2408" s="2">
        <v>17.664392838005298</v>
      </c>
      <c r="BX2408" s="2">
        <v>17.3033730065169</v>
      </c>
      <c r="BY2408" s="2">
        <v>16.22871086004</v>
      </c>
      <c r="BZ2408" s="2">
        <v>17.629714204059301</v>
      </c>
      <c r="CA2408" s="2">
        <v>15.741741363096301</v>
      </c>
      <c r="CB2408" s="2">
        <v>17.080790884794599</v>
      </c>
      <c r="CC2408" s="2">
        <v>17.368252797842199</v>
      </c>
      <c r="CD2408" s="2">
        <v>17.459676631207198</v>
      </c>
      <c r="CE2408" s="2">
        <v>17.374286501572598</v>
      </c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</row>
    <row r="2409" spans="1:97">
      <c r="A2409" s="2" t="s">
        <v>20721</v>
      </c>
      <c r="B2409" s="2">
        <v>249.00452999999999</v>
      </c>
      <c r="C2409" s="2">
        <v>4.3289999999999997</v>
      </c>
      <c r="D2409" s="2" t="s">
        <v>146</v>
      </c>
      <c r="E2409" s="2" t="s">
        <v>20722</v>
      </c>
      <c r="F2409" s="2" t="s">
        <v>20723</v>
      </c>
      <c r="G2409" s="2">
        <v>10142</v>
      </c>
      <c r="H2409" s="3" t="str">
        <f>HYPERLINK("https://cloud.oebiotech.com/#/lm/network/10142", "https://cloud.oebiotech.com/#/lm/network/10142")</f>
        <v>https://cloud.oebiotech.com/#/lm/network/10142</v>
      </c>
      <c r="I2409" s="2"/>
      <c r="J2409" s="2"/>
      <c r="K2409" s="2" t="s">
        <v>20724</v>
      </c>
      <c r="L2409" s="2">
        <v>14186845</v>
      </c>
      <c r="M2409" s="2"/>
      <c r="N2409" s="2"/>
      <c r="O2409" s="2"/>
      <c r="P2409" s="2"/>
      <c r="Q2409" s="2"/>
      <c r="R2409" s="2"/>
      <c r="S2409" s="2"/>
      <c r="T2409" s="2" t="s">
        <v>20725</v>
      </c>
      <c r="U2409" s="2" t="s">
        <v>20726</v>
      </c>
      <c r="V2409" s="2" t="s">
        <v>553</v>
      </c>
      <c r="W2409" s="2" t="s">
        <v>19626</v>
      </c>
      <c r="X2409" s="2" t="s">
        <v>375</v>
      </c>
      <c r="Y2409" s="2" t="s">
        <v>556</v>
      </c>
      <c r="Z2409" s="2" t="s">
        <v>19627</v>
      </c>
      <c r="AA2409" s="2"/>
      <c r="AB2409" s="2" t="s">
        <v>8443</v>
      </c>
      <c r="AC2409" s="2">
        <v>36.67</v>
      </c>
      <c r="AD2409" s="2">
        <v>86.42</v>
      </c>
      <c r="AE2409" s="2">
        <v>0</v>
      </c>
      <c r="AF2409" s="2" t="s">
        <v>5614</v>
      </c>
      <c r="AG2409" s="2" t="s">
        <v>194</v>
      </c>
      <c r="AH2409" s="2" t="s">
        <v>20727</v>
      </c>
      <c r="AI2409" s="2">
        <v>1.61</v>
      </c>
      <c r="AJ2409" s="2">
        <v>17.250712185807199</v>
      </c>
      <c r="AK2409" s="2">
        <v>16.7300348854201</v>
      </c>
      <c r="AL2409" s="2">
        <v>16.956195309864</v>
      </c>
      <c r="AM2409" s="2">
        <v>16.650745770163802</v>
      </c>
      <c r="AN2409" s="2">
        <v>16.716116104654201</v>
      </c>
      <c r="AO2409" s="2">
        <v>16.309556465813898</v>
      </c>
      <c r="AP2409" s="2">
        <v>16.848662914224601</v>
      </c>
      <c r="AQ2409" s="2">
        <v>16.434968436565299</v>
      </c>
      <c r="AR2409" s="2">
        <v>15.290702510270201</v>
      </c>
      <c r="AS2409" s="2">
        <v>15.684114946643</v>
      </c>
      <c r="AT2409" s="2">
        <v>16.552143419402601</v>
      </c>
      <c r="AU2409" s="2">
        <v>15.7325617592998</v>
      </c>
      <c r="AV2409" s="2">
        <v>17.008704572383898</v>
      </c>
      <c r="AW2409" s="2">
        <v>16.4267466428735</v>
      </c>
      <c r="AX2409" s="2">
        <v>16.416726288162302</v>
      </c>
      <c r="AY2409" s="2">
        <v>16.283458097556601</v>
      </c>
      <c r="AZ2409" s="2">
        <v>15.977177496387901</v>
      </c>
      <c r="BA2409" s="2">
        <v>15.551401259785401</v>
      </c>
      <c r="BB2409" s="2">
        <v>16.082234507523498</v>
      </c>
      <c r="BC2409" s="2">
        <v>16.957228013347201</v>
      </c>
      <c r="BD2409" s="2">
        <v>16.0501171158188</v>
      </c>
      <c r="BE2409" s="2">
        <v>17.172383068359402</v>
      </c>
      <c r="BF2409" s="2">
        <v>16.809612146458701</v>
      </c>
      <c r="BG2409" s="2">
        <v>17.0367549744972</v>
      </c>
      <c r="BH2409" s="2">
        <v>16.6716136253272</v>
      </c>
      <c r="BI2409" s="2">
        <v>17.178050306628801</v>
      </c>
      <c r="BJ2409" s="2">
        <v>16.4117919922355</v>
      </c>
      <c r="BK2409" s="2">
        <v>16.7694996723482</v>
      </c>
      <c r="BL2409" s="2">
        <v>16.3203390580024</v>
      </c>
      <c r="BM2409" s="2">
        <v>16.050472575726001</v>
      </c>
      <c r="BN2409" s="2">
        <v>16.813045128821599</v>
      </c>
      <c r="BO2409" s="2">
        <v>16.724385682474999</v>
      </c>
      <c r="BP2409" s="2">
        <v>16.344200360885601</v>
      </c>
      <c r="BQ2409" s="2">
        <v>16.984722956552002</v>
      </c>
      <c r="BR2409" s="2">
        <v>16.0288891797844</v>
      </c>
      <c r="BS2409" s="2">
        <v>16.129019129363702</v>
      </c>
      <c r="BT2409" s="2">
        <v>16.347182223648101</v>
      </c>
      <c r="BU2409" s="2">
        <v>16.277426351651101</v>
      </c>
      <c r="BV2409" s="2">
        <v>17.111613337134202</v>
      </c>
      <c r="BW2409" s="2">
        <v>17.007545598486399</v>
      </c>
      <c r="BX2409" s="2">
        <v>16.152843334808701</v>
      </c>
      <c r="BY2409" s="2">
        <v>16.607520753109299</v>
      </c>
      <c r="BZ2409" s="2">
        <v>16.230649075314801</v>
      </c>
      <c r="CA2409" s="2">
        <v>16.6569969618795</v>
      </c>
      <c r="CB2409" s="2">
        <v>16.7662450985536</v>
      </c>
      <c r="CC2409" s="2">
        <v>16.734789123951298</v>
      </c>
      <c r="CD2409" s="2">
        <v>17.050428679466702</v>
      </c>
      <c r="CE2409" s="2">
        <v>17.0066454901771</v>
      </c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</row>
    <row r="2410" spans="1:97">
      <c r="A2410" s="2" t="s">
        <v>20728</v>
      </c>
      <c r="B2410" s="2">
        <v>261.01092999999997</v>
      </c>
      <c r="C2410" s="2">
        <v>0.72299999999999998</v>
      </c>
      <c r="D2410" s="2" t="s">
        <v>84</v>
      </c>
      <c r="E2410" s="2" t="s">
        <v>20729</v>
      </c>
      <c r="F2410" s="2" t="s">
        <v>20730</v>
      </c>
      <c r="G2410" s="2">
        <v>65015</v>
      </c>
      <c r="H2410" s="3" t="str">
        <f>HYPERLINK("https://cloud.oebiotech.com/#/lm/network/65015", "https://cloud.oebiotech.com/#/lm/network/65015")</f>
        <v>https://cloud.oebiotech.com/#/lm/network/65015</v>
      </c>
      <c r="I2410" s="2" t="s">
        <v>20731</v>
      </c>
      <c r="J2410" s="2"/>
      <c r="K2410" s="2"/>
      <c r="L2410" s="2">
        <v>9296</v>
      </c>
      <c r="M2410" s="2" t="s">
        <v>20732</v>
      </c>
      <c r="N2410" s="2"/>
      <c r="O2410" s="2"/>
      <c r="P2410" s="2"/>
      <c r="Q2410" s="2"/>
      <c r="R2410" s="2"/>
      <c r="S2410" s="2" t="s">
        <v>20733</v>
      </c>
      <c r="T2410" s="2" t="s">
        <v>20734</v>
      </c>
      <c r="U2410" s="2" t="s">
        <v>20735</v>
      </c>
      <c r="V2410" s="2" t="s">
        <v>115</v>
      </c>
      <c r="W2410" s="2" t="s">
        <v>2162</v>
      </c>
      <c r="X2410" s="2" t="s">
        <v>2163</v>
      </c>
      <c r="Y2410" s="2" t="s">
        <v>118</v>
      </c>
      <c r="Z2410" s="2" t="s">
        <v>2164</v>
      </c>
      <c r="AA2410" s="2" t="s">
        <v>2164</v>
      </c>
      <c r="AB2410" s="2" t="s">
        <v>8443</v>
      </c>
      <c r="AC2410" s="2">
        <v>36.67</v>
      </c>
      <c r="AD2410" s="2">
        <v>89.86</v>
      </c>
      <c r="AE2410" s="2">
        <v>0</v>
      </c>
      <c r="AF2410" s="2" t="s">
        <v>5614</v>
      </c>
      <c r="AG2410" s="2" t="s">
        <v>1088</v>
      </c>
      <c r="AH2410" s="2" t="s">
        <v>20736</v>
      </c>
      <c r="AI2410" s="2">
        <v>-2.2999999999999998</v>
      </c>
      <c r="AJ2410" s="2">
        <v>22.406459266983202</v>
      </c>
      <c r="AK2410" s="2">
        <v>22.461311888027598</v>
      </c>
      <c r="AL2410" s="2">
        <v>22.464697124905101</v>
      </c>
      <c r="AM2410" s="2">
        <v>22.67189529525</v>
      </c>
      <c r="AN2410" s="2">
        <v>22.3003908208517</v>
      </c>
      <c r="AO2410" s="2">
        <v>22.656960706261</v>
      </c>
      <c r="AP2410" s="2">
        <v>22.4799270915485</v>
      </c>
      <c r="AQ2410" s="2">
        <v>22.5818298755112</v>
      </c>
      <c r="AR2410" s="2">
        <v>21.9443372898204</v>
      </c>
      <c r="AS2410" s="2">
        <v>19.5495371572074</v>
      </c>
      <c r="AT2410" s="2">
        <v>22.278418498219501</v>
      </c>
      <c r="AU2410" s="2">
        <v>21.401018963028399</v>
      </c>
      <c r="AV2410" s="2">
        <v>22.513795065554302</v>
      </c>
      <c r="AW2410" s="2">
        <v>22.222284688364301</v>
      </c>
      <c r="AX2410" s="2">
        <v>21.925141929830001</v>
      </c>
      <c r="AY2410" s="2">
        <v>22.6719050906303</v>
      </c>
      <c r="AZ2410" s="2">
        <v>22.512869669614901</v>
      </c>
      <c r="BA2410" s="2">
        <v>22.018887989375099</v>
      </c>
      <c r="BB2410" s="2">
        <v>22.107333504825501</v>
      </c>
      <c r="BC2410" s="2">
        <v>21.383036005013199</v>
      </c>
      <c r="BD2410" s="2">
        <v>23.0165929632577</v>
      </c>
      <c r="BE2410" s="2">
        <v>22.506092159619801</v>
      </c>
      <c r="BF2410" s="2">
        <v>22.597355562501399</v>
      </c>
      <c r="BG2410" s="2">
        <v>21.782452207864601</v>
      </c>
      <c r="BH2410" s="2">
        <v>22.304972296557299</v>
      </c>
      <c r="BI2410" s="2">
        <v>21.968752719073098</v>
      </c>
      <c r="BJ2410" s="2">
        <v>22.610832964025501</v>
      </c>
      <c r="BK2410" s="2">
        <v>23.073068400525099</v>
      </c>
      <c r="BL2410" s="2">
        <v>22.4097246575095</v>
      </c>
      <c r="BM2410" s="2">
        <v>21.5071718593546</v>
      </c>
      <c r="BN2410" s="2">
        <v>21.773903089398299</v>
      </c>
      <c r="BO2410" s="2">
        <v>22.433488624388499</v>
      </c>
      <c r="BP2410" s="2">
        <v>22.5823973613997</v>
      </c>
      <c r="BQ2410" s="2">
        <v>21.874076142203901</v>
      </c>
      <c r="BR2410" s="2">
        <v>21.722722662297599</v>
      </c>
      <c r="BS2410" s="2">
        <v>23.261442443223999</v>
      </c>
      <c r="BT2410" s="2">
        <v>22.418865161439701</v>
      </c>
      <c r="BU2410" s="2">
        <v>21.792434789765</v>
      </c>
      <c r="BV2410" s="2">
        <v>22.238673463179602</v>
      </c>
      <c r="BW2410" s="2">
        <v>22.292350298881701</v>
      </c>
      <c r="BX2410" s="2">
        <v>22.168145913128399</v>
      </c>
      <c r="BY2410" s="2">
        <v>22.686664875262899</v>
      </c>
      <c r="BZ2410" s="2">
        <v>22.225802787368401</v>
      </c>
      <c r="CA2410" s="2">
        <v>23.554790380776499</v>
      </c>
      <c r="CB2410" s="2">
        <v>22.405693977213001</v>
      </c>
      <c r="CC2410" s="2">
        <v>22.1169687443724</v>
      </c>
      <c r="CD2410" s="2">
        <v>22.734276224740999</v>
      </c>
      <c r="CE2410" s="2">
        <v>22.570475587040601</v>
      </c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</row>
    <row r="2411" spans="1:97">
      <c r="A2411" s="2" t="s">
        <v>20737</v>
      </c>
      <c r="B2411" s="2">
        <v>235.16453999999999</v>
      </c>
      <c r="C2411" s="2">
        <v>0.71399999999999997</v>
      </c>
      <c r="D2411" s="2" t="s">
        <v>84</v>
      </c>
      <c r="E2411" s="2" t="s">
        <v>20738</v>
      </c>
      <c r="F2411" s="2" t="s">
        <v>20739</v>
      </c>
      <c r="G2411" s="2">
        <v>8387</v>
      </c>
      <c r="H2411" s="3" t="str">
        <f>HYPERLINK("https://cloud.oebiotech.com/#/lm/network/8387", "https://cloud.oebiotech.com/#/lm/network/8387")</f>
        <v>https://cloud.oebiotech.com/#/lm/network/8387</v>
      </c>
      <c r="I2411" s="2" t="s">
        <v>20740</v>
      </c>
      <c r="J2411" s="2"/>
      <c r="K2411" s="2" t="s">
        <v>20741</v>
      </c>
      <c r="L2411" s="2">
        <v>107738</v>
      </c>
      <c r="M2411" s="2" t="s">
        <v>1951</v>
      </c>
      <c r="N2411" s="2"/>
      <c r="O2411" s="2"/>
      <c r="P2411" s="2">
        <v>28867</v>
      </c>
      <c r="Q2411" s="2" t="s">
        <v>12465</v>
      </c>
      <c r="R2411" s="2" t="s">
        <v>12466</v>
      </c>
      <c r="S2411" s="2"/>
      <c r="T2411" s="2" t="s">
        <v>20742</v>
      </c>
      <c r="U2411" s="2" t="s">
        <v>20743</v>
      </c>
      <c r="V2411" s="2" t="s">
        <v>95</v>
      </c>
      <c r="W2411" s="2" t="s">
        <v>96</v>
      </c>
      <c r="X2411" s="2" t="s">
        <v>97</v>
      </c>
      <c r="Y2411" s="2" t="s">
        <v>98</v>
      </c>
      <c r="Z2411" s="2" t="s">
        <v>99</v>
      </c>
      <c r="AA2411" s="2" t="s">
        <v>100</v>
      </c>
      <c r="AB2411" s="2" t="s">
        <v>8443</v>
      </c>
      <c r="AC2411" s="2">
        <v>36.659999999999997</v>
      </c>
      <c r="AD2411" s="2">
        <v>93.18</v>
      </c>
      <c r="AE2411" s="2">
        <v>0</v>
      </c>
      <c r="AF2411" s="2" t="s">
        <v>5614</v>
      </c>
      <c r="AG2411" s="2" t="s">
        <v>132</v>
      </c>
      <c r="AH2411" s="2" t="s">
        <v>1955</v>
      </c>
      <c r="AI2411" s="2">
        <v>2.98</v>
      </c>
      <c r="AJ2411" s="2">
        <v>21.439825553752499</v>
      </c>
      <c r="AK2411" s="2">
        <v>21.9122202874102</v>
      </c>
      <c r="AL2411" s="2">
        <v>21.124943083306501</v>
      </c>
      <c r="AM2411" s="2">
        <v>22.252687284389101</v>
      </c>
      <c r="AN2411" s="2">
        <v>21.851542196172801</v>
      </c>
      <c r="AO2411" s="2">
        <v>21.492882470010201</v>
      </c>
      <c r="AP2411" s="2">
        <v>21.900401890482001</v>
      </c>
      <c r="AQ2411" s="2">
        <v>21.909957221618502</v>
      </c>
      <c r="AR2411" s="2">
        <v>21.893503771233402</v>
      </c>
      <c r="AS2411" s="2">
        <v>19.955171446826199</v>
      </c>
      <c r="AT2411" s="2">
        <v>20.635301930971099</v>
      </c>
      <c r="AU2411" s="2">
        <v>21.883359188775501</v>
      </c>
      <c r="AV2411" s="2">
        <v>22.4986275023725</v>
      </c>
      <c r="AW2411" s="2">
        <v>22.558620374357002</v>
      </c>
      <c r="AX2411" s="2">
        <v>21.4853639931689</v>
      </c>
      <c r="AY2411" s="2">
        <v>20.525769626380701</v>
      </c>
      <c r="AZ2411" s="2">
        <v>19.637960351242899</v>
      </c>
      <c r="BA2411" s="2">
        <v>23.176915224049399</v>
      </c>
      <c r="BB2411" s="2">
        <v>22.4617118391212</v>
      </c>
      <c r="BC2411" s="2">
        <v>19.0444865475874</v>
      </c>
      <c r="BD2411" s="2">
        <v>22.295964659893102</v>
      </c>
      <c r="BE2411" s="2">
        <v>20.026525955001102</v>
      </c>
      <c r="BF2411" s="2">
        <v>21.076568056142001</v>
      </c>
      <c r="BG2411" s="2">
        <v>20.987463962277999</v>
      </c>
      <c r="BH2411" s="2">
        <v>21.540370414029798</v>
      </c>
      <c r="BI2411" s="2">
        <v>18.4046652323415</v>
      </c>
      <c r="BJ2411" s="2">
        <v>20.420256259468999</v>
      </c>
      <c r="BK2411" s="2">
        <v>20.5499500023694</v>
      </c>
      <c r="BL2411" s="2">
        <v>22.891427647811401</v>
      </c>
      <c r="BM2411" s="2">
        <v>21.514130111891198</v>
      </c>
      <c r="BN2411" s="2">
        <v>21.3828339347032</v>
      </c>
      <c r="BO2411" s="2">
        <v>20.9011979898413</v>
      </c>
      <c r="BP2411" s="2">
        <v>20.402509441779198</v>
      </c>
      <c r="BQ2411" s="2">
        <v>20.983188542696599</v>
      </c>
      <c r="BR2411" s="2">
        <v>21.104187367949901</v>
      </c>
      <c r="BS2411" s="2">
        <v>22.1494605057357</v>
      </c>
      <c r="BT2411" s="2">
        <v>23.357129408371101</v>
      </c>
      <c r="BU2411" s="2">
        <v>22.881566205484098</v>
      </c>
      <c r="BV2411" s="2">
        <v>23.668097739583899</v>
      </c>
      <c r="BW2411" s="2">
        <v>22.519793049612002</v>
      </c>
      <c r="BX2411" s="2">
        <v>21.156668939811599</v>
      </c>
      <c r="BY2411" s="2">
        <v>18.603617036919101</v>
      </c>
      <c r="BZ2411" s="2">
        <v>21.136601633801</v>
      </c>
      <c r="CA2411" s="2">
        <v>21.2124813997901</v>
      </c>
      <c r="CB2411" s="2">
        <v>20.9448867561076</v>
      </c>
      <c r="CC2411" s="2">
        <v>20.5541113453117</v>
      </c>
      <c r="CD2411" s="2">
        <v>20.505103644833</v>
      </c>
      <c r="CE2411" s="2">
        <v>18.216048731319699</v>
      </c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</row>
    <row r="2412" spans="1:97">
      <c r="A2412" s="2" t="s">
        <v>20744</v>
      </c>
      <c r="B2412" s="2">
        <v>90.037499999999994</v>
      </c>
      <c r="C2412" s="2">
        <v>4.6779999999999999</v>
      </c>
      <c r="D2412" s="2" t="s">
        <v>84</v>
      </c>
      <c r="E2412" s="2" t="s">
        <v>20745</v>
      </c>
      <c r="F2412" s="2" t="s">
        <v>20746</v>
      </c>
      <c r="G2412" s="2">
        <v>257310</v>
      </c>
      <c r="H2412" s="3" t="str">
        <f>HYPERLINK("https://cloud.oebiotech.com/#/lm/network/257310", "https://cloud.oebiotech.com/#/lm/network/257310")</f>
        <v>https://cloud.oebiotech.com/#/lm/network/257310</v>
      </c>
      <c r="I2412" s="2" t="s">
        <v>20747</v>
      </c>
      <c r="J2412" s="2"/>
      <c r="K2412" s="2"/>
      <c r="L2412" s="2"/>
      <c r="M2412" s="2"/>
      <c r="N2412" s="2"/>
      <c r="O2412" s="2"/>
      <c r="P2412" s="2">
        <v>59787</v>
      </c>
      <c r="Q2412" s="2"/>
      <c r="R2412" s="2"/>
      <c r="S2412" s="2"/>
      <c r="T2412" s="2" t="s">
        <v>20748</v>
      </c>
      <c r="U2412" s="2" t="s">
        <v>20749</v>
      </c>
      <c r="V2412" s="2" t="s">
        <v>9746</v>
      </c>
      <c r="W2412" s="2" t="s">
        <v>20750</v>
      </c>
      <c r="X2412" s="2" t="s">
        <v>20751</v>
      </c>
      <c r="Y2412" s="2" t="s">
        <v>9748</v>
      </c>
      <c r="Z2412" s="2" t="s">
        <v>20752</v>
      </c>
      <c r="AA2412" s="2" t="s">
        <v>20753</v>
      </c>
      <c r="AB2412" s="2" t="s">
        <v>8443</v>
      </c>
      <c r="AC2412" s="2">
        <v>36.659999999999997</v>
      </c>
      <c r="AD2412" s="2">
        <v>95.5</v>
      </c>
      <c r="AE2412" s="2">
        <v>0</v>
      </c>
      <c r="AF2412" s="2" t="s">
        <v>5614</v>
      </c>
      <c r="AG2412" s="2" t="s">
        <v>132</v>
      </c>
      <c r="AH2412" s="2" t="s">
        <v>20754</v>
      </c>
      <c r="AI2412" s="2">
        <v>-3.44</v>
      </c>
      <c r="AJ2412" s="2">
        <v>18.8778764763189</v>
      </c>
      <c r="AK2412" s="2">
        <v>18.872401553838799</v>
      </c>
      <c r="AL2412" s="2">
        <v>18.250098430729999</v>
      </c>
      <c r="AM2412" s="2">
        <v>18.895913226532802</v>
      </c>
      <c r="AN2412" s="2">
        <v>18.1353812861676</v>
      </c>
      <c r="AO2412" s="2">
        <v>18.831319151975102</v>
      </c>
      <c r="AP2412" s="2">
        <v>18.551887528589301</v>
      </c>
      <c r="AQ2412" s="2">
        <v>18.276130813400201</v>
      </c>
      <c r="AR2412" s="2">
        <v>16.855828659349701</v>
      </c>
      <c r="AS2412" s="2">
        <v>16.604516889060601</v>
      </c>
      <c r="AT2412" s="2">
        <v>18.9399983459985</v>
      </c>
      <c r="AU2412" s="2">
        <v>19.149469334677899</v>
      </c>
      <c r="AV2412" s="2">
        <v>18.630380222252899</v>
      </c>
      <c r="AW2412" s="2">
        <v>19.0150543335347</v>
      </c>
      <c r="AX2412" s="2">
        <v>19.112074296704701</v>
      </c>
      <c r="AY2412" s="2">
        <v>19.198242627882699</v>
      </c>
      <c r="AZ2412" s="2">
        <v>18.5747969832493</v>
      </c>
      <c r="BA2412" s="2">
        <v>18.801761808615801</v>
      </c>
      <c r="BB2412" s="2">
        <v>17.938457067013399</v>
      </c>
      <c r="BC2412" s="2">
        <v>19.290414472430701</v>
      </c>
      <c r="BD2412" s="2">
        <v>19.1794155568764</v>
      </c>
      <c r="BE2412" s="2">
        <v>19.601226462045101</v>
      </c>
      <c r="BF2412" s="2">
        <v>19.478771534842998</v>
      </c>
      <c r="BG2412" s="2">
        <v>18.4327034540051</v>
      </c>
      <c r="BH2412" s="2">
        <v>19.1781116706982</v>
      </c>
      <c r="BI2412" s="2">
        <v>19.180011157467099</v>
      </c>
      <c r="BJ2412" s="2">
        <v>17.070906873345798</v>
      </c>
      <c r="BK2412" s="2">
        <v>18.982370692185199</v>
      </c>
      <c r="BL2412" s="2">
        <v>18.6708390982973</v>
      </c>
      <c r="BM2412" s="2">
        <v>19.514540393939999</v>
      </c>
      <c r="BN2412" s="2">
        <v>19.3457267521723</v>
      </c>
      <c r="BO2412" s="2">
        <v>18.913145952054901</v>
      </c>
      <c r="BP2412" s="2">
        <v>18.575021542204802</v>
      </c>
      <c r="BQ2412" s="2">
        <v>18.594599683300402</v>
      </c>
      <c r="BR2412" s="2">
        <v>18.077827497633699</v>
      </c>
      <c r="BS2412" s="2">
        <v>19.075953077473802</v>
      </c>
      <c r="BT2412" s="2">
        <v>17.5686611978775</v>
      </c>
      <c r="BU2412" s="2">
        <v>19.505180674894401</v>
      </c>
      <c r="BV2412" s="2">
        <v>18.043066224297</v>
      </c>
      <c r="BW2412" s="2">
        <v>18.1045616435736</v>
      </c>
      <c r="BX2412" s="2">
        <v>19.170680389933999</v>
      </c>
      <c r="BY2412" s="2">
        <v>19.488240038026301</v>
      </c>
      <c r="BZ2412" s="2">
        <v>18.176759670258701</v>
      </c>
      <c r="CA2412" s="2">
        <v>16.516096118493</v>
      </c>
      <c r="CB2412" s="2">
        <v>17.1582714183007</v>
      </c>
      <c r="CC2412" s="2">
        <v>19.434168191012599</v>
      </c>
      <c r="CD2412" s="2">
        <v>18.7654844698998</v>
      </c>
      <c r="CE2412" s="2">
        <v>19.002847916605901</v>
      </c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</row>
    <row r="2413" spans="1:97">
      <c r="A2413" s="2" t="s">
        <v>20755</v>
      </c>
      <c r="B2413" s="2">
        <v>385.25889000000001</v>
      </c>
      <c r="C2413" s="2">
        <v>11.362</v>
      </c>
      <c r="D2413" s="2" t="s">
        <v>146</v>
      </c>
      <c r="E2413" s="2" t="s">
        <v>20756</v>
      </c>
      <c r="F2413" s="2" t="s">
        <v>20757</v>
      </c>
      <c r="G2413" s="2">
        <v>203377</v>
      </c>
      <c r="H2413" s="3" t="str">
        <f>HYPERLINK("https://cloud.oebiotech.com/#/lm/network/203377", "https://cloud.oebiotech.com/#/lm/network/203377")</f>
        <v>https://cloud.oebiotech.com/#/lm/network/203377</v>
      </c>
      <c r="I2413" s="2" t="s">
        <v>20758</v>
      </c>
      <c r="J2413" s="2">
        <v>409886</v>
      </c>
      <c r="K2413" s="2"/>
      <c r="L2413" s="2">
        <v>178030</v>
      </c>
      <c r="M2413" s="2"/>
      <c r="N2413" s="2"/>
      <c r="O2413" s="2"/>
      <c r="P2413" s="2"/>
      <c r="Q2413" s="2"/>
      <c r="R2413" s="2"/>
      <c r="S2413" s="2"/>
      <c r="T2413" s="2" t="s">
        <v>20759</v>
      </c>
      <c r="U2413" s="2" t="s">
        <v>20760</v>
      </c>
      <c r="V2413" s="2" t="s">
        <v>553</v>
      </c>
      <c r="W2413" s="2" t="s">
        <v>2447</v>
      </c>
      <c r="X2413" s="2" t="s">
        <v>6211</v>
      </c>
      <c r="Y2413" s="2" t="s">
        <v>556</v>
      </c>
      <c r="Z2413" s="2" t="s">
        <v>2449</v>
      </c>
      <c r="AA2413" s="2" t="s">
        <v>6212</v>
      </c>
      <c r="AB2413" s="2" t="s">
        <v>8443</v>
      </c>
      <c r="AC2413" s="2">
        <v>36.659999999999997</v>
      </c>
      <c r="AD2413" s="2">
        <v>87.39</v>
      </c>
      <c r="AE2413" s="2">
        <v>0</v>
      </c>
      <c r="AF2413" s="2" t="s">
        <v>5614</v>
      </c>
      <c r="AG2413" s="2" t="s">
        <v>3880</v>
      </c>
      <c r="AH2413" s="2" t="s">
        <v>20761</v>
      </c>
      <c r="AI2413" s="2">
        <v>-1.82</v>
      </c>
      <c r="AJ2413" s="2">
        <v>15.8083227005034</v>
      </c>
      <c r="AK2413" s="2">
        <v>15.433233330523301</v>
      </c>
      <c r="AL2413" s="2">
        <v>15.086742474168499</v>
      </c>
      <c r="AM2413" s="2">
        <v>15.758106074295601</v>
      </c>
      <c r="AN2413" s="2">
        <v>16.170629661618602</v>
      </c>
      <c r="AO2413" s="2">
        <v>15.6485867770339</v>
      </c>
      <c r="AP2413" s="2">
        <v>15.354952166381199</v>
      </c>
      <c r="AQ2413" s="2">
        <v>15.481436820693901</v>
      </c>
      <c r="AR2413" s="2">
        <v>9.6233145402724691</v>
      </c>
      <c r="AS2413" s="2">
        <v>9.6233145402724691</v>
      </c>
      <c r="AT2413" s="2">
        <v>9.6233145402724691</v>
      </c>
      <c r="AU2413" s="2">
        <v>17.881361651622399</v>
      </c>
      <c r="AV2413" s="2">
        <v>19.100503734841201</v>
      </c>
      <c r="AW2413" s="2">
        <v>17.864993093362699</v>
      </c>
      <c r="AX2413" s="2">
        <v>9.6233145402724691</v>
      </c>
      <c r="AY2413" s="2">
        <v>16.726897589378101</v>
      </c>
      <c r="AZ2413" s="2">
        <v>16.5520488310496</v>
      </c>
      <c r="BA2413" s="2">
        <v>9.6233145402724691</v>
      </c>
      <c r="BB2413" s="2">
        <v>9.6233145402724691</v>
      </c>
      <c r="BC2413" s="2">
        <v>9.6233145402724691</v>
      </c>
      <c r="BD2413" s="2">
        <v>9.6233145402724691</v>
      </c>
      <c r="BE2413" s="2">
        <v>15.757164700899899</v>
      </c>
      <c r="BF2413" s="2">
        <v>16.5812279500235</v>
      </c>
      <c r="BG2413" s="2">
        <v>9.6233145402724691</v>
      </c>
      <c r="BH2413" s="2">
        <v>9.6233145402724691</v>
      </c>
      <c r="BI2413" s="2">
        <v>9.6233145402724691</v>
      </c>
      <c r="BJ2413" s="2">
        <v>9.6233145402724691</v>
      </c>
      <c r="BK2413" s="2">
        <v>18.109596646159599</v>
      </c>
      <c r="BL2413" s="2">
        <v>9.6233145402724691</v>
      </c>
      <c r="BM2413" s="2">
        <v>11.8044012994655</v>
      </c>
      <c r="BN2413" s="2">
        <v>9.6233145402724691</v>
      </c>
      <c r="BO2413" s="2">
        <v>14.295003339706099</v>
      </c>
      <c r="BP2413" s="2">
        <v>9.6233145402724691</v>
      </c>
      <c r="BQ2413" s="2">
        <v>9.6233145402724691</v>
      </c>
      <c r="BR2413" s="2">
        <v>13.895739043586101</v>
      </c>
      <c r="BS2413" s="2">
        <v>19.742474955815901</v>
      </c>
      <c r="BT2413" s="2">
        <v>9.6233145402724691</v>
      </c>
      <c r="BU2413" s="2">
        <v>9.6233145402724691</v>
      </c>
      <c r="BV2413" s="2">
        <v>9.6233145402724691</v>
      </c>
      <c r="BW2413" s="2">
        <v>11.330306291784</v>
      </c>
      <c r="BX2413" s="2">
        <v>13.5391794139647</v>
      </c>
      <c r="BY2413" s="2">
        <v>16.8271428261111</v>
      </c>
      <c r="BZ2413" s="2">
        <v>16.8601663852819</v>
      </c>
      <c r="CA2413" s="2">
        <v>17.096151903529499</v>
      </c>
      <c r="CB2413" s="2">
        <v>13.6273936663047</v>
      </c>
      <c r="CC2413" s="2">
        <v>9.6233145402724691</v>
      </c>
      <c r="CD2413" s="2">
        <v>9.6233145402724691</v>
      </c>
      <c r="CE2413" s="2">
        <v>11.2380464096364</v>
      </c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</row>
    <row r="2414" spans="1:97">
      <c r="A2414" s="2" t="s">
        <v>20762</v>
      </c>
      <c r="B2414" s="2">
        <v>264.19337999999999</v>
      </c>
      <c r="C2414" s="2">
        <v>9.8550000000000004</v>
      </c>
      <c r="D2414" s="2" t="s">
        <v>84</v>
      </c>
      <c r="E2414" s="2" t="s">
        <v>20763</v>
      </c>
      <c r="F2414" s="2" t="s">
        <v>20764</v>
      </c>
      <c r="G2414" s="2">
        <v>64350</v>
      </c>
      <c r="H2414" s="3" t="str">
        <f>HYPERLINK("https://cloud.oebiotech.com/#/lm/network/64350", "https://cloud.oebiotech.com/#/lm/network/64350")</f>
        <v>https://cloud.oebiotech.com/#/lm/network/64350</v>
      </c>
      <c r="I2414" s="2" t="s">
        <v>20765</v>
      </c>
      <c r="J2414" s="2">
        <v>95668</v>
      </c>
      <c r="K2414" s="2"/>
      <c r="L2414" s="2">
        <v>131753086</v>
      </c>
      <c r="M2414" s="2"/>
      <c r="N2414" s="2"/>
      <c r="O2414" s="2"/>
      <c r="P2414" s="2">
        <v>138766</v>
      </c>
      <c r="Q2414" s="2"/>
      <c r="R2414" s="2"/>
      <c r="S2414" s="2" t="s">
        <v>20766</v>
      </c>
      <c r="T2414" s="2" t="s">
        <v>20767</v>
      </c>
      <c r="U2414" s="2" t="s">
        <v>20768</v>
      </c>
      <c r="V2414" s="2" t="s">
        <v>385</v>
      </c>
      <c r="W2414" s="2" t="s">
        <v>3319</v>
      </c>
      <c r="X2414" s="2" t="s">
        <v>5252</v>
      </c>
      <c r="Y2414" s="2" t="s">
        <v>388</v>
      </c>
      <c r="Z2414" s="2" t="s">
        <v>3321</v>
      </c>
      <c r="AA2414" s="2" t="s">
        <v>5253</v>
      </c>
      <c r="AB2414" s="2" t="s">
        <v>8443</v>
      </c>
      <c r="AC2414" s="2">
        <v>36.659999999999997</v>
      </c>
      <c r="AD2414" s="2">
        <v>89.89</v>
      </c>
      <c r="AE2414" s="2">
        <v>0</v>
      </c>
      <c r="AF2414" s="2" t="s">
        <v>5614</v>
      </c>
      <c r="AG2414" s="2" t="s">
        <v>132</v>
      </c>
      <c r="AH2414" s="2" t="s">
        <v>20769</v>
      </c>
      <c r="AI2414" s="2">
        <v>9.08</v>
      </c>
      <c r="AJ2414" s="2">
        <v>18.052407891048102</v>
      </c>
      <c r="AK2414" s="2">
        <v>18.2486501259216</v>
      </c>
      <c r="AL2414" s="2">
        <v>17.8371065988865</v>
      </c>
      <c r="AM2414" s="2">
        <v>18.313298914207301</v>
      </c>
      <c r="AN2414" s="2">
        <v>18.4776276079754</v>
      </c>
      <c r="AO2414" s="2">
        <v>18.161205807398701</v>
      </c>
      <c r="AP2414" s="2">
        <v>18.442578435901002</v>
      </c>
      <c r="AQ2414" s="2">
        <v>18.148454685381001</v>
      </c>
      <c r="AR2414" s="2">
        <v>18.403364637972501</v>
      </c>
      <c r="AS2414" s="2">
        <v>18.619415912329998</v>
      </c>
      <c r="AT2414" s="2">
        <v>17.9904309203928</v>
      </c>
      <c r="AU2414" s="2">
        <v>18.532371678804399</v>
      </c>
      <c r="AV2414" s="2">
        <v>17.763271574306099</v>
      </c>
      <c r="AW2414" s="2">
        <v>18.278663565152499</v>
      </c>
      <c r="AX2414" s="2">
        <v>17.646327856541401</v>
      </c>
      <c r="AY2414" s="2">
        <v>17.663900503527699</v>
      </c>
      <c r="AZ2414" s="2">
        <v>18.203132938280199</v>
      </c>
      <c r="BA2414" s="2">
        <v>18.203214493593599</v>
      </c>
      <c r="BB2414" s="2">
        <v>18.137145305085401</v>
      </c>
      <c r="BC2414" s="2">
        <v>18.2390279649455</v>
      </c>
      <c r="BD2414" s="2">
        <v>18.2699246573655</v>
      </c>
      <c r="BE2414" s="2">
        <v>18.2083040980934</v>
      </c>
      <c r="BF2414" s="2">
        <v>18.388023047029701</v>
      </c>
      <c r="BG2414" s="2">
        <v>18.055025159206401</v>
      </c>
      <c r="BH2414" s="2">
        <v>17.726524720746401</v>
      </c>
      <c r="BI2414" s="2">
        <v>18.0284547623381</v>
      </c>
      <c r="BJ2414" s="2">
        <v>18.1568694650026</v>
      </c>
      <c r="BK2414" s="2">
        <v>17.615695796328499</v>
      </c>
      <c r="BL2414" s="2">
        <v>18.473372018043399</v>
      </c>
      <c r="BM2414" s="2">
        <v>17.988251806667499</v>
      </c>
      <c r="BN2414" s="2">
        <v>17.739425956384299</v>
      </c>
      <c r="BO2414" s="2">
        <v>17.544638561406401</v>
      </c>
      <c r="BP2414" s="2">
        <v>17.9084769459737</v>
      </c>
      <c r="BQ2414" s="2">
        <v>18.377305314305101</v>
      </c>
      <c r="BR2414" s="2">
        <v>18.064874254399701</v>
      </c>
      <c r="BS2414" s="2">
        <v>18.301734100013501</v>
      </c>
      <c r="BT2414" s="2">
        <v>18.041710319608601</v>
      </c>
      <c r="BU2414" s="2">
        <v>18.420527855826801</v>
      </c>
      <c r="BV2414" s="2">
        <v>18.346395953624299</v>
      </c>
      <c r="BW2414" s="2">
        <v>18.242244752198001</v>
      </c>
      <c r="BX2414" s="2">
        <v>18.040818764187499</v>
      </c>
      <c r="BY2414" s="2">
        <v>17.162313530808401</v>
      </c>
      <c r="BZ2414" s="2">
        <v>17.648724880351299</v>
      </c>
      <c r="CA2414" s="2">
        <v>17.936128811530001</v>
      </c>
      <c r="CB2414" s="2">
        <v>17.629869561121001</v>
      </c>
      <c r="CC2414" s="2">
        <v>18.411283521514999</v>
      </c>
      <c r="CD2414" s="2">
        <v>18.0924585096285</v>
      </c>
      <c r="CE2414" s="2">
        <v>18.153494289897701</v>
      </c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</row>
    <row r="2415" spans="1:97">
      <c r="A2415" s="2" t="s">
        <v>20770</v>
      </c>
      <c r="B2415" s="2">
        <v>522.30825000000004</v>
      </c>
      <c r="C2415" s="2">
        <v>10.891999999999999</v>
      </c>
      <c r="D2415" s="2" t="s">
        <v>84</v>
      </c>
      <c r="E2415" s="2" t="s">
        <v>20771</v>
      </c>
      <c r="F2415" s="2" t="s">
        <v>20772</v>
      </c>
      <c r="G2415" s="2">
        <v>54308</v>
      </c>
      <c r="H2415" s="3" t="str">
        <f>HYPERLINK("https://cloud.oebiotech.com/#/lm/network/54308", "https://cloud.oebiotech.com/#/lm/network/54308")</f>
        <v>https://cloud.oebiotech.com/#/lm/network/54308</v>
      </c>
      <c r="I2415" s="2" t="s">
        <v>20773</v>
      </c>
      <c r="J2415" s="2"/>
      <c r="K2415" s="2"/>
      <c r="L2415" s="2">
        <v>5855405</v>
      </c>
      <c r="M2415" s="2"/>
      <c r="N2415" s="2"/>
      <c r="O2415" s="2"/>
      <c r="P2415" s="2"/>
      <c r="Q2415" s="2"/>
      <c r="R2415" s="2"/>
      <c r="S2415" s="2" t="s">
        <v>20774</v>
      </c>
      <c r="T2415" s="2" t="s">
        <v>20775</v>
      </c>
      <c r="U2415" s="2" t="s">
        <v>20776</v>
      </c>
      <c r="V2415" s="2" t="s">
        <v>115</v>
      </c>
      <c r="W2415" s="2" t="s">
        <v>116</v>
      </c>
      <c r="X2415" s="2" t="s">
        <v>117</v>
      </c>
      <c r="Y2415" s="2" t="s">
        <v>118</v>
      </c>
      <c r="Z2415" s="2" t="s">
        <v>119</v>
      </c>
      <c r="AA2415" s="2" t="s">
        <v>120</v>
      </c>
      <c r="AB2415" s="2" t="s">
        <v>8443</v>
      </c>
      <c r="AC2415" s="2">
        <v>36.630000000000003</v>
      </c>
      <c r="AD2415" s="2">
        <v>85.8</v>
      </c>
      <c r="AE2415" s="2">
        <v>0</v>
      </c>
      <c r="AF2415" s="2" t="s">
        <v>5614</v>
      </c>
      <c r="AG2415" s="2" t="s">
        <v>132</v>
      </c>
      <c r="AH2415" s="2" t="s">
        <v>20777</v>
      </c>
      <c r="AI2415" s="2">
        <v>-1.53</v>
      </c>
      <c r="AJ2415" s="2">
        <v>22.865455809207202</v>
      </c>
      <c r="AK2415" s="2">
        <v>22.7907020123825</v>
      </c>
      <c r="AL2415" s="2">
        <v>22.957595579593399</v>
      </c>
      <c r="AM2415" s="2">
        <v>22.870168059159301</v>
      </c>
      <c r="AN2415" s="2">
        <v>22.937603117072399</v>
      </c>
      <c r="AO2415" s="2">
        <v>22.964825928508802</v>
      </c>
      <c r="AP2415" s="2">
        <v>22.647444987556501</v>
      </c>
      <c r="AQ2415" s="2">
        <v>22.985021700584301</v>
      </c>
      <c r="AR2415" s="2">
        <v>23.209561514678001</v>
      </c>
      <c r="AS2415" s="2">
        <v>21.778460850381901</v>
      </c>
      <c r="AT2415" s="2">
        <v>22.576557965224399</v>
      </c>
      <c r="AU2415" s="2">
        <v>22.427077952536798</v>
      </c>
      <c r="AV2415" s="2">
        <v>22.819435540909002</v>
      </c>
      <c r="AW2415" s="2">
        <v>22.846819510745998</v>
      </c>
      <c r="AX2415" s="2">
        <v>23.200889235404901</v>
      </c>
      <c r="AY2415" s="2">
        <v>22.4108784170704</v>
      </c>
      <c r="AZ2415" s="2">
        <v>22.9846032201588</v>
      </c>
      <c r="BA2415" s="2">
        <v>21.640409936338301</v>
      </c>
      <c r="BB2415" s="2">
        <v>22.692318854742702</v>
      </c>
      <c r="BC2415" s="2">
        <v>23.482374181610499</v>
      </c>
      <c r="BD2415" s="2">
        <v>22.830575324980799</v>
      </c>
      <c r="BE2415" s="2">
        <v>23.2049397018591</v>
      </c>
      <c r="BF2415" s="2">
        <v>23.0357247450881</v>
      </c>
      <c r="BG2415" s="2">
        <v>23.249972736263398</v>
      </c>
      <c r="BH2415" s="2">
        <v>22.884424352691401</v>
      </c>
      <c r="BI2415" s="2">
        <v>23.435117147168501</v>
      </c>
      <c r="BJ2415" s="2">
        <v>22.8194362620855</v>
      </c>
      <c r="BK2415" s="2">
        <v>22.158932671816601</v>
      </c>
      <c r="BL2415" s="2">
        <v>23.092914844498399</v>
      </c>
      <c r="BM2415" s="2">
        <v>22.990882810197999</v>
      </c>
      <c r="BN2415" s="2">
        <v>23.1063253166222</v>
      </c>
      <c r="BO2415" s="2">
        <v>22.652042949749202</v>
      </c>
      <c r="BP2415" s="2">
        <v>22.506333240054602</v>
      </c>
      <c r="BQ2415" s="2">
        <v>22.918256917716501</v>
      </c>
      <c r="BR2415" s="2">
        <v>23.2732117539041</v>
      </c>
      <c r="BS2415" s="2">
        <v>23.027027232437899</v>
      </c>
      <c r="BT2415" s="2">
        <v>22.906503697425102</v>
      </c>
      <c r="BU2415" s="2">
        <v>22.516084782661899</v>
      </c>
      <c r="BV2415" s="2">
        <v>22.682033509462599</v>
      </c>
      <c r="BW2415" s="2">
        <v>22.472624889967701</v>
      </c>
      <c r="BX2415" s="2">
        <v>22.7889265438757</v>
      </c>
      <c r="BY2415" s="2">
        <v>23.3173776576681</v>
      </c>
      <c r="BZ2415" s="2">
        <v>22.072827699937601</v>
      </c>
      <c r="CA2415" s="2">
        <v>22.416180656929299</v>
      </c>
      <c r="CB2415" s="2">
        <v>22.8862319245587</v>
      </c>
      <c r="CC2415" s="2">
        <v>21.9705015769363</v>
      </c>
      <c r="CD2415" s="2">
        <v>23.060755923348001</v>
      </c>
      <c r="CE2415" s="2">
        <v>22.173602579519599</v>
      </c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</row>
    <row r="2416" spans="1:97">
      <c r="A2416" s="2" t="s">
        <v>20778</v>
      </c>
      <c r="B2416" s="2">
        <v>338.05257999999998</v>
      </c>
      <c r="C2416" s="2">
        <v>7.4119999999999999</v>
      </c>
      <c r="D2416" s="2" t="s">
        <v>84</v>
      </c>
      <c r="E2416" s="2" t="s">
        <v>20779</v>
      </c>
      <c r="F2416" s="2" t="s">
        <v>20780</v>
      </c>
      <c r="G2416" s="2">
        <v>47710</v>
      </c>
      <c r="H2416" s="3" t="str">
        <f>HYPERLINK("https://cloud.oebiotech.com/#/lm/network/47710", "https://cloud.oebiotech.com/#/lm/network/47710")</f>
        <v>https://cloud.oebiotech.com/#/lm/network/47710</v>
      </c>
      <c r="I2416" s="2" t="s">
        <v>20781</v>
      </c>
      <c r="J2416" s="2">
        <v>2652</v>
      </c>
      <c r="K2416" s="2"/>
      <c r="L2416" s="2">
        <v>3325</v>
      </c>
      <c r="M2416" s="2" t="s">
        <v>20782</v>
      </c>
      <c r="N2416" s="2"/>
      <c r="O2416" s="2"/>
      <c r="P2416" s="2">
        <v>4975</v>
      </c>
      <c r="Q2416" s="2"/>
      <c r="R2416" s="2"/>
      <c r="S2416" s="2" t="s">
        <v>20783</v>
      </c>
      <c r="T2416" s="2" t="s">
        <v>20784</v>
      </c>
      <c r="U2416" s="2" t="s">
        <v>20785</v>
      </c>
      <c r="V2416" s="2" t="s">
        <v>553</v>
      </c>
      <c r="W2416" s="2" t="s">
        <v>554</v>
      </c>
      <c r="X2416" s="2" t="s">
        <v>10017</v>
      </c>
      <c r="Y2416" s="2" t="s">
        <v>556</v>
      </c>
      <c r="Z2416" s="2" t="s">
        <v>557</v>
      </c>
      <c r="AA2416" s="2" t="s">
        <v>10018</v>
      </c>
      <c r="AB2416" s="2" t="s">
        <v>8443</v>
      </c>
      <c r="AC2416" s="2">
        <v>36.630000000000003</v>
      </c>
      <c r="AD2416" s="2">
        <v>84.03</v>
      </c>
      <c r="AE2416" s="2">
        <v>0</v>
      </c>
      <c r="AF2416" s="2" t="s">
        <v>5614</v>
      </c>
      <c r="AG2416" s="2" t="s">
        <v>103</v>
      </c>
      <c r="AH2416" s="2" t="s">
        <v>20786</v>
      </c>
      <c r="AI2416" s="2">
        <v>-1.18</v>
      </c>
      <c r="AJ2416" s="2">
        <v>18.354283521902701</v>
      </c>
      <c r="AK2416" s="2">
        <v>18.754799509588899</v>
      </c>
      <c r="AL2416" s="2">
        <v>18.645919324594999</v>
      </c>
      <c r="AM2416" s="2">
        <v>18.594754859309202</v>
      </c>
      <c r="AN2416" s="2">
        <v>18.310995103756099</v>
      </c>
      <c r="AO2416" s="2">
        <v>18.466935937025202</v>
      </c>
      <c r="AP2416" s="2">
        <v>18.219905442199501</v>
      </c>
      <c r="AQ2416" s="2">
        <v>18.767027964372598</v>
      </c>
      <c r="AR2416" s="2">
        <v>18.447894618917498</v>
      </c>
      <c r="AS2416" s="2">
        <v>17.300771968519499</v>
      </c>
      <c r="AT2416" s="2">
        <v>19.071905254362399</v>
      </c>
      <c r="AU2416" s="2">
        <v>18.5021408884331</v>
      </c>
      <c r="AV2416" s="2">
        <v>17.604376587731199</v>
      </c>
      <c r="AW2416" s="2">
        <v>19.1732418908305</v>
      </c>
      <c r="AX2416" s="2">
        <v>16.9404341608493</v>
      </c>
      <c r="AY2416" s="2">
        <v>17.630184634190201</v>
      </c>
      <c r="AZ2416" s="2">
        <v>16.768771411762</v>
      </c>
      <c r="BA2416" s="2">
        <v>19.153968327776699</v>
      </c>
      <c r="BB2416" s="2">
        <v>18.517525225214101</v>
      </c>
      <c r="BC2416" s="2">
        <v>18.980516969123801</v>
      </c>
      <c r="BD2416" s="2">
        <v>19.1087778290796</v>
      </c>
      <c r="BE2416" s="2">
        <v>17.776940397731401</v>
      </c>
      <c r="BF2416" s="2">
        <v>17.9872223141187</v>
      </c>
      <c r="BG2416" s="2">
        <v>18.033038411566999</v>
      </c>
      <c r="BH2416" s="2">
        <v>18.4074666539465</v>
      </c>
      <c r="BI2416" s="2">
        <v>17.716449404492</v>
      </c>
      <c r="BJ2416" s="2">
        <v>20.551513567478199</v>
      </c>
      <c r="BK2416" s="2">
        <v>19.246712443772399</v>
      </c>
      <c r="BL2416" s="2">
        <v>18.334436972598301</v>
      </c>
      <c r="BM2416" s="2">
        <v>18.134953977830001</v>
      </c>
      <c r="BN2416" s="2">
        <v>19.541805269603401</v>
      </c>
      <c r="BO2416" s="2">
        <v>19.087524167746199</v>
      </c>
      <c r="BP2416" s="2">
        <v>13.972969916849999</v>
      </c>
      <c r="BQ2416" s="2">
        <v>18.610773050311099</v>
      </c>
      <c r="BR2416" s="2">
        <v>17.127723548509401</v>
      </c>
      <c r="BS2416" s="2">
        <v>18.131910703051901</v>
      </c>
      <c r="BT2416" s="2">
        <v>20.574518314181301</v>
      </c>
      <c r="BU2416" s="2">
        <v>19.262033348889702</v>
      </c>
      <c r="BV2416" s="2">
        <v>18.478793354053</v>
      </c>
      <c r="BW2416" s="2">
        <v>16.533078279166599</v>
      </c>
      <c r="BX2416" s="2">
        <v>18.982240183080499</v>
      </c>
      <c r="BY2416" s="2">
        <v>17.866227699127201</v>
      </c>
      <c r="BZ2416" s="2">
        <v>16.713969887207099</v>
      </c>
      <c r="CA2416" s="2">
        <v>18.351721988137701</v>
      </c>
      <c r="CB2416" s="2">
        <v>15.408141960566899</v>
      </c>
      <c r="CC2416" s="2">
        <v>18.880129289902101</v>
      </c>
      <c r="CD2416" s="2">
        <v>19.069003025674601</v>
      </c>
      <c r="CE2416" s="2">
        <v>19.450391110856899</v>
      </c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</row>
    <row r="2417" spans="1:97">
      <c r="A2417" s="2" t="s">
        <v>20787</v>
      </c>
      <c r="B2417" s="2">
        <v>496.28239000000002</v>
      </c>
      <c r="C2417" s="2">
        <v>8.7959999999999994</v>
      </c>
      <c r="D2417" s="2" t="s">
        <v>146</v>
      </c>
      <c r="E2417" s="2" t="s">
        <v>20788</v>
      </c>
      <c r="F2417" s="2" t="s">
        <v>20789</v>
      </c>
      <c r="G2417" s="2">
        <v>198132</v>
      </c>
      <c r="H2417" s="3" t="str">
        <f>HYPERLINK("https://cloud.oebiotech.com/#/lm/network/198132", "https://cloud.oebiotech.com/#/lm/network/198132")</f>
        <v>https://cloud.oebiotech.com/#/lm/network/198132</v>
      </c>
      <c r="I2417" s="2" t="s">
        <v>20790</v>
      </c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 t="s">
        <v>20791</v>
      </c>
      <c r="U2417" s="2" t="s">
        <v>20792</v>
      </c>
      <c r="V2417" s="2" t="s">
        <v>95</v>
      </c>
      <c r="W2417" s="2" t="s">
        <v>96</v>
      </c>
      <c r="X2417" s="2" t="s">
        <v>97</v>
      </c>
      <c r="Y2417" s="2" t="s">
        <v>98</v>
      </c>
      <c r="Z2417" s="2" t="s">
        <v>99</v>
      </c>
      <c r="AA2417" s="2" t="s">
        <v>100</v>
      </c>
      <c r="AB2417" s="2" t="s">
        <v>8443</v>
      </c>
      <c r="AC2417" s="2">
        <v>36.630000000000003</v>
      </c>
      <c r="AD2417" s="2">
        <v>89.27</v>
      </c>
      <c r="AE2417" s="2">
        <v>0</v>
      </c>
      <c r="AF2417" s="2" t="s">
        <v>20793</v>
      </c>
      <c r="AG2417" s="2" t="s">
        <v>4062</v>
      </c>
      <c r="AH2417" s="2" t="s">
        <v>20794</v>
      </c>
      <c r="AI2417" s="2">
        <v>2.2200000000000002</v>
      </c>
      <c r="AJ2417" s="2">
        <v>22.116912025425201</v>
      </c>
      <c r="AK2417" s="2">
        <v>22.019504672698002</v>
      </c>
      <c r="AL2417" s="2">
        <v>21.923151262855299</v>
      </c>
      <c r="AM2417" s="2">
        <v>22.025209923530898</v>
      </c>
      <c r="AN2417" s="2">
        <v>21.877636236121099</v>
      </c>
      <c r="AO2417" s="2">
        <v>21.885481945986999</v>
      </c>
      <c r="AP2417" s="2">
        <v>21.867846615491501</v>
      </c>
      <c r="AQ2417" s="2">
        <v>21.797752320684499</v>
      </c>
      <c r="AR2417" s="2">
        <v>21.7260331547932</v>
      </c>
      <c r="AS2417" s="2">
        <v>21.631947031552901</v>
      </c>
      <c r="AT2417" s="2">
        <v>21.972738920758101</v>
      </c>
      <c r="AU2417" s="2">
        <v>21.862677743175102</v>
      </c>
      <c r="AV2417" s="2">
        <v>21.975741521445201</v>
      </c>
      <c r="AW2417" s="2">
        <v>22.0750122430875</v>
      </c>
      <c r="AX2417" s="2">
        <v>21.675373085668401</v>
      </c>
      <c r="AY2417" s="2">
        <v>22.070635907008398</v>
      </c>
      <c r="AZ2417" s="2">
        <v>22.075967031067599</v>
      </c>
      <c r="BA2417" s="2">
        <v>21.837233353797998</v>
      </c>
      <c r="BB2417" s="2">
        <v>22.062200816487</v>
      </c>
      <c r="BC2417" s="2">
        <v>21.909165308674002</v>
      </c>
      <c r="BD2417" s="2">
        <v>21.842362717118998</v>
      </c>
      <c r="BE2417" s="2">
        <v>21.963918409337801</v>
      </c>
      <c r="BF2417" s="2">
        <v>21.989022338631301</v>
      </c>
      <c r="BG2417" s="2">
        <v>21.945085102029299</v>
      </c>
      <c r="BH2417" s="2">
        <v>22.072614445710499</v>
      </c>
      <c r="BI2417" s="2">
        <v>21.8650648900203</v>
      </c>
      <c r="BJ2417" s="2">
        <v>21.848277646648299</v>
      </c>
      <c r="BK2417" s="2">
        <v>22.078239436845699</v>
      </c>
      <c r="BL2417" s="2">
        <v>21.831947014218599</v>
      </c>
      <c r="BM2417" s="2">
        <v>21.996817203240202</v>
      </c>
      <c r="BN2417" s="2">
        <v>21.697119651994399</v>
      </c>
      <c r="BO2417" s="2">
        <v>21.860062648948901</v>
      </c>
      <c r="BP2417" s="2">
        <v>21.7248483446823</v>
      </c>
      <c r="BQ2417" s="2">
        <v>21.925863777609798</v>
      </c>
      <c r="BR2417" s="2">
        <v>21.691307773262501</v>
      </c>
      <c r="BS2417" s="2">
        <v>21.4712244158682</v>
      </c>
      <c r="BT2417" s="2">
        <v>21.762146954471</v>
      </c>
      <c r="BU2417" s="2">
        <v>21.768760595038799</v>
      </c>
      <c r="BV2417" s="2">
        <v>21.954629284853201</v>
      </c>
      <c r="BW2417" s="2">
        <v>21.8870967044165</v>
      </c>
      <c r="BX2417" s="2">
        <v>21.813966603811199</v>
      </c>
      <c r="BY2417" s="2">
        <v>21.759251136985</v>
      </c>
      <c r="BZ2417" s="2">
        <v>21.9852945228461</v>
      </c>
      <c r="CA2417" s="2">
        <v>21.809089347151499</v>
      </c>
      <c r="CB2417" s="2">
        <v>21.702523581971899</v>
      </c>
      <c r="CC2417" s="2">
        <v>21.894093613142299</v>
      </c>
      <c r="CD2417" s="2">
        <v>21.673402224407599</v>
      </c>
      <c r="CE2417" s="2">
        <v>21.7844332351705</v>
      </c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</row>
    <row r="2418" spans="1:97">
      <c r="A2418" s="2" t="s">
        <v>20795</v>
      </c>
      <c r="B2418" s="2">
        <v>347.20357999999999</v>
      </c>
      <c r="C2418" s="2">
        <v>4.8280000000000003</v>
      </c>
      <c r="D2418" s="2" t="s">
        <v>84</v>
      </c>
      <c r="E2418" s="2" t="s">
        <v>20796</v>
      </c>
      <c r="F2418" s="2" t="s">
        <v>20797</v>
      </c>
      <c r="G2418" s="2">
        <v>10266</v>
      </c>
      <c r="H2418" s="3" t="str">
        <f>HYPERLINK("https://cloud.oebiotech.com/#/lm/network/10266", "https://cloud.oebiotech.com/#/lm/network/10266")</f>
        <v>https://cloud.oebiotech.com/#/lm/network/10266</v>
      </c>
      <c r="I2418" s="2"/>
      <c r="J2418" s="2"/>
      <c r="K2418" s="2" t="s">
        <v>20798</v>
      </c>
      <c r="L2418" s="2">
        <v>137628431</v>
      </c>
      <c r="M2418" s="2"/>
      <c r="N2418" s="2"/>
      <c r="O2418" s="2"/>
      <c r="P2418" s="2"/>
      <c r="Q2418" s="2"/>
      <c r="R2418" s="2"/>
      <c r="S2418" s="2"/>
      <c r="T2418" s="2" t="s">
        <v>20799</v>
      </c>
      <c r="U2418" s="2" t="s">
        <v>20800</v>
      </c>
      <c r="V2418" s="2" t="s">
        <v>338</v>
      </c>
      <c r="W2418" s="2" t="s">
        <v>339</v>
      </c>
      <c r="X2418" s="2" t="s">
        <v>663</v>
      </c>
      <c r="Y2418" s="2" t="s">
        <v>341</v>
      </c>
      <c r="Z2418" s="2" t="s">
        <v>341</v>
      </c>
      <c r="AA2418" s="2" t="s">
        <v>664</v>
      </c>
      <c r="AB2418" s="2" t="s">
        <v>8443</v>
      </c>
      <c r="AC2418" s="2">
        <v>36.619999999999997</v>
      </c>
      <c r="AD2418" s="2">
        <v>88.56</v>
      </c>
      <c r="AE2418" s="2">
        <v>0</v>
      </c>
      <c r="AF2418" s="2" t="s">
        <v>20801</v>
      </c>
      <c r="AG2418" s="2" t="s">
        <v>1088</v>
      </c>
      <c r="AH2418" s="2" t="s">
        <v>20802</v>
      </c>
      <c r="AI2418" s="2">
        <v>9.7899999999999991</v>
      </c>
      <c r="AJ2418" s="2">
        <v>18.609164811611102</v>
      </c>
      <c r="AK2418" s="2">
        <v>18.500791551746101</v>
      </c>
      <c r="AL2418" s="2">
        <v>18.602435801430399</v>
      </c>
      <c r="AM2418" s="2">
        <v>18.580102671036698</v>
      </c>
      <c r="AN2418" s="2">
        <v>17.7458411811077</v>
      </c>
      <c r="AO2418" s="2">
        <v>18.7075009907478</v>
      </c>
      <c r="AP2418" s="2">
        <v>17.7622878181791</v>
      </c>
      <c r="AQ2418" s="2">
        <v>18.2874151988492</v>
      </c>
      <c r="AR2418" s="2">
        <v>22.9026996213621</v>
      </c>
      <c r="AS2418" s="2">
        <v>21.579676662927302</v>
      </c>
      <c r="AT2418" s="2">
        <v>22.300841231640302</v>
      </c>
      <c r="AU2418" s="2">
        <v>20.953366727636801</v>
      </c>
      <c r="AV2418" s="2">
        <v>16.597526809651701</v>
      </c>
      <c r="AW2418" s="2">
        <v>21.1853087994539</v>
      </c>
      <c r="AX2418" s="2">
        <v>19.1992781634744</v>
      </c>
      <c r="AY2418" s="2">
        <v>19.8589860673857</v>
      </c>
      <c r="AZ2418" s="2">
        <v>23.299904391430399</v>
      </c>
      <c r="BA2418" s="2">
        <v>18.413398027459099</v>
      </c>
      <c r="BB2418" s="2">
        <v>20.199524236913199</v>
      </c>
      <c r="BC2418" s="2">
        <v>22.008668631805801</v>
      </c>
      <c r="BD2418" s="2">
        <v>20.285089645783199</v>
      </c>
      <c r="BE2418" s="2">
        <v>18.510577167528702</v>
      </c>
      <c r="BF2418" s="2">
        <v>19.5815272914896</v>
      </c>
      <c r="BG2418" s="2">
        <v>20.342835654229098</v>
      </c>
      <c r="BH2418" s="2">
        <v>20.225962397705398</v>
      </c>
      <c r="BI2418" s="2">
        <v>20.738944274284599</v>
      </c>
      <c r="BJ2418" s="2">
        <v>16.122715178760998</v>
      </c>
      <c r="BK2418" s="2">
        <v>16.715496866999299</v>
      </c>
      <c r="BL2418" s="2">
        <v>16.146925208684902</v>
      </c>
      <c r="BM2418" s="2">
        <v>16.732519230514502</v>
      </c>
      <c r="BN2418" s="2">
        <v>18.1046012616534</v>
      </c>
      <c r="BO2418" s="2">
        <v>22.4735586269104</v>
      </c>
      <c r="BP2418" s="2">
        <v>15.7873394067452</v>
      </c>
      <c r="BQ2418" s="2">
        <v>17.100837963789701</v>
      </c>
      <c r="BR2418" s="2">
        <v>22.0986815264319</v>
      </c>
      <c r="BS2418" s="2">
        <v>17.0783321133136</v>
      </c>
      <c r="BT2418" s="2">
        <v>18.709204967937801</v>
      </c>
      <c r="BU2418" s="2">
        <v>21.215512648427801</v>
      </c>
      <c r="BV2418" s="2">
        <v>18.332866817400699</v>
      </c>
      <c r="BW2418" s="2">
        <v>18.176788688196499</v>
      </c>
      <c r="BX2418" s="2">
        <v>18.380006515464601</v>
      </c>
      <c r="BY2418" s="2">
        <v>18.144761789444601</v>
      </c>
      <c r="BZ2418" s="2">
        <v>20.1406606076775</v>
      </c>
      <c r="CA2418" s="2">
        <v>9.6233145402724691</v>
      </c>
      <c r="CB2418" s="2">
        <v>19.989536767030099</v>
      </c>
      <c r="CC2418" s="2">
        <v>18.305823383975799</v>
      </c>
      <c r="CD2418" s="2">
        <v>20.061387516346201</v>
      </c>
      <c r="CE2418" s="2">
        <v>18.0512064976114</v>
      </c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</row>
    <row r="2419" spans="1:97">
      <c r="A2419" s="2" t="s">
        <v>20803</v>
      </c>
      <c r="B2419" s="2">
        <v>313.10172</v>
      </c>
      <c r="C2419" s="2">
        <v>9.2240000000000002</v>
      </c>
      <c r="D2419" s="2" t="s">
        <v>84</v>
      </c>
      <c r="E2419" s="2" t="s">
        <v>20804</v>
      </c>
      <c r="F2419" s="2" t="s">
        <v>20805</v>
      </c>
      <c r="G2419" s="2">
        <v>212517</v>
      </c>
      <c r="H2419" s="3" t="str">
        <f>HYPERLINK("https://cloud.oebiotech.com/#/lm/network/212517", "https://cloud.oebiotech.com/#/lm/network/212517")</f>
        <v>https://cloud.oebiotech.com/#/lm/network/212517</v>
      </c>
      <c r="I2419" s="2" t="s">
        <v>20806</v>
      </c>
      <c r="J2419" s="2">
        <v>314749</v>
      </c>
      <c r="K2419" s="2"/>
      <c r="L2419" s="2">
        <v>50287</v>
      </c>
      <c r="M2419" s="2"/>
      <c r="N2419" s="2"/>
      <c r="O2419" s="2"/>
      <c r="P2419" s="2"/>
      <c r="Q2419" s="2"/>
      <c r="R2419" s="2"/>
      <c r="S2419" s="2"/>
      <c r="T2419" s="2" t="s">
        <v>20807</v>
      </c>
      <c r="U2419" s="2" t="s">
        <v>20808</v>
      </c>
      <c r="V2419" s="2" t="s">
        <v>553</v>
      </c>
      <c r="W2419" s="2" t="s">
        <v>554</v>
      </c>
      <c r="X2419" s="2" t="s">
        <v>10017</v>
      </c>
      <c r="Y2419" s="2" t="s">
        <v>556</v>
      </c>
      <c r="Z2419" s="2" t="s">
        <v>557</v>
      </c>
      <c r="AA2419" s="2" t="s">
        <v>10018</v>
      </c>
      <c r="AB2419" s="2" t="s">
        <v>8443</v>
      </c>
      <c r="AC2419" s="2">
        <v>36.619999999999997</v>
      </c>
      <c r="AD2419" s="2">
        <v>86.08</v>
      </c>
      <c r="AE2419" s="2">
        <v>0</v>
      </c>
      <c r="AF2419" s="2" t="s">
        <v>20809</v>
      </c>
      <c r="AG2419" s="2" t="s">
        <v>103</v>
      </c>
      <c r="AH2419" s="2" t="s">
        <v>20810</v>
      </c>
      <c r="AI2419" s="2">
        <v>-1.6</v>
      </c>
      <c r="AJ2419" s="2">
        <v>20.0600428964418</v>
      </c>
      <c r="AK2419" s="2">
        <v>20.125701751633599</v>
      </c>
      <c r="AL2419" s="2">
        <v>20.137300544927999</v>
      </c>
      <c r="AM2419" s="2">
        <v>20.138317941253401</v>
      </c>
      <c r="AN2419" s="2">
        <v>20.078049680097202</v>
      </c>
      <c r="AO2419" s="2">
        <v>20.057979153786398</v>
      </c>
      <c r="AP2419" s="2">
        <v>20.1017595535636</v>
      </c>
      <c r="AQ2419" s="2">
        <v>19.972325509994999</v>
      </c>
      <c r="AR2419" s="2">
        <v>20.589422863991501</v>
      </c>
      <c r="AS2419" s="2">
        <v>19.429365445052401</v>
      </c>
      <c r="AT2419" s="2">
        <v>19.368229390325201</v>
      </c>
      <c r="AU2419" s="2">
        <v>19.9747790884403</v>
      </c>
      <c r="AV2419" s="2">
        <v>19.900418637306</v>
      </c>
      <c r="AW2419" s="2">
        <v>19.869004130893298</v>
      </c>
      <c r="AX2419" s="2">
        <v>19.280145426300301</v>
      </c>
      <c r="AY2419" s="2">
        <v>19.8022903267902</v>
      </c>
      <c r="AZ2419" s="2">
        <v>19.125700137479999</v>
      </c>
      <c r="BA2419" s="2">
        <v>19.517412672014501</v>
      </c>
      <c r="BB2419" s="2">
        <v>20.003594852987199</v>
      </c>
      <c r="BC2419" s="2">
        <v>20.465955797495301</v>
      </c>
      <c r="BD2419" s="2">
        <v>19.922034579975701</v>
      </c>
      <c r="BE2419" s="2">
        <v>20.477000096715599</v>
      </c>
      <c r="BF2419" s="2">
        <v>19.490317890024802</v>
      </c>
      <c r="BG2419" s="2">
        <v>19.682889924986199</v>
      </c>
      <c r="BH2419" s="2">
        <v>21.359637928384</v>
      </c>
      <c r="BI2419" s="2">
        <v>19.101233503149199</v>
      </c>
      <c r="BJ2419" s="2">
        <v>19.369723831277501</v>
      </c>
      <c r="BK2419" s="2">
        <v>20.416671722470898</v>
      </c>
      <c r="BL2419" s="2">
        <v>19.125332895830201</v>
      </c>
      <c r="BM2419" s="2">
        <v>20.109417773689199</v>
      </c>
      <c r="BN2419" s="2">
        <v>20.851753768176501</v>
      </c>
      <c r="BO2419" s="2">
        <v>20.770788920725099</v>
      </c>
      <c r="BP2419" s="2">
        <v>17.905364791819</v>
      </c>
      <c r="BQ2419" s="2">
        <v>20.6437058894717</v>
      </c>
      <c r="BR2419" s="2">
        <v>19.413858351638499</v>
      </c>
      <c r="BS2419" s="2">
        <v>19.992768403113399</v>
      </c>
      <c r="BT2419" s="2">
        <v>19.949926967241499</v>
      </c>
      <c r="BU2419" s="2">
        <v>19.691596354209199</v>
      </c>
      <c r="BV2419" s="2">
        <v>20.213722380994302</v>
      </c>
      <c r="BW2419" s="2">
        <v>18.506665970854101</v>
      </c>
      <c r="BX2419" s="2">
        <v>19.563782668783102</v>
      </c>
      <c r="BY2419" s="2">
        <v>21.085532398630701</v>
      </c>
      <c r="BZ2419" s="2">
        <v>19.9376237331841</v>
      </c>
      <c r="CA2419" s="2">
        <v>19.218552617805202</v>
      </c>
      <c r="CB2419" s="2">
        <v>19.1157214311636</v>
      </c>
      <c r="CC2419" s="2">
        <v>19.684358309060599</v>
      </c>
      <c r="CD2419" s="2">
        <v>20.337384626338199</v>
      </c>
      <c r="CE2419" s="2">
        <v>20.575229785887601</v>
      </c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</row>
    <row r="2420" spans="1:97">
      <c r="A2420" s="2" t="s">
        <v>20811</v>
      </c>
      <c r="B2420" s="2">
        <v>258.99605000000003</v>
      </c>
      <c r="C2420" s="2">
        <v>1.0249999999999999</v>
      </c>
      <c r="D2420" s="2" t="s">
        <v>146</v>
      </c>
      <c r="E2420" s="2" t="s">
        <v>20812</v>
      </c>
      <c r="F2420" s="2" t="s">
        <v>20813</v>
      </c>
      <c r="G2420" s="2">
        <v>255167</v>
      </c>
      <c r="H2420" s="3" t="str">
        <f>HYPERLINK("https://cloud.oebiotech.com/#/lm/network/255167", "https://cloud.oebiotech.com/#/lm/network/255167")</f>
        <v>https://cloud.oebiotech.com/#/lm/network/255167</v>
      </c>
      <c r="I2420" s="2" t="s">
        <v>20814</v>
      </c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 t="s">
        <v>20815</v>
      </c>
      <c r="U2420" s="2" t="s">
        <v>20816</v>
      </c>
      <c r="V2420" s="2" t="s">
        <v>9746</v>
      </c>
      <c r="W2420" s="2" t="s">
        <v>20817</v>
      </c>
      <c r="X2420" s="2" t="s">
        <v>375</v>
      </c>
      <c r="Y2420" s="2" t="s">
        <v>9748</v>
      </c>
      <c r="Z2420" s="2" t="s">
        <v>20818</v>
      </c>
      <c r="AA2420" s="2"/>
      <c r="AB2420" s="2" t="s">
        <v>8443</v>
      </c>
      <c r="AC2420" s="2">
        <v>36.619999999999997</v>
      </c>
      <c r="AD2420" s="2">
        <v>83.11</v>
      </c>
      <c r="AE2420" s="2">
        <v>0</v>
      </c>
      <c r="AF2420" s="2" t="s">
        <v>20819</v>
      </c>
      <c r="AG2420" s="2" t="s">
        <v>157</v>
      </c>
      <c r="AH2420" s="2" t="s">
        <v>20820</v>
      </c>
      <c r="AI2420" s="2">
        <v>-0.39</v>
      </c>
      <c r="AJ2420" s="2">
        <v>21.8930233128278</v>
      </c>
      <c r="AK2420" s="2">
        <v>21.907382174934501</v>
      </c>
      <c r="AL2420" s="2">
        <v>20.4218458594341</v>
      </c>
      <c r="AM2420" s="2">
        <v>21.990182475369501</v>
      </c>
      <c r="AN2420" s="2">
        <v>22.0223799442632</v>
      </c>
      <c r="AO2420" s="2">
        <v>21.9285258425294</v>
      </c>
      <c r="AP2420" s="2">
        <v>22.028545769111201</v>
      </c>
      <c r="AQ2420" s="2">
        <v>21.768644723021101</v>
      </c>
      <c r="AR2420" s="2">
        <v>21.8222456389915</v>
      </c>
      <c r="AS2420" s="2">
        <v>21.899727237981502</v>
      </c>
      <c r="AT2420" s="2">
        <v>21.6211591650816</v>
      </c>
      <c r="AU2420" s="2">
        <v>21.087091634704802</v>
      </c>
      <c r="AV2420" s="2">
        <v>21.947451210398601</v>
      </c>
      <c r="AW2420" s="2">
        <v>21.493432067948</v>
      </c>
      <c r="AX2420" s="2">
        <v>22.154797423675401</v>
      </c>
      <c r="AY2420" s="2">
        <v>21.648482681785001</v>
      </c>
      <c r="AZ2420" s="2">
        <v>21.851024997140101</v>
      </c>
      <c r="BA2420" s="2">
        <v>21.083592332113</v>
      </c>
      <c r="BB2420" s="2">
        <v>22.141520656263701</v>
      </c>
      <c r="BC2420" s="2">
        <v>21.727661246025299</v>
      </c>
      <c r="BD2420" s="2">
        <v>21.427824043643799</v>
      </c>
      <c r="BE2420" s="2">
        <v>21.6507214642218</v>
      </c>
      <c r="BF2420" s="2">
        <v>22.458607409989799</v>
      </c>
      <c r="BG2420" s="2">
        <v>22.311373643447499</v>
      </c>
      <c r="BH2420" s="2">
        <v>21.566501070505701</v>
      </c>
      <c r="BI2420" s="2">
        <v>22.300372190689998</v>
      </c>
      <c r="BJ2420" s="2">
        <v>22.4760873641724</v>
      </c>
      <c r="BK2420" s="2">
        <v>21.825356908293099</v>
      </c>
      <c r="BL2420" s="2">
        <v>21.810812422838602</v>
      </c>
      <c r="BM2420" s="2">
        <v>20.899261964110199</v>
      </c>
      <c r="BN2420" s="2">
        <v>21.643878229802201</v>
      </c>
      <c r="BO2420" s="2">
        <v>21.268432683600899</v>
      </c>
      <c r="BP2420" s="2">
        <v>22.410764602202502</v>
      </c>
      <c r="BQ2420" s="2">
        <v>21.672236412526999</v>
      </c>
      <c r="BR2420" s="2">
        <v>22.080005995490399</v>
      </c>
      <c r="BS2420" s="2">
        <v>22.318314060644401</v>
      </c>
      <c r="BT2420" s="2">
        <v>21.251440923711201</v>
      </c>
      <c r="BU2420" s="2">
        <v>22.655132995487101</v>
      </c>
      <c r="BV2420" s="2">
        <v>22.000391946809899</v>
      </c>
      <c r="BW2420" s="2">
        <v>21.454059246572601</v>
      </c>
      <c r="BX2420" s="2">
        <v>21.292548193327299</v>
      </c>
      <c r="BY2420" s="2">
        <v>21.640483159714101</v>
      </c>
      <c r="BZ2420" s="2">
        <v>21.3556383076595</v>
      </c>
      <c r="CA2420" s="2">
        <v>22.5501111010893</v>
      </c>
      <c r="CB2420" s="2">
        <v>21.660542527325202</v>
      </c>
      <c r="CC2420" s="2">
        <v>21.469769261767301</v>
      </c>
      <c r="CD2420" s="2">
        <v>22.572998239439599</v>
      </c>
      <c r="CE2420" s="2">
        <v>21.3806816655954</v>
      </c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</row>
    <row r="2421" spans="1:97">
      <c r="A2421" s="2" t="s">
        <v>20821</v>
      </c>
      <c r="B2421" s="2">
        <v>358.13348999999999</v>
      </c>
      <c r="C2421" s="2">
        <v>3.9510000000000001</v>
      </c>
      <c r="D2421" s="2" t="s">
        <v>84</v>
      </c>
      <c r="E2421" s="2" t="s">
        <v>20822</v>
      </c>
      <c r="F2421" s="2" t="s">
        <v>20823</v>
      </c>
      <c r="G2421" s="2">
        <v>596434</v>
      </c>
      <c r="H2421" s="3" t="str">
        <f>HYPERLINK("https://cloud.oebiotech.com/#/lm/network/596434", "https://cloud.oebiotech.com/#/lm/network/596434")</f>
        <v>https://cloud.oebiotech.com/#/lm/network/596434</v>
      </c>
      <c r="I2421" s="2"/>
      <c r="J2421" s="2"/>
      <c r="K2421" s="2"/>
      <c r="L2421" s="2">
        <v>21775354</v>
      </c>
      <c r="M2421" s="2"/>
      <c r="N2421" s="2"/>
      <c r="O2421" s="2"/>
      <c r="P2421" s="2"/>
      <c r="Q2421" s="2"/>
      <c r="R2421" s="2"/>
      <c r="S2421" s="2"/>
      <c r="T2421" s="2" t="s">
        <v>20824</v>
      </c>
      <c r="U2421" s="2" t="s">
        <v>20825</v>
      </c>
      <c r="V2421" s="2" t="s">
        <v>338</v>
      </c>
      <c r="W2421" s="2" t="s">
        <v>339</v>
      </c>
      <c r="X2421" s="2" t="s">
        <v>663</v>
      </c>
      <c r="Y2421" s="2" t="s">
        <v>341</v>
      </c>
      <c r="Z2421" s="2" t="s">
        <v>341</v>
      </c>
      <c r="AA2421" s="2" t="s">
        <v>664</v>
      </c>
      <c r="AB2421" s="2" t="s">
        <v>8443</v>
      </c>
      <c r="AC2421" s="2">
        <v>36.619999999999997</v>
      </c>
      <c r="AD2421" s="2">
        <v>90.66</v>
      </c>
      <c r="AE2421" s="2">
        <v>0</v>
      </c>
      <c r="AF2421" s="2" t="s">
        <v>5614</v>
      </c>
      <c r="AG2421" s="2" t="s">
        <v>132</v>
      </c>
      <c r="AH2421" s="2" t="s">
        <v>20826</v>
      </c>
      <c r="AI2421" s="2">
        <v>2.5099999999999998</v>
      </c>
      <c r="AJ2421" s="2">
        <v>17.123717476838301</v>
      </c>
      <c r="AK2421" s="2">
        <v>16.550224916299801</v>
      </c>
      <c r="AL2421" s="2">
        <v>16.623113596847499</v>
      </c>
      <c r="AM2421" s="2">
        <v>16.843226960201399</v>
      </c>
      <c r="AN2421" s="2">
        <v>17.141228146062701</v>
      </c>
      <c r="AO2421" s="2">
        <v>17.604136566980301</v>
      </c>
      <c r="AP2421" s="2">
        <v>17.341534546172699</v>
      </c>
      <c r="AQ2421" s="2">
        <v>17.517252160383698</v>
      </c>
      <c r="AR2421" s="2">
        <v>13.7826204959797</v>
      </c>
      <c r="AS2421" s="2">
        <v>9.6233145402724691</v>
      </c>
      <c r="AT2421" s="2">
        <v>14.466121720207299</v>
      </c>
      <c r="AU2421" s="2">
        <v>15.332991779681899</v>
      </c>
      <c r="AV2421" s="2">
        <v>17.240817972591501</v>
      </c>
      <c r="AW2421" s="2">
        <v>14.877075115512501</v>
      </c>
      <c r="AX2421" s="2">
        <v>14.4054473118532</v>
      </c>
      <c r="AY2421" s="2">
        <v>9.6233145402724691</v>
      </c>
      <c r="AZ2421" s="2">
        <v>17.029405325533698</v>
      </c>
      <c r="BA2421" s="2">
        <v>15.6103091528701</v>
      </c>
      <c r="BB2421" s="2">
        <v>14.229356595231</v>
      </c>
      <c r="BC2421" s="2">
        <v>9.6233145402724691</v>
      </c>
      <c r="BD2421" s="2">
        <v>13.5809710225943</v>
      </c>
      <c r="BE2421" s="2">
        <v>9.6233145402724691</v>
      </c>
      <c r="BF2421" s="2">
        <v>13.7910550080584</v>
      </c>
      <c r="BG2421" s="2">
        <v>15.8570274986455</v>
      </c>
      <c r="BH2421" s="2">
        <v>13.8015406409209</v>
      </c>
      <c r="BI2421" s="2">
        <v>16.378885978265199</v>
      </c>
      <c r="BJ2421" s="2">
        <v>15.059122191597099</v>
      </c>
      <c r="BK2421" s="2">
        <v>17.132547624541601</v>
      </c>
      <c r="BL2421" s="2">
        <v>17.036028691710602</v>
      </c>
      <c r="BM2421" s="2">
        <v>17.248331954150199</v>
      </c>
      <c r="BN2421" s="2">
        <v>16.4952913640393</v>
      </c>
      <c r="BO2421" s="2">
        <v>18.431235105991298</v>
      </c>
      <c r="BP2421" s="2">
        <v>17.678585560235899</v>
      </c>
      <c r="BQ2421" s="2">
        <v>14.9454904744724</v>
      </c>
      <c r="BR2421" s="2">
        <v>17.158595685611001</v>
      </c>
      <c r="BS2421" s="2">
        <v>18.032824317634098</v>
      </c>
      <c r="BT2421" s="2">
        <v>18.874748255650601</v>
      </c>
      <c r="BU2421" s="2">
        <v>17.4601914142408</v>
      </c>
      <c r="BV2421" s="2">
        <v>17.601294772543799</v>
      </c>
      <c r="BW2421" s="2">
        <v>15.7274099768646</v>
      </c>
      <c r="BX2421" s="2">
        <v>17.615637251555</v>
      </c>
      <c r="BY2421" s="2">
        <v>17.224359834419399</v>
      </c>
      <c r="BZ2421" s="2">
        <v>9.6233145402724691</v>
      </c>
      <c r="CA2421" s="2">
        <v>16.762911038906601</v>
      </c>
      <c r="CB2421" s="2">
        <v>16.489977281769299</v>
      </c>
      <c r="CC2421" s="2">
        <v>13.751120351652499</v>
      </c>
      <c r="CD2421" s="2">
        <v>17.5397526159196</v>
      </c>
      <c r="CE2421" s="2">
        <v>16.269357927319199</v>
      </c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</row>
    <row r="2422" spans="1:97">
      <c r="A2422" s="2" t="s">
        <v>20827</v>
      </c>
      <c r="B2422" s="2">
        <v>352.24540999999999</v>
      </c>
      <c r="C2422" s="2">
        <v>6.2270000000000003</v>
      </c>
      <c r="D2422" s="2" t="s">
        <v>84</v>
      </c>
      <c r="E2422" s="2" t="s">
        <v>20828</v>
      </c>
      <c r="F2422" s="2" t="s">
        <v>20829</v>
      </c>
      <c r="G2422" s="2">
        <v>197873</v>
      </c>
      <c r="H2422" s="3" t="str">
        <f>HYPERLINK("https://cloud.oebiotech.com/#/lm/network/197873", "https://cloud.oebiotech.com/#/lm/network/197873")</f>
        <v>https://cloud.oebiotech.com/#/lm/network/197873</v>
      </c>
      <c r="I2422" s="2" t="s">
        <v>20830</v>
      </c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 t="s">
        <v>20831</v>
      </c>
      <c r="U2422" s="2" t="s">
        <v>20832</v>
      </c>
      <c r="V2422" s="2" t="s">
        <v>95</v>
      </c>
      <c r="W2422" s="2" t="s">
        <v>96</v>
      </c>
      <c r="X2422" s="2" t="s">
        <v>97</v>
      </c>
      <c r="Y2422" s="2" t="s">
        <v>98</v>
      </c>
      <c r="Z2422" s="2" t="s">
        <v>99</v>
      </c>
      <c r="AA2422" s="2" t="s">
        <v>100</v>
      </c>
      <c r="AB2422" s="2" t="s">
        <v>8443</v>
      </c>
      <c r="AC2422" s="2">
        <v>36.61</v>
      </c>
      <c r="AD2422" s="2">
        <v>87.28</v>
      </c>
      <c r="AE2422" s="2">
        <v>0</v>
      </c>
      <c r="AF2422" s="2" t="s">
        <v>5614</v>
      </c>
      <c r="AG2422" s="2" t="s">
        <v>1088</v>
      </c>
      <c r="AH2422" s="2" t="s">
        <v>20833</v>
      </c>
      <c r="AI2422" s="2">
        <v>9.65</v>
      </c>
      <c r="AJ2422" s="2">
        <v>19.473520026822499</v>
      </c>
      <c r="AK2422" s="2">
        <v>20.506584971941901</v>
      </c>
      <c r="AL2422" s="2">
        <v>19.405400482972301</v>
      </c>
      <c r="AM2422" s="2">
        <v>20.279994498448499</v>
      </c>
      <c r="AN2422" s="2">
        <v>20.502370411295502</v>
      </c>
      <c r="AO2422" s="2">
        <v>20.2483412204821</v>
      </c>
      <c r="AP2422" s="2">
        <v>19.836601964034902</v>
      </c>
      <c r="AQ2422" s="2">
        <v>20.460626771862302</v>
      </c>
      <c r="AR2422" s="2">
        <v>19.6545581358838</v>
      </c>
      <c r="AS2422" s="2">
        <v>19.577191917268301</v>
      </c>
      <c r="AT2422" s="2">
        <v>20.009511631953199</v>
      </c>
      <c r="AU2422" s="2">
        <v>20.482233124748301</v>
      </c>
      <c r="AV2422" s="2">
        <v>19.5000617373253</v>
      </c>
      <c r="AW2422" s="2">
        <v>20.481086942817701</v>
      </c>
      <c r="AX2422" s="2">
        <v>19.637337345772199</v>
      </c>
      <c r="AY2422" s="2">
        <v>19.546318115860601</v>
      </c>
      <c r="AZ2422" s="2">
        <v>20.465331459110701</v>
      </c>
      <c r="BA2422" s="2">
        <v>19.5742973453474</v>
      </c>
      <c r="BB2422" s="2">
        <v>20.390113051272099</v>
      </c>
      <c r="BC2422" s="2">
        <v>19.657015495085599</v>
      </c>
      <c r="BD2422" s="2">
        <v>19.9399557326179</v>
      </c>
      <c r="BE2422" s="2">
        <v>20.261607941751599</v>
      </c>
      <c r="BF2422" s="2">
        <v>19.833461996404999</v>
      </c>
      <c r="BG2422" s="2">
        <v>20.4870927502892</v>
      </c>
      <c r="BH2422" s="2">
        <v>20.3767473576331</v>
      </c>
      <c r="BI2422" s="2">
        <v>20.117056083130599</v>
      </c>
      <c r="BJ2422" s="2">
        <v>20.225928023034299</v>
      </c>
      <c r="BK2422" s="2">
        <v>19.628832694848899</v>
      </c>
      <c r="BL2422" s="2">
        <v>19.3823943236067</v>
      </c>
      <c r="BM2422" s="2">
        <v>19.290101847042799</v>
      </c>
      <c r="BN2422" s="2">
        <v>20.095837160402901</v>
      </c>
      <c r="BO2422" s="2">
        <v>20.3911404635612</v>
      </c>
      <c r="BP2422" s="2">
        <v>20.187994191921401</v>
      </c>
      <c r="BQ2422" s="2">
        <v>19.430248065535199</v>
      </c>
      <c r="BR2422" s="2">
        <v>19.9144981448751</v>
      </c>
      <c r="BS2422" s="2">
        <v>20.446783091041802</v>
      </c>
      <c r="BT2422" s="2">
        <v>19.455457425619802</v>
      </c>
      <c r="BU2422" s="2">
        <v>19.571258635680898</v>
      </c>
      <c r="BV2422" s="2">
        <v>19.8054953365755</v>
      </c>
      <c r="BW2422" s="2">
        <v>19.544017795000499</v>
      </c>
      <c r="BX2422" s="2">
        <v>19.601025030634801</v>
      </c>
      <c r="BY2422" s="2">
        <v>20.205544031145401</v>
      </c>
      <c r="BZ2422" s="2">
        <v>19.727159357941499</v>
      </c>
      <c r="CA2422" s="2">
        <v>20.234166872096001</v>
      </c>
      <c r="CB2422" s="2">
        <v>20.063412330113</v>
      </c>
      <c r="CC2422" s="2">
        <v>19.555615658497398</v>
      </c>
      <c r="CD2422" s="2">
        <v>19.3976907373495</v>
      </c>
      <c r="CE2422" s="2">
        <v>19.374571199201601</v>
      </c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</row>
    <row r="2423" spans="1:97">
      <c r="A2423" s="2" t="s">
        <v>20834</v>
      </c>
      <c r="B2423" s="2">
        <v>131.08985999999999</v>
      </c>
      <c r="C2423" s="2">
        <v>11.582000000000001</v>
      </c>
      <c r="D2423" s="2" t="s">
        <v>84</v>
      </c>
      <c r="E2423" s="2" t="s">
        <v>20835</v>
      </c>
      <c r="F2423" s="2" t="s">
        <v>20836</v>
      </c>
      <c r="G2423" s="2">
        <v>63384</v>
      </c>
      <c r="H2423" s="3" t="str">
        <f>HYPERLINK("https://cloud.oebiotech.com/#/lm/network/63384", "https://cloud.oebiotech.com/#/lm/network/63384")</f>
        <v>https://cloud.oebiotech.com/#/lm/network/63384</v>
      </c>
      <c r="I2423" s="2" t="s">
        <v>20837</v>
      </c>
      <c r="J2423" s="2">
        <v>94693</v>
      </c>
      <c r="K2423" s="2"/>
      <c r="L2423" s="2">
        <v>65413</v>
      </c>
      <c r="M2423" s="2"/>
      <c r="N2423" s="2"/>
      <c r="O2423" s="2"/>
      <c r="P2423" s="2"/>
      <c r="Q2423" s="2"/>
      <c r="R2423" s="2"/>
      <c r="S2423" s="2" t="s">
        <v>20838</v>
      </c>
      <c r="T2423" s="2" t="s">
        <v>20839</v>
      </c>
      <c r="U2423" s="2" t="s">
        <v>20840</v>
      </c>
      <c r="V2423" s="2" t="s">
        <v>9746</v>
      </c>
      <c r="W2423" s="2" t="s">
        <v>17953</v>
      </c>
      <c r="X2423" s="2" t="s">
        <v>20841</v>
      </c>
      <c r="Y2423" s="2" t="s">
        <v>9748</v>
      </c>
      <c r="Z2423" s="2" t="s">
        <v>17955</v>
      </c>
      <c r="AA2423" s="2" t="s">
        <v>20842</v>
      </c>
      <c r="AB2423" s="2" t="s">
        <v>8443</v>
      </c>
      <c r="AC2423" s="2">
        <v>36.61</v>
      </c>
      <c r="AD2423" s="2">
        <v>93.28</v>
      </c>
      <c r="AE2423" s="2">
        <v>0</v>
      </c>
      <c r="AF2423" s="2" t="s">
        <v>5614</v>
      </c>
      <c r="AG2423" s="2" t="s">
        <v>1088</v>
      </c>
      <c r="AH2423" s="2" t="s">
        <v>20843</v>
      </c>
      <c r="AI2423" s="2">
        <v>-3.05</v>
      </c>
      <c r="AJ2423" s="2">
        <v>24.079087550108898</v>
      </c>
      <c r="AK2423" s="2">
        <v>24.114817565027799</v>
      </c>
      <c r="AL2423" s="2">
        <v>24.169367191336399</v>
      </c>
      <c r="AM2423" s="2">
        <v>24.0562270676526</v>
      </c>
      <c r="AN2423" s="2">
        <v>23.989382955179298</v>
      </c>
      <c r="AO2423" s="2">
        <v>24.069324645063801</v>
      </c>
      <c r="AP2423" s="2">
        <v>24.080339700286199</v>
      </c>
      <c r="AQ2423" s="2">
        <v>24.063774192692801</v>
      </c>
      <c r="AR2423" s="2">
        <v>24.647673846218598</v>
      </c>
      <c r="AS2423" s="2">
        <v>22.916254955208601</v>
      </c>
      <c r="AT2423" s="2">
        <v>23.777355274105702</v>
      </c>
      <c r="AU2423" s="2">
        <v>23.999440706351599</v>
      </c>
      <c r="AV2423" s="2">
        <v>23.6269242595416</v>
      </c>
      <c r="AW2423" s="2">
        <v>23.9415561339917</v>
      </c>
      <c r="AX2423" s="2">
        <v>24.091071215102101</v>
      </c>
      <c r="AY2423" s="2">
        <v>23.949933798367599</v>
      </c>
      <c r="AZ2423" s="2">
        <v>24.2751792799755</v>
      </c>
      <c r="BA2423" s="2">
        <v>22.910193933622701</v>
      </c>
      <c r="BB2423" s="2">
        <v>24.004892542408101</v>
      </c>
      <c r="BC2423" s="2">
        <v>24.584803041634</v>
      </c>
      <c r="BD2423" s="2">
        <v>24.117675209050301</v>
      </c>
      <c r="BE2423" s="2">
        <v>24.609686125432201</v>
      </c>
      <c r="BF2423" s="2">
        <v>23.559084465776401</v>
      </c>
      <c r="BG2423" s="2">
        <v>24.1517903064073</v>
      </c>
      <c r="BH2423" s="2">
        <v>23.9021556243211</v>
      </c>
      <c r="BI2423" s="2">
        <v>23.912529981841999</v>
      </c>
      <c r="BJ2423" s="2">
        <v>23.515452578296198</v>
      </c>
      <c r="BK2423" s="2">
        <v>23.5560621102338</v>
      </c>
      <c r="BL2423" s="2">
        <v>24.2969076246297</v>
      </c>
      <c r="BM2423" s="2">
        <v>23.682532952118098</v>
      </c>
      <c r="BN2423" s="2">
        <v>23.887723304932798</v>
      </c>
      <c r="BO2423" s="2">
        <v>23.9864325608504</v>
      </c>
      <c r="BP2423" s="2">
        <v>23.960785893166399</v>
      </c>
      <c r="BQ2423" s="2">
        <v>24.0701002034568</v>
      </c>
      <c r="BR2423" s="2">
        <v>24.119620458303</v>
      </c>
      <c r="BS2423" s="2">
        <v>23.493781908519999</v>
      </c>
      <c r="BT2423" s="2">
        <v>24.065293651917798</v>
      </c>
      <c r="BU2423" s="2">
        <v>23.737048850972901</v>
      </c>
      <c r="BV2423" s="2">
        <v>24.2714247975135</v>
      </c>
      <c r="BW2423" s="2">
        <v>23.351713018907301</v>
      </c>
      <c r="BX2423" s="2">
        <v>24.034053538339801</v>
      </c>
      <c r="BY2423" s="2">
        <v>24.8111702995276</v>
      </c>
      <c r="BZ2423" s="2">
        <v>23.785100495115199</v>
      </c>
      <c r="CA2423" s="2">
        <v>24.168930832387399</v>
      </c>
      <c r="CB2423" s="2">
        <v>23.971945473078801</v>
      </c>
      <c r="CC2423" s="2">
        <v>23.680222265832899</v>
      </c>
      <c r="CD2423" s="2">
        <v>24.5195221053823</v>
      </c>
      <c r="CE2423" s="2">
        <v>23.162480141825998</v>
      </c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</row>
    <row r="2424" spans="1:97">
      <c r="A2424" s="2" t="s">
        <v>20844</v>
      </c>
      <c r="B2424" s="2">
        <v>415.38887</v>
      </c>
      <c r="C2424" s="2">
        <v>0.58699999999999997</v>
      </c>
      <c r="D2424" s="2" t="s">
        <v>84</v>
      </c>
      <c r="E2424" s="2" t="s">
        <v>20845</v>
      </c>
      <c r="F2424" s="2" t="s">
        <v>20846</v>
      </c>
      <c r="G2424" s="2">
        <v>204452</v>
      </c>
      <c r="H2424" s="3" t="str">
        <f>HYPERLINK("https://cloud.oebiotech.com/#/lm/network/204452", "https://cloud.oebiotech.com/#/lm/network/204452")</f>
        <v>https://cloud.oebiotech.com/#/lm/network/204452</v>
      </c>
      <c r="I2424" s="2" t="s">
        <v>20847</v>
      </c>
      <c r="J2424" s="2"/>
      <c r="K2424" s="2"/>
      <c r="L2424" s="2">
        <v>375405</v>
      </c>
      <c r="M2424" s="2"/>
      <c r="N2424" s="2"/>
      <c r="O2424" s="2"/>
      <c r="P2424" s="2"/>
      <c r="Q2424" s="2"/>
      <c r="R2424" s="2"/>
      <c r="S2424" s="2"/>
      <c r="T2424" s="2" t="s">
        <v>20848</v>
      </c>
      <c r="U2424" s="2" t="s">
        <v>20849</v>
      </c>
      <c r="V2424" s="2" t="s">
        <v>95</v>
      </c>
      <c r="W2424" s="2" t="s">
        <v>2361</v>
      </c>
      <c r="X2424" s="2" t="s">
        <v>18004</v>
      </c>
      <c r="Y2424" s="2" t="s">
        <v>98</v>
      </c>
      <c r="Z2424" s="2" t="s">
        <v>2363</v>
      </c>
      <c r="AA2424" s="2" t="s">
        <v>18005</v>
      </c>
      <c r="AB2424" s="2" t="s">
        <v>8443</v>
      </c>
      <c r="AC2424" s="2">
        <v>36.61</v>
      </c>
      <c r="AD2424" s="2">
        <v>84.03</v>
      </c>
      <c r="AE2424" s="2">
        <v>0</v>
      </c>
      <c r="AF2424" s="2" t="s">
        <v>5614</v>
      </c>
      <c r="AG2424" s="2" t="s">
        <v>132</v>
      </c>
      <c r="AH2424" s="2" t="s">
        <v>20850</v>
      </c>
      <c r="AI2424" s="2">
        <v>1.2</v>
      </c>
      <c r="AJ2424" s="2">
        <v>20.896146908916599</v>
      </c>
      <c r="AK2424" s="2">
        <v>20.977906180909301</v>
      </c>
      <c r="AL2424" s="2">
        <v>20.9823610471724</v>
      </c>
      <c r="AM2424" s="2">
        <v>20.824553129022998</v>
      </c>
      <c r="AN2424" s="2">
        <v>20.759946763568401</v>
      </c>
      <c r="AO2424" s="2">
        <v>21.016646093963001</v>
      </c>
      <c r="AP2424" s="2">
        <v>20.646577536138899</v>
      </c>
      <c r="AQ2424" s="2">
        <v>20.468790623391101</v>
      </c>
      <c r="AR2424" s="2">
        <v>20.998471034805199</v>
      </c>
      <c r="AS2424" s="2">
        <v>19.6432370999316</v>
      </c>
      <c r="AT2424" s="2">
        <v>20.520085470338302</v>
      </c>
      <c r="AU2424" s="2">
        <v>19.334627655784601</v>
      </c>
      <c r="AV2424" s="2">
        <v>20.430247054672002</v>
      </c>
      <c r="AW2424" s="2">
        <v>20.633501622575299</v>
      </c>
      <c r="AX2424" s="2">
        <v>20.416879017835601</v>
      </c>
      <c r="AY2424" s="2">
        <v>20.171969500507501</v>
      </c>
      <c r="AZ2424" s="2">
        <v>20.376035234981</v>
      </c>
      <c r="BA2424" s="2">
        <v>20.6156797057318</v>
      </c>
      <c r="BB2424" s="2">
        <v>21.061963348708002</v>
      </c>
      <c r="BC2424" s="2">
        <v>21.256002888392398</v>
      </c>
      <c r="BD2424" s="2">
        <v>20.745028095766401</v>
      </c>
      <c r="BE2424" s="2">
        <v>20.8245533387832</v>
      </c>
      <c r="BF2424" s="2">
        <v>21.0258938064554</v>
      </c>
      <c r="BG2424" s="2">
        <v>20.504589543689601</v>
      </c>
      <c r="BH2424" s="2">
        <v>21.0468916409713</v>
      </c>
      <c r="BI2424" s="2">
        <v>20.562024114875801</v>
      </c>
      <c r="BJ2424" s="2">
        <v>21.344414812646001</v>
      </c>
      <c r="BK2424" s="2">
        <v>19.841336897110299</v>
      </c>
      <c r="BL2424" s="2">
        <v>20.391010711727599</v>
      </c>
      <c r="BM2424" s="2">
        <v>20.428426842562299</v>
      </c>
      <c r="BN2424" s="2">
        <v>20.996195837119899</v>
      </c>
      <c r="BO2424" s="2">
        <v>20.586184096687798</v>
      </c>
      <c r="BP2424" s="2">
        <v>20.528818428132201</v>
      </c>
      <c r="BQ2424" s="2">
        <v>20.330833250675798</v>
      </c>
      <c r="BR2424" s="2">
        <v>19.966019802309098</v>
      </c>
      <c r="BS2424" s="2">
        <v>20.6254079797468</v>
      </c>
      <c r="BT2424" s="2">
        <v>20.4211733422365</v>
      </c>
      <c r="BU2424" s="2">
        <v>20.7273617280445</v>
      </c>
      <c r="BV2424" s="2">
        <v>20.857821621744701</v>
      </c>
      <c r="BW2424" s="2">
        <v>20.598176894523402</v>
      </c>
      <c r="BX2424" s="2">
        <v>19.9347052836671</v>
      </c>
      <c r="BY2424" s="2">
        <v>21.328490511966901</v>
      </c>
      <c r="BZ2424" s="2">
        <v>21.0896023983004</v>
      </c>
      <c r="CA2424" s="2">
        <v>20.836032219828901</v>
      </c>
      <c r="CB2424" s="2">
        <v>20.402039078029301</v>
      </c>
      <c r="CC2424" s="2">
        <v>20.437316715978799</v>
      </c>
      <c r="CD2424" s="2">
        <v>21.1401528245589</v>
      </c>
      <c r="CE2424" s="2">
        <v>20.724026440884099</v>
      </c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</row>
    <row r="2425" spans="1:97">
      <c r="A2425" s="2" t="s">
        <v>20851</v>
      </c>
      <c r="B2425" s="2">
        <v>397.16838000000001</v>
      </c>
      <c r="C2425" s="2">
        <v>7.1959999999999997</v>
      </c>
      <c r="D2425" s="2" t="s">
        <v>146</v>
      </c>
      <c r="E2425" s="2" t="s">
        <v>20852</v>
      </c>
      <c r="F2425" s="2" t="s">
        <v>20853</v>
      </c>
      <c r="G2425" s="2">
        <v>62138</v>
      </c>
      <c r="H2425" s="3" t="str">
        <f>HYPERLINK("https://cloud.oebiotech.com/#/lm/network/62138", "https://cloud.oebiotech.com/#/lm/network/62138")</f>
        <v>https://cloud.oebiotech.com/#/lm/network/62138</v>
      </c>
      <c r="I2425" s="2" t="s">
        <v>20854</v>
      </c>
      <c r="J2425" s="2">
        <v>93429</v>
      </c>
      <c r="K2425" s="2"/>
      <c r="L2425" s="2">
        <v>14707328</v>
      </c>
      <c r="M2425" s="2"/>
      <c r="N2425" s="2"/>
      <c r="O2425" s="2"/>
      <c r="P2425" s="2">
        <v>175331</v>
      </c>
      <c r="Q2425" s="2"/>
      <c r="R2425" s="2"/>
      <c r="S2425" s="2" t="s">
        <v>20855</v>
      </c>
      <c r="T2425" s="2" t="s">
        <v>20856</v>
      </c>
      <c r="U2425" s="2" t="s">
        <v>20857</v>
      </c>
      <c r="V2425" s="2" t="s">
        <v>95</v>
      </c>
      <c r="W2425" s="2" t="s">
        <v>180</v>
      </c>
      <c r="X2425" s="2" t="s">
        <v>181</v>
      </c>
      <c r="Y2425" s="2" t="s">
        <v>98</v>
      </c>
      <c r="Z2425" s="2" t="s">
        <v>182</v>
      </c>
      <c r="AA2425" s="2" t="s">
        <v>183</v>
      </c>
      <c r="AB2425" s="2" t="s">
        <v>8443</v>
      </c>
      <c r="AC2425" s="2">
        <v>36.61</v>
      </c>
      <c r="AD2425" s="2">
        <v>84.84</v>
      </c>
      <c r="AE2425" s="2">
        <v>0</v>
      </c>
      <c r="AF2425" s="2" t="s">
        <v>20858</v>
      </c>
      <c r="AG2425" s="2" t="s">
        <v>993</v>
      </c>
      <c r="AH2425" s="2" t="s">
        <v>20859</v>
      </c>
      <c r="AI2425" s="2">
        <v>-8.31</v>
      </c>
      <c r="AJ2425" s="2">
        <v>17.933997291865701</v>
      </c>
      <c r="AK2425" s="2">
        <v>17.8428895466593</v>
      </c>
      <c r="AL2425" s="2">
        <v>18.023454193695599</v>
      </c>
      <c r="AM2425" s="2">
        <v>17.572638874528799</v>
      </c>
      <c r="AN2425" s="2">
        <v>18.2566712068618</v>
      </c>
      <c r="AO2425" s="2">
        <v>17.5363982475093</v>
      </c>
      <c r="AP2425" s="2">
        <v>18.370852377016799</v>
      </c>
      <c r="AQ2425" s="2">
        <v>18.3048708821158</v>
      </c>
      <c r="AR2425" s="2">
        <v>17.4967228088044</v>
      </c>
      <c r="AS2425" s="2">
        <v>16.274463150059201</v>
      </c>
      <c r="AT2425" s="2">
        <v>18.5715582380314</v>
      </c>
      <c r="AU2425" s="2">
        <v>18.375721771382999</v>
      </c>
      <c r="AV2425" s="2">
        <v>17.575483481362699</v>
      </c>
      <c r="AW2425" s="2">
        <v>18.784787354550101</v>
      </c>
      <c r="AX2425" s="2">
        <v>16.776791553953402</v>
      </c>
      <c r="AY2425" s="2">
        <v>16.3238300639151</v>
      </c>
      <c r="AZ2425" s="2">
        <v>17.779547329867398</v>
      </c>
      <c r="BA2425" s="2">
        <v>17.1682043571778</v>
      </c>
      <c r="BB2425" s="2">
        <v>18.6688191772508</v>
      </c>
      <c r="BC2425" s="2">
        <v>17.3148909417948</v>
      </c>
      <c r="BD2425" s="2">
        <v>17.117412690858298</v>
      </c>
      <c r="BE2425" s="2">
        <v>17.034054064087901</v>
      </c>
      <c r="BF2425" s="2">
        <v>17.2568081509162</v>
      </c>
      <c r="BG2425" s="2">
        <v>17.238964824419199</v>
      </c>
      <c r="BH2425" s="2">
        <v>15.907696720410399</v>
      </c>
      <c r="BI2425" s="2">
        <v>19.9030094282421</v>
      </c>
      <c r="BJ2425" s="2">
        <v>18.347057143245198</v>
      </c>
      <c r="BK2425" s="2">
        <v>18.3366212271237</v>
      </c>
      <c r="BL2425" s="2">
        <v>18.770520949245</v>
      </c>
      <c r="BM2425" s="2">
        <v>16.159805718829599</v>
      </c>
      <c r="BN2425" s="2">
        <v>18.066849628513101</v>
      </c>
      <c r="BO2425" s="2">
        <v>18.665253984560401</v>
      </c>
      <c r="BP2425" s="2">
        <v>18.9420552570304</v>
      </c>
      <c r="BQ2425" s="2">
        <v>18.339003512307499</v>
      </c>
      <c r="BR2425" s="2">
        <v>18.214964832396799</v>
      </c>
      <c r="BS2425" s="2">
        <v>18.647217209929501</v>
      </c>
      <c r="BT2425" s="2">
        <v>17.502437845940999</v>
      </c>
      <c r="BU2425" s="2">
        <v>17.386378771884299</v>
      </c>
      <c r="BV2425" s="2">
        <v>18.2407554226927</v>
      </c>
      <c r="BW2425" s="2">
        <v>16.000485542257302</v>
      </c>
      <c r="BX2425" s="2">
        <v>18.594182870372201</v>
      </c>
      <c r="BY2425" s="2">
        <v>17.727490748060099</v>
      </c>
      <c r="BZ2425" s="2">
        <v>16.568331728337998</v>
      </c>
      <c r="CA2425" s="2">
        <v>16.541366792790999</v>
      </c>
      <c r="CB2425" s="2">
        <v>16.657353344066401</v>
      </c>
      <c r="CC2425" s="2">
        <v>19.349173482321099</v>
      </c>
      <c r="CD2425" s="2">
        <v>19.200537876607999</v>
      </c>
      <c r="CE2425" s="2">
        <v>19.686548760063499</v>
      </c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</row>
    <row r="2426" spans="1:97">
      <c r="A2426" s="2" t="s">
        <v>20860</v>
      </c>
      <c r="B2426" s="2">
        <v>331.22622999999999</v>
      </c>
      <c r="C2426" s="2">
        <v>5.2859999999999996</v>
      </c>
      <c r="D2426" s="2" t="s">
        <v>84</v>
      </c>
      <c r="E2426" s="2" t="s">
        <v>20861</v>
      </c>
      <c r="F2426" s="2" t="s">
        <v>20862</v>
      </c>
      <c r="G2426" s="2">
        <v>82758</v>
      </c>
      <c r="H2426" s="3" t="str">
        <f>HYPERLINK("https://cloud.oebiotech.com/#/lm/network/82758", "https://cloud.oebiotech.com/#/lm/network/82758")</f>
        <v>https://cloud.oebiotech.com/#/lm/network/82758</v>
      </c>
      <c r="I2426" s="2" t="s">
        <v>20863</v>
      </c>
      <c r="J2426" s="2"/>
      <c r="K2426" s="2"/>
      <c r="L2426" s="2">
        <v>37482</v>
      </c>
      <c r="M2426" s="2"/>
      <c r="N2426" s="2"/>
      <c r="O2426" s="2"/>
      <c r="P2426" s="2"/>
      <c r="Q2426" s="2"/>
      <c r="R2426" s="2"/>
      <c r="S2426" s="2"/>
      <c r="T2426" s="2" t="s">
        <v>20864</v>
      </c>
      <c r="U2426" s="2" t="s">
        <v>20865</v>
      </c>
      <c r="V2426" s="2" t="s">
        <v>553</v>
      </c>
      <c r="W2426" s="2" t="s">
        <v>2193</v>
      </c>
      <c r="X2426" s="2" t="s">
        <v>4866</v>
      </c>
      <c r="Y2426" s="2" t="s">
        <v>556</v>
      </c>
      <c r="Z2426" s="2" t="s">
        <v>2194</v>
      </c>
      <c r="AA2426" s="2" t="s">
        <v>4867</v>
      </c>
      <c r="AB2426" s="2" t="s">
        <v>8443</v>
      </c>
      <c r="AC2426" s="2">
        <v>36.590000000000003</v>
      </c>
      <c r="AD2426" s="2">
        <v>87</v>
      </c>
      <c r="AE2426" s="2">
        <v>0</v>
      </c>
      <c r="AF2426" s="2" t="s">
        <v>5614</v>
      </c>
      <c r="AG2426" s="2" t="s">
        <v>103</v>
      </c>
      <c r="AH2426" s="2" t="s">
        <v>6647</v>
      </c>
      <c r="AI2426" s="2">
        <v>1.81</v>
      </c>
      <c r="AJ2426" s="2">
        <v>18.724769893846599</v>
      </c>
      <c r="AK2426" s="2">
        <v>18.6287224482952</v>
      </c>
      <c r="AL2426" s="2">
        <v>18.0628352120481</v>
      </c>
      <c r="AM2426" s="2">
        <v>18.6604522352822</v>
      </c>
      <c r="AN2426" s="2">
        <v>18.575684374679501</v>
      </c>
      <c r="AO2426" s="2">
        <v>18.608484232163001</v>
      </c>
      <c r="AP2426" s="2">
        <v>18.131993723657398</v>
      </c>
      <c r="AQ2426" s="2">
        <v>18.806399773992101</v>
      </c>
      <c r="AR2426" s="2">
        <v>18.1880066318557</v>
      </c>
      <c r="AS2426" s="2">
        <v>17.027725259712099</v>
      </c>
      <c r="AT2426" s="2">
        <v>18.524357754793002</v>
      </c>
      <c r="AU2426" s="2">
        <v>17.839691215789699</v>
      </c>
      <c r="AV2426" s="2">
        <v>19.467003107414701</v>
      </c>
      <c r="AW2426" s="2">
        <v>18.829568957497401</v>
      </c>
      <c r="AX2426" s="2">
        <v>17.599445947434202</v>
      </c>
      <c r="AY2426" s="2">
        <v>17.3947875591711</v>
      </c>
      <c r="AZ2426" s="2">
        <v>18.199852996269399</v>
      </c>
      <c r="BA2426" s="2">
        <v>18.847982811552399</v>
      </c>
      <c r="BB2426" s="2">
        <v>18.663283806539301</v>
      </c>
      <c r="BC2426" s="2">
        <v>18.817339111264602</v>
      </c>
      <c r="BD2426" s="2">
        <v>17.7299531947303</v>
      </c>
      <c r="BE2426" s="2">
        <v>19.292528029343899</v>
      </c>
      <c r="BF2426" s="2">
        <v>15.3325642415096</v>
      </c>
      <c r="BG2426" s="2">
        <v>18.395577353077101</v>
      </c>
      <c r="BH2426" s="2">
        <v>18.1188740225783</v>
      </c>
      <c r="BI2426" s="2">
        <v>17.936517575215799</v>
      </c>
      <c r="BJ2426" s="2">
        <v>18.7556917103906</v>
      </c>
      <c r="BK2426" s="2">
        <v>19.042233444072899</v>
      </c>
      <c r="BL2426" s="2">
        <v>17.919732174153101</v>
      </c>
      <c r="BM2426" s="2">
        <v>17.5257886438363</v>
      </c>
      <c r="BN2426" s="2">
        <v>18.851283425363</v>
      </c>
      <c r="BO2426" s="2">
        <v>18.448133691935698</v>
      </c>
      <c r="BP2426" s="2">
        <v>18.641335154127201</v>
      </c>
      <c r="BQ2426" s="2">
        <v>18.464604258127402</v>
      </c>
      <c r="BR2426" s="2">
        <v>18.471740616778099</v>
      </c>
      <c r="BS2426" s="2">
        <v>17.291055555458001</v>
      </c>
      <c r="BT2426" s="2">
        <v>18.267965174310099</v>
      </c>
      <c r="BU2426" s="2">
        <v>18.7439674598875</v>
      </c>
      <c r="BV2426" s="2">
        <v>18.307133999683</v>
      </c>
      <c r="BW2426" s="2">
        <v>17.4057516833048</v>
      </c>
      <c r="BX2426" s="2">
        <v>18.369733222969298</v>
      </c>
      <c r="BY2426" s="2">
        <v>19.489135858489199</v>
      </c>
      <c r="BZ2426" s="2">
        <v>18.183193339155899</v>
      </c>
      <c r="CA2426" s="2">
        <v>9.6233145402724691</v>
      </c>
      <c r="CB2426" s="2">
        <v>18.056842696170602</v>
      </c>
      <c r="CC2426" s="2">
        <v>19.200566923062901</v>
      </c>
      <c r="CD2426" s="2">
        <v>18.372838964749199</v>
      </c>
      <c r="CE2426" s="2">
        <v>18.955435934575</v>
      </c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</row>
    <row r="2427" spans="1:97">
      <c r="A2427" s="2" t="s">
        <v>20866</v>
      </c>
      <c r="B2427" s="2">
        <v>628.49824999999998</v>
      </c>
      <c r="C2427" s="2">
        <v>13.183999999999999</v>
      </c>
      <c r="D2427" s="2" t="s">
        <v>84</v>
      </c>
      <c r="E2427" s="2" t="s">
        <v>20867</v>
      </c>
      <c r="F2427" s="2" t="s">
        <v>20868</v>
      </c>
      <c r="G2427" s="2">
        <v>78754</v>
      </c>
      <c r="H2427" s="3" t="str">
        <f>HYPERLINK("https://cloud.oebiotech.com/#/lm/network/78754", "https://cloud.oebiotech.com/#/lm/network/78754")</f>
        <v>https://cloud.oebiotech.com/#/lm/network/78754</v>
      </c>
      <c r="I2427" s="2" t="s">
        <v>20869</v>
      </c>
      <c r="J2427" s="2"/>
      <c r="K2427" s="2"/>
      <c r="L2427" s="2">
        <v>131802060</v>
      </c>
      <c r="M2427" s="2"/>
      <c r="N2427" s="2"/>
      <c r="O2427" s="2"/>
      <c r="P2427" s="2"/>
      <c r="Q2427" s="2"/>
      <c r="R2427" s="2"/>
      <c r="S2427" s="2"/>
      <c r="T2427" s="2" t="s">
        <v>20870</v>
      </c>
      <c r="U2427" s="2" t="s">
        <v>20871</v>
      </c>
      <c r="V2427" s="2" t="s">
        <v>95</v>
      </c>
      <c r="W2427" s="2" t="s">
        <v>96</v>
      </c>
      <c r="X2427" s="2" t="s">
        <v>919</v>
      </c>
      <c r="Y2427" s="2" t="s">
        <v>98</v>
      </c>
      <c r="Z2427" s="2" t="s">
        <v>99</v>
      </c>
      <c r="AA2427" s="2" t="s">
        <v>920</v>
      </c>
      <c r="AB2427" s="2" t="s">
        <v>8443</v>
      </c>
      <c r="AC2427" s="2">
        <v>36.590000000000003</v>
      </c>
      <c r="AD2427" s="2">
        <v>72.959999999999994</v>
      </c>
      <c r="AE2427" s="2">
        <v>0</v>
      </c>
      <c r="AF2427" s="2" t="s">
        <v>5614</v>
      </c>
      <c r="AG2427" s="2" t="s">
        <v>132</v>
      </c>
      <c r="AH2427" s="2" t="s">
        <v>20872</v>
      </c>
      <c r="AI2427" s="2">
        <v>-7.48</v>
      </c>
      <c r="AJ2427" s="2">
        <v>19.146655182347502</v>
      </c>
      <c r="AK2427" s="2">
        <v>18.857106281967798</v>
      </c>
      <c r="AL2427" s="2">
        <v>18.468183513654701</v>
      </c>
      <c r="AM2427" s="2">
        <v>18.4687216372492</v>
      </c>
      <c r="AN2427" s="2">
        <v>18.993709157750502</v>
      </c>
      <c r="AO2427" s="2">
        <v>18.746615186338101</v>
      </c>
      <c r="AP2427" s="2">
        <v>18.7682767716096</v>
      </c>
      <c r="AQ2427" s="2">
        <v>18.591565479807901</v>
      </c>
      <c r="AR2427" s="2">
        <v>18.416937481430999</v>
      </c>
      <c r="AS2427" s="2">
        <v>18.5577537880413</v>
      </c>
      <c r="AT2427" s="2">
        <v>18.8270781482559</v>
      </c>
      <c r="AU2427" s="2">
        <v>18.671748021884099</v>
      </c>
      <c r="AV2427" s="2">
        <v>18.808340425316899</v>
      </c>
      <c r="AW2427" s="2">
        <v>18.733974697863999</v>
      </c>
      <c r="AX2427" s="2">
        <v>18.6418448069787</v>
      </c>
      <c r="AY2427" s="2">
        <v>18.063431790753</v>
      </c>
      <c r="AZ2427" s="2">
        <v>18.102812757703798</v>
      </c>
      <c r="BA2427" s="2">
        <v>18.5120087773359</v>
      </c>
      <c r="BB2427" s="2">
        <v>18.904012021724899</v>
      </c>
      <c r="BC2427" s="2">
        <v>18.7705485003119</v>
      </c>
      <c r="BD2427" s="2">
        <v>18.348113214801099</v>
      </c>
      <c r="BE2427" s="2">
        <v>17.281724507941099</v>
      </c>
      <c r="BF2427" s="2">
        <v>18.562442970952901</v>
      </c>
      <c r="BG2427" s="2">
        <v>18.432631894753499</v>
      </c>
      <c r="BH2427" s="2">
        <v>17.993901253045799</v>
      </c>
      <c r="BI2427" s="2">
        <v>18.1266361190299</v>
      </c>
      <c r="BJ2427" s="2">
        <v>17.4225988922916</v>
      </c>
      <c r="BK2427" s="2">
        <v>17.564952831456999</v>
      </c>
      <c r="BL2427" s="2">
        <v>17.616661908849199</v>
      </c>
      <c r="BM2427" s="2">
        <v>17.6500626115273</v>
      </c>
      <c r="BN2427" s="2">
        <v>18.2924133982022</v>
      </c>
      <c r="BO2427" s="2">
        <v>18.284511503516999</v>
      </c>
      <c r="BP2427" s="2">
        <v>18.1460094892483</v>
      </c>
      <c r="BQ2427" s="2">
        <v>17.950932309149302</v>
      </c>
      <c r="BR2427" s="2">
        <v>18.247127751344799</v>
      </c>
      <c r="BS2427" s="2">
        <v>17.785694982997502</v>
      </c>
      <c r="BT2427" s="2">
        <v>18.8519583763164</v>
      </c>
      <c r="BU2427" s="2">
        <v>17.477250347252099</v>
      </c>
      <c r="BV2427" s="2">
        <v>19.2770991585068</v>
      </c>
      <c r="BW2427" s="2">
        <v>16.960332670196301</v>
      </c>
      <c r="BX2427" s="2">
        <v>17.6353214181708</v>
      </c>
      <c r="BY2427" s="2">
        <v>18.342892456003</v>
      </c>
      <c r="BZ2427" s="2">
        <v>18.395903932631001</v>
      </c>
      <c r="CA2427" s="2">
        <v>17.665850518401101</v>
      </c>
      <c r="CB2427" s="2">
        <v>18.154946138601201</v>
      </c>
      <c r="CC2427" s="2">
        <v>16.922997209187599</v>
      </c>
      <c r="CD2427" s="2">
        <v>17.648124487594199</v>
      </c>
      <c r="CE2427" s="2">
        <v>19.0431259153086</v>
      </c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</row>
    <row r="2428" spans="1:97">
      <c r="A2428" s="2" t="s">
        <v>20873</v>
      </c>
      <c r="B2428" s="2">
        <v>377.14152000000001</v>
      </c>
      <c r="C2428" s="2">
        <v>4.2350000000000003</v>
      </c>
      <c r="D2428" s="2" t="s">
        <v>84</v>
      </c>
      <c r="E2428" s="2" t="s">
        <v>20874</v>
      </c>
      <c r="F2428" s="2" t="s">
        <v>20875</v>
      </c>
      <c r="G2428" s="2">
        <v>206546</v>
      </c>
      <c r="H2428" s="3" t="str">
        <f>HYPERLINK("https://cloud.oebiotech.com/#/lm/network/206546", "https://cloud.oebiotech.com/#/lm/network/206546")</f>
        <v>https://cloud.oebiotech.com/#/lm/network/206546</v>
      </c>
      <c r="I2428" s="2" t="s">
        <v>20876</v>
      </c>
      <c r="J2428" s="2"/>
      <c r="K2428" s="2"/>
      <c r="L2428" s="2">
        <v>53461774</v>
      </c>
      <c r="M2428" s="2"/>
      <c r="N2428" s="2"/>
      <c r="O2428" s="2"/>
      <c r="P2428" s="2"/>
      <c r="Q2428" s="2"/>
      <c r="R2428" s="2"/>
      <c r="S2428" s="2"/>
      <c r="T2428" s="2" t="s">
        <v>20877</v>
      </c>
      <c r="U2428" s="2" t="s">
        <v>20878</v>
      </c>
      <c r="V2428" s="2" t="s">
        <v>95</v>
      </c>
      <c r="W2428" s="2" t="s">
        <v>152</v>
      </c>
      <c r="X2428" s="2" t="s">
        <v>1131</v>
      </c>
      <c r="Y2428" s="2" t="s">
        <v>98</v>
      </c>
      <c r="Z2428" s="2" t="s">
        <v>154</v>
      </c>
      <c r="AA2428" s="2" t="s">
        <v>1132</v>
      </c>
      <c r="AB2428" s="2" t="s">
        <v>8443</v>
      </c>
      <c r="AC2428" s="2">
        <v>36.590000000000003</v>
      </c>
      <c r="AD2428" s="2">
        <v>82.97</v>
      </c>
      <c r="AE2428" s="2">
        <v>0</v>
      </c>
      <c r="AF2428" s="2" t="s">
        <v>20879</v>
      </c>
      <c r="AG2428" s="2" t="s">
        <v>103</v>
      </c>
      <c r="AH2428" s="2" t="s">
        <v>20880</v>
      </c>
      <c r="AI2428" s="2">
        <v>0.53</v>
      </c>
      <c r="AJ2428" s="2">
        <v>18.016987351443699</v>
      </c>
      <c r="AK2428" s="2">
        <v>17.7272447640803</v>
      </c>
      <c r="AL2428" s="2">
        <v>17.937242194014601</v>
      </c>
      <c r="AM2428" s="2">
        <v>18.230744144936601</v>
      </c>
      <c r="AN2428" s="2">
        <v>17.774439943977601</v>
      </c>
      <c r="AO2428" s="2">
        <v>17.913366055822699</v>
      </c>
      <c r="AP2428" s="2">
        <v>17.987567410294201</v>
      </c>
      <c r="AQ2428" s="2">
        <v>16.992189208305</v>
      </c>
      <c r="AR2428" s="2">
        <v>9.6233145402724691</v>
      </c>
      <c r="AS2428" s="2">
        <v>17.558773750069001</v>
      </c>
      <c r="AT2428" s="2">
        <v>16.4763786811899</v>
      </c>
      <c r="AU2428" s="2">
        <v>18.325758685868198</v>
      </c>
      <c r="AV2428" s="2">
        <v>17.405081199968599</v>
      </c>
      <c r="AW2428" s="2">
        <v>16.089432894231699</v>
      </c>
      <c r="AX2428" s="2">
        <v>17.0449968241163</v>
      </c>
      <c r="AY2428" s="2">
        <v>17.660793562256</v>
      </c>
      <c r="AZ2428" s="2">
        <v>18.580113310079501</v>
      </c>
      <c r="BA2428" s="2">
        <v>16.704837390253701</v>
      </c>
      <c r="BB2428" s="2">
        <v>9.6233145402724691</v>
      </c>
      <c r="BC2428" s="2">
        <v>9.6233145402724691</v>
      </c>
      <c r="BD2428" s="2">
        <v>18.7878817447647</v>
      </c>
      <c r="BE2428" s="2">
        <v>18.5191275068896</v>
      </c>
      <c r="BF2428" s="2">
        <v>17.645303934582099</v>
      </c>
      <c r="BG2428" s="2">
        <v>9.6233145402724691</v>
      </c>
      <c r="BH2428" s="2">
        <v>17.664007903451001</v>
      </c>
      <c r="BI2428" s="2">
        <v>18.239363346836502</v>
      </c>
      <c r="BJ2428" s="2">
        <v>9.6233145402724691</v>
      </c>
      <c r="BK2428" s="2">
        <v>17.124703330265</v>
      </c>
      <c r="BL2428" s="2">
        <v>15.883051328535799</v>
      </c>
      <c r="BM2428" s="2">
        <v>19.4440019348501</v>
      </c>
      <c r="BN2428" s="2">
        <v>17.6109457392119</v>
      </c>
      <c r="BO2428" s="2">
        <v>18.839477786524899</v>
      </c>
      <c r="BP2428" s="2">
        <v>18.182891232118202</v>
      </c>
      <c r="BQ2428" s="2">
        <v>17.6665100164862</v>
      </c>
      <c r="BR2428" s="2">
        <v>15.174193853345599</v>
      </c>
      <c r="BS2428" s="2">
        <v>17.6587729733176</v>
      </c>
      <c r="BT2428" s="2">
        <v>13.692357231807399</v>
      </c>
      <c r="BU2428" s="2">
        <v>16.8522149340406</v>
      </c>
      <c r="BV2428" s="2">
        <v>9.6233145402724691</v>
      </c>
      <c r="BW2428" s="2">
        <v>14.484318794196</v>
      </c>
      <c r="BX2428" s="2">
        <v>18.980646853312599</v>
      </c>
      <c r="BY2428" s="2">
        <v>19.227655964974801</v>
      </c>
      <c r="BZ2428" s="2">
        <v>9.6233145402724691</v>
      </c>
      <c r="CA2428" s="2">
        <v>19.5629256819266</v>
      </c>
      <c r="CB2428" s="2">
        <v>15.588975456420201</v>
      </c>
      <c r="CC2428" s="2">
        <v>16.478914943208899</v>
      </c>
      <c r="CD2428" s="2">
        <v>16.7312218314764</v>
      </c>
      <c r="CE2428" s="2">
        <v>17.003310263799801</v>
      </c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</row>
    <row r="2429" spans="1:97">
      <c r="A2429" s="2" t="s">
        <v>20881</v>
      </c>
      <c r="B2429" s="2">
        <v>295.26260000000002</v>
      </c>
      <c r="C2429" s="2">
        <v>14.616</v>
      </c>
      <c r="D2429" s="2" t="s">
        <v>84</v>
      </c>
      <c r="E2429" s="2" t="s">
        <v>20882</v>
      </c>
      <c r="F2429" s="2"/>
      <c r="G2429" s="2">
        <v>595332</v>
      </c>
      <c r="H2429" s="3" t="str">
        <f>HYPERLINK("https://cloud.oebiotech.com/#/lm/network/595332", "https://cloud.oebiotech.com/#/lm/network/595332")</f>
        <v>https://cloud.oebiotech.com/#/lm/network/595332</v>
      </c>
      <c r="I2429" s="2"/>
      <c r="J2429" s="2"/>
      <c r="K2429" s="2"/>
      <c r="L2429" s="2">
        <v>100922550</v>
      </c>
      <c r="M2429" s="2"/>
      <c r="N2429" s="2"/>
      <c r="O2429" s="2"/>
      <c r="P2429" s="2"/>
      <c r="Q2429" s="2"/>
      <c r="R2429" s="2"/>
      <c r="S2429" s="2"/>
      <c r="T2429" s="2" t="s">
        <v>20883</v>
      </c>
      <c r="U2429" s="2" t="s">
        <v>20884</v>
      </c>
      <c r="V2429" s="2" t="s">
        <v>95</v>
      </c>
      <c r="W2429" s="2" t="s">
        <v>96</v>
      </c>
      <c r="X2429" s="2" t="s">
        <v>141</v>
      </c>
      <c r="Y2429" s="2" t="s">
        <v>98</v>
      </c>
      <c r="Z2429" s="2" t="s">
        <v>99</v>
      </c>
      <c r="AA2429" s="2" t="s">
        <v>142</v>
      </c>
      <c r="AB2429" s="2" t="s">
        <v>8443</v>
      </c>
      <c r="AC2429" s="2">
        <v>36.58</v>
      </c>
      <c r="AD2429" s="2">
        <v>88.03</v>
      </c>
      <c r="AE2429" s="2">
        <v>0</v>
      </c>
      <c r="AF2429" s="2" t="s">
        <v>20885</v>
      </c>
      <c r="AG2429" s="2" t="s">
        <v>103</v>
      </c>
      <c r="AH2429" s="2" t="s">
        <v>20886</v>
      </c>
      <c r="AI2429" s="2">
        <v>2.0299999999999998</v>
      </c>
      <c r="AJ2429" s="2">
        <v>18.8331953013945</v>
      </c>
      <c r="AK2429" s="2">
        <v>19.177803632246899</v>
      </c>
      <c r="AL2429" s="2">
        <v>19.462486655990698</v>
      </c>
      <c r="AM2429" s="2">
        <v>19.557565732076</v>
      </c>
      <c r="AN2429" s="2">
        <v>19.132869342758799</v>
      </c>
      <c r="AO2429" s="2">
        <v>19.423806681763299</v>
      </c>
      <c r="AP2429" s="2">
        <v>19.287125917542301</v>
      </c>
      <c r="AQ2429" s="2">
        <v>19.550883346536299</v>
      </c>
      <c r="AR2429" s="2">
        <v>18.329597701759202</v>
      </c>
      <c r="AS2429" s="2">
        <v>17.624691235881201</v>
      </c>
      <c r="AT2429" s="2">
        <v>18.1613090589954</v>
      </c>
      <c r="AU2429" s="2">
        <v>18.352391475725401</v>
      </c>
      <c r="AV2429" s="2">
        <v>19.025758472189999</v>
      </c>
      <c r="AW2429" s="2">
        <v>18.9787330792327</v>
      </c>
      <c r="AX2429" s="2">
        <v>18.469690183403198</v>
      </c>
      <c r="AY2429" s="2">
        <v>19.201744954693702</v>
      </c>
      <c r="AZ2429" s="2">
        <v>19.293044565320098</v>
      </c>
      <c r="BA2429" s="2">
        <v>18.905183488769001</v>
      </c>
      <c r="BB2429" s="2">
        <v>18.513231915890799</v>
      </c>
      <c r="BC2429" s="2">
        <v>17.962158680923199</v>
      </c>
      <c r="BD2429" s="2">
        <v>18.893485399709402</v>
      </c>
      <c r="BE2429" s="2">
        <v>20.460227657391101</v>
      </c>
      <c r="BF2429" s="2">
        <v>17.459962013184199</v>
      </c>
      <c r="BG2429" s="2">
        <v>19.753525657942902</v>
      </c>
      <c r="BH2429" s="2">
        <v>18.648066541739698</v>
      </c>
      <c r="BI2429" s="2">
        <v>18.061405738530901</v>
      </c>
      <c r="BJ2429" s="2">
        <v>19.7743538759789</v>
      </c>
      <c r="BK2429" s="2">
        <v>18.631830358902199</v>
      </c>
      <c r="BL2429" s="2">
        <v>19.226542514356201</v>
      </c>
      <c r="BM2429" s="2">
        <v>19.052921050594499</v>
      </c>
      <c r="BN2429" s="2">
        <v>18.625457826247001</v>
      </c>
      <c r="BO2429" s="2">
        <v>18.577881553926002</v>
      </c>
      <c r="BP2429" s="2">
        <v>19.353927208201501</v>
      </c>
      <c r="BQ2429" s="2">
        <v>19.312775535118401</v>
      </c>
      <c r="BR2429" s="2">
        <v>19.064043863745901</v>
      </c>
      <c r="BS2429" s="2">
        <v>20.261809334973201</v>
      </c>
      <c r="BT2429" s="2">
        <v>17.8824434638573</v>
      </c>
      <c r="BU2429" s="2">
        <v>18.745923453854999</v>
      </c>
      <c r="BV2429" s="2">
        <v>18.5925772252155</v>
      </c>
      <c r="BW2429" s="2">
        <v>18.054345807700699</v>
      </c>
      <c r="BX2429" s="2">
        <v>18.715723013375701</v>
      </c>
      <c r="BY2429" s="2">
        <v>20.9322872275308</v>
      </c>
      <c r="BZ2429" s="2">
        <v>18.890935692738001</v>
      </c>
      <c r="CA2429" s="2">
        <v>19.695680218562099</v>
      </c>
      <c r="CB2429" s="2">
        <v>19.188510564319799</v>
      </c>
      <c r="CC2429" s="2">
        <v>17.912252275759599</v>
      </c>
      <c r="CD2429" s="2">
        <v>20.245485997522099</v>
      </c>
      <c r="CE2429" s="2">
        <v>18.3826545045366</v>
      </c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</row>
    <row r="2430" spans="1:97">
      <c r="A2430" s="2" t="s">
        <v>20887</v>
      </c>
      <c r="B2430" s="2">
        <v>289.06018</v>
      </c>
      <c r="C2430" s="2">
        <v>4.867</v>
      </c>
      <c r="D2430" s="2" t="s">
        <v>84</v>
      </c>
      <c r="E2430" s="2" t="s">
        <v>20888</v>
      </c>
      <c r="F2430" s="2"/>
      <c r="G2430" s="2">
        <v>595352</v>
      </c>
      <c r="H2430" s="3" t="str">
        <f>HYPERLINK("https://cloud.oebiotech.com/#/lm/network/595352", "https://cloud.oebiotech.com/#/lm/network/595352")</f>
        <v>https://cloud.oebiotech.com/#/lm/network/595352</v>
      </c>
      <c r="I2430" s="2"/>
      <c r="J2430" s="2"/>
      <c r="K2430" s="2"/>
      <c r="L2430" s="2">
        <v>160461</v>
      </c>
      <c r="M2430" s="2"/>
      <c r="N2430" s="2"/>
      <c r="O2430" s="2"/>
      <c r="P2430" s="2"/>
      <c r="Q2430" s="2"/>
      <c r="R2430" s="2"/>
      <c r="S2430" s="2"/>
      <c r="T2430" s="2" t="s">
        <v>20889</v>
      </c>
      <c r="U2430" s="2" t="s">
        <v>20890</v>
      </c>
      <c r="V2430" s="2" t="s">
        <v>553</v>
      </c>
      <c r="W2430" s="2" t="s">
        <v>6104</v>
      </c>
      <c r="X2430" s="2" t="s">
        <v>6105</v>
      </c>
      <c r="Y2430" s="2" t="s">
        <v>556</v>
      </c>
      <c r="Z2430" s="2" t="s">
        <v>6106</v>
      </c>
      <c r="AA2430" s="2" t="s">
        <v>6107</v>
      </c>
      <c r="AB2430" s="2" t="s">
        <v>8443</v>
      </c>
      <c r="AC2430" s="2">
        <v>36.58</v>
      </c>
      <c r="AD2430" s="2">
        <v>73.739999999999995</v>
      </c>
      <c r="AE2430" s="2">
        <v>0</v>
      </c>
      <c r="AF2430" s="2" t="s">
        <v>20891</v>
      </c>
      <c r="AG2430" s="2" t="s">
        <v>3544</v>
      </c>
      <c r="AH2430" s="2" t="s">
        <v>3292</v>
      </c>
      <c r="AI2430" s="2">
        <v>-5.88</v>
      </c>
      <c r="AJ2430" s="2">
        <v>19.6495229631435</v>
      </c>
      <c r="AK2430" s="2">
        <v>19.446831684553501</v>
      </c>
      <c r="AL2430" s="2">
        <v>19.968982013651399</v>
      </c>
      <c r="AM2430" s="2">
        <v>19.960598574827301</v>
      </c>
      <c r="AN2430" s="2">
        <v>19.988605199238801</v>
      </c>
      <c r="AO2430" s="2">
        <v>20.016635213301999</v>
      </c>
      <c r="AP2430" s="2">
        <v>19.974132631826802</v>
      </c>
      <c r="AQ2430" s="2">
        <v>19.891847190487798</v>
      </c>
      <c r="AR2430" s="2">
        <v>19.469232368671399</v>
      </c>
      <c r="AS2430" s="2">
        <v>19.728270987640901</v>
      </c>
      <c r="AT2430" s="2">
        <v>19.846867968312299</v>
      </c>
      <c r="AU2430" s="2">
        <v>18.654092720118999</v>
      </c>
      <c r="AV2430" s="2">
        <v>19.3940083266993</v>
      </c>
      <c r="AW2430" s="2">
        <v>19.422399408685799</v>
      </c>
      <c r="AX2430" s="2">
        <v>19.901912508969801</v>
      </c>
      <c r="AY2430" s="2">
        <v>19.901961208948102</v>
      </c>
      <c r="AZ2430" s="2">
        <v>19.805351016104101</v>
      </c>
      <c r="BA2430" s="2">
        <v>19.687153987513401</v>
      </c>
      <c r="BB2430" s="2">
        <v>19.048686099282001</v>
      </c>
      <c r="BC2430" s="2">
        <v>19.965047011575599</v>
      </c>
      <c r="BD2430" s="2">
        <v>18.826938266661099</v>
      </c>
      <c r="BE2430" s="2">
        <v>19.717232439837598</v>
      </c>
      <c r="BF2430" s="2">
        <v>19.315906819959899</v>
      </c>
      <c r="BG2430" s="2">
        <v>20.193605908757799</v>
      </c>
      <c r="BH2430" s="2">
        <v>19.444212591070499</v>
      </c>
      <c r="BI2430" s="2">
        <v>19.873987135772101</v>
      </c>
      <c r="BJ2430" s="2">
        <v>19.912280626399401</v>
      </c>
      <c r="BK2430" s="2">
        <v>20.004029918580599</v>
      </c>
      <c r="BL2430" s="2">
        <v>20.2212370884757</v>
      </c>
      <c r="BM2430" s="2">
        <v>19.943591926194902</v>
      </c>
      <c r="BN2430" s="2">
        <v>20.039181711125298</v>
      </c>
      <c r="BO2430" s="2">
        <v>19.917494663018601</v>
      </c>
      <c r="BP2430" s="2">
        <v>19.959442217323701</v>
      </c>
      <c r="BQ2430" s="2">
        <v>20.173833117320601</v>
      </c>
      <c r="BR2430" s="2">
        <v>19.644731121838198</v>
      </c>
      <c r="BS2430" s="2">
        <v>20.033627288388701</v>
      </c>
      <c r="BT2430" s="2">
        <v>19.945221398791901</v>
      </c>
      <c r="BU2430" s="2">
        <v>20.000100860859298</v>
      </c>
      <c r="BV2430" s="2">
        <v>19.710767428327799</v>
      </c>
      <c r="BW2430" s="2">
        <v>19.746405378801501</v>
      </c>
      <c r="BX2430" s="2">
        <v>19.394495665837599</v>
      </c>
      <c r="BY2430" s="2">
        <v>19.791472666192998</v>
      </c>
      <c r="BZ2430" s="2">
        <v>20.070014520823001</v>
      </c>
      <c r="CA2430" s="2">
        <v>20.1426890325424</v>
      </c>
      <c r="CB2430" s="2">
        <v>19.536284614613201</v>
      </c>
      <c r="CC2430" s="2">
        <v>20.3783343908608</v>
      </c>
      <c r="CD2430" s="2">
        <v>20.041745392948101</v>
      </c>
      <c r="CE2430" s="2">
        <v>20.0381220947563</v>
      </c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</row>
    <row r="2431" spans="1:97">
      <c r="A2431" s="2" t="s">
        <v>20892</v>
      </c>
      <c r="B2431" s="2">
        <v>325.08181000000002</v>
      </c>
      <c r="C2431" s="2">
        <v>9.2189999999999994</v>
      </c>
      <c r="D2431" s="2" t="s">
        <v>146</v>
      </c>
      <c r="E2431" s="2" t="s">
        <v>20893</v>
      </c>
      <c r="F2431" s="2" t="s">
        <v>20894</v>
      </c>
      <c r="G2431" s="2">
        <v>213175</v>
      </c>
      <c r="H2431" s="3" t="str">
        <f>HYPERLINK("https://cloud.oebiotech.com/#/lm/network/213175", "https://cloud.oebiotech.com/#/lm/network/213175")</f>
        <v>https://cloud.oebiotech.com/#/lm/network/213175</v>
      </c>
      <c r="I2431" s="2" t="s">
        <v>20895</v>
      </c>
      <c r="J2431" s="2"/>
      <c r="K2431" s="2"/>
      <c r="L2431" s="2">
        <v>102569</v>
      </c>
      <c r="M2431" s="2"/>
      <c r="N2431" s="2"/>
      <c r="O2431" s="2"/>
      <c r="P2431" s="2"/>
      <c r="Q2431" s="2"/>
      <c r="R2431" s="2"/>
      <c r="S2431" s="2"/>
      <c r="T2431" s="2" t="s">
        <v>20896</v>
      </c>
      <c r="U2431" s="2" t="s">
        <v>20897</v>
      </c>
      <c r="V2431" s="2" t="s">
        <v>115</v>
      </c>
      <c r="W2431" s="2" t="s">
        <v>116</v>
      </c>
      <c r="X2431" s="2" t="s">
        <v>117</v>
      </c>
      <c r="Y2431" s="2" t="s">
        <v>118</v>
      </c>
      <c r="Z2431" s="2" t="s">
        <v>119</v>
      </c>
      <c r="AA2431" s="2" t="s">
        <v>120</v>
      </c>
      <c r="AB2431" s="2" t="s">
        <v>8443</v>
      </c>
      <c r="AC2431" s="2">
        <v>36.57</v>
      </c>
      <c r="AD2431" s="2">
        <v>88.58</v>
      </c>
      <c r="AE2431" s="2">
        <v>0</v>
      </c>
      <c r="AF2431" s="2" t="s">
        <v>20898</v>
      </c>
      <c r="AG2431" s="2" t="s">
        <v>993</v>
      </c>
      <c r="AH2431" s="2" t="s">
        <v>20899</v>
      </c>
      <c r="AI2431" s="2">
        <v>2.15</v>
      </c>
      <c r="AJ2431" s="2">
        <v>18.3940053740229</v>
      </c>
      <c r="AK2431" s="2">
        <v>18.0012727704346</v>
      </c>
      <c r="AL2431" s="2">
        <v>18.118657950910201</v>
      </c>
      <c r="AM2431" s="2">
        <v>18.088337584886499</v>
      </c>
      <c r="AN2431" s="2">
        <v>18.0835521458587</v>
      </c>
      <c r="AO2431" s="2">
        <v>18.094667877417699</v>
      </c>
      <c r="AP2431" s="2">
        <v>18.377721535613301</v>
      </c>
      <c r="AQ2431" s="2">
        <v>18.336339925116501</v>
      </c>
      <c r="AR2431" s="2">
        <v>18.680947373668101</v>
      </c>
      <c r="AS2431" s="2">
        <v>16.9385070327872</v>
      </c>
      <c r="AT2431" s="2">
        <v>17.1482929565659</v>
      </c>
      <c r="AU2431" s="2">
        <v>18.3196384749562</v>
      </c>
      <c r="AV2431" s="2">
        <v>17.979217232448899</v>
      </c>
      <c r="AW2431" s="2">
        <v>17.948153145511501</v>
      </c>
      <c r="AX2431" s="2">
        <v>17.337831281050299</v>
      </c>
      <c r="AY2431" s="2">
        <v>17.568354739467999</v>
      </c>
      <c r="AZ2431" s="2">
        <v>17.2917812579959</v>
      </c>
      <c r="BA2431" s="2">
        <v>17.1875949700866</v>
      </c>
      <c r="BB2431" s="2">
        <v>18.052875371885602</v>
      </c>
      <c r="BC2431" s="2">
        <v>18.847874938947101</v>
      </c>
      <c r="BD2431" s="2">
        <v>18.096945652309</v>
      </c>
      <c r="BE2431" s="2">
        <v>18.744605147008901</v>
      </c>
      <c r="BF2431" s="2">
        <v>17.316361266731899</v>
      </c>
      <c r="BG2431" s="2">
        <v>17.535727742853101</v>
      </c>
      <c r="BH2431" s="2">
        <v>19.498250692196802</v>
      </c>
      <c r="BI2431" s="2">
        <v>16.6511160356924</v>
      </c>
      <c r="BJ2431" s="2">
        <v>17.4260160492328</v>
      </c>
      <c r="BK2431" s="2">
        <v>18.308119192262801</v>
      </c>
      <c r="BL2431" s="2">
        <v>16.946237964237898</v>
      </c>
      <c r="BM2431" s="2">
        <v>18.1458744464151</v>
      </c>
      <c r="BN2431" s="2">
        <v>18.8894026570145</v>
      </c>
      <c r="BO2431" s="2">
        <v>19.346921558723601</v>
      </c>
      <c r="BP2431" s="2">
        <v>15.9532554613961</v>
      </c>
      <c r="BQ2431" s="2">
        <v>18.429375764170199</v>
      </c>
      <c r="BR2431" s="2">
        <v>17.779205398385201</v>
      </c>
      <c r="BS2431" s="2">
        <v>18.033558290873199</v>
      </c>
      <c r="BT2431" s="2">
        <v>17.985242190009899</v>
      </c>
      <c r="BU2431" s="2">
        <v>17.696457454785801</v>
      </c>
      <c r="BV2431" s="2">
        <v>18.1151347100948</v>
      </c>
      <c r="BW2431" s="2">
        <v>16.5950731402014</v>
      </c>
      <c r="BX2431" s="2">
        <v>17.173198110136202</v>
      </c>
      <c r="BY2431" s="2">
        <v>19.318857032265299</v>
      </c>
      <c r="BZ2431" s="2">
        <v>17.662433896269601</v>
      </c>
      <c r="CA2431" s="2">
        <v>17.058188371291699</v>
      </c>
      <c r="CB2431" s="2">
        <v>17.164782429163399</v>
      </c>
      <c r="CC2431" s="2">
        <v>17.570008649276101</v>
      </c>
      <c r="CD2431" s="2">
        <v>18.404344954902299</v>
      </c>
      <c r="CE2431" s="2">
        <v>18.3051671616746</v>
      </c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</row>
    <row r="2432" spans="1:97">
      <c r="A2432" s="2" t="s">
        <v>20900</v>
      </c>
      <c r="B2432" s="2">
        <v>489.12977999999998</v>
      </c>
      <c r="C2432" s="2">
        <v>11.12</v>
      </c>
      <c r="D2432" s="2" t="s">
        <v>146</v>
      </c>
      <c r="E2432" s="2" t="s">
        <v>20901</v>
      </c>
      <c r="F2432" s="2" t="s">
        <v>20902</v>
      </c>
      <c r="G2432" s="2">
        <v>208098</v>
      </c>
      <c r="H2432" s="3" t="str">
        <f>HYPERLINK("https://cloud.oebiotech.com/#/lm/network/208098", "https://cloud.oebiotech.com/#/lm/network/208098")</f>
        <v>https://cloud.oebiotech.com/#/lm/network/208098</v>
      </c>
      <c r="I2432" s="2" t="s">
        <v>20903</v>
      </c>
      <c r="J2432" s="2"/>
      <c r="K2432" s="2"/>
      <c r="L2432" s="2">
        <v>24906297</v>
      </c>
      <c r="M2432" s="2"/>
      <c r="N2432" s="2"/>
      <c r="O2432" s="2"/>
      <c r="P2432" s="2"/>
      <c r="Q2432" s="2"/>
      <c r="R2432" s="2"/>
      <c r="S2432" s="2"/>
      <c r="T2432" s="2" t="s">
        <v>20904</v>
      </c>
      <c r="U2432" s="2" t="s">
        <v>20905</v>
      </c>
      <c r="V2432" s="2" t="s">
        <v>553</v>
      </c>
      <c r="W2432" s="2" t="s">
        <v>6195</v>
      </c>
      <c r="X2432" s="2" t="s">
        <v>375</v>
      </c>
      <c r="Y2432" s="2" t="s">
        <v>556</v>
      </c>
      <c r="Z2432" s="2" t="s">
        <v>6196</v>
      </c>
      <c r="AA2432" s="2"/>
      <c r="AB2432" s="2" t="s">
        <v>8443</v>
      </c>
      <c r="AC2432" s="2">
        <v>36.57</v>
      </c>
      <c r="AD2432" s="2">
        <v>82.94</v>
      </c>
      <c r="AE2432" s="2">
        <v>0</v>
      </c>
      <c r="AF2432" s="2" t="s">
        <v>5614</v>
      </c>
      <c r="AG2432" s="2" t="s">
        <v>3880</v>
      </c>
      <c r="AH2432" s="2" t="s">
        <v>20906</v>
      </c>
      <c r="AI2432" s="2">
        <v>1.02</v>
      </c>
      <c r="AJ2432" s="2">
        <v>17.0508850077861</v>
      </c>
      <c r="AK2432" s="2">
        <v>17.3797564732612</v>
      </c>
      <c r="AL2432" s="2">
        <v>17.0332898506785</v>
      </c>
      <c r="AM2432" s="2">
        <v>16.284697425171501</v>
      </c>
      <c r="AN2432" s="2">
        <v>17.1996141673845</v>
      </c>
      <c r="AO2432" s="2">
        <v>17.349151016119599</v>
      </c>
      <c r="AP2432" s="2">
        <v>17.441447119104598</v>
      </c>
      <c r="AQ2432" s="2">
        <v>17.684201740511199</v>
      </c>
      <c r="AR2432" s="2">
        <v>17.389209841899099</v>
      </c>
      <c r="AS2432" s="2">
        <v>17.552838378528499</v>
      </c>
      <c r="AT2432" s="2">
        <v>17.590070184583499</v>
      </c>
      <c r="AU2432" s="2">
        <v>16.968624385508701</v>
      </c>
      <c r="AV2432" s="2">
        <v>17.352452816588201</v>
      </c>
      <c r="AW2432" s="2">
        <v>17.416436594327799</v>
      </c>
      <c r="AX2432" s="2">
        <v>17.095095536933702</v>
      </c>
      <c r="AY2432" s="2">
        <v>17.270872726993598</v>
      </c>
      <c r="AZ2432" s="2">
        <v>17.3788721808336</v>
      </c>
      <c r="BA2432" s="2">
        <v>17.4186486841757</v>
      </c>
      <c r="BB2432" s="2">
        <v>17.589855927269401</v>
      </c>
      <c r="BC2432" s="2">
        <v>17.0459118179329</v>
      </c>
      <c r="BD2432" s="2">
        <v>17.413421746533199</v>
      </c>
      <c r="BE2432" s="2">
        <v>16.8110909134991</v>
      </c>
      <c r="BF2432" s="2">
        <v>17.2627126936164</v>
      </c>
      <c r="BG2432" s="2">
        <v>16.979777854184299</v>
      </c>
      <c r="BH2432" s="2">
        <v>17.557215447780798</v>
      </c>
      <c r="BI2432" s="2">
        <v>17.227891912159699</v>
      </c>
      <c r="BJ2432" s="2">
        <v>16.5342399516583</v>
      </c>
      <c r="BK2432" s="2">
        <v>17.256327568837499</v>
      </c>
      <c r="BL2432" s="2">
        <v>17.193311184934</v>
      </c>
      <c r="BM2432" s="2">
        <v>17.2343767170034</v>
      </c>
      <c r="BN2432" s="2">
        <v>17.185383999989298</v>
      </c>
      <c r="BO2432" s="2">
        <v>17.785427499203099</v>
      </c>
      <c r="BP2432" s="2">
        <v>17.4225623483674</v>
      </c>
      <c r="BQ2432" s="2">
        <v>17.299307575937998</v>
      </c>
      <c r="BR2432" s="2">
        <v>17.1679024258795</v>
      </c>
      <c r="BS2432" s="2">
        <v>17.457024987290598</v>
      </c>
      <c r="BT2432" s="2">
        <v>17.521494242541898</v>
      </c>
      <c r="BU2432" s="2">
        <v>17.366932685934401</v>
      </c>
      <c r="BV2432" s="2">
        <v>17.398050564302199</v>
      </c>
      <c r="BW2432" s="2">
        <v>17.558293571959801</v>
      </c>
      <c r="BX2432" s="2">
        <v>17.185055532972701</v>
      </c>
      <c r="BY2432" s="2">
        <v>17.4518471421583</v>
      </c>
      <c r="BZ2432" s="2">
        <v>17.4667962906464</v>
      </c>
      <c r="CA2432" s="2">
        <v>17.320163007402101</v>
      </c>
      <c r="CB2432" s="2">
        <v>16.879360084608301</v>
      </c>
      <c r="CC2432" s="2">
        <v>17.3580248475327</v>
      </c>
      <c r="CD2432" s="2">
        <v>17.465212606536401</v>
      </c>
      <c r="CE2432" s="2">
        <v>17.506053465979502</v>
      </c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</row>
    <row r="2433" spans="1:97">
      <c r="A2433" s="2" t="s">
        <v>20907</v>
      </c>
      <c r="B2433" s="2">
        <v>357.27829000000003</v>
      </c>
      <c r="C2433" s="2">
        <v>7.399</v>
      </c>
      <c r="D2433" s="2" t="s">
        <v>84</v>
      </c>
      <c r="E2433" s="2" t="s">
        <v>20908</v>
      </c>
      <c r="F2433" s="2" t="s">
        <v>20909</v>
      </c>
      <c r="G2433" s="2">
        <v>46185</v>
      </c>
      <c r="H2433" s="3" t="str">
        <f>HYPERLINK("https://cloud.oebiotech.com/#/lm/network/46185", "https://cloud.oebiotech.com/#/lm/network/46185")</f>
        <v>https://cloud.oebiotech.com/#/lm/network/46185</v>
      </c>
      <c r="I2433" s="2"/>
      <c r="J2433" s="2">
        <v>84637</v>
      </c>
      <c r="K2433" s="2" t="s">
        <v>20910</v>
      </c>
      <c r="L2433" s="2">
        <v>5284075</v>
      </c>
      <c r="M2433" s="2"/>
      <c r="N2433" s="2"/>
      <c r="O2433" s="2"/>
      <c r="P2433" s="2"/>
      <c r="Q2433" s="2"/>
      <c r="R2433" s="2"/>
      <c r="S2433" s="2"/>
      <c r="T2433" s="2" t="s">
        <v>20911</v>
      </c>
      <c r="U2433" s="2" t="s">
        <v>20912</v>
      </c>
      <c r="V2433" s="2" t="s">
        <v>95</v>
      </c>
      <c r="W2433" s="2" t="s">
        <v>152</v>
      </c>
      <c r="X2433" s="2" t="s">
        <v>278</v>
      </c>
      <c r="Y2433" s="2" t="s">
        <v>98</v>
      </c>
      <c r="Z2433" s="2" t="s">
        <v>154</v>
      </c>
      <c r="AA2433" s="2" t="s">
        <v>279</v>
      </c>
      <c r="AB2433" s="2" t="s">
        <v>8443</v>
      </c>
      <c r="AC2433" s="2">
        <v>36.56</v>
      </c>
      <c r="AD2433" s="2">
        <v>84.82</v>
      </c>
      <c r="AE2433" s="2">
        <v>0</v>
      </c>
      <c r="AF2433" s="2" t="s">
        <v>5614</v>
      </c>
      <c r="AG2433" s="2" t="s">
        <v>103</v>
      </c>
      <c r="AH2433" s="2" t="s">
        <v>5245</v>
      </c>
      <c r="AI2433" s="2">
        <v>1.4</v>
      </c>
      <c r="AJ2433" s="2">
        <v>19.864246988323501</v>
      </c>
      <c r="AK2433" s="2">
        <v>19.434722509699998</v>
      </c>
      <c r="AL2433" s="2">
        <v>19.803360248341701</v>
      </c>
      <c r="AM2433" s="2">
        <v>18.920677457847798</v>
      </c>
      <c r="AN2433" s="2">
        <v>19.186421621191101</v>
      </c>
      <c r="AO2433" s="2">
        <v>19.791838007968</v>
      </c>
      <c r="AP2433" s="2">
        <v>19.658338084762299</v>
      </c>
      <c r="AQ2433" s="2">
        <v>19.728306283749799</v>
      </c>
      <c r="AR2433" s="2">
        <v>18.224136430518602</v>
      </c>
      <c r="AS2433" s="2">
        <v>16.561408184632398</v>
      </c>
      <c r="AT2433" s="2">
        <v>16.905446591116998</v>
      </c>
      <c r="AU2433" s="2">
        <v>18.003798590620701</v>
      </c>
      <c r="AV2433" s="2">
        <v>19.127702291525299</v>
      </c>
      <c r="AW2433" s="2">
        <v>20.345350688062101</v>
      </c>
      <c r="AX2433" s="2">
        <v>17.9718985372809</v>
      </c>
      <c r="AY2433" s="2">
        <v>20.056990580330201</v>
      </c>
      <c r="AZ2433" s="2">
        <v>19.4867517233128</v>
      </c>
      <c r="BA2433" s="2">
        <v>18.9074445907289</v>
      </c>
      <c r="BB2433" s="2">
        <v>19.4553576052718</v>
      </c>
      <c r="BC2433" s="2">
        <v>19.2977532967504</v>
      </c>
      <c r="BD2433" s="2">
        <v>17.8305187968746</v>
      </c>
      <c r="BE2433" s="2">
        <v>19.932354869065598</v>
      </c>
      <c r="BF2433" s="2">
        <v>17.618608181617301</v>
      </c>
      <c r="BG2433" s="2">
        <v>21.259836642186901</v>
      </c>
      <c r="BH2433" s="2">
        <v>17.0456247649667</v>
      </c>
      <c r="BI2433" s="2">
        <v>19.919903848030501</v>
      </c>
      <c r="BJ2433" s="2">
        <v>19.4320803820811</v>
      </c>
      <c r="BK2433" s="2">
        <v>18.745083342368201</v>
      </c>
      <c r="BL2433" s="2">
        <v>19.650700882504498</v>
      </c>
      <c r="BM2433" s="2">
        <v>17.368936607237</v>
      </c>
      <c r="BN2433" s="2">
        <v>18.230322263817701</v>
      </c>
      <c r="BO2433" s="2">
        <v>18.230191556021499</v>
      </c>
      <c r="BP2433" s="2">
        <v>19.5369699570556</v>
      </c>
      <c r="BQ2433" s="2">
        <v>20.540052795326002</v>
      </c>
      <c r="BR2433" s="2">
        <v>17.757651349153999</v>
      </c>
      <c r="BS2433" s="2">
        <v>19.998186507507</v>
      </c>
      <c r="BT2433" s="2">
        <v>19.5864575620934</v>
      </c>
      <c r="BU2433" s="2">
        <v>18.686215131984302</v>
      </c>
      <c r="BV2433" s="2">
        <v>19.780923918970998</v>
      </c>
      <c r="BW2433" s="2">
        <v>18.603987321276001</v>
      </c>
      <c r="BX2433" s="2">
        <v>18.1454794917207</v>
      </c>
      <c r="BY2433" s="2">
        <v>19.939050844256698</v>
      </c>
      <c r="BZ2433" s="2">
        <v>19.055894057177099</v>
      </c>
      <c r="CA2433" s="2">
        <v>20.637300893460999</v>
      </c>
      <c r="CB2433" s="2">
        <v>18.476715989286099</v>
      </c>
      <c r="CC2433" s="2">
        <v>19.062872673387101</v>
      </c>
      <c r="CD2433" s="2">
        <v>19.016947374069002</v>
      </c>
      <c r="CE2433" s="2">
        <v>18.932194649665199</v>
      </c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</row>
    <row r="2434" spans="1:97">
      <c r="A2434" s="2" t="s">
        <v>20913</v>
      </c>
      <c r="B2434" s="2">
        <v>492.30846000000003</v>
      </c>
      <c r="C2434" s="2">
        <v>9.64</v>
      </c>
      <c r="D2434" s="2" t="s">
        <v>84</v>
      </c>
      <c r="E2434" s="2" t="s">
        <v>20914</v>
      </c>
      <c r="F2434" s="2" t="s">
        <v>20915</v>
      </c>
      <c r="G2434" s="2">
        <v>22497</v>
      </c>
      <c r="H2434" s="3" t="str">
        <f>HYPERLINK("https://cloud.oebiotech.com/#/lm/network/22497", "https://cloud.oebiotech.com/#/lm/network/22497")</f>
        <v>https://cloud.oebiotech.com/#/lm/network/22497</v>
      </c>
      <c r="I2434" s="2"/>
      <c r="J2434" s="2">
        <v>78865</v>
      </c>
      <c r="K2434" s="2" t="s">
        <v>20916</v>
      </c>
      <c r="L2434" s="2">
        <v>52926305</v>
      </c>
      <c r="M2434" s="2"/>
      <c r="N2434" s="2"/>
      <c r="O2434" s="2"/>
      <c r="P2434" s="2"/>
      <c r="Q2434" s="2"/>
      <c r="R2434" s="2"/>
      <c r="S2434" s="2"/>
      <c r="T2434" s="2" t="s">
        <v>20917</v>
      </c>
      <c r="U2434" s="2" t="s">
        <v>20918</v>
      </c>
      <c r="V2434" s="2" t="s">
        <v>95</v>
      </c>
      <c r="W2434" s="2" t="s">
        <v>202</v>
      </c>
      <c r="X2434" s="2" t="s">
        <v>8933</v>
      </c>
      <c r="Y2434" s="2" t="s">
        <v>98</v>
      </c>
      <c r="Z2434" s="2" t="s">
        <v>204</v>
      </c>
      <c r="AA2434" s="2" t="s">
        <v>8934</v>
      </c>
      <c r="AB2434" s="2" t="s">
        <v>8443</v>
      </c>
      <c r="AC2434" s="2">
        <v>36.549999999999997</v>
      </c>
      <c r="AD2434" s="2">
        <v>83.85</v>
      </c>
      <c r="AE2434" s="2">
        <v>0</v>
      </c>
      <c r="AF2434" s="2" t="s">
        <v>20919</v>
      </c>
      <c r="AG2434" s="2" t="s">
        <v>1088</v>
      </c>
      <c r="AH2434" s="2" t="s">
        <v>20920</v>
      </c>
      <c r="AI2434" s="2">
        <v>1.22</v>
      </c>
      <c r="AJ2434" s="2">
        <v>19.4104371073377</v>
      </c>
      <c r="AK2434" s="2">
        <v>19.325272906586299</v>
      </c>
      <c r="AL2434" s="2">
        <v>19.321886378172401</v>
      </c>
      <c r="AM2434" s="2">
        <v>19.371482801404198</v>
      </c>
      <c r="AN2434" s="2">
        <v>19.220467132939401</v>
      </c>
      <c r="AO2434" s="2">
        <v>19.483283905035101</v>
      </c>
      <c r="AP2434" s="2">
        <v>19.538656620179701</v>
      </c>
      <c r="AQ2434" s="2">
        <v>19.300256784465301</v>
      </c>
      <c r="AR2434" s="2">
        <v>18.8262593892814</v>
      </c>
      <c r="AS2434" s="2">
        <v>17.199990793665702</v>
      </c>
      <c r="AT2434" s="2">
        <v>18.971124224363798</v>
      </c>
      <c r="AU2434" s="2">
        <v>18.693386222331501</v>
      </c>
      <c r="AV2434" s="2">
        <v>19.043609895507998</v>
      </c>
      <c r="AW2434" s="2">
        <v>19.432202117995299</v>
      </c>
      <c r="AX2434" s="2">
        <v>19.258490561851598</v>
      </c>
      <c r="AY2434" s="2">
        <v>19.276858155212899</v>
      </c>
      <c r="AZ2434" s="2">
        <v>20.138500353462501</v>
      </c>
      <c r="BA2434" s="2">
        <v>17.8278486654016</v>
      </c>
      <c r="BB2434" s="2">
        <v>18.740715738294099</v>
      </c>
      <c r="BC2434" s="2">
        <v>19.918697756936901</v>
      </c>
      <c r="BD2434" s="2">
        <v>18.872716928207101</v>
      </c>
      <c r="BE2434" s="2">
        <v>19.101057721266301</v>
      </c>
      <c r="BF2434" s="2">
        <v>18.663677307029101</v>
      </c>
      <c r="BG2434" s="2">
        <v>19.762970258765701</v>
      </c>
      <c r="BH2434" s="2">
        <v>18.840893425775601</v>
      </c>
      <c r="BI2434" s="2">
        <v>19.606619827552102</v>
      </c>
      <c r="BJ2434" s="2">
        <v>19.332377525244201</v>
      </c>
      <c r="BK2434" s="2">
        <v>18.1972097806918</v>
      </c>
      <c r="BL2434" s="2">
        <v>18.359239442041801</v>
      </c>
      <c r="BM2434" s="2">
        <v>19.095210997181699</v>
      </c>
      <c r="BN2434" s="2">
        <v>18.980498449145902</v>
      </c>
      <c r="BO2434" s="2">
        <v>19.3627539316462</v>
      </c>
      <c r="BP2434" s="2">
        <v>19.1735718627605</v>
      </c>
      <c r="BQ2434" s="2">
        <v>19.371305947849201</v>
      </c>
      <c r="BR2434" s="2">
        <v>19.457804283138401</v>
      </c>
      <c r="BS2434" s="2">
        <v>19.547936994737199</v>
      </c>
      <c r="BT2434" s="2">
        <v>20.483937839121701</v>
      </c>
      <c r="BU2434" s="2">
        <v>18.584839585217399</v>
      </c>
      <c r="BV2434" s="2">
        <v>19.4310402623809</v>
      </c>
      <c r="BW2434" s="2">
        <v>17.302044907047701</v>
      </c>
      <c r="BX2434" s="2">
        <v>19.0349632914319</v>
      </c>
      <c r="BY2434" s="2">
        <v>20.152838632095399</v>
      </c>
      <c r="BZ2434" s="2">
        <v>18.881473561714099</v>
      </c>
      <c r="CA2434" s="2">
        <v>19.501764834574701</v>
      </c>
      <c r="CB2434" s="2">
        <v>18.511431122676299</v>
      </c>
      <c r="CC2434" s="2">
        <v>18.817931230196599</v>
      </c>
      <c r="CD2434" s="2">
        <v>19.168506200816601</v>
      </c>
      <c r="CE2434" s="2">
        <v>18.295776242206198</v>
      </c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</row>
    <row r="2435" spans="1:97">
      <c r="A2435" s="2" t="s">
        <v>20921</v>
      </c>
      <c r="B2435" s="2">
        <v>362.04642999999999</v>
      </c>
      <c r="C2435" s="2">
        <v>4.9509999999999996</v>
      </c>
      <c r="D2435" s="2" t="s">
        <v>146</v>
      </c>
      <c r="E2435" s="2" t="s">
        <v>20922</v>
      </c>
      <c r="F2435" s="2" t="s">
        <v>20923</v>
      </c>
      <c r="G2435" s="2">
        <v>202486</v>
      </c>
      <c r="H2435" s="3" t="str">
        <f>HYPERLINK("https://cloud.oebiotech.com/#/lm/network/202486", "https://cloud.oebiotech.com/#/lm/network/202486")</f>
        <v>https://cloud.oebiotech.com/#/lm/network/202486</v>
      </c>
      <c r="I2435" s="2" t="s">
        <v>20924</v>
      </c>
      <c r="J2435" s="2">
        <v>1887</v>
      </c>
      <c r="K2435" s="2"/>
      <c r="L2435" s="2">
        <v>162054</v>
      </c>
      <c r="M2435" s="2"/>
      <c r="N2435" s="2"/>
      <c r="O2435" s="2"/>
      <c r="P2435" s="2"/>
      <c r="Q2435" s="2"/>
      <c r="R2435" s="2"/>
      <c r="S2435" s="2" t="s">
        <v>20925</v>
      </c>
      <c r="T2435" s="2" t="s">
        <v>20926</v>
      </c>
      <c r="U2435" s="2" t="s">
        <v>20927</v>
      </c>
      <c r="V2435" s="2" t="s">
        <v>553</v>
      </c>
      <c r="W2435" s="2" t="s">
        <v>12477</v>
      </c>
      <c r="X2435" s="2" t="s">
        <v>13868</v>
      </c>
      <c r="Y2435" s="2" t="s">
        <v>556</v>
      </c>
      <c r="Z2435" s="2" t="s">
        <v>12478</v>
      </c>
      <c r="AA2435" s="2" t="s">
        <v>13869</v>
      </c>
      <c r="AB2435" s="2" t="s">
        <v>5118</v>
      </c>
      <c r="AC2435" s="2">
        <v>36.549999999999997</v>
      </c>
      <c r="AD2435" s="2">
        <v>41.89</v>
      </c>
      <c r="AE2435" s="2">
        <v>51.68</v>
      </c>
      <c r="AF2435" s="2" t="s">
        <v>20928</v>
      </c>
      <c r="AG2435" s="2" t="s">
        <v>4062</v>
      </c>
      <c r="AH2435" s="2" t="s">
        <v>20929</v>
      </c>
      <c r="AI2435" s="2">
        <v>1.1000000000000001</v>
      </c>
      <c r="AJ2435" s="2">
        <v>18.581249285009001</v>
      </c>
      <c r="AK2435" s="2">
        <v>18.504860409910702</v>
      </c>
      <c r="AL2435" s="2">
        <v>18.528347081374001</v>
      </c>
      <c r="AM2435" s="2">
        <v>18.689065351841698</v>
      </c>
      <c r="AN2435" s="2">
        <v>18.696861194170399</v>
      </c>
      <c r="AO2435" s="2">
        <v>18.615681609316201</v>
      </c>
      <c r="AP2435" s="2">
        <v>18.453112533125001</v>
      </c>
      <c r="AQ2435" s="2">
        <v>18.518148482179502</v>
      </c>
      <c r="AR2435" s="2">
        <v>17.491333516722801</v>
      </c>
      <c r="AS2435" s="2">
        <v>17.185988752896801</v>
      </c>
      <c r="AT2435" s="2">
        <v>17.751167436402199</v>
      </c>
      <c r="AU2435" s="2">
        <v>19.1592926185509</v>
      </c>
      <c r="AV2435" s="2">
        <v>17.817467622626101</v>
      </c>
      <c r="AW2435" s="2">
        <v>17.989456259247198</v>
      </c>
      <c r="AX2435" s="2">
        <v>17.192741274950802</v>
      </c>
      <c r="AY2435" s="2">
        <v>16.874944497194999</v>
      </c>
      <c r="AZ2435" s="2">
        <v>17.672507662524598</v>
      </c>
      <c r="BA2435" s="2">
        <v>19.4970018535113</v>
      </c>
      <c r="BB2435" s="2">
        <v>19.5220578033701</v>
      </c>
      <c r="BC2435" s="2">
        <v>19.2408821265021</v>
      </c>
      <c r="BD2435" s="2">
        <v>19.138705475583599</v>
      </c>
      <c r="BE2435" s="2">
        <v>18.111703951689499</v>
      </c>
      <c r="BF2435" s="2">
        <v>18.0938979356925</v>
      </c>
      <c r="BG2435" s="2">
        <v>18.325208993420699</v>
      </c>
      <c r="BH2435" s="2">
        <v>19.091246188588499</v>
      </c>
      <c r="BI2435" s="2">
        <v>16.977524444416801</v>
      </c>
      <c r="BJ2435" s="2">
        <v>19.536794403218401</v>
      </c>
      <c r="BK2435" s="2">
        <v>19.678720529436401</v>
      </c>
      <c r="BL2435" s="2">
        <v>18.5650980237507</v>
      </c>
      <c r="BM2435" s="2">
        <v>18.407750562671001</v>
      </c>
      <c r="BN2435" s="2">
        <v>18.690334051232899</v>
      </c>
      <c r="BO2435" s="2">
        <v>19.058850065889001</v>
      </c>
      <c r="BP2435" s="2">
        <v>16.6196097419779</v>
      </c>
      <c r="BQ2435" s="2">
        <v>17.567103069228502</v>
      </c>
      <c r="BR2435" s="2">
        <v>16.878812615768201</v>
      </c>
      <c r="BS2435" s="2">
        <v>18.711712641785301</v>
      </c>
      <c r="BT2435" s="2">
        <v>19.958876707719899</v>
      </c>
      <c r="BU2435" s="2">
        <v>19.428364016963201</v>
      </c>
      <c r="BV2435" s="2">
        <v>18.936586614535599</v>
      </c>
      <c r="BW2435" s="2">
        <v>18.132287446659099</v>
      </c>
      <c r="BX2435" s="2">
        <v>18.939696023396699</v>
      </c>
      <c r="BY2435" s="2">
        <v>18.698106030578199</v>
      </c>
      <c r="BZ2435" s="2">
        <v>17.444533036975301</v>
      </c>
      <c r="CA2435" s="2">
        <v>17.817214086675499</v>
      </c>
      <c r="CB2435" s="2">
        <v>18.227932231510898</v>
      </c>
      <c r="CC2435" s="2">
        <v>16.428040654444601</v>
      </c>
      <c r="CD2435" s="2">
        <v>19.173427126545501</v>
      </c>
      <c r="CE2435" s="2">
        <v>19.4294609093999</v>
      </c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</row>
    <row r="2436" spans="1:97">
      <c r="A2436" s="2" t="s">
        <v>20930</v>
      </c>
      <c r="B2436" s="2">
        <v>239.08055999999999</v>
      </c>
      <c r="C2436" s="2">
        <v>7.4050000000000002</v>
      </c>
      <c r="D2436" s="2" t="s">
        <v>146</v>
      </c>
      <c r="E2436" s="2" t="s">
        <v>20931</v>
      </c>
      <c r="F2436" s="2" t="s">
        <v>20932</v>
      </c>
      <c r="G2436" s="2">
        <v>210731</v>
      </c>
      <c r="H2436" s="3" t="str">
        <f>HYPERLINK("https://cloud.oebiotech.com/#/lm/network/210731", "https://cloud.oebiotech.com/#/lm/network/210731")</f>
        <v>https://cloud.oebiotech.com/#/lm/network/210731</v>
      </c>
      <c r="I2436" s="2" t="s">
        <v>20933</v>
      </c>
      <c r="J2436" s="2"/>
      <c r="K2436" s="2"/>
      <c r="L2436" s="2">
        <v>54448404</v>
      </c>
      <c r="M2436" s="2"/>
      <c r="N2436" s="2"/>
      <c r="O2436" s="2"/>
      <c r="P2436" s="2"/>
      <c r="Q2436" s="2"/>
      <c r="R2436" s="2"/>
      <c r="S2436" s="2"/>
      <c r="T2436" s="2" t="s">
        <v>20934</v>
      </c>
      <c r="U2436" s="2" t="s">
        <v>20935</v>
      </c>
      <c r="V2436" s="2" t="s">
        <v>553</v>
      </c>
      <c r="W2436" s="2" t="s">
        <v>6104</v>
      </c>
      <c r="X2436" s="2" t="s">
        <v>14782</v>
      </c>
      <c r="Y2436" s="2" t="s">
        <v>556</v>
      </c>
      <c r="Z2436" s="2" t="s">
        <v>6106</v>
      </c>
      <c r="AA2436" s="2" t="s">
        <v>14783</v>
      </c>
      <c r="AB2436" s="2" t="s">
        <v>8443</v>
      </c>
      <c r="AC2436" s="2">
        <v>36.549999999999997</v>
      </c>
      <c r="AD2436" s="2">
        <v>92.39</v>
      </c>
      <c r="AE2436" s="2">
        <v>0</v>
      </c>
      <c r="AF2436" s="2" t="s">
        <v>5614</v>
      </c>
      <c r="AG2436" s="2" t="s">
        <v>3880</v>
      </c>
      <c r="AH2436" s="2" t="s">
        <v>20936</v>
      </c>
      <c r="AI2436" s="2">
        <v>-2.93</v>
      </c>
      <c r="AJ2436" s="2">
        <v>19.611941288276501</v>
      </c>
      <c r="AK2436" s="2">
        <v>18.9480577006874</v>
      </c>
      <c r="AL2436" s="2">
        <v>19.3272378096033</v>
      </c>
      <c r="AM2436" s="2">
        <v>18.931952505944199</v>
      </c>
      <c r="AN2436" s="2">
        <v>19.394041559597799</v>
      </c>
      <c r="AO2436" s="2">
        <v>18.895228589224399</v>
      </c>
      <c r="AP2436" s="2">
        <v>19.194842755191502</v>
      </c>
      <c r="AQ2436" s="2">
        <v>18.2426231124469</v>
      </c>
      <c r="AR2436" s="2">
        <v>19.329560739046901</v>
      </c>
      <c r="AS2436" s="2">
        <v>17.823900526110201</v>
      </c>
      <c r="AT2436" s="2">
        <v>19.846052850720302</v>
      </c>
      <c r="AU2436" s="2">
        <v>19.4528065126642</v>
      </c>
      <c r="AV2436" s="2">
        <v>18.365930577318601</v>
      </c>
      <c r="AW2436" s="2">
        <v>20.142664916527298</v>
      </c>
      <c r="AX2436" s="2">
        <v>16.257182297047901</v>
      </c>
      <c r="AY2436" s="2">
        <v>18.153309272936198</v>
      </c>
      <c r="AZ2436" s="2">
        <v>17.395026221025098</v>
      </c>
      <c r="BA2436" s="2">
        <v>19.9822157513556</v>
      </c>
      <c r="BB2436" s="2">
        <v>18.980191635582699</v>
      </c>
      <c r="BC2436" s="2">
        <v>19.658113276157799</v>
      </c>
      <c r="BD2436" s="2">
        <v>19.8226239022664</v>
      </c>
      <c r="BE2436" s="2">
        <v>18.237878365283901</v>
      </c>
      <c r="BF2436" s="2">
        <v>18.6204986748198</v>
      </c>
      <c r="BG2436" s="2">
        <v>18.780660034035101</v>
      </c>
      <c r="BH2436" s="2">
        <v>19.082736441095101</v>
      </c>
      <c r="BI2436" s="2">
        <v>18.600984174940599</v>
      </c>
      <c r="BJ2436" s="2">
        <v>21.7431449250779</v>
      </c>
      <c r="BK2436" s="2">
        <v>20.3668330142619</v>
      </c>
      <c r="BL2436" s="2">
        <v>18.573223129386999</v>
      </c>
      <c r="BM2436" s="2">
        <v>18.846651512678701</v>
      </c>
      <c r="BN2436" s="2">
        <v>19.648716982068599</v>
      </c>
      <c r="BO2436" s="2">
        <v>19.072778098020201</v>
      </c>
      <c r="BP2436" s="2">
        <v>14.896767096004501</v>
      </c>
      <c r="BQ2436" s="2">
        <v>19.026894026759798</v>
      </c>
      <c r="BR2436" s="2">
        <v>18.374969112848099</v>
      </c>
      <c r="BS2436" s="2">
        <v>18.658478064604399</v>
      </c>
      <c r="BT2436" s="2">
        <v>21.992034671652501</v>
      </c>
      <c r="BU2436" s="2">
        <v>19.989792341501101</v>
      </c>
      <c r="BV2436" s="2">
        <v>18.965275194005901</v>
      </c>
      <c r="BW2436" s="2">
        <v>17.051109930700498</v>
      </c>
      <c r="BX2436" s="2">
        <v>19.204048736571</v>
      </c>
      <c r="BY2436" s="2">
        <v>18.493795145491301</v>
      </c>
      <c r="BZ2436" s="2">
        <v>15.238148318698</v>
      </c>
      <c r="CA2436" s="2">
        <v>18.517663468126901</v>
      </c>
      <c r="CB2436" s="2">
        <v>15.9700719534372</v>
      </c>
      <c r="CC2436" s="2">
        <v>19.248479768211698</v>
      </c>
      <c r="CD2436" s="2">
        <v>19.752712745082299</v>
      </c>
      <c r="CE2436" s="2">
        <v>19.832173206500201</v>
      </c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</row>
    <row r="2437" spans="1:97">
      <c r="A2437" s="2" t="s">
        <v>20937</v>
      </c>
      <c r="B2437" s="2">
        <v>425.16365999999999</v>
      </c>
      <c r="C2437" s="2">
        <v>5.8070000000000004</v>
      </c>
      <c r="D2437" s="2" t="s">
        <v>146</v>
      </c>
      <c r="E2437" s="2" t="s">
        <v>20938</v>
      </c>
      <c r="F2437" s="2" t="s">
        <v>20939</v>
      </c>
      <c r="G2437" s="2">
        <v>53647</v>
      </c>
      <c r="H2437" s="3" t="str">
        <f>HYPERLINK("https://cloud.oebiotech.com/#/lm/network/53647", "https://cloud.oebiotech.com/#/lm/network/53647")</f>
        <v>https://cloud.oebiotech.com/#/lm/network/53647</v>
      </c>
      <c r="I2437" s="2" t="s">
        <v>20940</v>
      </c>
      <c r="J2437" s="2">
        <v>85551</v>
      </c>
      <c r="K2437" s="2"/>
      <c r="L2437" s="2">
        <v>65781</v>
      </c>
      <c r="M2437" s="2"/>
      <c r="N2437" s="2"/>
      <c r="O2437" s="2"/>
      <c r="P2437" s="2"/>
      <c r="Q2437" s="2"/>
      <c r="R2437" s="2"/>
      <c r="S2437" s="2" t="s">
        <v>20941</v>
      </c>
      <c r="T2437" s="2" t="s">
        <v>20942</v>
      </c>
      <c r="U2437" s="2" t="s">
        <v>20943</v>
      </c>
      <c r="V2437" s="2" t="s">
        <v>95</v>
      </c>
      <c r="W2437" s="2" t="s">
        <v>180</v>
      </c>
      <c r="X2437" s="2" t="s">
        <v>3643</v>
      </c>
      <c r="Y2437" s="2" t="s">
        <v>98</v>
      </c>
      <c r="Z2437" s="2" t="s">
        <v>182</v>
      </c>
      <c r="AA2437" s="2" t="s">
        <v>3644</v>
      </c>
      <c r="AB2437" s="2" t="s">
        <v>8443</v>
      </c>
      <c r="AC2437" s="2">
        <v>36.54</v>
      </c>
      <c r="AD2437" s="2">
        <v>82.72</v>
      </c>
      <c r="AE2437" s="2">
        <v>0</v>
      </c>
      <c r="AF2437" s="2" t="s">
        <v>5614</v>
      </c>
      <c r="AG2437" s="2" t="s">
        <v>157</v>
      </c>
      <c r="AH2437" s="2" t="s">
        <v>20944</v>
      </c>
      <c r="AI2437" s="2">
        <v>0.47</v>
      </c>
      <c r="AJ2437" s="2">
        <v>16.940050295041399</v>
      </c>
      <c r="AK2437" s="2">
        <v>16.732311470639001</v>
      </c>
      <c r="AL2437" s="2">
        <v>16.6462168114452</v>
      </c>
      <c r="AM2437" s="2">
        <v>16.9341045590654</v>
      </c>
      <c r="AN2437" s="2">
        <v>16.7970641629244</v>
      </c>
      <c r="AO2437" s="2">
        <v>16.968761390465598</v>
      </c>
      <c r="AP2437" s="2">
        <v>16.777719184207701</v>
      </c>
      <c r="AQ2437" s="2">
        <v>16.966043608329802</v>
      </c>
      <c r="AR2437" s="2">
        <v>16.598734564958001</v>
      </c>
      <c r="AS2437" s="2">
        <v>14.0455387019275</v>
      </c>
      <c r="AT2437" s="2">
        <v>17.814693920507001</v>
      </c>
      <c r="AU2437" s="2">
        <v>16.395143151759498</v>
      </c>
      <c r="AV2437" s="2">
        <v>15.6082262288837</v>
      </c>
      <c r="AW2437" s="2">
        <v>17.352115258657602</v>
      </c>
      <c r="AX2437" s="2">
        <v>15.215579258674699</v>
      </c>
      <c r="AY2437" s="2">
        <v>15.271649407745301</v>
      </c>
      <c r="AZ2437" s="2">
        <v>15.9283335389346</v>
      </c>
      <c r="BA2437" s="2">
        <v>16.871366243428501</v>
      </c>
      <c r="BB2437" s="2">
        <v>17.449893971026299</v>
      </c>
      <c r="BC2437" s="2">
        <v>16.167960622616</v>
      </c>
      <c r="BD2437" s="2">
        <v>15.427322338964901</v>
      </c>
      <c r="BE2437" s="2">
        <v>17.297525951390899</v>
      </c>
      <c r="BF2437" s="2">
        <v>16.603628083451198</v>
      </c>
      <c r="BG2437" s="2">
        <v>16.751576485889899</v>
      </c>
      <c r="BH2437" s="2">
        <v>15.9731870240135</v>
      </c>
      <c r="BI2437" s="2">
        <v>17.150483816287402</v>
      </c>
      <c r="BJ2437" s="2">
        <v>16.832570385029602</v>
      </c>
      <c r="BK2437" s="2">
        <v>16.522480233784901</v>
      </c>
      <c r="BL2437" s="2">
        <v>16.340387539012699</v>
      </c>
      <c r="BM2437" s="2">
        <v>14.564897920186599</v>
      </c>
      <c r="BN2437" s="2">
        <v>17.209063585790201</v>
      </c>
      <c r="BO2437" s="2">
        <v>17.241087329999999</v>
      </c>
      <c r="BP2437" s="2">
        <v>15.6376313011921</v>
      </c>
      <c r="BQ2437" s="2">
        <v>16.494602959520002</v>
      </c>
      <c r="BR2437" s="2">
        <v>16.428775620569201</v>
      </c>
      <c r="BS2437" s="2">
        <v>15.4816736317491</v>
      </c>
      <c r="BT2437" s="2">
        <v>15.755248809027799</v>
      </c>
      <c r="BU2437" s="2">
        <v>16.192718161838499</v>
      </c>
      <c r="BV2437" s="2">
        <v>16.906367923171601</v>
      </c>
      <c r="BW2437" s="2">
        <v>15.0993560299276</v>
      </c>
      <c r="BX2437" s="2">
        <v>14.899690177198201</v>
      </c>
      <c r="BY2437" s="2">
        <v>17.2352926078797</v>
      </c>
      <c r="BZ2437" s="2">
        <v>16.685877201689799</v>
      </c>
      <c r="CA2437" s="2">
        <v>16.593357126846598</v>
      </c>
      <c r="CB2437" s="2">
        <v>15.7995641924657</v>
      </c>
      <c r="CC2437" s="2">
        <v>17.444780511792299</v>
      </c>
      <c r="CD2437" s="2">
        <v>17.014353985227199</v>
      </c>
      <c r="CE2437" s="2">
        <v>16.7868465953837</v>
      </c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</row>
    <row r="2438" spans="1:97">
      <c r="A2438" s="2" t="s">
        <v>20945</v>
      </c>
      <c r="B2438" s="2">
        <v>340.94558999999998</v>
      </c>
      <c r="C2438" s="2">
        <v>0.58799999999999997</v>
      </c>
      <c r="D2438" s="2" t="s">
        <v>146</v>
      </c>
      <c r="E2438" s="2" t="s">
        <v>20946</v>
      </c>
      <c r="F2438" s="2" t="s">
        <v>20947</v>
      </c>
      <c r="G2438" s="2">
        <v>201057</v>
      </c>
      <c r="H2438" s="3" t="str">
        <f>HYPERLINK("https://cloud.oebiotech.com/#/lm/network/201057", "https://cloud.oebiotech.com/#/lm/network/201057")</f>
        <v>https://cloud.oebiotech.com/#/lm/network/201057</v>
      </c>
      <c r="I2438" s="2" t="s">
        <v>20948</v>
      </c>
      <c r="J2438" s="2"/>
      <c r="K2438" s="2"/>
      <c r="L2438" s="2">
        <v>221014</v>
      </c>
      <c r="M2438" s="2"/>
      <c r="N2438" s="2"/>
      <c r="O2438" s="2"/>
      <c r="P2438" s="2"/>
      <c r="Q2438" s="2"/>
      <c r="R2438" s="2"/>
      <c r="S2438" s="2"/>
      <c r="T2438" s="2" t="s">
        <v>20949</v>
      </c>
      <c r="U2438" s="2" t="s">
        <v>20950</v>
      </c>
      <c r="V2438" s="2" t="s">
        <v>385</v>
      </c>
      <c r="W2438" s="2" t="s">
        <v>11163</v>
      </c>
      <c r="X2438" s="2" t="s">
        <v>11925</v>
      </c>
      <c r="Y2438" s="2" t="s">
        <v>388</v>
      </c>
      <c r="Z2438" s="2" t="s">
        <v>11164</v>
      </c>
      <c r="AA2438" s="2" t="s">
        <v>11926</v>
      </c>
      <c r="AB2438" s="2" t="s">
        <v>8443</v>
      </c>
      <c r="AC2438" s="2">
        <v>36.54</v>
      </c>
      <c r="AD2438" s="2">
        <v>58.56</v>
      </c>
      <c r="AE2438" s="2">
        <v>38.590000000000003</v>
      </c>
      <c r="AF2438" s="2" t="s">
        <v>20951</v>
      </c>
      <c r="AG2438" s="2" t="s">
        <v>4062</v>
      </c>
      <c r="AH2438" s="2" t="s">
        <v>20952</v>
      </c>
      <c r="AI2438" s="2">
        <v>-2.35</v>
      </c>
      <c r="AJ2438" s="2">
        <v>20.351248519853801</v>
      </c>
      <c r="AK2438" s="2">
        <v>20.6276689242004</v>
      </c>
      <c r="AL2438" s="2">
        <v>20.479009731413399</v>
      </c>
      <c r="AM2438" s="2">
        <v>20.277200684875101</v>
      </c>
      <c r="AN2438" s="2">
        <v>20.672445439117102</v>
      </c>
      <c r="AO2438" s="2">
        <v>20.650744920098099</v>
      </c>
      <c r="AP2438" s="2">
        <v>20.230071053679399</v>
      </c>
      <c r="AQ2438" s="2">
        <v>20.523307999976598</v>
      </c>
      <c r="AR2438" s="2">
        <v>20.266158296481901</v>
      </c>
      <c r="AS2438" s="2">
        <v>20.5788750191</v>
      </c>
      <c r="AT2438" s="2">
        <v>20.5226751408042</v>
      </c>
      <c r="AU2438" s="2">
        <v>20.601957013527699</v>
      </c>
      <c r="AV2438" s="2">
        <v>20.557485503108801</v>
      </c>
      <c r="AW2438" s="2">
        <v>20.6255194608603</v>
      </c>
      <c r="AX2438" s="2">
        <v>20.5603568969678</v>
      </c>
      <c r="AY2438" s="2">
        <v>20.815521792730699</v>
      </c>
      <c r="AZ2438" s="2">
        <v>20.3126492413964</v>
      </c>
      <c r="BA2438" s="2">
        <v>20.6148905075271</v>
      </c>
      <c r="BB2438" s="2">
        <v>20.275001703235699</v>
      </c>
      <c r="BC2438" s="2">
        <v>20.961143756541599</v>
      </c>
      <c r="BD2438" s="2">
        <v>20.330281144196199</v>
      </c>
      <c r="BE2438" s="2">
        <v>20.6681983631109</v>
      </c>
      <c r="BF2438" s="2">
        <v>20.192629329405101</v>
      </c>
      <c r="BG2438" s="2">
        <v>20.547086171863398</v>
      </c>
      <c r="BH2438" s="2">
        <v>20.3062264947113</v>
      </c>
      <c r="BI2438" s="2">
        <v>20.566389482197302</v>
      </c>
      <c r="BJ2438" s="2">
        <v>20.4650095997211</v>
      </c>
      <c r="BK2438" s="2">
        <v>20.713191439997502</v>
      </c>
      <c r="BL2438" s="2">
        <v>20.824477543437599</v>
      </c>
      <c r="BM2438" s="2">
        <v>20.830972785039901</v>
      </c>
      <c r="BN2438" s="2">
        <v>20.4476686714134</v>
      </c>
      <c r="BO2438" s="2">
        <v>20.491162598562799</v>
      </c>
      <c r="BP2438" s="2">
        <v>20.153692776966</v>
      </c>
      <c r="BQ2438" s="2">
        <v>20.263207341222198</v>
      </c>
      <c r="BR2438" s="2">
        <v>20.3188353464441</v>
      </c>
      <c r="BS2438" s="2">
        <v>20.994363043467501</v>
      </c>
      <c r="BT2438" s="2">
        <v>20.793587363029701</v>
      </c>
      <c r="BU2438" s="2">
        <v>20.6889340695692</v>
      </c>
      <c r="BV2438" s="2">
        <v>20.521651148995801</v>
      </c>
      <c r="BW2438" s="2">
        <v>20.5122711835002</v>
      </c>
      <c r="BX2438" s="2">
        <v>20.6804438479097</v>
      </c>
      <c r="BY2438" s="2">
        <v>20.788289296626498</v>
      </c>
      <c r="BZ2438" s="2">
        <v>19.809636731737498</v>
      </c>
      <c r="CA2438" s="2">
        <v>20.180715449499299</v>
      </c>
      <c r="CB2438" s="2">
        <v>20.595071518914001</v>
      </c>
      <c r="CC2438" s="2">
        <v>20.535412441784299</v>
      </c>
      <c r="CD2438" s="2">
        <v>20.707423406671499</v>
      </c>
      <c r="CE2438" s="2">
        <v>20.687261447558399</v>
      </c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</row>
    <row r="2439" spans="1:97">
      <c r="A2439" s="2" t="s">
        <v>20953</v>
      </c>
      <c r="B2439" s="2">
        <v>224.97925000000001</v>
      </c>
      <c r="C2439" s="2">
        <v>4.6550000000000002</v>
      </c>
      <c r="D2439" s="2" t="s">
        <v>146</v>
      </c>
      <c r="E2439" s="2" t="s">
        <v>20954</v>
      </c>
      <c r="F2439" s="2" t="s">
        <v>20955</v>
      </c>
      <c r="G2439" s="2">
        <v>212453</v>
      </c>
      <c r="H2439" s="3" t="str">
        <f>HYPERLINK("https://cloud.oebiotech.com/#/lm/network/212453", "https://cloud.oebiotech.com/#/lm/network/212453")</f>
        <v>https://cloud.oebiotech.com/#/lm/network/212453</v>
      </c>
      <c r="I2439" s="2" t="s">
        <v>20956</v>
      </c>
      <c r="J2439" s="2"/>
      <c r="K2439" s="2"/>
      <c r="L2439" s="2">
        <v>19436883</v>
      </c>
      <c r="M2439" s="2"/>
      <c r="N2439" s="2"/>
      <c r="O2439" s="2"/>
      <c r="P2439" s="2"/>
      <c r="Q2439" s="2"/>
      <c r="R2439" s="2"/>
      <c r="S2439" s="2"/>
      <c r="T2439" s="2" t="s">
        <v>20957</v>
      </c>
      <c r="U2439" s="2" t="s">
        <v>20958</v>
      </c>
      <c r="V2439" s="2" t="s">
        <v>553</v>
      </c>
      <c r="W2439" s="2" t="s">
        <v>9726</v>
      </c>
      <c r="X2439" s="2" t="s">
        <v>375</v>
      </c>
      <c r="Y2439" s="2" t="s">
        <v>556</v>
      </c>
      <c r="Z2439" s="2" t="s">
        <v>9727</v>
      </c>
      <c r="AA2439" s="2"/>
      <c r="AB2439" s="2" t="s">
        <v>8443</v>
      </c>
      <c r="AC2439" s="2">
        <v>36.53</v>
      </c>
      <c r="AD2439" s="2">
        <v>88.74</v>
      </c>
      <c r="AE2439" s="2">
        <v>0</v>
      </c>
      <c r="AF2439" s="2" t="s">
        <v>5614</v>
      </c>
      <c r="AG2439" s="2" t="s">
        <v>3880</v>
      </c>
      <c r="AH2439" s="2" t="s">
        <v>20959</v>
      </c>
      <c r="AI2439" s="2">
        <v>2.2200000000000002</v>
      </c>
      <c r="AJ2439" s="2">
        <v>17.209590153958601</v>
      </c>
      <c r="AK2439" s="2">
        <v>17.4566876147953</v>
      </c>
      <c r="AL2439" s="2">
        <v>17.5260536006774</v>
      </c>
      <c r="AM2439" s="2">
        <v>17.0308807963529</v>
      </c>
      <c r="AN2439" s="2">
        <v>16.878319907729701</v>
      </c>
      <c r="AO2439" s="2">
        <v>17.3838488010839</v>
      </c>
      <c r="AP2439" s="2">
        <v>17.093007415074599</v>
      </c>
      <c r="AQ2439" s="2">
        <v>17.226768720505099</v>
      </c>
      <c r="AR2439" s="2">
        <v>16.656338407365801</v>
      </c>
      <c r="AS2439" s="2">
        <v>17.439959087549902</v>
      </c>
      <c r="AT2439" s="2">
        <v>17.391773642858499</v>
      </c>
      <c r="AU2439" s="2">
        <v>17.080329761286301</v>
      </c>
      <c r="AV2439" s="2">
        <v>16.353517654140699</v>
      </c>
      <c r="AW2439" s="2">
        <v>17.087121665028299</v>
      </c>
      <c r="AX2439" s="2">
        <v>17.219308834491201</v>
      </c>
      <c r="AY2439" s="2">
        <v>17.034391040996699</v>
      </c>
      <c r="AZ2439" s="2">
        <v>17.2545346618096</v>
      </c>
      <c r="BA2439" s="2">
        <v>16.829462114846802</v>
      </c>
      <c r="BB2439" s="2">
        <v>17.2723133953711</v>
      </c>
      <c r="BC2439" s="2">
        <v>16.995959110336301</v>
      </c>
      <c r="BD2439" s="2">
        <v>16.8185351203708</v>
      </c>
      <c r="BE2439" s="2">
        <v>16.2860658663127</v>
      </c>
      <c r="BF2439" s="2">
        <v>17.228797744966599</v>
      </c>
      <c r="BG2439" s="2">
        <v>17.3272453545041</v>
      </c>
      <c r="BH2439" s="2">
        <v>17.451354569128299</v>
      </c>
      <c r="BI2439" s="2">
        <v>17.094564744012299</v>
      </c>
      <c r="BJ2439" s="2">
        <v>17.4287324457318</v>
      </c>
      <c r="BK2439" s="2">
        <v>17.307133999683</v>
      </c>
      <c r="BL2439" s="2">
        <v>16.899812060119299</v>
      </c>
      <c r="BM2439" s="2">
        <v>17.2562883117719</v>
      </c>
      <c r="BN2439" s="2">
        <v>16.987972304490398</v>
      </c>
      <c r="BO2439" s="2">
        <v>17.314330541640899</v>
      </c>
      <c r="BP2439" s="2">
        <v>16.941341334758199</v>
      </c>
      <c r="BQ2439" s="2">
        <v>17.020566137469299</v>
      </c>
      <c r="BR2439" s="2">
        <v>17.151645380222199</v>
      </c>
      <c r="BS2439" s="2">
        <v>16.413212724265101</v>
      </c>
      <c r="BT2439" s="2">
        <v>16.844189250485499</v>
      </c>
      <c r="BU2439" s="2">
        <v>16.958281051765599</v>
      </c>
      <c r="BV2439" s="2">
        <v>16.8424146778489</v>
      </c>
      <c r="BW2439" s="2">
        <v>16.342749210569099</v>
      </c>
      <c r="BX2439" s="2">
        <v>16.727989036239499</v>
      </c>
      <c r="BY2439" s="2">
        <v>16.657980044879</v>
      </c>
      <c r="BZ2439" s="2">
        <v>16.7264999747159</v>
      </c>
      <c r="CA2439" s="2">
        <v>17.030414431286399</v>
      </c>
      <c r="CB2439" s="2">
        <v>16.545355622661901</v>
      </c>
      <c r="CC2439" s="2">
        <v>17.084034358966999</v>
      </c>
      <c r="CD2439" s="2">
        <v>16.654964893292799</v>
      </c>
      <c r="CE2439" s="2">
        <v>16.720593237957299</v>
      </c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</row>
    <row r="2440" spans="1:97">
      <c r="A2440" s="2" t="s">
        <v>20960</v>
      </c>
      <c r="B2440" s="2">
        <v>234.08717999999999</v>
      </c>
      <c r="C2440" s="2">
        <v>5.4880000000000004</v>
      </c>
      <c r="D2440" s="2" t="s">
        <v>146</v>
      </c>
      <c r="E2440" s="2" t="s">
        <v>20961</v>
      </c>
      <c r="F2440" s="2" t="s">
        <v>20962</v>
      </c>
      <c r="G2440" s="2">
        <v>210736</v>
      </c>
      <c r="H2440" s="3" t="str">
        <f>HYPERLINK("https://cloud.oebiotech.com/#/lm/network/210736", "https://cloud.oebiotech.com/#/lm/network/210736")</f>
        <v>https://cloud.oebiotech.com/#/lm/network/210736</v>
      </c>
      <c r="I2440" s="2" t="s">
        <v>20963</v>
      </c>
      <c r="J2440" s="2">
        <v>69497</v>
      </c>
      <c r="K2440" s="2"/>
      <c r="L2440" s="2">
        <v>4990</v>
      </c>
      <c r="M2440" s="2" t="s">
        <v>20964</v>
      </c>
      <c r="N2440" s="2"/>
      <c r="O2440" s="2"/>
      <c r="P2440" s="2"/>
      <c r="Q2440" s="2"/>
      <c r="R2440" s="2"/>
      <c r="S2440" s="2" t="s">
        <v>20965</v>
      </c>
      <c r="T2440" s="2" t="s">
        <v>20966</v>
      </c>
      <c r="U2440" s="2" t="s">
        <v>20967</v>
      </c>
      <c r="V2440" s="2" t="s">
        <v>553</v>
      </c>
      <c r="W2440" s="2" t="s">
        <v>2447</v>
      </c>
      <c r="X2440" s="2" t="s">
        <v>375</v>
      </c>
      <c r="Y2440" s="2" t="s">
        <v>556</v>
      </c>
      <c r="Z2440" s="2" t="s">
        <v>2449</v>
      </c>
      <c r="AA2440" s="2"/>
      <c r="AB2440" s="2" t="s">
        <v>8443</v>
      </c>
      <c r="AC2440" s="2">
        <v>36.520000000000003</v>
      </c>
      <c r="AD2440" s="2">
        <v>92.54</v>
      </c>
      <c r="AE2440" s="2">
        <v>0</v>
      </c>
      <c r="AF2440" s="2" t="s">
        <v>5614</v>
      </c>
      <c r="AG2440" s="2" t="s">
        <v>993</v>
      </c>
      <c r="AH2440" s="2" t="s">
        <v>20968</v>
      </c>
      <c r="AI2440" s="2">
        <v>2.99</v>
      </c>
      <c r="AJ2440" s="2">
        <v>17.8680989765482</v>
      </c>
      <c r="AK2440" s="2">
        <v>18.379325480145599</v>
      </c>
      <c r="AL2440" s="2">
        <v>17.550672018781</v>
      </c>
      <c r="AM2440" s="2">
        <v>17.252514281532601</v>
      </c>
      <c r="AN2440" s="2">
        <v>18.300807174314102</v>
      </c>
      <c r="AO2440" s="2">
        <v>18.334492709338399</v>
      </c>
      <c r="AP2440" s="2">
        <v>17.883073828283099</v>
      </c>
      <c r="AQ2440" s="2">
        <v>18.2614591940794</v>
      </c>
      <c r="AR2440" s="2">
        <v>18.032834969289301</v>
      </c>
      <c r="AS2440" s="2">
        <v>17.9249656171692</v>
      </c>
      <c r="AT2440" s="2">
        <v>17.773036153393399</v>
      </c>
      <c r="AU2440" s="2">
        <v>17.8644001216161</v>
      </c>
      <c r="AV2440" s="2">
        <v>18.3587281132775</v>
      </c>
      <c r="AW2440" s="2">
        <v>18.152115865628801</v>
      </c>
      <c r="AX2440" s="2">
        <v>18.188540216128601</v>
      </c>
      <c r="AY2440" s="2">
        <v>18.543029062923502</v>
      </c>
      <c r="AZ2440" s="2">
        <v>17.4518779626246</v>
      </c>
      <c r="BA2440" s="2">
        <v>17.726220488060701</v>
      </c>
      <c r="BB2440" s="2">
        <v>17.863085527265198</v>
      </c>
      <c r="BC2440" s="2">
        <v>17.569342980870601</v>
      </c>
      <c r="BD2440" s="2">
        <v>18.1638226129635</v>
      </c>
      <c r="BE2440" s="2">
        <v>17.841306533862799</v>
      </c>
      <c r="BF2440" s="2">
        <v>17.4637921557092</v>
      </c>
      <c r="BG2440" s="2">
        <v>17.745033234692599</v>
      </c>
      <c r="BH2440" s="2">
        <v>17.968461042400399</v>
      </c>
      <c r="BI2440" s="2">
        <v>18.165871173010199</v>
      </c>
      <c r="BJ2440" s="2">
        <v>17.8868669680678</v>
      </c>
      <c r="BK2440" s="2">
        <v>17.975865148708301</v>
      </c>
      <c r="BL2440" s="2">
        <v>17.928865255353699</v>
      </c>
      <c r="BM2440" s="2">
        <v>18.138059964793701</v>
      </c>
      <c r="BN2440" s="2">
        <v>17.651764717590702</v>
      </c>
      <c r="BO2440" s="2">
        <v>18.070343150629601</v>
      </c>
      <c r="BP2440" s="2">
        <v>18.173519625689998</v>
      </c>
      <c r="BQ2440" s="2">
        <v>18.185512200907102</v>
      </c>
      <c r="BR2440" s="2">
        <v>17.914801984163802</v>
      </c>
      <c r="BS2440" s="2">
        <v>18.4633539802991</v>
      </c>
      <c r="BT2440" s="2">
        <v>17.6200950078536</v>
      </c>
      <c r="BU2440" s="2">
        <v>18.085293760657098</v>
      </c>
      <c r="BV2440" s="2">
        <v>17.8886663825356</v>
      </c>
      <c r="BW2440" s="2">
        <v>17.932417893529401</v>
      </c>
      <c r="BX2440" s="2">
        <v>17.8017245866187</v>
      </c>
      <c r="BY2440" s="2">
        <v>18.232406358116201</v>
      </c>
      <c r="BZ2440" s="2">
        <v>17.436499360715899</v>
      </c>
      <c r="CA2440" s="2">
        <v>17.6819294735472</v>
      </c>
      <c r="CB2440" s="2">
        <v>17.4557566445954</v>
      </c>
      <c r="CC2440" s="2">
        <v>17.9155672325216</v>
      </c>
      <c r="CD2440" s="2">
        <v>17.612400521472001</v>
      </c>
      <c r="CE2440" s="2">
        <v>18.2595381453275</v>
      </c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</row>
    <row r="2441" spans="1:97">
      <c r="A2441" s="2" t="s">
        <v>20969</v>
      </c>
      <c r="B2441" s="2">
        <v>321.09260999999998</v>
      </c>
      <c r="C2441" s="2">
        <v>7.907</v>
      </c>
      <c r="D2441" s="2" t="s">
        <v>146</v>
      </c>
      <c r="E2441" s="2" t="s">
        <v>20970</v>
      </c>
      <c r="F2441" s="2" t="s">
        <v>20971</v>
      </c>
      <c r="G2441" s="2">
        <v>204038</v>
      </c>
      <c r="H2441" s="3" t="str">
        <f>HYPERLINK("https://cloud.oebiotech.com/#/lm/network/204038", "https://cloud.oebiotech.com/#/lm/network/204038")</f>
        <v>https://cloud.oebiotech.com/#/lm/network/204038</v>
      </c>
      <c r="I2441" s="2" t="s">
        <v>20972</v>
      </c>
      <c r="J2441" s="2">
        <v>69963</v>
      </c>
      <c r="K2441" s="2"/>
      <c r="L2441" s="2">
        <v>9117</v>
      </c>
      <c r="M2441" s="2" t="s">
        <v>20973</v>
      </c>
      <c r="N2441" s="2"/>
      <c r="O2441" s="2"/>
      <c r="P2441" s="2"/>
      <c r="Q2441" s="2"/>
      <c r="R2441" s="2"/>
      <c r="S2441" s="2" t="s">
        <v>20974</v>
      </c>
      <c r="T2441" s="2" t="s">
        <v>20975</v>
      </c>
      <c r="U2441" s="2" t="s">
        <v>20976</v>
      </c>
      <c r="V2441" s="2" t="s">
        <v>385</v>
      </c>
      <c r="W2441" s="2" t="s">
        <v>19298</v>
      </c>
      <c r="X2441" s="2" t="s">
        <v>20977</v>
      </c>
      <c r="Y2441" s="2" t="s">
        <v>388</v>
      </c>
      <c r="Z2441" s="2" t="s">
        <v>19299</v>
      </c>
      <c r="AA2441" s="2" t="s">
        <v>20978</v>
      </c>
      <c r="AB2441" s="2" t="s">
        <v>8443</v>
      </c>
      <c r="AC2441" s="2">
        <v>36.520000000000003</v>
      </c>
      <c r="AD2441" s="2">
        <v>85.39</v>
      </c>
      <c r="AE2441" s="2">
        <v>0</v>
      </c>
      <c r="AF2441" s="2" t="s">
        <v>20979</v>
      </c>
      <c r="AG2441" s="2" t="s">
        <v>157</v>
      </c>
      <c r="AH2441" s="2" t="s">
        <v>20980</v>
      </c>
      <c r="AI2441" s="2">
        <v>-1.56</v>
      </c>
      <c r="AJ2441" s="2">
        <v>17.213728028333598</v>
      </c>
      <c r="AK2441" s="2">
        <v>17.104290276548099</v>
      </c>
      <c r="AL2441" s="2">
        <v>17.2916544729893</v>
      </c>
      <c r="AM2441" s="2">
        <v>17.183401509932299</v>
      </c>
      <c r="AN2441" s="2">
        <v>17.316126645876501</v>
      </c>
      <c r="AO2441" s="2">
        <v>17.1838374322395</v>
      </c>
      <c r="AP2441" s="2">
        <v>17.199396388451198</v>
      </c>
      <c r="AQ2441" s="2">
        <v>17.040206871575901</v>
      </c>
      <c r="AR2441" s="2">
        <v>17.132540696445002</v>
      </c>
      <c r="AS2441" s="2">
        <v>14.828985841043099</v>
      </c>
      <c r="AT2441" s="2">
        <v>15.838692562568299</v>
      </c>
      <c r="AU2441" s="2">
        <v>16.660459059827598</v>
      </c>
      <c r="AV2441" s="2">
        <v>17.403246499068899</v>
      </c>
      <c r="AW2441" s="2">
        <v>19.294674164268201</v>
      </c>
      <c r="AX2441" s="2">
        <v>16.342622313003201</v>
      </c>
      <c r="AY2441" s="2">
        <v>17.4793535899307</v>
      </c>
      <c r="AZ2441" s="2">
        <v>16.957024593501899</v>
      </c>
      <c r="BA2441" s="2">
        <v>15.3693611715101</v>
      </c>
      <c r="BB2441" s="2">
        <v>16.875153344023001</v>
      </c>
      <c r="BC2441" s="2">
        <v>15.8395686977204</v>
      </c>
      <c r="BD2441" s="2">
        <v>15.54433420244</v>
      </c>
      <c r="BE2441" s="2">
        <v>17.280684422567401</v>
      </c>
      <c r="BF2441" s="2">
        <v>16.537854172444199</v>
      </c>
      <c r="BG2441" s="2">
        <v>15.6781096032172</v>
      </c>
      <c r="BH2441" s="2">
        <v>16.966702583327201</v>
      </c>
      <c r="BI2441" s="2">
        <v>17.774603957671001</v>
      </c>
      <c r="BJ2441" s="2">
        <v>17.0387414485382</v>
      </c>
      <c r="BK2441" s="2">
        <v>17.762334215421902</v>
      </c>
      <c r="BL2441" s="2">
        <v>16.675697830508302</v>
      </c>
      <c r="BM2441" s="2">
        <v>15.816439461070299</v>
      </c>
      <c r="BN2441" s="2">
        <v>17.826712206212001</v>
      </c>
      <c r="BO2441" s="2">
        <v>15.697144321589301</v>
      </c>
      <c r="BP2441" s="2">
        <v>14.9645507040062</v>
      </c>
      <c r="BQ2441" s="2">
        <v>16.942113089979799</v>
      </c>
      <c r="BR2441" s="2">
        <v>19.1602592936351</v>
      </c>
      <c r="BS2441" s="2">
        <v>19.0191511391109</v>
      </c>
      <c r="BT2441" s="2">
        <v>15.4306871012213</v>
      </c>
      <c r="BU2441" s="2">
        <v>15.8416987342144</v>
      </c>
      <c r="BV2441" s="2">
        <v>15.449036414196399</v>
      </c>
      <c r="BW2441" s="2">
        <v>16.6444118866394</v>
      </c>
      <c r="BX2441" s="2">
        <v>17.290072140393701</v>
      </c>
      <c r="BY2441" s="2">
        <v>19.087486771324901</v>
      </c>
      <c r="BZ2441" s="2">
        <v>16.913591034261799</v>
      </c>
      <c r="CA2441" s="2">
        <v>16.7202505385298</v>
      </c>
      <c r="CB2441" s="2">
        <v>15.9739661427579</v>
      </c>
      <c r="CC2441" s="2">
        <v>15.6511391653718</v>
      </c>
      <c r="CD2441" s="2">
        <v>16.841321216423399</v>
      </c>
      <c r="CE2441" s="2">
        <v>16.293560736817099</v>
      </c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</row>
    <row r="2442" spans="1:97">
      <c r="A2442" s="2" t="s">
        <v>20981</v>
      </c>
      <c r="B2442" s="2">
        <v>529.08819000000005</v>
      </c>
      <c r="C2442" s="2">
        <v>0.79300000000000004</v>
      </c>
      <c r="D2442" s="2" t="s">
        <v>84</v>
      </c>
      <c r="E2442" s="2" t="s">
        <v>20982</v>
      </c>
      <c r="F2442" s="2" t="s">
        <v>20983</v>
      </c>
      <c r="G2442" s="2">
        <v>48936</v>
      </c>
      <c r="H2442" s="3" t="str">
        <f>HYPERLINK("https://cloud.oebiotech.com/#/lm/network/48936", "https://cloud.oebiotech.com/#/lm/network/48936")</f>
        <v>https://cloud.oebiotech.com/#/lm/network/48936</v>
      </c>
      <c r="I2442" s="2" t="s">
        <v>20984</v>
      </c>
      <c r="J2442" s="2"/>
      <c r="K2442" s="2"/>
      <c r="L2442" s="2">
        <v>53477910</v>
      </c>
      <c r="M2442" s="2" t="s">
        <v>20985</v>
      </c>
      <c r="N2442" s="2"/>
      <c r="O2442" s="2"/>
      <c r="P2442" s="2"/>
      <c r="Q2442" s="2"/>
      <c r="R2442" s="2"/>
      <c r="S2442" s="2"/>
      <c r="T2442" s="2" t="s">
        <v>20986</v>
      </c>
      <c r="U2442" s="2" t="s">
        <v>20987</v>
      </c>
      <c r="V2442" s="2" t="s">
        <v>818</v>
      </c>
      <c r="W2442" s="2" t="s">
        <v>9642</v>
      </c>
      <c r="X2442" s="2" t="s">
        <v>9643</v>
      </c>
      <c r="Y2442" s="2" t="s">
        <v>820</v>
      </c>
      <c r="Z2442" s="2" t="s">
        <v>9644</v>
      </c>
      <c r="AA2442" s="2" t="s">
        <v>9645</v>
      </c>
      <c r="AB2442" s="2" t="s">
        <v>8443</v>
      </c>
      <c r="AC2442" s="2">
        <v>36.51</v>
      </c>
      <c r="AD2442" s="2">
        <v>73.27</v>
      </c>
      <c r="AE2442" s="2">
        <v>0</v>
      </c>
      <c r="AF2442" s="2" t="s">
        <v>5614</v>
      </c>
      <c r="AG2442" s="2" t="s">
        <v>3544</v>
      </c>
      <c r="AH2442" s="2" t="s">
        <v>20988</v>
      </c>
      <c r="AI2442" s="2">
        <v>-6.99</v>
      </c>
      <c r="AJ2442" s="2">
        <v>21.237357220498399</v>
      </c>
      <c r="AK2442" s="2">
        <v>21.116294002182698</v>
      </c>
      <c r="AL2442" s="2">
        <v>21.341888847524299</v>
      </c>
      <c r="AM2442" s="2">
        <v>20.598591610328299</v>
      </c>
      <c r="AN2442" s="2">
        <v>20.782294123932498</v>
      </c>
      <c r="AO2442" s="2">
        <v>20.811482993809001</v>
      </c>
      <c r="AP2442" s="2">
        <v>20.956981934343801</v>
      </c>
      <c r="AQ2442" s="2">
        <v>21.283303050193499</v>
      </c>
      <c r="AR2442" s="2">
        <v>20.176648924458799</v>
      </c>
      <c r="AS2442" s="2">
        <v>20.9075606494936</v>
      </c>
      <c r="AT2442" s="2">
        <v>20.805162453495299</v>
      </c>
      <c r="AU2442" s="2">
        <v>20.051809721852401</v>
      </c>
      <c r="AV2442" s="2">
        <v>21.1881146373787</v>
      </c>
      <c r="AW2442" s="2">
        <v>20.989813084240701</v>
      </c>
      <c r="AX2442" s="2">
        <v>21.370361805558598</v>
      </c>
      <c r="AY2442" s="2">
        <v>21.047812548486899</v>
      </c>
      <c r="AZ2442" s="2">
        <v>21.0195151448874</v>
      </c>
      <c r="BA2442" s="2">
        <v>20.220481905728299</v>
      </c>
      <c r="BB2442" s="2">
        <v>20.698689696263099</v>
      </c>
      <c r="BC2442" s="2">
        <v>20.6751860238926</v>
      </c>
      <c r="BD2442" s="2">
        <v>21.1696897099899</v>
      </c>
      <c r="BE2442" s="2">
        <v>21.106682604183401</v>
      </c>
      <c r="BF2442" s="2">
        <v>21.259342900674401</v>
      </c>
      <c r="BG2442" s="2">
        <v>20.161148777163302</v>
      </c>
      <c r="BH2442" s="2">
        <v>20.549374624116101</v>
      </c>
      <c r="BI2442" s="2">
        <v>20.6691097647617</v>
      </c>
      <c r="BJ2442" s="2">
        <v>20.899869959748401</v>
      </c>
      <c r="BK2442" s="2">
        <v>20.802361072106699</v>
      </c>
      <c r="BL2442" s="2">
        <v>20.949530793850599</v>
      </c>
      <c r="BM2442" s="2">
        <v>20.797878057913799</v>
      </c>
      <c r="BN2442" s="2">
        <v>21.6660737865</v>
      </c>
      <c r="BO2442" s="2">
        <v>20.019018837008101</v>
      </c>
      <c r="BP2442" s="2">
        <v>21.010670257318001</v>
      </c>
      <c r="BQ2442" s="2">
        <v>21.102378171704999</v>
      </c>
      <c r="BR2442" s="2">
        <v>20.247634607757298</v>
      </c>
      <c r="BS2442" s="2">
        <v>20.5136095033046</v>
      </c>
      <c r="BT2442" s="2">
        <v>20.876731395421199</v>
      </c>
      <c r="BU2442" s="2">
        <v>20.8846240108833</v>
      </c>
      <c r="BV2442" s="2">
        <v>20.882474622925599</v>
      </c>
      <c r="BW2442" s="2">
        <v>20.310065654577699</v>
      </c>
      <c r="BX2442" s="2">
        <v>20.8090756481946</v>
      </c>
      <c r="BY2442" s="2">
        <v>20.684831704398398</v>
      </c>
      <c r="BZ2442" s="2">
        <v>20.418808476668399</v>
      </c>
      <c r="CA2442" s="2">
        <v>20.0836640673127</v>
      </c>
      <c r="CB2442" s="2">
        <v>19.735745090906899</v>
      </c>
      <c r="CC2442" s="2">
        <v>20.556833568497201</v>
      </c>
      <c r="CD2442" s="2">
        <v>21.135629779143901</v>
      </c>
      <c r="CE2442" s="2">
        <v>20.952229061126499</v>
      </c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</row>
    <row r="2443" spans="1:97">
      <c r="A2443" s="2" t="s">
        <v>20989</v>
      </c>
      <c r="B2443" s="2">
        <v>408.02825000000001</v>
      </c>
      <c r="C2443" s="2">
        <v>5.0380000000000003</v>
      </c>
      <c r="D2443" s="2" t="s">
        <v>146</v>
      </c>
      <c r="E2443" s="2" t="s">
        <v>20990</v>
      </c>
      <c r="F2443" s="2" t="s">
        <v>20991</v>
      </c>
      <c r="G2443" s="2">
        <v>254954</v>
      </c>
      <c r="H2443" s="3" t="str">
        <f>HYPERLINK("https://cloud.oebiotech.com/#/lm/network/254954", "https://cloud.oebiotech.com/#/lm/network/254954")</f>
        <v>https://cloud.oebiotech.com/#/lm/network/254954</v>
      </c>
      <c r="I2443" s="2" t="s">
        <v>20992</v>
      </c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 t="s">
        <v>20993</v>
      </c>
      <c r="U2443" s="2" t="s">
        <v>20994</v>
      </c>
      <c r="V2443" s="2" t="s">
        <v>338</v>
      </c>
      <c r="W2443" s="2" t="s">
        <v>339</v>
      </c>
      <c r="X2443" s="2" t="s">
        <v>663</v>
      </c>
      <c r="Y2443" s="2" t="s">
        <v>341</v>
      </c>
      <c r="Z2443" s="2" t="s">
        <v>341</v>
      </c>
      <c r="AA2443" s="2" t="s">
        <v>664</v>
      </c>
      <c r="AB2443" s="2" t="s">
        <v>8443</v>
      </c>
      <c r="AC2443" s="2">
        <v>36.51</v>
      </c>
      <c r="AD2443" s="2">
        <v>86.16</v>
      </c>
      <c r="AE2443" s="2">
        <v>0</v>
      </c>
      <c r="AF2443" s="2" t="s">
        <v>20995</v>
      </c>
      <c r="AG2443" s="2" t="s">
        <v>157</v>
      </c>
      <c r="AH2443" s="2" t="s">
        <v>20996</v>
      </c>
      <c r="AI2443" s="2">
        <v>-1.72</v>
      </c>
      <c r="AJ2443" s="2">
        <v>17.618645530455499</v>
      </c>
      <c r="AK2443" s="2">
        <v>17.565887639254001</v>
      </c>
      <c r="AL2443" s="2">
        <v>17.733342688160299</v>
      </c>
      <c r="AM2443" s="2">
        <v>17.722750107669601</v>
      </c>
      <c r="AN2443" s="2">
        <v>17.569368127003798</v>
      </c>
      <c r="AO2443" s="2">
        <v>17.525892537791201</v>
      </c>
      <c r="AP2443" s="2">
        <v>17.612596483674299</v>
      </c>
      <c r="AQ2443" s="2">
        <v>17.5368999542995</v>
      </c>
      <c r="AR2443" s="2">
        <v>17.1229690024612</v>
      </c>
      <c r="AS2443" s="2">
        <v>16.7056755811771</v>
      </c>
      <c r="AT2443" s="2">
        <v>16.233018366122302</v>
      </c>
      <c r="AU2443" s="2">
        <v>16.658005436501</v>
      </c>
      <c r="AV2443" s="2">
        <v>17.249302371750701</v>
      </c>
      <c r="AW2443" s="2">
        <v>17.539959606336801</v>
      </c>
      <c r="AX2443" s="2">
        <v>16.943203203988201</v>
      </c>
      <c r="AY2443" s="2">
        <v>16.9150020466986</v>
      </c>
      <c r="AZ2443" s="2">
        <v>17.513856952877301</v>
      </c>
      <c r="BA2443" s="2">
        <v>16.754848757391599</v>
      </c>
      <c r="BB2443" s="2">
        <v>17.5186478543494</v>
      </c>
      <c r="BC2443" s="2">
        <v>17.568831729487101</v>
      </c>
      <c r="BD2443" s="2">
        <v>16.758631569984299</v>
      </c>
      <c r="BE2443" s="2">
        <v>17.816442336145801</v>
      </c>
      <c r="BF2443" s="2">
        <v>17.4336716625523</v>
      </c>
      <c r="BG2443" s="2">
        <v>18.458111388734299</v>
      </c>
      <c r="BH2443" s="2">
        <v>16.764062568579199</v>
      </c>
      <c r="BI2443" s="2">
        <v>17.957704871684999</v>
      </c>
      <c r="BJ2443" s="2">
        <v>17.115392817508098</v>
      </c>
      <c r="BK2443" s="2">
        <v>17.9835780030648</v>
      </c>
      <c r="BL2443" s="2">
        <v>17.4373075813639</v>
      </c>
      <c r="BM2443" s="2">
        <v>17.270156051491</v>
      </c>
      <c r="BN2443" s="2">
        <v>16.960595124772599</v>
      </c>
      <c r="BO2443" s="2">
        <v>17.501902555540301</v>
      </c>
      <c r="BP2443" s="2">
        <v>17.31700455447</v>
      </c>
      <c r="BQ2443" s="2">
        <v>17.461312689984201</v>
      </c>
      <c r="BR2443" s="2">
        <v>17.6807434850205</v>
      </c>
      <c r="BS2443" s="2">
        <v>17.453032089181999</v>
      </c>
      <c r="BT2443" s="2">
        <v>17.098297894942299</v>
      </c>
      <c r="BU2443" s="2">
        <v>17.342334104704399</v>
      </c>
      <c r="BV2443" s="2">
        <v>17.4843212333064</v>
      </c>
      <c r="BW2443" s="2">
        <v>15.6917658703043</v>
      </c>
      <c r="BX2443" s="2">
        <v>17.560276179254</v>
      </c>
      <c r="BY2443" s="2">
        <v>18.533311669604601</v>
      </c>
      <c r="BZ2443" s="2">
        <v>17.3895205988904</v>
      </c>
      <c r="CA2443" s="2">
        <v>17.806996681945801</v>
      </c>
      <c r="CB2443" s="2">
        <v>17.342560075302099</v>
      </c>
      <c r="CC2443" s="2">
        <v>17.413125023421198</v>
      </c>
      <c r="CD2443" s="2">
        <v>18.144442413864098</v>
      </c>
      <c r="CE2443" s="2">
        <v>18.419804678271198</v>
      </c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</row>
    <row r="2444" spans="1:97">
      <c r="A2444" s="2" t="s">
        <v>20997</v>
      </c>
      <c r="B2444" s="2">
        <v>374.36232999999999</v>
      </c>
      <c r="C2444" s="2">
        <v>9.81</v>
      </c>
      <c r="D2444" s="2" t="s">
        <v>84</v>
      </c>
      <c r="E2444" s="2" t="s">
        <v>20998</v>
      </c>
      <c r="F2444" s="2" t="s">
        <v>20999</v>
      </c>
      <c r="G2444" s="2">
        <v>1704</v>
      </c>
      <c r="H2444" s="3" t="str">
        <f>HYPERLINK("https://cloud.oebiotech.com/#/lm/network/1704", "https://cloud.oebiotech.com/#/lm/network/1704")</f>
        <v>https://cloud.oebiotech.com/#/lm/network/1704</v>
      </c>
      <c r="I2444" s="2" t="s">
        <v>21000</v>
      </c>
      <c r="J2444" s="2">
        <v>35454</v>
      </c>
      <c r="K2444" s="2" t="s">
        <v>21001</v>
      </c>
      <c r="L2444" s="2">
        <v>193484</v>
      </c>
      <c r="M2444" s="2"/>
      <c r="N2444" s="2"/>
      <c r="O2444" s="2"/>
      <c r="P2444" s="2">
        <v>76980</v>
      </c>
      <c r="Q2444" s="2"/>
      <c r="R2444" s="2"/>
      <c r="S2444" s="2"/>
      <c r="T2444" s="2" t="s">
        <v>21002</v>
      </c>
      <c r="U2444" s="2" t="s">
        <v>21003</v>
      </c>
      <c r="V2444" s="2" t="s">
        <v>95</v>
      </c>
      <c r="W2444" s="2" t="s">
        <v>96</v>
      </c>
      <c r="X2444" s="2" t="s">
        <v>141</v>
      </c>
      <c r="Y2444" s="2" t="s">
        <v>98</v>
      </c>
      <c r="Z2444" s="2" t="s">
        <v>99</v>
      </c>
      <c r="AA2444" s="2" t="s">
        <v>142</v>
      </c>
      <c r="AB2444" s="2" t="s">
        <v>8443</v>
      </c>
      <c r="AC2444" s="2">
        <v>36.51</v>
      </c>
      <c r="AD2444" s="2">
        <v>85.57</v>
      </c>
      <c r="AE2444" s="2">
        <v>0</v>
      </c>
      <c r="AF2444" s="2" t="s">
        <v>21004</v>
      </c>
      <c r="AG2444" s="2" t="s">
        <v>132</v>
      </c>
      <c r="AH2444" s="2" t="s">
        <v>21005</v>
      </c>
      <c r="AI2444" s="2">
        <v>1.6</v>
      </c>
      <c r="AJ2444" s="2">
        <v>18.933008323965499</v>
      </c>
      <c r="AK2444" s="2">
        <v>19.1773700681108</v>
      </c>
      <c r="AL2444" s="2">
        <v>19.199276126267499</v>
      </c>
      <c r="AM2444" s="2">
        <v>18.994256193106999</v>
      </c>
      <c r="AN2444" s="2">
        <v>19.260643173444201</v>
      </c>
      <c r="AO2444" s="2">
        <v>19.097029860512599</v>
      </c>
      <c r="AP2444" s="2">
        <v>19.1053032783784</v>
      </c>
      <c r="AQ2444" s="2">
        <v>19.140537831894001</v>
      </c>
      <c r="AR2444" s="2">
        <v>20.0124546856335</v>
      </c>
      <c r="AS2444" s="2">
        <v>20.363116330442701</v>
      </c>
      <c r="AT2444" s="2">
        <v>20.380413079867001</v>
      </c>
      <c r="AU2444" s="2">
        <v>19.784139351606601</v>
      </c>
      <c r="AV2444" s="2">
        <v>16.018497521424202</v>
      </c>
      <c r="AW2444" s="2">
        <v>20.6893439894504</v>
      </c>
      <c r="AX2444" s="2">
        <v>15.140342107913201</v>
      </c>
      <c r="AY2444" s="2">
        <v>14.9283305313893</v>
      </c>
      <c r="AZ2444" s="2">
        <v>9.6233145402724691</v>
      </c>
      <c r="BA2444" s="2">
        <v>9.6233145402724691</v>
      </c>
      <c r="BB2444" s="2">
        <v>16.245759915384301</v>
      </c>
      <c r="BC2444" s="2">
        <v>15.0172760259145</v>
      </c>
      <c r="BD2444" s="2">
        <v>9.6233145402724691</v>
      </c>
      <c r="BE2444" s="2">
        <v>20.456693589869602</v>
      </c>
      <c r="BF2444" s="2">
        <v>16.009438942631999</v>
      </c>
      <c r="BG2444" s="2">
        <v>16.2337911663409</v>
      </c>
      <c r="BH2444" s="2">
        <v>16.269473902767999</v>
      </c>
      <c r="BI2444" s="2">
        <v>9.6233145402724691</v>
      </c>
      <c r="BJ2444" s="2">
        <v>20.827313882735801</v>
      </c>
      <c r="BK2444" s="2">
        <v>16.720175975591602</v>
      </c>
      <c r="BL2444" s="2">
        <v>9.6233145402724691</v>
      </c>
      <c r="BM2444" s="2">
        <v>9.6233145402724691</v>
      </c>
      <c r="BN2444" s="2">
        <v>14.9689254868318</v>
      </c>
      <c r="BO2444" s="2">
        <v>9.6233145402724691</v>
      </c>
      <c r="BP2444" s="2">
        <v>15.3390301834028</v>
      </c>
      <c r="BQ2444" s="2">
        <v>15.262347045305299</v>
      </c>
      <c r="BR2444" s="2">
        <v>15.828846051352301</v>
      </c>
      <c r="BS2444" s="2">
        <v>15.259298236607099</v>
      </c>
      <c r="BT2444" s="2">
        <v>15.087169018023101</v>
      </c>
      <c r="BU2444" s="2">
        <v>14.592297014452001</v>
      </c>
      <c r="BV2444" s="2">
        <v>9.6233145402724691</v>
      </c>
      <c r="BW2444" s="2">
        <v>9.6233145402724691</v>
      </c>
      <c r="BX2444" s="2">
        <v>9.6233145402724691</v>
      </c>
      <c r="BY2444" s="2">
        <v>20.986770027659801</v>
      </c>
      <c r="BZ2444" s="2">
        <v>14.3308048632816</v>
      </c>
      <c r="CA2444" s="2">
        <v>16.1739534702509</v>
      </c>
      <c r="CB2444" s="2">
        <v>9.6233145402724691</v>
      </c>
      <c r="CC2444" s="2">
        <v>9.6233145402724691</v>
      </c>
      <c r="CD2444" s="2">
        <v>9.6233145402724691</v>
      </c>
      <c r="CE2444" s="2">
        <v>14.768624242460501</v>
      </c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</row>
    <row r="2445" spans="1:97">
      <c r="A2445" s="2" t="s">
        <v>21006</v>
      </c>
      <c r="B2445" s="2">
        <v>380.33627999999999</v>
      </c>
      <c r="C2445" s="2">
        <v>12.095000000000001</v>
      </c>
      <c r="D2445" s="2" t="s">
        <v>84</v>
      </c>
      <c r="E2445" s="2" t="s">
        <v>21007</v>
      </c>
      <c r="F2445" s="2" t="s">
        <v>21008</v>
      </c>
      <c r="G2445" s="2">
        <v>202214</v>
      </c>
      <c r="H2445" s="3" t="str">
        <f>HYPERLINK("https://cloud.oebiotech.com/#/lm/network/202214", "https://cloud.oebiotech.com/#/lm/network/202214")</f>
        <v>https://cloud.oebiotech.com/#/lm/network/202214</v>
      </c>
      <c r="I2445" s="2" t="s">
        <v>21009</v>
      </c>
      <c r="J2445" s="2">
        <v>350763</v>
      </c>
      <c r="K2445" s="2"/>
      <c r="L2445" s="2">
        <v>78933</v>
      </c>
      <c r="M2445" s="2"/>
      <c r="N2445" s="2"/>
      <c r="O2445" s="2"/>
      <c r="P2445" s="2"/>
      <c r="Q2445" s="2"/>
      <c r="R2445" s="2"/>
      <c r="S2445" s="2"/>
      <c r="T2445" s="2" t="s">
        <v>21010</v>
      </c>
      <c r="U2445" s="2" t="s">
        <v>21011</v>
      </c>
      <c r="V2445" s="2" t="s">
        <v>338</v>
      </c>
      <c r="W2445" s="2" t="s">
        <v>339</v>
      </c>
      <c r="X2445" s="2" t="s">
        <v>1663</v>
      </c>
      <c r="Y2445" s="2" t="s">
        <v>341</v>
      </c>
      <c r="Z2445" s="2" t="s">
        <v>341</v>
      </c>
      <c r="AA2445" s="2" t="s">
        <v>1664</v>
      </c>
      <c r="AB2445" s="2" t="s">
        <v>8443</v>
      </c>
      <c r="AC2445" s="2">
        <v>36.5</v>
      </c>
      <c r="AD2445" s="2">
        <v>86.68</v>
      </c>
      <c r="AE2445" s="2">
        <v>0</v>
      </c>
      <c r="AF2445" s="2" t="s">
        <v>21012</v>
      </c>
      <c r="AG2445" s="2" t="s">
        <v>132</v>
      </c>
      <c r="AH2445" s="2" t="s">
        <v>21013</v>
      </c>
      <c r="AI2445" s="2">
        <v>1.84</v>
      </c>
      <c r="AJ2445" s="2">
        <v>20.782645553552801</v>
      </c>
      <c r="AK2445" s="2">
        <v>20.298040164197001</v>
      </c>
      <c r="AL2445" s="2">
        <v>20.9782885427176</v>
      </c>
      <c r="AM2445" s="2">
        <v>20.542773873607299</v>
      </c>
      <c r="AN2445" s="2">
        <v>20.7465640985858</v>
      </c>
      <c r="AO2445" s="2">
        <v>20.6087773133202</v>
      </c>
      <c r="AP2445" s="2">
        <v>20.233348172314098</v>
      </c>
      <c r="AQ2445" s="2">
        <v>20.578462888310199</v>
      </c>
      <c r="AR2445" s="2">
        <v>20.634748969424599</v>
      </c>
      <c r="AS2445" s="2">
        <v>21.073013373942299</v>
      </c>
      <c r="AT2445" s="2">
        <v>20.455730521591398</v>
      </c>
      <c r="AU2445" s="2">
        <v>20.683707709556799</v>
      </c>
      <c r="AV2445" s="2">
        <v>20.623217001884999</v>
      </c>
      <c r="AW2445" s="2">
        <v>21.1003291731137</v>
      </c>
      <c r="AX2445" s="2">
        <v>19.536294595085799</v>
      </c>
      <c r="AY2445" s="2">
        <v>20.641031179928799</v>
      </c>
      <c r="AZ2445" s="2">
        <v>20.797336860778699</v>
      </c>
      <c r="BA2445" s="2">
        <v>20.3003605264662</v>
      </c>
      <c r="BB2445" s="2">
        <v>20.976030166760602</v>
      </c>
      <c r="BC2445" s="2">
        <v>21.183089890857701</v>
      </c>
      <c r="BD2445" s="2">
        <v>20.369871035289201</v>
      </c>
      <c r="BE2445" s="2">
        <v>20.672624004809201</v>
      </c>
      <c r="BF2445" s="2">
        <v>20.2062693037279</v>
      </c>
      <c r="BG2445" s="2">
        <v>21.279423339495501</v>
      </c>
      <c r="BH2445" s="2">
        <v>20.342566780957501</v>
      </c>
      <c r="BI2445" s="2">
        <v>20.899512850427602</v>
      </c>
      <c r="BJ2445" s="2">
        <v>20.709515905940702</v>
      </c>
      <c r="BK2445" s="2">
        <v>20.495226844948402</v>
      </c>
      <c r="BL2445" s="2">
        <v>21.240953583148499</v>
      </c>
      <c r="BM2445" s="2">
        <v>18.871508741562401</v>
      </c>
      <c r="BN2445" s="2">
        <v>20.332276311607099</v>
      </c>
      <c r="BO2445" s="2">
        <v>20.893263086095299</v>
      </c>
      <c r="BP2445" s="2">
        <v>20.764197396610601</v>
      </c>
      <c r="BQ2445" s="2">
        <v>20.779128401320602</v>
      </c>
      <c r="BR2445" s="2">
        <v>20.947505674124699</v>
      </c>
      <c r="BS2445" s="2">
        <v>20.270460869150401</v>
      </c>
      <c r="BT2445" s="2">
        <v>20.114691590004899</v>
      </c>
      <c r="BU2445" s="2">
        <v>21.0298753725491</v>
      </c>
      <c r="BV2445" s="2">
        <v>20.3988258743735</v>
      </c>
      <c r="BW2445" s="2">
        <v>20.6197839640454</v>
      </c>
      <c r="BX2445" s="2">
        <v>19.987384698924998</v>
      </c>
      <c r="BY2445" s="2">
        <v>20.694854022512999</v>
      </c>
      <c r="BZ2445" s="2">
        <v>20.326738442462201</v>
      </c>
      <c r="CA2445" s="2">
        <v>20.3124789971117</v>
      </c>
      <c r="CB2445" s="2">
        <v>20.008879680999399</v>
      </c>
      <c r="CC2445" s="2">
        <v>20.044093526578799</v>
      </c>
      <c r="CD2445" s="2">
        <v>20.282558579501799</v>
      </c>
      <c r="CE2445" s="2">
        <v>21.094722578682301</v>
      </c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</row>
    <row r="2446" spans="1:97">
      <c r="A2446" s="2" t="s">
        <v>21014</v>
      </c>
      <c r="B2446" s="2">
        <v>341.30441999999999</v>
      </c>
      <c r="C2446" s="2">
        <v>11.334</v>
      </c>
      <c r="D2446" s="2" t="s">
        <v>84</v>
      </c>
      <c r="E2446" s="2" t="s">
        <v>21015</v>
      </c>
      <c r="F2446" s="2" t="s">
        <v>21016</v>
      </c>
      <c r="G2446" s="2">
        <v>2139</v>
      </c>
      <c r="H2446" s="3" t="str">
        <f>HYPERLINK("https://cloud.oebiotech.com/#/lm/network/2139", "https://cloud.oebiotech.com/#/lm/network/2139")</f>
        <v>https://cloud.oebiotech.com/#/lm/network/2139</v>
      </c>
      <c r="I2446" s="2"/>
      <c r="J2446" s="2">
        <v>74776</v>
      </c>
      <c r="K2446" s="2" t="s">
        <v>21017</v>
      </c>
      <c r="L2446" s="2">
        <v>5312926</v>
      </c>
      <c r="M2446" s="2"/>
      <c r="N2446" s="2"/>
      <c r="O2446" s="2"/>
      <c r="P2446" s="2"/>
      <c r="Q2446" s="2"/>
      <c r="R2446" s="2"/>
      <c r="S2446" s="2"/>
      <c r="T2446" s="2" t="s">
        <v>21018</v>
      </c>
      <c r="U2446" s="2" t="s">
        <v>21019</v>
      </c>
      <c r="V2446" s="2" t="s">
        <v>95</v>
      </c>
      <c r="W2446" s="2" t="s">
        <v>96</v>
      </c>
      <c r="X2446" s="2" t="s">
        <v>141</v>
      </c>
      <c r="Y2446" s="2" t="s">
        <v>98</v>
      </c>
      <c r="Z2446" s="2" t="s">
        <v>99</v>
      </c>
      <c r="AA2446" s="2" t="s">
        <v>142</v>
      </c>
      <c r="AB2446" s="2" t="s">
        <v>8443</v>
      </c>
      <c r="AC2446" s="2">
        <v>36.5</v>
      </c>
      <c r="AD2446" s="2">
        <v>86.29</v>
      </c>
      <c r="AE2446" s="2">
        <v>0</v>
      </c>
      <c r="AF2446" s="2" t="s">
        <v>5614</v>
      </c>
      <c r="AG2446" s="2" t="s">
        <v>103</v>
      </c>
      <c r="AH2446" s="2" t="s">
        <v>21020</v>
      </c>
      <c r="AI2446" s="2">
        <v>1.76</v>
      </c>
      <c r="AJ2446" s="2">
        <v>19.248584278276901</v>
      </c>
      <c r="AK2446" s="2">
        <v>19.205763735346199</v>
      </c>
      <c r="AL2446" s="2">
        <v>18.864160113361599</v>
      </c>
      <c r="AM2446" s="2">
        <v>19.216349161975</v>
      </c>
      <c r="AN2446" s="2">
        <v>19.4122361626636</v>
      </c>
      <c r="AO2446" s="2">
        <v>19.106069408739</v>
      </c>
      <c r="AP2446" s="2">
        <v>18.902011674351701</v>
      </c>
      <c r="AQ2446" s="2">
        <v>19.2063430022468</v>
      </c>
      <c r="AR2446" s="2">
        <v>19.563459605731602</v>
      </c>
      <c r="AS2446" s="2">
        <v>17.838291971896599</v>
      </c>
      <c r="AT2446" s="2">
        <v>17.817564365546598</v>
      </c>
      <c r="AU2446" s="2">
        <v>19.350364661926999</v>
      </c>
      <c r="AV2446" s="2">
        <v>18.6709034996646</v>
      </c>
      <c r="AW2446" s="2">
        <v>19.019889955779298</v>
      </c>
      <c r="AX2446" s="2">
        <v>18.953449722301698</v>
      </c>
      <c r="AY2446" s="2">
        <v>18.629391521503901</v>
      </c>
      <c r="AZ2446" s="2">
        <v>19.2189727529721</v>
      </c>
      <c r="BA2446" s="2">
        <v>17.607956949448901</v>
      </c>
      <c r="BB2446" s="2">
        <v>18.5513041440874</v>
      </c>
      <c r="BC2446" s="2">
        <v>19.014306796460001</v>
      </c>
      <c r="BD2446" s="2">
        <v>19.1794843224773</v>
      </c>
      <c r="BE2446" s="2">
        <v>19.2335958987567</v>
      </c>
      <c r="BF2446" s="2">
        <v>19.244598854176701</v>
      </c>
      <c r="BG2446" s="2">
        <v>19.295080334610098</v>
      </c>
      <c r="BH2446" s="2">
        <v>18.9691504282323</v>
      </c>
      <c r="BI2446" s="2">
        <v>18.956964435148301</v>
      </c>
      <c r="BJ2446" s="2">
        <v>18.7044438815029</v>
      </c>
      <c r="BK2446" s="2">
        <v>18.750756504752001</v>
      </c>
      <c r="BL2446" s="2">
        <v>19.103815018132199</v>
      </c>
      <c r="BM2446" s="2">
        <v>19.039260803537601</v>
      </c>
      <c r="BN2446" s="2">
        <v>18.806278675876001</v>
      </c>
      <c r="BO2446" s="2">
        <v>18.1084003064828</v>
      </c>
      <c r="BP2446" s="2">
        <v>18.695865631506202</v>
      </c>
      <c r="BQ2446" s="2">
        <v>18.744283184738499</v>
      </c>
      <c r="BR2446" s="2">
        <v>19.343786691499702</v>
      </c>
      <c r="BS2446" s="2">
        <v>19.6785470493218</v>
      </c>
      <c r="BT2446" s="2">
        <v>19.231740474708999</v>
      </c>
      <c r="BU2446" s="2">
        <v>18.3679750809114</v>
      </c>
      <c r="BV2446" s="2">
        <v>18.937834675824799</v>
      </c>
      <c r="BW2446" s="2">
        <v>18.6292906928633</v>
      </c>
      <c r="BX2446" s="2">
        <v>19.225183331561801</v>
      </c>
      <c r="BY2446" s="2">
        <v>19.467717778680701</v>
      </c>
      <c r="BZ2446" s="2">
        <v>19.157148419872101</v>
      </c>
      <c r="CA2446" s="2">
        <v>19.60148421477</v>
      </c>
      <c r="CB2446" s="2">
        <v>18.2544326119218</v>
      </c>
      <c r="CC2446" s="2">
        <v>18.2907533940527</v>
      </c>
      <c r="CD2446" s="2">
        <v>18.853341540475501</v>
      </c>
      <c r="CE2446" s="2">
        <v>18.090753848252099</v>
      </c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</row>
    <row r="2447" spans="1:97">
      <c r="A2447" s="2" t="s">
        <v>21021</v>
      </c>
      <c r="B2447" s="2">
        <v>386.37765000000002</v>
      </c>
      <c r="C2447" s="2">
        <v>10.599</v>
      </c>
      <c r="D2447" s="2" t="s">
        <v>84</v>
      </c>
      <c r="E2447" s="2" t="s">
        <v>21022</v>
      </c>
      <c r="F2447" s="2" t="s">
        <v>21023</v>
      </c>
      <c r="G2447" s="2">
        <v>45779</v>
      </c>
      <c r="H2447" s="3" t="str">
        <f>HYPERLINK("https://cloud.oebiotech.com/#/lm/network/45779", "https://cloud.oebiotech.com/#/lm/network/45779")</f>
        <v>https://cloud.oebiotech.com/#/lm/network/45779</v>
      </c>
      <c r="I2447" s="2"/>
      <c r="J2447" s="2">
        <v>42544</v>
      </c>
      <c r="K2447" s="2" t="s">
        <v>21024</v>
      </c>
      <c r="L2447" s="2">
        <v>24779628</v>
      </c>
      <c r="M2447" s="2"/>
      <c r="N2447" s="2"/>
      <c r="O2447" s="2"/>
      <c r="P2447" s="2">
        <v>137139</v>
      </c>
      <c r="Q2447" s="2"/>
      <c r="R2447" s="2"/>
      <c r="S2447" s="2"/>
      <c r="T2447" s="2" t="s">
        <v>21025</v>
      </c>
      <c r="U2447" s="2" t="s">
        <v>21026</v>
      </c>
      <c r="V2447" s="2" t="s">
        <v>95</v>
      </c>
      <c r="W2447" s="2" t="s">
        <v>152</v>
      </c>
      <c r="X2447" s="2" t="s">
        <v>1484</v>
      </c>
      <c r="Y2447" s="2" t="s">
        <v>98</v>
      </c>
      <c r="Z2447" s="2" t="s">
        <v>154</v>
      </c>
      <c r="AA2447" s="2" t="s">
        <v>1485</v>
      </c>
      <c r="AB2447" s="2" t="s">
        <v>8443</v>
      </c>
      <c r="AC2447" s="2">
        <v>36.49</v>
      </c>
      <c r="AD2447" s="2">
        <v>82.65</v>
      </c>
      <c r="AE2447" s="2">
        <v>0</v>
      </c>
      <c r="AF2447" s="2" t="s">
        <v>5614</v>
      </c>
      <c r="AG2447" s="2" t="s">
        <v>132</v>
      </c>
      <c r="AH2447" s="2" t="s">
        <v>21027</v>
      </c>
      <c r="AI2447" s="2">
        <v>1.04</v>
      </c>
      <c r="AJ2447" s="2">
        <v>18.446374857066999</v>
      </c>
      <c r="AK2447" s="2">
        <v>18.000475639356001</v>
      </c>
      <c r="AL2447" s="2">
        <v>18.369561053536199</v>
      </c>
      <c r="AM2447" s="2">
        <v>18.625333318258399</v>
      </c>
      <c r="AN2447" s="2">
        <v>17.622670164613201</v>
      </c>
      <c r="AO2447" s="2">
        <v>18.232038382014899</v>
      </c>
      <c r="AP2447" s="2">
        <v>18.5117844594076</v>
      </c>
      <c r="AQ2447" s="2">
        <v>18.678315240041201</v>
      </c>
      <c r="AR2447" s="2">
        <v>16.9850917833495</v>
      </c>
      <c r="AS2447" s="2">
        <v>17.645216528123701</v>
      </c>
      <c r="AT2447" s="2">
        <v>17.267709886155899</v>
      </c>
      <c r="AU2447" s="2">
        <v>18.148229143924599</v>
      </c>
      <c r="AV2447" s="2">
        <v>18.328862079558199</v>
      </c>
      <c r="AW2447" s="2">
        <v>18.7340134447923</v>
      </c>
      <c r="AX2447" s="2">
        <v>18.519282069443999</v>
      </c>
      <c r="AY2447" s="2">
        <v>17.9118622992345</v>
      </c>
      <c r="AZ2447" s="2">
        <v>17.7322900702022</v>
      </c>
      <c r="BA2447" s="2">
        <v>18.861053486324298</v>
      </c>
      <c r="BB2447" s="2">
        <v>17.8733964080077</v>
      </c>
      <c r="BC2447" s="2">
        <v>18.146181519985198</v>
      </c>
      <c r="BD2447" s="2">
        <v>18.590932741894498</v>
      </c>
      <c r="BE2447" s="2">
        <v>18.226078397351699</v>
      </c>
      <c r="BF2447" s="2">
        <v>18.408289681936299</v>
      </c>
      <c r="BG2447" s="2">
        <v>17.610020286041099</v>
      </c>
      <c r="BH2447" s="2">
        <v>18.577590655966301</v>
      </c>
      <c r="BI2447" s="2">
        <v>17.950101053377999</v>
      </c>
      <c r="BJ2447" s="2">
        <v>16.859519620728399</v>
      </c>
      <c r="BK2447" s="2">
        <v>17.758024070334301</v>
      </c>
      <c r="BL2447" s="2">
        <v>18.041015841623199</v>
      </c>
      <c r="BM2447" s="2">
        <v>18.4187377790361</v>
      </c>
      <c r="BN2447" s="2">
        <v>18.4508392801194</v>
      </c>
      <c r="BO2447" s="2">
        <v>17.577212906263298</v>
      </c>
      <c r="BP2447" s="2">
        <v>18.5168279269053</v>
      </c>
      <c r="BQ2447" s="2">
        <v>18.2590245779387</v>
      </c>
      <c r="BR2447" s="2">
        <v>17.935112838000599</v>
      </c>
      <c r="BS2447" s="2">
        <v>17.392807932179899</v>
      </c>
      <c r="BT2447" s="2">
        <v>18.093813363984999</v>
      </c>
      <c r="BU2447" s="2">
        <v>17.7639428549009</v>
      </c>
      <c r="BV2447" s="2">
        <v>17.943538959907301</v>
      </c>
      <c r="BW2447" s="2">
        <v>18.8270261246827</v>
      </c>
      <c r="BX2447" s="2">
        <v>18.663606745434901</v>
      </c>
      <c r="BY2447" s="2">
        <v>18.493996017929401</v>
      </c>
      <c r="BZ2447" s="2">
        <v>18.423570456906202</v>
      </c>
      <c r="CA2447" s="2">
        <v>17.848604420084499</v>
      </c>
      <c r="CB2447" s="2">
        <v>18.352003929132401</v>
      </c>
      <c r="CC2447" s="2">
        <v>18.430508374977499</v>
      </c>
      <c r="CD2447" s="2">
        <v>18.3381415921565</v>
      </c>
      <c r="CE2447" s="2">
        <v>18.5113302361653</v>
      </c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</row>
    <row r="2448" spans="1:97">
      <c r="A2448" s="2" t="s">
        <v>21028</v>
      </c>
      <c r="B2448" s="2">
        <v>276.19882000000001</v>
      </c>
      <c r="C2448" s="2">
        <v>7.4619999999999997</v>
      </c>
      <c r="D2448" s="2" t="s">
        <v>84</v>
      </c>
      <c r="E2448" s="2" t="s">
        <v>21029</v>
      </c>
      <c r="F2448" s="2" t="s">
        <v>21030</v>
      </c>
      <c r="G2448" s="2">
        <v>206357</v>
      </c>
      <c r="H2448" s="3" t="str">
        <f>HYPERLINK("https://cloud.oebiotech.com/#/lm/network/206357", "https://cloud.oebiotech.com/#/lm/network/206357")</f>
        <v>https://cloud.oebiotech.com/#/lm/network/206357</v>
      </c>
      <c r="I2448" s="2" t="s">
        <v>21031</v>
      </c>
      <c r="J2448" s="2">
        <v>329521</v>
      </c>
      <c r="K2448" s="2"/>
      <c r="L2448" s="2">
        <v>27453</v>
      </c>
      <c r="M2448" s="2"/>
      <c r="N2448" s="2"/>
      <c r="O2448" s="2"/>
      <c r="P2448" s="2"/>
      <c r="Q2448" s="2"/>
      <c r="R2448" s="2"/>
      <c r="S2448" s="2"/>
      <c r="T2448" s="2" t="s">
        <v>21032</v>
      </c>
      <c r="U2448" s="2" t="s">
        <v>21033</v>
      </c>
      <c r="V2448" s="2" t="s">
        <v>385</v>
      </c>
      <c r="W2448" s="2" t="s">
        <v>386</v>
      </c>
      <c r="X2448" s="2" t="s">
        <v>387</v>
      </c>
      <c r="Y2448" s="2" t="s">
        <v>388</v>
      </c>
      <c r="Z2448" s="2" t="s">
        <v>389</v>
      </c>
      <c r="AA2448" s="2" t="s">
        <v>390</v>
      </c>
      <c r="AB2448" s="2" t="s">
        <v>8443</v>
      </c>
      <c r="AC2448" s="2">
        <v>36.49</v>
      </c>
      <c r="AD2448" s="2">
        <v>89.41</v>
      </c>
      <c r="AE2448" s="2">
        <v>0</v>
      </c>
      <c r="AF2448" s="2" t="s">
        <v>21034</v>
      </c>
      <c r="AG2448" s="2" t="s">
        <v>1088</v>
      </c>
      <c r="AH2448" s="2" t="s">
        <v>21035</v>
      </c>
      <c r="AI2448" s="2">
        <v>-8.69</v>
      </c>
      <c r="AJ2448" s="2">
        <v>19.455481908044099</v>
      </c>
      <c r="AK2448" s="2">
        <v>19.634280149607701</v>
      </c>
      <c r="AL2448" s="2">
        <v>19.421221141513499</v>
      </c>
      <c r="AM2448" s="2">
        <v>19.4377942670585</v>
      </c>
      <c r="AN2448" s="2">
        <v>19.242686721003899</v>
      </c>
      <c r="AO2448" s="2">
        <v>19.624172665262002</v>
      </c>
      <c r="AP2448" s="2">
        <v>19.421176445333099</v>
      </c>
      <c r="AQ2448" s="2">
        <v>19.562460244023601</v>
      </c>
      <c r="AR2448" s="2">
        <v>17.483507285732699</v>
      </c>
      <c r="AS2448" s="2">
        <v>19.2877674263319</v>
      </c>
      <c r="AT2448" s="2">
        <v>19.6762792657644</v>
      </c>
      <c r="AU2448" s="2">
        <v>16.534717792174899</v>
      </c>
      <c r="AV2448" s="2">
        <v>18.503771089421299</v>
      </c>
      <c r="AW2448" s="2">
        <v>18.891877131306899</v>
      </c>
      <c r="AX2448" s="2">
        <v>18.803292098616399</v>
      </c>
      <c r="AY2448" s="2">
        <v>19.260799423492699</v>
      </c>
      <c r="AZ2448" s="2">
        <v>16.381485834362898</v>
      </c>
      <c r="BA2448" s="2">
        <v>19.8312687967437</v>
      </c>
      <c r="BB2448" s="2">
        <v>19.701487109075</v>
      </c>
      <c r="BC2448" s="2">
        <v>20.764490769909301</v>
      </c>
      <c r="BD2448" s="2">
        <v>18.171681902734701</v>
      </c>
      <c r="BE2448" s="2">
        <v>19.3943000673999</v>
      </c>
      <c r="BF2448" s="2">
        <v>19.143581515121699</v>
      </c>
      <c r="BG2448" s="2">
        <v>19.745975630788799</v>
      </c>
      <c r="BH2448" s="2">
        <v>19.701416037498699</v>
      </c>
      <c r="BI2448" s="2">
        <v>19.8289453802604</v>
      </c>
      <c r="BJ2448" s="2">
        <v>20.1185011355002</v>
      </c>
      <c r="BK2448" s="2">
        <v>17.8773970194183</v>
      </c>
      <c r="BL2448" s="2">
        <v>19.4507871572435</v>
      </c>
      <c r="BM2448" s="2">
        <v>18.981429285705701</v>
      </c>
      <c r="BN2448" s="2">
        <v>18.706624405246099</v>
      </c>
      <c r="BO2448" s="2">
        <v>18.968647754885399</v>
      </c>
      <c r="BP2448" s="2">
        <v>18.659996205901798</v>
      </c>
      <c r="BQ2448" s="2">
        <v>19.324937649409001</v>
      </c>
      <c r="BR2448" s="2">
        <v>19.732089781841498</v>
      </c>
      <c r="BS2448" s="2">
        <v>18.0497093026692</v>
      </c>
      <c r="BT2448" s="2">
        <v>18.6152893101026</v>
      </c>
      <c r="BU2448" s="2">
        <v>19.6907395758492</v>
      </c>
      <c r="BV2448" s="2">
        <v>19.339488757744501</v>
      </c>
      <c r="BW2448" s="2">
        <v>19.625461340141801</v>
      </c>
      <c r="BX2448" s="2">
        <v>18.660317339427699</v>
      </c>
      <c r="BY2448" s="2">
        <v>19.477654009370099</v>
      </c>
      <c r="BZ2448" s="2">
        <v>19.273113575617899</v>
      </c>
      <c r="CA2448" s="2">
        <v>19.422718433729599</v>
      </c>
      <c r="CB2448" s="2">
        <v>19.314547642877901</v>
      </c>
      <c r="CC2448" s="2">
        <v>19.862766496761999</v>
      </c>
      <c r="CD2448" s="2">
        <v>18.718161117476999</v>
      </c>
      <c r="CE2448" s="2">
        <v>19.600251569518999</v>
      </c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</row>
    <row r="2449" spans="1:97">
      <c r="A2449" s="2" t="s">
        <v>21036</v>
      </c>
      <c r="B2449" s="2">
        <v>316.22431999999998</v>
      </c>
      <c r="C2449" s="2">
        <v>10.265000000000001</v>
      </c>
      <c r="D2449" s="2" t="s">
        <v>84</v>
      </c>
      <c r="E2449" s="2" t="s">
        <v>21037</v>
      </c>
      <c r="F2449" s="2" t="s">
        <v>21038</v>
      </c>
      <c r="G2449" s="2">
        <v>8944</v>
      </c>
      <c r="H2449" s="3" t="str">
        <f>HYPERLINK("https://cloud.oebiotech.com/#/lm/network/8944", "https://cloud.oebiotech.com/#/lm/network/8944")</f>
        <v>https://cloud.oebiotech.com/#/lm/network/8944</v>
      </c>
      <c r="I2449" s="2"/>
      <c r="J2449" s="2"/>
      <c r="K2449" s="2" t="s">
        <v>21039</v>
      </c>
      <c r="L2449" s="2">
        <v>45359729</v>
      </c>
      <c r="M2449" s="2"/>
      <c r="N2449" s="2"/>
      <c r="O2449" s="2"/>
      <c r="P2449" s="2"/>
      <c r="Q2449" s="2"/>
      <c r="R2449" s="2"/>
      <c r="S2449" s="2"/>
      <c r="T2449" s="2" t="s">
        <v>21040</v>
      </c>
      <c r="U2449" s="2" t="s">
        <v>21041</v>
      </c>
      <c r="V2449" s="2" t="s">
        <v>385</v>
      </c>
      <c r="W2449" s="2" t="s">
        <v>3319</v>
      </c>
      <c r="X2449" s="2" t="s">
        <v>5252</v>
      </c>
      <c r="Y2449" s="2" t="s">
        <v>388</v>
      </c>
      <c r="Z2449" s="2" t="s">
        <v>3321</v>
      </c>
      <c r="AA2449" s="2" t="s">
        <v>5253</v>
      </c>
      <c r="AB2449" s="2" t="s">
        <v>8443</v>
      </c>
      <c r="AC2449" s="2">
        <v>36.49</v>
      </c>
      <c r="AD2449" s="2">
        <v>87.22</v>
      </c>
      <c r="AE2449" s="2">
        <v>0</v>
      </c>
      <c r="AF2449" s="2" t="s">
        <v>5614</v>
      </c>
      <c r="AG2449" s="2" t="s">
        <v>103</v>
      </c>
      <c r="AH2449" s="2" t="s">
        <v>21042</v>
      </c>
      <c r="AI2449" s="2">
        <v>8.85</v>
      </c>
      <c r="AJ2449" s="2">
        <v>19.959833874923799</v>
      </c>
      <c r="AK2449" s="2">
        <v>19.5356203974954</v>
      </c>
      <c r="AL2449" s="2">
        <v>19.602243765170201</v>
      </c>
      <c r="AM2449" s="2">
        <v>19.601534178392001</v>
      </c>
      <c r="AN2449" s="2">
        <v>19.312603898799001</v>
      </c>
      <c r="AO2449" s="2">
        <v>19.494873315009301</v>
      </c>
      <c r="AP2449" s="2">
        <v>19.230039040803401</v>
      </c>
      <c r="AQ2449" s="2">
        <v>19.409096387602801</v>
      </c>
      <c r="AR2449" s="2">
        <v>19.424610643656699</v>
      </c>
      <c r="AS2449" s="2">
        <v>20.352958456034699</v>
      </c>
      <c r="AT2449" s="2">
        <v>18.1903499471928</v>
      </c>
      <c r="AU2449" s="2">
        <v>19.351668056009</v>
      </c>
      <c r="AV2449" s="2">
        <v>18.5104146378977</v>
      </c>
      <c r="AW2449" s="2">
        <v>19.656633614091099</v>
      </c>
      <c r="AX2449" s="2">
        <v>18.808223732959</v>
      </c>
      <c r="AY2449" s="2">
        <v>18.7648320119483</v>
      </c>
      <c r="AZ2449" s="2">
        <v>19.595414225841701</v>
      </c>
      <c r="BA2449" s="2">
        <v>19.2804650194273</v>
      </c>
      <c r="BB2449" s="2">
        <v>19.350640243234199</v>
      </c>
      <c r="BC2449" s="2">
        <v>18.831701553115401</v>
      </c>
      <c r="BD2449" s="2">
        <v>19.493744688505501</v>
      </c>
      <c r="BE2449" s="2">
        <v>18.1094765671019</v>
      </c>
      <c r="BF2449" s="2">
        <v>19.406158388014099</v>
      </c>
      <c r="BG2449" s="2">
        <v>18.926246994398401</v>
      </c>
      <c r="BH2449" s="2">
        <v>18.256763748011899</v>
      </c>
      <c r="BI2449" s="2">
        <v>20.351134405275801</v>
      </c>
      <c r="BJ2449" s="2">
        <v>18.776614456748401</v>
      </c>
      <c r="BK2449" s="2">
        <v>19.3081729325162</v>
      </c>
      <c r="BL2449" s="2">
        <v>19.019718146459802</v>
      </c>
      <c r="BM2449" s="2">
        <v>18.6155006857385</v>
      </c>
      <c r="BN2449" s="2">
        <v>18.974725042594802</v>
      </c>
      <c r="BO2449" s="2">
        <v>19.470265683863001</v>
      </c>
      <c r="BP2449" s="2">
        <v>18.533063712404399</v>
      </c>
      <c r="BQ2449" s="2">
        <v>18.736219244095</v>
      </c>
      <c r="BR2449" s="2">
        <v>19.0967270945522</v>
      </c>
      <c r="BS2449" s="2">
        <v>18.2863666192866</v>
      </c>
      <c r="BT2449" s="2">
        <v>18.5392698509654</v>
      </c>
      <c r="BU2449" s="2">
        <v>19.497665318553899</v>
      </c>
      <c r="BV2449" s="2">
        <v>18.8955598400652</v>
      </c>
      <c r="BW2449" s="2">
        <v>19.0478904970348</v>
      </c>
      <c r="BX2449" s="2">
        <v>18.749505428511799</v>
      </c>
      <c r="BY2449" s="2">
        <v>18.248263659448401</v>
      </c>
      <c r="BZ2449" s="2">
        <v>19.0088286343492</v>
      </c>
      <c r="CA2449" s="2">
        <v>18.295451839507699</v>
      </c>
      <c r="CB2449" s="2">
        <v>18.6102204655134</v>
      </c>
      <c r="CC2449" s="2">
        <v>18.75663163466</v>
      </c>
      <c r="CD2449" s="2">
        <v>18.656689261909602</v>
      </c>
      <c r="CE2449" s="2">
        <v>19.018259087078398</v>
      </c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</row>
    <row r="2450" spans="1:97">
      <c r="A2450" s="2" t="s">
        <v>21043</v>
      </c>
      <c r="B2450" s="2">
        <v>549.27896999999996</v>
      </c>
      <c r="C2450" s="2">
        <v>7.4960000000000004</v>
      </c>
      <c r="D2450" s="2" t="s">
        <v>146</v>
      </c>
      <c r="E2450" s="2" t="s">
        <v>21044</v>
      </c>
      <c r="F2450" s="2" t="s">
        <v>21045</v>
      </c>
      <c r="G2450" s="2">
        <v>205028</v>
      </c>
      <c r="H2450" s="3" t="str">
        <f>HYPERLINK("https://cloud.oebiotech.com/#/lm/network/205028", "https://cloud.oebiotech.com/#/lm/network/205028")</f>
        <v>https://cloud.oebiotech.com/#/lm/network/205028</v>
      </c>
      <c r="I2450" s="2" t="s">
        <v>21046</v>
      </c>
      <c r="J2450" s="2"/>
      <c r="K2450" s="2"/>
      <c r="L2450" s="2">
        <v>13629222</v>
      </c>
      <c r="M2450" s="2"/>
      <c r="N2450" s="2"/>
      <c r="O2450" s="2"/>
      <c r="P2450" s="2"/>
      <c r="Q2450" s="2"/>
      <c r="R2450" s="2"/>
      <c r="S2450" s="2"/>
      <c r="T2450" s="2" t="s">
        <v>21047</v>
      </c>
      <c r="U2450" s="2" t="s">
        <v>21048</v>
      </c>
      <c r="V2450" s="2" t="s">
        <v>115</v>
      </c>
      <c r="W2450" s="2" t="s">
        <v>116</v>
      </c>
      <c r="X2450" s="2" t="s">
        <v>117</v>
      </c>
      <c r="Y2450" s="2" t="s">
        <v>118</v>
      </c>
      <c r="Z2450" s="2" t="s">
        <v>119</v>
      </c>
      <c r="AA2450" s="2" t="s">
        <v>120</v>
      </c>
      <c r="AB2450" s="2" t="s">
        <v>8443</v>
      </c>
      <c r="AC2450" s="2">
        <v>36.49</v>
      </c>
      <c r="AD2450" s="2">
        <v>82.46</v>
      </c>
      <c r="AE2450" s="2">
        <v>0</v>
      </c>
      <c r="AF2450" s="2" t="s">
        <v>21049</v>
      </c>
      <c r="AG2450" s="2" t="s">
        <v>157</v>
      </c>
      <c r="AH2450" s="2" t="s">
        <v>21050</v>
      </c>
      <c r="AI2450" s="2">
        <v>0.18</v>
      </c>
      <c r="AJ2450" s="2">
        <v>17.825618201250801</v>
      </c>
      <c r="AK2450" s="2">
        <v>17.678080435426899</v>
      </c>
      <c r="AL2450" s="2">
        <v>17.798964453833602</v>
      </c>
      <c r="AM2450" s="2">
        <v>17.739954015408401</v>
      </c>
      <c r="AN2450" s="2">
        <v>17.644575455977101</v>
      </c>
      <c r="AO2450" s="2">
        <v>17.939655423916101</v>
      </c>
      <c r="AP2450" s="2">
        <v>17.311636132165201</v>
      </c>
      <c r="AQ2450" s="2">
        <v>17.696560013256999</v>
      </c>
      <c r="AR2450" s="2">
        <v>16.475434527085099</v>
      </c>
      <c r="AS2450" s="2">
        <v>9.6233145402724691</v>
      </c>
      <c r="AT2450" s="2">
        <v>14.092874388156201</v>
      </c>
      <c r="AU2450" s="2">
        <v>16.107190915879301</v>
      </c>
      <c r="AV2450" s="2">
        <v>12.958703139358001</v>
      </c>
      <c r="AW2450" s="2">
        <v>18.868873424308202</v>
      </c>
      <c r="AX2450" s="2">
        <v>9.6233145402724691</v>
      </c>
      <c r="AY2450" s="2">
        <v>16.7653026765663</v>
      </c>
      <c r="AZ2450" s="2">
        <v>11.813360343786901</v>
      </c>
      <c r="BA2450" s="2">
        <v>9.6233145402724691</v>
      </c>
      <c r="BB2450" s="2">
        <v>19.395872373891301</v>
      </c>
      <c r="BC2450" s="2">
        <v>14.888368449528</v>
      </c>
      <c r="BD2450" s="2">
        <v>9.6233145402724691</v>
      </c>
      <c r="BE2450" s="2">
        <v>14.8803971204105</v>
      </c>
      <c r="BF2450" s="2">
        <v>9.6233145402724691</v>
      </c>
      <c r="BG2450" s="2">
        <v>9.6233145402724691</v>
      </c>
      <c r="BH2450" s="2">
        <v>14.403702439382499</v>
      </c>
      <c r="BI2450" s="2">
        <v>9.6233145402724691</v>
      </c>
      <c r="BJ2450" s="2">
        <v>9.6233145402724691</v>
      </c>
      <c r="BK2450" s="2">
        <v>16.803202940922301</v>
      </c>
      <c r="BL2450" s="2">
        <v>9.6233145402724691</v>
      </c>
      <c r="BM2450" s="2">
        <v>17.467837081637601</v>
      </c>
      <c r="BN2450" s="2">
        <v>15.9971684524659</v>
      </c>
      <c r="BO2450" s="2">
        <v>9.6233145402724691</v>
      </c>
      <c r="BP2450" s="2">
        <v>9.6233145402724691</v>
      </c>
      <c r="BQ2450" s="2">
        <v>15.602580858407</v>
      </c>
      <c r="BR2450" s="2">
        <v>15.417436546403099</v>
      </c>
      <c r="BS2450" s="2">
        <v>14.3545200685203</v>
      </c>
      <c r="BT2450" s="2">
        <v>9.6233145402724691</v>
      </c>
      <c r="BU2450" s="2">
        <v>9.6233145402724691</v>
      </c>
      <c r="BV2450" s="2">
        <v>18.637963711035901</v>
      </c>
      <c r="BW2450" s="2">
        <v>9.6233145402724691</v>
      </c>
      <c r="BX2450" s="2">
        <v>9.6233145402724691</v>
      </c>
      <c r="BY2450" s="2">
        <v>9.6233145402724691</v>
      </c>
      <c r="BZ2450" s="2">
        <v>16.0043087005063</v>
      </c>
      <c r="CA2450" s="2">
        <v>13.614779998976299</v>
      </c>
      <c r="CB2450" s="2">
        <v>13.7966956911308</v>
      </c>
      <c r="CC2450" s="2">
        <v>12.1714238990134</v>
      </c>
      <c r="CD2450" s="2">
        <v>13.972344429709601</v>
      </c>
      <c r="CE2450" s="2">
        <v>9.6233145402724691</v>
      </c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</row>
    <row r="2451" spans="1:97">
      <c r="A2451" s="2" t="s">
        <v>21051</v>
      </c>
      <c r="B2451" s="2">
        <v>366.10834</v>
      </c>
      <c r="C2451" s="2">
        <v>0.73499999999999999</v>
      </c>
      <c r="D2451" s="2" t="s">
        <v>146</v>
      </c>
      <c r="E2451" s="2" t="s">
        <v>21052</v>
      </c>
      <c r="F2451" s="2" t="s">
        <v>21053</v>
      </c>
      <c r="G2451" s="2">
        <v>53683</v>
      </c>
      <c r="H2451" s="3" t="str">
        <f>HYPERLINK("https://cloud.oebiotech.com/#/lm/network/53683", "https://cloud.oebiotech.com/#/lm/network/53683")</f>
        <v>https://cloud.oebiotech.com/#/lm/network/53683</v>
      </c>
      <c r="I2451" s="2" t="s">
        <v>21054</v>
      </c>
      <c r="J2451" s="2">
        <v>85574</v>
      </c>
      <c r="K2451" s="2"/>
      <c r="L2451" s="2">
        <v>4494</v>
      </c>
      <c r="M2451" s="2"/>
      <c r="N2451" s="2"/>
      <c r="O2451" s="2"/>
      <c r="P2451" s="2">
        <v>618263</v>
      </c>
      <c r="Q2451" s="2"/>
      <c r="R2451" s="2"/>
      <c r="S2451" s="2" t="s">
        <v>21055</v>
      </c>
      <c r="T2451" s="2" t="s">
        <v>21056</v>
      </c>
      <c r="U2451" s="2" t="s">
        <v>21057</v>
      </c>
      <c r="V2451" s="2" t="s">
        <v>553</v>
      </c>
      <c r="W2451" s="2" t="s">
        <v>2447</v>
      </c>
      <c r="X2451" s="2" t="s">
        <v>6211</v>
      </c>
      <c r="Y2451" s="2" t="s">
        <v>556</v>
      </c>
      <c r="Z2451" s="2" t="s">
        <v>2449</v>
      </c>
      <c r="AA2451" s="2" t="s">
        <v>6212</v>
      </c>
      <c r="AB2451" s="2" t="s">
        <v>8443</v>
      </c>
      <c r="AC2451" s="2">
        <v>36.49</v>
      </c>
      <c r="AD2451" s="2">
        <v>87.02</v>
      </c>
      <c r="AE2451" s="2">
        <v>0</v>
      </c>
      <c r="AF2451" s="2" t="s">
        <v>5614</v>
      </c>
      <c r="AG2451" s="2" t="s">
        <v>993</v>
      </c>
      <c r="AH2451" s="2" t="s">
        <v>21058</v>
      </c>
      <c r="AI2451" s="2">
        <v>1.91</v>
      </c>
      <c r="AJ2451" s="2">
        <v>20.6204661618827</v>
      </c>
      <c r="AK2451" s="2">
        <v>20.572639152061601</v>
      </c>
      <c r="AL2451" s="2">
        <v>20.562453983258099</v>
      </c>
      <c r="AM2451" s="2">
        <v>20.596006781025199</v>
      </c>
      <c r="AN2451" s="2">
        <v>20.274646572315799</v>
      </c>
      <c r="AO2451" s="2">
        <v>20.892551739786501</v>
      </c>
      <c r="AP2451" s="2">
        <v>20.673297126330301</v>
      </c>
      <c r="AQ2451" s="2">
        <v>20.440897527414801</v>
      </c>
      <c r="AR2451" s="2">
        <v>20.779566990708101</v>
      </c>
      <c r="AS2451" s="2">
        <v>21.748759219497799</v>
      </c>
      <c r="AT2451" s="2">
        <v>21.483700223661899</v>
      </c>
      <c r="AU2451" s="2">
        <v>21.276732181359399</v>
      </c>
      <c r="AV2451" s="2">
        <v>21.018691648136102</v>
      </c>
      <c r="AW2451" s="2">
        <v>21.0477754593912</v>
      </c>
      <c r="AX2451" s="2">
        <v>20.966187584123102</v>
      </c>
      <c r="AY2451" s="2">
        <v>21.408328113139898</v>
      </c>
      <c r="AZ2451" s="2">
        <v>21.220737624591401</v>
      </c>
      <c r="BA2451" s="2">
        <v>21.7110983058359</v>
      </c>
      <c r="BB2451" s="2">
        <v>20.757186858877802</v>
      </c>
      <c r="BC2451" s="2">
        <v>21.373666720631</v>
      </c>
      <c r="BD2451" s="2">
        <v>21.613407712175</v>
      </c>
      <c r="BE2451" s="2">
        <v>20.789999631014702</v>
      </c>
      <c r="BF2451" s="2">
        <v>21.4555994379635</v>
      </c>
      <c r="BG2451" s="2">
        <v>20.967590467234999</v>
      </c>
      <c r="BH2451" s="2">
        <v>20.905585505609299</v>
      </c>
      <c r="BI2451" s="2">
        <v>20.758212883973901</v>
      </c>
      <c r="BJ2451" s="2">
        <v>21.219911880511599</v>
      </c>
      <c r="BK2451" s="2">
        <v>21.253341912442</v>
      </c>
      <c r="BL2451" s="2">
        <v>21.596853952920799</v>
      </c>
      <c r="BM2451" s="2">
        <v>20.946286304612102</v>
      </c>
      <c r="BN2451" s="2">
        <v>21.399985446805101</v>
      </c>
      <c r="BO2451" s="2">
        <v>21.253081743165399</v>
      </c>
      <c r="BP2451" s="2">
        <v>20.970356152626099</v>
      </c>
      <c r="BQ2451" s="2">
        <v>21.041607487254399</v>
      </c>
      <c r="BR2451" s="2">
        <v>21.031167498856899</v>
      </c>
      <c r="BS2451" s="2">
        <v>21.629373030258101</v>
      </c>
      <c r="BT2451" s="2">
        <v>20.639436288625699</v>
      </c>
      <c r="BU2451" s="2">
        <v>21.318463735833301</v>
      </c>
      <c r="BV2451" s="2">
        <v>21.626136308502002</v>
      </c>
      <c r="BW2451" s="2">
        <v>21.854829003257201</v>
      </c>
      <c r="BX2451" s="2">
        <v>21.4615727901848</v>
      </c>
      <c r="BY2451" s="2">
        <v>21.432708484425799</v>
      </c>
      <c r="BZ2451" s="2">
        <v>20.9711831354734</v>
      </c>
      <c r="CA2451" s="2">
        <v>21.610906438267399</v>
      </c>
      <c r="CB2451" s="2">
        <v>21.459305314053001</v>
      </c>
      <c r="CC2451" s="2">
        <v>21.257064218229999</v>
      </c>
      <c r="CD2451" s="2">
        <v>20.473781432927101</v>
      </c>
      <c r="CE2451" s="2">
        <v>21.358768864020298</v>
      </c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</row>
    <row r="2452" spans="1:97">
      <c r="A2452" s="2" t="s">
        <v>21059</v>
      </c>
      <c r="B2452" s="2">
        <v>334.30986000000001</v>
      </c>
      <c r="C2452" s="2">
        <v>13.467000000000001</v>
      </c>
      <c r="D2452" s="2" t="s">
        <v>84</v>
      </c>
      <c r="E2452" s="2" t="s">
        <v>21060</v>
      </c>
      <c r="F2452" s="2" t="s">
        <v>21061</v>
      </c>
      <c r="G2452" s="2">
        <v>56491</v>
      </c>
      <c r="H2452" s="3" t="str">
        <f>HYPERLINK("https://cloud.oebiotech.com/#/lm/network/56491", "https://cloud.oebiotech.com/#/lm/network/56491")</f>
        <v>https://cloud.oebiotech.com/#/lm/network/56491</v>
      </c>
      <c r="I2452" s="2" t="s">
        <v>21062</v>
      </c>
      <c r="J2452" s="2">
        <v>88135</v>
      </c>
      <c r="K2452" s="2"/>
      <c r="L2452" s="2">
        <v>25221579</v>
      </c>
      <c r="M2452" s="2"/>
      <c r="N2452" s="2"/>
      <c r="O2452" s="2"/>
      <c r="P2452" s="2"/>
      <c r="Q2452" s="2"/>
      <c r="R2452" s="2"/>
      <c r="S2452" s="2" t="s">
        <v>21063</v>
      </c>
      <c r="T2452" s="2" t="s">
        <v>21064</v>
      </c>
      <c r="U2452" s="2" t="s">
        <v>21065</v>
      </c>
      <c r="V2452" s="2" t="s">
        <v>95</v>
      </c>
      <c r="W2452" s="2" t="s">
        <v>96</v>
      </c>
      <c r="X2452" s="2" t="s">
        <v>315</v>
      </c>
      <c r="Y2452" s="2" t="s">
        <v>98</v>
      </c>
      <c r="Z2452" s="2" t="s">
        <v>99</v>
      </c>
      <c r="AA2452" s="2" t="s">
        <v>316</v>
      </c>
      <c r="AB2452" s="2" t="s">
        <v>8443</v>
      </c>
      <c r="AC2452" s="2">
        <v>36.49</v>
      </c>
      <c r="AD2452" s="2">
        <v>86.42</v>
      </c>
      <c r="AE2452" s="2">
        <v>0</v>
      </c>
      <c r="AF2452" s="2" t="s">
        <v>21066</v>
      </c>
      <c r="AG2452" s="2" t="s">
        <v>103</v>
      </c>
      <c r="AH2452" s="2" t="s">
        <v>21067</v>
      </c>
      <c r="AI2452" s="2">
        <v>1.79</v>
      </c>
      <c r="AJ2452" s="2">
        <v>20.410816403440201</v>
      </c>
      <c r="AK2452" s="2">
        <v>20.0179268135286</v>
      </c>
      <c r="AL2452" s="2">
        <v>19.1057522190528</v>
      </c>
      <c r="AM2452" s="2">
        <v>19.366343091162602</v>
      </c>
      <c r="AN2452" s="2">
        <v>19.986776831471701</v>
      </c>
      <c r="AO2452" s="2">
        <v>19.503968928401399</v>
      </c>
      <c r="AP2452" s="2">
        <v>19.611863198691701</v>
      </c>
      <c r="AQ2452" s="2">
        <v>19.861297329123701</v>
      </c>
      <c r="AR2452" s="2">
        <v>18.8385595268504</v>
      </c>
      <c r="AS2452" s="2">
        <v>18.570367905455299</v>
      </c>
      <c r="AT2452" s="2">
        <v>18.731811525207899</v>
      </c>
      <c r="AU2452" s="2">
        <v>17.3151379726634</v>
      </c>
      <c r="AV2452" s="2">
        <v>17.6902574825404</v>
      </c>
      <c r="AW2452" s="2">
        <v>18.7653824223929</v>
      </c>
      <c r="AX2452" s="2">
        <v>17.087490707836</v>
      </c>
      <c r="AY2452" s="2">
        <v>17.777452721760199</v>
      </c>
      <c r="AZ2452" s="2">
        <v>19.3727789733741</v>
      </c>
      <c r="BA2452" s="2">
        <v>9.6233145402724691</v>
      </c>
      <c r="BB2452" s="2">
        <v>19.166254135967801</v>
      </c>
      <c r="BC2452" s="2">
        <v>16.673395900794599</v>
      </c>
      <c r="BD2452" s="2">
        <v>17.872068580521901</v>
      </c>
      <c r="BE2452" s="2">
        <v>20.707926028231899</v>
      </c>
      <c r="BF2452" s="2">
        <v>15.7457722613538</v>
      </c>
      <c r="BG2452" s="2">
        <v>16.298218509869201</v>
      </c>
      <c r="BH2452" s="2">
        <v>16.401866149751001</v>
      </c>
      <c r="BI2452" s="2">
        <v>18.262509098124301</v>
      </c>
      <c r="BJ2452" s="2">
        <v>15.011060364258499</v>
      </c>
      <c r="BK2452" s="2">
        <v>16.130820897258101</v>
      </c>
      <c r="BL2452" s="2">
        <v>14.2338503217733</v>
      </c>
      <c r="BM2452" s="2">
        <v>16.1188234921785</v>
      </c>
      <c r="BN2452" s="2">
        <v>19.9940872303135</v>
      </c>
      <c r="BO2452" s="2">
        <v>18.187799897628899</v>
      </c>
      <c r="BP2452" s="2">
        <v>17.541310220068102</v>
      </c>
      <c r="BQ2452" s="2">
        <v>17.670925968600901</v>
      </c>
      <c r="BR2452" s="2">
        <v>18.255730626280801</v>
      </c>
      <c r="BS2452" s="2">
        <v>19.1912050125786</v>
      </c>
      <c r="BT2452" s="2">
        <v>17.9127961482532</v>
      </c>
      <c r="BU2452" s="2">
        <v>18.1363503915255</v>
      </c>
      <c r="BV2452" s="2">
        <v>17.153095080851401</v>
      </c>
      <c r="BW2452" s="2">
        <v>16.9334021654692</v>
      </c>
      <c r="BX2452" s="2">
        <v>17.763724791035099</v>
      </c>
      <c r="BY2452" s="2">
        <v>18.325880664950802</v>
      </c>
      <c r="BZ2452" s="2">
        <v>20.4906342705927</v>
      </c>
      <c r="CA2452" s="2">
        <v>17.8088584342239</v>
      </c>
      <c r="CB2452" s="2">
        <v>18.824257950636799</v>
      </c>
      <c r="CC2452" s="2">
        <v>15.382951229985601</v>
      </c>
      <c r="CD2452" s="2">
        <v>17.486947884786201</v>
      </c>
      <c r="CE2452" s="2">
        <v>17.726476558726301</v>
      </c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</row>
    <row r="2453" spans="1:97">
      <c r="A2453" s="2" t="s">
        <v>21068</v>
      </c>
      <c r="B2453" s="2">
        <v>471.09505000000001</v>
      </c>
      <c r="C2453" s="2">
        <v>7.54</v>
      </c>
      <c r="D2453" s="2" t="s">
        <v>84</v>
      </c>
      <c r="E2453" s="2" t="s">
        <v>21069</v>
      </c>
      <c r="F2453" s="2" t="s">
        <v>21070</v>
      </c>
      <c r="G2453" s="2">
        <v>60724</v>
      </c>
      <c r="H2453" s="3" t="str">
        <f>HYPERLINK("https://cloud.oebiotech.com/#/lm/network/60724", "https://cloud.oebiotech.com/#/lm/network/60724")</f>
        <v>https://cloud.oebiotech.com/#/lm/network/60724</v>
      </c>
      <c r="I2453" s="2" t="s">
        <v>21071</v>
      </c>
      <c r="J2453" s="2">
        <v>92052</v>
      </c>
      <c r="K2453" s="2"/>
      <c r="L2453" s="2">
        <v>131752141</v>
      </c>
      <c r="M2453" s="2"/>
      <c r="N2453" s="2"/>
      <c r="O2453" s="2"/>
      <c r="P2453" s="2"/>
      <c r="Q2453" s="2"/>
      <c r="R2453" s="2"/>
      <c r="S2453" s="2"/>
      <c r="T2453" s="2" t="s">
        <v>21072</v>
      </c>
      <c r="U2453" s="2" t="s">
        <v>21073</v>
      </c>
      <c r="V2453" s="2" t="s">
        <v>845</v>
      </c>
      <c r="W2453" s="2" t="s">
        <v>4705</v>
      </c>
      <c r="X2453" s="2" t="s">
        <v>4706</v>
      </c>
      <c r="Y2453" s="2" t="s">
        <v>847</v>
      </c>
      <c r="Z2453" s="2" t="s">
        <v>4707</v>
      </c>
      <c r="AA2453" s="2" t="s">
        <v>4708</v>
      </c>
      <c r="AB2453" s="2" t="s">
        <v>8443</v>
      </c>
      <c r="AC2453" s="2">
        <v>36.479999999999997</v>
      </c>
      <c r="AD2453" s="2">
        <v>82.69</v>
      </c>
      <c r="AE2453" s="2">
        <v>0</v>
      </c>
      <c r="AF2453" s="2" t="s">
        <v>5614</v>
      </c>
      <c r="AG2453" s="2" t="s">
        <v>103</v>
      </c>
      <c r="AH2453" s="2" t="s">
        <v>21074</v>
      </c>
      <c r="AI2453" s="2">
        <v>1.06</v>
      </c>
      <c r="AJ2453" s="2">
        <v>17.845106232721101</v>
      </c>
      <c r="AK2453" s="2">
        <v>17.989837900312899</v>
      </c>
      <c r="AL2453" s="2">
        <v>17.6349141163893</v>
      </c>
      <c r="AM2453" s="2">
        <v>17.799674536950199</v>
      </c>
      <c r="AN2453" s="2">
        <v>17.483492878927901</v>
      </c>
      <c r="AO2453" s="2">
        <v>17.8263242280021</v>
      </c>
      <c r="AP2453" s="2">
        <v>17.739574815951599</v>
      </c>
      <c r="AQ2453" s="2">
        <v>17.989006696824099</v>
      </c>
      <c r="AR2453" s="2">
        <v>16.2297674013247</v>
      </c>
      <c r="AS2453" s="2">
        <v>13.8998081666325</v>
      </c>
      <c r="AT2453" s="2">
        <v>16.283624126158099</v>
      </c>
      <c r="AU2453" s="2">
        <v>16.4932201596434</v>
      </c>
      <c r="AV2453" s="2">
        <v>18.787829531561801</v>
      </c>
      <c r="AW2453" s="2">
        <v>18.492043869803101</v>
      </c>
      <c r="AX2453" s="2">
        <v>18.226783628781899</v>
      </c>
      <c r="AY2453" s="2">
        <v>18.919387688454901</v>
      </c>
      <c r="AZ2453" s="2">
        <v>18.343183849952599</v>
      </c>
      <c r="BA2453" s="2">
        <v>17.560560924419999</v>
      </c>
      <c r="BB2453" s="2">
        <v>16.175229267038699</v>
      </c>
      <c r="BC2453" s="2">
        <v>19.255528947391699</v>
      </c>
      <c r="BD2453" s="2">
        <v>18.117713302832001</v>
      </c>
      <c r="BE2453" s="2">
        <v>18.7105914539159</v>
      </c>
      <c r="BF2453" s="2">
        <v>17.324146258290401</v>
      </c>
      <c r="BG2453" s="2">
        <v>18.429539674990298</v>
      </c>
      <c r="BH2453" s="2">
        <v>17.9880620929078</v>
      </c>
      <c r="BI2453" s="2">
        <v>13.7769634584707</v>
      </c>
      <c r="BJ2453" s="2">
        <v>17.883898318325201</v>
      </c>
      <c r="BK2453" s="2">
        <v>17.7333444095514</v>
      </c>
      <c r="BL2453" s="2">
        <v>16.4859464160266</v>
      </c>
      <c r="BM2453" s="2">
        <v>14.7765975264921</v>
      </c>
      <c r="BN2453" s="2">
        <v>13.7644984316942</v>
      </c>
      <c r="BO2453" s="2">
        <v>17.847797606937402</v>
      </c>
      <c r="BP2453" s="2">
        <v>19.0681957963359</v>
      </c>
      <c r="BQ2453" s="2">
        <v>18.142368711563101</v>
      </c>
      <c r="BR2453" s="2">
        <v>18.565902770601198</v>
      </c>
      <c r="BS2453" s="2">
        <v>18.4754365062605</v>
      </c>
      <c r="BT2453" s="2">
        <v>16.821665128117399</v>
      </c>
      <c r="BU2453" s="2">
        <v>16.465327572589</v>
      </c>
      <c r="BV2453" s="2">
        <v>14.937590373725801</v>
      </c>
      <c r="BW2453" s="2">
        <v>18.126604612678999</v>
      </c>
      <c r="BX2453" s="2">
        <v>18.1372461396993</v>
      </c>
      <c r="BY2453" s="2">
        <v>19.445567195650199</v>
      </c>
      <c r="BZ2453" s="2">
        <v>17.593234705627001</v>
      </c>
      <c r="CA2453" s="2">
        <v>16.1879315558262</v>
      </c>
      <c r="CB2453" s="2">
        <v>18.403120443054501</v>
      </c>
      <c r="CC2453" s="2">
        <v>15.287023328143301</v>
      </c>
      <c r="CD2453" s="2">
        <v>17.267915765750601</v>
      </c>
      <c r="CE2453" s="2">
        <v>18.4090844717817</v>
      </c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</row>
    <row r="2454" spans="1:97">
      <c r="A2454" s="2" t="s">
        <v>21075</v>
      </c>
      <c r="B2454" s="2">
        <v>200.08295000000001</v>
      </c>
      <c r="C2454" s="2">
        <v>0.57999999999999996</v>
      </c>
      <c r="D2454" s="2" t="s">
        <v>84</v>
      </c>
      <c r="E2454" s="2" t="s">
        <v>21076</v>
      </c>
      <c r="F2454" s="2" t="s">
        <v>21077</v>
      </c>
      <c r="G2454" s="2">
        <v>208842</v>
      </c>
      <c r="H2454" s="3" t="str">
        <f>HYPERLINK("https://cloud.oebiotech.com/#/lm/network/208842", "https://cloud.oebiotech.com/#/lm/network/208842")</f>
        <v>https://cloud.oebiotech.com/#/lm/network/208842</v>
      </c>
      <c r="I2454" s="2" t="s">
        <v>21078</v>
      </c>
      <c r="J2454" s="2">
        <v>413673</v>
      </c>
      <c r="K2454" s="2"/>
      <c r="L2454" s="2">
        <v>60784</v>
      </c>
      <c r="M2454" s="2"/>
      <c r="N2454" s="2"/>
      <c r="O2454" s="2"/>
      <c r="P2454" s="2"/>
      <c r="Q2454" s="2"/>
      <c r="R2454" s="2"/>
      <c r="S2454" s="2"/>
      <c r="T2454" s="2" t="s">
        <v>21079</v>
      </c>
      <c r="U2454" s="2" t="s">
        <v>21080</v>
      </c>
      <c r="V2454" s="2" t="s">
        <v>385</v>
      </c>
      <c r="W2454" s="2" t="s">
        <v>386</v>
      </c>
      <c r="X2454" s="2" t="s">
        <v>1059</v>
      </c>
      <c r="Y2454" s="2" t="s">
        <v>388</v>
      </c>
      <c r="Z2454" s="2" t="s">
        <v>389</v>
      </c>
      <c r="AA2454" s="2" t="s">
        <v>1060</v>
      </c>
      <c r="AB2454" s="2" t="s">
        <v>8443</v>
      </c>
      <c r="AC2454" s="2">
        <v>36.479999999999997</v>
      </c>
      <c r="AD2454" s="2">
        <v>92.4</v>
      </c>
      <c r="AE2454" s="2">
        <v>0</v>
      </c>
      <c r="AF2454" s="2" t="s">
        <v>5614</v>
      </c>
      <c r="AG2454" s="2" t="s">
        <v>1088</v>
      </c>
      <c r="AH2454" s="2" t="s">
        <v>21081</v>
      </c>
      <c r="AI2454" s="2">
        <v>-3</v>
      </c>
      <c r="AJ2454" s="2">
        <v>23.118234219263901</v>
      </c>
      <c r="AK2454" s="2">
        <v>22.867046742019099</v>
      </c>
      <c r="AL2454" s="2">
        <v>23.183685986156899</v>
      </c>
      <c r="AM2454" s="2">
        <v>22.924073932568199</v>
      </c>
      <c r="AN2454" s="2">
        <v>23.019975299812899</v>
      </c>
      <c r="AO2454" s="2">
        <v>22.739203897252899</v>
      </c>
      <c r="AP2454" s="2">
        <v>22.7705946427347</v>
      </c>
      <c r="AQ2454" s="2">
        <v>23.125846201604102</v>
      </c>
      <c r="AR2454" s="2">
        <v>22.7567337676129</v>
      </c>
      <c r="AS2454" s="2">
        <v>22.482620096040598</v>
      </c>
      <c r="AT2454" s="2">
        <v>22.857219265329299</v>
      </c>
      <c r="AU2454" s="2">
        <v>22.5545152675728</v>
      </c>
      <c r="AV2454" s="2">
        <v>22.979648901659601</v>
      </c>
      <c r="AW2454" s="2">
        <v>22.6464641634362</v>
      </c>
      <c r="AX2454" s="2">
        <v>22.893329563782</v>
      </c>
      <c r="AY2454" s="2">
        <v>22.917080721478602</v>
      </c>
      <c r="AZ2454" s="2">
        <v>22.383424286939899</v>
      </c>
      <c r="BA2454" s="2">
        <v>22.737172794991</v>
      </c>
      <c r="BB2454" s="2">
        <v>23.048015854396098</v>
      </c>
      <c r="BC2454" s="2">
        <v>22.580964613998798</v>
      </c>
      <c r="BD2454" s="2">
        <v>22.6966272878241</v>
      </c>
      <c r="BE2454" s="2">
        <v>22.799751838272801</v>
      </c>
      <c r="BF2454" s="2">
        <v>22.8623616610064</v>
      </c>
      <c r="BG2454" s="2">
        <v>22.564823281128099</v>
      </c>
      <c r="BH2454" s="2">
        <v>22.9734461259394</v>
      </c>
      <c r="BI2454" s="2">
        <v>22.466593528972901</v>
      </c>
      <c r="BJ2454" s="2">
        <v>22.5399045493307</v>
      </c>
      <c r="BK2454" s="2">
        <v>22.655741470114499</v>
      </c>
      <c r="BL2454" s="2">
        <v>22.676861077836001</v>
      </c>
      <c r="BM2454" s="2">
        <v>22.7282724659423</v>
      </c>
      <c r="BN2454" s="2">
        <v>22.884082876912</v>
      </c>
      <c r="BO2454" s="2">
        <v>22.544648835608498</v>
      </c>
      <c r="BP2454" s="2">
        <v>22.723622564157498</v>
      </c>
      <c r="BQ2454" s="2">
        <v>22.571363956822601</v>
      </c>
      <c r="BR2454" s="2">
        <v>22.6024038575767</v>
      </c>
      <c r="BS2454" s="2">
        <v>22.617705366008799</v>
      </c>
      <c r="BT2454" s="2">
        <v>22.699731926427901</v>
      </c>
      <c r="BU2454" s="2">
        <v>22.878165181474198</v>
      </c>
      <c r="BV2454" s="2">
        <v>22.965253392507901</v>
      </c>
      <c r="BW2454" s="2">
        <v>22.836322546860998</v>
      </c>
      <c r="BX2454" s="2">
        <v>22.748266488409399</v>
      </c>
      <c r="BY2454" s="2">
        <v>22.9413931745672</v>
      </c>
      <c r="BZ2454" s="2">
        <v>22.676694490111</v>
      </c>
      <c r="CA2454" s="2">
        <v>22.510166406352099</v>
      </c>
      <c r="CB2454" s="2">
        <v>22.739166787567498</v>
      </c>
      <c r="CC2454" s="2">
        <v>22.5457312350166</v>
      </c>
      <c r="CD2454" s="2">
        <v>22.8753885886936</v>
      </c>
      <c r="CE2454" s="2">
        <v>22.950603537683399</v>
      </c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</row>
    <row r="2455" spans="1:97">
      <c r="A2455" s="2" t="s">
        <v>21082</v>
      </c>
      <c r="B2455" s="2">
        <v>441.39454999999998</v>
      </c>
      <c r="C2455" s="2">
        <v>13.677</v>
      </c>
      <c r="D2455" s="2" t="s">
        <v>146</v>
      </c>
      <c r="E2455" s="2" t="s">
        <v>21083</v>
      </c>
      <c r="F2455" s="2" t="s">
        <v>21084</v>
      </c>
      <c r="G2455" s="2">
        <v>51374</v>
      </c>
      <c r="H2455" s="3" t="str">
        <f>HYPERLINK("https://cloud.oebiotech.com/#/lm/network/51374", "https://cloud.oebiotech.com/#/lm/network/51374")</f>
        <v>https://cloud.oebiotech.com/#/lm/network/51374</v>
      </c>
      <c r="I2455" s="2" t="s">
        <v>21085</v>
      </c>
      <c r="J2455" s="2">
        <v>62341</v>
      </c>
      <c r="K2455" s="2"/>
      <c r="L2455" s="2">
        <v>53480972</v>
      </c>
      <c r="M2455" s="2"/>
      <c r="N2455" s="2"/>
      <c r="O2455" s="2"/>
      <c r="P2455" s="2"/>
      <c r="Q2455" s="2"/>
      <c r="R2455" s="2"/>
      <c r="S2455" s="2"/>
      <c r="T2455" s="2" t="s">
        <v>21086</v>
      </c>
      <c r="U2455" s="2" t="s">
        <v>21087</v>
      </c>
      <c r="V2455" s="2" t="s">
        <v>95</v>
      </c>
      <c r="W2455" s="2" t="s">
        <v>7709</v>
      </c>
      <c r="X2455" s="2" t="s">
        <v>7710</v>
      </c>
      <c r="Y2455" s="2" t="s">
        <v>98</v>
      </c>
      <c r="Z2455" s="2" t="s">
        <v>7711</v>
      </c>
      <c r="AA2455" s="2" t="s">
        <v>7712</v>
      </c>
      <c r="AB2455" s="2" t="s">
        <v>8443</v>
      </c>
      <c r="AC2455" s="2">
        <v>36.46</v>
      </c>
      <c r="AD2455" s="2">
        <v>82.28</v>
      </c>
      <c r="AE2455" s="2">
        <v>0</v>
      </c>
      <c r="AF2455" s="2" t="s">
        <v>5614</v>
      </c>
      <c r="AG2455" s="2" t="s">
        <v>194</v>
      </c>
      <c r="AH2455" s="2" t="s">
        <v>21088</v>
      </c>
      <c r="AI2455" s="2">
        <v>0.91</v>
      </c>
      <c r="AJ2455" s="2">
        <v>19.148461835392201</v>
      </c>
      <c r="AK2455" s="2">
        <v>18.662320363189998</v>
      </c>
      <c r="AL2455" s="2">
        <v>18.599684316520499</v>
      </c>
      <c r="AM2455" s="2">
        <v>18.395220486565901</v>
      </c>
      <c r="AN2455" s="2">
        <v>18.822875322681401</v>
      </c>
      <c r="AO2455" s="2">
        <v>18.693108721828199</v>
      </c>
      <c r="AP2455" s="2">
        <v>18.952080215014</v>
      </c>
      <c r="AQ2455" s="2">
        <v>18.806440462943399</v>
      </c>
      <c r="AR2455" s="2">
        <v>17.877616833959099</v>
      </c>
      <c r="AS2455" s="2">
        <v>19.092169032214301</v>
      </c>
      <c r="AT2455" s="2">
        <v>18.7291561194011</v>
      </c>
      <c r="AU2455" s="2">
        <v>14.1312018450573</v>
      </c>
      <c r="AV2455" s="2">
        <v>17.597253197340098</v>
      </c>
      <c r="AW2455" s="2">
        <v>17.4676852253268</v>
      </c>
      <c r="AX2455" s="2">
        <v>17.832794911503601</v>
      </c>
      <c r="AY2455" s="2">
        <v>18.6300026754407</v>
      </c>
      <c r="AZ2455" s="2">
        <v>17.539733989868299</v>
      </c>
      <c r="BA2455" s="2">
        <v>18.633475769388401</v>
      </c>
      <c r="BB2455" s="2">
        <v>17.580734214473999</v>
      </c>
      <c r="BC2455" s="2">
        <v>19.711883624342001</v>
      </c>
      <c r="BD2455" s="2">
        <v>17.824794076800099</v>
      </c>
      <c r="BE2455" s="2">
        <v>19.4275001713129</v>
      </c>
      <c r="BF2455" s="2">
        <v>14.233699058750499</v>
      </c>
      <c r="BG2455" s="2">
        <v>17.7711369157993</v>
      </c>
      <c r="BH2455" s="2">
        <v>17.727359916396999</v>
      </c>
      <c r="BI2455" s="2">
        <v>17.447050607601501</v>
      </c>
      <c r="BJ2455" s="2">
        <v>19.297415433606201</v>
      </c>
      <c r="BK2455" s="2">
        <v>16.591538708864999</v>
      </c>
      <c r="BL2455" s="2">
        <v>18.6431459032672</v>
      </c>
      <c r="BM2455" s="2">
        <v>18.1571884706287</v>
      </c>
      <c r="BN2455" s="2">
        <v>17.4365581630626</v>
      </c>
      <c r="BO2455" s="2">
        <v>18.115320521603</v>
      </c>
      <c r="BP2455" s="2">
        <v>18.224038992593201</v>
      </c>
      <c r="BQ2455" s="2">
        <v>17.943901987483201</v>
      </c>
      <c r="BR2455" s="2">
        <v>16.155924028095502</v>
      </c>
      <c r="BS2455" s="2">
        <v>18.2101897468213</v>
      </c>
      <c r="BT2455" s="2">
        <v>16.863325684089101</v>
      </c>
      <c r="BU2455" s="2">
        <v>19.621749968909601</v>
      </c>
      <c r="BV2455" s="2">
        <v>18.204250217800201</v>
      </c>
      <c r="BW2455" s="2">
        <v>18.3504690173733</v>
      </c>
      <c r="BX2455" s="2">
        <v>18.196383796343301</v>
      </c>
      <c r="BY2455" s="2">
        <v>19.199805224071898</v>
      </c>
      <c r="BZ2455" s="2">
        <v>16.542099617440702</v>
      </c>
      <c r="CA2455" s="2">
        <v>16.4579734897811</v>
      </c>
      <c r="CB2455" s="2">
        <v>19.1193467280563</v>
      </c>
      <c r="CC2455" s="2">
        <v>17.217511897095498</v>
      </c>
      <c r="CD2455" s="2">
        <v>19.630837338375802</v>
      </c>
      <c r="CE2455" s="2">
        <v>18.1041762062776</v>
      </c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</row>
    <row r="2456" spans="1:97">
      <c r="A2456" s="2" t="s">
        <v>21089</v>
      </c>
      <c r="B2456" s="2">
        <v>412.20965999999999</v>
      </c>
      <c r="C2456" s="2">
        <v>6.4889999999999999</v>
      </c>
      <c r="D2456" s="2" t="s">
        <v>146</v>
      </c>
      <c r="E2456" s="2" t="s">
        <v>21090</v>
      </c>
      <c r="F2456" s="2" t="s">
        <v>21091</v>
      </c>
      <c r="G2456" s="2">
        <v>53535</v>
      </c>
      <c r="H2456" s="3" t="str">
        <f>HYPERLINK("https://cloud.oebiotech.com/#/lm/network/53535", "https://cloud.oebiotech.com/#/lm/network/53535")</f>
        <v>https://cloud.oebiotech.com/#/lm/network/53535</v>
      </c>
      <c r="I2456" s="2" t="s">
        <v>21092</v>
      </c>
      <c r="J2456" s="2">
        <v>85510</v>
      </c>
      <c r="K2456" s="2"/>
      <c r="L2456" s="2">
        <v>54766</v>
      </c>
      <c r="M2456" s="2"/>
      <c r="N2456" s="2"/>
      <c r="O2456" s="2"/>
      <c r="P2456" s="2">
        <v>553827</v>
      </c>
      <c r="Q2456" s="2"/>
      <c r="R2456" s="2"/>
      <c r="S2456" s="2" t="s">
        <v>21093</v>
      </c>
      <c r="T2456" s="2" t="s">
        <v>21094</v>
      </c>
      <c r="U2456" s="2" t="s">
        <v>21095</v>
      </c>
      <c r="V2456" s="2" t="s">
        <v>385</v>
      </c>
      <c r="W2456" s="2" t="s">
        <v>386</v>
      </c>
      <c r="X2456" s="2" t="s">
        <v>16604</v>
      </c>
      <c r="Y2456" s="2" t="s">
        <v>388</v>
      </c>
      <c r="Z2456" s="2" t="s">
        <v>389</v>
      </c>
      <c r="AA2456" s="2" t="s">
        <v>16605</v>
      </c>
      <c r="AB2456" s="2" t="s">
        <v>8443</v>
      </c>
      <c r="AC2456" s="2">
        <v>36.450000000000003</v>
      </c>
      <c r="AD2456" s="2">
        <v>86.97</v>
      </c>
      <c r="AE2456" s="2">
        <v>0</v>
      </c>
      <c r="AF2456" s="2" t="s">
        <v>21096</v>
      </c>
      <c r="AG2456" s="2" t="s">
        <v>157</v>
      </c>
      <c r="AH2456" s="2" t="s">
        <v>21097</v>
      </c>
      <c r="AI2456" s="2">
        <v>-1.94</v>
      </c>
      <c r="AJ2456" s="2">
        <v>17.168791776325499</v>
      </c>
      <c r="AK2456" s="2">
        <v>17.092431255025701</v>
      </c>
      <c r="AL2456" s="2">
        <v>17.541392733819201</v>
      </c>
      <c r="AM2456" s="2">
        <v>17.329088461433901</v>
      </c>
      <c r="AN2456" s="2">
        <v>17.4505619945785</v>
      </c>
      <c r="AO2456" s="2">
        <v>17.3668115682684</v>
      </c>
      <c r="AP2456" s="2">
        <v>17.339110324249301</v>
      </c>
      <c r="AQ2456" s="2">
        <v>17.3381757671443</v>
      </c>
      <c r="AR2456" s="2">
        <v>11.976539063978599</v>
      </c>
      <c r="AS2456" s="2">
        <v>16.328008852317399</v>
      </c>
      <c r="AT2456" s="2">
        <v>18.9675657298686</v>
      </c>
      <c r="AU2456" s="2">
        <v>9.6233145402724691</v>
      </c>
      <c r="AV2456" s="2">
        <v>11.936126280397801</v>
      </c>
      <c r="AW2456" s="2">
        <v>16.637713508839401</v>
      </c>
      <c r="AX2456" s="2">
        <v>9.6233145402724691</v>
      </c>
      <c r="AY2456" s="2">
        <v>15.975268965077801</v>
      </c>
      <c r="AZ2456" s="2">
        <v>9.6233145402724691</v>
      </c>
      <c r="BA2456" s="2">
        <v>17.499069314145601</v>
      </c>
      <c r="BB2456" s="2">
        <v>9.6233145402724691</v>
      </c>
      <c r="BC2456" s="2">
        <v>16.334405109594702</v>
      </c>
      <c r="BD2456" s="2">
        <v>16.042660580494001</v>
      </c>
      <c r="BE2456" s="2">
        <v>9.6233145402724691</v>
      </c>
      <c r="BF2456" s="2">
        <v>12.706396726835001</v>
      </c>
      <c r="BG2456" s="2">
        <v>18.4753998119083</v>
      </c>
      <c r="BH2456" s="2">
        <v>9.6233145402724691</v>
      </c>
      <c r="BI2456" s="2">
        <v>17.257602750234199</v>
      </c>
      <c r="BJ2456" s="2">
        <v>14.4442759740658</v>
      </c>
      <c r="BK2456" s="2">
        <v>18.520807721128499</v>
      </c>
      <c r="BL2456" s="2">
        <v>14.8335483308413</v>
      </c>
      <c r="BM2456" s="2">
        <v>14.2749400949481</v>
      </c>
      <c r="BN2456" s="2">
        <v>18.219713673647401</v>
      </c>
      <c r="BO2456" s="2">
        <v>9.6233145402724691</v>
      </c>
      <c r="BP2456" s="2">
        <v>19.6690479830371</v>
      </c>
      <c r="BQ2456" s="2">
        <v>15.669984254782801</v>
      </c>
      <c r="BR2456" s="2">
        <v>17.395601325116498</v>
      </c>
      <c r="BS2456" s="2">
        <v>17.579839467800401</v>
      </c>
      <c r="BT2456" s="2">
        <v>14.070157850157001</v>
      </c>
      <c r="BU2456" s="2">
        <v>18.430036728662198</v>
      </c>
      <c r="BV2456" s="2">
        <v>9.6233145402724691</v>
      </c>
      <c r="BW2456" s="2">
        <v>16.0166268079353</v>
      </c>
      <c r="BX2456" s="2">
        <v>17.354068207088101</v>
      </c>
      <c r="BY2456" s="2">
        <v>18.606240764489201</v>
      </c>
      <c r="BZ2456" s="2">
        <v>9.6233145402724691</v>
      </c>
      <c r="CA2456" s="2">
        <v>18.77899155383</v>
      </c>
      <c r="CB2456" s="2">
        <v>16.8403393059527</v>
      </c>
      <c r="CC2456" s="2">
        <v>19.099444284120501</v>
      </c>
      <c r="CD2456" s="2">
        <v>19.158113967535002</v>
      </c>
      <c r="CE2456" s="2">
        <v>15.847797790410899</v>
      </c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</row>
    <row r="2457" spans="1:97">
      <c r="A2457" s="2" t="s">
        <v>21098</v>
      </c>
      <c r="B2457" s="2">
        <v>186.04351</v>
      </c>
      <c r="C2457" s="2">
        <v>0.58299999999999996</v>
      </c>
      <c r="D2457" s="2" t="s">
        <v>84</v>
      </c>
      <c r="E2457" s="2" t="s">
        <v>21099</v>
      </c>
      <c r="F2457" s="2" t="s">
        <v>21100</v>
      </c>
      <c r="G2457" s="2">
        <v>57318</v>
      </c>
      <c r="H2457" s="3" t="str">
        <f>HYPERLINK("https://cloud.oebiotech.com/#/lm/network/57318", "https://cloud.oebiotech.com/#/lm/network/57318")</f>
        <v>https://cloud.oebiotech.com/#/lm/network/57318</v>
      </c>
      <c r="I2457" s="2" t="s">
        <v>21101</v>
      </c>
      <c r="J2457" s="2">
        <v>88948</v>
      </c>
      <c r="K2457" s="2"/>
      <c r="L2457" s="2">
        <v>101410602</v>
      </c>
      <c r="M2457" s="2"/>
      <c r="N2457" s="2"/>
      <c r="O2457" s="2"/>
      <c r="P2457" s="2">
        <v>173758</v>
      </c>
      <c r="Q2457" s="2"/>
      <c r="R2457" s="2"/>
      <c r="S2457" s="2" t="s">
        <v>21102</v>
      </c>
      <c r="T2457" s="2" t="s">
        <v>21103</v>
      </c>
      <c r="U2457" s="2" t="s">
        <v>21104</v>
      </c>
      <c r="V2457" s="2" t="s">
        <v>9746</v>
      </c>
      <c r="W2457" s="2" t="s">
        <v>17561</v>
      </c>
      <c r="X2457" s="2" t="s">
        <v>17562</v>
      </c>
      <c r="Y2457" s="2" t="s">
        <v>9748</v>
      </c>
      <c r="Z2457" s="2" t="s">
        <v>17563</v>
      </c>
      <c r="AA2457" s="2" t="s">
        <v>17564</v>
      </c>
      <c r="AB2457" s="2" t="s">
        <v>8443</v>
      </c>
      <c r="AC2457" s="2">
        <v>36.450000000000003</v>
      </c>
      <c r="AD2457" s="2">
        <v>87.99</v>
      </c>
      <c r="AE2457" s="2">
        <v>0</v>
      </c>
      <c r="AF2457" s="2" t="s">
        <v>5614</v>
      </c>
      <c r="AG2457" s="2" t="s">
        <v>132</v>
      </c>
      <c r="AH2457" s="2" t="s">
        <v>21105</v>
      </c>
      <c r="AI2457" s="2">
        <v>2.15</v>
      </c>
      <c r="AJ2457" s="2">
        <v>22.125566109146799</v>
      </c>
      <c r="AK2457" s="2">
        <v>22.2144746705257</v>
      </c>
      <c r="AL2457" s="2">
        <v>21.929251378660499</v>
      </c>
      <c r="AM2457" s="2">
        <v>22.372597050162099</v>
      </c>
      <c r="AN2457" s="2">
        <v>22.444895525618701</v>
      </c>
      <c r="AO2457" s="2">
        <v>22.111364439353501</v>
      </c>
      <c r="AP2457" s="2">
        <v>22.1516055840288</v>
      </c>
      <c r="AQ2457" s="2">
        <v>22.232691127874901</v>
      </c>
      <c r="AR2457" s="2">
        <v>22.0677714288638</v>
      </c>
      <c r="AS2457" s="2">
        <v>22.1217471355695</v>
      </c>
      <c r="AT2457" s="2">
        <v>22.1075738790197</v>
      </c>
      <c r="AU2457" s="2">
        <v>21.982165166340899</v>
      </c>
      <c r="AV2457" s="2">
        <v>22.209964354759499</v>
      </c>
      <c r="AW2457" s="2">
        <v>22.2086496358707</v>
      </c>
      <c r="AX2457" s="2">
        <v>22.1243229029334</v>
      </c>
      <c r="AY2457" s="2">
        <v>22.060738161248398</v>
      </c>
      <c r="AZ2457" s="2">
        <v>21.909956540640199</v>
      </c>
      <c r="BA2457" s="2">
        <v>21.920297102453901</v>
      </c>
      <c r="BB2457" s="2">
        <v>22.3097230036581</v>
      </c>
      <c r="BC2457" s="2">
        <v>22.141874439009701</v>
      </c>
      <c r="BD2457" s="2">
        <v>22.274791262782198</v>
      </c>
      <c r="BE2457" s="2">
        <v>22.230511481194402</v>
      </c>
      <c r="BF2457" s="2">
        <v>22.128703444411499</v>
      </c>
      <c r="BG2457" s="2">
        <v>22.014110968379899</v>
      </c>
      <c r="BH2457" s="2">
        <v>22.2762716656812</v>
      </c>
      <c r="BI2457" s="2">
        <v>21.813670315780101</v>
      </c>
      <c r="BJ2457" s="2">
        <v>22.199326336588701</v>
      </c>
      <c r="BK2457" s="2">
        <v>21.809926346495299</v>
      </c>
      <c r="BL2457" s="2">
        <v>21.852977561790699</v>
      </c>
      <c r="BM2457" s="2">
        <v>22.1939207497404</v>
      </c>
      <c r="BN2457" s="2">
        <v>22.239503962674199</v>
      </c>
      <c r="BO2457" s="2">
        <v>21.779095269030499</v>
      </c>
      <c r="BP2457" s="2">
        <v>22.049550819332602</v>
      </c>
      <c r="BQ2457" s="2">
        <v>21.903013647873198</v>
      </c>
      <c r="BR2457" s="2">
        <v>21.770107777410502</v>
      </c>
      <c r="BS2457" s="2">
        <v>22.038481047832601</v>
      </c>
      <c r="BT2457" s="2">
        <v>22.088010469266099</v>
      </c>
      <c r="BU2457" s="2">
        <v>22.078087901937899</v>
      </c>
      <c r="BV2457" s="2">
        <v>21.920583078004</v>
      </c>
      <c r="BW2457" s="2">
        <v>22.182472655164101</v>
      </c>
      <c r="BX2457" s="2">
        <v>21.938238004821201</v>
      </c>
      <c r="BY2457" s="2">
        <v>22.324704820257001</v>
      </c>
      <c r="BZ2457" s="2">
        <v>21.952200119436998</v>
      </c>
      <c r="CA2457" s="2">
        <v>21.801339757015899</v>
      </c>
      <c r="CB2457" s="2">
        <v>21.959869139547301</v>
      </c>
      <c r="CC2457" s="2">
        <v>21.9068480350074</v>
      </c>
      <c r="CD2457" s="2">
        <v>22.171995103908699</v>
      </c>
      <c r="CE2457" s="2">
        <v>22.3124165588323</v>
      </c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</row>
    <row r="2458" spans="1:97">
      <c r="A2458" s="2" t="s">
        <v>21106</v>
      </c>
      <c r="B2458" s="2">
        <v>608.31745999999998</v>
      </c>
      <c r="C2458" s="2">
        <v>10.507</v>
      </c>
      <c r="D2458" s="2" t="s">
        <v>146</v>
      </c>
      <c r="E2458" s="2" t="s">
        <v>21107</v>
      </c>
      <c r="F2458" s="2" t="s">
        <v>21107</v>
      </c>
      <c r="G2458" s="2">
        <v>204301</v>
      </c>
      <c r="H2458" s="3" t="str">
        <f>HYPERLINK("https://cloud.oebiotech.com/#/lm/network/204301", "https://cloud.oebiotech.com/#/lm/network/204301")</f>
        <v>https://cloud.oebiotech.com/#/lm/network/204301</v>
      </c>
      <c r="I2458" s="2" t="s">
        <v>21108</v>
      </c>
      <c r="J2458" s="2"/>
      <c r="K2458" s="2"/>
      <c r="L2458" s="2">
        <v>3519505</v>
      </c>
      <c r="M2458" s="2"/>
      <c r="N2458" s="2"/>
      <c r="O2458" s="2"/>
      <c r="P2458" s="2"/>
      <c r="Q2458" s="2"/>
      <c r="R2458" s="2"/>
      <c r="S2458" s="2"/>
      <c r="T2458" s="2" t="s">
        <v>21109</v>
      </c>
      <c r="U2458" s="2" t="s">
        <v>21110</v>
      </c>
      <c r="V2458" s="2" t="s">
        <v>115</v>
      </c>
      <c r="W2458" s="2" t="s">
        <v>116</v>
      </c>
      <c r="X2458" s="2" t="s">
        <v>117</v>
      </c>
      <c r="Y2458" s="2" t="s">
        <v>118</v>
      </c>
      <c r="Z2458" s="2" t="s">
        <v>119</v>
      </c>
      <c r="AA2458" s="2" t="s">
        <v>120</v>
      </c>
      <c r="AB2458" s="2" t="s">
        <v>8443</v>
      </c>
      <c r="AC2458" s="2">
        <v>36.450000000000003</v>
      </c>
      <c r="AD2458" s="2">
        <v>94.48</v>
      </c>
      <c r="AE2458" s="2">
        <v>0</v>
      </c>
      <c r="AF2458" s="2" t="s">
        <v>21111</v>
      </c>
      <c r="AG2458" s="2" t="s">
        <v>993</v>
      </c>
      <c r="AH2458" s="2" t="s">
        <v>21112</v>
      </c>
      <c r="AI2458" s="2">
        <v>3.45</v>
      </c>
      <c r="AJ2458" s="2">
        <v>23.545557781029199</v>
      </c>
      <c r="AK2458" s="2">
        <v>23.8118698604918</v>
      </c>
      <c r="AL2458" s="2">
        <v>23.8794186500661</v>
      </c>
      <c r="AM2458" s="2">
        <v>23.656487121375999</v>
      </c>
      <c r="AN2458" s="2">
        <v>23.815092644581199</v>
      </c>
      <c r="AO2458" s="2">
        <v>23.432597456872799</v>
      </c>
      <c r="AP2458" s="2">
        <v>23.668141394373801</v>
      </c>
      <c r="AQ2458" s="2">
        <v>23.801122515103099</v>
      </c>
      <c r="AR2458" s="2">
        <v>23.113591811254398</v>
      </c>
      <c r="AS2458" s="2">
        <v>23.3289569377018</v>
      </c>
      <c r="AT2458" s="2">
        <v>23.499136434785299</v>
      </c>
      <c r="AU2458" s="2">
        <v>23.713711379189299</v>
      </c>
      <c r="AV2458" s="2">
        <v>23.349042702246901</v>
      </c>
      <c r="AW2458" s="2">
        <v>23.8106423340117</v>
      </c>
      <c r="AX2458" s="2">
        <v>23.6502408579661</v>
      </c>
      <c r="AY2458" s="2">
        <v>23.4353496182149</v>
      </c>
      <c r="AZ2458" s="2">
        <v>23.960946921598801</v>
      </c>
      <c r="BA2458" s="2">
        <v>22.888664134593601</v>
      </c>
      <c r="BB2458" s="2">
        <v>23.6424368501375</v>
      </c>
      <c r="BC2458" s="2">
        <v>24.070764512487798</v>
      </c>
      <c r="BD2458" s="2">
        <v>23.412121021503001</v>
      </c>
      <c r="BE2458" s="2">
        <v>24.086568795942799</v>
      </c>
      <c r="BF2458" s="2">
        <v>23.614629534265301</v>
      </c>
      <c r="BG2458" s="2">
        <v>23.891915536096899</v>
      </c>
      <c r="BH2458" s="2">
        <v>23.468646569192401</v>
      </c>
      <c r="BI2458" s="2">
        <v>22.888309512252398</v>
      </c>
      <c r="BJ2458" s="2">
        <v>23.7299760908625</v>
      </c>
      <c r="BK2458" s="2">
        <v>23.509741280876302</v>
      </c>
      <c r="BL2458" s="2">
        <v>23.676562678716898</v>
      </c>
      <c r="BM2458" s="2">
        <v>23.535722441024699</v>
      </c>
      <c r="BN2458" s="2">
        <v>23.551894786789799</v>
      </c>
      <c r="BO2458" s="2">
        <v>23.9638919433838</v>
      </c>
      <c r="BP2458" s="2">
        <v>23.678988227835902</v>
      </c>
      <c r="BQ2458" s="2">
        <v>23.455101673700899</v>
      </c>
      <c r="BR2458" s="2">
        <v>23.864771190059699</v>
      </c>
      <c r="BS2458" s="2">
        <v>23.7596073067769</v>
      </c>
      <c r="BT2458" s="2">
        <v>23.018414630155</v>
      </c>
      <c r="BU2458" s="2">
        <v>23.540621879981401</v>
      </c>
      <c r="BV2458" s="2">
        <v>23.938927291492998</v>
      </c>
      <c r="BW2458" s="2">
        <v>23.332951473974799</v>
      </c>
      <c r="BX2458" s="2">
        <v>23.121080136150901</v>
      </c>
      <c r="BY2458" s="2">
        <v>23.993780384673101</v>
      </c>
      <c r="BZ2458" s="2">
        <v>23.426608265706701</v>
      </c>
      <c r="CA2458" s="2">
        <v>23.838605821856099</v>
      </c>
      <c r="CB2458" s="2">
        <v>23.366783813371899</v>
      </c>
      <c r="CC2458" s="2">
        <v>23.320158473892601</v>
      </c>
      <c r="CD2458" s="2">
        <v>23.912085051028399</v>
      </c>
      <c r="CE2458" s="2">
        <v>23.1664170130949</v>
      </c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</row>
    <row r="2459" spans="1:97">
      <c r="A2459" s="2" t="s">
        <v>21113</v>
      </c>
      <c r="B2459" s="2">
        <v>429.17036999999999</v>
      </c>
      <c r="C2459" s="2">
        <v>4.3250000000000002</v>
      </c>
      <c r="D2459" s="2" t="s">
        <v>84</v>
      </c>
      <c r="E2459" s="2" t="s">
        <v>21114</v>
      </c>
      <c r="F2459" s="2" t="s">
        <v>21115</v>
      </c>
      <c r="G2459" s="2">
        <v>213437</v>
      </c>
      <c r="H2459" s="3" t="str">
        <f>HYPERLINK("https://cloud.oebiotech.com/#/lm/network/213437", "https://cloud.oebiotech.com/#/lm/network/213437")</f>
        <v>https://cloud.oebiotech.com/#/lm/network/213437</v>
      </c>
      <c r="I2459" s="2" t="s">
        <v>21116</v>
      </c>
      <c r="J2459" s="2">
        <v>423630</v>
      </c>
      <c r="K2459" s="2"/>
      <c r="L2459" s="2">
        <v>132059</v>
      </c>
      <c r="M2459" s="2"/>
      <c r="N2459" s="2"/>
      <c r="O2459" s="2"/>
      <c r="P2459" s="2"/>
      <c r="Q2459" s="2"/>
      <c r="R2459" s="2"/>
      <c r="S2459" s="2"/>
      <c r="T2459" s="2" t="s">
        <v>21117</v>
      </c>
      <c r="U2459" s="2" t="s">
        <v>21118</v>
      </c>
      <c r="V2459" s="2" t="s">
        <v>553</v>
      </c>
      <c r="W2459" s="2" t="s">
        <v>933</v>
      </c>
      <c r="X2459" s="2" t="s">
        <v>7122</v>
      </c>
      <c r="Y2459" s="2" t="s">
        <v>556</v>
      </c>
      <c r="Z2459" s="2" t="s">
        <v>935</v>
      </c>
      <c r="AA2459" s="2" t="s">
        <v>7123</v>
      </c>
      <c r="AB2459" s="2" t="s">
        <v>8443</v>
      </c>
      <c r="AC2459" s="2">
        <v>36.44</v>
      </c>
      <c r="AD2459" s="2">
        <v>82.18</v>
      </c>
      <c r="AE2459" s="2">
        <v>0</v>
      </c>
      <c r="AF2459" s="2" t="s">
        <v>5614</v>
      </c>
      <c r="AG2459" s="2" t="s">
        <v>132</v>
      </c>
      <c r="AH2459" s="2" t="s">
        <v>21119</v>
      </c>
      <c r="AI2459" s="2">
        <v>-0.23</v>
      </c>
      <c r="AJ2459" s="2">
        <v>17.266600538000201</v>
      </c>
      <c r="AK2459" s="2">
        <v>17.333445485271699</v>
      </c>
      <c r="AL2459" s="2">
        <v>17.282055044245102</v>
      </c>
      <c r="AM2459" s="2">
        <v>17.2887906615391</v>
      </c>
      <c r="AN2459" s="2">
        <v>17.041002415106401</v>
      </c>
      <c r="AO2459" s="2">
        <v>17.100836321576299</v>
      </c>
      <c r="AP2459" s="2">
        <v>17.116153457676599</v>
      </c>
      <c r="AQ2459" s="2">
        <v>16.487136284649601</v>
      </c>
      <c r="AR2459" s="2">
        <v>9.6233145402724691</v>
      </c>
      <c r="AS2459" s="2">
        <v>15.5001400876634</v>
      </c>
      <c r="AT2459" s="2">
        <v>15.9325280463559</v>
      </c>
      <c r="AU2459" s="2">
        <v>17.223632773281</v>
      </c>
      <c r="AV2459" s="2">
        <v>16.347067657165901</v>
      </c>
      <c r="AW2459" s="2">
        <v>17.4446221651502</v>
      </c>
      <c r="AX2459" s="2">
        <v>15.994535088309</v>
      </c>
      <c r="AY2459" s="2">
        <v>17.284833857898601</v>
      </c>
      <c r="AZ2459" s="2">
        <v>16.3561226562041</v>
      </c>
      <c r="BA2459" s="2">
        <v>14.6954305852719</v>
      </c>
      <c r="BB2459" s="2">
        <v>9.6233145402724691</v>
      </c>
      <c r="BC2459" s="2">
        <v>9.6233145402724691</v>
      </c>
      <c r="BD2459" s="2">
        <v>18.121437497706701</v>
      </c>
      <c r="BE2459" s="2">
        <v>17.908273689235099</v>
      </c>
      <c r="BF2459" s="2">
        <v>17.946238078485901</v>
      </c>
      <c r="BG2459" s="2">
        <v>9.6233145402724691</v>
      </c>
      <c r="BH2459" s="2">
        <v>17.8119411456737</v>
      </c>
      <c r="BI2459" s="2">
        <v>17.0526438259636</v>
      </c>
      <c r="BJ2459" s="2">
        <v>9.6233145402724691</v>
      </c>
      <c r="BK2459" s="2">
        <v>15.6581846997982</v>
      </c>
      <c r="BL2459" s="2">
        <v>16.4388257952697</v>
      </c>
      <c r="BM2459" s="2">
        <v>19.154166440536901</v>
      </c>
      <c r="BN2459" s="2">
        <v>17.082943099442499</v>
      </c>
      <c r="BO2459" s="2">
        <v>16.528650520519701</v>
      </c>
      <c r="BP2459" s="2">
        <v>17.3526055754689</v>
      </c>
      <c r="BQ2459" s="2">
        <v>17.407036846833002</v>
      </c>
      <c r="BR2459" s="2">
        <v>9.6233145402724691</v>
      </c>
      <c r="BS2459" s="2">
        <v>17.695870761706999</v>
      </c>
      <c r="BT2459" s="2">
        <v>9.6233145402724691</v>
      </c>
      <c r="BU2459" s="2">
        <v>15.975353165556999</v>
      </c>
      <c r="BV2459" s="2">
        <v>9.6233145402724691</v>
      </c>
      <c r="BW2459" s="2">
        <v>9.6233145402724691</v>
      </c>
      <c r="BX2459" s="2">
        <v>18.284780235051102</v>
      </c>
      <c r="BY2459" s="2">
        <v>18.6162868577015</v>
      </c>
      <c r="BZ2459" s="2">
        <v>9.6233145402724691</v>
      </c>
      <c r="CA2459" s="2">
        <v>18.358907287779299</v>
      </c>
      <c r="CB2459" s="2">
        <v>9.6233145402724691</v>
      </c>
      <c r="CC2459" s="2">
        <v>14.444087637112199</v>
      </c>
      <c r="CD2459" s="2">
        <v>17.724494401759099</v>
      </c>
      <c r="CE2459" s="2">
        <v>16.13211591045</v>
      </c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</row>
    <row r="2460" spans="1:97">
      <c r="A2460" s="2" t="s">
        <v>21120</v>
      </c>
      <c r="B2460" s="2">
        <v>456.40442000000002</v>
      </c>
      <c r="C2460" s="2">
        <v>10.851000000000001</v>
      </c>
      <c r="D2460" s="2" t="s">
        <v>84</v>
      </c>
      <c r="E2460" s="2" t="s">
        <v>21121</v>
      </c>
      <c r="F2460" s="2" t="s">
        <v>21122</v>
      </c>
      <c r="G2460" s="2">
        <v>197467</v>
      </c>
      <c r="H2460" s="3" t="str">
        <f>HYPERLINK("https://cloud.oebiotech.com/#/lm/network/197467", "https://cloud.oebiotech.com/#/lm/network/197467")</f>
        <v>https://cloud.oebiotech.com/#/lm/network/197467</v>
      </c>
      <c r="I2460" s="2" t="s">
        <v>21123</v>
      </c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 t="s">
        <v>21124</v>
      </c>
      <c r="U2460" s="2" t="s">
        <v>21125</v>
      </c>
      <c r="V2460" s="2" t="s">
        <v>95</v>
      </c>
      <c r="W2460" s="2" t="s">
        <v>96</v>
      </c>
      <c r="X2460" s="2" t="s">
        <v>97</v>
      </c>
      <c r="Y2460" s="2" t="s">
        <v>98</v>
      </c>
      <c r="Z2460" s="2" t="s">
        <v>99</v>
      </c>
      <c r="AA2460" s="2" t="s">
        <v>100</v>
      </c>
      <c r="AB2460" s="2" t="s">
        <v>8443</v>
      </c>
      <c r="AC2460" s="2">
        <v>36.43</v>
      </c>
      <c r="AD2460" s="2">
        <v>82.16</v>
      </c>
      <c r="AE2460" s="2">
        <v>0</v>
      </c>
      <c r="AF2460" s="2" t="s">
        <v>21126</v>
      </c>
      <c r="AG2460" s="2" t="s">
        <v>103</v>
      </c>
      <c r="AH2460" s="2" t="s">
        <v>9526</v>
      </c>
      <c r="AI2460" s="2">
        <v>0.66</v>
      </c>
      <c r="AJ2460" s="2">
        <v>20.1181113042643</v>
      </c>
      <c r="AK2460" s="2">
        <v>20.135437289908499</v>
      </c>
      <c r="AL2460" s="2">
        <v>20.216947858771</v>
      </c>
      <c r="AM2460" s="2">
        <v>20.223648291357598</v>
      </c>
      <c r="AN2460" s="2">
        <v>20.075276211830602</v>
      </c>
      <c r="AO2460" s="2">
        <v>20.2045786184676</v>
      </c>
      <c r="AP2460" s="2">
        <v>20.1563721089003</v>
      </c>
      <c r="AQ2460" s="2">
        <v>19.998421836091801</v>
      </c>
      <c r="AR2460" s="2">
        <v>20.696675790293199</v>
      </c>
      <c r="AS2460" s="2">
        <v>18.922890041812501</v>
      </c>
      <c r="AT2460" s="2">
        <v>19.6581533303291</v>
      </c>
      <c r="AU2460" s="2">
        <v>19.420141860750402</v>
      </c>
      <c r="AV2460" s="2">
        <v>19.367104166550099</v>
      </c>
      <c r="AW2460" s="2">
        <v>20.179514634188099</v>
      </c>
      <c r="AX2460" s="2">
        <v>19.817456489591599</v>
      </c>
      <c r="AY2460" s="2">
        <v>19.8821077241886</v>
      </c>
      <c r="AZ2460" s="2">
        <v>19.9207341772726</v>
      </c>
      <c r="BA2460" s="2">
        <v>18.955190110292602</v>
      </c>
      <c r="BB2460" s="2">
        <v>20.091251987577099</v>
      </c>
      <c r="BC2460" s="2">
        <v>21.167517027574</v>
      </c>
      <c r="BD2460" s="2">
        <v>19.836981966363801</v>
      </c>
      <c r="BE2460" s="2">
        <v>20.738279806891502</v>
      </c>
      <c r="BF2460" s="2">
        <v>19.727365168506399</v>
      </c>
      <c r="BG2460" s="2">
        <v>19.243739587482601</v>
      </c>
      <c r="BH2460" s="2">
        <v>19.607905402232898</v>
      </c>
      <c r="BI2460" s="2">
        <v>20.113577325082101</v>
      </c>
      <c r="BJ2460" s="2">
        <v>20.369350094543702</v>
      </c>
      <c r="BK2460" s="2">
        <v>19.1702626533014</v>
      </c>
      <c r="BL2460" s="2">
        <v>21.168306662237701</v>
      </c>
      <c r="BM2460" s="2">
        <v>20.117877114047399</v>
      </c>
      <c r="BN2460" s="2">
        <v>20.082777117767801</v>
      </c>
      <c r="BO2460" s="2">
        <v>18.5673643350632</v>
      </c>
      <c r="BP2460" s="2">
        <v>20.030435325576601</v>
      </c>
      <c r="BQ2460" s="2">
        <v>20.692782965891102</v>
      </c>
      <c r="BR2460" s="2">
        <v>19.972134615970301</v>
      </c>
      <c r="BS2460" s="2">
        <v>19.645249024661702</v>
      </c>
      <c r="BT2460" s="2">
        <v>19.8979148055891</v>
      </c>
      <c r="BU2460" s="2">
        <v>19.480145047277599</v>
      </c>
      <c r="BV2460" s="2">
        <v>19.822224006722401</v>
      </c>
      <c r="BW2460" s="2">
        <v>19.902008361095099</v>
      </c>
      <c r="BX2460" s="2">
        <v>20.306594762579699</v>
      </c>
      <c r="BY2460" s="2">
        <v>20.787124707500801</v>
      </c>
      <c r="BZ2460" s="2">
        <v>19.722518139484599</v>
      </c>
      <c r="CA2460" s="2">
        <v>19.888083197276899</v>
      </c>
      <c r="CB2460" s="2">
        <v>18.616668907824302</v>
      </c>
      <c r="CC2460" s="2">
        <v>19.870983832453</v>
      </c>
      <c r="CD2460" s="2">
        <v>20.498520462430299</v>
      </c>
      <c r="CE2460" s="2">
        <v>18.616521527364799</v>
      </c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</row>
    <row r="2461" spans="1:97">
      <c r="A2461" s="2" t="s">
        <v>21127</v>
      </c>
      <c r="B2461" s="2">
        <v>326.37754000000001</v>
      </c>
      <c r="C2461" s="2">
        <v>10.285</v>
      </c>
      <c r="D2461" s="2" t="s">
        <v>84</v>
      </c>
      <c r="E2461" s="2" t="s">
        <v>21128</v>
      </c>
      <c r="F2461" s="2" t="s">
        <v>21129</v>
      </c>
      <c r="G2461" s="2">
        <v>9423</v>
      </c>
      <c r="H2461" s="3" t="str">
        <f>HYPERLINK("https://cloud.oebiotech.com/#/lm/network/9423", "https://cloud.oebiotech.com/#/lm/network/9423")</f>
        <v>https://cloud.oebiotech.com/#/lm/network/9423</v>
      </c>
      <c r="I2461" s="2" t="s">
        <v>21130</v>
      </c>
      <c r="J2461" s="2">
        <v>97721</v>
      </c>
      <c r="K2461" s="2" t="s">
        <v>21131</v>
      </c>
      <c r="L2461" s="2">
        <v>74138</v>
      </c>
      <c r="M2461" s="2"/>
      <c r="N2461" s="2"/>
      <c r="O2461" s="2"/>
      <c r="P2461" s="2">
        <v>84220</v>
      </c>
      <c r="Q2461" s="2"/>
      <c r="R2461" s="2"/>
      <c r="S2461" s="2" t="s">
        <v>21132</v>
      </c>
      <c r="T2461" s="2" t="s">
        <v>21133</v>
      </c>
      <c r="U2461" s="2" t="s">
        <v>21134</v>
      </c>
      <c r="V2461" s="2" t="s">
        <v>10755</v>
      </c>
      <c r="W2461" s="2" t="s">
        <v>10756</v>
      </c>
      <c r="X2461" s="2" t="s">
        <v>16890</v>
      </c>
      <c r="Y2461" s="2" t="s">
        <v>10758</v>
      </c>
      <c r="Z2461" s="2" t="s">
        <v>10759</v>
      </c>
      <c r="AA2461" s="2" t="s">
        <v>16891</v>
      </c>
      <c r="AB2461" s="2" t="s">
        <v>8443</v>
      </c>
      <c r="AC2461" s="2">
        <v>36.43</v>
      </c>
      <c r="AD2461" s="2">
        <v>86.33</v>
      </c>
      <c r="AE2461" s="2">
        <v>0</v>
      </c>
      <c r="AF2461" s="2" t="s">
        <v>5614</v>
      </c>
      <c r="AG2461" s="2" t="s">
        <v>132</v>
      </c>
      <c r="AH2461" s="2" t="s">
        <v>21135</v>
      </c>
      <c r="AI2461" s="2">
        <v>1.84</v>
      </c>
      <c r="AJ2461" s="2">
        <v>19.159477658223199</v>
      </c>
      <c r="AK2461" s="2">
        <v>18.868833253196598</v>
      </c>
      <c r="AL2461" s="2">
        <v>18.453174038960999</v>
      </c>
      <c r="AM2461" s="2">
        <v>18.930001442188502</v>
      </c>
      <c r="AN2461" s="2">
        <v>18.6708215369318</v>
      </c>
      <c r="AO2461" s="2">
        <v>18.479649591223701</v>
      </c>
      <c r="AP2461" s="2">
        <v>19.011509987033399</v>
      </c>
      <c r="AQ2461" s="2">
        <v>18.789970348169799</v>
      </c>
      <c r="AR2461" s="2">
        <v>19.2490975925759</v>
      </c>
      <c r="AS2461" s="2">
        <v>16.371641555482501</v>
      </c>
      <c r="AT2461" s="2">
        <v>16.967189101033298</v>
      </c>
      <c r="AU2461" s="2">
        <v>14.9995266260921</v>
      </c>
      <c r="AV2461" s="2">
        <v>15.6369703569564</v>
      </c>
      <c r="AW2461" s="2">
        <v>17.931853156131101</v>
      </c>
      <c r="AX2461" s="2">
        <v>18.937909943449501</v>
      </c>
      <c r="AY2461" s="2">
        <v>17.415803733008499</v>
      </c>
      <c r="AZ2461" s="2">
        <v>9.6233145402724691</v>
      </c>
      <c r="BA2461" s="2">
        <v>9.6233145402724691</v>
      </c>
      <c r="BB2461" s="2">
        <v>16.9018400818311</v>
      </c>
      <c r="BC2461" s="2">
        <v>9.6233145402724691</v>
      </c>
      <c r="BD2461" s="2">
        <v>18.605458683098401</v>
      </c>
      <c r="BE2461" s="2">
        <v>9.6233145402724691</v>
      </c>
      <c r="BF2461" s="2">
        <v>16.840202825393899</v>
      </c>
      <c r="BG2461" s="2">
        <v>15.2886966830595</v>
      </c>
      <c r="BH2461" s="2">
        <v>19.7615388803281</v>
      </c>
      <c r="BI2461" s="2">
        <v>9.6233145402724691</v>
      </c>
      <c r="BJ2461" s="2">
        <v>16.424101646967099</v>
      </c>
      <c r="BK2461" s="2">
        <v>19.608735729214999</v>
      </c>
      <c r="BL2461" s="2">
        <v>19.2800808873134</v>
      </c>
      <c r="BM2461" s="2">
        <v>18.068384891823001</v>
      </c>
      <c r="BN2461" s="2">
        <v>16.553153776512001</v>
      </c>
      <c r="BO2461" s="2">
        <v>19.377107773690099</v>
      </c>
      <c r="BP2461" s="2">
        <v>18.431491075029701</v>
      </c>
      <c r="BQ2461" s="2">
        <v>19.710552005531198</v>
      </c>
      <c r="BR2461" s="2">
        <v>19.0251514065727</v>
      </c>
      <c r="BS2461" s="2">
        <v>19.507073956484</v>
      </c>
      <c r="BT2461" s="2">
        <v>20.114538218955701</v>
      </c>
      <c r="BU2461" s="2">
        <v>16.861031398011502</v>
      </c>
      <c r="BV2461" s="2">
        <v>15.789555550131301</v>
      </c>
      <c r="BW2461" s="2">
        <v>15.576254331032599</v>
      </c>
      <c r="BX2461" s="2">
        <v>18.828390773485498</v>
      </c>
      <c r="BY2461" s="2">
        <v>9.6233145402724691</v>
      </c>
      <c r="BZ2461" s="2">
        <v>9.6233145402724691</v>
      </c>
      <c r="CA2461" s="2">
        <v>15.6493451641735</v>
      </c>
      <c r="CB2461" s="2">
        <v>19.3655199531966</v>
      </c>
      <c r="CC2461" s="2">
        <v>19.068690279215801</v>
      </c>
      <c r="CD2461" s="2">
        <v>18.912840112214301</v>
      </c>
      <c r="CE2461" s="2">
        <v>18.6591194724178</v>
      </c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</row>
    <row r="2462" spans="1:97">
      <c r="A2462" s="2" t="s">
        <v>21136</v>
      </c>
      <c r="B2462" s="2">
        <v>375.28599000000003</v>
      </c>
      <c r="C2462" s="2">
        <v>8.8079999999999998</v>
      </c>
      <c r="D2462" s="2" t="s">
        <v>84</v>
      </c>
      <c r="E2462" s="2" t="s">
        <v>21137</v>
      </c>
      <c r="F2462" s="2" t="s">
        <v>21138</v>
      </c>
      <c r="G2462" s="2">
        <v>197836</v>
      </c>
      <c r="H2462" s="3" t="str">
        <f>HYPERLINK("https://cloud.oebiotech.com/#/lm/network/197836", "https://cloud.oebiotech.com/#/lm/network/197836")</f>
        <v>https://cloud.oebiotech.com/#/lm/network/197836</v>
      </c>
      <c r="I2462" s="2" t="s">
        <v>21139</v>
      </c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 t="s">
        <v>21140</v>
      </c>
      <c r="U2462" s="2" t="s">
        <v>21141</v>
      </c>
      <c r="V2462" s="2" t="s">
        <v>95</v>
      </c>
      <c r="W2462" s="2" t="s">
        <v>96</v>
      </c>
      <c r="X2462" s="2" t="s">
        <v>97</v>
      </c>
      <c r="Y2462" s="2" t="s">
        <v>98</v>
      </c>
      <c r="Z2462" s="2" t="s">
        <v>99</v>
      </c>
      <c r="AA2462" s="2" t="s">
        <v>100</v>
      </c>
      <c r="AB2462" s="2" t="s">
        <v>8443</v>
      </c>
      <c r="AC2462" s="2">
        <v>36.43</v>
      </c>
      <c r="AD2462" s="2">
        <v>86.48</v>
      </c>
      <c r="AE2462" s="2">
        <v>0</v>
      </c>
      <c r="AF2462" s="2" t="s">
        <v>5614</v>
      </c>
      <c r="AG2462" s="2" t="s">
        <v>132</v>
      </c>
      <c r="AH2462" s="2" t="s">
        <v>2648</v>
      </c>
      <c r="AI2462" s="2">
        <v>-1.87</v>
      </c>
      <c r="AJ2462" s="2">
        <v>20.2639416844045</v>
      </c>
      <c r="AK2462" s="2">
        <v>20.442957969203398</v>
      </c>
      <c r="AL2462" s="2">
        <v>20.470168869310701</v>
      </c>
      <c r="AM2462" s="2">
        <v>20.410153043498799</v>
      </c>
      <c r="AN2462" s="2">
        <v>20.483138174233599</v>
      </c>
      <c r="AO2462" s="2">
        <v>20.319919877676899</v>
      </c>
      <c r="AP2462" s="2">
        <v>20.474993637699299</v>
      </c>
      <c r="AQ2462" s="2">
        <v>20.259455885222899</v>
      </c>
      <c r="AR2462" s="2">
        <v>19.508383076711802</v>
      </c>
      <c r="AS2462" s="2">
        <v>19.9082704929613</v>
      </c>
      <c r="AT2462" s="2">
        <v>19.868109574807001</v>
      </c>
      <c r="AU2462" s="2">
        <v>20.059128622990301</v>
      </c>
      <c r="AV2462" s="2">
        <v>20.243679255796501</v>
      </c>
      <c r="AW2462" s="2">
        <v>20.073381198141099</v>
      </c>
      <c r="AX2462" s="2">
        <v>19.638909429177001</v>
      </c>
      <c r="AY2462" s="2">
        <v>19.675094842785501</v>
      </c>
      <c r="AZ2462" s="2">
        <v>19.897859854883599</v>
      </c>
      <c r="BA2462" s="2">
        <v>19.620610034802102</v>
      </c>
      <c r="BB2462" s="2">
        <v>20.737841715902601</v>
      </c>
      <c r="BC2462" s="2">
        <v>20.668537386467499</v>
      </c>
      <c r="BD2462" s="2">
        <v>19.925291748223401</v>
      </c>
      <c r="BE2462" s="2">
        <v>20.001280495935301</v>
      </c>
      <c r="BF2462" s="2">
        <v>19.977505354940501</v>
      </c>
      <c r="BG2462" s="2">
        <v>20.420693371085299</v>
      </c>
      <c r="BH2462" s="2">
        <v>19.860740264263502</v>
      </c>
      <c r="BI2462" s="2">
        <v>20.489464640743599</v>
      </c>
      <c r="BJ2462" s="2">
        <v>21.109691844048701</v>
      </c>
      <c r="BK2462" s="2">
        <v>20.8097234833394</v>
      </c>
      <c r="BL2462" s="2">
        <v>20.056262427484999</v>
      </c>
      <c r="BM2462" s="2">
        <v>19.573666656556401</v>
      </c>
      <c r="BN2462" s="2">
        <v>19.811580875733899</v>
      </c>
      <c r="BO2462" s="2">
        <v>20.218223681124702</v>
      </c>
      <c r="BP2462" s="2">
        <v>19.863800162185498</v>
      </c>
      <c r="BQ2462" s="2">
        <v>20.0149536957266</v>
      </c>
      <c r="BR2462" s="2">
        <v>20.2382854109592</v>
      </c>
      <c r="BS2462" s="2">
        <v>20.025158640197699</v>
      </c>
      <c r="BT2462" s="2">
        <v>20.189804113060699</v>
      </c>
      <c r="BU2462" s="2">
        <v>20.039173208466298</v>
      </c>
      <c r="BV2462" s="2">
        <v>21.045915396404201</v>
      </c>
      <c r="BW2462" s="2">
        <v>19.720607231457301</v>
      </c>
      <c r="BX2462" s="2">
        <v>19.840091633376801</v>
      </c>
      <c r="BY2462" s="2">
        <v>19.910014634985899</v>
      </c>
      <c r="BZ2462" s="2">
        <v>20.081037832332999</v>
      </c>
      <c r="CA2462" s="2">
        <v>20.832144736371099</v>
      </c>
      <c r="CB2462" s="2">
        <v>19.573860371438698</v>
      </c>
      <c r="CC2462" s="2">
        <v>20.102178912521101</v>
      </c>
      <c r="CD2462" s="2">
        <v>20.098473113833201</v>
      </c>
      <c r="CE2462" s="2">
        <v>20.893516743366</v>
      </c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</row>
    <row r="2463" spans="1:97">
      <c r="A2463" s="2" t="s">
        <v>21142</v>
      </c>
      <c r="B2463" s="2">
        <v>352.10082</v>
      </c>
      <c r="C2463" s="2">
        <v>9.2149999999999999</v>
      </c>
      <c r="D2463" s="2" t="s">
        <v>146</v>
      </c>
      <c r="E2463" s="2" t="s">
        <v>21143</v>
      </c>
      <c r="F2463" s="2" t="s">
        <v>21144</v>
      </c>
      <c r="G2463" s="2">
        <v>54405</v>
      </c>
      <c r="H2463" s="3" t="str">
        <f>HYPERLINK("https://cloud.oebiotech.com/#/lm/network/54405", "https://cloud.oebiotech.com/#/lm/network/54405")</f>
        <v>https://cloud.oebiotech.com/#/lm/network/54405</v>
      </c>
      <c r="I2463" s="2" t="s">
        <v>21145</v>
      </c>
      <c r="J2463" s="2">
        <v>86277</v>
      </c>
      <c r="K2463" s="2"/>
      <c r="L2463" s="2">
        <v>10267199</v>
      </c>
      <c r="M2463" s="2"/>
      <c r="N2463" s="2"/>
      <c r="O2463" s="2"/>
      <c r="P2463" s="2"/>
      <c r="Q2463" s="2"/>
      <c r="R2463" s="2"/>
      <c r="S2463" s="2" t="s">
        <v>21146</v>
      </c>
      <c r="T2463" s="2" t="s">
        <v>21147</v>
      </c>
      <c r="U2463" s="2" t="s">
        <v>21148</v>
      </c>
      <c r="V2463" s="2" t="s">
        <v>115</v>
      </c>
      <c r="W2463" s="2" t="s">
        <v>116</v>
      </c>
      <c r="X2463" s="2" t="s">
        <v>117</v>
      </c>
      <c r="Y2463" s="2" t="s">
        <v>118</v>
      </c>
      <c r="Z2463" s="2" t="s">
        <v>119</v>
      </c>
      <c r="AA2463" s="2" t="s">
        <v>120</v>
      </c>
      <c r="AB2463" s="2" t="s">
        <v>8443</v>
      </c>
      <c r="AC2463" s="2">
        <v>36.409999999999997</v>
      </c>
      <c r="AD2463" s="2">
        <v>91.24</v>
      </c>
      <c r="AE2463" s="2">
        <v>0</v>
      </c>
      <c r="AF2463" s="2" t="s">
        <v>21149</v>
      </c>
      <c r="AG2463" s="2" t="s">
        <v>157</v>
      </c>
      <c r="AH2463" s="2" t="s">
        <v>21150</v>
      </c>
      <c r="AI2463" s="2">
        <v>-2.84</v>
      </c>
      <c r="AJ2463" s="2">
        <v>17.681380768749701</v>
      </c>
      <c r="AK2463" s="2">
        <v>17.3761600755522</v>
      </c>
      <c r="AL2463" s="2">
        <v>17.632980859835499</v>
      </c>
      <c r="AM2463" s="2">
        <v>17.676679412113</v>
      </c>
      <c r="AN2463" s="2">
        <v>17.287713100896799</v>
      </c>
      <c r="AO2463" s="2">
        <v>17.390425429690701</v>
      </c>
      <c r="AP2463" s="2">
        <v>17.609767786656601</v>
      </c>
      <c r="AQ2463" s="2">
        <v>17.605620001522102</v>
      </c>
      <c r="AR2463" s="2">
        <v>17.929389724901402</v>
      </c>
      <c r="AS2463" s="2">
        <v>16.975073448735799</v>
      </c>
      <c r="AT2463" s="2">
        <v>16.882887433848399</v>
      </c>
      <c r="AU2463" s="2">
        <v>17.8553864422983</v>
      </c>
      <c r="AV2463" s="2">
        <v>17.647193349613602</v>
      </c>
      <c r="AW2463" s="2">
        <v>17.297069137492802</v>
      </c>
      <c r="AX2463" s="2">
        <v>16.820152530052901</v>
      </c>
      <c r="AY2463" s="2">
        <v>17.259084777182402</v>
      </c>
      <c r="AZ2463" s="2">
        <v>16.509606779048202</v>
      </c>
      <c r="BA2463" s="2">
        <v>16.621234579575798</v>
      </c>
      <c r="BB2463" s="2">
        <v>17.442953455151802</v>
      </c>
      <c r="BC2463" s="2">
        <v>17.864217587169001</v>
      </c>
      <c r="BD2463" s="2">
        <v>16.961896736689599</v>
      </c>
      <c r="BE2463" s="2">
        <v>18.132732210921599</v>
      </c>
      <c r="BF2463" s="2">
        <v>16.790695051204001</v>
      </c>
      <c r="BG2463" s="2">
        <v>16.1795979364794</v>
      </c>
      <c r="BH2463" s="2">
        <v>18.932525480063799</v>
      </c>
      <c r="BI2463" s="2">
        <v>15.846570687312299</v>
      </c>
      <c r="BJ2463" s="2">
        <v>16.829358919012801</v>
      </c>
      <c r="BK2463" s="2">
        <v>17.918708193719201</v>
      </c>
      <c r="BL2463" s="2">
        <v>16.022245993791</v>
      </c>
      <c r="BM2463" s="2">
        <v>17.140634785317001</v>
      </c>
      <c r="BN2463" s="2">
        <v>18.172045033202899</v>
      </c>
      <c r="BO2463" s="2">
        <v>18.631339858541899</v>
      </c>
      <c r="BP2463" s="2">
        <v>15.255535032744399</v>
      </c>
      <c r="BQ2463" s="2">
        <v>18.0211480186194</v>
      </c>
      <c r="BR2463" s="2">
        <v>17.042393615010599</v>
      </c>
      <c r="BS2463" s="2">
        <v>17.2261350939172</v>
      </c>
      <c r="BT2463" s="2">
        <v>17.293602584714598</v>
      </c>
      <c r="BU2463" s="2">
        <v>17.228346637847601</v>
      </c>
      <c r="BV2463" s="2">
        <v>17.276896538568501</v>
      </c>
      <c r="BW2463" s="2">
        <v>15.873183581026099</v>
      </c>
      <c r="BX2463" s="2">
        <v>16.705748737752401</v>
      </c>
      <c r="BY2463" s="2">
        <v>18.616521132511402</v>
      </c>
      <c r="BZ2463" s="2">
        <v>16.9393814408023</v>
      </c>
      <c r="CA2463" s="2">
        <v>16.5906415768161</v>
      </c>
      <c r="CB2463" s="2">
        <v>16.401843989441598</v>
      </c>
      <c r="CC2463" s="2">
        <v>16.682491960655199</v>
      </c>
      <c r="CD2463" s="2">
        <v>17.7991189347206</v>
      </c>
      <c r="CE2463" s="2">
        <v>17.536752920383101</v>
      </c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</row>
    <row r="2464" spans="1:97">
      <c r="A2464" s="2" t="s">
        <v>21151</v>
      </c>
      <c r="B2464" s="2">
        <v>473.27494999999999</v>
      </c>
      <c r="C2464" s="2">
        <v>9.532</v>
      </c>
      <c r="D2464" s="2" t="s">
        <v>146</v>
      </c>
      <c r="E2464" s="2" t="s">
        <v>21152</v>
      </c>
      <c r="F2464" s="2" t="s">
        <v>21153</v>
      </c>
      <c r="G2464" s="2">
        <v>213669</v>
      </c>
      <c r="H2464" s="3" t="str">
        <f>HYPERLINK("https://cloud.oebiotech.com/#/lm/network/213669", "https://cloud.oebiotech.com/#/lm/network/213669")</f>
        <v>https://cloud.oebiotech.com/#/lm/network/213669</v>
      </c>
      <c r="I2464" s="2" t="s">
        <v>21154</v>
      </c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 t="s">
        <v>21155</v>
      </c>
      <c r="U2464" s="2" t="s">
        <v>21156</v>
      </c>
      <c r="V2464" s="2" t="s">
        <v>95</v>
      </c>
      <c r="W2464" s="2" t="s">
        <v>96</v>
      </c>
      <c r="X2464" s="2" t="s">
        <v>3216</v>
      </c>
      <c r="Y2464" s="2" t="s">
        <v>98</v>
      </c>
      <c r="Z2464" s="2" t="s">
        <v>99</v>
      </c>
      <c r="AA2464" s="2" t="s">
        <v>3217</v>
      </c>
      <c r="AB2464" s="2" t="s">
        <v>8443</v>
      </c>
      <c r="AC2464" s="2">
        <v>36.39</v>
      </c>
      <c r="AD2464" s="2">
        <v>84.33</v>
      </c>
      <c r="AE2464" s="2">
        <v>0</v>
      </c>
      <c r="AF2464" s="2" t="s">
        <v>21157</v>
      </c>
      <c r="AG2464" s="2" t="s">
        <v>157</v>
      </c>
      <c r="AH2464" s="2" t="s">
        <v>21158</v>
      </c>
      <c r="AI2464" s="2">
        <v>1.48</v>
      </c>
      <c r="AJ2464" s="2">
        <v>17.108700964586301</v>
      </c>
      <c r="AK2464" s="2">
        <v>16.562188006064101</v>
      </c>
      <c r="AL2464" s="2">
        <v>16.9482693480496</v>
      </c>
      <c r="AM2464" s="2">
        <v>16.581318879009899</v>
      </c>
      <c r="AN2464" s="2">
        <v>16.564349287983902</v>
      </c>
      <c r="AO2464" s="2">
        <v>16.093406009575901</v>
      </c>
      <c r="AP2464" s="2">
        <v>16.989108176657702</v>
      </c>
      <c r="AQ2464" s="2">
        <v>16.655368461149902</v>
      </c>
      <c r="AR2464" s="2">
        <v>17.5400580185762</v>
      </c>
      <c r="AS2464" s="2">
        <v>14.3877682913011</v>
      </c>
      <c r="AT2464" s="2">
        <v>14.959182850661801</v>
      </c>
      <c r="AU2464" s="2">
        <v>16.624697517846499</v>
      </c>
      <c r="AV2464" s="2">
        <v>17.231923997008799</v>
      </c>
      <c r="AW2464" s="2">
        <v>18.336648073038202</v>
      </c>
      <c r="AX2464" s="2">
        <v>13.1345562724399</v>
      </c>
      <c r="AY2464" s="2">
        <v>17.5999601188404</v>
      </c>
      <c r="AZ2464" s="2">
        <v>15.5831815144359</v>
      </c>
      <c r="BA2464" s="2">
        <v>14.169487398987901</v>
      </c>
      <c r="BB2464" s="2">
        <v>17.038678870125899</v>
      </c>
      <c r="BC2464" s="2">
        <v>14.994346364807001</v>
      </c>
      <c r="BD2464" s="2">
        <v>15.3973454037121</v>
      </c>
      <c r="BE2464" s="2">
        <v>15.6189383376474</v>
      </c>
      <c r="BF2464" s="2">
        <v>16.172817743002199</v>
      </c>
      <c r="BG2464" s="2">
        <v>9.6233145402724691</v>
      </c>
      <c r="BH2464" s="2">
        <v>15.5909732255577</v>
      </c>
      <c r="BI2464" s="2">
        <v>15.591266077142601</v>
      </c>
      <c r="BJ2464" s="2">
        <v>17.039751328691899</v>
      </c>
      <c r="BK2464" s="2">
        <v>16.371021583825598</v>
      </c>
      <c r="BL2464" s="2">
        <v>15.514404625490201</v>
      </c>
      <c r="BM2464" s="2">
        <v>18.502173062105999</v>
      </c>
      <c r="BN2464" s="2">
        <v>17.303886677937999</v>
      </c>
      <c r="BO2464" s="2">
        <v>9.6233145402724691</v>
      </c>
      <c r="BP2464" s="2">
        <v>16.0136480632219</v>
      </c>
      <c r="BQ2464" s="2">
        <v>17.442879527954599</v>
      </c>
      <c r="BR2464" s="2">
        <v>16.276891178587299</v>
      </c>
      <c r="BS2464" s="2">
        <v>18.981166802863299</v>
      </c>
      <c r="BT2464" s="2">
        <v>15.926587182580001</v>
      </c>
      <c r="BU2464" s="2">
        <v>16.086897727515399</v>
      </c>
      <c r="BV2464" s="2">
        <v>15.526294740960999</v>
      </c>
      <c r="BW2464" s="2">
        <v>15.1001736385578</v>
      </c>
      <c r="BX2464" s="2">
        <v>16.776612432838299</v>
      </c>
      <c r="BY2464" s="2">
        <v>18.070843578844499</v>
      </c>
      <c r="BZ2464" s="2">
        <v>16.176183475188299</v>
      </c>
      <c r="CA2464" s="2">
        <v>16.737225949654</v>
      </c>
      <c r="CB2464" s="2">
        <v>16.087635833285098</v>
      </c>
      <c r="CC2464" s="2">
        <v>15.884081779184299</v>
      </c>
      <c r="CD2464" s="2">
        <v>17.220776491496199</v>
      </c>
      <c r="CE2464" s="2">
        <v>14.2461638504848</v>
      </c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</row>
    <row r="2465" spans="1:97">
      <c r="A2465" s="2" t="s">
        <v>21159</v>
      </c>
      <c r="B2465" s="2">
        <v>323.04091</v>
      </c>
      <c r="C2465" s="2">
        <v>3.6779999999999999</v>
      </c>
      <c r="D2465" s="2" t="s">
        <v>146</v>
      </c>
      <c r="E2465" s="2" t="s">
        <v>21160</v>
      </c>
      <c r="F2465" s="2" t="s">
        <v>21161</v>
      </c>
      <c r="G2465" s="2">
        <v>210937</v>
      </c>
      <c r="H2465" s="3" t="str">
        <f>HYPERLINK("https://cloud.oebiotech.com/#/lm/network/210937", "https://cloud.oebiotech.com/#/lm/network/210937")</f>
        <v>https://cloud.oebiotech.com/#/lm/network/210937</v>
      </c>
      <c r="I2465" s="2" t="s">
        <v>21162</v>
      </c>
      <c r="J2465" s="2"/>
      <c r="K2465" s="2"/>
      <c r="L2465" s="2">
        <v>321727</v>
      </c>
      <c r="M2465" s="2"/>
      <c r="N2465" s="2"/>
      <c r="O2465" s="2"/>
      <c r="P2465" s="2"/>
      <c r="Q2465" s="2"/>
      <c r="R2465" s="2"/>
      <c r="S2465" s="2"/>
      <c r="T2465" s="2" t="s">
        <v>21163</v>
      </c>
      <c r="U2465" s="2" t="s">
        <v>21164</v>
      </c>
      <c r="V2465" s="2" t="s">
        <v>818</v>
      </c>
      <c r="W2465" s="2" t="s">
        <v>21165</v>
      </c>
      <c r="X2465" s="2" t="s">
        <v>375</v>
      </c>
      <c r="Y2465" s="2" t="s">
        <v>820</v>
      </c>
      <c r="Z2465" s="2" t="s">
        <v>21166</v>
      </c>
      <c r="AA2465" s="2"/>
      <c r="AB2465" s="2" t="s">
        <v>8443</v>
      </c>
      <c r="AC2465" s="2">
        <v>36.380000000000003</v>
      </c>
      <c r="AD2465" s="2">
        <v>93.94</v>
      </c>
      <c r="AE2465" s="2">
        <v>0</v>
      </c>
      <c r="AF2465" s="2" t="s">
        <v>5614</v>
      </c>
      <c r="AG2465" s="2" t="s">
        <v>194</v>
      </c>
      <c r="AH2465" s="2" t="s">
        <v>21167</v>
      </c>
      <c r="AI2465" s="2">
        <v>-3.41</v>
      </c>
      <c r="AJ2465" s="2">
        <v>16.814017738744699</v>
      </c>
      <c r="AK2465" s="2">
        <v>16.774370896936201</v>
      </c>
      <c r="AL2465" s="2">
        <v>16.268696415084101</v>
      </c>
      <c r="AM2465" s="2">
        <v>17.0721276832152</v>
      </c>
      <c r="AN2465" s="2">
        <v>16.738747785158498</v>
      </c>
      <c r="AO2465" s="2">
        <v>16.821930522827099</v>
      </c>
      <c r="AP2465" s="2">
        <v>17.162784188567301</v>
      </c>
      <c r="AQ2465" s="2">
        <v>17.245442869635902</v>
      </c>
      <c r="AR2465" s="2">
        <v>15.1770955804532</v>
      </c>
      <c r="AS2465" s="2">
        <v>14.689573811749</v>
      </c>
      <c r="AT2465" s="2">
        <v>16.221244228997101</v>
      </c>
      <c r="AU2465" s="2">
        <v>15.895227583166401</v>
      </c>
      <c r="AV2465" s="2">
        <v>16.527216893091701</v>
      </c>
      <c r="AW2465" s="2">
        <v>16.551029435752799</v>
      </c>
      <c r="AX2465" s="2">
        <v>16.247496256987802</v>
      </c>
      <c r="AY2465" s="2">
        <v>15.732678342687199</v>
      </c>
      <c r="AZ2465" s="2">
        <v>16.737428777776501</v>
      </c>
      <c r="BA2465" s="2">
        <v>15.4096879310153</v>
      </c>
      <c r="BB2465" s="2">
        <v>17.138660584178201</v>
      </c>
      <c r="BC2465" s="2">
        <v>16.778672267381701</v>
      </c>
      <c r="BD2465" s="2">
        <v>16.502770592628</v>
      </c>
      <c r="BE2465" s="2">
        <v>16.913309601180899</v>
      </c>
      <c r="BF2465" s="2">
        <v>16.805944218558601</v>
      </c>
      <c r="BG2465" s="2">
        <v>17.042288332813399</v>
      </c>
      <c r="BH2465" s="2">
        <v>16.249643289482801</v>
      </c>
      <c r="BI2465" s="2">
        <v>16.2247427724358</v>
      </c>
      <c r="BJ2465" s="2">
        <v>17.081615127105302</v>
      </c>
      <c r="BK2465" s="2">
        <v>16.793776650866299</v>
      </c>
      <c r="BL2465" s="2">
        <v>16.406464955484999</v>
      </c>
      <c r="BM2465" s="2">
        <v>17.1967405228696</v>
      </c>
      <c r="BN2465" s="2">
        <v>16.904781955114199</v>
      </c>
      <c r="BO2465" s="2">
        <v>16.8664746988091</v>
      </c>
      <c r="BP2465" s="2">
        <v>16.785247722739101</v>
      </c>
      <c r="BQ2465" s="2">
        <v>16.985233905540898</v>
      </c>
      <c r="BR2465" s="2">
        <v>16.7383105373106</v>
      </c>
      <c r="BS2465" s="2">
        <v>15.8358821426368</v>
      </c>
      <c r="BT2465" s="2">
        <v>16.552344586707001</v>
      </c>
      <c r="BU2465" s="2">
        <v>15.2670862171674</v>
      </c>
      <c r="BV2465" s="2">
        <v>17.142319296602199</v>
      </c>
      <c r="BW2465" s="2">
        <v>15.8023045597612</v>
      </c>
      <c r="BX2465" s="2">
        <v>17.065450741607201</v>
      </c>
      <c r="BY2465" s="2">
        <v>16.8655590603198</v>
      </c>
      <c r="BZ2465" s="2">
        <v>16.5826137742465</v>
      </c>
      <c r="CA2465" s="2">
        <v>16.953875072281399</v>
      </c>
      <c r="CB2465" s="2">
        <v>16.674009740005001</v>
      </c>
      <c r="CC2465" s="2">
        <v>15.5318252281275</v>
      </c>
      <c r="CD2465" s="2">
        <v>17.435287563968899</v>
      </c>
      <c r="CE2465" s="2">
        <v>17.303043750409099</v>
      </c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</row>
    <row r="2466" spans="1:97">
      <c r="A2466" s="2" t="s">
        <v>21168</v>
      </c>
      <c r="B2466" s="2">
        <v>415.14801</v>
      </c>
      <c r="C2466" s="2">
        <v>4.298</v>
      </c>
      <c r="D2466" s="2" t="s">
        <v>146</v>
      </c>
      <c r="E2466" s="2" t="s">
        <v>21169</v>
      </c>
      <c r="F2466" s="2" t="s">
        <v>21170</v>
      </c>
      <c r="G2466" s="2">
        <v>204270</v>
      </c>
      <c r="H2466" s="3" t="str">
        <f>HYPERLINK("https://cloud.oebiotech.com/#/lm/network/204270", "https://cloud.oebiotech.com/#/lm/network/204270")</f>
        <v>https://cloud.oebiotech.com/#/lm/network/204270</v>
      </c>
      <c r="I2466" s="2" t="s">
        <v>21171</v>
      </c>
      <c r="J2466" s="2">
        <v>423871</v>
      </c>
      <c r="K2466" s="2"/>
      <c r="L2466" s="2">
        <v>3025730</v>
      </c>
      <c r="M2466" s="2"/>
      <c r="N2466" s="2"/>
      <c r="O2466" s="2"/>
      <c r="P2466" s="2"/>
      <c r="Q2466" s="2"/>
      <c r="R2466" s="2"/>
      <c r="S2466" s="2"/>
      <c r="T2466" s="2" t="s">
        <v>21172</v>
      </c>
      <c r="U2466" s="2" t="s">
        <v>21173</v>
      </c>
      <c r="V2466" s="2" t="s">
        <v>553</v>
      </c>
      <c r="W2466" s="2" t="s">
        <v>2447</v>
      </c>
      <c r="X2466" s="2" t="s">
        <v>21174</v>
      </c>
      <c r="Y2466" s="2" t="s">
        <v>556</v>
      </c>
      <c r="Z2466" s="2" t="s">
        <v>2449</v>
      </c>
      <c r="AA2466" s="2" t="s">
        <v>21175</v>
      </c>
      <c r="AB2466" s="2" t="s">
        <v>8443</v>
      </c>
      <c r="AC2466" s="2">
        <v>36.369999999999997</v>
      </c>
      <c r="AD2466" s="2">
        <v>81.86</v>
      </c>
      <c r="AE2466" s="2">
        <v>0</v>
      </c>
      <c r="AF2466" s="2" t="s">
        <v>5614</v>
      </c>
      <c r="AG2466" s="2" t="s">
        <v>157</v>
      </c>
      <c r="AH2466" s="2" t="s">
        <v>21176</v>
      </c>
      <c r="AI2466" s="2">
        <v>-0.24</v>
      </c>
      <c r="AJ2466" s="2">
        <v>17.435763600156001</v>
      </c>
      <c r="AK2466" s="2">
        <v>17.607748510423299</v>
      </c>
      <c r="AL2466" s="2">
        <v>17.4501198220877</v>
      </c>
      <c r="AM2466" s="2">
        <v>17.123949407899602</v>
      </c>
      <c r="AN2466" s="2">
        <v>17.259642409045401</v>
      </c>
      <c r="AO2466" s="2">
        <v>17.488795873047401</v>
      </c>
      <c r="AP2466" s="2">
        <v>17.2311054649069</v>
      </c>
      <c r="AQ2466" s="2">
        <v>16.7949167574744</v>
      </c>
      <c r="AR2466" s="2">
        <v>9.6233145402724691</v>
      </c>
      <c r="AS2466" s="2">
        <v>9.6233145402724691</v>
      </c>
      <c r="AT2466" s="2">
        <v>9.6233145402724691</v>
      </c>
      <c r="AU2466" s="2">
        <v>9.6233145402724691</v>
      </c>
      <c r="AV2466" s="2">
        <v>17.719548385120699</v>
      </c>
      <c r="AW2466" s="2">
        <v>16.4421624076145</v>
      </c>
      <c r="AX2466" s="2">
        <v>17.541968383599599</v>
      </c>
      <c r="AY2466" s="2">
        <v>15.4136593289823</v>
      </c>
      <c r="AZ2466" s="2">
        <v>15.711650305479701</v>
      </c>
      <c r="BA2466" s="2">
        <v>15.648483980827599</v>
      </c>
      <c r="BB2466" s="2">
        <v>18.374240688281301</v>
      </c>
      <c r="BC2466" s="2">
        <v>14.9356305531108</v>
      </c>
      <c r="BD2466" s="2">
        <v>16.773591137436402</v>
      </c>
      <c r="BE2466" s="2">
        <v>19.294757704554002</v>
      </c>
      <c r="BF2466" s="2">
        <v>16.476666948449399</v>
      </c>
      <c r="BG2466" s="2">
        <v>18.400011837764598</v>
      </c>
      <c r="BH2466" s="2">
        <v>17.672796852196701</v>
      </c>
      <c r="BI2466" s="2">
        <v>18.770281097238101</v>
      </c>
      <c r="BJ2466" s="2">
        <v>17.874741802844898</v>
      </c>
      <c r="BK2466" s="2">
        <v>17.284921945023399</v>
      </c>
      <c r="BL2466" s="2">
        <v>17.179769652553201</v>
      </c>
      <c r="BM2466" s="2">
        <v>16.6159396474653</v>
      </c>
      <c r="BN2466" s="2">
        <v>9.6233145402724691</v>
      </c>
      <c r="BO2466" s="2">
        <v>9.6233145402724691</v>
      </c>
      <c r="BP2466" s="2">
        <v>17.098894122776901</v>
      </c>
      <c r="BQ2466" s="2">
        <v>16.531052582388099</v>
      </c>
      <c r="BR2466" s="2">
        <v>15.630440340432299</v>
      </c>
      <c r="BS2466" s="2">
        <v>16.893590330144601</v>
      </c>
      <c r="BT2466" s="2">
        <v>17.2115006930539</v>
      </c>
      <c r="BU2466" s="2">
        <v>14.6536876057726</v>
      </c>
      <c r="BV2466" s="2">
        <v>16.258289797591701</v>
      </c>
      <c r="BW2466" s="2">
        <v>9.6233145402724691</v>
      </c>
      <c r="BX2466" s="2">
        <v>16.378320090660299</v>
      </c>
      <c r="BY2466" s="2">
        <v>18.976676577871601</v>
      </c>
      <c r="BZ2466" s="2">
        <v>16.222091681767601</v>
      </c>
      <c r="CA2466" s="2">
        <v>15.6583345105569</v>
      </c>
      <c r="CB2466" s="2">
        <v>16.237372060608202</v>
      </c>
      <c r="CC2466" s="2">
        <v>16.437852996337199</v>
      </c>
      <c r="CD2466" s="2">
        <v>17.6826001113903</v>
      </c>
      <c r="CE2466" s="2">
        <v>16.455666275448099</v>
      </c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</row>
    <row r="2467" spans="1:97">
      <c r="A2467" s="2" t="s">
        <v>21177</v>
      </c>
      <c r="B2467" s="2">
        <v>336.25031999999999</v>
      </c>
      <c r="C2467" s="2">
        <v>8.8000000000000007</v>
      </c>
      <c r="D2467" s="2" t="s">
        <v>84</v>
      </c>
      <c r="E2467" s="2" t="s">
        <v>21178</v>
      </c>
      <c r="F2467" s="2" t="s">
        <v>21179</v>
      </c>
      <c r="G2467" s="2">
        <v>64168</v>
      </c>
      <c r="H2467" s="3" t="str">
        <f>HYPERLINK("https://cloud.oebiotech.com/#/lm/network/64168", "https://cloud.oebiotech.com/#/lm/network/64168")</f>
        <v>https://cloud.oebiotech.com/#/lm/network/64168</v>
      </c>
      <c r="I2467" s="2" t="s">
        <v>21180</v>
      </c>
      <c r="J2467" s="2"/>
      <c r="K2467" s="2"/>
      <c r="L2467" s="2">
        <v>85101333</v>
      </c>
      <c r="M2467" s="2"/>
      <c r="N2467" s="2"/>
      <c r="O2467" s="2"/>
      <c r="P2467" s="2"/>
      <c r="Q2467" s="2"/>
      <c r="R2467" s="2"/>
      <c r="S2467" s="2" t="s">
        <v>21181</v>
      </c>
      <c r="T2467" s="2" t="s">
        <v>21182</v>
      </c>
      <c r="U2467" s="2" t="s">
        <v>21183</v>
      </c>
      <c r="V2467" s="2" t="s">
        <v>95</v>
      </c>
      <c r="W2467" s="2" t="s">
        <v>180</v>
      </c>
      <c r="X2467" s="2" t="s">
        <v>3643</v>
      </c>
      <c r="Y2467" s="2" t="s">
        <v>98</v>
      </c>
      <c r="Z2467" s="2" t="s">
        <v>182</v>
      </c>
      <c r="AA2467" s="2" t="s">
        <v>3644</v>
      </c>
      <c r="AB2467" s="2" t="s">
        <v>8443</v>
      </c>
      <c r="AC2467" s="2">
        <v>36.369999999999997</v>
      </c>
      <c r="AD2467" s="2">
        <v>87.18</v>
      </c>
      <c r="AE2467" s="2">
        <v>0</v>
      </c>
      <c r="AF2467" s="2" t="s">
        <v>21184</v>
      </c>
      <c r="AG2467" s="2" t="s">
        <v>132</v>
      </c>
      <c r="AH2467" s="2" t="s">
        <v>8253</v>
      </c>
      <c r="AI2467" s="2">
        <v>8.92</v>
      </c>
      <c r="AJ2467" s="2">
        <v>20.718521805643299</v>
      </c>
      <c r="AK2467" s="2">
        <v>21.069487254081601</v>
      </c>
      <c r="AL2467" s="2">
        <v>20.816927180968801</v>
      </c>
      <c r="AM2467" s="2">
        <v>20.4862201860794</v>
      </c>
      <c r="AN2467" s="2">
        <v>20.703953077731299</v>
      </c>
      <c r="AO2467" s="2">
        <v>20.9073187661138</v>
      </c>
      <c r="AP2467" s="2">
        <v>21.182454453938</v>
      </c>
      <c r="AQ2467" s="2">
        <v>21.5018555002504</v>
      </c>
      <c r="AR2467" s="2">
        <v>21.396804268407401</v>
      </c>
      <c r="AS2467" s="2">
        <v>21.620927691045999</v>
      </c>
      <c r="AT2467" s="2">
        <v>21.609155624897902</v>
      </c>
      <c r="AU2467" s="2">
        <v>21.182411600586001</v>
      </c>
      <c r="AV2467" s="2">
        <v>21.313329497294699</v>
      </c>
      <c r="AW2467" s="2">
        <v>21.389977321890299</v>
      </c>
      <c r="AX2467" s="2">
        <v>21.551752512598298</v>
      </c>
      <c r="AY2467" s="2">
        <v>21.447890982692702</v>
      </c>
      <c r="AZ2467" s="2">
        <v>21.790700618558802</v>
      </c>
      <c r="BA2467" s="2">
        <v>20.529970813509401</v>
      </c>
      <c r="BB2467" s="2">
        <v>20.667169022617301</v>
      </c>
      <c r="BC2467" s="2">
        <v>20.671762799559001</v>
      </c>
      <c r="BD2467" s="2">
        <v>21.592274281668999</v>
      </c>
      <c r="BE2467" s="2">
        <v>21.646583029201899</v>
      </c>
      <c r="BF2467" s="2">
        <v>21.478372752869699</v>
      </c>
      <c r="BG2467" s="2">
        <v>21.006995179902798</v>
      </c>
      <c r="BH2467" s="2">
        <v>21.353374215976199</v>
      </c>
      <c r="BI2467" s="2">
        <v>21.1454403149672</v>
      </c>
      <c r="BJ2467" s="2">
        <v>21.5025078947968</v>
      </c>
      <c r="BK2467" s="2">
        <v>20.763648478723098</v>
      </c>
      <c r="BL2467" s="2">
        <v>21.625018124992501</v>
      </c>
      <c r="BM2467" s="2">
        <v>21.611361862644898</v>
      </c>
      <c r="BN2467" s="2">
        <v>21.6524660083908</v>
      </c>
      <c r="BO2467" s="2">
        <v>21.656468272597198</v>
      </c>
      <c r="BP2467" s="2">
        <v>21.537354337961599</v>
      </c>
      <c r="BQ2467" s="2">
        <v>20.7981880191623</v>
      </c>
      <c r="BR2467" s="2">
        <v>21.452816082440599</v>
      </c>
      <c r="BS2467" s="2">
        <v>21.428199599288099</v>
      </c>
      <c r="BT2467" s="2">
        <v>21.453151049954201</v>
      </c>
      <c r="BU2467" s="2">
        <v>21.583420648343601</v>
      </c>
      <c r="BV2467" s="2">
        <v>21.083156170251399</v>
      </c>
      <c r="BW2467" s="2">
        <v>21.483451281423601</v>
      </c>
      <c r="BX2467" s="2">
        <v>21.535240818726901</v>
      </c>
      <c r="BY2467" s="2">
        <v>21.312183722378698</v>
      </c>
      <c r="BZ2467" s="2">
        <v>21.429480284499402</v>
      </c>
      <c r="CA2467" s="2">
        <v>21.401933862591001</v>
      </c>
      <c r="CB2467" s="2">
        <v>21.5870131121588</v>
      </c>
      <c r="CC2467" s="2">
        <v>21.658460177788999</v>
      </c>
      <c r="CD2467" s="2">
        <v>21.745815968346299</v>
      </c>
      <c r="CE2467" s="2">
        <v>21.6223783418335</v>
      </c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</row>
    <row r="2468" spans="1:97">
      <c r="A2468" s="2" t="s">
        <v>21185</v>
      </c>
      <c r="B2468" s="2">
        <v>631.2405</v>
      </c>
      <c r="C2468" s="2">
        <v>8.6120000000000001</v>
      </c>
      <c r="D2468" s="2" t="s">
        <v>146</v>
      </c>
      <c r="E2468" s="2" t="s">
        <v>21186</v>
      </c>
      <c r="F2468" s="2" t="s">
        <v>21187</v>
      </c>
      <c r="G2468" s="2">
        <v>206360</v>
      </c>
      <c r="H2468" s="3" t="str">
        <f>HYPERLINK("https://cloud.oebiotech.com/#/lm/network/206360", "https://cloud.oebiotech.com/#/lm/network/206360")</f>
        <v>https://cloud.oebiotech.com/#/lm/network/206360</v>
      </c>
      <c r="I2468" s="2" t="s">
        <v>21188</v>
      </c>
      <c r="J2468" s="2"/>
      <c r="K2468" s="2"/>
      <c r="L2468" s="2">
        <v>181668</v>
      </c>
      <c r="M2468" s="2"/>
      <c r="N2468" s="2"/>
      <c r="O2468" s="2"/>
      <c r="P2468" s="2"/>
      <c r="Q2468" s="2"/>
      <c r="R2468" s="2"/>
      <c r="S2468" s="2"/>
      <c r="T2468" s="2" t="s">
        <v>21189</v>
      </c>
      <c r="U2468" s="2" t="s">
        <v>21190</v>
      </c>
      <c r="V2468" s="2" t="s">
        <v>5297</v>
      </c>
      <c r="W2468" s="2" t="s">
        <v>375</v>
      </c>
      <c r="X2468" s="2" t="s">
        <v>375</v>
      </c>
      <c r="Y2468" s="2" t="s">
        <v>5299</v>
      </c>
      <c r="Z2468" s="2"/>
      <c r="AA2468" s="2"/>
      <c r="AB2468" s="2" t="s">
        <v>8443</v>
      </c>
      <c r="AC2468" s="2">
        <v>36.36</v>
      </c>
      <c r="AD2468" s="2">
        <v>87.32</v>
      </c>
      <c r="AE2468" s="2">
        <v>0</v>
      </c>
      <c r="AF2468" s="2" t="s">
        <v>21191</v>
      </c>
      <c r="AG2468" s="2" t="s">
        <v>3880</v>
      </c>
      <c r="AH2468" s="2" t="s">
        <v>21192</v>
      </c>
      <c r="AI2468" s="2">
        <v>-8.5500000000000007</v>
      </c>
      <c r="AJ2468" s="2">
        <v>18.0721479951217</v>
      </c>
      <c r="AK2468" s="2">
        <v>17.8267594938144</v>
      </c>
      <c r="AL2468" s="2">
        <v>18.4532154433739</v>
      </c>
      <c r="AM2468" s="2">
        <v>18.32558610605</v>
      </c>
      <c r="AN2468" s="2">
        <v>18.2210329490362</v>
      </c>
      <c r="AO2468" s="2">
        <v>18.485578321190001</v>
      </c>
      <c r="AP2468" s="2">
        <v>18.451627114793901</v>
      </c>
      <c r="AQ2468" s="2">
        <v>18.400841337612398</v>
      </c>
      <c r="AR2468" s="2">
        <v>14.993127686312199</v>
      </c>
      <c r="AS2468" s="2">
        <v>16.770919227136201</v>
      </c>
      <c r="AT2468" s="2">
        <v>18.216235207983299</v>
      </c>
      <c r="AU2468" s="2">
        <v>15.525821135391499</v>
      </c>
      <c r="AV2468" s="2">
        <v>16.835349875169602</v>
      </c>
      <c r="AW2468" s="2">
        <v>18.271993745900499</v>
      </c>
      <c r="AX2468" s="2">
        <v>17.2123259556361</v>
      </c>
      <c r="AY2468" s="2">
        <v>17.880646907225099</v>
      </c>
      <c r="AZ2468" s="2">
        <v>15.7056442657896</v>
      </c>
      <c r="BA2468" s="2">
        <v>17.4094542515573</v>
      </c>
      <c r="BB2468" s="2">
        <v>18.337106337675401</v>
      </c>
      <c r="BC2468" s="2">
        <v>19.636539501035902</v>
      </c>
      <c r="BD2468" s="2">
        <v>16.135722711120799</v>
      </c>
      <c r="BE2468" s="2">
        <v>19.697356528876501</v>
      </c>
      <c r="BF2468" s="2">
        <v>17.126550218495399</v>
      </c>
      <c r="BG2468" s="2">
        <v>18.7936084844306</v>
      </c>
      <c r="BH2468" s="2">
        <v>17.9605509520316</v>
      </c>
      <c r="BI2468" s="2">
        <v>18.700971947007002</v>
      </c>
      <c r="BJ2468" s="2">
        <v>18.631316089477998</v>
      </c>
      <c r="BK2468" s="2">
        <v>17.2314900856469</v>
      </c>
      <c r="BL2468" s="2">
        <v>16.9353080317962</v>
      </c>
      <c r="BM2468" s="2">
        <v>14.5703775417188</v>
      </c>
      <c r="BN2468" s="2">
        <v>18.0650631281225</v>
      </c>
      <c r="BO2468" s="2">
        <v>17.726339913525401</v>
      </c>
      <c r="BP2468" s="2">
        <v>18.330123835978</v>
      </c>
      <c r="BQ2468" s="2">
        <v>17.4810730934026</v>
      </c>
      <c r="BR2468" s="2">
        <v>19.377412717252099</v>
      </c>
      <c r="BS2468" s="2">
        <v>17.9237249936109</v>
      </c>
      <c r="BT2468" s="2">
        <v>16.2431964882092</v>
      </c>
      <c r="BU2468" s="2">
        <v>17.711912066266201</v>
      </c>
      <c r="BV2468" s="2">
        <v>17.977753498433</v>
      </c>
      <c r="BW2468" s="2">
        <v>17.777447648865099</v>
      </c>
      <c r="BX2468" s="2">
        <v>17.001821260655099</v>
      </c>
      <c r="BY2468" s="2">
        <v>19.7037208971349</v>
      </c>
      <c r="BZ2468" s="2">
        <v>16.196826665730502</v>
      </c>
      <c r="CA2468" s="2">
        <v>17.790428556569999</v>
      </c>
      <c r="CB2468" s="2">
        <v>18.697246118455499</v>
      </c>
      <c r="CC2468" s="2">
        <v>17.77102217378</v>
      </c>
      <c r="CD2468" s="2">
        <v>19.104843706742901</v>
      </c>
      <c r="CE2468" s="2">
        <v>18.4939005093084</v>
      </c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</row>
    <row r="2469" spans="1:97">
      <c r="A2469" s="2" t="s">
        <v>21193</v>
      </c>
      <c r="B2469" s="2">
        <v>430.29469999999998</v>
      </c>
      <c r="C2469" s="2">
        <v>6.0519999999999996</v>
      </c>
      <c r="D2469" s="2" t="s">
        <v>84</v>
      </c>
      <c r="E2469" s="2" t="s">
        <v>21194</v>
      </c>
      <c r="F2469" s="2" t="s">
        <v>21195</v>
      </c>
      <c r="G2469" s="2">
        <v>35035</v>
      </c>
      <c r="H2469" s="3" t="str">
        <f>HYPERLINK("https://cloud.oebiotech.com/#/lm/network/35035", "https://cloud.oebiotech.com/#/lm/network/35035")</f>
        <v>https://cloud.oebiotech.com/#/lm/network/35035</v>
      </c>
      <c r="I2469" s="2"/>
      <c r="J2469" s="2"/>
      <c r="K2469" s="2" t="s">
        <v>21196</v>
      </c>
      <c r="L2469" s="2">
        <v>132555867</v>
      </c>
      <c r="M2469" s="2"/>
      <c r="N2469" s="2"/>
      <c r="O2469" s="2"/>
      <c r="P2469" s="2"/>
      <c r="Q2469" s="2"/>
      <c r="R2469" s="2"/>
      <c r="S2469" s="2"/>
      <c r="T2469" s="2" t="s">
        <v>21197</v>
      </c>
      <c r="U2469" s="2" t="s">
        <v>21198</v>
      </c>
      <c r="V2469" s="2" t="s">
        <v>553</v>
      </c>
      <c r="W2469" s="2" t="s">
        <v>2193</v>
      </c>
      <c r="X2469" s="2" t="s">
        <v>4866</v>
      </c>
      <c r="Y2469" s="2" t="s">
        <v>556</v>
      </c>
      <c r="Z2469" s="2" t="s">
        <v>2194</v>
      </c>
      <c r="AA2469" s="2" t="s">
        <v>4867</v>
      </c>
      <c r="AB2469" s="2" t="s">
        <v>8443</v>
      </c>
      <c r="AC2469" s="2">
        <v>36.36</v>
      </c>
      <c r="AD2469" s="2">
        <v>82.62</v>
      </c>
      <c r="AE2469" s="2">
        <v>0</v>
      </c>
      <c r="AF2469" s="2" t="s">
        <v>5614</v>
      </c>
      <c r="AG2469" s="2" t="s">
        <v>132</v>
      </c>
      <c r="AH2469" s="2" t="s">
        <v>9599</v>
      </c>
      <c r="AI2469" s="2">
        <v>1.1599999999999999</v>
      </c>
      <c r="AJ2469" s="2">
        <v>18.184424672400802</v>
      </c>
      <c r="AK2469" s="2">
        <v>18.3965102115897</v>
      </c>
      <c r="AL2469" s="2">
        <v>18.6233176485302</v>
      </c>
      <c r="AM2469" s="2">
        <v>18.5539430570646</v>
      </c>
      <c r="AN2469" s="2">
        <v>18.591622818355098</v>
      </c>
      <c r="AO2469" s="2">
        <v>18.748524521231399</v>
      </c>
      <c r="AP2469" s="2">
        <v>18.699957061503401</v>
      </c>
      <c r="AQ2469" s="2">
        <v>18.610555429977499</v>
      </c>
      <c r="AR2469" s="2">
        <v>17.974765171128599</v>
      </c>
      <c r="AS2469" s="2">
        <v>13.766373615901299</v>
      </c>
      <c r="AT2469" s="2">
        <v>17.784507177959298</v>
      </c>
      <c r="AU2469" s="2">
        <v>18.154682108465199</v>
      </c>
      <c r="AV2469" s="2">
        <v>18.734862869330598</v>
      </c>
      <c r="AW2469" s="2">
        <v>18.998737259991302</v>
      </c>
      <c r="AX2469" s="2">
        <v>18.057979669235401</v>
      </c>
      <c r="AY2469" s="2">
        <v>17.9178689343758</v>
      </c>
      <c r="AZ2469" s="2">
        <v>16.597658177501899</v>
      </c>
      <c r="BA2469" s="2">
        <v>17.9161936156944</v>
      </c>
      <c r="BB2469" s="2">
        <v>19.290520375710901</v>
      </c>
      <c r="BC2469" s="2">
        <v>18.842583357954801</v>
      </c>
      <c r="BD2469" s="2">
        <v>16.3528027932614</v>
      </c>
      <c r="BE2469" s="2">
        <v>18.931113731302599</v>
      </c>
      <c r="BF2469" s="2">
        <v>17.451135191228499</v>
      </c>
      <c r="BG2469" s="2">
        <v>18.116499006068</v>
      </c>
      <c r="BH2469" s="2">
        <v>16.0165552107227</v>
      </c>
      <c r="BI2469" s="2">
        <v>18.6511557063697</v>
      </c>
      <c r="BJ2469" s="2">
        <v>19.405196965365</v>
      </c>
      <c r="BK2469" s="2">
        <v>17.188558518813899</v>
      </c>
      <c r="BL2469" s="2">
        <v>18.0181187140665</v>
      </c>
      <c r="BM2469" s="2">
        <v>17.513242288478999</v>
      </c>
      <c r="BN2469" s="2">
        <v>17.582420165353302</v>
      </c>
      <c r="BO2469" s="2">
        <v>16.838653173210801</v>
      </c>
      <c r="BP2469" s="2">
        <v>19.070675557247402</v>
      </c>
      <c r="BQ2469" s="2">
        <v>18.309674494085399</v>
      </c>
      <c r="BR2469" s="2">
        <v>18.784855170191001</v>
      </c>
      <c r="BS2469" s="2">
        <v>18.849861369066101</v>
      </c>
      <c r="BT2469" s="2">
        <v>17.918262649153998</v>
      </c>
      <c r="BU2469" s="2">
        <v>18.558844399367199</v>
      </c>
      <c r="BV2469" s="2">
        <v>18.8992215163819</v>
      </c>
      <c r="BW2469" s="2">
        <v>17.7977615688283</v>
      </c>
      <c r="BX2469" s="2">
        <v>17.179933575202501</v>
      </c>
      <c r="BY2469" s="2">
        <v>21.018708801474201</v>
      </c>
      <c r="BZ2469" s="2">
        <v>18.0946548895086</v>
      </c>
      <c r="CA2469" s="2">
        <v>18.404975172243699</v>
      </c>
      <c r="CB2469" s="2">
        <v>18.4911029065319</v>
      </c>
      <c r="CC2469" s="2">
        <v>18.845099063875502</v>
      </c>
      <c r="CD2469" s="2">
        <v>19.6218259515752</v>
      </c>
      <c r="CE2469" s="2">
        <v>19.601620590517701</v>
      </c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</row>
    <row r="2470" spans="1:97">
      <c r="A2470" s="2" t="s">
        <v>21199</v>
      </c>
      <c r="B2470" s="2">
        <v>707.49022000000002</v>
      </c>
      <c r="C2470" s="2">
        <v>12.348000000000001</v>
      </c>
      <c r="D2470" s="2" t="s">
        <v>84</v>
      </c>
      <c r="E2470" s="2" t="s">
        <v>21200</v>
      </c>
      <c r="F2470" s="2" t="s">
        <v>21201</v>
      </c>
      <c r="G2470" s="2">
        <v>248691</v>
      </c>
      <c r="H2470" s="3" t="str">
        <f>HYPERLINK("https://cloud.oebiotech.com/#/lm/network/248691", "https://cloud.oebiotech.com/#/lm/network/248691")</f>
        <v>https://cloud.oebiotech.com/#/lm/network/248691</v>
      </c>
      <c r="I2470" s="2" t="s">
        <v>21202</v>
      </c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 t="s">
        <v>21203</v>
      </c>
      <c r="U2470" s="2" t="s">
        <v>21204</v>
      </c>
      <c r="V2470" s="2" t="s">
        <v>95</v>
      </c>
      <c r="W2470" s="2" t="s">
        <v>96</v>
      </c>
      <c r="X2470" s="2" t="s">
        <v>3216</v>
      </c>
      <c r="Y2470" s="2" t="s">
        <v>98</v>
      </c>
      <c r="Z2470" s="2" t="s">
        <v>99</v>
      </c>
      <c r="AA2470" s="2" t="s">
        <v>3217</v>
      </c>
      <c r="AB2470" s="2" t="s">
        <v>8443</v>
      </c>
      <c r="AC2470" s="2">
        <v>36.36</v>
      </c>
      <c r="AD2470" s="2">
        <v>74.52</v>
      </c>
      <c r="AE2470" s="2">
        <v>0</v>
      </c>
      <c r="AF2470" s="2" t="s">
        <v>5614</v>
      </c>
      <c r="AG2470" s="2" t="s">
        <v>3544</v>
      </c>
      <c r="AH2470" s="2" t="s">
        <v>21205</v>
      </c>
      <c r="AI2470" s="2">
        <v>-6.08</v>
      </c>
      <c r="AJ2470" s="2">
        <v>18.880181765636198</v>
      </c>
      <c r="AK2470" s="2">
        <v>19.031673906447299</v>
      </c>
      <c r="AL2470" s="2">
        <v>18.045450873942301</v>
      </c>
      <c r="AM2470" s="2">
        <v>18.704877569180699</v>
      </c>
      <c r="AN2470" s="2">
        <v>18.693737982074701</v>
      </c>
      <c r="AO2470" s="2">
        <v>18.170450056821501</v>
      </c>
      <c r="AP2470" s="2">
        <v>18.014942026134001</v>
      </c>
      <c r="AQ2470" s="2">
        <v>18.6489842008354</v>
      </c>
      <c r="AR2470" s="2">
        <v>18.8113526153702</v>
      </c>
      <c r="AS2470" s="2">
        <v>19.170518248643099</v>
      </c>
      <c r="AT2470" s="2">
        <v>18.698997908190002</v>
      </c>
      <c r="AU2470" s="2">
        <v>18.7468664822213</v>
      </c>
      <c r="AV2470" s="2">
        <v>18.807155054545799</v>
      </c>
      <c r="AW2470" s="2">
        <v>19.061375438418299</v>
      </c>
      <c r="AX2470" s="2">
        <v>18.9149204663332</v>
      </c>
      <c r="AY2470" s="2">
        <v>18.719358871445898</v>
      </c>
      <c r="AZ2470" s="2">
        <v>18.481644190147001</v>
      </c>
      <c r="BA2470" s="2">
        <v>18.160982250739199</v>
      </c>
      <c r="BB2470" s="2">
        <v>18.525526467551199</v>
      </c>
      <c r="BC2470" s="2">
        <v>18.893618827719699</v>
      </c>
      <c r="BD2470" s="2">
        <v>19.305341934070601</v>
      </c>
      <c r="BE2470" s="2">
        <v>18.300655488403098</v>
      </c>
      <c r="BF2470" s="2">
        <v>18.524524268898201</v>
      </c>
      <c r="BG2470" s="2">
        <v>18.8231350824204</v>
      </c>
      <c r="BH2470" s="2">
        <v>17.740748672864701</v>
      </c>
      <c r="BI2470" s="2">
        <v>18.645894598668601</v>
      </c>
      <c r="BJ2470" s="2">
        <v>18.838550755848001</v>
      </c>
      <c r="BK2470" s="2">
        <v>18.729214118457602</v>
      </c>
      <c r="BL2470" s="2">
        <v>18.705009611537299</v>
      </c>
      <c r="BM2470" s="2">
        <v>18.6676224268965</v>
      </c>
      <c r="BN2470" s="2">
        <v>18.785066390852698</v>
      </c>
      <c r="BO2470" s="2">
        <v>18.3291484793141</v>
      </c>
      <c r="BP2470" s="2">
        <v>18.056322990814699</v>
      </c>
      <c r="BQ2470" s="2">
        <v>17.970108587572</v>
      </c>
      <c r="BR2470" s="2">
        <v>18.8089468033169</v>
      </c>
      <c r="BS2470" s="2">
        <v>18.2813551791706</v>
      </c>
      <c r="BT2470" s="2">
        <v>18.906806030865901</v>
      </c>
      <c r="BU2470" s="2">
        <v>18.568467637145801</v>
      </c>
      <c r="BV2470" s="2">
        <v>18.766014113878001</v>
      </c>
      <c r="BW2470" s="2">
        <v>17.9849785092768</v>
      </c>
      <c r="BX2470" s="2">
        <v>18.853560664839399</v>
      </c>
      <c r="BY2470" s="2">
        <v>18.0608562820278</v>
      </c>
      <c r="BZ2470" s="2">
        <v>17.812910552648699</v>
      </c>
      <c r="CA2470" s="2">
        <v>17.806218689520701</v>
      </c>
      <c r="CB2470" s="2">
        <v>18.331452416342</v>
      </c>
      <c r="CC2470" s="2">
        <v>18.660108076165098</v>
      </c>
      <c r="CD2470" s="2">
        <v>18.217743901055599</v>
      </c>
      <c r="CE2470" s="2">
        <v>18.5251642816093</v>
      </c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</row>
    <row r="2471" spans="1:97">
      <c r="A2471" s="2" t="s">
        <v>21206</v>
      </c>
      <c r="B2471" s="2">
        <v>452.27746999999999</v>
      </c>
      <c r="C2471" s="2">
        <v>9.8130000000000006</v>
      </c>
      <c r="D2471" s="2" t="s">
        <v>146</v>
      </c>
      <c r="E2471" s="2" t="s">
        <v>21207</v>
      </c>
      <c r="F2471" s="2" t="s">
        <v>21208</v>
      </c>
      <c r="G2471" s="2">
        <v>21245</v>
      </c>
      <c r="H2471" s="3" t="str">
        <f>HYPERLINK("https://cloud.oebiotech.com/#/lm/network/21245", "https://cloud.oebiotech.com/#/lm/network/21245")</f>
        <v>https://cloud.oebiotech.com/#/lm/network/21245</v>
      </c>
      <c r="I2471" s="2"/>
      <c r="J2471" s="2"/>
      <c r="K2471" s="2" t="s">
        <v>21209</v>
      </c>
      <c r="L2471" s="2">
        <v>137323915</v>
      </c>
      <c r="M2471" s="2"/>
      <c r="N2471" s="2"/>
      <c r="O2471" s="2"/>
      <c r="P2471" s="2"/>
      <c r="Q2471" s="2"/>
      <c r="R2471" s="2"/>
      <c r="S2471" s="2"/>
      <c r="T2471" s="2" t="s">
        <v>21210</v>
      </c>
      <c r="U2471" s="2" t="s">
        <v>21211</v>
      </c>
      <c r="V2471" s="2" t="s">
        <v>95</v>
      </c>
      <c r="W2471" s="2" t="s">
        <v>202</v>
      </c>
      <c r="X2471" s="2" t="s">
        <v>327</v>
      </c>
      <c r="Y2471" s="2" t="s">
        <v>98</v>
      </c>
      <c r="Z2471" s="2" t="s">
        <v>204</v>
      </c>
      <c r="AA2471" s="2" t="s">
        <v>328</v>
      </c>
      <c r="AB2471" s="2" t="s">
        <v>8443</v>
      </c>
      <c r="AC2471" s="2">
        <v>36.36</v>
      </c>
      <c r="AD2471" s="2">
        <v>85.66</v>
      </c>
      <c r="AE2471" s="2">
        <v>0</v>
      </c>
      <c r="AF2471" s="2" t="s">
        <v>5614</v>
      </c>
      <c r="AG2471" s="2" t="s">
        <v>194</v>
      </c>
      <c r="AH2471" s="2" t="s">
        <v>569</v>
      </c>
      <c r="AI2471" s="2">
        <v>1.77</v>
      </c>
      <c r="AJ2471" s="2">
        <v>18.0029337632585</v>
      </c>
      <c r="AK2471" s="2">
        <v>18.889470363749801</v>
      </c>
      <c r="AL2471" s="2">
        <v>18.411238826774198</v>
      </c>
      <c r="AM2471" s="2">
        <v>18.903701679967401</v>
      </c>
      <c r="AN2471" s="2">
        <v>18.804742478700302</v>
      </c>
      <c r="AO2471" s="2">
        <v>18.7205400347001</v>
      </c>
      <c r="AP2471" s="2">
        <v>18.017986425952198</v>
      </c>
      <c r="AQ2471" s="2">
        <v>18.8826480043193</v>
      </c>
      <c r="AR2471" s="2">
        <v>18.8631327570296</v>
      </c>
      <c r="AS2471" s="2">
        <v>17.446696115269201</v>
      </c>
      <c r="AT2471" s="2">
        <v>18.585273631940101</v>
      </c>
      <c r="AU2471" s="2">
        <v>18.3773175166993</v>
      </c>
      <c r="AV2471" s="2">
        <v>18.642217998409201</v>
      </c>
      <c r="AW2471" s="2">
        <v>18.321833872835199</v>
      </c>
      <c r="AX2471" s="2">
        <v>18.246685169812199</v>
      </c>
      <c r="AY2471" s="2">
        <v>17.9119941555008</v>
      </c>
      <c r="AZ2471" s="2">
        <v>18.2518245237783</v>
      </c>
      <c r="BA2471" s="2">
        <v>18.232580896082698</v>
      </c>
      <c r="BB2471" s="2">
        <v>18.7161215653624</v>
      </c>
      <c r="BC2471" s="2">
        <v>18.2699457445209</v>
      </c>
      <c r="BD2471" s="2">
        <v>17.9989236200636</v>
      </c>
      <c r="BE2471" s="2">
        <v>18.022165407530501</v>
      </c>
      <c r="BF2471" s="2">
        <v>17.824147481159201</v>
      </c>
      <c r="BG2471" s="2">
        <v>18.731722080686598</v>
      </c>
      <c r="BH2471" s="2">
        <v>17.495540433367399</v>
      </c>
      <c r="BI2471" s="2">
        <v>19.424067909825499</v>
      </c>
      <c r="BJ2471" s="2">
        <v>18.371905596456902</v>
      </c>
      <c r="BK2471" s="2">
        <v>18.158537455017001</v>
      </c>
      <c r="BL2471" s="2">
        <v>18.601976539392101</v>
      </c>
      <c r="BM2471" s="2">
        <v>18.174932556267901</v>
      </c>
      <c r="BN2471" s="2">
        <v>18.216558121350399</v>
      </c>
      <c r="BO2471" s="2">
        <v>18.305207827988099</v>
      </c>
      <c r="BP2471" s="2">
        <v>18.7453934721281</v>
      </c>
      <c r="BQ2471" s="2">
        <v>18.234050608550401</v>
      </c>
      <c r="BR2471" s="2">
        <v>19.4216034787278</v>
      </c>
      <c r="BS2471" s="2">
        <v>19.5691166830415</v>
      </c>
      <c r="BT2471" s="2">
        <v>17.918133112017799</v>
      </c>
      <c r="BU2471" s="2">
        <v>19.367845521087201</v>
      </c>
      <c r="BV2471" s="2">
        <v>18.7932383031734</v>
      </c>
      <c r="BW2471" s="2">
        <v>16.412641953293502</v>
      </c>
      <c r="BX2471" s="2">
        <v>18.094564383212902</v>
      </c>
      <c r="BY2471" s="2">
        <v>19.251409040566301</v>
      </c>
      <c r="BZ2471" s="2">
        <v>18.169545287162901</v>
      </c>
      <c r="CA2471" s="2">
        <v>19.268915514090001</v>
      </c>
      <c r="CB2471" s="2">
        <v>19.207613721366801</v>
      </c>
      <c r="CC2471" s="2">
        <v>18.811521109440701</v>
      </c>
      <c r="CD2471" s="2">
        <v>19.126410997348302</v>
      </c>
      <c r="CE2471" s="2">
        <v>18.501674522749202</v>
      </c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</row>
    <row r="2472" spans="1:97">
      <c r="A2472" s="2" t="s">
        <v>21212</v>
      </c>
      <c r="B2472" s="2">
        <v>245.04678000000001</v>
      </c>
      <c r="C2472" s="2">
        <v>1.0189999999999999</v>
      </c>
      <c r="D2472" s="2" t="s">
        <v>146</v>
      </c>
      <c r="E2472" s="2" t="s">
        <v>21213</v>
      </c>
      <c r="F2472" s="2" t="s">
        <v>21214</v>
      </c>
      <c r="G2472" s="2">
        <v>56526</v>
      </c>
      <c r="H2472" s="3" t="str">
        <f>HYPERLINK("https://cloud.oebiotech.com/#/lm/network/56526", "https://cloud.oebiotech.com/#/lm/network/56526")</f>
        <v>https://cloud.oebiotech.com/#/lm/network/56526</v>
      </c>
      <c r="I2472" s="2" t="s">
        <v>21215</v>
      </c>
      <c r="J2472" s="2">
        <v>88163</v>
      </c>
      <c r="K2472" s="2"/>
      <c r="L2472" s="2">
        <v>9012</v>
      </c>
      <c r="M2472" s="2"/>
      <c r="N2472" s="2"/>
      <c r="O2472" s="2"/>
      <c r="P2472" s="2">
        <v>72752</v>
      </c>
      <c r="Q2472" s="2"/>
      <c r="R2472" s="2"/>
      <c r="S2472" s="2" t="s">
        <v>21216</v>
      </c>
      <c r="T2472" s="2" t="s">
        <v>21217</v>
      </c>
      <c r="U2472" s="2" t="s">
        <v>21218</v>
      </c>
      <c r="V2472" s="2" t="s">
        <v>385</v>
      </c>
      <c r="W2472" s="2" t="s">
        <v>386</v>
      </c>
      <c r="X2472" s="2" t="s">
        <v>375</v>
      </c>
      <c r="Y2472" s="2" t="s">
        <v>388</v>
      </c>
      <c r="Z2472" s="2" t="s">
        <v>389</v>
      </c>
      <c r="AA2472" s="2"/>
      <c r="AB2472" s="2" t="s">
        <v>8443</v>
      </c>
      <c r="AC2472" s="2">
        <v>36.35</v>
      </c>
      <c r="AD2472" s="2">
        <v>84.92</v>
      </c>
      <c r="AE2472" s="2">
        <v>0</v>
      </c>
      <c r="AF2472" s="2" t="s">
        <v>5614</v>
      </c>
      <c r="AG2472" s="2" t="s">
        <v>194</v>
      </c>
      <c r="AH2472" s="2" t="s">
        <v>21219</v>
      </c>
      <c r="AI2472" s="2">
        <v>-1.63</v>
      </c>
      <c r="AJ2472" s="2">
        <v>17.381038453702502</v>
      </c>
      <c r="AK2472" s="2">
        <v>17.635993388347401</v>
      </c>
      <c r="AL2472" s="2">
        <v>17.966315053705699</v>
      </c>
      <c r="AM2472" s="2">
        <v>17.735984656956202</v>
      </c>
      <c r="AN2472" s="2">
        <v>17.047837498070599</v>
      </c>
      <c r="AO2472" s="2">
        <v>17.4760730265075</v>
      </c>
      <c r="AP2472" s="2">
        <v>18.1041671949563</v>
      </c>
      <c r="AQ2472" s="2">
        <v>17.723050538657599</v>
      </c>
      <c r="AR2472" s="2">
        <v>18.108982627952201</v>
      </c>
      <c r="AS2472" s="2">
        <v>15.3540051694357</v>
      </c>
      <c r="AT2472" s="2">
        <v>17.278984053653801</v>
      </c>
      <c r="AU2472" s="2">
        <v>17.150937133760198</v>
      </c>
      <c r="AV2472" s="2">
        <v>17.402077905163999</v>
      </c>
      <c r="AW2472" s="2">
        <v>18.393250044271699</v>
      </c>
      <c r="AX2472" s="2">
        <v>18.0881936689754</v>
      </c>
      <c r="AY2472" s="2">
        <v>16.769973657968102</v>
      </c>
      <c r="AZ2472" s="2">
        <v>18.130657279957799</v>
      </c>
      <c r="BA2472" s="2">
        <v>16.824950290319201</v>
      </c>
      <c r="BB2472" s="2">
        <v>18.1463236449686</v>
      </c>
      <c r="BC2472" s="2">
        <v>17.110411430198599</v>
      </c>
      <c r="BD2472" s="2">
        <v>18.163228497661901</v>
      </c>
      <c r="BE2472" s="2">
        <v>17.969059258235699</v>
      </c>
      <c r="BF2472" s="2">
        <v>18.460315461248602</v>
      </c>
      <c r="BG2472" s="2">
        <v>18.787582656740401</v>
      </c>
      <c r="BH2472" s="2">
        <v>17.552033891528399</v>
      </c>
      <c r="BI2472" s="2">
        <v>17.619832447351399</v>
      </c>
      <c r="BJ2472" s="2">
        <v>18.242235679265999</v>
      </c>
      <c r="BK2472" s="2">
        <v>17.427624503842299</v>
      </c>
      <c r="BL2472" s="2">
        <v>17.718460431801901</v>
      </c>
      <c r="BM2472" s="2">
        <v>17.381358158260898</v>
      </c>
      <c r="BN2472" s="2">
        <v>18.037725231518898</v>
      </c>
      <c r="BO2472" s="2">
        <v>16.984610042888502</v>
      </c>
      <c r="BP2472" s="2">
        <v>18.236379006457</v>
      </c>
      <c r="BQ2472" s="2">
        <v>17.961958045847702</v>
      </c>
      <c r="BR2472" s="2">
        <v>17.9841970818573</v>
      </c>
      <c r="BS2472" s="2">
        <v>17.335981963763999</v>
      </c>
      <c r="BT2472" s="2">
        <v>18.062624809831</v>
      </c>
      <c r="BU2472" s="2">
        <v>18.507216844236499</v>
      </c>
      <c r="BV2472" s="2">
        <v>18.256568893385001</v>
      </c>
      <c r="BW2472" s="2">
        <v>16.871822115744799</v>
      </c>
      <c r="BX2472" s="2">
        <v>17.1498161729074</v>
      </c>
      <c r="BY2472" s="2">
        <v>17.000377817045599</v>
      </c>
      <c r="BZ2472" s="2">
        <v>18.276044505825102</v>
      </c>
      <c r="CA2472" s="2">
        <v>18.586555381978901</v>
      </c>
      <c r="CB2472" s="2">
        <v>17.268064306270102</v>
      </c>
      <c r="CC2472" s="2">
        <v>17.183935879338101</v>
      </c>
      <c r="CD2472" s="2">
        <v>18.254335814715699</v>
      </c>
      <c r="CE2472" s="2">
        <v>17.264976273015399</v>
      </c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</row>
    <row r="2473" spans="1:97">
      <c r="A2473" s="2" t="s">
        <v>21220</v>
      </c>
      <c r="B2473" s="2">
        <v>289.03625</v>
      </c>
      <c r="C2473" s="2">
        <v>0.85899999999999999</v>
      </c>
      <c r="D2473" s="2" t="s">
        <v>146</v>
      </c>
      <c r="E2473" s="2" t="s">
        <v>21221</v>
      </c>
      <c r="F2473" s="2" t="s">
        <v>21222</v>
      </c>
      <c r="G2473" s="2">
        <v>54416</v>
      </c>
      <c r="H2473" s="3" t="str">
        <f>HYPERLINK("https://cloud.oebiotech.com/#/lm/network/54416", "https://cloud.oebiotech.com/#/lm/network/54416")</f>
        <v>https://cloud.oebiotech.com/#/lm/network/54416</v>
      </c>
      <c r="I2473" s="2" t="s">
        <v>21223</v>
      </c>
      <c r="J2473" s="2">
        <v>68107</v>
      </c>
      <c r="K2473" s="2"/>
      <c r="L2473" s="2">
        <v>5281635</v>
      </c>
      <c r="M2473" s="2" t="s">
        <v>21224</v>
      </c>
      <c r="N2473" s="2"/>
      <c r="O2473" s="2"/>
      <c r="P2473" s="2">
        <v>5323</v>
      </c>
      <c r="Q2473" s="2"/>
      <c r="R2473" s="2"/>
      <c r="S2473" s="2" t="s">
        <v>21225</v>
      </c>
      <c r="T2473" s="2" t="s">
        <v>21226</v>
      </c>
      <c r="U2473" s="2" t="s">
        <v>21227</v>
      </c>
      <c r="V2473" s="2" t="s">
        <v>553</v>
      </c>
      <c r="W2473" s="2" t="s">
        <v>2193</v>
      </c>
      <c r="X2473" s="2" t="s">
        <v>4866</v>
      </c>
      <c r="Y2473" s="2" t="s">
        <v>556</v>
      </c>
      <c r="Z2473" s="2" t="s">
        <v>2194</v>
      </c>
      <c r="AA2473" s="2" t="s">
        <v>4867</v>
      </c>
      <c r="AB2473" s="2" t="s">
        <v>8443</v>
      </c>
      <c r="AC2473" s="2">
        <v>36.35</v>
      </c>
      <c r="AD2473" s="2">
        <v>90.61</v>
      </c>
      <c r="AE2473" s="2">
        <v>0</v>
      </c>
      <c r="AF2473" s="2" t="s">
        <v>5614</v>
      </c>
      <c r="AG2473" s="2" t="s">
        <v>157</v>
      </c>
      <c r="AH2473" s="2" t="s">
        <v>21228</v>
      </c>
      <c r="AI2473" s="2">
        <v>-2.77</v>
      </c>
      <c r="AJ2473" s="2">
        <v>20.552763767142899</v>
      </c>
      <c r="AK2473" s="2">
        <v>20.6176941241165</v>
      </c>
      <c r="AL2473" s="2">
        <v>20.7258644067722</v>
      </c>
      <c r="AM2473" s="2">
        <v>20.7669797693069</v>
      </c>
      <c r="AN2473" s="2">
        <v>20.7872098655249</v>
      </c>
      <c r="AO2473" s="2">
        <v>20.582936866458098</v>
      </c>
      <c r="AP2473" s="2">
        <v>20.614280933973099</v>
      </c>
      <c r="AQ2473" s="2">
        <v>20.6810767330944</v>
      </c>
      <c r="AR2473" s="2">
        <v>20.012004197436799</v>
      </c>
      <c r="AS2473" s="2">
        <v>20.015510785116</v>
      </c>
      <c r="AT2473" s="2">
        <v>20.332617384792702</v>
      </c>
      <c r="AU2473" s="2">
        <v>20.477387344937501</v>
      </c>
      <c r="AV2473" s="2">
        <v>20.581430398970799</v>
      </c>
      <c r="AW2473" s="2">
        <v>20.631742540760101</v>
      </c>
      <c r="AX2473" s="2">
        <v>20.0843345572546</v>
      </c>
      <c r="AY2473" s="2">
        <v>20.502694317443598</v>
      </c>
      <c r="AZ2473" s="2">
        <v>20.485760051751299</v>
      </c>
      <c r="BA2473" s="2">
        <v>20.428063561334</v>
      </c>
      <c r="BB2473" s="2">
        <v>20.755853143560302</v>
      </c>
      <c r="BC2473" s="2">
        <v>20.0790700936824</v>
      </c>
      <c r="BD2473" s="2">
        <v>20.876964863990999</v>
      </c>
      <c r="BE2473" s="2">
        <v>20.1487378533513</v>
      </c>
      <c r="BF2473" s="2">
        <v>20.616429622319799</v>
      </c>
      <c r="BG2473" s="2">
        <v>20.287916923426099</v>
      </c>
      <c r="BH2473" s="2">
        <v>20.205924253955001</v>
      </c>
      <c r="BI2473" s="2">
        <v>20.549185801768299</v>
      </c>
      <c r="BJ2473" s="2">
        <v>20.443629363123399</v>
      </c>
      <c r="BK2473" s="2">
        <v>20.192351709347701</v>
      </c>
      <c r="BL2473" s="2">
        <v>20.4601230758241</v>
      </c>
      <c r="BM2473" s="2">
        <v>21.1960578304801</v>
      </c>
      <c r="BN2473" s="2">
        <v>20.569205151506502</v>
      </c>
      <c r="BO2473" s="2">
        <v>19.786366459099899</v>
      </c>
      <c r="BP2473" s="2">
        <v>19.981121094856999</v>
      </c>
      <c r="BQ2473" s="2">
        <v>20.7341664122001</v>
      </c>
      <c r="BR2473" s="2">
        <v>19.657342317500301</v>
      </c>
      <c r="BS2473" s="2">
        <v>20.001931667407302</v>
      </c>
      <c r="BT2473" s="2">
        <v>20.165140760025601</v>
      </c>
      <c r="BU2473" s="2">
        <v>20.415653921933799</v>
      </c>
      <c r="BV2473" s="2">
        <v>20.633060369765701</v>
      </c>
      <c r="BW2473" s="2">
        <v>20.661104094765498</v>
      </c>
      <c r="BX2473" s="2">
        <v>20.7094973535261</v>
      </c>
      <c r="BY2473" s="2">
        <v>20.123211652452898</v>
      </c>
      <c r="BZ2473" s="2">
        <v>20.642624019205201</v>
      </c>
      <c r="CA2473" s="2">
        <v>19.813018941332199</v>
      </c>
      <c r="CB2473" s="2">
        <v>19.469663079475001</v>
      </c>
      <c r="CC2473" s="2">
        <v>20.323567069039001</v>
      </c>
      <c r="CD2473" s="2">
        <v>19.5413699314533</v>
      </c>
      <c r="CE2473" s="2">
        <v>19.8593315685373</v>
      </c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</row>
    <row r="2474" spans="1:97">
      <c r="A2474" s="2" t="s">
        <v>21229</v>
      </c>
      <c r="B2474" s="2">
        <v>323.13301000000001</v>
      </c>
      <c r="C2474" s="2">
        <v>5.8360000000000003</v>
      </c>
      <c r="D2474" s="2" t="s">
        <v>146</v>
      </c>
      <c r="E2474" s="2" t="s">
        <v>21230</v>
      </c>
      <c r="F2474" s="2" t="s">
        <v>21231</v>
      </c>
      <c r="G2474" s="2">
        <v>62515</v>
      </c>
      <c r="H2474" s="3" t="str">
        <f>HYPERLINK("https://cloud.oebiotech.com/#/lm/network/62515", "https://cloud.oebiotech.com/#/lm/network/62515")</f>
        <v>https://cloud.oebiotech.com/#/lm/network/62515</v>
      </c>
      <c r="I2474" s="2" t="s">
        <v>21232</v>
      </c>
      <c r="J2474" s="2">
        <v>93818</v>
      </c>
      <c r="K2474" s="2"/>
      <c r="L2474" s="2">
        <v>6420388</v>
      </c>
      <c r="M2474" s="2"/>
      <c r="N2474" s="2"/>
      <c r="O2474" s="2"/>
      <c r="P2474" s="2"/>
      <c r="Q2474" s="2"/>
      <c r="R2474" s="2"/>
      <c r="S2474" s="2" t="s">
        <v>21233</v>
      </c>
      <c r="T2474" s="2" t="s">
        <v>21234</v>
      </c>
      <c r="U2474" s="2" t="s">
        <v>21235</v>
      </c>
      <c r="V2474" s="2" t="s">
        <v>115</v>
      </c>
      <c r="W2474" s="2" t="s">
        <v>116</v>
      </c>
      <c r="X2474" s="2" t="s">
        <v>5270</v>
      </c>
      <c r="Y2474" s="2" t="s">
        <v>118</v>
      </c>
      <c r="Z2474" s="2" t="s">
        <v>119</v>
      </c>
      <c r="AA2474" s="2" t="s">
        <v>5271</v>
      </c>
      <c r="AB2474" s="2" t="s">
        <v>8443</v>
      </c>
      <c r="AC2474" s="2">
        <v>36.35</v>
      </c>
      <c r="AD2474" s="2">
        <v>84.62</v>
      </c>
      <c r="AE2474" s="2">
        <v>0</v>
      </c>
      <c r="AF2474" s="2" t="s">
        <v>5614</v>
      </c>
      <c r="AG2474" s="2" t="s">
        <v>3880</v>
      </c>
      <c r="AH2474" s="2" t="s">
        <v>21236</v>
      </c>
      <c r="AI2474" s="2">
        <v>8.0500000000000007</v>
      </c>
      <c r="AJ2474" s="2">
        <v>17.744411045309501</v>
      </c>
      <c r="AK2474" s="2">
        <v>18.0767210945084</v>
      </c>
      <c r="AL2474" s="2">
        <v>17.6544443659104</v>
      </c>
      <c r="AM2474" s="2">
        <v>17.914001923795102</v>
      </c>
      <c r="AN2474" s="2">
        <v>17.8412353305396</v>
      </c>
      <c r="AO2474" s="2">
        <v>17.844846722324501</v>
      </c>
      <c r="AP2474" s="2">
        <v>17.862939138454699</v>
      </c>
      <c r="AQ2474" s="2">
        <v>17.5161445298838</v>
      </c>
      <c r="AR2474" s="2">
        <v>13.437088821050301</v>
      </c>
      <c r="AS2474" s="2">
        <v>11.440422797220799</v>
      </c>
      <c r="AT2474" s="2">
        <v>14.6363210064131</v>
      </c>
      <c r="AU2474" s="2">
        <v>17.567768732080999</v>
      </c>
      <c r="AV2474" s="2">
        <v>11.8024719365383</v>
      </c>
      <c r="AW2474" s="2">
        <v>18.086919335218099</v>
      </c>
      <c r="AX2474" s="2">
        <v>13.527701798749399</v>
      </c>
      <c r="AY2474" s="2">
        <v>14.945025397798</v>
      </c>
      <c r="AZ2474" s="2">
        <v>13.2171686028869</v>
      </c>
      <c r="BA2474" s="2">
        <v>17.195832973369502</v>
      </c>
      <c r="BB2474" s="2">
        <v>18.945730356779801</v>
      </c>
      <c r="BC2474" s="2">
        <v>19.0564549854526</v>
      </c>
      <c r="BD2474" s="2">
        <v>9.6233145402724691</v>
      </c>
      <c r="BE2474" s="2">
        <v>9.6233145402724691</v>
      </c>
      <c r="BF2474" s="2">
        <v>16.175873465734899</v>
      </c>
      <c r="BG2474" s="2">
        <v>19.557747338570699</v>
      </c>
      <c r="BH2474" s="2">
        <v>12.8120749973165</v>
      </c>
      <c r="BI2474" s="2">
        <v>17.6550886875396</v>
      </c>
      <c r="BJ2474" s="2">
        <v>19.7382465189893</v>
      </c>
      <c r="BK2474" s="2">
        <v>18.9314422125593</v>
      </c>
      <c r="BL2474" s="2">
        <v>15.1595556338797</v>
      </c>
      <c r="BM2474" s="2">
        <v>15.537861450653001</v>
      </c>
      <c r="BN2474" s="2">
        <v>15.498169511656601</v>
      </c>
      <c r="BO2474" s="2">
        <v>17.798302567138499</v>
      </c>
      <c r="BP2474" s="2">
        <v>15.9895969543691</v>
      </c>
      <c r="BQ2474" s="2">
        <v>17.3710518823463</v>
      </c>
      <c r="BR2474" s="2">
        <v>12.8386189528335</v>
      </c>
      <c r="BS2474" s="2">
        <v>16.5334988642696</v>
      </c>
      <c r="BT2474" s="2">
        <v>13.590280608405701</v>
      </c>
      <c r="BU2474" s="2">
        <v>15.8587032306436</v>
      </c>
      <c r="BV2474" s="2">
        <v>18.484291491614499</v>
      </c>
      <c r="BW2474" s="2">
        <v>17.271123762089001</v>
      </c>
      <c r="BX2474" s="2">
        <v>9.6233145402724691</v>
      </c>
      <c r="BY2474" s="2">
        <v>14.8292168113478</v>
      </c>
      <c r="BZ2474" s="2">
        <v>12.729652604840799</v>
      </c>
      <c r="CA2474" s="2">
        <v>18.768398678630899</v>
      </c>
      <c r="CB2474" s="2">
        <v>15.521686925227</v>
      </c>
      <c r="CC2474" s="2">
        <v>17.3089099365442</v>
      </c>
      <c r="CD2474" s="2">
        <v>17.3390407994928</v>
      </c>
      <c r="CE2474" s="2">
        <v>18.906047955619599</v>
      </c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</row>
    <row r="2475" spans="1:97">
      <c r="A2475" s="2" t="s">
        <v>21237</v>
      </c>
      <c r="B2475" s="2">
        <v>449.98602</v>
      </c>
      <c r="C2475" s="2">
        <v>7.4050000000000002</v>
      </c>
      <c r="D2475" s="2" t="s">
        <v>146</v>
      </c>
      <c r="E2475" s="2" t="s">
        <v>21238</v>
      </c>
      <c r="F2475" s="2" t="s">
        <v>21239</v>
      </c>
      <c r="G2475" s="2">
        <v>83296</v>
      </c>
      <c r="H2475" s="3" t="str">
        <f>HYPERLINK("https://cloud.oebiotech.com/#/lm/network/83296", "https://cloud.oebiotech.com/#/lm/network/83296")</f>
        <v>https://cloud.oebiotech.com/#/lm/network/83296</v>
      </c>
      <c r="I2475" s="2" t="s">
        <v>21240</v>
      </c>
      <c r="J2475" s="2">
        <v>3065</v>
      </c>
      <c r="K2475" s="2"/>
      <c r="L2475" s="2">
        <v>119119</v>
      </c>
      <c r="M2475" s="2"/>
      <c r="N2475" s="2"/>
      <c r="O2475" s="2"/>
      <c r="P2475" s="2"/>
      <c r="Q2475" s="2"/>
      <c r="R2475" s="2"/>
      <c r="S2475" s="2" t="s">
        <v>21241</v>
      </c>
      <c r="T2475" s="2" t="s">
        <v>21242</v>
      </c>
      <c r="U2475" s="2" t="s">
        <v>21243</v>
      </c>
      <c r="V2475" s="2" t="s">
        <v>818</v>
      </c>
      <c r="W2475" s="2" t="s">
        <v>8374</v>
      </c>
      <c r="X2475" s="2" t="s">
        <v>8375</v>
      </c>
      <c r="Y2475" s="2" t="s">
        <v>820</v>
      </c>
      <c r="Z2475" s="2" t="s">
        <v>8376</v>
      </c>
      <c r="AA2475" s="2" t="s">
        <v>8377</v>
      </c>
      <c r="AB2475" s="2" t="s">
        <v>8443</v>
      </c>
      <c r="AC2475" s="2">
        <v>36.340000000000003</v>
      </c>
      <c r="AD2475" s="2">
        <v>92.26</v>
      </c>
      <c r="AE2475" s="2">
        <v>0</v>
      </c>
      <c r="AF2475" s="2" t="s">
        <v>5614</v>
      </c>
      <c r="AG2475" s="2" t="s">
        <v>194</v>
      </c>
      <c r="AH2475" s="2" t="s">
        <v>21244</v>
      </c>
      <c r="AI2475" s="2">
        <v>3.11</v>
      </c>
      <c r="AJ2475" s="2">
        <v>16.520820609356502</v>
      </c>
      <c r="AK2475" s="2">
        <v>16.526146927894601</v>
      </c>
      <c r="AL2475" s="2">
        <v>16.413103614017299</v>
      </c>
      <c r="AM2475" s="2">
        <v>16.6974373033588</v>
      </c>
      <c r="AN2475" s="2">
        <v>16.4711201272202</v>
      </c>
      <c r="AO2475" s="2">
        <v>16.623983768712201</v>
      </c>
      <c r="AP2475" s="2">
        <v>16.5221862622804</v>
      </c>
      <c r="AQ2475" s="2">
        <v>16.445248656842701</v>
      </c>
      <c r="AR2475" s="2">
        <v>16.3622972784088</v>
      </c>
      <c r="AS2475" s="2">
        <v>14.820920367399401</v>
      </c>
      <c r="AT2475" s="2">
        <v>16.655302628724002</v>
      </c>
      <c r="AU2475" s="2">
        <v>16.7860761048236</v>
      </c>
      <c r="AV2475" s="2">
        <v>14.954485783845399</v>
      </c>
      <c r="AW2475" s="2">
        <v>17.3271824498804</v>
      </c>
      <c r="AX2475" s="2">
        <v>13.4345969550064</v>
      </c>
      <c r="AY2475" s="2">
        <v>15.270802297965099</v>
      </c>
      <c r="AZ2475" s="2">
        <v>14.367832427988899</v>
      </c>
      <c r="BA2475" s="2">
        <v>17.064342907868301</v>
      </c>
      <c r="BB2475" s="2">
        <v>16.618142566192699</v>
      </c>
      <c r="BC2475" s="2">
        <v>16.260210026815901</v>
      </c>
      <c r="BD2475" s="2">
        <v>16.9050551817902</v>
      </c>
      <c r="BE2475" s="2">
        <v>14.9389377004709</v>
      </c>
      <c r="BF2475" s="2">
        <v>16.013776933930199</v>
      </c>
      <c r="BG2475" s="2">
        <v>15.634432463183201</v>
      </c>
      <c r="BH2475" s="2">
        <v>16.071232104601801</v>
      </c>
      <c r="BI2475" s="2">
        <v>15.332786241574899</v>
      </c>
      <c r="BJ2475" s="2">
        <v>18.2607183951522</v>
      </c>
      <c r="BK2475" s="2">
        <v>17.026260283151402</v>
      </c>
      <c r="BL2475" s="2">
        <v>15.8655936141504</v>
      </c>
      <c r="BM2475" s="2">
        <v>16.472511252636298</v>
      </c>
      <c r="BN2475" s="2">
        <v>17.068976085082401</v>
      </c>
      <c r="BO2475" s="2">
        <v>16.7984020593676</v>
      </c>
      <c r="BP2475" s="2">
        <v>9.6233145402724691</v>
      </c>
      <c r="BQ2475" s="2">
        <v>16.4068289729518</v>
      </c>
      <c r="BR2475" s="2">
        <v>15.608138135485399</v>
      </c>
      <c r="BS2475" s="2">
        <v>15.687830281655</v>
      </c>
      <c r="BT2475" s="2">
        <v>18.7081200646392</v>
      </c>
      <c r="BU2475" s="2">
        <v>16.944909333906399</v>
      </c>
      <c r="BV2475" s="2">
        <v>16.160401097315098</v>
      </c>
      <c r="BW2475" s="2">
        <v>13.519761549594</v>
      </c>
      <c r="BX2475" s="2">
        <v>16.592242988143301</v>
      </c>
      <c r="BY2475" s="2">
        <v>15.299002977959701</v>
      </c>
      <c r="BZ2475" s="2">
        <v>13.312787963391701</v>
      </c>
      <c r="CA2475" s="2">
        <v>15.792605523574499</v>
      </c>
      <c r="CB2475" s="2">
        <v>13.247832596173801</v>
      </c>
      <c r="CC2475" s="2">
        <v>16.7084607401443</v>
      </c>
      <c r="CD2475" s="2">
        <v>16.900198996700802</v>
      </c>
      <c r="CE2475" s="2">
        <v>17.219629311985098</v>
      </c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</row>
    <row r="2476" spans="1:97">
      <c r="A2476" s="2" t="s">
        <v>21245</v>
      </c>
      <c r="B2476" s="2">
        <v>334.23703999999998</v>
      </c>
      <c r="C2476" s="2">
        <v>6.8959999999999999</v>
      </c>
      <c r="D2476" s="2" t="s">
        <v>84</v>
      </c>
      <c r="E2476" s="2" t="s">
        <v>21246</v>
      </c>
      <c r="F2476" s="2" t="s">
        <v>21247</v>
      </c>
      <c r="G2476" s="2">
        <v>204540</v>
      </c>
      <c r="H2476" s="3" t="str">
        <f>HYPERLINK("https://cloud.oebiotech.com/#/lm/network/204540", "https://cloud.oebiotech.com/#/lm/network/204540")</f>
        <v>https://cloud.oebiotech.com/#/lm/network/204540</v>
      </c>
      <c r="I2476" s="2" t="s">
        <v>21248</v>
      </c>
      <c r="J2476" s="2">
        <v>43477</v>
      </c>
      <c r="K2476" s="2"/>
      <c r="L2476" s="2">
        <v>2562</v>
      </c>
      <c r="M2476" s="2"/>
      <c r="N2476" s="2"/>
      <c r="O2476" s="2"/>
      <c r="P2476" s="2"/>
      <c r="Q2476" s="2"/>
      <c r="R2476" s="2"/>
      <c r="S2476" s="2" t="s">
        <v>21249</v>
      </c>
      <c r="T2476" s="2" t="s">
        <v>21250</v>
      </c>
      <c r="U2476" s="2" t="s">
        <v>21251</v>
      </c>
      <c r="V2476" s="2" t="s">
        <v>385</v>
      </c>
      <c r="W2476" s="2" t="s">
        <v>386</v>
      </c>
      <c r="X2476" s="2" t="s">
        <v>375</v>
      </c>
      <c r="Y2476" s="2" t="s">
        <v>388</v>
      </c>
      <c r="Z2476" s="2" t="s">
        <v>389</v>
      </c>
      <c r="AA2476" s="2"/>
      <c r="AB2476" s="2" t="s">
        <v>8443</v>
      </c>
      <c r="AC2476" s="2">
        <v>36.340000000000003</v>
      </c>
      <c r="AD2476" s="2">
        <v>87.17</v>
      </c>
      <c r="AE2476" s="2">
        <v>0</v>
      </c>
      <c r="AF2476" s="2" t="s">
        <v>5614</v>
      </c>
      <c r="AG2476" s="2" t="s">
        <v>103</v>
      </c>
      <c r="AH2476" s="2" t="s">
        <v>21252</v>
      </c>
      <c r="AI2476" s="2">
        <v>2.09</v>
      </c>
      <c r="AJ2476" s="2">
        <v>17.812808171118899</v>
      </c>
      <c r="AK2476" s="2">
        <v>17.911416390700101</v>
      </c>
      <c r="AL2476" s="2">
        <v>17.709806756418601</v>
      </c>
      <c r="AM2476" s="2">
        <v>18.0730972053857</v>
      </c>
      <c r="AN2476" s="2">
        <v>18.072825871823099</v>
      </c>
      <c r="AO2476" s="2">
        <v>18.2036366335678</v>
      </c>
      <c r="AP2476" s="2">
        <v>18.152028992423901</v>
      </c>
      <c r="AQ2476" s="2">
        <v>18.123533552031901</v>
      </c>
      <c r="AR2476" s="2">
        <v>9.6233145402724691</v>
      </c>
      <c r="AS2476" s="2">
        <v>19.688699732213699</v>
      </c>
      <c r="AT2476" s="2">
        <v>9.6233145402724691</v>
      </c>
      <c r="AU2476" s="2">
        <v>15.122350386935899</v>
      </c>
      <c r="AV2476" s="2">
        <v>17.749768691280401</v>
      </c>
      <c r="AW2476" s="2">
        <v>17.4023642503426</v>
      </c>
      <c r="AX2476" s="2">
        <v>17.003943437357599</v>
      </c>
      <c r="AY2476" s="2">
        <v>17.727360714187</v>
      </c>
      <c r="AZ2476" s="2">
        <v>17.8837472855719</v>
      </c>
      <c r="BA2476" s="2">
        <v>14.6829347992315</v>
      </c>
      <c r="BB2476" s="2">
        <v>9.6233145402724691</v>
      </c>
      <c r="BC2476" s="2">
        <v>14.984998250857201</v>
      </c>
      <c r="BD2476" s="2">
        <v>16.263676331563701</v>
      </c>
      <c r="BE2476" s="2">
        <v>18.743674574734801</v>
      </c>
      <c r="BF2476" s="2">
        <v>17.830356871222499</v>
      </c>
      <c r="BG2476" s="2">
        <v>13.7037338219105</v>
      </c>
      <c r="BH2476" s="2">
        <v>17.462858972166199</v>
      </c>
      <c r="BI2476" s="2">
        <v>15.137549952064701</v>
      </c>
      <c r="BJ2476" s="2">
        <v>9.6233145402724691</v>
      </c>
      <c r="BK2476" s="2">
        <v>17.750921074593801</v>
      </c>
      <c r="BL2476" s="2">
        <v>16.5196204364259</v>
      </c>
      <c r="BM2476" s="2">
        <v>18.516124403564898</v>
      </c>
      <c r="BN2476" s="2">
        <v>17.226503920078301</v>
      </c>
      <c r="BO2476" s="2">
        <v>16.652559177947399</v>
      </c>
      <c r="BP2476" s="2">
        <v>18.464543157909201</v>
      </c>
      <c r="BQ2476" s="2">
        <v>17.933153739367601</v>
      </c>
      <c r="BR2476" s="2">
        <v>9.6233145402724691</v>
      </c>
      <c r="BS2476" s="2">
        <v>18.356934885476502</v>
      </c>
      <c r="BT2476" s="2">
        <v>14.130014644899999</v>
      </c>
      <c r="BU2476" s="2">
        <v>17.848516093717201</v>
      </c>
      <c r="BV2476" s="2">
        <v>9.6233145402724691</v>
      </c>
      <c r="BW2476" s="2">
        <v>9.6233145402724691</v>
      </c>
      <c r="BX2476" s="2">
        <v>17.958629798325799</v>
      </c>
      <c r="BY2476" s="2">
        <v>18.739393683872098</v>
      </c>
      <c r="BZ2476" s="2">
        <v>17.546698860674098</v>
      </c>
      <c r="CA2476" s="2">
        <v>14.139313121780701</v>
      </c>
      <c r="CB2476" s="2">
        <v>9.6233145402724691</v>
      </c>
      <c r="CC2476" s="2">
        <v>17.568946593204402</v>
      </c>
      <c r="CD2476" s="2">
        <v>18.7775152645956</v>
      </c>
      <c r="CE2476" s="2">
        <v>17.4048651462133</v>
      </c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</row>
    <row r="2477" spans="1:97">
      <c r="A2477" s="2" t="s">
        <v>21253</v>
      </c>
      <c r="B2477" s="2">
        <v>448.34273999999999</v>
      </c>
      <c r="C2477" s="2">
        <v>8.9550000000000001</v>
      </c>
      <c r="D2477" s="2" t="s">
        <v>146</v>
      </c>
      <c r="E2477" s="2" t="s">
        <v>21254</v>
      </c>
      <c r="F2477" s="2" t="s">
        <v>21255</v>
      </c>
      <c r="G2477" s="2">
        <v>198116</v>
      </c>
      <c r="H2477" s="3" t="str">
        <f>HYPERLINK("https://cloud.oebiotech.com/#/lm/network/198116", "https://cloud.oebiotech.com/#/lm/network/198116")</f>
        <v>https://cloud.oebiotech.com/#/lm/network/198116</v>
      </c>
      <c r="I2477" s="2" t="s">
        <v>21256</v>
      </c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 t="s">
        <v>21257</v>
      </c>
      <c r="U2477" s="2" t="s">
        <v>21258</v>
      </c>
      <c r="V2477" s="2" t="s">
        <v>95</v>
      </c>
      <c r="W2477" s="2" t="s">
        <v>96</v>
      </c>
      <c r="X2477" s="2" t="s">
        <v>97</v>
      </c>
      <c r="Y2477" s="2" t="s">
        <v>98</v>
      </c>
      <c r="Z2477" s="2" t="s">
        <v>99</v>
      </c>
      <c r="AA2477" s="2" t="s">
        <v>100</v>
      </c>
      <c r="AB2477" s="2" t="s">
        <v>8443</v>
      </c>
      <c r="AC2477" s="2">
        <v>36.32</v>
      </c>
      <c r="AD2477" s="2">
        <v>81.62</v>
      </c>
      <c r="AE2477" s="2">
        <v>0</v>
      </c>
      <c r="AF2477" s="2" t="s">
        <v>5614</v>
      </c>
      <c r="AG2477" s="2" t="s">
        <v>993</v>
      </c>
      <c r="AH2477" s="2" t="s">
        <v>21259</v>
      </c>
      <c r="AI2477" s="2">
        <v>0</v>
      </c>
      <c r="AJ2477" s="2">
        <v>18.363076429738999</v>
      </c>
      <c r="AK2477" s="2">
        <v>18.3802631950409</v>
      </c>
      <c r="AL2477" s="2">
        <v>18.169965359473199</v>
      </c>
      <c r="AM2477" s="2">
        <v>16.777583711860402</v>
      </c>
      <c r="AN2477" s="2">
        <v>17.993404035406801</v>
      </c>
      <c r="AO2477" s="2">
        <v>18.1944106029941</v>
      </c>
      <c r="AP2477" s="2">
        <v>18.4191130780737</v>
      </c>
      <c r="AQ2477" s="2">
        <v>18.021908769641001</v>
      </c>
      <c r="AR2477" s="2">
        <v>17.6900603292986</v>
      </c>
      <c r="AS2477" s="2">
        <v>9.6233145402724691</v>
      </c>
      <c r="AT2477" s="2">
        <v>17.352660399204201</v>
      </c>
      <c r="AU2477" s="2">
        <v>18.134120846303301</v>
      </c>
      <c r="AV2477" s="2">
        <v>17.084056580713</v>
      </c>
      <c r="AW2477" s="2">
        <v>20.726759820123601</v>
      </c>
      <c r="AX2477" s="2">
        <v>15.8247173930123</v>
      </c>
      <c r="AY2477" s="2">
        <v>18.098980863673301</v>
      </c>
      <c r="AZ2477" s="2">
        <v>13.5408182161244</v>
      </c>
      <c r="BA2477" s="2">
        <v>9.6233145402724691</v>
      </c>
      <c r="BB2477" s="2">
        <v>20.116436563690399</v>
      </c>
      <c r="BC2477" s="2">
        <v>16.932143686043201</v>
      </c>
      <c r="BD2477" s="2">
        <v>15.348935582048799</v>
      </c>
      <c r="BE2477" s="2">
        <v>15.8111611736966</v>
      </c>
      <c r="BF2477" s="2">
        <v>14.902539518836001</v>
      </c>
      <c r="BG2477" s="2">
        <v>9.6233145402724691</v>
      </c>
      <c r="BH2477" s="2">
        <v>17.1961023100923</v>
      </c>
      <c r="BI2477" s="2">
        <v>9.6233145402724691</v>
      </c>
      <c r="BJ2477" s="2">
        <v>16.371721691581701</v>
      </c>
      <c r="BK2477" s="2">
        <v>19.220090050875299</v>
      </c>
      <c r="BL2477" s="2">
        <v>9.6233145402724691</v>
      </c>
      <c r="BM2477" s="2">
        <v>18.728404012093499</v>
      </c>
      <c r="BN2477" s="2">
        <v>18.308998209575499</v>
      </c>
      <c r="BO2477" s="2">
        <v>9.6233145402724691</v>
      </c>
      <c r="BP2477" s="2">
        <v>9.6233145402724691</v>
      </c>
      <c r="BQ2477" s="2">
        <v>18.4470824995655</v>
      </c>
      <c r="BR2477" s="2">
        <v>18.0643104323924</v>
      </c>
      <c r="BS2477" s="2">
        <v>16.7401952722701</v>
      </c>
      <c r="BT2477" s="2">
        <v>14.606689744435901</v>
      </c>
      <c r="BU2477" s="2">
        <v>9.6233145402724691</v>
      </c>
      <c r="BV2477" s="2">
        <v>19.840683400964298</v>
      </c>
      <c r="BW2477" s="2">
        <v>13.375433185554501</v>
      </c>
      <c r="BX2477" s="2">
        <v>14.7342338291748</v>
      </c>
      <c r="BY2477" s="2">
        <v>14.8154753627591</v>
      </c>
      <c r="BZ2477" s="2">
        <v>15.3051240888745</v>
      </c>
      <c r="CA2477" s="2">
        <v>18.000618124554901</v>
      </c>
      <c r="CB2477" s="2">
        <v>16.407885962849601</v>
      </c>
      <c r="CC2477" s="2">
        <v>14.2719269268395</v>
      </c>
      <c r="CD2477" s="2">
        <v>17.797074488408899</v>
      </c>
      <c r="CE2477" s="2">
        <v>17.1429372856627</v>
      </c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</row>
    <row r="2478" spans="1:97">
      <c r="A2478" s="2" t="s">
        <v>21260</v>
      </c>
      <c r="B2478" s="2">
        <v>452.26227999999998</v>
      </c>
      <c r="C2478" s="2">
        <v>13.098000000000001</v>
      </c>
      <c r="D2478" s="2" t="s">
        <v>146</v>
      </c>
      <c r="E2478" s="2" t="s">
        <v>21261</v>
      </c>
      <c r="F2478" s="2" t="s">
        <v>21262</v>
      </c>
      <c r="G2478" s="2">
        <v>8830</v>
      </c>
      <c r="H2478" s="3" t="str">
        <f>HYPERLINK("https://cloud.oebiotech.com/#/lm/network/8830", "https://cloud.oebiotech.com/#/lm/network/8830")</f>
        <v>https://cloud.oebiotech.com/#/lm/network/8830</v>
      </c>
      <c r="I2478" s="2"/>
      <c r="J2478" s="2"/>
      <c r="K2478" s="2" t="s">
        <v>21263</v>
      </c>
      <c r="L2478" s="2"/>
      <c r="M2478" s="2"/>
      <c r="N2478" s="2"/>
      <c r="O2478" s="2"/>
      <c r="P2478" s="2"/>
      <c r="Q2478" s="2"/>
      <c r="R2478" s="2"/>
      <c r="S2478" s="2"/>
      <c r="T2478" s="2" t="s">
        <v>21264</v>
      </c>
      <c r="U2478" s="2" t="s">
        <v>21265</v>
      </c>
      <c r="V2478" s="2" t="s">
        <v>95</v>
      </c>
      <c r="W2478" s="2" t="s">
        <v>96</v>
      </c>
      <c r="X2478" s="2" t="s">
        <v>315</v>
      </c>
      <c r="Y2478" s="2" t="s">
        <v>98</v>
      </c>
      <c r="Z2478" s="2" t="s">
        <v>99</v>
      </c>
      <c r="AA2478" s="2" t="s">
        <v>316</v>
      </c>
      <c r="AB2478" s="2" t="s">
        <v>8443</v>
      </c>
      <c r="AC2478" s="2">
        <v>36.299999999999997</v>
      </c>
      <c r="AD2478" s="2">
        <v>60.13</v>
      </c>
      <c r="AE2478" s="2">
        <v>0</v>
      </c>
      <c r="AF2478" s="2" t="s">
        <v>5614</v>
      </c>
      <c r="AG2478" s="2" t="s">
        <v>4062</v>
      </c>
      <c r="AH2478" s="2" t="s">
        <v>21266</v>
      </c>
      <c r="AI2478" s="2">
        <v>-3.54</v>
      </c>
      <c r="AJ2478" s="2">
        <v>17.237217431194701</v>
      </c>
      <c r="AK2478" s="2">
        <v>17.2880128796623</v>
      </c>
      <c r="AL2478" s="2">
        <v>17.543662619672698</v>
      </c>
      <c r="AM2478" s="2">
        <v>17.269281396681102</v>
      </c>
      <c r="AN2478" s="2">
        <v>16.873342092642801</v>
      </c>
      <c r="AO2478" s="2">
        <v>17.3260643605654</v>
      </c>
      <c r="AP2478" s="2">
        <v>17.396704361027801</v>
      </c>
      <c r="AQ2478" s="2">
        <v>17.264728380217299</v>
      </c>
      <c r="AR2478" s="2">
        <v>16.948096039116098</v>
      </c>
      <c r="AS2478" s="2">
        <v>16.925056225380398</v>
      </c>
      <c r="AT2478" s="2">
        <v>17.075208472535699</v>
      </c>
      <c r="AU2478" s="2">
        <v>17.363858496282699</v>
      </c>
      <c r="AV2478" s="2">
        <v>16.962787695242099</v>
      </c>
      <c r="AW2478" s="2">
        <v>17.539854524935102</v>
      </c>
      <c r="AX2478" s="2">
        <v>17.356507679623999</v>
      </c>
      <c r="AY2478" s="2">
        <v>17.072501104371199</v>
      </c>
      <c r="AZ2478" s="2">
        <v>17.029440699295499</v>
      </c>
      <c r="BA2478" s="2">
        <v>16.975419111702699</v>
      </c>
      <c r="BB2478" s="2">
        <v>17.127302077901</v>
      </c>
      <c r="BC2478" s="2">
        <v>17.294262202233401</v>
      </c>
      <c r="BD2478" s="2">
        <v>17.278265588553602</v>
      </c>
      <c r="BE2478" s="2">
        <v>17.548034073867299</v>
      </c>
      <c r="BF2478" s="2">
        <v>17.020179026959401</v>
      </c>
      <c r="BG2478" s="2">
        <v>17.520766447338101</v>
      </c>
      <c r="BH2478" s="2">
        <v>17.338233840999301</v>
      </c>
      <c r="BI2478" s="2">
        <v>17.350768638505901</v>
      </c>
      <c r="BJ2478" s="2">
        <v>16.987765736619099</v>
      </c>
      <c r="BK2478" s="2">
        <v>16.622302964760198</v>
      </c>
      <c r="BL2478" s="2">
        <v>17.260127954365299</v>
      </c>
      <c r="BM2478" s="2">
        <v>17.408003349165899</v>
      </c>
      <c r="BN2478" s="2">
        <v>16.968217230784401</v>
      </c>
      <c r="BO2478" s="2">
        <v>16.978428934527901</v>
      </c>
      <c r="BP2478" s="2">
        <v>17.298641312951901</v>
      </c>
      <c r="BQ2478" s="2">
        <v>16.6898370838307</v>
      </c>
      <c r="BR2478" s="2">
        <v>17.025839668866901</v>
      </c>
      <c r="BS2478" s="2">
        <v>16.9963380973144</v>
      </c>
      <c r="BT2478" s="2">
        <v>17.243168589723702</v>
      </c>
      <c r="BU2478" s="2">
        <v>17.4267464791047</v>
      </c>
      <c r="BV2478" s="2">
        <v>17.274697547869199</v>
      </c>
      <c r="BW2478" s="2">
        <v>17.329748433252199</v>
      </c>
      <c r="BX2478" s="2">
        <v>17.6108932716486</v>
      </c>
      <c r="BY2478" s="2">
        <v>17.460958726506501</v>
      </c>
      <c r="BZ2478" s="2">
        <v>17.5014143417824</v>
      </c>
      <c r="CA2478" s="2">
        <v>17.312771037873699</v>
      </c>
      <c r="CB2478" s="2">
        <v>17.485618334339101</v>
      </c>
      <c r="CC2478" s="2">
        <v>17.242743908167899</v>
      </c>
      <c r="CD2478" s="2">
        <v>16.884222400809701</v>
      </c>
      <c r="CE2478" s="2">
        <v>17.273097407851498</v>
      </c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</row>
    <row r="2479" spans="1:97">
      <c r="A2479" s="2" t="s">
        <v>21267</v>
      </c>
      <c r="B2479" s="2">
        <v>453.07963999999998</v>
      </c>
      <c r="C2479" s="2">
        <v>9.484</v>
      </c>
      <c r="D2479" s="2" t="s">
        <v>146</v>
      </c>
      <c r="E2479" s="2" t="s">
        <v>21268</v>
      </c>
      <c r="F2479" s="2" t="s">
        <v>21269</v>
      </c>
      <c r="G2479" s="2">
        <v>207596</v>
      </c>
      <c r="H2479" s="3" t="str">
        <f>HYPERLINK("https://cloud.oebiotech.com/#/lm/network/207596", "https://cloud.oebiotech.com/#/lm/network/207596")</f>
        <v>https://cloud.oebiotech.com/#/lm/network/207596</v>
      </c>
      <c r="I2479" s="2" t="s">
        <v>21270</v>
      </c>
      <c r="J2479" s="2"/>
      <c r="K2479" s="2"/>
      <c r="L2479" s="2">
        <v>90472028</v>
      </c>
      <c r="M2479" s="2"/>
      <c r="N2479" s="2"/>
      <c r="O2479" s="2"/>
      <c r="P2479" s="2"/>
      <c r="Q2479" s="2"/>
      <c r="R2479" s="2"/>
      <c r="S2479" s="2"/>
      <c r="T2479" s="2" t="s">
        <v>21271</v>
      </c>
      <c r="U2479" s="2" t="s">
        <v>21272</v>
      </c>
      <c r="V2479" s="2" t="s">
        <v>115</v>
      </c>
      <c r="W2479" s="2" t="s">
        <v>116</v>
      </c>
      <c r="X2479" s="2" t="s">
        <v>117</v>
      </c>
      <c r="Y2479" s="2" t="s">
        <v>118</v>
      </c>
      <c r="Z2479" s="2" t="s">
        <v>119</v>
      </c>
      <c r="AA2479" s="2" t="s">
        <v>120</v>
      </c>
      <c r="AB2479" s="2" t="s">
        <v>8443</v>
      </c>
      <c r="AC2479" s="2">
        <v>36.29</v>
      </c>
      <c r="AD2479" s="2">
        <v>86.42</v>
      </c>
      <c r="AE2479" s="2">
        <v>0</v>
      </c>
      <c r="AF2479" s="2" t="s">
        <v>5614</v>
      </c>
      <c r="AG2479" s="2" t="s">
        <v>3880</v>
      </c>
      <c r="AH2479" s="2" t="s">
        <v>15679</v>
      </c>
      <c r="AI2479" s="2">
        <v>-1.99</v>
      </c>
      <c r="AJ2479" s="2">
        <v>17.0669855496017</v>
      </c>
      <c r="AK2479" s="2">
        <v>16.9272035330984</v>
      </c>
      <c r="AL2479" s="2">
        <v>17.251303394079301</v>
      </c>
      <c r="AM2479" s="2">
        <v>17.0483144452833</v>
      </c>
      <c r="AN2479" s="2">
        <v>16.8242088403208</v>
      </c>
      <c r="AO2479" s="2">
        <v>16.821236856700299</v>
      </c>
      <c r="AP2479" s="2">
        <v>16.998233523948201</v>
      </c>
      <c r="AQ2479" s="2">
        <v>17.345936127477898</v>
      </c>
      <c r="AR2479" s="2">
        <v>16.900062283100201</v>
      </c>
      <c r="AS2479" s="2">
        <v>17.1407340285195</v>
      </c>
      <c r="AT2479" s="2">
        <v>17.0583244237008</v>
      </c>
      <c r="AU2479" s="2">
        <v>16.705703521487798</v>
      </c>
      <c r="AV2479" s="2">
        <v>16.747791491784</v>
      </c>
      <c r="AW2479" s="2">
        <v>16.952954937841799</v>
      </c>
      <c r="AX2479" s="2">
        <v>17.362845262069602</v>
      </c>
      <c r="AY2479" s="2">
        <v>17.3726318851323</v>
      </c>
      <c r="AZ2479" s="2">
        <v>16.8980917677838</v>
      </c>
      <c r="BA2479" s="2">
        <v>16.6849019972211</v>
      </c>
      <c r="BB2479" s="2">
        <v>17.0259997783504</v>
      </c>
      <c r="BC2479" s="2">
        <v>17.223210221544399</v>
      </c>
      <c r="BD2479" s="2">
        <v>16.609884557788899</v>
      </c>
      <c r="BE2479" s="2">
        <v>16.9935076388509</v>
      </c>
      <c r="BF2479" s="2">
        <v>16.987142190699402</v>
      </c>
      <c r="BG2479" s="2">
        <v>17.242167048829401</v>
      </c>
      <c r="BH2479" s="2">
        <v>16.994085890246598</v>
      </c>
      <c r="BI2479" s="2">
        <v>16.984708161471598</v>
      </c>
      <c r="BJ2479" s="2">
        <v>16.627971408639802</v>
      </c>
      <c r="BK2479" s="2">
        <v>17.254089132414499</v>
      </c>
      <c r="BL2479" s="2">
        <v>16.9046091042913</v>
      </c>
      <c r="BM2479" s="2">
        <v>16.788950361415498</v>
      </c>
      <c r="BN2479" s="2">
        <v>17.002421903234499</v>
      </c>
      <c r="BO2479" s="2">
        <v>17.0266317183906</v>
      </c>
      <c r="BP2479" s="2">
        <v>16.802671097175299</v>
      </c>
      <c r="BQ2479" s="2">
        <v>17.415757197836299</v>
      </c>
      <c r="BR2479" s="2">
        <v>16.947557724514699</v>
      </c>
      <c r="BS2479" s="2">
        <v>17.1449123170337</v>
      </c>
      <c r="BT2479" s="2">
        <v>16.6531438700178</v>
      </c>
      <c r="BU2479" s="2">
        <v>16.4804061927105</v>
      </c>
      <c r="BV2479" s="2">
        <v>16.649035792610999</v>
      </c>
      <c r="BW2479" s="2">
        <v>16.896588315765602</v>
      </c>
      <c r="BX2479" s="2">
        <v>16.883698011592799</v>
      </c>
      <c r="BY2479" s="2">
        <v>16.688334873721999</v>
      </c>
      <c r="BZ2479" s="2">
        <v>16.677658950068199</v>
      </c>
      <c r="CA2479" s="2">
        <v>17.0147442959343</v>
      </c>
      <c r="CB2479" s="2">
        <v>16.593126429336198</v>
      </c>
      <c r="CC2479" s="2">
        <v>17.0418266037039</v>
      </c>
      <c r="CD2479" s="2">
        <v>16.818197812016098</v>
      </c>
      <c r="CE2479" s="2">
        <v>16.529877361691199</v>
      </c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</row>
    <row r="2480" spans="1:97">
      <c r="A2480" s="2" t="s">
        <v>21273</v>
      </c>
      <c r="B2480" s="2">
        <v>361.03008</v>
      </c>
      <c r="C2480" s="2">
        <v>4.944</v>
      </c>
      <c r="D2480" s="2" t="s">
        <v>146</v>
      </c>
      <c r="E2480" s="2" t="s">
        <v>21274</v>
      </c>
      <c r="F2480" s="2" t="s">
        <v>21275</v>
      </c>
      <c r="G2480" s="2">
        <v>213521</v>
      </c>
      <c r="H2480" s="3" t="str">
        <f>HYPERLINK("https://cloud.oebiotech.com/#/lm/network/213521", "https://cloud.oebiotech.com/#/lm/network/213521")</f>
        <v>https://cloud.oebiotech.com/#/lm/network/213521</v>
      </c>
      <c r="I2480" s="2" t="s">
        <v>21276</v>
      </c>
      <c r="J2480" s="2"/>
      <c r="K2480" s="2"/>
      <c r="L2480" s="2">
        <v>57145059</v>
      </c>
      <c r="M2480" s="2"/>
      <c r="N2480" s="2"/>
      <c r="O2480" s="2"/>
      <c r="P2480" s="2"/>
      <c r="Q2480" s="2"/>
      <c r="R2480" s="2"/>
      <c r="S2480" s="2"/>
      <c r="T2480" s="2" t="s">
        <v>21277</v>
      </c>
      <c r="U2480" s="2" t="s">
        <v>21278</v>
      </c>
      <c r="V2480" s="2" t="s">
        <v>553</v>
      </c>
      <c r="W2480" s="2" t="s">
        <v>949</v>
      </c>
      <c r="X2480" s="2" t="s">
        <v>950</v>
      </c>
      <c r="Y2480" s="2" t="s">
        <v>556</v>
      </c>
      <c r="Z2480" s="2" t="s">
        <v>951</v>
      </c>
      <c r="AA2480" s="2" t="s">
        <v>952</v>
      </c>
      <c r="AB2480" s="2" t="s">
        <v>8443</v>
      </c>
      <c r="AC2480" s="2">
        <v>36.28</v>
      </c>
      <c r="AD2480" s="2">
        <v>84.7</v>
      </c>
      <c r="AE2480" s="2">
        <v>0</v>
      </c>
      <c r="AF2480" s="2" t="s">
        <v>5614</v>
      </c>
      <c r="AG2480" s="2" t="s">
        <v>157</v>
      </c>
      <c r="AH2480" s="2" t="s">
        <v>21279</v>
      </c>
      <c r="AI2480" s="2">
        <v>-1.66</v>
      </c>
      <c r="AJ2480" s="2">
        <v>16.123096857702301</v>
      </c>
      <c r="AK2480" s="2">
        <v>16.202907035631199</v>
      </c>
      <c r="AL2480" s="2">
        <v>15.6268768503865</v>
      </c>
      <c r="AM2480" s="2">
        <v>15.2192929505691</v>
      </c>
      <c r="AN2480" s="2">
        <v>16.183867374046301</v>
      </c>
      <c r="AO2480" s="2">
        <v>14.961574948027501</v>
      </c>
      <c r="AP2480" s="2">
        <v>15.7349969241456</v>
      </c>
      <c r="AQ2480" s="2">
        <v>16.1565948751294</v>
      </c>
      <c r="AR2480" s="2">
        <v>14.221688311777701</v>
      </c>
      <c r="AS2480" s="2">
        <v>13.5464724870324</v>
      </c>
      <c r="AT2480" s="2">
        <v>13.8764737801766</v>
      </c>
      <c r="AU2480" s="2">
        <v>16.694382782638101</v>
      </c>
      <c r="AV2480" s="2">
        <v>15.203921479570701</v>
      </c>
      <c r="AW2480" s="2">
        <v>15.1979895230008</v>
      </c>
      <c r="AX2480" s="2">
        <v>13.619413010597899</v>
      </c>
      <c r="AY2480" s="2">
        <v>9.6233145402724691</v>
      </c>
      <c r="AZ2480" s="2">
        <v>14.2563517123238</v>
      </c>
      <c r="BA2480" s="2">
        <v>16.798414590345001</v>
      </c>
      <c r="BB2480" s="2">
        <v>17.021811414160201</v>
      </c>
      <c r="BC2480" s="2">
        <v>16.975900348920199</v>
      </c>
      <c r="BD2480" s="2">
        <v>16.8704603277153</v>
      </c>
      <c r="BE2480" s="2">
        <v>15.111570956704099</v>
      </c>
      <c r="BF2480" s="2">
        <v>15.226564598003201</v>
      </c>
      <c r="BG2480" s="2">
        <v>15.508791969549099</v>
      </c>
      <c r="BH2480" s="2">
        <v>16.4882054334518</v>
      </c>
      <c r="BI2480" s="2">
        <v>13.312868777786999</v>
      </c>
      <c r="BJ2480" s="2">
        <v>17.366728768804499</v>
      </c>
      <c r="BK2480" s="2">
        <v>17.4585688207939</v>
      </c>
      <c r="BL2480" s="2">
        <v>15.812909048933401</v>
      </c>
      <c r="BM2480" s="2">
        <v>15.5280966282818</v>
      </c>
      <c r="BN2480" s="2">
        <v>16.137611987566999</v>
      </c>
      <c r="BO2480" s="2">
        <v>16.544082395536599</v>
      </c>
      <c r="BP2480" s="2">
        <v>12.3487336860266</v>
      </c>
      <c r="BQ2480" s="2">
        <v>14.8650266334107</v>
      </c>
      <c r="BR2480" s="2">
        <v>12.2900303700099</v>
      </c>
      <c r="BS2480" s="2">
        <v>14.751370406398999</v>
      </c>
      <c r="BT2480" s="2">
        <v>17.5941211856812</v>
      </c>
      <c r="BU2480" s="2">
        <v>16.9386817270974</v>
      </c>
      <c r="BV2480" s="2">
        <v>16.558782716855902</v>
      </c>
      <c r="BW2480" s="2">
        <v>15.8977410118411</v>
      </c>
      <c r="BX2480" s="2">
        <v>16.575274360112001</v>
      </c>
      <c r="BY2480" s="2">
        <v>15.926927637926299</v>
      </c>
      <c r="BZ2480" s="2">
        <v>14.027115510672701</v>
      </c>
      <c r="CA2480" s="2">
        <v>15.8556396235854</v>
      </c>
      <c r="CB2480" s="2">
        <v>15.6897951873412</v>
      </c>
      <c r="CC2480" s="2">
        <v>14.0926464904224</v>
      </c>
      <c r="CD2480" s="2">
        <v>16.758810725723201</v>
      </c>
      <c r="CE2480" s="2">
        <v>16.920883509347799</v>
      </c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</row>
    <row r="2481" spans="1:97">
      <c r="A2481" s="2" t="s">
        <v>21280</v>
      </c>
      <c r="B2481" s="2">
        <v>359.04318999999998</v>
      </c>
      <c r="C2481" s="2">
        <v>0.72599999999999998</v>
      </c>
      <c r="D2481" s="2" t="s">
        <v>84</v>
      </c>
      <c r="E2481" s="2" t="s">
        <v>21281</v>
      </c>
      <c r="F2481" s="2" t="s">
        <v>21282</v>
      </c>
      <c r="G2481" s="2">
        <v>211377</v>
      </c>
      <c r="H2481" s="3" t="str">
        <f>HYPERLINK("https://cloud.oebiotech.com/#/lm/network/211377", "https://cloud.oebiotech.com/#/lm/network/211377")</f>
        <v>https://cloud.oebiotech.com/#/lm/network/211377</v>
      </c>
      <c r="I2481" s="2" t="s">
        <v>21283</v>
      </c>
      <c r="J2481" s="2"/>
      <c r="K2481" s="2"/>
      <c r="L2481" s="2">
        <v>54060380</v>
      </c>
      <c r="M2481" s="2"/>
      <c r="N2481" s="2"/>
      <c r="O2481" s="2"/>
      <c r="P2481" s="2"/>
      <c r="Q2481" s="2"/>
      <c r="R2481" s="2"/>
      <c r="S2481" s="2"/>
      <c r="T2481" s="2" t="s">
        <v>21284</v>
      </c>
      <c r="U2481" s="2" t="s">
        <v>21285</v>
      </c>
      <c r="V2481" s="2" t="s">
        <v>553</v>
      </c>
      <c r="W2481" s="2" t="s">
        <v>949</v>
      </c>
      <c r="X2481" s="2" t="s">
        <v>950</v>
      </c>
      <c r="Y2481" s="2" t="s">
        <v>556</v>
      </c>
      <c r="Z2481" s="2" t="s">
        <v>951</v>
      </c>
      <c r="AA2481" s="2" t="s">
        <v>952</v>
      </c>
      <c r="AB2481" s="2" t="s">
        <v>8443</v>
      </c>
      <c r="AC2481" s="2">
        <v>36.28</v>
      </c>
      <c r="AD2481" s="2">
        <v>91.7</v>
      </c>
      <c r="AE2481" s="2">
        <v>0</v>
      </c>
      <c r="AF2481" s="2" t="s">
        <v>21286</v>
      </c>
      <c r="AG2481" s="2" t="s">
        <v>1578</v>
      </c>
      <c r="AH2481" s="2" t="s">
        <v>21287</v>
      </c>
      <c r="AI2481" s="2">
        <v>-3.06</v>
      </c>
      <c r="AJ2481" s="2">
        <v>27.0106168848442</v>
      </c>
      <c r="AK2481" s="2">
        <v>27.007404722272401</v>
      </c>
      <c r="AL2481" s="2">
        <v>26.762440952818999</v>
      </c>
      <c r="AM2481" s="2">
        <v>27.218610716442701</v>
      </c>
      <c r="AN2481" s="2">
        <v>26.981614132713901</v>
      </c>
      <c r="AO2481" s="2">
        <v>27.302307941506701</v>
      </c>
      <c r="AP2481" s="2">
        <v>27.2263542229853</v>
      </c>
      <c r="AQ2481" s="2">
        <v>26.9975908139489</v>
      </c>
      <c r="AR2481" s="2">
        <v>27.1623543483032</v>
      </c>
      <c r="AS2481" s="2">
        <v>26.6188427614312</v>
      </c>
      <c r="AT2481" s="2">
        <v>27.108849499572202</v>
      </c>
      <c r="AU2481" s="2">
        <v>27.027842273600498</v>
      </c>
      <c r="AV2481" s="2">
        <v>27.119700603318599</v>
      </c>
      <c r="AW2481" s="2">
        <v>26.8739946871796</v>
      </c>
      <c r="AX2481" s="2">
        <v>27.1766506458927</v>
      </c>
      <c r="AY2481" s="2">
        <v>26.747491752978998</v>
      </c>
      <c r="AZ2481" s="2">
        <v>27.0653430212929</v>
      </c>
      <c r="BA2481" s="2">
        <v>26.7197863112699</v>
      </c>
      <c r="BB2481" s="2">
        <v>26.878372910076902</v>
      </c>
      <c r="BC2481" s="2">
        <v>26.720084035793199</v>
      </c>
      <c r="BD2481" s="2">
        <v>26.854505265088999</v>
      </c>
      <c r="BE2481" s="2">
        <v>27.0882828511923</v>
      </c>
      <c r="BF2481" s="2">
        <v>26.6842014473734</v>
      </c>
      <c r="BG2481" s="2">
        <v>26.726374764967002</v>
      </c>
      <c r="BH2481" s="2">
        <v>26.9374272584656</v>
      </c>
      <c r="BI2481" s="2">
        <v>26.910335689172701</v>
      </c>
      <c r="BJ2481" s="2">
        <v>26.957975607026398</v>
      </c>
      <c r="BK2481" s="2">
        <v>27.124532144562298</v>
      </c>
      <c r="BL2481" s="2">
        <v>24.640814576218599</v>
      </c>
      <c r="BM2481" s="2">
        <v>26.8582319769923</v>
      </c>
      <c r="BN2481" s="2">
        <v>27.2935595645456</v>
      </c>
      <c r="BO2481" s="2">
        <v>27.163444087695598</v>
      </c>
      <c r="BP2481" s="2">
        <v>27.0656106782723</v>
      </c>
      <c r="BQ2481" s="2">
        <v>26.8568524092967</v>
      </c>
      <c r="BR2481" s="2">
        <v>26.987305801319799</v>
      </c>
      <c r="BS2481" s="2">
        <v>27.0253975355301</v>
      </c>
      <c r="BT2481" s="2">
        <v>27.267749846744302</v>
      </c>
      <c r="BU2481" s="2">
        <v>27.0032760347075</v>
      </c>
      <c r="BV2481" s="2">
        <v>27.051984791947</v>
      </c>
      <c r="BW2481" s="2">
        <v>26.746404369653298</v>
      </c>
      <c r="BX2481" s="2">
        <v>27.190935488114601</v>
      </c>
      <c r="BY2481" s="2">
        <v>27.0228850328985</v>
      </c>
      <c r="BZ2481" s="2">
        <v>26.926488439616701</v>
      </c>
      <c r="CA2481" s="2">
        <v>27.182062412598199</v>
      </c>
      <c r="CB2481" s="2">
        <v>27.152735816935401</v>
      </c>
      <c r="CC2481" s="2">
        <v>27.182193194629701</v>
      </c>
      <c r="CD2481" s="2">
        <v>27.274817744188201</v>
      </c>
      <c r="CE2481" s="2">
        <v>26.812367179496299</v>
      </c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</row>
    <row r="2482" spans="1:97">
      <c r="A2482" s="2" t="s">
        <v>21288</v>
      </c>
      <c r="B2482" s="2">
        <v>341.11781999999999</v>
      </c>
      <c r="C2482" s="2">
        <v>4.0039999999999996</v>
      </c>
      <c r="D2482" s="2" t="s">
        <v>84</v>
      </c>
      <c r="E2482" s="2" t="s">
        <v>21289</v>
      </c>
      <c r="F2482" s="2" t="s">
        <v>21290</v>
      </c>
      <c r="G2482" s="2">
        <v>206065</v>
      </c>
      <c r="H2482" s="3" t="str">
        <f>HYPERLINK("https://cloud.oebiotech.com/#/lm/network/206065", "https://cloud.oebiotech.com/#/lm/network/206065")</f>
        <v>https://cloud.oebiotech.com/#/lm/network/206065</v>
      </c>
      <c r="I2482" s="2" t="s">
        <v>21291</v>
      </c>
      <c r="J2482" s="2">
        <v>72476</v>
      </c>
      <c r="K2482" s="2"/>
      <c r="L2482" s="2">
        <v>6719</v>
      </c>
      <c r="M2482" s="2" t="s">
        <v>21292</v>
      </c>
      <c r="N2482" s="2"/>
      <c r="O2482" s="2"/>
      <c r="P2482" s="2"/>
      <c r="Q2482" s="2"/>
      <c r="R2482" s="2"/>
      <c r="S2482" s="2" t="s">
        <v>21293</v>
      </c>
      <c r="T2482" s="2" t="s">
        <v>21294</v>
      </c>
      <c r="U2482" s="2" t="s">
        <v>21295</v>
      </c>
      <c r="V2482" s="2" t="s">
        <v>385</v>
      </c>
      <c r="W2482" s="2" t="s">
        <v>386</v>
      </c>
      <c r="X2482" s="2" t="s">
        <v>2011</v>
      </c>
      <c r="Y2482" s="2" t="s">
        <v>388</v>
      </c>
      <c r="Z2482" s="2" t="s">
        <v>389</v>
      </c>
      <c r="AA2482" s="2" t="s">
        <v>2012</v>
      </c>
      <c r="AB2482" s="2" t="s">
        <v>8443</v>
      </c>
      <c r="AC2482" s="2">
        <v>36.28</v>
      </c>
      <c r="AD2482" s="2">
        <v>85.18</v>
      </c>
      <c r="AE2482" s="2">
        <v>0</v>
      </c>
      <c r="AF2482" s="2" t="s">
        <v>21296</v>
      </c>
      <c r="AG2482" s="2" t="s">
        <v>103</v>
      </c>
      <c r="AH2482" s="2" t="s">
        <v>21297</v>
      </c>
      <c r="AI2482" s="2">
        <v>-1.76</v>
      </c>
      <c r="AJ2482" s="2">
        <v>18.0470710714178</v>
      </c>
      <c r="AK2482" s="2">
        <v>17.880420020332199</v>
      </c>
      <c r="AL2482" s="2">
        <v>18.219629595562001</v>
      </c>
      <c r="AM2482" s="2">
        <v>17.855621375579101</v>
      </c>
      <c r="AN2482" s="2">
        <v>18.095347054270199</v>
      </c>
      <c r="AO2482" s="2">
        <v>18.243517467969799</v>
      </c>
      <c r="AP2482" s="2">
        <v>18.192543982998298</v>
      </c>
      <c r="AQ2482" s="2">
        <v>18.092805393027</v>
      </c>
      <c r="AR2482" s="2">
        <v>9.6233145402724691</v>
      </c>
      <c r="AS2482" s="2">
        <v>14.189701807237</v>
      </c>
      <c r="AT2482" s="2">
        <v>17.213984840268399</v>
      </c>
      <c r="AU2482" s="2">
        <v>17.692548146204398</v>
      </c>
      <c r="AV2482" s="2">
        <v>18.275590885779302</v>
      </c>
      <c r="AW2482" s="2">
        <v>18.445947923254199</v>
      </c>
      <c r="AX2482" s="2">
        <v>18.0277742250098</v>
      </c>
      <c r="AY2482" s="2">
        <v>17.834269872933799</v>
      </c>
      <c r="AZ2482" s="2">
        <v>17.942009968689199</v>
      </c>
      <c r="BA2482" s="2">
        <v>16.233929129514699</v>
      </c>
      <c r="BB2482" s="2">
        <v>9.6233145402724691</v>
      </c>
      <c r="BC2482" s="2">
        <v>9.6233145402724691</v>
      </c>
      <c r="BD2482" s="2">
        <v>18.4844084091248</v>
      </c>
      <c r="BE2482" s="2">
        <v>18.121017779459699</v>
      </c>
      <c r="BF2482" s="2">
        <v>18.236187452938399</v>
      </c>
      <c r="BG2482" s="2">
        <v>9.6233145402724691</v>
      </c>
      <c r="BH2482" s="2">
        <v>18.801847046212799</v>
      </c>
      <c r="BI2482" s="2">
        <v>18.272668280992601</v>
      </c>
      <c r="BJ2482" s="2">
        <v>9.6233145402724691</v>
      </c>
      <c r="BK2482" s="2">
        <v>17.551834858322898</v>
      </c>
      <c r="BL2482" s="2">
        <v>17.515267177388399</v>
      </c>
      <c r="BM2482" s="2">
        <v>19.333972117650799</v>
      </c>
      <c r="BN2482" s="2">
        <v>18.354163102840399</v>
      </c>
      <c r="BO2482" s="2">
        <v>17.806578570245499</v>
      </c>
      <c r="BP2482" s="2">
        <v>18.712647665538501</v>
      </c>
      <c r="BQ2482" s="2">
        <v>18.2584119572414</v>
      </c>
      <c r="BR2482" s="2">
        <v>9.6233145402724691</v>
      </c>
      <c r="BS2482" s="2">
        <v>18.2588585456168</v>
      </c>
      <c r="BT2482" s="2">
        <v>9.6233145402724691</v>
      </c>
      <c r="BU2482" s="2">
        <v>18.043293864819201</v>
      </c>
      <c r="BV2482" s="2">
        <v>9.6233145402724691</v>
      </c>
      <c r="BW2482" s="2">
        <v>9.6233145402724691</v>
      </c>
      <c r="BX2482" s="2">
        <v>19.0041007818458</v>
      </c>
      <c r="BY2482" s="2">
        <v>19.682499470432401</v>
      </c>
      <c r="BZ2482" s="2">
        <v>9.6233145402724691</v>
      </c>
      <c r="CA2482" s="2">
        <v>15.624815727913001</v>
      </c>
      <c r="CB2482" s="2">
        <v>9.6233145402724691</v>
      </c>
      <c r="CC2482" s="2">
        <v>18.187363866194399</v>
      </c>
      <c r="CD2482" s="2">
        <v>18.7779516084255</v>
      </c>
      <c r="CE2482" s="2">
        <v>16.9029383217384</v>
      </c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</row>
    <row r="2483" spans="1:97">
      <c r="A2483" s="2" t="s">
        <v>21298</v>
      </c>
      <c r="B2483" s="2">
        <v>300.04599999999999</v>
      </c>
      <c r="C2483" s="2">
        <v>2.1960000000000002</v>
      </c>
      <c r="D2483" s="2" t="s">
        <v>146</v>
      </c>
      <c r="E2483" s="2" t="s">
        <v>21299</v>
      </c>
      <c r="F2483" s="2" t="s">
        <v>21300</v>
      </c>
      <c r="G2483" s="2">
        <v>203984</v>
      </c>
      <c r="H2483" s="3" t="str">
        <f>HYPERLINK("https://cloud.oebiotech.com/#/lm/network/203984", "https://cloud.oebiotech.com/#/lm/network/203984")</f>
        <v>https://cloud.oebiotech.com/#/lm/network/203984</v>
      </c>
      <c r="I2483" s="2" t="s">
        <v>21301</v>
      </c>
      <c r="J2483" s="2"/>
      <c r="K2483" s="2"/>
      <c r="L2483" s="2">
        <v>39941</v>
      </c>
      <c r="M2483" s="2"/>
      <c r="N2483" s="2"/>
      <c r="O2483" s="2"/>
      <c r="P2483" s="2">
        <v>76114</v>
      </c>
      <c r="Q2483" s="2"/>
      <c r="R2483" s="2"/>
      <c r="S2483" s="2"/>
      <c r="T2483" s="2" t="s">
        <v>21302</v>
      </c>
      <c r="U2483" s="2" t="s">
        <v>21303</v>
      </c>
      <c r="V2483" s="2" t="s">
        <v>553</v>
      </c>
      <c r="W2483" s="2" t="s">
        <v>554</v>
      </c>
      <c r="X2483" s="2" t="s">
        <v>10907</v>
      </c>
      <c r="Y2483" s="2" t="s">
        <v>556</v>
      </c>
      <c r="Z2483" s="2" t="s">
        <v>557</v>
      </c>
      <c r="AA2483" s="2" t="s">
        <v>10908</v>
      </c>
      <c r="AB2483" s="2" t="s">
        <v>5118</v>
      </c>
      <c r="AC2483" s="2">
        <v>36.270000000000003</v>
      </c>
      <c r="AD2483" s="2">
        <v>70.12</v>
      </c>
      <c r="AE2483" s="2">
        <v>69.05</v>
      </c>
      <c r="AF2483" s="2" t="s">
        <v>21304</v>
      </c>
      <c r="AG2483" s="2" t="s">
        <v>194</v>
      </c>
      <c r="AH2483" s="2" t="s">
        <v>21305</v>
      </c>
      <c r="AI2483" s="2">
        <v>-9</v>
      </c>
      <c r="AJ2483" s="2">
        <v>22.091854161196601</v>
      </c>
      <c r="AK2483" s="2">
        <v>21.9049900835291</v>
      </c>
      <c r="AL2483" s="2">
        <v>21.811812356602399</v>
      </c>
      <c r="AM2483" s="2">
        <v>21.2655339447982</v>
      </c>
      <c r="AN2483" s="2">
        <v>21.369039702536298</v>
      </c>
      <c r="AO2483" s="2">
        <v>21.6039629433728</v>
      </c>
      <c r="AP2483" s="2">
        <v>22.017137817574401</v>
      </c>
      <c r="AQ2483" s="2">
        <v>22.246399533394801</v>
      </c>
      <c r="AR2483" s="2">
        <v>21.463387434828899</v>
      </c>
      <c r="AS2483" s="2">
        <v>19.9262256068894</v>
      </c>
      <c r="AT2483" s="2">
        <v>20.481143314972702</v>
      </c>
      <c r="AU2483" s="2">
        <v>20.816712708259502</v>
      </c>
      <c r="AV2483" s="2">
        <v>21.130168391004698</v>
      </c>
      <c r="AW2483" s="2">
        <v>22.046980316867401</v>
      </c>
      <c r="AX2483" s="2">
        <v>21.671697723970301</v>
      </c>
      <c r="AY2483" s="2">
        <v>21.309102579802399</v>
      </c>
      <c r="AZ2483" s="2">
        <v>20.797805469991001</v>
      </c>
      <c r="BA2483" s="2">
        <v>21.0564673097164</v>
      </c>
      <c r="BB2483" s="2">
        <v>20.8409088038599</v>
      </c>
      <c r="BC2483" s="2">
        <v>22.021533103738001</v>
      </c>
      <c r="BD2483" s="2">
        <v>20.705665963916001</v>
      </c>
      <c r="BE2483" s="2">
        <v>21.600189599199101</v>
      </c>
      <c r="BF2483" s="2">
        <v>21.9616770370937</v>
      </c>
      <c r="BG2483" s="2">
        <v>20.944700373924299</v>
      </c>
      <c r="BH2483" s="2">
        <v>22.4530282171261</v>
      </c>
      <c r="BI2483" s="2">
        <v>21.3189524801979</v>
      </c>
      <c r="BJ2483" s="2">
        <v>21.830575324980799</v>
      </c>
      <c r="BK2483" s="2">
        <v>21.689115645242499</v>
      </c>
      <c r="BL2483" s="2">
        <v>21.154417133751501</v>
      </c>
      <c r="BM2483" s="2">
        <v>22.563257191336699</v>
      </c>
      <c r="BN2483" s="2">
        <v>22.103620861661099</v>
      </c>
      <c r="BO2483" s="2">
        <v>21.401245235469101</v>
      </c>
      <c r="BP2483" s="2">
        <v>21.112816998279499</v>
      </c>
      <c r="BQ2483" s="2">
        <v>20.798967838420101</v>
      </c>
      <c r="BR2483" s="2">
        <v>21.9180980100524</v>
      </c>
      <c r="BS2483" s="2">
        <v>21.901496342068</v>
      </c>
      <c r="BT2483" s="2">
        <v>20.652383459749402</v>
      </c>
      <c r="BU2483" s="2">
        <v>20.926647795879202</v>
      </c>
      <c r="BV2483" s="2">
        <v>20.861087019614899</v>
      </c>
      <c r="BW2483" s="2">
        <v>20.409497831089801</v>
      </c>
      <c r="BX2483" s="2">
        <v>21.1343323269389</v>
      </c>
      <c r="BY2483" s="2">
        <v>22.2098108072725</v>
      </c>
      <c r="BZ2483" s="2">
        <v>22.1199157606077</v>
      </c>
      <c r="CA2483" s="2">
        <v>21.959343798069099</v>
      </c>
      <c r="CB2483" s="2">
        <v>21.4624696762341</v>
      </c>
      <c r="CC2483" s="2">
        <v>20.509802727531799</v>
      </c>
      <c r="CD2483" s="2">
        <v>22.465029362944101</v>
      </c>
      <c r="CE2483" s="2">
        <v>21.596622176202999</v>
      </c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</row>
    <row r="2484" spans="1:97">
      <c r="A2484" s="2" t="s">
        <v>21306</v>
      </c>
      <c r="B2484" s="2">
        <v>397.31124999999997</v>
      </c>
      <c r="C2484" s="2">
        <v>9.532</v>
      </c>
      <c r="D2484" s="2" t="s">
        <v>84</v>
      </c>
      <c r="E2484" s="2" t="s">
        <v>21307</v>
      </c>
      <c r="F2484" s="2" t="s">
        <v>21308</v>
      </c>
      <c r="G2484" s="2">
        <v>45343</v>
      </c>
      <c r="H2484" s="3" t="str">
        <f>HYPERLINK("https://cloud.oebiotech.com/#/lm/network/45343", "https://cloud.oebiotech.com/#/lm/network/45343")</f>
        <v>https://cloud.oebiotech.com/#/lm/network/45343</v>
      </c>
      <c r="I2484" s="2"/>
      <c r="J2484" s="2"/>
      <c r="K2484" s="2" t="s">
        <v>21309</v>
      </c>
      <c r="L2484" s="2">
        <v>5283697</v>
      </c>
      <c r="M2484" s="2"/>
      <c r="N2484" s="2"/>
      <c r="O2484" s="2"/>
      <c r="P2484" s="2"/>
      <c r="Q2484" s="2"/>
      <c r="R2484" s="2"/>
      <c r="S2484" s="2"/>
      <c r="T2484" s="2" t="s">
        <v>21310</v>
      </c>
      <c r="U2484" s="2" t="s">
        <v>21311</v>
      </c>
      <c r="V2484" s="2" t="s">
        <v>95</v>
      </c>
      <c r="W2484" s="2" t="s">
        <v>152</v>
      </c>
      <c r="X2484" s="2" t="s">
        <v>1484</v>
      </c>
      <c r="Y2484" s="2" t="s">
        <v>98</v>
      </c>
      <c r="Z2484" s="2" t="s">
        <v>154</v>
      </c>
      <c r="AA2484" s="2" t="s">
        <v>1485</v>
      </c>
      <c r="AB2484" s="2" t="s">
        <v>8443</v>
      </c>
      <c r="AC2484" s="2">
        <v>36.26</v>
      </c>
      <c r="AD2484" s="2">
        <v>82.62</v>
      </c>
      <c r="AE2484" s="2">
        <v>0</v>
      </c>
      <c r="AF2484" s="2" t="s">
        <v>5614</v>
      </c>
      <c r="AG2484" s="2" t="s">
        <v>1088</v>
      </c>
      <c r="AH2484" s="2" t="s">
        <v>7959</v>
      </c>
      <c r="AI2484" s="2">
        <v>-1.26</v>
      </c>
      <c r="AJ2484" s="2">
        <v>17.9313118044671</v>
      </c>
      <c r="AK2484" s="2">
        <v>17.971566230596402</v>
      </c>
      <c r="AL2484" s="2">
        <v>18.379346000502899</v>
      </c>
      <c r="AM2484" s="2">
        <v>18.114213733795498</v>
      </c>
      <c r="AN2484" s="2">
        <v>18.0144194257552</v>
      </c>
      <c r="AO2484" s="2">
        <v>17.3498260591888</v>
      </c>
      <c r="AP2484" s="2">
        <v>17.922265862981899</v>
      </c>
      <c r="AQ2484" s="2">
        <v>17.747603292285302</v>
      </c>
      <c r="AR2484" s="2">
        <v>17.425846288865799</v>
      </c>
      <c r="AS2484" s="2">
        <v>17.307425590018699</v>
      </c>
      <c r="AT2484" s="2">
        <v>17.754837146802799</v>
      </c>
      <c r="AU2484" s="2">
        <v>17.5976346107282</v>
      </c>
      <c r="AV2484" s="2">
        <v>18.064495064421401</v>
      </c>
      <c r="AW2484" s="2">
        <v>18.3683210569389</v>
      </c>
      <c r="AX2484" s="2">
        <v>18.056979933600299</v>
      </c>
      <c r="AY2484" s="2">
        <v>18.046033467652599</v>
      </c>
      <c r="AZ2484" s="2">
        <v>17.460969761691999</v>
      </c>
      <c r="BA2484" s="2">
        <v>17.975965094921101</v>
      </c>
      <c r="BB2484" s="2">
        <v>18.027330723408099</v>
      </c>
      <c r="BC2484" s="2">
        <v>18.3601147511772</v>
      </c>
      <c r="BD2484" s="2">
        <v>18.012844105875299</v>
      </c>
      <c r="BE2484" s="2">
        <v>17.851745381977999</v>
      </c>
      <c r="BF2484" s="2">
        <v>17.458587243215099</v>
      </c>
      <c r="BG2484" s="2">
        <v>18.180084460858101</v>
      </c>
      <c r="BH2484" s="2">
        <v>17.890280073039101</v>
      </c>
      <c r="BI2484" s="2">
        <v>17.9254033592619</v>
      </c>
      <c r="BJ2484" s="2">
        <v>18.065121205767198</v>
      </c>
      <c r="BK2484" s="2">
        <v>17.914806829892999</v>
      </c>
      <c r="BL2484" s="2">
        <v>17.950919668763099</v>
      </c>
      <c r="BM2484" s="2">
        <v>17.768589159941399</v>
      </c>
      <c r="BN2484" s="2">
        <v>17.785396079852202</v>
      </c>
      <c r="BO2484" s="2">
        <v>17.810421388022</v>
      </c>
      <c r="BP2484" s="2">
        <v>18.1665147575149</v>
      </c>
      <c r="BQ2484" s="2">
        <v>18.2004878760645</v>
      </c>
      <c r="BR2484" s="2">
        <v>17.084480908848398</v>
      </c>
      <c r="BS2484" s="2">
        <v>17.859830484780801</v>
      </c>
      <c r="BT2484" s="2">
        <v>18.110391751891601</v>
      </c>
      <c r="BU2484" s="2">
        <v>17.722990790885699</v>
      </c>
      <c r="BV2484" s="2">
        <v>18.163058733572498</v>
      </c>
      <c r="BW2484" s="2">
        <v>17.536092904036298</v>
      </c>
      <c r="BX2484" s="2">
        <v>17.394452143658398</v>
      </c>
      <c r="BY2484" s="2">
        <v>18.2405008636707</v>
      </c>
      <c r="BZ2484" s="2">
        <v>18.116694032253999</v>
      </c>
      <c r="CA2484" s="2">
        <v>17.594463188960301</v>
      </c>
      <c r="CB2484" s="2">
        <v>17.623062213149801</v>
      </c>
      <c r="CC2484" s="2">
        <v>17.828990488074101</v>
      </c>
      <c r="CD2484" s="2">
        <v>17.841063236211902</v>
      </c>
      <c r="CE2484" s="2">
        <v>18.2522714460471</v>
      </c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</row>
    <row r="2485" spans="1:97">
      <c r="A2485" s="2" t="s">
        <v>21312</v>
      </c>
      <c r="B2485" s="2">
        <v>301.11750000000001</v>
      </c>
      <c r="C2485" s="2">
        <v>14.932</v>
      </c>
      <c r="D2485" s="2" t="s">
        <v>84</v>
      </c>
      <c r="E2485" s="2" t="s">
        <v>21313</v>
      </c>
      <c r="F2485" s="2" t="s">
        <v>21314</v>
      </c>
      <c r="G2485" s="2">
        <v>54254</v>
      </c>
      <c r="H2485" s="3" t="str">
        <f>HYPERLINK("https://cloud.oebiotech.com/#/lm/network/54254", "https://cloud.oebiotech.com/#/lm/network/54254")</f>
        <v>https://cloud.oebiotech.com/#/lm/network/54254</v>
      </c>
      <c r="I2485" s="2" t="s">
        <v>21315</v>
      </c>
      <c r="J2485" s="2">
        <v>86153</v>
      </c>
      <c r="K2485" s="2"/>
      <c r="L2485" s="2">
        <v>6443019</v>
      </c>
      <c r="M2485" s="2"/>
      <c r="N2485" s="2"/>
      <c r="O2485" s="2"/>
      <c r="P2485" s="2"/>
      <c r="Q2485" s="2"/>
      <c r="R2485" s="2"/>
      <c r="S2485" s="2" t="s">
        <v>21316</v>
      </c>
      <c r="T2485" s="2" t="s">
        <v>21317</v>
      </c>
      <c r="U2485" s="2" t="s">
        <v>21318</v>
      </c>
      <c r="V2485" s="2" t="s">
        <v>845</v>
      </c>
      <c r="W2485" s="2" t="s">
        <v>970</v>
      </c>
      <c r="X2485" s="2" t="s">
        <v>971</v>
      </c>
      <c r="Y2485" s="2" t="s">
        <v>847</v>
      </c>
      <c r="Z2485" s="2" t="s">
        <v>972</v>
      </c>
      <c r="AA2485" s="2" t="s">
        <v>973</v>
      </c>
      <c r="AB2485" s="2" t="s">
        <v>8443</v>
      </c>
      <c r="AC2485" s="2">
        <v>36.26</v>
      </c>
      <c r="AD2485" s="2">
        <v>89.6</v>
      </c>
      <c r="AE2485" s="2">
        <v>0</v>
      </c>
      <c r="AF2485" s="2" t="s">
        <v>5614</v>
      </c>
      <c r="AG2485" s="2" t="s">
        <v>132</v>
      </c>
      <c r="AH2485" s="2" t="s">
        <v>21319</v>
      </c>
      <c r="AI2485" s="2">
        <v>2.66</v>
      </c>
      <c r="AJ2485" s="2">
        <v>20.675422333811898</v>
      </c>
      <c r="AK2485" s="2">
        <v>19.933836765026399</v>
      </c>
      <c r="AL2485" s="2">
        <v>19.482457712060899</v>
      </c>
      <c r="AM2485" s="2">
        <v>20.215495247379099</v>
      </c>
      <c r="AN2485" s="2">
        <v>19.9934708754067</v>
      </c>
      <c r="AO2485" s="2">
        <v>19.768309179914699</v>
      </c>
      <c r="AP2485" s="2">
        <v>20.187108071926001</v>
      </c>
      <c r="AQ2485" s="2">
        <v>20.279724363895699</v>
      </c>
      <c r="AR2485" s="2">
        <v>17.788859070656098</v>
      </c>
      <c r="AS2485" s="2">
        <v>19.579050840848598</v>
      </c>
      <c r="AT2485" s="2">
        <v>20.438237196666002</v>
      </c>
      <c r="AU2485" s="2">
        <v>18.3423179563916</v>
      </c>
      <c r="AV2485" s="2">
        <v>19.362050699196601</v>
      </c>
      <c r="AW2485" s="2">
        <v>20.1591027742286</v>
      </c>
      <c r="AX2485" s="2">
        <v>19.699683753203701</v>
      </c>
      <c r="AY2485" s="2">
        <v>20.823585421406602</v>
      </c>
      <c r="AZ2485" s="2">
        <v>19.134381821931001</v>
      </c>
      <c r="BA2485" s="2">
        <v>20.008039471980901</v>
      </c>
      <c r="BB2485" s="2">
        <v>19.949574756747701</v>
      </c>
      <c r="BC2485" s="2">
        <v>21.550642684042</v>
      </c>
      <c r="BD2485" s="2">
        <v>19.404414375864899</v>
      </c>
      <c r="BE2485" s="2">
        <v>21.643486936222999</v>
      </c>
      <c r="BF2485" s="2">
        <v>18.427625485856801</v>
      </c>
      <c r="BG2485" s="2">
        <v>20.745285495701999</v>
      </c>
      <c r="BH2485" s="2">
        <v>20.379139419110999</v>
      </c>
      <c r="BI2485" s="2">
        <v>20.088999426166399</v>
      </c>
      <c r="BJ2485" s="2">
        <v>20.632283651691999</v>
      </c>
      <c r="BK2485" s="2">
        <v>19.168002676624798</v>
      </c>
      <c r="BL2485" s="2">
        <v>19.651748008424399</v>
      </c>
      <c r="BM2485" s="2">
        <v>18.989293816371401</v>
      </c>
      <c r="BN2485" s="2">
        <v>20.065407180392501</v>
      </c>
      <c r="BO2485" s="2">
        <v>20.317978716409399</v>
      </c>
      <c r="BP2485" s="2">
        <v>20.0567357778963</v>
      </c>
      <c r="BQ2485" s="2">
        <v>19.7241924057254</v>
      </c>
      <c r="BR2485" s="2">
        <v>21.007524472695</v>
      </c>
      <c r="BS2485" s="2">
        <v>19.977670388112099</v>
      </c>
      <c r="BT2485" s="2">
        <v>19.863667879334301</v>
      </c>
      <c r="BU2485" s="2">
        <v>19.9084413077432</v>
      </c>
      <c r="BV2485" s="2">
        <v>18.839372413404401</v>
      </c>
      <c r="BW2485" s="2">
        <v>20.195450129383399</v>
      </c>
      <c r="BX2485" s="2">
        <v>17.8330627154434</v>
      </c>
      <c r="BY2485" s="2">
        <v>21.009575529375201</v>
      </c>
      <c r="BZ2485" s="2">
        <v>18.324580472966598</v>
      </c>
      <c r="CA2485" s="2">
        <v>20.0852875096985</v>
      </c>
      <c r="CB2485" s="2">
        <v>20.404992057815701</v>
      </c>
      <c r="CC2485" s="2">
        <v>19.292588981002702</v>
      </c>
      <c r="CD2485" s="2">
        <v>20.705085679801702</v>
      </c>
      <c r="CE2485" s="2">
        <v>18.916534812125601</v>
      </c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</row>
    <row r="2486" spans="1:97">
      <c r="A2486" s="2" t="s">
        <v>21320</v>
      </c>
      <c r="B2486" s="2">
        <v>280.18763999999999</v>
      </c>
      <c r="C2486" s="2">
        <v>9.0950000000000006</v>
      </c>
      <c r="D2486" s="2" t="s">
        <v>84</v>
      </c>
      <c r="E2486" s="2" t="s">
        <v>21321</v>
      </c>
      <c r="F2486" s="2" t="s">
        <v>21322</v>
      </c>
      <c r="G2486" s="2">
        <v>198332</v>
      </c>
      <c r="H2486" s="3" t="str">
        <f>HYPERLINK("https://cloud.oebiotech.com/#/lm/network/198332", "https://cloud.oebiotech.com/#/lm/network/198332")</f>
        <v>https://cloud.oebiotech.com/#/lm/network/198332</v>
      </c>
      <c r="I2486" s="2" t="s">
        <v>21323</v>
      </c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 t="s">
        <v>21324</v>
      </c>
      <c r="U2486" s="2" t="s">
        <v>21325</v>
      </c>
      <c r="V2486" s="2" t="s">
        <v>95</v>
      </c>
      <c r="W2486" s="2" t="s">
        <v>96</v>
      </c>
      <c r="X2486" s="2" t="s">
        <v>97</v>
      </c>
      <c r="Y2486" s="2" t="s">
        <v>98</v>
      </c>
      <c r="Z2486" s="2" t="s">
        <v>99</v>
      </c>
      <c r="AA2486" s="2" t="s">
        <v>100</v>
      </c>
      <c r="AB2486" s="2" t="s">
        <v>8443</v>
      </c>
      <c r="AC2486" s="2">
        <v>36.26</v>
      </c>
      <c r="AD2486" s="2">
        <v>92.35</v>
      </c>
      <c r="AE2486" s="2">
        <v>0</v>
      </c>
      <c r="AF2486" s="2" t="s">
        <v>5614</v>
      </c>
      <c r="AG2486" s="2" t="s">
        <v>132</v>
      </c>
      <c r="AH2486" s="2" t="s">
        <v>21326</v>
      </c>
      <c r="AI2486" s="2">
        <v>-3.21</v>
      </c>
      <c r="AJ2486" s="2">
        <v>16.933108084256901</v>
      </c>
      <c r="AK2486" s="2">
        <v>17.404031968132902</v>
      </c>
      <c r="AL2486" s="2">
        <v>17.263332661711299</v>
      </c>
      <c r="AM2486" s="2">
        <v>17.014471351056098</v>
      </c>
      <c r="AN2486" s="2">
        <v>16.744209065098001</v>
      </c>
      <c r="AO2486" s="2">
        <v>17.5855395132306</v>
      </c>
      <c r="AP2486" s="2">
        <v>17.468867419906601</v>
      </c>
      <c r="AQ2486" s="2">
        <v>16.673584303240599</v>
      </c>
      <c r="AR2486" s="2">
        <v>18.514843861884899</v>
      </c>
      <c r="AS2486" s="2">
        <v>17.074345958310499</v>
      </c>
      <c r="AT2486" s="2">
        <v>16.289125348199299</v>
      </c>
      <c r="AU2486" s="2">
        <v>17.398097172964299</v>
      </c>
      <c r="AV2486" s="2">
        <v>16.501441633248302</v>
      </c>
      <c r="AW2486" s="2">
        <v>17.1950967732433</v>
      </c>
      <c r="AX2486" s="2">
        <v>17.164866966894198</v>
      </c>
      <c r="AY2486" s="2">
        <v>18.141180837890801</v>
      </c>
      <c r="AZ2486" s="2">
        <v>16.928778702152101</v>
      </c>
      <c r="BA2486" s="2">
        <v>16.343352992848001</v>
      </c>
      <c r="BB2486" s="2">
        <v>17.222671246078299</v>
      </c>
      <c r="BC2486" s="2">
        <v>16.719696703149001</v>
      </c>
      <c r="BD2486" s="2">
        <v>17.5199089436056</v>
      </c>
      <c r="BE2486" s="2">
        <v>17.6755445746278</v>
      </c>
      <c r="BF2486" s="2">
        <v>17.424727271558002</v>
      </c>
      <c r="BG2486" s="2">
        <v>17.639366077136099</v>
      </c>
      <c r="BH2486" s="2">
        <v>16.4722118390427</v>
      </c>
      <c r="BI2486" s="2">
        <v>16.8806496571504</v>
      </c>
      <c r="BJ2486" s="2">
        <v>16.460582280176901</v>
      </c>
      <c r="BK2486" s="2">
        <v>17.1133353131181</v>
      </c>
      <c r="BL2486" s="2">
        <v>16.0156502552306</v>
      </c>
      <c r="BM2486" s="2">
        <v>16.513844310638</v>
      </c>
      <c r="BN2486" s="2">
        <v>15.717869704696099</v>
      </c>
      <c r="BO2486" s="2">
        <v>17.228912049380799</v>
      </c>
      <c r="BP2486" s="2">
        <v>16.3438297311315</v>
      </c>
      <c r="BQ2486" s="2">
        <v>16.836633027377701</v>
      </c>
      <c r="BR2486" s="2">
        <v>16.8027878293816</v>
      </c>
      <c r="BS2486" s="2">
        <v>16.4389026099911</v>
      </c>
      <c r="BT2486" s="2">
        <v>16.348501159453601</v>
      </c>
      <c r="BU2486" s="2">
        <v>16.5289852863935</v>
      </c>
      <c r="BV2486" s="2">
        <v>17.094308862989099</v>
      </c>
      <c r="BW2486" s="2">
        <v>15.4323823678083</v>
      </c>
      <c r="BX2486" s="2">
        <v>16.566141616665799</v>
      </c>
      <c r="BY2486" s="2">
        <v>16.3122331283334</v>
      </c>
      <c r="BZ2486" s="2">
        <v>18.296453419118698</v>
      </c>
      <c r="CA2486" s="2">
        <v>15.980022175338901</v>
      </c>
      <c r="CB2486" s="2">
        <v>17.234613789469702</v>
      </c>
      <c r="CC2486" s="2">
        <v>16.125526277527701</v>
      </c>
      <c r="CD2486" s="2">
        <v>16.816324953407801</v>
      </c>
      <c r="CE2486" s="2">
        <v>16.0344082370694</v>
      </c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</row>
    <row r="2487" spans="1:97">
      <c r="A2487" s="2" t="s">
        <v>21327</v>
      </c>
      <c r="B2487" s="2">
        <v>153.02575999999999</v>
      </c>
      <c r="C2487" s="2">
        <v>4.7720000000000002</v>
      </c>
      <c r="D2487" s="2" t="s">
        <v>84</v>
      </c>
      <c r="E2487" s="2" t="s">
        <v>21328</v>
      </c>
      <c r="F2487" s="2" t="s">
        <v>21329</v>
      </c>
      <c r="G2487" s="2">
        <v>206113</v>
      </c>
      <c r="H2487" s="3" t="str">
        <f>HYPERLINK("https://cloud.oebiotech.com/#/lm/network/206113", "https://cloud.oebiotech.com/#/lm/network/206113")</f>
        <v>https://cloud.oebiotech.com/#/lm/network/206113</v>
      </c>
      <c r="I2487" s="2" t="s">
        <v>21330</v>
      </c>
      <c r="J2487" s="2"/>
      <c r="K2487" s="2"/>
      <c r="L2487" s="2">
        <v>10933</v>
      </c>
      <c r="M2487" s="2"/>
      <c r="N2487" s="2"/>
      <c r="O2487" s="2"/>
      <c r="P2487" s="2"/>
      <c r="Q2487" s="2"/>
      <c r="R2487" s="2"/>
      <c r="S2487" s="2"/>
      <c r="T2487" s="2" t="s">
        <v>21331</v>
      </c>
      <c r="U2487" s="2" t="s">
        <v>21332</v>
      </c>
      <c r="V2487" s="2" t="s">
        <v>9746</v>
      </c>
      <c r="W2487" s="2" t="s">
        <v>10035</v>
      </c>
      <c r="X2487" s="2" t="s">
        <v>375</v>
      </c>
      <c r="Y2487" s="2" t="s">
        <v>9748</v>
      </c>
      <c r="Z2487" s="2" t="s">
        <v>10036</v>
      </c>
      <c r="AA2487" s="2"/>
      <c r="AB2487" s="2" t="s">
        <v>8443</v>
      </c>
      <c r="AC2487" s="2">
        <v>36.26</v>
      </c>
      <c r="AD2487" s="2">
        <v>92.64</v>
      </c>
      <c r="AE2487" s="2">
        <v>0</v>
      </c>
      <c r="AF2487" s="2" t="s">
        <v>5614</v>
      </c>
      <c r="AG2487" s="2" t="s">
        <v>132</v>
      </c>
      <c r="AH2487" s="2" t="s">
        <v>21333</v>
      </c>
      <c r="AI2487" s="2">
        <v>3.27</v>
      </c>
      <c r="AJ2487" s="2">
        <v>18.570957007580901</v>
      </c>
      <c r="AK2487" s="2">
        <v>18.423560814253602</v>
      </c>
      <c r="AL2487" s="2">
        <v>18.508569471944998</v>
      </c>
      <c r="AM2487" s="2">
        <v>18.622598855365801</v>
      </c>
      <c r="AN2487" s="2">
        <v>18.5097522378531</v>
      </c>
      <c r="AO2487" s="2">
        <v>18.223251473400001</v>
      </c>
      <c r="AP2487" s="2">
        <v>18.0847267066681</v>
      </c>
      <c r="AQ2487" s="2">
        <v>17.145900908842702</v>
      </c>
      <c r="AR2487" s="2">
        <v>16.343047575504499</v>
      </c>
      <c r="AS2487" s="2">
        <v>17.357125583022601</v>
      </c>
      <c r="AT2487" s="2">
        <v>18.433890615675399</v>
      </c>
      <c r="AU2487" s="2">
        <v>17.133293053986399</v>
      </c>
      <c r="AV2487" s="2">
        <v>18.033445371396901</v>
      </c>
      <c r="AW2487" s="2">
        <v>15.711135381881601</v>
      </c>
      <c r="AX2487" s="2">
        <v>20.3127479865053</v>
      </c>
      <c r="AY2487" s="2">
        <v>18.440243326159099</v>
      </c>
      <c r="AZ2487" s="2">
        <v>17.037054954481199</v>
      </c>
      <c r="BA2487" s="2">
        <v>20.096304590355501</v>
      </c>
      <c r="BB2487" s="2">
        <v>17.037927931803399</v>
      </c>
      <c r="BC2487" s="2">
        <v>9.6233145402724691</v>
      </c>
      <c r="BD2487" s="2">
        <v>17.726079759574599</v>
      </c>
      <c r="BE2487" s="2">
        <v>19.068550005321399</v>
      </c>
      <c r="BF2487" s="2">
        <v>19.761276328206701</v>
      </c>
      <c r="BG2487" s="2">
        <v>18.023270677925002</v>
      </c>
      <c r="BH2487" s="2">
        <v>9.6233145402724691</v>
      </c>
      <c r="BI2487" s="2">
        <v>20.798331618059699</v>
      </c>
      <c r="BJ2487" s="2">
        <v>14.6587146866484</v>
      </c>
      <c r="BK2487" s="2">
        <v>9.6233145402724691</v>
      </c>
      <c r="BL2487" s="2">
        <v>9.6233145402724691</v>
      </c>
      <c r="BM2487" s="2">
        <v>17.4269939125139</v>
      </c>
      <c r="BN2487" s="2">
        <v>16.457719772555802</v>
      </c>
      <c r="BO2487" s="2">
        <v>20.169184169889402</v>
      </c>
      <c r="BP2487" s="2">
        <v>13.783862788986401</v>
      </c>
      <c r="BQ2487" s="2">
        <v>18.774691458330199</v>
      </c>
      <c r="BR2487" s="2">
        <v>20.509444864952801</v>
      </c>
      <c r="BS2487" s="2">
        <v>18.577815960433401</v>
      </c>
      <c r="BT2487" s="2">
        <v>9.6233145402724691</v>
      </c>
      <c r="BU2487" s="2">
        <v>19.610645141972</v>
      </c>
      <c r="BV2487" s="2">
        <v>19.298874924734601</v>
      </c>
      <c r="BW2487" s="2">
        <v>16.348097217518099</v>
      </c>
      <c r="BX2487" s="2">
        <v>15.8062583449983</v>
      </c>
      <c r="BY2487" s="2">
        <v>18.732089964069999</v>
      </c>
      <c r="BZ2487" s="2">
        <v>17.013421366757701</v>
      </c>
      <c r="CA2487" s="2">
        <v>18.357895593426498</v>
      </c>
      <c r="CB2487" s="2">
        <v>9.6233145402724691</v>
      </c>
      <c r="CC2487" s="2">
        <v>19.278444081318298</v>
      </c>
      <c r="CD2487" s="2">
        <v>9.6233145402724691</v>
      </c>
      <c r="CE2487" s="2">
        <v>9.6233145402724691</v>
      </c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</row>
    <row r="2488" spans="1:97">
      <c r="A2488" s="2" t="s">
        <v>21334</v>
      </c>
      <c r="B2488" s="2">
        <v>368.42446999999999</v>
      </c>
      <c r="C2488" s="2">
        <v>11.574999999999999</v>
      </c>
      <c r="D2488" s="2" t="s">
        <v>84</v>
      </c>
      <c r="E2488" s="2" t="s">
        <v>21335</v>
      </c>
      <c r="F2488" s="2" t="s">
        <v>21336</v>
      </c>
      <c r="G2488" s="2">
        <v>36153</v>
      </c>
      <c r="H2488" s="3" t="str">
        <f>HYPERLINK("https://cloud.oebiotech.com/#/lm/network/36153", "https://cloud.oebiotech.com/#/lm/network/36153")</f>
        <v>https://cloud.oebiotech.com/#/lm/network/36153</v>
      </c>
      <c r="I2488" s="2"/>
      <c r="J2488" s="2">
        <v>53736</v>
      </c>
      <c r="K2488" s="2" t="s">
        <v>21337</v>
      </c>
      <c r="L2488" s="2">
        <v>42608273</v>
      </c>
      <c r="M2488" s="2"/>
      <c r="N2488" s="2"/>
      <c r="O2488" s="2"/>
      <c r="P2488" s="2"/>
      <c r="Q2488" s="2"/>
      <c r="R2488" s="2"/>
      <c r="S2488" s="2"/>
      <c r="T2488" s="2" t="s">
        <v>21338</v>
      </c>
      <c r="U2488" s="2" t="s">
        <v>21339</v>
      </c>
      <c r="V2488" s="2" t="s">
        <v>95</v>
      </c>
      <c r="W2488" s="2" t="s">
        <v>180</v>
      </c>
      <c r="X2488" s="2" t="s">
        <v>4668</v>
      </c>
      <c r="Y2488" s="2" t="s">
        <v>98</v>
      </c>
      <c r="Z2488" s="2" t="s">
        <v>182</v>
      </c>
      <c r="AA2488" s="2" t="s">
        <v>4669</v>
      </c>
      <c r="AB2488" s="2" t="s">
        <v>8443</v>
      </c>
      <c r="AC2488" s="2">
        <v>36.25</v>
      </c>
      <c r="AD2488" s="2">
        <v>84.4</v>
      </c>
      <c r="AE2488" s="2">
        <v>0</v>
      </c>
      <c r="AF2488" s="2" t="s">
        <v>21340</v>
      </c>
      <c r="AG2488" s="2" t="s">
        <v>132</v>
      </c>
      <c r="AH2488" s="2" t="s">
        <v>21341</v>
      </c>
      <c r="AI2488" s="2">
        <v>1.63</v>
      </c>
      <c r="AJ2488" s="2">
        <v>21.059349095470601</v>
      </c>
      <c r="AK2488" s="2">
        <v>20.946796000612</v>
      </c>
      <c r="AL2488" s="2">
        <v>20.647877147917502</v>
      </c>
      <c r="AM2488" s="2">
        <v>19.890991471668599</v>
      </c>
      <c r="AN2488" s="2">
        <v>20.997219410192798</v>
      </c>
      <c r="AO2488" s="2">
        <v>20.935390143735798</v>
      </c>
      <c r="AP2488" s="2">
        <v>20.8625556749036</v>
      </c>
      <c r="AQ2488" s="2">
        <v>20.845847564018001</v>
      </c>
      <c r="AR2488" s="2">
        <v>16.856010494707</v>
      </c>
      <c r="AS2488" s="2">
        <v>19.668758698614301</v>
      </c>
      <c r="AT2488" s="2">
        <v>19.360428558776501</v>
      </c>
      <c r="AU2488" s="2">
        <v>16.250798773374999</v>
      </c>
      <c r="AV2488" s="2">
        <v>16.429638028888402</v>
      </c>
      <c r="AW2488" s="2">
        <v>20.274704826694599</v>
      </c>
      <c r="AX2488" s="2">
        <v>15.413366787107799</v>
      </c>
      <c r="AY2488" s="2">
        <v>17.019706583202002</v>
      </c>
      <c r="AZ2488" s="2">
        <v>19.6061999477743</v>
      </c>
      <c r="BA2488" s="2">
        <v>17.827850091616401</v>
      </c>
      <c r="BB2488" s="2">
        <v>19.568441584619698</v>
      </c>
      <c r="BC2488" s="2">
        <v>22.523974851538402</v>
      </c>
      <c r="BD2488" s="2">
        <v>17.414991297119698</v>
      </c>
      <c r="BE2488" s="2">
        <v>9.6233145402724691</v>
      </c>
      <c r="BF2488" s="2">
        <v>16.798580520601298</v>
      </c>
      <c r="BG2488" s="2">
        <v>18.9147950950269</v>
      </c>
      <c r="BH2488" s="2">
        <v>15.238964078281199</v>
      </c>
      <c r="BI2488" s="2">
        <v>9.6233145402724691</v>
      </c>
      <c r="BJ2488" s="2">
        <v>15.188887058396199</v>
      </c>
      <c r="BK2488" s="2">
        <v>19.622019725914502</v>
      </c>
      <c r="BL2488" s="2">
        <v>19.7940643963613</v>
      </c>
      <c r="BM2488" s="2">
        <v>14.802813698484</v>
      </c>
      <c r="BN2488" s="2">
        <v>17.9448151037416</v>
      </c>
      <c r="BO2488" s="2">
        <v>16.2502515932234</v>
      </c>
      <c r="BP2488" s="2">
        <v>17.400458377597101</v>
      </c>
      <c r="BQ2488" s="2">
        <v>17.427894859931399</v>
      </c>
      <c r="BR2488" s="2">
        <v>16.719364219615802</v>
      </c>
      <c r="BS2488" s="2">
        <v>15.4610023070009</v>
      </c>
      <c r="BT2488" s="2">
        <v>18.7280223290755</v>
      </c>
      <c r="BU2488" s="2">
        <v>15.253981512929199</v>
      </c>
      <c r="BV2488" s="2">
        <v>16.063660506016799</v>
      </c>
      <c r="BW2488" s="2">
        <v>17.933747297230202</v>
      </c>
      <c r="BX2488" s="2">
        <v>18.742550957272901</v>
      </c>
      <c r="BY2488" s="2">
        <v>18.557565189877099</v>
      </c>
      <c r="BZ2488" s="2">
        <v>9.6233145402724691</v>
      </c>
      <c r="CA2488" s="2">
        <v>18.360761113038901</v>
      </c>
      <c r="CB2488" s="2">
        <v>19.427689826809701</v>
      </c>
      <c r="CC2488" s="2">
        <v>9.6233145402724691</v>
      </c>
      <c r="CD2488" s="2">
        <v>9.6233145402724691</v>
      </c>
      <c r="CE2488" s="2">
        <v>22.2435501070626</v>
      </c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</row>
    <row r="2489" spans="1:97">
      <c r="A2489" s="2" t="s">
        <v>21342</v>
      </c>
      <c r="B2489" s="2">
        <v>133.03104999999999</v>
      </c>
      <c r="C2489" s="2">
        <v>1.123</v>
      </c>
      <c r="D2489" s="2" t="s">
        <v>146</v>
      </c>
      <c r="E2489" s="2" t="s">
        <v>21343</v>
      </c>
      <c r="F2489" s="2" t="s">
        <v>21344</v>
      </c>
      <c r="G2489" s="2">
        <v>210599</v>
      </c>
      <c r="H2489" s="3" t="str">
        <f>HYPERLINK("https://cloud.oebiotech.com/#/lm/network/210599", "https://cloud.oebiotech.com/#/lm/network/210599")</f>
        <v>https://cloud.oebiotech.com/#/lm/network/210599</v>
      </c>
      <c r="I2489" s="2" t="s">
        <v>21345</v>
      </c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 t="s">
        <v>21346</v>
      </c>
      <c r="U2489" s="2" t="s">
        <v>21347</v>
      </c>
      <c r="V2489" s="2" t="s">
        <v>553</v>
      </c>
      <c r="W2489" s="2" t="s">
        <v>2238</v>
      </c>
      <c r="X2489" s="2" t="s">
        <v>375</v>
      </c>
      <c r="Y2489" s="2" t="s">
        <v>556</v>
      </c>
      <c r="Z2489" s="2" t="s">
        <v>2240</v>
      </c>
      <c r="AA2489" s="2"/>
      <c r="AB2489" s="2" t="s">
        <v>8443</v>
      </c>
      <c r="AC2489" s="2">
        <v>36.24</v>
      </c>
      <c r="AD2489" s="2">
        <v>79.63</v>
      </c>
      <c r="AE2489" s="2">
        <v>0</v>
      </c>
      <c r="AF2489" s="2" t="s">
        <v>5614</v>
      </c>
      <c r="AG2489" s="2" t="s">
        <v>4062</v>
      </c>
      <c r="AH2489" s="2" t="s">
        <v>21348</v>
      </c>
      <c r="AI2489" s="2">
        <v>-7.52</v>
      </c>
      <c r="AJ2489" s="2">
        <v>18.163023343058502</v>
      </c>
      <c r="AK2489" s="2">
        <v>18.2251491031111</v>
      </c>
      <c r="AL2489" s="2">
        <v>18.329333117208801</v>
      </c>
      <c r="AM2489" s="2">
        <v>18.386124146727301</v>
      </c>
      <c r="AN2489" s="2">
        <v>18.412655472858901</v>
      </c>
      <c r="AO2489" s="2">
        <v>18.2458380752552</v>
      </c>
      <c r="AP2489" s="2">
        <v>18.3015872447289</v>
      </c>
      <c r="AQ2489" s="2">
        <v>18.4080388950109</v>
      </c>
      <c r="AR2489" s="2">
        <v>18.6115749130315</v>
      </c>
      <c r="AS2489" s="2">
        <v>19.0131008341559</v>
      </c>
      <c r="AT2489" s="2">
        <v>18.312909847841802</v>
      </c>
      <c r="AU2489" s="2">
        <v>18.415720480196001</v>
      </c>
      <c r="AV2489" s="2">
        <v>18.6159280125006</v>
      </c>
      <c r="AW2489" s="2">
        <v>18.862970789712399</v>
      </c>
      <c r="AX2489" s="2">
        <v>18.588418300824301</v>
      </c>
      <c r="AY2489" s="2">
        <v>18.351139172814101</v>
      </c>
      <c r="AZ2489" s="2">
        <v>18.686750171761702</v>
      </c>
      <c r="BA2489" s="2">
        <v>18.5513747845762</v>
      </c>
      <c r="BB2489" s="2">
        <v>18.120328863178301</v>
      </c>
      <c r="BC2489" s="2">
        <v>17.518537059904101</v>
      </c>
      <c r="BD2489" s="2">
        <v>18.648596150503799</v>
      </c>
      <c r="BE2489" s="2">
        <v>18.139617398470001</v>
      </c>
      <c r="BF2489" s="2">
        <v>18.666297765637498</v>
      </c>
      <c r="BG2489" s="2">
        <v>18.715049832059201</v>
      </c>
      <c r="BH2489" s="2">
        <v>18.122697537819899</v>
      </c>
      <c r="BI2489" s="2">
        <v>18.496158860660699</v>
      </c>
      <c r="BJ2489" s="2">
        <v>18.8840009960598</v>
      </c>
      <c r="BK2489" s="2">
        <v>18.498853412724401</v>
      </c>
      <c r="BL2489" s="2">
        <v>18.524561265171901</v>
      </c>
      <c r="BM2489" s="2">
        <v>17.7333212368065</v>
      </c>
      <c r="BN2489" s="2">
        <v>18.169480597097198</v>
      </c>
      <c r="BO2489" s="2">
        <v>18.3587338214551</v>
      </c>
      <c r="BP2489" s="2">
        <v>18.438017896833401</v>
      </c>
      <c r="BQ2489" s="2">
        <v>18.4869254228025</v>
      </c>
      <c r="BR2489" s="2">
        <v>18.909832099278098</v>
      </c>
      <c r="BS2489" s="2">
        <v>18.2359308715377</v>
      </c>
      <c r="BT2489" s="2">
        <v>18.321438821727298</v>
      </c>
      <c r="BU2489" s="2">
        <v>18.586932525684102</v>
      </c>
      <c r="BV2489" s="2">
        <v>18.256246104627099</v>
      </c>
      <c r="BW2489" s="2">
        <v>18.045481643674901</v>
      </c>
      <c r="BX2489" s="2">
        <v>18.004696087888998</v>
      </c>
      <c r="BY2489" s="2">
        <v>18.618895011663501</v>
      </c>
      <c r="BZ2489" s="2">
        <v>17.679324633041201</v>
      </c>
      <c r="CA2489" s="2">
        <v>18.376982252279198</v>
      </c>
      <c r="CB2489" s="2">
        <v>18.547173609980401</v>
      </c>
      <c r="CC2489" s="2">
        <v>18.571683734389499</v>
      </c>
      <c r="CD2489" s="2">
        <v>18.409067934531201</v>
      </c>
      <c r="CE2489" s="2">
        <v>18.388166450887599</v>
      </c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</row>
    <row r="2490" spans="1:97">
      <c r="A2490" s="2" t="s">
        <v>21349</v>
      </c>
      <c r="B2490" s="2">
        <v>488.30027999999999</v>
      </c>
      <c r="C2490" s="2">
        <v>9.81</v>
      </c>
      <c r="D2490" s="2" t="s">
        <v>84</v>
      </c>
      <c r="E2490" s="2" t="s">
        <v>21350</v>
      </c>
      <c r="F2490" s="2" t="s">
        <v>21351</v>
      </c>
      <c r="G2490" s="2">
        <v>44808</v>
      </c>
      <c r="H2490" s="3" t="str">
        <f>HYPERLINK("https://cloud.oebiotech.com/#/lm/network/44808", "https://cloud.oebiotech.com/#/lm/network/44808")</f>
        <v>https://cloud.oebiotech.com/#/lm/network/44808</v>
      </c>
      <c r="I2490" s="2" t="s">
        <v>21352</v>
      </c>
      <c r="J2490" s="2">
        <v>58145</v>
      </c>
      <c r="K2490" s="2" t="s">
        <v>21353</v>
      </c>
      <c r="L2490" s="2">
        <v>53477765</v>
      </c>
      <c r="M2490" s="2" t="s">
        <v>21354</v>
      </c>
      <c r="N2490" s="2"/>
      <c r="O2490" s="2"/>
      <c r="P2490" s="2"/>
      <c r="Q2490" s="2"/>
      <c r="R2490" s="2"/>
      <c r="S2490" s="2" t="s">
        <v>21355</v>
      </c>
      <c r="T2490" s="2" t="s">
        <v>21356</v>
      </c>
      <c r="U2490" s="2" t="s">
        <v>21357</v>
      </c>
      <c r="V2490" s="2" t="s">
        <v>95</v>
      </c>
      <c r="W2490" s="2" t="s">
        <v>152</v>
      </c>
      <c r="X2490" s="2" t="s">
        <v>9622</v>
      </c>
      <c r="Y2490" s="2" t="s">
        <v>98</v>
      </c>
      <c r="Z2490" s="2" t="s">
        <v>154</v>
      </c>
      <c r="AA2490" s="2" t="s">
        <v>9623</v>
      </c>
      <c r="AB2490" s="2" t="s">
        <v>8443</v>
      </c>
      <c r="AC2490" s="2">
        <v>36.24</v>
      </c>
      <c r="AD2490" s="2">
        <v>81.209999999999994</v>
      </c>
      <c r="AE2490" s="2">
        <v>0</v>
      </c>
      <c r="AF2490" s="2" t="s">
        <v>5614</v>
      </c>
      <c r="AG2490" s="2" t="s">
        <v>132</v>
      </c>
      <c r="AH2490" s="2" t="s">
        <v>21358</v>
      </c>
      <c r="AI2490" s="2">
        <v>0.82</v>
      </c>
      <c r="AJ2490" s="2">
        <v>19.2004933838721</v>
      </c>
      <c r="AK2490" s="2">
        <v>18.767778277001401</v>
      </c>
      <c r="AL2490" s="2">
        <v>18.5604441968948</v>
      </c>
      <c r="AM2490" s="2">
        <v>18.332162762917399</v>
      </c>
      <c r="AN2490" s="2">
        <v>18.3887342490669</v>
      </c>
      <c r="AO2490" s="2">
        <v>18.589407163497299</v>
      </c>
      <c r="AP2490" s="2">
        <v>18.191223305589801</v>
      </c>
      <c r="AQ2490" s="2">
        <v>18.214769465770999</v>
      </c>
      <c r="AR2490" s="2">
        <v>19.899904542091299</v>
      </c>
      <c r="AS2490" s="2">
        <v>18.6032107192969</v>
      </c>
      <c r="AT2490" s="2">
        <v>18.409409292923002</v>
      </c>
      <c r="AU2490" s="2">
        <v>17.635668671360499</v>
      </c>
      <c r="AV2490" s="2">
        <v>17.5404856553359</v>
      </c>
      <c r="AW2490" s="2">
        <v>18.349351082611001</v>
      </c>
      <c r="AX2490" s="2">
        <v>18.290568881182299</v>
      </c>
      <c r="AY2490" s="2">
        <v>18.3544595472727</v>
      </c>
      <c r="AZ2490" s="2">
        <v>17.382418346820501</v>
      </c>
      <c r="BA2490" s="2">
        <v>18.080949277415399</v>
      </c>
      <c r="BB2490" s="2">
        <v>18.297804268237702</v>
      </c>
      <c r="BC2490" s="2">
        <v>17.885514547612001</v>
      </c>
      <c r="BD2490" s="2">
        <v>17.333089994185698</v>
      </c>
      <c r="BE2490" s="2">
        <v>18.468493270481499</v>
      </c>
      <c r="BF2490" s="2">
        <v>18.116273134626301</v>
      </c>
      <c r="BG2490" s="2">
        <v>17.6575638097028</v>
      </c>
      <c r="BH2490" s="2">
        <v>18.060183419244801</v>
      </c>
      <c r="BI2490" s="2">
        <v>16.938415484981199</v>
      </c>
      <c r="BJ2490" s="2">
        <v>16.9676126432621</v>
      </c>
      <c r="BK2490" s="2">
        <v>18.195207433914401</v>
      </c>
      <c r="BL2490" s="2">
        <v>17.746248265594499</v>
      </c>
      <c r="BM2490" s="2">
        <v>17.499360402789101</v>
      </c>
      <c r="BN2490" s="2">
        <v>17.878569096543799</v>
      </c>
      <c r="BO2490" s="2">
        <v>17.362397627806899</v>
      </c>
      <c r="BP2490" s="2">
        <v>18.9052155784237</v>
      </c>
      <c r="BQ2490" s="2">
        <v>17.933310811887502</v>
      </c>
      <c r="BR2490" s="2">
        <v>17.038780451518001</v>
      </c>
      <c r="BS2490" s="2">
        <v>16.466455699082299</v>
      </c>
      <c r="BT2490" s="2">
        <v>17.155531864814701</v>
      </c>
      <c r="BU2490" s="2">
        <v>17.425353362636098</v>
      </c>
      <c r="BV2490" s="2">
        <v>17.479792103324002</v>
      </c>
      <c r="BW2490" s="2">
        <v>17.6330888119995</v>
      </c>
      <c r="BX2490" s="2">
        <v>17.686480830059399</v>
      </c>
      <c r="BY2490" s="2">
        <v>19.083176613211201</v>
      </c>
      <c r="BZ2490" s="2">
        <v>19.0089290029557</v>
      </c>
      <c r="CA2490" s="2">
        <v>17.283805596351201</v>
      </c>
      <c r="CB2490" s="2">
        <v>17.448407854994802</v>
      </c>
      <c r="CC2490" s="2">
        <v>17.2821014816519</v>
      </c>
      <c r="CD2490" s="2">
        <v>17.9134038663403</v>
      </c>
      <c r="CE2490" s="2">
        <v>17.245730766794999</v>
      </c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</row>
    <row r="2491" spans="1:97">
      <c r="A2491" s="2" t="s">
        <v>21359</v>
      </c>
      <c r="B2491" s="2">
        <v>152.02194</v>
      </c>
      <c r="C2491" s="2">
        <v>0.71</v>
      </c>
      <c r="D2491" s="2" t="s">
        <v>84</v>
      </c>
      <c r="E2491" s="2" t="s">
        <v>21360</v>
      </c>
      <c r="F2491" s="2" t="s">
        <v>21361</v>
      </c>
      <c r="G2491" s="2">
        <v>199317</v>
      </c>
      <c r="H2491" s="3" t="str">
        <f>HYPERLINK("https://cloud.oebiotech.com/#/lm/network/199317", "https://cloud.oebiotech.com/#/lm/network/199317")</f>
        <v>https://cloud.oebiotech.com/#/lm/network/199317</v>
      </c>
      <c r="I2491" s="2" t="s">
        <v>21362</v>
      </c>
      <c r="J2491" s="2">
        <v>457760</v>
      </c>
      <c r="K2491" s="2"/>
      <c r="L2491" s="2">
        <v>75394</v>
      </c>
      <c r="M2491" s="2"/>
      <c r="N2491" s="2"/>
      <c r="O2491" s="2"/>
      <c r="P2491" s="2"/>
      <c r="Q2491" s="2"/>
      <c r="R2491" s="2"/>
      <c r="S2491" s="2"/>
      <c r="T2491" s="2" t="s">
        <v>21363</v>
      </c>
      <c r="U2491" s="2" t="s">
        <v>21364</v>
      </c>
      <c r="V2491" s="2" t="s">
        <v>115</v>
      </c>
      <c r="W2491" s="2" t="s">
        <v>5480</v>
      </c>
      <c r="X2491" s="2" t="s">
        <v>5481</v>
      </c>
      <c r="Y2491" s="2" t="s">
        <v>118</v>
      </c>
      <c r="Z2491" s="2" t="s">
        <v>5482</v>
      </c>
      <c r="AA2491" s="2" t="s">
        <v>5483</v>
      </c>
      <c r="AB2491" s="2" t="s">
        <v>8443</v>
      </c>
      <c r="AC2491" s="2">
        <v>36.24</v>
      </c>
      <c r="AD2491" s="2">
        <v>82.82</v>
      </c>
      <c r="AE2491" s="2">
        <v>0</v>
      </c>
      <c r="AF2491" s="2" t="s">
        <v>21365</v>
      </c>
      <c r="AG2491" s="2" t="s">
        <v>103</v>
      </c>
      <c r="AH2491" s="2" t="s">
        <v>21366</v>
      </c>
      <c r="AI2491" s="2">
        <v>1.32</v>
      </c>
      <c r="AJ2491" s="2">
        <v>23.4174293982142</v>
      </c>
      <c r="AK2491" s="2">
        <v>23.530154922894599</v>
      </c>
      <c r="AL2491" s="2">
        <v>23.106158382878899</v>
      </c>
      <c r="AM2491" s="2">
        <v>23.503405168638899</v>
      </c>
      <c r="AN2491" s="2">
        <v>23.529651703291201</v>
      </c>
      <c r="AO2491" s="2">
        <v>23.522036488652201</v>
      </c>
      <c r="AP2491" s="2">
        <v>23.530233848306199</v>
      </c>
      <c r="AQ2491" s="2">
        <v>23.559589491376101</v>
      </c>
      <c r="AR2491" s="2">
        <v>22.2002228119146</v>
      </c>
      <c r="AS2491" s="2">
        <v>22.346005891747101</v>
      </c>
      <c r="AT2491" s="2">
        <v>22.206811731506502</v>
      </c>
      <c r="AU2491" s="2">
        <v>22.415927337349299</v>
      </c>
      <c r="AV2491" s="2">
        <v>23.211942280380701</v>
      </c>
      <c r="AW2491" s="2">
        <v>23.598726167878102</v>
      </c>
      <c r="AX2491" s="2">
        <v>22.473715065350099</v>
      </c>
      <c r="AY2491" s="2">
        <v>23.003336856338802</v>
      </c>
      <c r="AZ2491" s="2">
        <v>23.006803070901601</v>
      </c>
      <c r="BA2491" s="2">
        <v>22.793485934722899</v>
      </c>
      <c r="BB2491" s="2">
        <v>23.229448555056901</v>
      </c>
      <c r="BC2491" s="2">
        <v>24.819682832641199</v>
      </c>
      <c r="BD2491" s="2">
        <v>23.6481912124354</v>
      </c>
      <c r="BE2491" s="2">
        <v>24.695153318953601</v>
      </c>
      <c r="BF2491" s="2">
        <v>23.377583927125901</v>
      </c>
      <c r="BG2491" s="2">
        <v>23.47470317821</v>
      </c>
      <c r="BH2491" s="2">
        <v>22.904007808689101</v>
      </c>
      <c r="BI2491" s="2">
        <v>22.9669963383691</v>
      </c>
      <c r="BJ2491" s="2">
        <v>23.787398458383102</v>
      </c>
      <c r="BK2491" s="2">
        <v>23.3696781603762</v>
      </c>
      <c r="BL2491" s="2">
        <v>23.066213612230101</v>
      </c>
      <c r="BM2491" s="2">
        <v>23.265210577173701</v>
      </c>
      <c r="BN2491" s="2">
        <v>23.085142204563802</v>
      </c>
      <c r="BO2491" s="2">
        <v>22.6251564712427</v>
      </c>
      <c r="BP2491" s="2">
        <v>23.015544629669101</v>
      </c>
      <c r="BQ2491" s="2">
        <v>22.988491755163999</v>
      </c>
      <c r="BR2491" s="2">
        <v>22.959093553885701</v>
      </c>
      <c r="BS2491" s="2">
        <v>23.3079785063352</v>
      </c>
      <c r="BT2491" s="2">
        <v>23.456185892213899</v>
      </c>
      <c r="BU2491" s="2">
        <v>23.0772037325582</v>
      </c>
      <c r="BV2491" s="2">
        <v>23.019924252427199</v>
      </c>
      <c r="BW2491" s="2">
        <v>23.028978500503801</v>
      </c>
      <c r="BX2491" s="2">
        <v>23.424942445432499</v>
      </c>
      <c r="BY2491" s="2">
        <v>25.000925877136801</v>
      </c>
      <c r="BZ2491" s="2">
        <v>24.1936197109932</v>
      </c>
      <c r="CA2491" s="2">
        <v>23.405365734295501</v>
      </c>
      <c r="CB2491" s="2">
        <v>23.363589093842901</v>
      </c>
      <c r="CC2491" s="2">
        <v>23.416535328848699</v>
      </c>
      <c r="CD2491" s="2">
        <v>23.915240051847899</v>
      </c>
      <c r="CE2491" s="2">
        <v>23.337995731227899</v>
      </c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</row>
    <row r="2492" spans="1:97">
      <c r="A2492" s="2" t="s">
        <v>21367</v>
      </c>
      <c r="B2492" s="2">
        <v>289.06374</v>
      </c>
      <c r="C2492" s="2">
        <v>6.6319999999999997</v>
      </c>
      <c r="D2492" s="2" t="s">
        <v>84</v>
      </c>
      <c r="E2492" s="2" t="s">
        <v>21368</v>
      </c>
      <c r="F2492" s="2" t="s">
        <v>21369</v>
      </c>
      <c r="G2492" s="2">
        <v>210163</v>
      </c>
      <c r="H2492" s="3" t="str">
        <f>HYPERLINK("https://cloud.oebiotech.com/#/lm/network/210163", "https://cloud.oebiotech.com/#/lm/network/210163")</f>
        <v>https://cloud.oebiotech.com/#/lm/network/210163</v>
      </c>
      <c r="I2492" s="2" t="s">
        <v>21370</v>
      </c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 t="s">
        <v>21371</v>
      </c>
      <c r="U2492" s="2" t="s">
        <v>21372</v>
      </c>
      <c r="V2492" s="2" t="s">
        <v>338</v>
      </c>
      <c r="W2492" s="2" t="s">
        <v>11029</v>
      </c>
      <c r="X2492" s="2" t="s">
        <v>15890</v>
      </c>
      <c r="Y2492" s="2" t="s">
        <v>341</v>
      </c>
      <c r="Z2492" s="2" t="s">
        <v>11031</v>
      </c>
      <c r="AA2492" s="2" t="s">
        <v>15891</v>
      </c>
      <c r="AB2492" s="2" t="s">
        <v>8443</v>
      </c>
      <c r="AC2492" s="2">
        <v>36.229999999999997</v>
      </c>
      <c r="AD2492" s="2">
        <v>95.19</v>
      </c>
      <c r="AE2492" s="2">
        <v>0</v>
      </c>
      <c r="AF2492" s="2" t="s">
        <v>5614</v>
      </c>
      <c r="AG2492" s="2" t="s">
        <v>132</v>
      </c>
      <c r="AH2492" s="2" t="s">
        <v>21373</v>
      </c>
      <c r="AI2492" s="2">
        <v>-3.81</v>
      </c>
      <c r="AJ2492" s="2">
        <v>17.8683964821495</v>
      </c>
      <c r="AK2492" s="2">
        <v>17.7918592106241</v>
      </c>
      <c r="AL2492" s="2">
        <v>17.725621348648801</v>
      </c>
      <c r="AM2492" s="2">
        <v>18.0058838807543</v>
      </c>
      <c r="AN2492" s="2">
        <v>17.834081571972298</v>
      </c>
      <c r="AO2492" s="2">
        <v>17.899149308134302</v>
      </c>
      <c r="AP2492" s="2">
        <v>18.1260749509335</v>
      </c>
      <c r="AQ2492" s="2">
        <v>18.3833972585387</v>
      </c>
      <c r="AR2492" s="2">
        <v>15.9792534676016</v>
      </c>
      <c r="AS2492" s="2">
        <v>14.671253560513501</v>
      </c>
      <c r="AT2492" s="2">
        <v>14.6924498655656</v>
      </c>
      <c r="AU2492" s="2">
        <v>9.6233145402724691</v>
      </c>
      <c r="AV2492" s="2">
        <v>15.4378118799987</v>
      </c>
      <c r="AW2492" s="2">
        <v>16.8809727966539</v>
      </c>
      <c r="AX2492" s="2">
        <v>17.249766507439698</v>
      </c>
      <c r="AY2492" s="2">
        <v>15.9654618964707</v>
      </c>
      <c r="AZ2492" s="2">
        <v>17.153366180920401</v>
      </c>
      <c r="BA2492" s="2">
        <v>14.308110746548801</v>
      </c>
      <c r="BB2492" s="2">
        <v>17.276490304575599</v>
      </c>
      <c r="BC2492" s="2">
        <v>16.943801511691699</v>
      </c>
      <c r="BD2492" s="2">
        <v>16.351613216115599</v>
      </c>
      <c r="BE2492" s="2">
        <v>18.752424750006998</v>
      </c>
      <c r="BF2492" s="2">
        <v>17.4844878698574</v>
      </c>
      <c r="BG2492" s="2">
        <v>18.214909354758301</v>
      </c>
      <c r="BH2492" s="2">
        <v>16.506678095120598</v>
      </c>
      <c r="BI2492" s="2">
        <v>16.946595630380099</v>
      </c>
      <c r="BJ2492" s="2">
        <v>16.827385505073899</v>
      </c>
      <c r="BK2492" s="2">
        <v>17.305385891073399</v>
      </c>
      <c r="BL2492" s="2">
        <v>17.002992639135599</v>
      </c>
      <c r="BM2492" s="2">
        <v>17.5498992537097</v>
      </c>
      <c r="BN2492" s="2">
        <v>16.9609018646061</v>
      </c>
      <c r="BO2492" s="2">
        <v>17.599165287542899</v>
      </c>
      <c r="BP2492" s="2">
        <v>17.190527863374299</v>
      </c>
      <c r="BQ2492" s="2">
        <v>17.1848971295769</v>
      </c>
      <c r="BR2492" s="2">
        <v>17.739389233571199</v>
      </c>
      <c r="BS2492" s="2">
        <v>17.499676811351101</v>
      </c>
      <c r="BT2492" s="2">
        <v>16.3259761158304</v>
      </c>
      <c r="BU2492" s="2">
        <v>17.043588910823701</v>
      </c>
      <c r="BV2492" s="2">
        <v>17.623641120813701</v>
      </c>
      <c r="BW2492" s="2">
        <v>9.6233145402724691</v>
      </c>
      <c r="BX2492" s="2">
        <v>16.917480473348501</v>
      </c>
      <c r="BY2492" s="2">
        <v>18.768389050515701</v>
      </c>
      <c r="BZ2492" s="2">
        <v>17.393046251159799</v>
      </c>
      <c r="CA2492" s="2">
        <v>17.647727318648901</v>
      </c>
      <c r="CB2492" s="2">
        <v>17.7298122989436</v>
      </c>
      <c r="CC2492" s="2">
        <v>16.831136745101901</v>
      </c>
      <c r="CD2492" s="2">
        <v>18.322911687397099</v>
      </c>
      <c r="CE2492" s="2">
        <v>18.146124079219</v>
      </c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</row>
    <row r="2493" spans="1:97">
      <c r="A2493" s="2" t="s">
        <v>21374</v>
      </c>
      <c r="B2493" s="2">
        <v>167.08941999999999</v>
      </c>
      <c r="C2493" s="2">
        <v>1.819</v>
      </c>
      <c r="D2493" s="2" t="s">
        <v>84</v>
      </c>
      <c r="E2493" s="2" t="s">
        <v>21375</v>
      </c>
      <c r="F2493" s="2" t="s">
        <v>21376</v>
      </c>
      <c r="G2493" s="2">
        <v>61613</v>
      </c>
      <c r="H2493" s="3" t="str">
        <f>HYPERLINK("https://cloud.oebiotech.com/#/lm/network/61613", "https://cloud.oebiotech.com/#/lm/network/61613")</f>
        <v>https://cloud.oebiotech.com/#/lm/network/61613</v>
      </c>
      <c r="I2493" s="2" t="s">
        <v>21377</v>
      </c>
      <c r="J2493" s="2">
        <v>92919</v>
      </c>
      <c r="K2493" s="2"/>
      <c r="L2493" s="2">
        <v>566107</v>
      </c>
      <c r="M2493" s="2"/>
      <c r="N2493" s="2"/>
      <c r="O2493" s="2"/>
      <c r="P2493" s="2"/>
      <c r="Q2493" s="2"/>
      <c r="R2493" s="2"/>
      <c r="S2493" s="2" t="s">
        <v>21378</v>
      </c>
      <c r="T2493" s="2" t="s">
        <v>21379</v>
      </c>
      <c r="U2493" s="2" t="s">
        <v>21380</v>
      </c>
      <c r="V2493" s="2" t="s">
        <v>553</v>
      </c>
      <c r="W2493" s="2" t="s">
        <v>9726</v>
      </c>
      <c r="X2493" s="2" t="s">
        <v>375</v>
      </c>
      <c r="Y2493" s="2" t="s">
        <v>556</v>
      </c>
      <c r="Z2493" s="2" t="s">
        <v>9727</v>
      </c>
      <c r="AA2493" s="2"/>
      <c r="AB2493" s="2" t="s">
        <v>8443</v>
      </c>
      <c r="AC2493" s="2">
        <v>36.229999999999997</v>
      </c>
      <c r="AD2493" s="2">
        <v>91.08</v>
      </c>
      <c r="AE2493" s="2">
        <v>0</v>
      </c>
      <c r="AF2493" s="2" t="s">
        <v>21381</v>
      </c>
      <c r="AG2493" s="2" t="s">
        <v>103</v>
      </c>
      <c r="AH2493" s="2" t="s">
        <v>21382</v>
      </c>
      <c r="AI2493" s="2">
        <v>-2.99</v>
      </c>
      <c r="AJ2493" s="2">
        <v>23.538312531981902</v>
      </c>
      <c r="AK2493" s="2">
        <v>23.702086439512801</v>
      </c>
      <c r="AL2493" s="2">
        <v>23.622112884611301</v>
      </c>
      <c r="AM2493" s="2">
        <v>23.593844466447798</v>
      </c>
      <c r="AN2493" s="2">
        <v>23.318568995691599</v>
      </c>
      <c r="AO2493" s="2">
        <v>23.8254800830933</v>
      </c>
      <c r="AP2493" s="2">
        <v>23.532300905547402</v>
      </c>
      <c r="AQ2493" s="2">
        <v>23.787307994127399</v>
      </c>
      <c r="AR2493" s="2">
        <v>23.262285198223299</v>
      </c>
      <c r="AS2493" s="2">
        <v>22.411686324705698</v>
      </c>
      <c r="AT2493" s="2">
        <v>22.8223011324488</v>
      </c>
      <c r="AU2493" s="2">
        <v>23.244998884149901</v>
      </c>
      <c r="AV2493" s="2">
        <v>23.831938083119301</v>
      </c>
      <c r="AW2493" s="2">
        <v>24.077882599989699</v>
      </c>
      <c r="AX2493" s="2">
        <v>23.373388182656001</v>
      </c>
      <c r="AY2493" s="2">
        <v>23.730559319386899</v>
      </c>
      <c r="AZ2493" s="2">
        <v>23.285780612912799</v>
      </c>
      <c r="BA2493" s="2">
        <v>23.119133157875201</v>
      </c>
      <c r="BB2493" s="2">
        <v>24.143769624546199</v>
      </c>
      <c r="BC2493" s="2">
        <v>24.333899686805101</v>
      </c>
      <c r="BD2493" s="2">
        <v>23.0920112906505</v>
      </c>
      <c r="BE2493" s="2">
        <v>24.490267133747999</v>
      </c>
      <c r="BF2493" s="2">
        <v>23.5152778470062</v>
      </c>
      <c r="BG2493" s="2">
        <v>23.763942397124499</v>
      </c>
      <c r="BH2493" s="2">
        <v>23.978044181842101</v>
      </c>
      <c r="BI2493" s="2">
        <v>23.752195204340801</v>
      </c>
      <c r="BJ2493" s="2">
        <v>24.117639176550799</v>
      </c>
      <c r="BK2493" s="2">
        <v>23.767857051819799</v>
      </c>
      <c r="BL2493" s="2">
        <v>23.440669381423302</v>
      </c>
      <c r="BM2493" s="2">
        <v>24.3170564020255</v>
      </c>
      <c r="BN2493" s="2">
        <v>24.000091960492</v>
      </c>
      <c r="BO2493" s="2">
        <v>23.233336051433401</v>
      </c>
      <c r="BP2493" s="2">
        <v>22.736444961034199</v>
      </c>
      <c r="BQ2493" s="2">
        <v>23.774765823686799</v>
      </c>
      <c r="BR2493" s="2">
        <v>23.685168838908599</v>
      </c>
      <c r="BS2493" s="2">
        <v>23.839877877082898</v>
      </c>
      <c r="BT2493" s="2">
        <v>23.315543521244201</v>
      </c>
      <c r="BU2493" s="2">
        <v>23.525904806139401</v>
      </c>
      <c r="BV2493" s="2">
        <v>23.5504046107596</v>
      </c>
      <c r="BW2493" s="2">
        <v>23.068243530194</v>
      </c>
      <c r="BX2493" s="2">
        <v>23.670288627812301</v>
      </c>
      <c r="BY2493" s="2">
        <v>24.599913373808501</v>
      </c>
      <c r="BZ2493" s="2">
        <v>24.0349796984442</v>
      </c>
      <c r="CA2493" s="2">
        <v>23.8259794643599</v>
      </c>
      <c r="CB2493" s="2">
        <v>23.425824514342398</v>
      </c>
      <c r="CC2493" s="2">
        <v>22.893617105883699</v>
      </c>
      <c r="CD2493" s="2">
        <v>24.036858973079799</v>
      </c>
      <c r="CE2493" s="2">
        <v>23.7331713167058</v>
      </c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</row>
    <row r="2494" spans="1:97">
      <c r="A2494" s="2" t="s">
        <v>21383</v>
      </c>
      <c r="B2494" s="2">
        <v>480.36795000000001</v>
      </c>
      <c r="C2494" s="2">
        <v>0.58599999999999997</v>
      </c>
      <c r="D2494" s="2" t="s">
        <v>84</v>
      </c>
      <c r="E2494" s="2" t="s">
        <v>21384</v>
      </c>
      <c r="F2494" s="2" t="s">
        <v>21385</v>
      </c>
      <c r="G2494" s="2">
        <v>198426</v>
      </c>
      <c r="H2494" s="3" t="str">
        <f>HYPERLINK("https://cloud.oebiotech.com/#/lm/network/198426", "https://cloud.oebiotech.com/#/lm/network/198426")</f>
        <v>https://cloud.oebiotech.com/#/lm/network/198426</v>
      </c>
      <c r="I2494" s="2" t="s">
        <v>21386</v>
      </c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 t="s">
        <v>21387</v>
      </c>
      <c r="U2494" s="2" t="s">
        <v>21388</v>
      </c>
      <c r="V2494" s="2" t="s">
        <v>95</v>
      </c>
      <c r="W2494" s="2" t="s">
        <v>96</v>
      </c>
      <c r="X2494" s="2" t="s">
        <v>97</v>
      </c>
      <c r="Y2494" s="2" t="s">
        <v>98</v>
      </c>
      <c r="Z2494" s="2" t="s">
        <v>99</v>
      </c>
      <c r="AA2494" s="2" t="s">
        <v>100</v>
      </c>
      <c r="AB2494" s="2" t="s">
        <v>8443</v>
      </c>
      <c r="AC2494" s="2">
        <v>36.229999999999997</v>
      </c>
      <c r="AD2494" s="2">
        <v>81.16</v>
      </c>
      <c r="AE2494" s="2">
        <v>0</v>
      </c>
      <c r="AF2494" s="2" t="s">
        <v>5614</v>
      </c>
      <c r="AG2494" s="2" t="s">
        <v>103</v>
      </c>
      <c r="AH2494" s="2" t="s">
        <v>21389</v>
      </c>
      <c r="AI2494" s="2">
        <v>0.62</v>
      </c>
      <c r="AJ2494" s="2">
        <v>20.615074094727799</v>
      </c>
      <c r="AK2494" s="2">
        <v>20.736689088360901</v>
      </c>
      <c r="AL2494" s="2">
        <v>21.154205449049901</v>
      </c>
      <c r="AM2494" s="2">
        <v>20.718856155243198</v>
      </c>
      <c r="AN2494" s="2">
        <v>21.023671218753101</v>
      </c>
      <c r="AO2494" s="2">
        <v>20.4460438923726</v>
      </c>
      <c r="AP2494" s="2">
        <v>20.942815006872099</v>
      </c>
      <c r="AQ2494" s="2">
        <v>20.787131133794301</v>
      </c>
      <c r="AR2494" s="2">
        <v>20.342898042763998</v>
      </c>
      <c r="AS2494" s="2">
        <v>19.913475992852302</v>
      </c>
      <c r="AT2494" s="2">
        <v>19.8666778486532</v>
      </c>
      <c r="AU2494" s="2">
        <v>20.172901152157198</v>
      </c>
      <c r="AV2494" s="2">
        <v>20.6326999050303</v>
      </c>
      <c r="AW2494" s="2">
        <v>20.217916022276</v>
      </c>
      <c r="AX2494" s="2">
        <v>20.0686749300434</v>
      </c>
      <c r="AY2494" s="2">
        <v>20.647484636338501</v>
      </c>
      <c r="AZ2494" s="2">
        <v>20.1773059713137</v>
      </c>
      <c r="BA2494" s="2">
        <v>20.139759359810999</v>
      </c>
      <c r="BB2494" s="2">
        <v>20.182808725830299</v>
      </c>
      <c r="BC2494" s="2">
        <v>21.251295215978899</v>
      </c>
      <c r="BD2494" s="2">
        <v>20.536482645780598</v>
      </c>
      <c r="BE2494" s="2">
        <v>20.6010651958068</v>
      </c>
      <c r="BF2494" s="2">
        <v>20.852941752275999</v>
      </c>
      <c r="BG2494" s="2">
        <v>20.617882859730599</v>
      </c>
      <c r="BH2494" s="2">
        <v>20.472759417738999</v>
      </c>
      <c r="BI2494" s="2">
        <v>20.745749443267002</v>
      </c>
      <c r="BJ2494" s="2">
        <v>20.193789643014401</v>
      </c>
      <c r="BK2494" s="2">
        <v>20.1752569754516</v>
      </c>
      <c r="BL2494" s="2">
        <v>21.172591645034501</v>
      </c>
      <c r="BM2494" s="2">
        <v>20.370608522163099</v>
      </c>
      <c r="BN2494" s="2">
        <v>21.099008560053001</v>
      </c>
      <c r="BO2494" s="2">
        <v>20.624181404253299</v>
      </c>
      <c r="BP2494" s="2">
        <v>20.782057373609</v>
      </c>
      <c r="BQ2494" s="2">
        <v>20.334617727263701</v>
      </c>
      <c r="BR2494" s="2">
        <v>20.355879814201401</v>
      </c>
      <c r="BS2494" s="2">
        <v>19.473293686953301</v>
      </c>
      <c r="BT2494" s="2">
        <v>20.593560078414399</v>
      </c>
      <c r="BU2494" s="2">
        <v>20.650886418466701</v>
      </c>
      <c r="BV2494" s="2">
        <v>20.827294590542198</v>
      </c>
      <c r="BW2494" s="2">
        <v>20.522493241176502</v>
      </c>
      <c r="BX2494" s="2">
        <v>20.7045706278249</v>
      </c>
      <c r="BY2494" s="2">
        <v>20.921895758967299</v>
      </c>
      <c r="BZ2494" s="2">
        <v>20.415043037109601</v>
      </c>
      <c r="CA2494" s="2">
        <v>20.464802407234799</v>
      </c>
      <c r="CB2494" s="2">
        <v>20.086119738293299</v>
      </c>
      <c r="CC2494" s="2">
        <v>19.986880911909001</v>
      </c>
      <c r="CD2494" s="2">
        <v>20.054966859117702</v>
      </c>
      <c r="CE2494" s="2">
        <v>20.407585713223401</v>
      </c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</row>
    <row r="2495" spans="1:97">
      <c r="A2495" s="2" t="s">
        <v>21390</v>
      </c>
      <c r="B2495" s="2">
        <v>213.06663</v>
      </c>
      <c r="C2495" s="2">
        <v>4.3159999999999998</v>
      </c>
      <c r="D2495" s="2" t="s">
        <v>84</v>
      </c>
      <c r="E2495" s="2" t="s">
        <v>21391</v>
      </c>
      <c r="F2495" s="2" t="s">
        <v>21392</v>
      </c>
      <c r="G2495" s="2">
        <v>201685</v>
      </c>
      <c r="H2495" s="3" t="str">
        <f>HYPERLINK("https://cloud.oebiotech.com/#/lm/network/201685", "https://cloud.oebiotech.com/#/lm/network/201685")</f>
        <v>https://cloud.oebiotech.com/#/lm/network/201685</v>
      </c>
      <c r="I2495" s="2" t="s">
        <v>21393</v>
      </c>
      <c r="J2495" s="2">
        <v>344254</v>
      </c>
      <c r="K2495" s="2"/>
      <c r="L2495" s="2">
        <v>1720</v>
      </c>
      <c r="M2495" s="2"/>
      <c r="N2495" s="2"/>
      <c r="O2495" s="2"/>
      <c r="P2495" s="2">
        <v>40071</v>
      </c>
      <c r="Q2495" s="2"/>
      <c r="R2495" s="2"/>
      <c r="S2495" s="2"/>
      <c r="T2495" s="2" t="s">
        <v>21394</v>
      </c>
      <c r="U2495" s="2" t="s">
        <v>21395</v>
      </c>
      <c r="V2495" s="2" t="s">
        <v>553</v>
      </c>
      <c r="W2495" s="2" t="s">
        <v>9926</v>
      </c>
      <c r="X2495" s="2" t="s">
        <v>20313</v>
      </c>
      <c r="Y2495" s="2" t="s">
        <v>556</v>
      </c>
      <c r="Z2495" s="2" t="s">
        <v>9927</v>
      </c>
      <c r="AA2495" s="2" t="s">
        <v>20314</v>
      </c>
      <c r="AB2495" s="2" t="s">
        <v>8443</v>
      </c>
      <c r="AC2495" s="2">
        <v>36.22</v>
      </c>
      <c r="AD2495" s="2">
        <v>92.56</v>
      </c>
      <c r="AE2495" s="2">
        <v>0</v>
      </c>
      <c r="AF2495" s="2" t="s">
        <v>21396</v>
      </c>
      <c r="AG2495" s="2" t="s">
        <v>103</v>
      </c>
      <c r="AH2495" s="2" t="s">
        <v>21397</v>
      </c>
      <c r="AI2495" s="2">
        <v>-3.29</v>
      </c>
      <c r="AJ2495" s="2">
        <v>19.583225558972199</v>
      </c>
      <c r="AK2495" s="2">
        <v>19.559963361283199</v>
      </c>
      <c r="AL2495" s="2">
        <v>19.491725880428199</v>
      </c>
      <c r="AM2495" s="2">
        <v>19.4095504003215</v>
      </c>
      <c r="AN2495" s="2">
        <v>19.537118789340798</v>
      </c>
      <c r="AO2495" s="2">
        <v>19.585493100320999</v>
      </c>
      <c r="AP2495" s="2">
        <v>19.536940826004301</v>
      </c>
      <c r="AQ2495" s="2">
        <v>19.585041821525301</v>
      </c>
      <c r="AR2495" s="2">
        <v>14.4779176015922</v>
      </c>
      <c r="AS2495" s="2">
        <v>9.6233145402724691</v>
      </c>
      <c r="AT2495" s="2">
        <v>19.126557931604498</v>
      </c>
      <c r="AU2495" s="2">
        <v>20.029506025235801</v>
      </c>
      <c r="AV2495" s="2">
        <v>19.5030681777972</v>
      </c>
      <c r="AW2495" s="2">
        <v>19.583783933709899</v>
      </c>
      <c r="AX2495" s="2">
        <v>19.742640637460699</v>
      </c>
      <c r="AY2495" s="2">
        <v>19.922907835863299</v>
      </c>
      <c r="AZ2495" s="2">
        <v>19.737684467618401</v>
      </c>
      <c r="BA2495" s="2">
        <v>19.3710051151212</v>
      </c>
      <c r="BB2495" s="2">
        <v>17.526390727271998</v>
      </c>
      <c r="BC2495" s="2">
        <v>18.8249122016291</v>
      </c>
      <c r="BD2495" s="2">
        <v>20.021994085802302</v>
      </c>
      <c r="BE2495" s="2">
        <v>21.251515973748798</v>
      </c>
      <c r="BF2495" s="2">
        <v>20.436343712023898</v>
      </c>
      <c r="BG2495" s="2">
        <v>16.987159737164799</v>
      </c>
      <c r="BH2495" s="2">
        <v>20.3945326555177</v>
      </c>
      <c r="BI2495" s="2">
        <v>19.456677569396302</v>
      </c>
      <c r="BJ2495" s="2">
        <v>15.626192989170001</v>
      </c>
      <c r="BK2495" s="2">
        <v>19.315722976009098</v>
      </c>
      <c r="BL2495" s="2">
        <v>19.644441197403498</v>
      </c>
      <c r="BM2495" s="2">
        <v>21.164320329675199</v>
      </c>
      <c r="BN2495" s="2">
        <v>19.652185518093798</v>
      </c>
      <c r="BO2495" s="2">
        <v>19.773328789509399</v>
      </c>
      <c r="BP2495" s="2">
        <v>19.664248586402401</v>
      </c>
      <c r="BQ2495" s="2">
        <v>19.441550520357598</v>
      </c>
      <c r="BR2495" s="2">
        <v>15.7397864100706</v>
      </c>
      <c r="BS2495" s="2">
        <v>20.257331497827799</v>
      </c>
      <c r="BT2495" s="2">
        <v>17.0389494165344</v>
      </c>
      <c r="BU2495" s="2">
        <v>20.356993487478501</v>
      </c>
      <c r="BV2495" s="2">
        <v>17.480859766042201</v>
      </c>
      <c r="BW2495" s="2">
        <v>16.570562841958701</v>
      </c>
      <c r="BX2495" s="2">
        <v>20.9725979355579</v>
      </c>
      <c r="BY2495" s="2">
        <v>20.955921698229201</v>
      </c>
      <c r="BZ2495" s="2">
        <v>18.351068628897401</v>
      </c>
      <c r="CA2495" s="2">
        <v>16.237000959526501</v>
      </c>
      <c r="CB2495" s="2">
        <v>16.0354812963459</v>
      </c>
      <c r="CC2495" s="2">
        <v>19.542266704085101</v>
      </c>
      <c r="CD2495" s="2">
        <v>19.612632854699498</v>
      </c>
      <c r="CE2495" s="2">
        <v>19.7865679032172</v>
      </c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</row>
    <row r="2496" spans="1:97">
      <c r="A2496" s="2" t="s">
        <v>21398</v>
      </c>
      <c r="B2496" s="2">
        <v>259.05333999999999</v>
      </c>
      <c r="C2496" s="2">
        <v>5.3029999999999999</v>
      </c>
      <c r="D2496" s="2" t="s">
        <v>84</v>
      </c>
      <c r="E2496" s="2" t="s">
        <v>21399</v>
      </c>
      <c r="F2496" s="2" t="s">
        <v>21400</v>
      </c>
      <c r="G2496" s="2">
        <v>204608</v>
      </c>
      <c r="H2496" s="3" t="str">
        <f>HYPERLINK("https://cloud.oebiotech.com/#/lm/network/204608", "https://cloud.oebiotech.com/#/lm/network/204608")</f>
        <v>https://cloud.oebiotech.com/#/lm/network/204608</v>
      </c>
      <c r="I2496" s="2" t="s">
        <v>21401</v>
      </c>
      <c r="J2496" s="2"/>
      <c r="K2496" s="2"/>
      <c r="L2496" s="2">
        <v>104993</v>
      </c>
      <c r="M2496" s="2"/>
      <c r="N2496" s="2"/>
      <c r="O2496" s="2"/>
      <c r="P2496" s="2"/>
      <c r="Q2496" s="2"/>
      <c r="R2496" s="2"/>
      <c r="S2496" s="2"/>
      <c r="T2496" s="2" t="s">
        <v>21402</v>
      </c>
      <c r="U2496" s="2" t="s">
        <v>21403</v>
      </c>
      <c r="V2496" s="2" t="s">
        <v>115</v>
      </c>
      <c r="W2496" s="2" t="s">
        <v>4566</v>
      </c>
      <c r="X2496" s="2" t="s">
        <v>4567</v>
      </c>
      <c r="Y2496" s="2" t="s">
        <v>118</v>
      </c>
      <c r="Z2496" s="2" t="s">
        <v>4568</v>
      </c>
      <c r="AA2496" s="2" t="s">
        <v>4569</v>
      </c>
      <c r="AB2496" s="2" t="s">
        <v>8443</v>
      </c>
      <c r="AC2496" s="2">
        <v>36.22</v>
      </c>
      <c r="AD2496" s="2">
        <v>91.57</v>
      </c>
      <c r="AE2496" s="2">
        <v>0</v>
      </c>
      <c r="AF2496" s="2" t="s">
        <v>5614</v>
      </c>
      <c r="AG2496" s="2" t="s">
        <v>1088</v>
      </c>
      <c r="AH2496" s="2" t="s">
        <v>21404</v>
      </c>
      <c r="AI2496" s="2">
        <v>-3.09</v>
      </c>
      <c r="AJ2496" s="2">
        <v>17.001798834753998</v>
      </c>
      <c r="AK2496" s="2">
        <v>16.776423007982402</v>
      </c>
      <c r="AL2496" s="2">
        <v>17.595060534188399</v>
      </c>
      <c r="AM2496" s="2">
        <v>17.638559084252101</v>
      </c>
      <c r="AN2496" s="2">
        <v>17.352805723742101</v>
      </c>
      <c r="AO2496" s="2">
        <v>18.052259655789001</v>
      </c>
      <c r="AP2496" s="2">
        <v>17.4773607212435</v>
      </c>
      <c r="AQ2496" s="2">
        <v>17.621675234114001</v>
      </c>
      <c r="AR2496" s="2">
        <v>15.879359486264301</v>
      </c>
      <c r="AS2496" s="2">
        <v>15.2128436419832</v>
      </c>
      <c r="AT2496" s="2">
        <v>15.393825479713501</v>
      </c>
      <c r="AU2496" s="2">
        <v>13.9992099293025</v>
      </c>
      <c r="AV2496" s="2">
        <v>16.811707706280899</v>
      </c>
      <c r="AW2496" s="2">
        <v>16.9870437932749</v>
      </c>
      <c r="AX2496" s="2">
        <v>17.762065999273101</v>
      </c>
      <c r="AY2496" s="2">
        <v>17.3565011459165</v>
      </c>
      <c r="AZ2496" s="2">
        <v>17.732967706983999</v>
      </c>
      <c r="BA2496" s="2">
        <v>14.042810179262</v>
      </c>
      <c r="BB2496" s="2">
        <v>17.509806544383</v>
      </c>
      <c r="BC2496" s="2">
        <v>16.113737690172002</v>
      </c>
      <c r="BD2496" s="2">
        <v>16.836345789224499</v>
      </c>
      <c r="BE2496" s="2">
        <v>18.495372531009</v>
      </c>
      <c r="BF2496" s="2">
        <v>17.722278761777201</v>
      </c>
      <c r="BG2496" s="2">
        <v>17.8134695755117</v>
      </c>
      <c r="BH2496" s="2">
        <v>17.379958388245999</v>
      </c>
      <c r="BI2496" s="2">
        <v>17.407860327394001</v>
      </c>
      <c r="BJ2496" s="2">
        <v>17.431714439469499</v>
      </c>
      <c r="BK2496" s="2">
        <v>17.3886147798538</v>
      </c>
      <c r="BL2496" s="2">
        <v>17.1162825276026</v>
      </c>
      <c r="BM2496" s="2">
        <v>17.025604391364801</v>
      </c>
      <c r="BN2496" s="2">
        <v>17.089410341325401</v>
      </c>
      <c r="BO2496" s="2">
        <v>17.604505813135901</v>
      </c>
      <c r="BP2496" s="2">
        <v>17.509488561223201</v>
      </c>
      <c r="BQ2496" s="2">
        <v>17.4451861654345</v>
      </c>
      <c r="BR2496" s="2">
        <v>17.7787951917276</v>
      </c>
      <c r="BS2496" s="2">
        <v>17.2020486177172</v>
      </c>
      <c r="BT2496" s="2">
        <v>17.409927288918102</v>
      </c>
      <c r="BU2496" s="2">
        <v>16.1828125439866</v>
      </c>
      <c r="BV2496" s="2">
        <v>17.5060392050672</v>
      </c>
      <c r="BW2496" s="2">
        <v>13.9218734717118</v>
      </c>
      <c r="BX2496" s="2">
        <v>16.968391177201401</v>
      </c>
      <c r="BY2496" s="2">
        <v>18.619912380812199</v>
      </c>
      <c r="BZ2496" s="2">
        <v>17.608430772561601</v>
      </c>
      <c r="CA2496" s="2">
        <v>17.651525516364199</v>
      </c>
      <c r="CB2496" s="2">
        <v>17.0849336509057</v>
      </c>
      <c r="CC2496" s="2">
        <v>14.5530532527664</v>
      </c>
      <c r="CD2496" s="2">
        <v>18.146997677696501</v>
      </c>
      <c r="CE2496" s="2">
        <v>17.3944905788974</v>
      </c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</row>
    <row r="2497" spans="1:97">
      <c r="A2497" s="2" t="s">
        <v>21405</v>
      </c>
      <c r="B2497" s="2">
        <v>564.27729999999997</v>
      </c>
      <c r="C2497" s="2">
        <v>10.38</v>
      </c>
      <c r="D2497" s="2" t="s">
        <v>146</v>
      </c>
      <c r="E2497" s="2" t="s">
        <v>21406</v>
      </c>
      <c r="F2497" s="2" t="s">
        <v>21407</v>
      </c>
      <c r="G2497" s="2">
        <v>205073</v>
      </c>
      <c r="H2497" s="3" t="str">
        <f>HYPERLINK("https://cloud.oebiotech.com/#/lm/network/205073", "https://cloud.oebiotech.com/#/lm/network/205073")</f>
        <v>https://cloud.oebiotech.com/#/lm/network/205073</v>
      </c>
      <c r="I2497" s="2" t="s">
        <v>21408</v>
      </c>
      <c r="J2497" s="2"/>
      <c r="K2497" s="2"/>
      <c r="L2497" s="2"/>
      <c r="M2497" s="2"/>
      <c r="N2497" s="2"/>
      <c r="O2497" s="2"/>
      <c r="P2497" s="2">
        <v>142433</v>
      </c>
      <c r="Q2497" s="2" t="s">
        <v>21409</v>
      </c>
      <c r="R2497" s="2" t="s">
        <v>21410</v>
      </c>
      <c r="S2497" s="2"/>
      <c r="T2497" s="2" t="s">
        <v>21411</v>
      </c>
      <c r="U2497" s="2" t="s">
        <v>21412</v>
      </c>
      <c r="V2497" s="2" t="s">
        <v>845</v>
      </c>
      <c r="W2497" s="2" t="s">
        <v>4705</v>
      </c>
      <c r="X2497" s="2" t="s">
        <v>375</v>
      </c>
      <c r="Y2497" s="2" t="s">
        <v>847</v>
      </c>
      <c r="Z2497" s="2" t="s">
        <v>4707</v>
      </c>
      <c r="AA2497" s="2"/>
      <c r="AB2497" s="2" t="s">
        <v>8443</v>
      </c>
      <c r="AC2497" s="2">
        <v>36.21</v>
      </c>
      <c r="AD2497" s="2">
        <v>91.09</v>
      </c>
      <c r="AE2497" s="2">
        <v>0</v>
      </c>
      <c r="AF2497" s="2" t="s">
        <v>5614</v>
      </c>
      <c r="AG2497" s="2" t="s">
        <v>194</v>
      </c>
      <c r="AH2497" s="2" t="s">
        <v>21413</v>
      </c>
      <c r="AI2497" s="2">
        <v>-3.01</v>
      </c>
      <c r="AJ2497" s="2">
        <v>20.9591283235284</v>
      </c>
      <c r="AK2497" s="2">
        <v>21.087611465452699</v>
      </c>
      <c r="AL2497" s="2">
        <v>20.774569438487902</v>
      </c>
      <c r="AM2497" s="2">
        <v>21.149045782285999</v>
      </c>
      <c r="AN2497" s="2">
        <v>21.054239817294299</v>
      </c>
      <c r="AO2497" s="2">
        <v>21.135769491066998</v>
      </c>
      <c r="AP2497" s="2">
        <v>21.169087874221599</v>
      </c>
      <c r="AQ2497" s="2">
        <v>21.2546157902412</v>
      </c>
      <c r="AR2497" s="2">
        <v>20.521584117686899</v>
      </c>
      <c r="AS2497" s="2">
        <v>20.041729246486099</v>
      </c>
      <c r="AT2497" s="2">
        <v>20.370136156279202</v>
      </c>
      <c r="AU2497" s="2">
        <v>20.997109317741199</v>
      </c>
      <c r="AV2497" s="2">
        <v>21.259211542642799</v>
      </c>
      <c r="AW2497" s="2">
        <v>20.530695200407202</v>
      </c>
      <c r="AX2497" s="2">
        <v>20.633311069720499</v>
      </c>
      <c r="AY2497" s="2">
        <v>20.977409840879002</v>
      </c>
      <c r="AZ2497" s="2">
        <v>20.5937821644571</v>
      </c>
      <c r="BA2497" s="2">
        <v>19.897543725840599</v>
      </c>
      <c r="BB2497" s="2">
        <v>20.331925003013499</v>
      </c>
      <c r="BC2497" s="2">
        <v>21.215106995961499</v>
      </c>
      <c r="BD2497" s="2">
        <v>20.724943123518901</v>
      </c>
      <c r="BE2497" s="2">
        <v>21.452842589987799</v>
      </c>
      <c r="BF2497" s="2">
        <v>20.817625536950601</v>
      </c>
      <c r="BG2497" s="2">
        <v>20.943057731763499</v>
      </c>
      <c r="BH2497" s="2">
        <v>20.980736847802302</v>
      </c>
      <c r="BI2497" s="2">
        <v>20.1278921954593</v>
      </c>
      <c r="BJ2497" s="2">
        <v>20.624870064888899</v>
      </c>
      <c r="BK2497" s="2">
        <v>19.6733951071059</v>
      </c>
      <c r="BL2497" s="2">
        <v>21.259558402178602</v>
      </c>
      <c r="BM2497" s="2">
        <v>21.545883209264598</v>
      </c>
      <c r="BN2497" s="2">
        <v>21.470257063380501</v>
      </c>
      <c r="BO2497" s="2">
        <v>20.797541496789101</v>
      </c>
      <c r="BP2497" s="2">
        <v>20.8150954079745</v>
      </c>
      <c r="BQ2497" s="2">
        <v>20.854336097446499</v>
      </c>
      <c r="BR2497" s="2">
        <v>20.682202984572399</v>
      </c>
      <c r="BS2497" s="2">
        <v>21.030883691806501</v>
      </c>
      <c r="BT2497" s="2">
        <v>20.3084344154002</v>
      </c>
      <c r="BU2497" s="2">
        <v>19.141053926555902</v>
      </c>
      <c r="BV2497" s="2">
        <v>20.799583495455199</v>
      </c>
      <c r="BW2497" s="2">
        <v>19.137053396827898</v>
      </c>
      <c r="BX2497" s="2">
        <v>21.213149648542299</v>
      </c>
      <c r="BY2497" s="2">
        <v>21.2711959425564</v>
      </c>
      <c r="BZ2497" s="2">
        <v>20.931350467843199</v>
      </c>
      <c r="CA2497" s="2">
        <v>21.108354481246799</v>
      </c>
      <c r="CB2497" s="2">
        <v>21.183381905840001</v>
      </c>
      <c r="CC2497" s="2">
        <v>20.746906770109199</v>
      </c>
      <c r="CD2497" s="2">
        <v>21.155459588525702</v>
      </c>
      <c r="CE2497" s="2">
        <v>19.881705300927798</v>
      </c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</row>
    <row r="2498" spans="1:97">
      <c r="A2498" s="2" t="s">
        <v>21414</v>
      </c>
      <c r="B2498" s="2">
        <v>422.37831</v>
      </c>
      <c r="C2498" s="2">
        <v>0.58699999999999997</v>
      </c>
      <c r="D2498" s="2" t="s">
        <v>84</v>
      </c>
      <c r="E2498" s="2" t="s">
        <v>21415</v>
      </c>
      <c r="F2498" s="2" t="s">
        <v>21416</v>
      </c>
      <c r="G2498" s="2">
        <v>36515</v>
      </c>
      <c r="H2498" s="3" t="str">
        <f>HYPERLINK("https://cloud.oebiotech.com/#/lm/network/36515", "https://cloud.oebiotech.com/#/lm/network/36515")</f>
        <v>https://cloud.oebiotech.com/#/lm/network/36515</v>
      </c>
      <c r="I2498" s="2"/>
      <c r="J2498" s="2">
        <v>41397</v>
      </c>
      <c r="K2498" s="2" t="s">
        <v>21417</v>
      </c>
      <c r="L2498" s="2">
        <v>11315692</v>
      </c>
      <c r="M2498" s="2" t="s">
        <v>21418</v>
      </c>
      <c r="N2498" s="2"/>
      <c r="O2498" s="2"/>
      <c r="P2498" s="2">
        <v>62742</v>
      </c>
      <c r="Q2498" s="2"/>
      <c r="R2498" s="2"/>
      <c r="S2498" s="2"/>
      <c r="T2498" s="2" t="s">
        <v>21419</v>
      </c>
      <c r="U2498" s="2" t="s">
        <v>21420</v>
      </c>
      <c r="V2498" s="2" t="s">
        <v>95</v>
      </c>
      <c r="W2498" s="2" t="s">
        <v>180</v>
      </c>
      <c r="X2498" s="2" t="s">
        <v>1790</v>
      </c>
      <c r="Y2498" s="2" t="s">
        <v>98</v>
      </c>
      <c r="Z2498" s="2" t="s">
        <v>182</v>
      </c>
      <c r="AA2498" s="2" t="s">
        <v>1791</v>
      </c>
      <c r="AB2498" s="2" t="s">
        <v>8443</v>
      </c>
      <c r="AC2498" s="2">
        <v>36.21</v>
      </c>
      <c r="AD2498" s="2">
        <v>81.069999999999993</v>
      </c>
      <c r="AE2498" s="2">
        <v>0</v>
      </c>
      <c r="AF2498" s="2" t="s">
        <v>21421</v>
      </c>
      <c r="AG2498" s="2" t="s">
        <v>132</v>
      </c>
      <c r="AH2498" s="2" t="s">
        <v>21422</v>
      </c>
      <c r="AI2498" s="2">
        <v>-0.47</v>
      </c>
      <c r="AJ2498" s="2">
        <v>22.605194259103701</v>
      </c>
      <c r="AK2498" s="2">
        <v>22.7777906311163</v>
      </c>
      <c r="AL2498" s="2">
        <v>22.519661327939499</v>
      </c>
      <c r="AM2498" s="2">
        <v>22.350811273458898</v>
      </c>
      <c r="AN2498" s="2">
        <v>22.717615540348199</v>
      </c>
      <c r="AO2498" s="2">
        <v>22.665957038339101</v>
      </c>
      <c r="AP2498" s="2">
        <v>22.4399020338046</v>
      </c>
      <c r="AQ2498" s="2">
        <v>22.271067939747201</v>
      </c>
      <c r="AR2498" s="2">
        <v>22.105264526941799</v>
      </c>
      <c r="AS2498" s="2">
        <v>21.6965044517518</v>
      </c>
      <c r="AT2498" s="2">
        <v>22.408878061189998</v>
      </c>
      <c r="AU2498" s="2">
        <v>22.075937710742998</v>
      </c>
      <c r="AV2498" s="2">
        <v>22.4403963139689</v>
      </c>
      <c r="AW2498" s="2">
        <v>22.199385121786499</v>
      </c>
      <c r="AX2498" s="2">
        <v>22.1857999278999</v>
      </c>
      <c r="AY2498" s="2">
        <v>22.417387967381401</v>
      </c>
      <c r="AZ2498" s="2">
        <v>22.110932081356399</v>
      </c>
      <c r="BA2498" s="2">
        <v>21.977217015133299</v>
      </c>
      <c r="BB2498" s="2">
        <v>22.649863000753001</v>
      </c>
      <c r="BC2498" s="2">
        <v>22.2805884731956</v>
      </c>
      <c r="BD2498" s="2">
        <v>22.173142814977801</v>
      </c>
      <c r="BE2498" s="2">
        <v>22.089853197657298</v>
      </c>
      <c r="BF2498" s="2">
        <v>22.469825913963899</v>
      </c>
      <c r="BG2498" s="2">
        <v>22.14656599097</v>
      </c>
      <c r="BH2498" s="2">
        <v>22.6598845642622</v>
      </c>
      <c r="BI2498" s="2">
        <v>22.269996823682501</v>
      </c>
      <c r="BJ2498" s="2">
        <v>22.539169162281301</v>
      </c>
      <c r="BK2498" s="2">
        <v>21.909812224572299</v>
      </c>
      <c r="BL2498" s="2">
        <v>22.220146732267999</v>
      </c>
      <c r="BM2498" s="2">
        <v>22.032907817374699</v>
      </c>
      <c r="BN2498" s="2">
        <v>22.533210281366699</v>
      </c>
      <c r="BO2498" s="2">
        <v>22.224471496901899</v>
      </c>
      <c r="BP2498" s="2">
        <v>21.991922802698902</v>
      </c>
      <c r="BQ2498" s="2">
        <v>22.376623905795999</v>
      </c>
      <c r="BR2498" s="2">
        <v>22.002549229453201</v>
      </c>
      <c r="BS2498" s="2">
        <v>22.1620944802475</v>
      </c>
      <c r="BT2498" s="2">
        <v>22.302213123180799</v>
      </c>
      <c r="BU2498" s="2">
        <v>21.9959672334167</v>
      </c>
      <c r="BV2498" s="2">
        <v>22.319297084182601</v>
      </c>
      <c r="BW2498" s="2">
        <v>22.407890826482902</v>
      </c>
      <c r="BX2498" s="2">
        <v>21.828626692569301</v>
      </c>
      <c r="BY2498" s="2">
        <v>22.423325054429601</v>
      </c>
      <c r="BZ2498" s="2">
        <v>22.6900968605363</v>
      </c>
      <c r="CA2498" s="2">
        <v>22.229585344098702</v>
      </c>
      <c r="CB2498" s="2">
        <v>22.339860982554999</v>
      </c>
      <c r="CC2498" s="2">
        <v>21.832844170706501</v>
      </c>
      <c r="CD2498" s="2">
        <v>22.527556566079699</v>
      </c>
      <c r="CE2498" s="2">
        <v>22.6080481004599</v>
      </c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</row>
    <row r="2499" spans="1:97">
      <c r="A2499" s="2" t="s">
        <v>21423</v>
      </c>
      <c r="B2499" s="2">
        <v>319.03244000000001</v>
      </c>
      <c r="C2499" s="2">
        <v>7.4089999999999998</v>
      </c>
      <c r="D2499" s="2" t="s">
        <v>146</v>
      </c>
      <c r="E2499" s="2" t="s">
        <v>21424</v>
      </c>
      <c r="F2499" s="2" t="s">
        <v>21425</v>
      </c>
      <c r="G2499" s="2">
        <v>59721</v>
      </c>
      <c r="H2499" s="3" t="str">
        <f>HYPERLINK("https://cloud.oebiotech.com/#/lm/network/59721", "https://cloud.oebiotech.com/#/lm/network/59721")</f>
        <v>https://cloud.oebiotech.com/#/lm/network/59721</v>
      </c>
      <c r="I2499" s="2" t="s">
        <v>21426</v>
      </c>
      <c r="J2499" s="2">
        <v>91104</v>
      </c>
      <c r="K2499" s="2"/>
      <c r="L2499" s="2">
        <v>539170</v>
      </c>
      <c r="M2499" s="2"/>
      <c r="N2499" s="2"/>
      <c r="O2499" s="2"/>
      <c r="P2499" s="2"/>
      <c r="Q2499" s="2"/>
      <c r="R2499" s="2"/>
      <c r="S2499" s="2" t="s">
        <v>21427</v>
      </c>
      <c r="T2499" s="2" t="s">
        <v>21428</v>
      </c>
      <c r="U2499" s="2" t="s">
        <v>21429</v>
      </c>
      <c r="V2499" s="2" t="s">
        <v>338</v>
      </c>
      <c r="W2499" s="2" t="s">
        <v>339</v>
      </c>
      <c r="X2499" s="2" t="s">
        <v>340</v>
      </c>
      <c r="Y2499" s="2" t="s">
        <v>341</v>
      </c>
      <c r="Z2499" s="2" t="s">
        <v>341</v>
      </c>
      <c r="AA2499" s="2" t="s">
        <v>342</v>
      </c>
      <c r="AB2499" s="2" t="s">
        <v>8443</v>
      </c>
      <c r="AC2499" s="2">
        <v>36.21</v>
      </c>
      <c r="AD2499" s="2">
        <v>88.62</v>
      </c>
      <c r="AE2499" s="2">
        <v>0</v>
      </c>
      <c r="AF2499" s="2" t="s">
        <v>21430</v>
      </c>
      <c r="AG2499" s="2" t="s">
        <v>3880</v>
      </c>
      <c r="AH2499" s="2" t="s">
        <v>21431</v>
      </c>
      <c r="AI2499" s="2">
        <v>-2.5099999999999998</v>
      </c>
      <c r="AJ2499" s="2">
        <v>20.507712349860999</v>
      </c>
      <c r="AK2499" s="2">
        <v>20.316011774711601</v>
      </c>
      <c r="AL2499" s="2">
        <v>20.151481766628599</v>
      </c>
      <c r="AM2499" s="2">
        <v>20.519912685835699</v>
      </c>
      <c r="AN2499" s="2">
        <v>20.318559027750599</v>
      </c>
      <c r="AO2499" s="2">
        <v>20.310612182607301</v>
      </c>
      <c r="AP2499" s="2">
        <v>20.342854172547401</v>
      </c>
      <c r="AQ2499" s="2">
        <v>20.335992689508799</v>
      </c>
      <c r="AR2499" s="2">
        <v>20.170957432852401</v>
      </c>
      <c r="AS2499" s="2">
        <v>18.771790107107101</v>
      </c>
      <c r="AT2499" s="2">
        <v>20.622382707836099</v>
      </c>
      <c r="AU2499" s="2">
        <v>20.487844282047</v>
      </c>
      <c r="AV2499" s="2">
        <v>19.507379463483701</v>
      </c>
      <c r="AW2499" s="2">
        <v>21.063460783722899</v>
      </c>
      <c r="AX2499" s="2">
        <v>18.980006439133401</v>
      </c>
      <c r="AY2499" s="2">
        <v>19.524057353307999</v>
      </c>
      <c r="AZ2499" s="2">
        <v>19.073110284195</v>
      </c>
      <c r="BA2499" s="2">
        <v>20.9265813701128</v>
      </c>
      <c r="BB2499" s="2">
        <v>19.9900749547296</v>
      </c>
      <c r="BC2499" s="2">
        <v>20.646874008598498</v>
      </c>
      <c r="BD2499" s="2">
        <v>20.623561947360798</v>
      </c>
      <c r="BE2499" s="2">
        <v>19.632170801237301</v>
      </c>
      <c r="BF2499" s="2">
        <v>19.722363740157</v>
      </c>
      <c r="BG2499" s="2">
        <v>19.869278598777999</v>
      </c>
      <c r="BH2499" s="2">
        <v>20.065939830733701</v>
      </c>
      <c r="BI2499" s="2">
        <v>19.709197040465099</v>
      </c>
      <c r="BJ2499" s="2">
        <v>22.047596991805399</v>
      </c>
      <c r="BK2499" s="2">
        <v>20.942467341388401</v>
      </c>
      <c r="BL2499" s="2">
        <v>20.200104301331699</v>
      </c>
      <c r="BM2499" s="2">
        <v>20.039285988479399</v>
      </c>
      <c r="BN2499" s="2">
        <v>21.030579792355201</v>
      </c>
      <c r="BO2499" s="2">
        <v>20.893377439596801</v>
      </c>
      <c r="BP2499" s="2">
        <v>17.1637933330517</v>
      </c>
      <c r="BQ2499" s="2">
        <v>20.5121216178357</v>
      </c>
      <c r="BR2499" s="2">
        <v>19.361417295434102</v>
      </c>
      <c r="BS2499" s="2">
        <v>19.784081505726601</v>
      </c>
      <c r="BT2499" s="2">
        <v>22.052551620388499</v>
      </c>
      <c r="BU2499" s="2">
        <v>20.698193793070399</v>
      </c>
      <c r="BV2499" s="2">
        <v>20.231448717116098</v>
      </c>
      <c r="BW2499" s="2">
        <v>18.704964743475401</v>
      </c>
      <c r="BX2499" s="2">
        <v>20.536857289073598</v>
      </c>
      <c r="BY2499" s="2">
        <v>19.792014454161698</v>
      </c>
      <c r="BZ2499" s="2">
        <v>18.1734442311602</v>
      </c>
      <c r="CA2499" s="2">
        <v>19.8989984175263</v>
      </c>
      <c r="CB2499" s="2">
        <v>18.142475613618402</v>
      </c>
      <c r="CC2499" s="2">
        <v>20.5445916910633</v>
      </c>
      <c r="CD2499" s="2">
        <v>20.749717821450599</v>
      </c>
      <c r="CE2499" s="2">
        <v>20.800441837934802</v>
      </c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</row>
    <row r="2500" spans="1:97">
      <c r="A2500" s="2" t="s">
        <v>21432</v>
      </c>
      <c r="B2500" s="2">
        <v>511.21776999999997</v>
      </c>
      <c r="C2500" s="2">
        <v>7.1319999999999997</v>
      </c>
      <c r="D2500" s="2" t="s">
        <v>146</v>
      </c>
      <c r="E2500" s="2" t="s">
        <v>21433</v>
      </c>
      <c r="F2500" s="2" t="s">
        <v>21434</v>
      </c>
      <c r="G2500" s="2">
        <v>36023</v>
      </c>
      <c r="H2500" s="3" t="str">
        <f>HYPERLINK("https://cloud.oebiotech.com/#/lm/network/36023", "https://cloud.oebiotech.com/#/lm/network/36023")</f>
        <v>https://cloud.oebiotech.com/#/lm/network/36023</v>
      </c>
      <c r="I2500" s="2"/>
      <c r="J2500" s="2"/>
      <c r="K2500" s="2" t="s">
        <v>21435</v>
      </c>
      <c r="L2500" s="2">
        <v>16019961</v>
      </c>
      <c r="M2500" s="2"/>
      <c r="N2500" s="2"/>
      <c r="O2500" s="2"/>
      <c r="P2500" s="2">
        <v>28153</v>
      </c>
      <c r="Q2500" s="2"/>
      <c r="R2500" s="2"/>
      <c r="S2500" s="2"/>
      <c r="T2500" s="2" t="s">
        <v>21436</v>
      </c>
      <c r="U2500" s="2" t="s">
        <v>21437</v>
      </c>
      <c r="V2500" s="2" t="s">
        <v>95</v>
      </c>
      <c r="W2500" s="2" t="s">
        <v>180</v>
      </c>
      <c r="X2500" s="2" t="s">
        <v>2714</v>
      </c>
      <c r="Y2500" s="2" t="s">
        <v>98</v>
      </c>
      <c r="Z2500" s="2" t="s">
        <v>182</v>
      </c>
      <c r="AA2500" s="2" t="s">
        <v>2715</v>
      </c>
      <c r="AB2500" s="2" t="s">
        <v>8443</v>
      </c>
      <c r="AC2500" s="2">
        <v>36.200000000000003</v>
      </c>
      <c r="AD2500" s="2">
        <v>82.86</v>
      </c>
      <c r="AE2500" s="2">
        <v>0</v>
      </c>
      <c r="AF2500" s="2" t="s">
        <v>5614</v>
      </c>
      <c r="AG2500" s="2" t="s">
        <v>194</v>
      </c>
      <c r="AH2500" s="2" t="s">
        <v>21438</v>
      </c>
      <c r="AI2500" s="2">
        <v>1.37</v>
      </c>
      <c r="AJ2500" s="2">
        <v>16.907957311765099</v>
      </c>
      <c r="AK2500" s="2">
        <v>17.188710822919798</v>
      </c>
      <c r="AL2500" s="2">
        <v>16.2524185567468</v>
      </c>
      <c r="AM2500" s="2">
        <v>16.437213203892298</v>
      </c>
      <c r="AN2500" s="2">
        <v>16.977839901262701</v>
      </c>
      <c r="AO2500" s="2">
        <v>16.759628938665699</v>
      </c>
      <c r="AP2500" s="2">
        <v>15.8643537495345</v>
      </c>
      <c r="AQ2500" s="2">
        <v>16.633516921412799</v>
      </c>
      <c r="AR2500" s="2">
        <v>17.186879307419701</v>
      </c>
      <c r="AS2500" s="2">
        <v>14.839172780057799</v>
      </c>
      <c r="AT2500" s="2">
        <v>16.173507914176799</v>
      </c>
      <c r="AU2500" s="2">
        <v>16.890619467493099</v>
      </c>
      <c r="AV2500" s="2">
        <v>16.938922198664901</v>
      </c>
      <c r="AW2500" s="2">
        <v>16.7755401966274</v>
      </c>
      <c r="AX2500" s="2">
        <v>14.841399725655201</v>
      </c>
      <c r="AY2500" s="2">
        <v>16.9254832769074</v>
      </c>
      <c r="AZ2500" s="2">
        <v>15.912984739516199</v>
      </c>
      <c r="BA2500" s="2">
        <v>16.951834159645099</v>
      </c>
      <c r="BB2500" s="2">
        <v>17.353138897822902</v>
      </c>
      <c r="BC2500" s="2">
        <v>16.2413575682546</v>
      </c>
      <c r="BD2500" s="2">
        <v>16.663195466998399</v>
      </c>
      <c r="BE2500" s="2">
        <v>15.234240387371599</v>
      </c>
      <c r="BF2500" s="2">
        <v>13.687174444503301</v>
      </c>
      <c r="BG2500" s="2">
        <v>15.593646431543</v>
      </c>
      <c r="BH2500" s="2">
        <v>13.8052985022914</v>
      </c>
      <c r="BI2500" s="2">
        <v>16.197478380584201</v>
      </c>
      <c r="BJ2500" s="2">
        <v>17.246554869236999</v>
      </c>
      <c r="BK2500" s="2">
        <v>16.7759052397689</v>
      </c>
      <c r="BL2500" s="2">
        <v>16.8089093892638</v>
      </c>
      <c r="BM2500" s="2">
        <v>15.0823569794123</v>
      </c>
      <c r="BN2500" s="2">
        <v>16.334905757529999</v>
      </c>
      <c r="BO2500" s="2">
        <v>17.250586458068401</v>
      </c>
      <c r="BP2500" s="2">
        <v>16.336605755631201</v>
      </c>
      <c r="BQ2500" s="2">
        <v>18.194054743069699</v>
      </c>
      <c r="BR2500" s="2">
        <v>15.732093211046701</v>
      </c>
      <c r="BS2500" s="2">
        <v>17.495207888866801</v>
      </c>
      <c r="BT2500" s="2">
        <v>17.398254111133099</v>
      </c>
      <c r="BU2500" s="2">
        <v>17.874759390424099</v>
      </c>
      <c r="BV2500" s="2">
        <v>16.350282791036499</v>
      </c>
      <c r="BW2500" s="2">
        <v>15.6529804993224</v>
      </c>
      <c r="BX2500" s="2">
        <v>16.224800416294201</v>
      </c>
      <c r="BY2500" s="2">
        <v>17.348061763447699</v>
      </c>
      <c r="BZ2500" s="2">
        <v>14.679647781066601</v>
      </c>
      <c r="CA2500" s="2">
        <v>15.465335863822499</v>
      </c>
      <c r="CB2500" s="2">
        <v>16.43154396093</v>
      </c>
      <c r="CC2500" s="2">
        <v>16.8519973735918</v>
      </c>
      <c r="CD2500" s="2">
        <v>17.383496657275899</v>
      </c>
      <c r="CE2500" s="2">
        <v>16.6258175547142</v>
      </c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</row>
    <row r="2501" spans="1:97">
      <c r="A2501" s="2" t="s">
        <v>21439</v>
      </c>
      <c r="B2501" s="2">
        <v>467.19146000000001</v>
      </c>
      <c r="C2501" s="2">
        <v>6.43</v>
      </c>
      <c r="D2501" s="2" t="s">
        <v>146</v>
      </c>
      <c r="E2501" s="2" t="s">
        <v>21440</v>
      </c>
      <c r="F2501" s="2" t="s">
        <v>21441</v>
      </c>
      <c r="G2501" s="2">
        <v>35308</v>
      </c>
      <c r="H2501" s="3" t="str">
        <f>HYPERLINK("https://cloud.oebiotech.com/#/lm/network/35308", "https://cloud.oebiotech.com/#/lm/network/35308")</f>
        <v>https://cloud.oebiotech.com/#/lm/network/35308</v>
      </c>
      <c r="I2501" s="2"/>
      <c r="J2501" s="2">
        <v>41160</v>
      </c>
      <c r="K2501" s="2" t="s">
        <v>21442</v>
      </c>
      <c r="L2501" s="2">
        <v>442436</v>
      </c>
      <c r="M2501" s="2" t="s">
        <v>21443</v>
      </c>
      <c r="N2501" s="2"/>
      <c r="O2501" s="2"/>
      <c r="P2501" s="2">
        <v>9928</v>
      </c>
      <c r="Q2501" s="2"/>
      <c r="R2501" s="2"/>
      <c r="S2501" s="2"/>
      <c r="T2501" s="2" t="s">
        <v>21444</v>
      </c>
      <c r="U2501" s="2" t="s">
        <v>21445</v>
      </c>
      <c r="V2501" s="2" t="s">
        <v>95</v>
      </c>
      <c r="W2501" s="2" t="s">
        <v>180</v>
      </c>
      <c r="X2501" s="2" t="s">
        <v>5048</v>
      </c>
      <c r="Y2501" s="2" t="s">
        <v>98</v>
      </c>
      <c r="Z2501" s="2" t="s">
        <v>182</v>
      </c>
      <c r="AA2501" s="2" t="s">
        <v>5049</v>
      </c>
      <c r="AB2501" s="2" t="s">
        <v>8443</v>
      </c>
      <c r="AC2501" s="2">
        <v>36.19</v>
      </c>
      <c r="AD2501" s="2">
        <v>84.52</v>
      </c>
      <c r="AE2501" s="2">
        <v>0</v>
      </c>
      <c r="AF2501" s="2" t="s">
        <v>21446</v>
      </c>
      <c r="AG2501" s="2" t="s">
        <v>157</v>
      </c>
      <c r="AH2501" s="2" t="s">
        <v>21447</v>
      </c>
      <c r="AI2501" s="2">
        <v>1.71</v>
      </c>
      <c r="AJ2501" s="2">
        <v>15.728707618667499</v>
      </c>
      <c r="AK2501" s="2">
        <v>16.333597562224099</v>
      </c>
      <c r="AL2501" s="2">
        <v>16.0733382549517</v>
      </c>
      <c r="AM2501" s="2">
        <v>15.793386380723801</v>
      </c>
      <c r="AN2501" s="2">
        <v>16.206189638311301</v>
      </c>
      <c r="AO2501" s="2">
        <v>15.8684307269314</v>
      </c>
      <c r="AP2501" s="2">
        <v>16.2539082237104</v>
      </c>
      <c r="AQ2501" s="2">
        <v>16.191988367530801</v>
      </c>
      <c r="AR2501" s="2">
        <v>15.9610460505108</v>
      </c>
      <c r="AS2501" s="2">
        <v>14.177860190350501</v>
      </c>
      <c r="AT2501" s="2">
        <v>14.5514997958692</v>
      </c>
      <c r="AU2501" s="2">
        <v>15.287903523979301</v>
      </c>
      <c r="AV2501" s="2">
        <v>14.0398966255584</v>
      </c>
      <c r="AW2501" s="2">
        <v>15.677968987023499</v>
      </c>
      <c r="AX2501" s="2">
        <v>12.9225212230312</v>
      </c>
      <c r="AY2501" s="2">
        <v>17.272686549156901</v>
      </c>
      <c r="AZ2501" s="2">
        <v>15.9846525395113</v>
      </c>
      <c r="BA2501" s="2">
        <v>16.087388044258901</v>
      </c>
      <c r="BB2501" s="2">
        <v>13.6740697574748</v>
      </c>
      <c r="BC2501" s="2">
        <v>11.7233580405029</v>
      </c>
      <c r="BD2501" s="2">
        <v>13.8247847556497</v>
      </c>
      <c r="BE2501" s="2">
        <v>15.7796747318464</v>
      </c>
      <c r="BF2501" s="2">
        <v>13.657596465412</v>
      </c>
      <c r="BG2501" s="2">
        <v>13.6583130302675</v>
      </c>
      <c r="BH2501" s="2">
        <v>9.6233145402724691</v>
      </c>
      <c r="BI2501" s="2">
        <v>14.8584210821284</v>
      </c>
      <c r="BJ2501" s="2">
        <v>15.8368307323435</v>
      </c>
      <c r="BK2501" s="2">
        <v>14.980648805530301</v>
      </c>
      <c r="BL2501" s="2">
        <v>16.810621587995399</v>
      </c>
      <c r="BM2501" s="2">
        <v>16.361298712797002</v>
      </c>
      <c r="BN2501" s="2">
        <v>16.327681926499199</v>
      </c>
      <c r="BO2501" s="2">
        <v>9.6233145402724691</v>
      </c>
      <c r="BP2501" s="2">
        <v>14.493555898846701</v>
      </c>
      <c r="BQ2501" s="2">
        <v>17.167651094830401</v>
      </c>
      <c r="BR2501" s="2">
        <v>13.3806666858874</v>
      </c>
      <c r="BS2501" s="2">
        <v>17.913175760956999</v>
      </c>
      <c r="BT2501" s="2">
        <v>17.867159025036599</v>
      </c>
      <c r="BU2501" s="2">
        <v>17.105569109663598</v>
      </c>
      <c r="BV2501" s="2">
        <v>14.1812842804095</v>
      </c>
      <c r="BW2501" s="2">
        <v>9.6233145402724691</v>
      </c>
      <c r="BX2501" s="2">
        <v>13.6859948825233</v>
      </c>
      <c r="BY2501" s="2">
        <v>17.4577748312214</v>
      </c>
      <c r="BZ2501" s="2">
        <v>12.328997422248101</v>
      </c>
      <c r="CA2501" s="2">
        <v>15.8237856763685</v>
      </c>
      <c r="CB2501" s="2">
        <v>16.046001057160801</v>
      </c>
      <c r="CC2501" s="2">
        <v>16.393845585429599</v>
      </c>
      <c r="CD2501" s="2">
        <v>15.412870156499199</v>
      </c>
      <c r="CE2501" s="2">
        <v>13.27824035683</v>
      </c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</row>
    <row r="2502" spans="1:97">
      <c r="A2502" s="2" t="s">
        <v>21448</v>
      </c>
      <c r="B2502" s="2">
        <v>455.11536999999998</v>
      </c>
      <c r="C2502" s="2">
        <v>5.84</v>
      </c>
      <c r="D2502" s="2" t="s">
        <v>84</v>
      </c>
      <c r="E2502" s="2" t="s">
        <v>21449</v>
      </c>
      <c r="F2502" s="2" t="s">
        <v>21450</v>
      </c>
      <c r="G2502" s="2">
        <v>61809</v>
      </c>
      <c r="H2502" s="3" t="str">
        <f>HYPERLINK("https://cloud.oebiotech.com/#/lm/network/61809", "https://cloud.oebiotech.com/#/lm/network/61809")</f>
        <v>https://cloud.oebiotech.com/#/lm/network/61809</v>
      </c>
      <c r="I2502" s="2" t="s">
        <v>21451</v>
      </c>
      <c r="J2502" s="2">
        <v>93116</v>
      </c>
      <c r="K2502" s="2"/>
      <c r="L2502" s="2">
        <v>131752368</v>
      </c>
      <c r="M2502" s="2"/>
      <c r="N2502" s="2"/>
      <c r="O2502" s="2"/>
      <c r="P2502" s="2"/>
      <c r="Q2502" s="2"/>
      <c r="R2502" s="2"/>
      <c r="S2502" s="2" t="s">
        <v>21452</v>
      </c>
      <c r="T2502" s="2" t="s">
        <v>21453</v>
      </c>
      <c r="U2502" s="2" t="s">
        <v>21454</v>
      </c>
      <c r="V2502" s="2" t="s">
        <v>338</v>
      </c>
      <c r="W2502" s="2" t="s">
        <v>339</v>
      </c>
      <c r="X2502" s="2" t="s">
        <v>663</v>
      </c>
      <c r="Y2502" s="2" t="s">
        <v>341</v>
      </c>
      <c r="Z2502" s="2" t="s">
        <v>341</v>
      </c>
      <c r="AA2502" s="2" t="s">
        <v>664</v>
      </c>
      <c r="AB2502" s="2" t="s">
        <v>8443</v>
      </c>
      <c r="AC2502" s="2">
        <v>36.19</v>
      </c>
      <c r="AD2502" s="2">
        <v>80.97</v>
      </c>
      <c r="AE2502" s="2">
        <v>0</v>
      </c>
      <c r="AF2502" s="2" t="s">
        <v>21455</v>
      </c>
      <c r="AG2502" s="2" t="s">
        <v>132</v>
      </c>
      <c r="AH2502" s="2" t="s">
        <v>21456</v>
      </c>
      <c r="AI2502" s="2">
        <v>-0.44</v>
      </c>
      <c r="AJ2502" s="2">
        <v>18.0139692918412</v>
      </c>
      <c r="AK2502" s="2">
        <v>17.740915771290702</v>
      </c>
      <c r="AL2502" s="2">
        <v>17.740821916654198</v>
      </c>
      <c r="AM2502" s="2">
        <v>17.537402624257901</v>
      </c>
      <c r="AN2502" s="2">
        <v>18.267649725736501</v>
      </c>
      <c r="AO2502" s="2">
        <v>17.319064431963501</v>
      </c>
      <c r="AP2502" s="2">
        <v>17.744405657785499</v>
      </c>
      <c r="AQ2502" s="2">
        <v>17.9255094128997</v>
      </c>
      <c r="AR2502" s="2">
        <v>14.919238114155601</v>
      </c>
      <c r="AS2502" s="2">
        <v>15.934567870955799</v>
      </c>
      <c r="AT2502" s="2">
        <v>9.6233145402724691</v>
      </c>
      <c r="AU2502" s="2">
        <v>18.131209382587201</v>
      </c>
      <c r="AV2502" s="2">
        <v>15.727681190631801</v>
      </c>
      <c r="AW2502" s="2">
        <v>17.601775067630701</v>
      </c>
      <c r="AX2502" s="2">
        <v>9.6233145402724691</v>
      </c>
      <c r="AY2502" s="2">
        <v>13.8480683272711</v>
      </c>
      <c r="AZ2502" s="2">
        <v>13.5490831204775</v>
      </c>
      <c r="BA2502" s="2">
        <v>18.702296418112301</v>
      </c>
      <c r="BB2502" s="2">
        <v>19.170890618395799</v>
      </c>
      <c r="BC2502" s="2">
        <v>17.361703601478801</v>
      </c>
      <c r="BD2502" s="2">
        <v>18.4437558033068</v>
      </c>
      <c r="BE2502" s="2">
        <v>15.8124974732612</v>
      </c>
      <c r="BF2502" s="2">
        <v>17.160152691623999</v>
      </c>
      <c r="BG2502" s="2">
        <v>18.663806087806499</v>
      </c>
      <c r="BH2502" s="2">
        <v>17.874020887771501</v>
      </c>
      <c r="BI2502" s="2">
        <v>14.866214958568699</v>
      </c>
      <c r="BJ2502" s="2">
        <v>18.552503248890201</v>
      </c>
      <c r="BK2502" s="2">
        <v>20.433818320816901</v>
      </c>
      <c r="BL2502" s="2">
        <v>15.580558018143</v>
      </c>
      <c r="BM2502" s="2">
        <v>16.382818365310001</v>
      </c>
      <c r="BN2502" s="2">
        <v>17.172217210984201</v>
      </c>
      <c r="BO2502" s="2">
        <v>17.7957906479066</v>
      </c>
      <c r="BP2502" s="2">
        <v>9.6233145402724691</v>
      </c>
      <c r="BQ2502" s="2">
        <v>17.311273185306501</v>
      </c>
      <c r="BR2502" s="2">
        <v>14.347743848510101</v>
      </c>
      <c r="BS2502" s="2">
        <v>13.7284562618196</v>
      </c>
      <c r="BT2502" s="2">
        <v>17.647563052342498</v>
      </c>
      <c r="BU2502" s="2">
        <v>18.7567391235456</v>
      </c>
      <c r="BV2502" s="2">
        <v>18.6469751447089</v>
      </c>
      <c r="BW2502" s="2">
        <v>15.438444259444401</v>
      </c>
      <c r="BX2502" s="2">
        <v>18.297325329374399</v>
      </c>
      <c r="BY2502" s="2">
        <v>16.0078025596994</v>
      </c>
      <c r="BZ2502" s="2">
        <v>16.847020020182001</v>
      </c>
      <c r="CA2502" s="2">
        <v>18.467103518726798</v>
      </c>
      <c r="CB2502" s="2">
        <v>16.511455406971201</v>
      </c>
      <c r="CC2502" s="2">
        <v>14.202165156818699</v>
      </c>
      <c r="CD2502" s="2">
        <v>18.398862742762599</v>
      </c>
      <c r="CE2502" s="2">
        <v>20.2474435810053</v>
      </c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</row>
    <row r="2503" spans="1:97">
      <c r="A2503" s="2" t="s">
        <v>21457</v>
      </c>
      <c r="B2503" s="2">
        <v>339.26796000000002</v>
      </c>
      <c r="C2503" s="2">
        <v>8.9670000000000005</v>
      </c>
      <c r="D2503" s="2" t="s">
        <v>84</v>
      </c>
      <c r="E2503" s="2" t="s">
        <v>21458</v>
      </c>
      <c r="F2503" s="2" t="s">
        <v>21459</v>
      </c>
      <c r="G2503" s="2">
        <v>198556</v>
      </c>
      <c r="H2503" s="3" t="str">
        <f>HYPERLINK("https://cloud.oebiotech.com/#/lm/network/198556", "https://cloud.oebiotech.com/#/lm/network/198556")</f>
        <v>https://cloud.oebiotech.com/#/lm/network/198556</v>
      </c>
      <c r="I2503" s="2" t="s">
        <v>21460</v>
      </c>
      <c r="J2503" s="2"/>
      <c r="K2503" s="2"/>
      <c r="L2503" s="2">
        <v>18318649</v>
      </c>
      <c r="M2503" s="2"/>
      <c r="N2503" s="2"/>
      <c r="O2503" s="2"/>
      <c r="P2503" s="2"/>
      <c r="Q2503" s="2"/>
      <c r="R2503" s="2"/>
      <c r="S2503" s="2"/>
      <c r="T2503" s="2" t="s">
        <v>21461</v>
      </c>
      <c r="U2503" s="2" t="s">
        <v>21462</v>
      </c>
      <c r="V2503" s="2" t="s">
        <v>115</v>
      </c>
      <c r="W2503" s="2" t="s">
        <v>116</v>
      </c>
      <c r="X2503" s="2" t="s">
        <v>117</v>
      </c>
      <c r="Y2503" s="2" t="s">
        <v>118</v>
      </c>
      <c r="Z2503" s="2" t="s">
        <v>119</v>
      </c>
      <c r="AA2503" s="2" t="s">
        <v>120</v>
      </c>
      <c r="AB2503" s="2" t="s">
        <v>8443</v>
      </c>
      <c r="AC2503" s="2">
        <v>36.19</v>
      </c>
      <c r="AD2503" s="2">
        <v>87.72</v>
      </c>
      <c r="AE2503" s="2">
        <v>0</v>
      </c>
      <c r="AF2503" s="2" t="s">
        <v>21463</v>
      </c>
      <c r="AG2503" s="2" t="s">
        <v>1088</v>
      </c>
      <c r="AH2503" s="2" t="s">
        <v>21464</v>
      </c>
      <c r="AI2503" s="2">
        <v>-9.43</v>
      </c>
      <c r="AJ2503" s="2">
        <v>18.1136211090258</v>
      </c>
      <c r="AK2503" s="2">
        <v>18.292054976703501</v>
      </c>
      <c r="AL2503" s="2">
        <v>18.4147030299272</v>
      </c>
      <c r="AM2503" s="2">
        <v>18.2614789361654</v>
      </c>
      <c r="AN2503" s="2">
        <v>18.592249960571099</v>
      </c>
      <c r="AO2503" s="2">
        <v>18.132155833607701</v>
      </c>
      <c r="AP2503" s="2">
        <v>18.085766161379699</v>
      </c>
      <c r="AQ2503" s="2">
        <v>18.489882212126201</v>
      </c>
      <c r="AR2503" s="2">
        <v>17.6468291057591</v>
      </c>
      <c r="AS2503" s="2">
        <v>9.6233145402724691</v>
      </c>
      <c r="AT2503" s="2">
        <v>17.626305942727999</v>
      </c>
      <c r="AU2503" s="2">
        <v>18.679645375936101</v>
      </c>
      <c r="AV2503" s="2">
        <v>16.997425283691602</v>
      </c>
      <c r="AW2503" s="2">
        <v>20.647371466660999</v>
      </c>
      <c r="AX2503" s="2">
        <v>16.0160513182975</v>
      </c>
      <c r="AY2503" s="2">
        <v>17.910478075844502</v>
      </c>
      <c r="AZ2503" s="2">
        <v>15.5735930499141</v>
      </c>
      <c r="BA2503" s="2">
        <v>9.6233145402724691</v>
      </c>
      <c r="BB2503" s="2">
        <v>19.9715590459552</v>
      </c>
      <c r="BC2503" s="2">
        <v>17.271096854530501</v>
      </c>
      <c r="BD2503" s="2">
        <v>14.2229171344037</v>
      </c>
      <c r="BE2503" s="2">
        <v>15.4486841838033</v>
      </c>
      <c r="BF2503" s="2">
        <v>14.6171207543953</v>
      </c>
      <c r="BG2503" s="2">
        <v>9.6233145402724691</v>
      </c>
      <c r="BH2503" s="2">
        <v>17.355672242726701</v>
      </c>
      <c r="BI2503" s="2">
        <v>15.4079694201096</v>
      </c>
      <c r="BJ2503" s="2">
        <v>17.719542369196201</v>
      </c>
      <c r="BK2503" s="2">
        <v>19.765742259867999</v>
      </c>
      <c r="BL2503" s="2">
        <v>9.6233145402724691</v>
      </c>
      <c r="BM2503" s="2">
        <v>18.808181617051101</v>
      </c>
      <c r="BN2503" s="2">
        <v>18.605430975024799</v>
      </c>
      <c r="BO2503" s="2">
        <v>14.0400987533812</v>
      </c>
      <c r="BP2503" s="2">
        <v>9.6233145402724691</v>
      </c>
      <c r="BQ2503" s="2">
        <v>19.238581701762701</v>
      </c>
      <c r="BR2503" s="2">
        <v>18.241454122854499</v>
      </c>
      <c r="BS2503" s="2">
        <v>16.6932922872566</v>
      </c>
      <c r="BT2503" s="2">
        <v>14.2778453048291</v>
      </c>
      <c r="BU2503" s="2">
        <v>13.801871006541599</v>
      </c>
      <c r="BV2503" s="2">
        <v>19.786841491615601</v>
      </c>
      <c r="BW2503" s="2">
        <v>15.8615323468801</v>
      </c>
      <c r="BX2503" s="2">
        <v>16.361069231140899</v>
      </c>
      <c r="BY2503" s="2">
        <v>15.767752030567401</v>
      </c>
      <c r="BZ2503" s="2">
        <v>16.660497360248801</v>
      </c>
      <c r="CA2503" s="2">
        <v>18.247693592282101</v>
      </c>
      <c r="CB2503" s="2">
        <v>17.0902254360001</v>
      </c>
      <c r="CC2503" s="2">
        <v>14.762851232814</v>
      </c>
      <c r="CD2503" s="2">
        <v>17.6133858941926</v>
      </c>
      <c r="CE2503" s="2">
        <v>17.396402423124901</v>
      </c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</row>
    <row r="2504" spans="1:97">
      <c r="A2504" s="2" t="s">
        <v>21465</v>
      </c>
      <c r="B2504" s="2">
        <v>184.07288</v>
      </c>
      <c r="C2504" s="2">
        <v>11.388</v>
      </c>
      <c r="D2504" s="2" t="s">
        <v>84</v>
      </c>
      <c r="E2504" s="2" t="s">
        <v>21466</v>
      </c>
      <c r="F2504" s="2" t="s">
        <v>21467</v>
      </c>
      <c r="G2504" s="2">
        <v>205294</v>
      </c>
      <c r="H2504" s="3" t="str">
        <f>HYPERLINK("https://cloud.oebiotech.com/#/lm/network/205294", "https://cloud.oebiotech.com/#/lm/network/205294")</f>
        <v>https://cloud.oebiotech.com/#/lm/network/205294</v>
      </c>
      <c r="I2504" s="2" t="s">
        <v>21468</v>
      </c>
      <c r="J2504" s="2"/>
      <c r="K2504" s="2"/>
      <c r="L2504" s="2">
        <v>129652103</v>
      </c>
      <c r="M2504" s="2"/>
      <c r="N2504" s="2"/>
      <c r="O2504" s="2"/>
      <c r="P2504" s="2"/>
      <c r="Q2504" s="2"/>
      <c r="R2504" s="2"/>
      <c r="S2504" s="2"/>
      <c r="T2504" s="2" t="s">
        <v>21469</v>
      </c>
      <c r="U2504" s="2" t="s">
        <v>21470</v>
      </c>
      <c r="V2504" s="2" t="s">
        <v>115</v>
      </c>
      <c r="W2504" s="2" t="s">
        <v>116</v>
      </c>
      <c r="X2504" s="2" t="s">
        <v>117</v>
      </c>
      <c r="Y2504" s="2" t="s">
        <v>118</v>
      </c>
      <c r="Z2504" s="2" t="s">
        <v>119</v>
      </c>
      <c r="AA2504" s="2" t="s">
        <v>120</v>
      </c>
      <c r="AB2504" s="2" t="s">
        <v>8443</v>
      </c>
      <c r="AC2504" s="2">
        <v>36.18</v>
      </c>
      <c r="AD2504" s="2">
        <v>94.92</v>
      </c>
      <c r="AE2504" s="2">
        <v>0</v>
      </c>
      <c r="AF2504" s="2" t="s">
        <v>5614</v>
      </c>
      <c r="AG2504" s="2" t="s">
        <v>1088</v>
      </c>
      <c r="AH2504" s="2" t="s">
        <v>21471</v>
      </c>
      <c r="AI2504" s="2">
        <v>-3.8</v>
      </c>
      <c r="AJ2504" s="2">
        <v>21.442296550555501</v>
      </c>
      <c r="AK2504" s="2">
        <v>21.337857522055302</v>
      </c>
      <c r="AL2504" s="2">
        <v>21.451759354539</v>
      </c>
      <c r="AM2504" s="2">
        <v>21.1121529611341</v>
      </c>
      <c r="AN2504" s="2">
        <v>21.260586685679399</v>
      </c>
      <c r="AO2504" s="2">
        <v>21.230893238492001</v>
      </c>
      <c r="AP2504" s="2">
        <v>21.1390318211043</v>
      </c>
      <c r="AQ2504" s="2">
        <v>21.545755193818302</v>
      </c>
      <c r="AR2504" s="2">
        <v>21.291211868893999</v>
      </c>
      <c r="AS2504" s="2">
        <v>20.737745309613899</v>
      </c>
      <c r="AT2504" s="2">
        <v>21.399935218188698</v>
      </c>
      <c r="AU2504" s="2">
        <v>21.469979213935101</v>
      </c>
      <c r="AV2504" s="2">
        <v>21.277933961524798</v>
      </c>
      <c r="AW2504" s="2">
        <v>20.862254411688401</v>
      </c>
      <c r="AX2504" s="2">
        <v>21.221435924033401</v>
      </c>
      <c r="AY2504" s="2">
        <v>21.161722249794199</v>
      </c>
      <c r="AZ2504" s="2">
        <v>21.290822091060502</v>
      </c>
      <c r="BA2504" s="2">
        <v>20.6380064769799</v>
      </c>
      <c r="BB2504" s="2">
        <v>21.090299239522601</v>
      </c>
      <c r="BC2504" s="2">
        <v>21.5371259195542</v>
      </c>
      <c r="BD2504" s="2">
        <v>21.495274683056198</v>
      </c>
      <c r="BE2504" s="2">
        <v>21.965209522491001</v>
      </c>
      <c r="BF2504" s="2">
        <v>21.228320306383399</v>
      </c>
      <c r="BG2504" s="2">
        <v>21.389723294359801</v>
      </c>
      <c r="BH2504" s="2">
        <v>21.325479144505302</v>
      </c>
      <c r="BI2504" s="2">
        <v>21.032923635887201</v>
      </c>
      <c r="BJ2504" s="2">
        <v>21.466736901001401</v>
      </c>
      <c r="BK2504" s="2">
        <v>21.1904362433804</v>
      </c>
      <c r="BL2504" s="2">
        <v>21.5071353099204</v>
      </c>
      <c r="BM2504" s="2">
        <v>21.2394872361069</v>
      </c>
      <c r="BN2504" s="2">
        <v>21.319614061277999</v>
      </c>
      <c r="BO2504" s="2">
        <v>21.331222834467599</v>
      </c>
      <c r="BP2504" s="2">
        <v>21.375840643006299</v>
      </c>
      <c r="BQ2504" s="2">
        <v>21.071080873067299</v>
      </c>
      <c r="BR2504" s="2">
        <v>21.062314558122601</v>
      </c>
      <c r="BS2504" s="2">
        <v>21.4586120230029</v>
      </c>
      <c r="BT2504" s="2">
        <v>21.429245232109398</v>
      </c>
      <c r="BU2504" s="2">
        <v>21.202352802782801</v>
      </c>
      <c r="BV2504" s="2">
        <v>21.254232060785</v>
      </c>
      <c r="BW2504" s="2">
        <v>20.9391227117158</v>
      </c>
      <c r="BX2504" s="2">
        <v>21.506313683497702</v>
      </c>
      <c r="BY2504" s="2">
        <v>21.699869656082999</v>
      </c>
      <c r="BZ2504" s="2">
        <v>21.099605213403802</v>
      </c>
      <c r="CA2504" s="2">
        <v>21.578128120435601</v>
      </c>
      <c r="CB2504" s="2">
        <v>21.359181145727099</v>
      </c>
      <c r="CC2504" s="2">
        <v>21.441390613054399</v>
      </c>
      <c r="CD2504" s="2">
        <v>21.527661871780701</v>
      </c>
      <c r="CE2504" s="2">
        <v>21.1523538486314</v>
      </c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</row>
    <row r="2505" spans="1:97">
      <c r="A2505" s="2" t="s">
        <v>21472</v>
      </c>
      <c r="B2505" s="2">
        <v>337.02435000000003</v>
      </c>
      <c r="C2505" s="2">
        <v>4.9509999999999996</v>
      </c>
      <c r="D2505" s="2" t="s">
        <v>146</v>
      </c>
      <c r="E2505" s="2" t="s">
        <v>21473</v>
      </c>
      <c r="F2505" s="2" t="s">
        <v>21474</v>
      </c>
      <c r="G2505" s="2">
        <v>595940</v>
      </c>
      <c r="H2505" s="3" t="str">
        <f>HYPERLINK("https://cloud.oebiotech.com/#/lm/network/595940", "https://cloud.oebiotech.com/#/lm/network/595940")</f>
        <v>https://cloud.oebiotech.com/#/lm/network/595940</v>
      </c>
      <c r="I2505" s="2"/>
      <c r="J2505" s="2"/>
      <c r="K2505" s="2"/>
      <c r="L2505" s="2">
        <v>131834193</v>
      </c>
      <c r="M2505" s="2"/>
      <c r="N2505" s="2"/>
      <c r="O2505" s="2"/>
      <c r="P2505" s="2"/>
      <c r="Q2505" s="2"/>
      <c r="R2505" s="2"/>
      <c r="S2505" s="2"/>
      <c r="T2505" s="2" t="s">
        <v>21475</v>
      </c>
      <c r="U2505" s="2" t="s">
        <v>21476</v>
      </c>
      <c r="V2505" s="2" t="s">
        <v>115</v>
      </c>
      <c r="W2505" s="2" t="s">
        <v>613</v>
      </c>
      <c r="X2505" s="2" t="s">
        <v>614</v>
      </c>
      <c r="Y2505" s="2" t="s">
        <v>118</v>
      </c>
      <c r="Z2505" s="2" t="s">
        <v>615</v>
      </c>
      <c r="AA2505" s="2" t="s">
        <v>616</v>
      </c>
      <c r="AB2505" s="2" t="s">
        <v>8443</v>
      </c>
      <c r="AC2505" s="2">
        <v>36.17</v>
      </c>
      <c r="AD2505" s="2">
        <v>89.19</v>
      </c>
      <c r="AE2505" s="2">
        <v>0</v>
      </c>
      <c r="AF2505" s="2" t="s">
        <v>5614</v>
      </c>
      <c r="AG2505" s="2" t="s">
        <v>157</v>
      </c>
      <c r="AH2505" s="2" t="s">
        <v>21477</v>
      </c>
      <c r="AI2505" s="2">
        <v>-2.67</v>
      </c>
      <c r="AJ2505" s="2">
        <v>17.480740115412399</v>
      </c>
      <c r="AK2505" s="2">
        <v>17.217059708729298</v>
      </c>
      <c r="AL2505" s="2">
        <v>17.2115734119119</v>
      </c>
      <c r="AM2505" s="2">
        <v>17.3452080547547</v>
      </c>
      <c r="AN2505" s="2">
        <v>17.601893937922402</v>
      </c>
      <c r="AO2505" s="2">
        <v>17.4008552600001</v>
      </c>
      <c r="AP2505" s="2">
        <v>17.3819981995549</v>
      </c>
      <c r="AQ2505" s="2">
        <v>17.470472996909098</v>
      </c>
      <c r="AR2505" s="2">
        <v>15.332629971073001</v>
      </c>
      <c r="AS2505" s="2">
        <v>14.7147188243288</v>
      </c>
      <c r="AT2505" s="2">
        <v>16.1838966369593</v>
      </c>
      <c r="AU2505" s="2">
        <v>17.923464391481101</v>
      </c>
      <c r="AV2505" s="2">
        <v>16.669290768253099</v>
      </c>
      <c r="AW2505" s="2">
        <v>17.015207584718301</v>
      </c>
      <c r="AX2505" s="2">
        <v>15.686916839579601</v>
      </c>
      <c r="AY2505" s="2">
        <v>15.6155845233083</v>
      </c>
      <c r="AZ2505" s="2">
        <v>16.112437877721199</v>
      </c>
      <c r="BA2505" s="2">
        <v>18.206133202004001</v>
      </c>
      <c r="BB2505" s="2">
        <v>18.2872715237792</v>
      </c>
      <c r="BC2505" s="2">
        <v>18.251511350774699</v>
      </c>
      <c r="BD2505" s="2">
        <v>18.0701393974349</v>
      </c>
      <c r="BE2505" s="2">
        <v>16.8478103888683</v>
      </c>
      <c r="BF2505" s="2">
        <v>16.954478968026699</v>
      </c>
      <c r="BG2505" s="2">
        <v>17.0334532222749</v>
      </c>
      <c r="BH2505" s="2">
        <v>18.092890333457099</v>
      </c>
      <c r="BI2505" s="2">
        <v>14.5207555533154</v>
      </c>
      <c r="BJ2505" s="2">
        <v>18.452137456105799</v>
      </c>
      <c r="BK2505" s="2">
        <v>18.466933866519</v>
      </c>
      <c r="BL2505" s="2">
        <v>17.299049857136701</v>
      </c>
      <c r="BM2505" s="2">
        <v>17.031501664079901</v>
      </c>
      <c r="BN2505" s="2">
        <v>17.557268707396201</v>
      </c>
      <c r="BO2505" s="2">
        <v>17.846642851941699</v>
      </c>
      <c r="BP2505" s="2">
        <v>15.9065801385669</v>
      </c>
      <c r="BQ2505" s="2">
        <v>16.314136758219401</v>
      </c>
      <c r="BR2505" s="2">
        <v>14.693415626837099</v>
      </c>
      <c r="BS2505" s="2">
        <v>15.7134794192722</v>
      </c>
      <c r="BT2505" s="2">
        <v>18.805043259513798</v>
      </c>
      <c r="BU2505" s="2">
        <v>18.323089250589501</v>
      </c>
      <c r="BV2505" s="2">
        <v>17.8126985133195</v>
      </c>
      <c r="BW2505" s="2">
        <v>16.967860946459901</v>
      </c>
      <c r="BX2505" s="2">
        <v>17.722673539447399</v>
      </c>
      <c r="BY2505" s="2">
        <v>17.0575323488533</v>
      </c>
      <c r="BZ2505" s="2">
        <v>16.042488522731301</v>
      </c>
      <c r="CA2505" s="2">
        <v>16.841880885305201</v>
      </c>
      <c r="CB2505" s="2">
        <v>16.8701566235606</v>
      </c>
      <c r="CC2505" s="2">
        <v>15.5848169089146</v>
      </c>
      <c r="CD2505" s="2">
        <v>18.088257138697202</v>
      </c>
      <c r="CE2505" s="2">
        <v>18.3406910862602</v>
      </c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</row>
    <row r="2506" spans="1:97">
      <c r="A2506" s="2" t="s">
        <v>21478</v>
      </c>
      <c r="B2506" s="2">
        <v>209.12824000000001</v>
      </c>
      <c r="C2506" s="2">
        <v>6.149</v>
      </c>
      <c r="D2506" s="2" t="s">
        <v>84</v>
      </c>
      <c r="E2506" s="2" t="s">
        <v>21479</v>
      </c>
      <c r="F2506" s="2" t="s">
        <v>21480</v>
      </c>
      <c r="G2506" s="2">
        <v>9887</v>
      </c>
      <c r="H2506" s="3" t="str">
        <f>HYPERLINK("https://cloud.oebiotech.com/#/lm/network/9887", "https://cloud.oebiotech.com/#/lm/network/9887")</f>
        <v>https://cloud.oebiotech.com/#/lm/network/9887</v>
      </c>
      <c r="I2506" s="2" t="s">
        <v>21481</v>
      </c>
      <c r="J2506" s="2">
        <v>87305</v>
      </c>
      <c r="K2506" s="2" t="s">
        <v>21482</v>
      </c>
      <c r="L2506" s="2">
        <v>13561</v>
      </c>
      <c r="M2506" s="2"/>
      <c r="N2506" s="2"/>
      <c r="O2506" s="2"/>
      <c r="P2506" s="2"/>
      <c r="Q2506" s="2"/>
      <c r="R2506" s="2"/>
      <c r="S2506" s="2" t="s">
        <v>21483</v>
      </c>
      <c r="T2506" s="2" t="s">
        <v>21484</v>
      </c>
      <c r="U2506" s="2" t="s">
        <v>21485</v>
      </c>
      <c r="V2506" s="2" t="s">
        <v>338</v>
      </c>
      <c r="W2506" s="2" t="s">
        <v>339</v>
      </c>
      <c r="X2506" s="2" t="s">
        <v>340</v>
      </c>
      <c r="Y2506" s="2" t="s">
        <v>341</v>
      </c>
      <c r="Z2506" s="2" t="s">
        <v>341</v>
      </c>
      <c r="AA2506" s="2" t="s">
        <v>342</v>
      </c>
      <c r="AB2506" s="2" t="s">
        <v>5118</v>
      </c>
      <c r="AC2506" s="2">
        <v>36.159999999999997</v>
      </c>
      <c r="AD2506" s="2">
        <v>73.349999999999994</v>
      </c>
      <c r="AE2506" s="2">
        <v>54.8</v>
      </c>
      <c r="AF2506" s="2" t="s">
        <v>21486</v>
      </c>
      <c r="AG2506" s="2" t="s">
        <v>3544</v>
      </c>
      <c r="AH2506" s="2" t="s">
        <v>9703</v>
      </c>
      <c r="AI2506" s="2">
        <v>9.56</v>
      </c>
      <c r="AJ2506" s="2">
        <v>20.537520102944701</v>
      </c>
      <c r="AK2506" s="2">
        <v>20.141785085634801</v>
      </c>
      <c r="AL2506" s="2">
        <v>20.4806418911554</v>
      </c>
      <c r="AM2506" s="2">
        <v>20.192670453759401</v>
      </c>
      <c r="AN2506" s="2">
        <v>20.964767904516499</v>
      </c>
      <c r="AO2506" s="2">
        <v>20.873139668785502</v>
      </c>
      <c r="AP2506" s="2">
        <v>20.611146655038201</v>
      </c>
      <c r="AQ2506" s="2">
        <v>20.808925897431202</v>
      </c>
      <c r="AR2506" s="2">
        <v>20.6826559666642</v>
      </c>
      <c r="AS2506" s="2">
        <v>20.630574584065201</v>
      </c>
      <c r="AT2506" s="2">
        <v>20.728300254405099</v>
      </c>
      <c r="AU2506" s="2">
        <v>20.879388999286299</v>
      </c>
      <c r="AV2506" s="2">
        <v>20.645311596469899</v>
      </c>
      <c r="AW2506" s="2">
        <v>20.561463984051599</v>
      </c>
      <c r="AX2506" s="2">
        <v>20.523549695286999</v>
      </c>
      <c r="AY2506" s="2">
        <v>20.402017170276199</v>
      </c>
      <c r="AZ2506" s="2">
        <v>20.806037487886101</v>
      </c>
      <c r="BA2506" s="2">
        <v>20.773622798833799</v>
      </c>
      <c r="BB2506" s="2">
        <v>20.536834054534602</v>
      </c>
      <c r="BC2506" s="2">
        <v>20.756060490072699</v>
      </c>
      <c r="BD2506" s="2">
        <v>20.420915063114499</v>
      </c>
      <c r="BE2506" s="2">
        <v>20.680514140228599</v>
      </c>
      <c r="BF2506" s="2">
        <v>20.598581461046901</v>
      </c>
      <c r="BG2506" s="2">
        <v>20.653633092735301</v>
      </c>
      <c r="BH2506" s="2">
        <v>20.556573073233199</v>
      </c>
      <c r="BI2506" s="2">
        <v>20.116227082770699</v>
      </c>
      <c r="BJ2506" s="2">
        <v>20.506279383814501</v>
      </c>
      <c r="BK2506" s="2">
        <v>20.507114433103101</v>
      </c>
      <c r="BL2506" s="2">
        <v>20.679753199152</v>
      </c>
      <c r="BM2506" s="2">
        <v>20.656604017584201</v>
      </c>
      <c r="BN2506" s="2">
        <v>20.746996802995302</v>
      </c>
      <c r="BO2506" s="2">
        <v>20.6218304578349</v>
      </c>
      <c r="BP2506" s="2">
        <v>20.8696519895081</v>
      </c>
      <c r="BQ2506" s="2">
        <v>20.710269125988098</v>
      </c>
      <c r="BR2506" s="2">
        <v>20.456240306205199</v>
      </c>
      <c r="BS2506" s="2">
        <v>20.607642898128301</v>
      </c>
      <c r="BT2506" s="2">
        <v>20.8407072396272</v>
      </c>
      <c r="BU2506" s="2">
        <v>20.6148464578568</v>
      </c>
      <c r="BV2506" s="2">
        <v>20.704367745615102</v>
      </c>
      <c r="BW2506" s="2">
        <v>20.6311928144858</v>
      </c>
      <c r="BX2506" s="2">
        <v>20.466043532328499</v>
      </c>
      <c r="BY2506" s="2">
        <v>20.8595931726632</v>
      </c>
      <c r="BZ2506" s="2">
        <v>20.622664535063901</v>
      </c>
      <c r="CA2506" s="2">
        <v>20.7480116002953</v>
      </c>
      <c r="CB2506" s="2">
        <v>20.814636966154101</v>
      </c>
      <c r="CC2506" s="2">
        <v>20.735388526641799</v>
      </c>
      <c r="CD2506" s="2">
        <v>20.820255139769099</v>
      </c>
      <c r="CE2506" s="2">
        <v>20.531860524559001</v>
      </c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</row>
    <row r="2507" spans="1:97">
      <c r="A2507" s="2" t="s">
        <v>21487</v>
      </c>
      <c r="B2507" s="2">
        <v>438.19412999999997</v>
      </c>
      <c r="C2507" s="2">
        <v>5.43</v>
      </c>
      <c r="D2507" s="2" t="s">
        <v>84</v>
      </c>
      <c r="E2507" s="2" t="s">
        <v>21488</v>
      </c>
      <c r="F2507" s="2" t="s">
        <v>21489</v>
      </c>
      <c r="G2507" s="2">
        <v>30521</v>
      </c>
      <c r="H2507" s="3" t="str">
        <f>HYPERLINK("https://cloud.oebiotech.com/#/lm/network/30521", "https://cloud.oebiotech.com/#/lm/network/30521")</f>
        <v>https://cloud.oebiotech.com/#/lm/network/30521</v>
      </c>
      <c r="I2507" s="2"/>
      <c r="J2507" s="2">
        <v>48859</v>
      </c>
      <c r="K2507" s="2" t="s">
        <v>21490</v>
      </c>
      <c r="L2507" s="2">
        <v>5315393</v>
      </c>
      <c r="M2507" s="2"/>
      <c r="N2507" s="2"/>
      <c r="O2507" s="2"/>
      <c r="P2507" s="2">
        <v>66492</v>
      </c>
      <c r="Q2507" s="2"/>
      <c r="R2507" s="2"/>
      <c r="S2507" s="2"/>
      <c r="T2507" s="2" t="s">
        <v>21491</v>
      </c>
      <c r="U2507" s="2" t="s">
        <v>21492</v>
      </c>
      <c r="V2507" s="2" t="s">
        <v>845</v>
      </c>
      <c r="W2507" s="2" t="s">
        <v>1853</v>
      </c>
      <c r="X2507" s="2" t="s">
        <v>11996</v>
      </c>
      <c r="Y2507" s="2" t="s">
        <v>847</v>
      </c>
      <c r="Z2507" s="2" t="s">
        <v>1855</v>
      </c>
      <c r="AA2507" s="2" t="s">
        <v>11997</v>
      </c>
      <c r="AB2507" s="2" t="s">
        <v>8443</v>
      </c>
      <c r="AC2507" s="2">
        <v>36.15</v>
      </c>
      <c r="AD2507" s="2">
        <v>83.06</v>
      </c>
      <c r="AE2507" s="2">
        <v>36.01</v>
      </c>
      <c r="AF2507" s="2" t="s">
        <v>21493</v>
      </c>
      <c r="AG2507" s="2" t="s">
        <v>132</v>
      </c>
      <c r="AH2507" s="2" t="s">
        <v>21494</v>
      </c>
      <c r="AI2507" s="2">
        <v>-6.85</v>
      </c>
      <c r="AJ2507" s="2">
        <v>18.560813565373302</v>
      </c>
      <c r="AK2507" s="2">
        <v>18.2053248185528</v>
      </c>
      <c r="AL2507" s="2">
        <v>18.4866049087479</v>
      </c>
      <c r="AM2507" s="2">
        <v>18.340682307583201</v>
      </c>
      <c r="AN2507" s="2">
        <v>18.184308822445399</v>
      </c>
      <c r="AO2507" s="2">
        <v>18.280315008669699</v>
      </c>
      <c r="AP2507" s="2">
        <v>18.384225062944498</v>
      </c>
      <c r="AQ2507" s="2">
        <v>18.830946085627801</v>
      </c>
      <c r="AR2507" s="2">
        <v>9.6233145402724691</v>
      </c>
      <c r="AS2507" s="2">
        <v>9.6233145402724691</v>
      </c>
      <c r="AT2507" s="2">
        <v>19.5671192650743</v>
      </c>
      <c r="AU2507" s="2">
        <v>20.105782317352599</v>
      </c>
      <c r="AV2507" s="2">
        <v>18.225215723075401</v>
      </c>
      <c r="AW2507" s="2">
        <v>19.530929290893599</v>
      </c>
      <c r="AX2507" s="2">
        <v>18.3302754755323</v>
      </c>
      <c r="AY2507" s="2">
        <v>19.425241969940199</v>
      </c>
      <c r="AZ2507" s="2">
        <v>17.404597839867101</v>
      </c>
      <c r="BA2507" s="2">
        <v>17.7678065269399</v>
      </c>
      <c r="BB2507" s="2">
        <v>9.6233145402724691</v>
      </c>
      <c r="BC2507" s="2">
        <v>9.6233145402724691</v>
      </c>
      <c r="BD2507" s="2">
        <v>20.340736793186998</v>
      </c>
      <c r="BE2507" s="2">
        <v>19.1689382021246</v>
      </c>
      <c r="BF2507" s="2">
        <v>19.519824903995499</v>
      </c>
      <c r="BG2507" s="2">
        <v>9.6233145402724691</v>
      </c>
      <c r="BH2507" s="2">
        <v>19.7604290307209</v>
      </c>
      <c r="BI2507" s="2">
        <v>19.8316571020632</v>
      </c>
      <c r="BJ2507" s="2">
        <v>9.6233145402724691</v>
      </c>
      <c r="BK2507" s="2">
        <v>19.380801756546099</v>
      </c>
      <c r="BL2507" s="2">
        <v>18.463763823406001</v>
      </c>
      <c r="BM2507" s="2">
        <v>20.753618453138699</v>
      </c>
      <c r="BN2507" s="2">
        <v>18.821865268400899</v>
      </c>
      <c r="BO2507" s="2">
        <v>16.593995037380498</v>
      </c>
      <c r="BP2507" s="2">
        <v>19.0757983649751</v>
      </c>
      <c r="BQ2507" s="2">
        <v>18.636684160503901</v>
      </c>
      <c r="BR2507" s="2">
        <v>9.6233145402724691</v>
      </c>
      <c r="BS2507" s="2">
        <v>18.926678181191502</v>
      </c>
      <c r="BT2507" s="2">
        <v>9.6233145402724691</v>
      </c>
      <c r="BU2507" s="2">
        <v>19.767211900947199</v>
      </c>
      <c r="BV2507" s="2">
        <v>9.6233145402724691</v>
      </c>
      <c r="BW2507" s="2">
        <v>9.6233145402724691</v>
      </c>
      <c r="BX2507" s="2">
        <v>20.1863013486889</v>
      </c>
      <c r="BY2507" s="2">
        <v>20.178629671076699</v>
      </c>
      <c r="BZ2507" s="2">
        <v>9.6233145402724691</v>
      </c>
      <c r="CA2507" s="2">
        <v>9.6233145402724691</v>
      </c>
      <c r="CB2507" s="2">
        <v>9.6233145402724691</v>
      </c>
      <c r="CC2507" s="2">
        <v>17.0654610498942</v>
      </c>
      <c r="CD2507" s="2">
        <v>19.221195861600702</v>
      </c>
      <c r="CE2507" s="2">
        <v>19.642613831300199</v>
      </c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</row>
    <row r="2508" spans="1:97">
      <c r="A2508" s="2" t="s">
        <v>21495</v>
      </c>
      <c r="B2508" s="2">
        <v>472.34165999999999</v>
      </c>
      <c r="C2508" s="2">
        <v>9.8550000000000004</v>
      </c>
      <c r="D2508" s="2" t="s">
        <v>84</v>
      </c>
      <c r="E2508" s="2" t="s">
        <v>21496</v>
      </c>
      <c r="F2508" s="2" t="s">
        <v>21497</v>
      </c>
      <c r="G2508" s="2">
        <v>198148</v>
      </c>
      <c r="H2508" s="3" t="str">
        <f>HYPERLINK("https://cloud.oebiotech.com/#/lm/network/198148", "https://cloud.oebiotech.com/#/lm/network/198148")</f>
        <v>https://cloud.oebiotech.com/#/lm/network/198148</v>
      </c>
      <c r="I2508" s="2" t="s">
        <v>21498</v>
      </c>
      <c r="J2508" s="2"/>
      <c r="K2508" s="2"/>
      <c r="L2508" s="2">
        <v>76040379</v>
      </c>
      <c r="M2508" s="2"/>
      <c r="N2508" s="2"/>
      <c r="O2508" s="2"/>
      <c r="P2508" s="2"/>
      <c r="Q2508" s="2"/>
      <c r="R2508" s="2"/>
      <c r="S2508" s="2"/>
      <c r="T2508" s="2" t="s">
        <v>21499</v>
      </c>
      <c r="U2508" s="2" t="s">
        <v>21500</v>
      </c>
      <c r="V2508" s="2" t="s">
        <v>95</v>
      </c>
      <c r="W2508" s="2" t="s">
        <v>96</v>
      </c>
      <c r="X2508" s="2" t="s">
        <v>97</v>
      </c>
      <c r="Y2508" s="2" t="s">
        <v>98</v>
      </c>
      <c r="Z2508" s="2" t="s">
        <v>99</v>
      </c>
      <c r="AA2508" s="2" t="s">
        <v>100</v>
      </c>
      <c r="AB2508" s="2" t="s">
        <v>8443</v>
      </c>
      <c r="AC2508" s="2">
        <v>36.14</v>
      </c>
      <c r="AD2508" s="2">
        <v>80.69</v>
      </c>
      <c r="AE2508" s="2">
        <v>0</v>
      </c>
      <c r="AF2508" s="2" t="s">
        <v>5614</v>
      </c>
      <c r="AG2508" s="2" t="s">
        <v>103</v>
      </c>
      <c r="AH2508" s="2" t="s">
        <v>21501</v>
      </c>
      <c r="AI2508" s="2">
        <v>0.85</v>
      </c>
      <c r="AJ2508" s="2">
        <v>17.685485022597</v>
      </c>
      <c r="AK2508" s="2">
        <v>18.272337910755201</v>
      </c>
      <c r="AL2508" s="2">
        <v>18.550156850475499</v>
      </c>
      <c r="AM2508" s="2">
        <v>17.9868860768579</v>
      </c>
      <c r="AN2508" s="2">
        <v>18.136465500902801</v>
      </c>
      <c r="AO2508" s="2">
        <v>18.4862303814634</v>
      </c>
      <c r="AP2508" s="2">
        <v>18.187811735279499</v>
      </c>
      <c r="AQ2508" s="2">
        <v>18.3537459713449</v>
      </c>
      <c r="AR2508" s="2">
        <v>17.084798009263299</v>
      </c>
      <c r="AS2508" s="2">
        <v>17.054435586706401</v>
      </c>
      <c r="AT2508" s="2">
        <v>18.389899290744999</v>
      </c>
      <c r="AU2508" s="2">
        <v>17.408777693579299</v>
      </c>
      <c r="AV2508" s="2">
        <v>17.621407666470301</v>
      </c>
      <c r="AW2508" s="2">
        <v>17.3425985293172</v>
      </c>
      <c r="AX2508" s="2">
        <v>18.3919744702341</v>
      </c>
      <c r="AY2508" s="2">
        <v>14.163128381534801</v>
      </c>
      <c r="AZ2508" s="2">
        <v>15.6595017761663</v>
      </c>
      <c r="BA2508" s="2">
        <v>18.0420837320336</v>
      </c>
      <c r="BB2508" s="2">
        <v>17.9621495848649</v>
      </c>
      <c r="BC2508" s="2">
        <v>19.956295890583799</v>
      </c>
      <c r="BD2508" s="2">
        <v>17.168148325385101</v>
      </c>
      <c r="BE2508" s="2">
        <v>15.232229784404501</v>
      </c>
      <c r="BF2508" s="2">
        <v>15.6613681070761</v>
      </c>
      <c r="BG2508" s="2">
        <v>18.901901699619501</v>
      </c>
      <c r="BH2508" s="2">
        <v>18.572326338684299</v>
      </c>
      <c r="BI2508" s="2">
        <v>18.849042915574898</v>
      </c>
      <c r="BJ2508" s="2">
        <v>18.5100077119716</v>
      </c>
      <c r="BK2508" s="2">
        <v>15.757403031901701</v>
      </c>
      <c r="BL2508" s="2">
        <v>17.975257991781099</v>
      </c>
      <c r="BM2508" s="2">
        <v>9.6233145402724691</v>
      </c>
      <c r="BN2508" s="2">
        <v>17.1883150113154</v>
      </c>
      <c r="BO2508" s="2">
        <v>18.965754162453099</v>
      </c>
      <c r="BP2508" s="2">
        <v>17.545908357691701</v>
      </c>
      <c r="BQ2508" s="2">
        <v>18.6376598126365</v>
      </c>
      <c r="BR2508" s="2">
        <v>18.757667038451999</v>
      </c>
      <c r="BS2508" s="2">
        <v>9.6233145402724691</v>
      </c>
      <c r="BT2508" s="2">
        <v>19.765715053846201</v>
      </c>
      <c r="BU2508" s="2">
        <v>18.7454886711513</v>
      </c>
      <c r="BV2508" s="2">
        <v>18.0776780966975</v>
      </c>
      <c r="BW2508" s="2">
        <v>18.223528749548102</v>
      </c>
      <c r="BX2508" s="2">
        <v>17.562861230444899</v>
      </c>
      <c r="BY2508" s="2">
        <v>15.7589664443377</v>
      </c>
      <c r="BZ2508" s="2">
        <v>15.415385605198299</v>
      </c>
      <c r="CA2508" s="2">
        <v>16.695747427986401</v>
      </c>
      <c r="CB2508" s="2">
        <v>18.309348360848698</v>
      </c>
      <c r="CC2508" s="2">
        <v>18.700729458114999</v>
      </c>
      <c r="CD2508" s="2">
        <v>17.5321328461776</v>
      </c>
      <c r="CE2508" s="2">
        <v>18.779579069208399</v>
      </c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</row>
    <row r="2509" spans="1:97">
      <c r="A2509" s="2" t="s">
        <v>21502</v>
      </c>
      <c r="B2509" s="2">
        <v>212.07128</v>
      </c>
      <c r="C2509" s="2">
        <v>4.76</v>
      </c>
      <c r="D2509" s="2" t="s">
        <v>84</v>
      </c>
      <c r="E2509" s="2" t="s">
        <v>21503</v>
      </c>
      <c r="F2509" s="2" t="s">
        <v>21504</v>
      </c>
      <c r="G2509" s="2">
        <v>200695</v>
      </c>
      <c r="H2509" s="3" t="str">
        <f>HYPERLINK("https://cloud.oebiotech.com/#/lm/network/200695", "https://cloud.oebiotech.com/#/lm/network/200695")</f>
        <v>https://cloud.oebiotech.com/#/lm/network/200695</v>
      </c>
      <c r="I2509" s="2" t="s">
        <v>21505</v>
      </c>
      <c r="J2509" s="2">
        <v>68692</v>
      </c>
      <c r="K2509" s="2"/>
      <c r="L2509" s="2">
        <v>11831</v>
      </c>
      <c r="M2509" s="2" t="s">
        <v>21506</v>
      </c>
      <c r="N2509" s="2"/>
      <c r="O2509" s="2"/>
      <c r="P2509" s="2">
        <v>1224</v>
      </c>
      <c r="Q2509" s="2"/>
      <c r="R2509" s="2"/>
      <c r="S2509" s="2" t="s">
        <v>21507</v>
      </c>
      <c r="T2509" s="2" t="s">
        <v>21508</v>
      </c>
      <c r="U2509" s="2" t="s">
        <v>21509</v>
      </c>
      <c r="V2509" s="2" t="s">
        <v>385</v>
      </c>
      <c r="W2509" s="2" t="s">
        <v>21510</v>
      </c>
      <c r="X2509" s="2" t="s">
        <v>375</v>
      </c>
      <c r="Y2509" s="2" t="s">
        <v>388</v>
      </c>
      <c r="Z2509" s="2" t="s">
        <v>21511</v>
      </c>
      <c r="AA2509" s="2"/>
      <c r="AB2509" s="2" t="s">
        <v>8443</v>
      </c>
      <c r="AC2509" s="2">
        <v>36.14</v>
      </c>
      <c r="AD2509" s="2">
        <v>92.22</v>
      </c>
      <c r="AE2509" s="2">
        <v>0</v>
      </c>
      <c r="AF2509" s="2" t="s">
        <v>21512</v>
      </c>
      <c r="AG2509" s="2" t="s">
        <v>103</v>
      </c>
      <c r="AH2509" s="2" t="s">
        <v>21513</v>
      </c>
      <c r="AI2509" s="2">
        <v>-3.3</v>
      </c>
      <c r="AJ2509" s="2">
        <v>18.145053671236901</v>
      </c>
      <c r="AK2509" s="2">
        <v>18.282042687841201</v>
      </c>
      <c r="AL2509" s="2">
        <v>18.050461468929502</v>
      </c>
      <c r="AM2509" s="2">
        <v>18.122003759359</v>
      </c>
      <c r="AN2509" s="2">
        <v>18.261309925983301</v>
      </c>
      <c r="AO2509" s="2">
        <v>17.7852601768931</v>
      </c>
      <c r="AP2509" s="2">
        <v>18.430681589091002</v>
      </c>
      <c r="AQ2509" s="2">
        <v>17.8138609004207</v>
      </c>
      <c r="AR2509" s="2">
        <v>22.546634596193702</v>
      </c>
      <c r="AS2509" s="2">
        <v>14.7891683401287</v>
      </c>
      <c r="AT2509" s="2">
        <v>14.0392343729345</v>
      </c>
      <c r="AU2509" s="2">
        <v>15.000961681562501</v>
      </c>
      <c r="AV2509" s="2">
        <v>14.199257479698399</v>
      </c>
      <c r="AW2509" s="2">
        <v>16.540777813512101</v>
      </c>
      <c r="AX2509" s="2">
        <v>14.053093513145001</v>
      </c>
      <c r="AY2509" s="2">
        <v>9.6233145402724691</v>
      </c>
      <c r="AZ2509" s="2">
        <v>13.4471064786286</v>
      </c>
      <c r="BA2509" s="2">
        <v>13.6318534446852</v>
      </c>
      <c r="BB2509" s="2">
        <v>9.6233145402724691</v>
      </c>
      <c r="BC2509" s="2">
        <v>9.6233145402724691</v>
      </c>
      <c r="BD2509" s="2">
        <v>9.6233145402724691</v>
      </c>
      <c r="BE2509" s="2">
        <v>18.635683442469698</v>
      </c>
      <c r="BF2509" s="2">
        <v>9.6233145402724691</v>
      </c>
      <c r="BG2509" s="2">
        <v>9.6233145402724691</v>
      </c>
      <c r="BH2509" s="2">
        <v>9.6233145402724691</v>
      </c>
      <c r="BI2509" s="2">
        <v>20.315414140165601</v>
      </c>
      <c r="BJ2509" s="2">
        <v>16.193241968143699</v>
      </c>
      <c r="BK2509" s="2">
        <v>9.6233145402724691</v>
      </c>
      <c r="BL2509" s="2">
        <v>18.7360526250704</v>
      </c>
      <c r="BM2509" s="2">
        <v>16.2564886406367</v>
      </c>
      <c r="BN2509" s="2">
        <v>9.6233145402724691</v>
      </c>
      <c r="BO2509" s="2">
        <v>16.7640983446428</v>
      </c>
      <c r="BP2509" s="2">
        <v>9.6233145402724691</v>
      </c>
      <c r="BQ2509" s="2">
        <v>9.6233145402724691</v>
      </c>
      <c r="BR2509" s="2">
        <v>16.411964903438001</v>
      </c>
      <c r="BS2509" s="2">
        <v>9.6233145402724691</v>
      </c>
      <c r="BT2509" s="2">
        <v>9.6233145402724691</v>
      </c>
      <c r="BU2509" s="2">
        <v>21.744394710208901</v>
      </c>
      <c r="BV2509" s="2">
        <v>13.878927417113699</v>
      </c>
      <c r="BW2509" s="2">
        <v>9.6233145402724691</v>
      </c>
      <c r="BX2509" s="2">
        <v>9.6233145402724691</v>
      </c>
      <c r="BY2509" s="2">
        <v>16.768546323222701</v>
      </c>
      <c r="BZ2509" s="2">
        <v>9.6233145402724691</v>
      </c>
      <c r="CA2509" s="2">
        <v>9.6233145402724691</v>
      </c>
      <c r="CB2509" s="2">
        <v>13.6516638991791</v>
      </c>
      <c r="CC2509" s="2">
        <v>17.167906344925399</v>
      </c>
      <c r="CD2509" s="2">
        <v>17.274127319753799</v>
      </c>
      <c r="CE2509" s="2">
        <v>9.6233145402724691</v>
      </c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</row>
    <row r="2510" spans="1:97">
      <c r="A2510" s="2" t="s">
        <v>21514</v>
      </c>
      <c r="B2510" s="2">
        <v>315.09559999999999</v>
      </c>
      <c r="C2510" s="2">
        <v>3.6749999999999998</v>
      </c>
      <c r="D2510" s="2" t="s">
        <v>146</v>
      </c>
      <c r="E2510" s="2" t="s">
        <v>21515</v>
      </c>
      <c r="F2510" s="2" t="s">
        <v>21516</v>
      </c>
      <c r="G2510" s="2">
        <v>53793</v>
      </c>
      <c r="H2510" s="3" t="str">
        <f>HYPERLINK("https://cloud.oebiotech.com/#/lm/network/53793", "https://cloud.oebiotech.com/#/lm/network/53793")</f>
        <v>https://cloud.oebiotech.com/#/lm/network/53793</v>
      </c>
      <c r="I2510" s="2" t="s">
        <v>21517</v>
      </c>
      <c r="J2510" s="2">
        <v>85669</v>
      </c>
      <c r="K2510" s="2"/>
      <c r="L2510" s="2">
        <v>14717808</v>
      </c>
      <c r="M2510" s="2"/>
      <c r="N2510" s="2"/>
      <c r="O2510" s="2"/>
      <c r="P2510" s="2">
        <v>174549</v>
      </c>
      <c r="Q2510" s="2"/>
      <c r="R2510" s="2"/>
      <c r="S2510" s="2"/>
      <c r="T2510" s="2" t="s">
        <v>21518</v>
      </c>
      <c r="U2510" s="2" t="s">
        <v>21519</v>
      </c>
      <c r="V2510" s="2" t="s">
        <v>115</v>
      </c>
      <c r="W2510" s="2" t="s">
        <v>116</v>
      </c>
      <c r="X2510" s="2" t="s">
        <v>117</v>
      </c>
      <c r="Y2510" s="2" t="s">
        <v>118</v>
      </c>
      <c r="Z2510" s="2" t="s">
        <v>119</v>
      </c>
      <c r="AA2510" s="2" t="s">
        <v>120</v>
      </c>
      <c r="AB2510" s="2" t="s">
        <v>8443</v>
      </c>
      <c r="AC2510" s="2">
        <v>36.14</v>
      </c>
      <c r="AD2510" s="2">
        <v>91.56</v>
      </c>
      <c r="AE2510" s="2">
        <v>0</v>
      </c>
      <c r="AF2510" s="2" t="s">
        <v>5614</v>
      </c>
      <c r="AG2510" s="2" t="s">
        <v>157</v>
      </c>
      <c r="AH2510" s="2" t="s">
        <v>21520</v>
      </c>
      <c r="AI2510" s="2">
        <v>-3.17</v>
      </c>
      <c r="AJ2510" s="2">
        <v>17.4607447231778</v>
      </c>
      <c r="AK2510" s="2">
        <v>17.224985106021101</v>
      </c>
      <c r="AL2510" s="2">
        <v>17.495648480166601</v>
      </c>
      <c r="AM2510" s="2">
        <v>17.479977888600299</v>
      </c>
      <c r="AN2510" s="2">
        <v>17.622837432625701</v>
      </c>
      <c r="AO2510" s="2">
        <v>17.005878344887901</v>
      </c>
      <c r="AP2510" s="2">
        <v>17.392898972497701</v>
      </c>
      <c r="AQ2510" s="2">
        <v>17.505431202576698</v>
      </c>
      <c r="AR2510" s="2">
        <v>15.7309880218396</v>
      </c>
      <c r="AS2510" s="2">
        <v>15.6727551483808</v>
      </c>
      <c r="AT2510" s="2">
        <v>17.298310258998502</v>
      </c>
      <c r="AU2510" s="2">
        <v>16.366543178311002</v>
      </c>
      <c r="AV2510" s="2">
        <v>16.9108416728298</v>
      </c>
      <c r="AW2510" s="2">
        <v>16.982377656053199</v>
      </c>
      <c r="AX2510" s="2">
        <v>16.4928156676337</v>
      </c>
      <c r="AY2510" s="2">
        <v>17.099840077326601</v>
      </c>
      <c r="AZ2510" s="2">
        <v>16.099072223741199</v>
      </c>
      <c r="BA2510" s="2">
        <v>16.017536370752001</v>
      </c>
      <c r="BB2510" s="2">
        <v>17.779712815608601</v>
      </c>
      <c r="BC2510" s="2">
        <v>17.114837829471899</v>
      </c>
      <c r="BD2510" s="2">
        <v>16.5332256880464</v>
      </c>
      <c r="BE2510" s="2">
        <v>17.601257407138</v>
      </c>
      <c r="BF2510" s="2">
        <v>17.448418018638101</v>
      </c>
      <c r="BG2510" s="2">
        <v>17.830848596093201</v>
      </c>
      <c r="BH2510" s="2">
        <v>17.499743369770702</v>
      </c>
      <c r="BI2510" s="2">
        <v>16.424530952410901</v>
      </c>
      <c r="BJ2510" s="2">
        <v>17.472438904011501</v>
      </c>
      <c r="BK2510" s="2">
        <v>17.088571391748399</v>
      </c>
      <c r="BL2510" s="2">
        <v>16.6944622274337</v>
      </c>
      <c r="BM2510" s="2">
        <v>17.6502239284106</v>
      </c>
      <c r="BN2510" s="2">
        <v>17.190854894114</v>
      </c>
      <c r="BO2510" s="2">
        <v>16.8791931370078</v>
      </c>
      <c r="BP2510" s="2">
        <v>16.937097908731001</v>
      </c>
      <c r="BQ2510" s="2">
        <v>17.2732508804711</v>
      </c>
      <c r="BR2510" s="2">
        <v>17.1515690815441</v>
      </c>
      <c r="BS2510" s="2">
        <v>16.564465699990699</v>
      </c>
      <c r="BT2510" s="2">
        <v>16.847531484654201</v>
      </c>
      <c r="BU2510" s="2">
        <v>16.659372854494499</v>
      </c>
      <c r="BV2510" s="2">
        <v>17.493394528599602</v>
      </c>
      <c r="BW2510" s="2">
        <v>16.734174542766699</v>
      </c>
      <c r="BX2510" s="2">
        <v>16.9965844847701</v>
      </c>
      <c r="BY2510" s="2">
        <v>17.594576175849902</v>
      </c>
      <c r="BZ2510" s="2">
        <v>17.4977600910759</v>
      </c>
      <c r="CA2510" s="2">
        <v>17.7989127667316</v>
      </c>
      <c r="CB2510" s="2">
        <v>16.417652456267199</v>
      </c>
      <c r="CC2510" s="2">
        <v>16.384544989666001</v>
      </c>
      <c r="CD2510" s="2">
        <v>17.8906043282593</v>
      </c>
      <c r="CE2510" s="2">
        <v>17.738811764751699</v>
      </c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</row>
    <row r="2511" spans="1:97">
      <c r="A2511" s="2" t="s">
        <v>21521</v>
      </c>
      <c r="B2511" s="2">
        <v>104.98596999999999</v>
      </c>
      <c r="C2511" s="2">
        <v>0.58799999999999997</v>
      </c>
      <c r="D2511" s="2" t="s">
        <v>146</v>
      </c>
      <c r="E2511" s="2" t="s">
        <v>21522</v>
      </c>
      <c r="F2511" s="2" t="s">
        <v>21523</v>
      </c>
      <c r="G2511" s="2">
        <v>207013</v>
      </c>
      <c r="H2511" s="3" t="str">
        <f>HYPERLINK("https://cloud.oebiotech.com/#/lm/network/207013", "https://cloud.oebiotech.com/#/lm/network/207013")</f>
        <v>https://cloud.oebiotech.com/#/lm/network/207013</v>
      </c>
      <c r="I2511" s="2" t="s">
        <v>21524</v>
      </c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 t="s">
        <v>21525</v>
      </c>
      <c r="U2511" s="2" t="s">
        <v>21526</v>
      </c>
      <c r="V2511" s="2" t="s">
        <v>553</v>
      </c>
      <c r="W2511" s="2" t="s">
        <v>554</v>
      </c>
      <c r="X2511" s="2" t="s">
        <v>21527</v>
      </c>
      <c r="Y2511" s="2" t="s">
        <v>556</v>
      </c>
      <c r="Z2511" s="2" t="s">
        <v>557</v>
      </c>
      <c r="AA2511" s="2" t="s">
        <v>21528</v>
      </c>
      <c r="AB2511" s="2" t="s">
        <v>8443</v>
      </c>
      <c r="AC2511" s="2">
        <v>36.130000000000003</v>
      </c>
      <c r="AD2511" s="2">
        <v>82.28</v>
      </c>
      <c r="AE2511" s="2">
        <v>0</v>
      </c>
      <c r="AF2511" s="2" t="s">
        <v>5614</v>
      </c>
      <c r="AG2511" s="2" t="s">
        <v>4062</v>
      </c>
      <c r="AH2511" s="2" t="s">
        <v>21529</v>
      </c>
      <c r="AI2511" s="2">
        <v>1.33</v>
      </c>
      <c r="AJ2511" s="2">
        <v>17.131183855326601</v>
      </c>
      <c r="AK2511" s="2">
        <v>17.935618353402401</v>
      </c>
      <c r="AL2511" s="2">
        <v>17.920797464331699</v>
      </c>
      <c r="AM2511" s="2">
        <v>17.709445397081701</v>
      </c>
      <c r="AN2511" s="2">
        <v>17.2766153397924</v>
      </c>
      <c r="AO2511" s="2">
        <v>17.670581083744501</v>
      </c>
      <c r="AP2511" s="2">
        <v>17.372471284456498</v>
      </c>
      <c r="AQ2511" s="2">
        <v>17.9839214676627</v>
      </c>
      <c r="AR2511" s="2">
        <v>17.6220237845802</v>
      </c>
      <c r="AS2511" s="2">
        <v>17.478783125722298</v>
      </c>
      <c r="AT2511" s="2">
        <v>17.386078707812501</v>
      </c>
      <c r="AU2511" s="2">
        <v>17.5677708855908</v>
      </c>
      <c r="AV2511" s="2">
        <v>17.8694796221491</v>
      </c>
      <c r="AW2511" s="2">
        <v>17.5814346653945</v>
      </c>
      <c r="AX2511" s="2">
        <v>17.6867827546975</v>
      </c>
      <c r="AY2511" s="2">
        <v>17.748448981235601</v>
      </c>
      <c r="AZ2511" s="2">
        <v>17.720524170197798</v>
      </c>
      <c r="BA2511" s="2">
        <v>17.557127999007299</v>
      </c>
      <c r="BB2511" s="2">
        <v>17.502466361213202</v>
      </c>
      <c r="BC2511" s="2">
        <v>18.0442394008899</v>
      </c>
      <c r="BD2511" s="2">
        <v>17.518902142293399</v>
      </c>
      <c r="BE2511" s="2">
        <v>17.484198800609999</v>
      </c>
      <c r="BF2511" s="2">
        <v>17.183054364202398</v>
      </c>
      <c r="BG2511" s="2">
        <v>18.057991828491399</v>
      </c>
      <c r="BH2511" s="2">
        <v>17.9445059535655</v>
      </c>
      <c r="BI2511" s="2">
        <v>17.763542224710999</v>
      </c>
      <c r="BJ2511" s="2">
        <v>17.481254140603401</v>
      </c>
      <c r="BK2511" s="2">
        <v>17.932349836794501</v>
      </c>
      <c r="BL2511" s="2">
        <v>17.534144334156</v>
      </c>
      <c r="BM2511" s="2">
        <v>17.830386274210898</v>
      </c>
      <c r="BN2511" s="2">
        <v>17.295496323087299</v>
      </c>
      <c r="BO2511" s="2">
        <v>17.471809667050501</v>
      </c>
      <c r="BP2511" s="2">
        <v>17.824049313506698</v>
      </c>
      <c r="BQ2511" s="2">
        <v>17.243877508883099</v>
      </c>
      <c r="BR2511" s="2">
        <v>17.543085530516201</v>
      </c>
      <c r="BS2511" s="2">
        <v>18.106058184917298</v>
      </c>
      <c r="BT2511" s="2">
        <v>18.122900067107999</v>
      </c>
      <c r="BU2511" s="2">
        <v>17.963272712058298</v>
      </c>
      <c r="BV2511" s="2">
        <v>18.1511905011523</v>
      </c>
      <c r="BW2511" s="2">
        <v>17.8267105306386</v>
      </c>
      <c r="BX2511" s="2">
        <v>17.564524646733801</v>
      </c>
      <c r="BY2511" s="2">
        <v>17.815254192048599</v>
      </c>
      <c r="BZ2511" s="2">
        <v>17.527849147233798</v>
      </c>
      <c r="CA2511" s="2">
        <v>17.770539693060901</v>
      </c>
      <c r="CB2511" s="2">
        <v>17.635172033202299</v>
      </c>
      <c r="CC2511" s="2">
        <v>17.788557700064398</v>
      </c>
      <c r="CD2511" s="2">
        <v>17.794554780492</v>
      </c>
      <c r="CE2511" s="2">
        <v>17.2182407240511</v>
      </c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</row>
    <row r="2512" spans="1:97">
      <c r="A2512" s="2" t="s">
        <v>21530</v>
      </c>
      <c r="B2512" s="2">
        <v>381.22519</v>
      </c>
      <c r="C2512" s="2">
        <v>12.393000000000001</v>
      </c>
      <c r="D2512" s="2" t="s">
        <v>146</v>
      </c>
      <c r="E2512" s="2" t="s">
        <v>21531</v>
      </c>
      <c r="F2512" s="2" t="s">
        <v>21532</v>
      </c>
      <c r="G2512" s="2">
        <v>209034</v>
      </c>
      <c r="H2512" s="3" t="str">
        <f>HYPERLINK("https://cloud.oebiotech.com/#/lm/network/209034", "https://cloud.oebiotech.com/#/lm/network/209034")</f>
        <v>https://cloud.oebiotech.com/#/lm/network/209034</v>
      </c>
      <c r="I2512" s="2" t="s">
        <v>21533</v>
      </c>
      <c r="J2512" s="2"/>
      <c r="K2512" s="2"/>
      <c r="L2512" s="2">
        <v>23088918</v>
      </c>
      <c r="M2512" s="2"/>
      <c r="N2512" s="2"/>
      <c r="O2512" s="2"/>
      <c r="P2512" s="2"/>
      <c r="Q2512" s="2"/>
      <c r="R2512" s="2"/>
      <c r="S2512" s="2"/>
      <c r="T2512" s="2" t="s">
        <v>21534</v>
      </c>
      <c r="U2512" s="2" t="s">
        <v>21535</v>
      </c>
      <c r="V2512" s="2" t="s">
        <v>115</v>
      </c>
      <c r="W2512" s="2" t="s">
        <v>116</v>
      </c>
      <c r="X2512" s="2" t="s">
        <v>117</v>
      </c>
      <c r="Y2512" s="2" t="s">
        <v>118</v>
      </c>
      <c r="Z2512" s="2" t="s">
        <v>119</v>
      </c>
      <c r="AA2512" s="2" t="s">
        <v>120</v>
      </c>
      <c r="AB2512" s="2" t="s">
        <v>8443</v>
      </c>
      <c r="AC2512" s="2">
        <v>36.130000000000003</v>
      </c>
      <c r="AD2512" s="2">
        <v>88.75</v>
      </c>
      <c r="AE2512" s="2">
        <v>0</v>
      </c>
      <c r="AF2512" s="2" t="s">
        <v>21536</v>
      </c>
      <c r="AG2512" s="2" t="s">
        <v>3880</v>
      </c>
      <c r="AH2512" s="2" t="s">
        <v>21537</v>
      </c>
      <c r="AI2512" s="2">
        <v>-2.62</v>
      </c>
      <c r="AJ2512" s="2">
        <v>17.330893338219202</v>
      </c>
      <c r="AK2512" s="2">
        <v>16.798643419760399</v>
      </c>
      <c r="AL2512" s="2">
        <v>16.250956393811101</v>
      </c>
      <c r="AM2512" s="2">
        <v>16.7612076061382</v>
      </c>
      <c r="AN2512" s="2">
        <v>17.229199789666399</v>
      </c>
      <c r="AO2512" s="2">
        <v>16.8905876452333</v>
      </c>
      <c r="AP2512" s="2">
        <v>17.1573027189879</v>
      </c>
      <c r="AQ2512" s="2">
        <v>17.0669069512604</v>
      </c>
      <c r="AR2512" s="2">
        <v>9.6233145402724691</v>
      </c>
      <c r="AS2512" s="2">
        <v>13.7640183657682</v>
      </c>
      <c r="AT2512" s="2">
        <v>18.135210468219501</v>
      </c>
      <c r="AU2512" s="2">
        <v>15.727493739499</v>
      </c>
      <c r="AV2512" s="2">
        <v>14.7855582142382</v>
      </c>
      <c r="AW2512" s="2">
        <v>16.079858909338501</v>
      </c>
      <c r="AX2512" s="2">
        <v>17.815584559548999</v>
      </c>
      <c r="AY2512" s="2">
        <v>17.2187035145114</v>
      </c>
      <c r="AZ2512" s="2">
        <v>14.776788213303901</v>
      </c>
      <c r="BA2512" s="2">
        <v>17.387349110348499</v>
      </c>
      <c r="BB2512" s="2">
        <v>14.532740657604799</v>
      </c>
      <c r="BC2512" s="2">
        <v>18.387044576672601</v>
      </c>
      <c r="BD2512" s="2">
        <v>15.1285574616314</v>
      </c>
      <c r="BE2512" s="2">
        <v>18.349015995519999</v>
      </c>
      <c r="BF2512" s="2">
        <v>15.4439785716558</v>
      </c>
      <c r="BG2512" s="2">
        <v>16.704911804795199</v>
      </c>
      <c r="BH2512" s="2">
        <v>13.1273705009376</v>
      </c>
      <c r="BI2512" s="2">
        <v>15.8865846783296</v>
      </c>
      <c r="BJ2512" s="2">
        <v>15.973300947346701</v>
      </c>
      <c r="BK2512" s="2">
        <v>14.582194328988001</v>
      </c>
      <c r="BL2512" s="2">
        <v>9.6233145402724691</v>
      </c>
      <c r="BM2512" s="2">
        <v>18.629518632398099</v>
      </c>
      <c r="BN2512" s="2">
        <v>18.853741324505702</v>
      </c>
      <c r="BO2512" s="2">
        <v>15.544285293747</v>
      </c>
      <c r="BP2512" s="2">
        <v>14.6692986585198</v>
      </c>
      <c r="BQ2512" s="2">
        <v>13.8420556452122</v>
      </c>
      <c r="BR2512" s="2">
        <v>16.194567580605501</v>
      </c>
      <c r="BS2512" s="2">
        <v>18.515346766239901</v>
      </c>
      <c r="BT2512" s="2">
        <v>16.025130692515098</v>
      </c>
      <c r="BU2512" s="2">
        <v>17.681505611253801</v>
      </c>
      <c r="BV2512" s="2">
        <v>15.610505255148</v>
      </c>
      <c r="BW2512" s="2">
        <v>15.641836694582899</v>
      </c>
      <c r="BX2512" s="2">
        <v>15.503898703035601</v>
      </c>
      <c r="BY2512" s="2">
        <v>17.656098636198902</v>
      </c>
      <c r="BZ2512" s="2">
        <v>13.684345380769001</v>
      </c>
      <c r="CA2512" s="2">
        <v>16.265760802887101</v>
      </c>
      <c r="CB2512" s="2">
        <v>15.561382526430799</v>
      </c>
      <c r="CC2512" s="2">
        <v>17.6713638010329</v>
      </c>
      <c r="CD2512" s="2">
        <v>17.213048860323099</v>
      </c>
      <c r="CE2512" s="2">
        <v>15.677235414214501</v>
      </c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</row>
    <row r="2513" spans="1:97">
      <c r="A2513" s="2" t="s">
        <v>21538</v>
      </c>
      <c r="B2513" s="2">
        <v>158.03613999999999</v>
      </c>
      <c r="C2513" s="2">
        <v>0.58199999999999996</v>
      </c>
      <c r="D2513" s="2" t="s">
        <v>84</v>
      </c>
      <c r="E2513" s="2" t="s">
        <v>21539</v>
      </c>
      <c r="F2513" s="2" t="s">
        <v>21540</v>
      </c>
      <c r="G2513" s="2">
        <v>201901</v>
      </c>
      <c r="H2513" s="3" t="str">
        <f>HYPERLINK("https://cloud.oebiotech.com/#/lm/network/201901", "https://cloud.oebiotech.com/#/lm/network/201901")</f>
        <v>https://cloud.oebiotech.com/#/lm/network/201901</v>
      </c>
      <c r="I2513" s="2" t="s">
        <v>21541</v>
      </c>
      <c r="J2513" s="2"/>
      <c r="K2513" s="2"/>
      <c r="L2513" s="2">
        <v>77913</v>
      </c>
      <c r="M2513" s="2"/>
      <c r="N2513" s="2"/>
      <c r="O2513" s="2"/>
      <c r="P2513" s="2"/>
      <c r="Q2513" s="2"/>
      <c r="R2513" s="2"/>
      <c r="S2513" s="2"/>
      <c r="T2513" s="2" t="s">
        <v>21542</v>
      </c>
      <c r="U2513" s="2" t="s">
        <v>21543</v>
      </c>
      <c r="V2513" s="2" t="s">
        <v>385</v>
      </c>
      <c r="W2513" s="2" t="s">
        <v>386</v>
      </c>
      <c r="X2513" s="2" t="s">
        <v>375</v>
      </c>
      <c r="Y2513" s="2" t="s">
        <v>388</v>
      </c>
      <c r="Z2513" s="2" t="s">
        <v>389</v>
      </c>
      <c r="AA2513" s="2"/>
      <c r="AB2513" s="2" t="s">
        <v>8443</v>
      </c>
      <c r="AC2513" s="2">
        <v>36.130000000000003</v>
      </c>
      <c r="AD2513" s="2">
        <v>94.66</v>
      </c>
      <c r="AE2513" s="2">
        <v>0</v>
      </c>
      <c r="AF2513" s="2" t="s">
        <v>5614</v>
      </c>
      <c r="AG2513" s="2" t="s">
        <v>1088</v>
      </c>
      <c r="AH2513" s="2" t="s">
        <v>21544</v>
      </c>
      <c r="AI2513" s="2">
        <v>-3.8</v>
      </c>
      <c r="AJ2513" s="2">
        <v>22.275920387026101</v>
      </c>
      <c r="AK2513" s="2">
        <v>21.820336408841101</v>
      </c>
      <c r="AL2513" s="2">
        <v>22.305239490573999</v>
      </c>
      <c r="AM2513" s="2">
        <v>22.3113972018648</v>
      </c>
      <c r="AN2513" s="2">
        <v>22.440494047124702</v>
      </c>
      <c r="AO2513" s="2">
        <v>22.028922229836802</v>
      </c>
      <c r="AP2513" s="2">
        <v>21.8831414447749</v>
      </c>
      <c r="AQ2513" s="2">
        <v>22.355892360427099</v>
      </c>
      <c r="AR2513" s="2">
        <v>22.140089621583599</v>
      </c>
      <c r="AS2513" s="2">
        <v>21.834439372941301</v>
      </c>
      <c r="AT2513" s="2">
        <v>21.926769116163499</v>
      </c>
      <c r="AU2513" s="2">
        <v>21.873347759350999</v>
      </c>
      <c r="AV2513" s="2">
        <v>22.047152412394301</v>
      </c>
      <c r="AW2513" s="2">
        <v>22.096596764954</v>
      </c>
      <c r="AX2513" s="2">
        <v>21.705384913330398</v>
      </c>
      <c r="AY2513" s="2">
        <v>22.067913084509001</v>
      </c>
      <c r="AZ2513" s="2">
        <v>21.912689630940498</v>
      </c>
      <c r="BA2513" s="2">
        <v>22.2064024770686</v>
      </c>
      <c r="BB2513" s="2">
        <v>22.608452934080901</v>
      </c>
      <c r="BC2513" s="2">
        <v>22.031221362837002</v>
      </c>
      <c r="BD2513" s="2">
        <v>22.202760927105398</v>
      </c>
      <c r="BE2513" s="2">
        <v>22.285973360544901</v>
      </c>
      <c r="BF2513" s="2">
        <v>22.376337469245499</v>
      </c>
      <c r="BG2513" s="2">
        <v>21.8018415848437</v>
      </c>
      <c r="BH2513" s="2">
        <v>22.055172902032599</v>
      </c>
      <c r="BI2513" s="2">
        <v>21.675387391193201</v>
      </c>
      <c r="BJ2513" s="2">
        <v>22.217176512188601</v>
      </c>
      <c r="BK2513" s="2">
        <v>21.4613750163826</v>
      </c>
      <c r="BL2513" s="2">
        <v>22.1240705167036</v>
      </c>
      <c r="BM2513" s="2">
        <v>21.7071638092388</v>
      </c>
      <c r="BN2513" s="2">
        <v>22.350896960320298</v>
      </c>
      <c r="BO2513" s="2">
        <v>21.728631540347902</v>
      </c>
      <c r="BP2513" s="2">
        <v>21.694836020072302</v>
      </c>
      <c r="BQ2513" s="2">
        <v>22.1010715688431</v>
      </c>
      <c r="BR2513" s="2">
        <v>21.7528329369906</v>
      </c>
      <c r="BS2513" s="2">
        <v>21.8788245459866</v>
      </c>
      <c r="BT2513" s="2">
        <v>22.181190727565099</v>
      </c>
      <c r="BU2513" s="2">
        <v>21.443513555274698</v>
      </c>
      <c r="BV2513" s="2">
        <v>22.270427569928</v>
      </c>
      <c r="BW2513" s="2">
        <v>22.1788812452325</v>
      </c>
      <c r="BX2513" s="2">
        <v>21.992353759899999</v>
      </c>
      <c r="BY2513" s="2">
        <v>21.698594024610799</v>
      </c>
      <c r="BZ2513" s="2">
        <v>22.046929228922998</v>
      </c>
      <c r="CA2513" s="2">
        <v>21.885016442529501</v>
      </c>
      <c r="CB2513" s="2">
        <v>22.073348876448801</v>
      </c>
      <c r="CC2513" s="2">
        <v>22.0082688316547</v>
      </c>
      <c r="CD2513" s="2">
        <v>22.044431138722398</v>
      </c>
      <c r="CE2513" s="2">
        <v>21.7976161005707</v>
      </c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</row>
    <row r="2514" spans="1:97">
      <c r="A2514" s="2" t="s">
        <v>21545</v>
      </c>
      <c r="B2514" s="2">
        <v>312.36180000000002</v>
      </c>
      <c r="C2514" s="2">
        <v>10.586</v>
      </c>
      <c r="D2514" s="2" t="s">
        <v>84</v>
      </c>
      <c r="E2514" s="2" t="s">
        <v>21546</v>
      </c>
      <c r="F2514" s="2" t="s">
        <v>21547</v>
      </c>
      <c r="G2514" s="2">
        <v>9656</v>
      </c>
      <c r="H2514" s="3" t="str">
        <f>HYPERLINK("https://cloud.oebiotech.com/#/lm/network/9656", "https://cloud.oebiotech.com/#/lm/network/9656")</f>
        <v>https://cloud.oebiotech.com/#/lm/network/9656</v>
      </c>
      <c r="I2514" s="2"/>
      <c r="J2514" s="2">
        <v>97938</v>
      </c>
      <c r="K2514" s="2" t="s">
        <v>21548</v>
      </c>
      <c r="L2514" s="2">
        <v>6115850</v>
      </c>
      <c r="M2514" s="2"/>
      <c r="N2514" s="2"/>
      <c r="O2514" s="2"/>
      <c r="P2514" s="2"/>
      <c r="Q2514" s="2"/>
      <c r="R2514" s="2"/>
      <c r="S2514" s="2"/>
      <c r="T2514" s="2" t="s">
        <v>21549</v>
      </c>
      <c r="U2514" s="2" t="s">
        <v>21550</v>
      </c>
      <c r="V2514" s="2" t="s">
        <v>10755</v>
      </c>
      <c r="W2514" s="2" t="s">
        <v>10756</v>
      </c>
      <c r="X2514" s="2" t="s">
        <v>16890</v>
      </c>
      <c r="Y2514" s="2" t="s">
        <v>10758</v>
      </c>
      <c r="Z2514" s="2" t="s">
        <v>10759</v>
      </c>
      <c r="AA2514" s="2" t="s">
        <v>16891</v>
      </c>
      <c r="AB2514" s="2" t="s">
        <v>8443</v>
      </c>
      <c r="AC2514" s="2">
        <v>36.119999999999997</v>
      </c>
      <c r="AD2514" s="2">
        <v>86.82</v>
      </c>
      <c r="AE2514" s="2">
        <v>0</v>
      </c>
      <c r="AF2514" s="2" t="s">
        <v>5614</v>
      </c>
      <c r="AG2514" s="2" t="s">
        <v>132</v>
      </c>
      <c r="AH2514" s="2" t="s">
        <v>21551</v>
      </c>
      <c r="AI2514" s="2">
        <v>2.2400000000000002</v>
      </c>
      <c r="AJ2514" s="2">
        <v>20.3815246165933</v>
      </c>
      <c r="AK2514" s="2">
        <v>20.1672073004409</v>
      </c>
      <c r="AL2514" s="2">
        <v>20.331584006617</v>
      </c>
      <c r="AM2514" s="2">
        <v>19.7688073619459</v>
      </c>
      <c r="AN2514" s="2">
        <v>20.480259736953201</v>
      </c>
      <c r="AO2514" s="2">
        <v>19.922991273391499</v>
      </c>
      <c r="AP2514" s="2">
        <v>20.172131967234002</v>
      </c>
      <c r="AQ2514" s="2">
        <v>20.239178507111902</v>
      </c>
      <c r="AR2514" s="2">
        <v>19.213716923460499</v>
      </c>
      <c r="AS2514" s="2">
        <v>20.242497584883601</v>
      </c>
      <c r="AT2514" s="2">
        <v>19.873953863455299</v>
      </c>
      <c r="AU2514" s="2">
        <v>18.744984011893401</v>
      </c>
      <c r="AV2514" s="2">
        <v>18.1565478213139</v>
      </c>
      <c r="AW2514" s="2">
        <v>20.6584085906923</v>
      </c>
      <c r="AX2514" s="2">
        <v>19.290085756017099</v>
      </c>
      <c r="AY2514" s="2">
        <v>18.869874538093701</v>
      </c>
      <c r="AZ2514" s="2">
        <v>19.4677113516403</v>
      </c>
      <c r="BA2514" s="2">
        <v>18.701710031126101</v>
      </c>
      <c r="BB2514" s="2">
        <v>19.496268421797499</v>
      </c>
      <c r="BC2514" s="2">
        <v>20.099876037970802</v>
      </c>
      <c r="BD2514" s="2">
        <v>18.4517928225014</v>
      </c>
      <c r="BE2514" s="2">
        <v>17.768853840685001</v>
      </c>
      <c r="BF2514" s="2">
        <v>18.789413606424699</v>
      </c>
      <c r="BG2514" s="2">
        <v>19.163031060230701</v>
      </c>
      <c r="BH2514" s="2">
        <v>18.7669292278432</v>
      </c>
      <c r="BI2514" s="2">
        <v>18.311559727553899</v>
      </c>
      <c r="BJ2514" s="2">
        <v>18.318334981899199</v>
      </c>
      <c r="BK2514" s="2">
        <v>19.744959317768501</v>
      </c>
      <c r="BL2514" s="2">
        <v>21.3799359734398</v>
      </c>
      <c r="BM2514" s="2">
        <v>18.294445390770701</v>
      </c>
      <c r="BN2514" s="2">
        <v>19.146741012655699</v>
      </c>
      <c r="BO2514" s="2">
        <v>19.105944305488698</v>
      </c>
      <c r="BP2514" s="2">
        <v>18.6161757379747</v>
      </c>
      <c r="BQ2514" s="2">
        <v>19.5257881277881</v>
      </c>
      <c r="BR2514" s="2">
        <v>18.575285478059101</v>
      </c>
      <c r="BS2514" s="2">
        <v>18.255807372097902</v>
      </c>
      <c r="BT2514" s="2">
        <v>19.304119419676098</v>
      </c>
      <c r="BU2514" s="2">
        <v>18.4625470845296</v>
      </c>
      <c r="BV2514" s="2">
        <v>19.433271704158098</v>
      </c>
      <c r="BW2514" s="2">
        <v>19.222098428809101</v>
      </c>
      <c r="BX2514" s="2">
        <v>18.938732460287699</v>
      </c>
      <c r="BY2514" s="2">
        <v>18.259463712605399</v>
      </c>
      <c r="BZ2514" s="2">
        <v>18.757206769834401</v>
      </c>
      <c r="CA2514" s="2">
        <v>18.341125173011299</v>
      </c>
      <c r="CB2514" s="2">
        <v>19.1623829688751</v>
      </c>
      <c r="CC2514" s="2">
        <v>18.625257609294</v>
      </c>
      <c r="CD2514" s="2">
        <v>18.497685060906601</v>
      </c>
      <c r="CE2514" s="2">
        <v>19.3877289193892</v>
      </c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</row>
    <row r="2515" spans="1:97">
      <c r="A2515" s="2" t="s">
        <v>21552</v>
      </c>
      <c r="B2515" s="2">
        <v>403.30175000000003</v>
      </c>
      <c r="C2515" s="2">
        <v>10.032</v>
      </c>
      <c r="D2515" s="2" t="s">
        <v>84</v>
      </c>
      <c r="E2515" s="2" t="s">
        <v>21553</v>
      </c>
      <c r="F2515" s="2" t="s">
        <v>21554</v>
      </c>
      <c r="G2515" s="2">
        <v>208153</v>
      </c>
      <c r="H2515" s="3" t="str">
        <f>HYPERLINK("https://cloud.oebiotech.com/#/lm/network/208153", "https://cloud.oebiotech.com/#/lm/network/208153")</f>
        <v>https://cloud.oebiotech.com/#/lm/network/208153</v>
      </c>
      <c r="I2515" s="2" t="s">
        <v>21555</v>
      </c>
      <c r="J2515" s="2"/>
      <c r="K2515" s="2"/>
      <c r="L2515" s="2">
        <v>4407096</v>
      </c>
      <c r="M2515" s="2"/>
      <c r="N2515" s="2"/>
      <c r="O2515" s="2"/>
      <c r="P2515" s="2"/>
      <c r="Q2515" s="2"/>
      <c r="R2515" s="2"/>
      <c r="S2515" s="2"/>
      <c r="T2515" s="2" t="s">
        <v>21556</v>
      </c>
      <c r="U2515" s="2" t="s">
        <v>21557</v>
      </c>
      <c r="V2515" s="2" t="s">
        <v>115</v>
      </c>
      <c r="W2515" s="2" t="s">
        <v>116</v>
      </c>
      <c r="X2515" s="2" t="s">
        <v>117</v>
      </c>
      <c r="Y2515" s="2" t="s">
        <v>118</v>
      </c>
      <c r="Z2515" s="2" t="s">
        <v>119</v>
      </c>
      <c r="AA2515" s="2" t="s">
        <v>120</v>
      </c>
      <c r="AB2515" s="2" t="s">
        <v>8443</v>
      </c>
      <c r="AC2515" s="2">
        <v>36.119999999999997</v>
      </c>
      <c r="AD2515" s="2">
        <v>86.75</v>
      </c>
      <c r="AE2515" s="2">
        <v>0</v>
      </c>
      <c r="AF2515" s="2" t="s">
        <v>5614</v>
      </c>
      <c r="AG2515" s="2" t="s">
        <v>103</v>
      </c>
      <c r="AH2515" s="2" t="s">
        <v>21558</v>
      </c>
      <c r="AI2515" s="2">
        <v>2.23</v>
      </c>
      <c r="AJ2515" s="2">
        <v>22.0362760715268</v>
      </c>
      <c r="AK2515" s="2">
        <v>22.3126929873991</v>
      </c>
      <c r="AL2515" s="2">
        <v>22.205647361309701</v>
      </c>
      <c r="AM2515" s="2">
        <v>22.5789571575751</v>
      </c>
      <c r="AN2515" s="2">
        <v>22.068496533132301</v>
      </c>
      <c r="AO2515" s="2">
        <v>22.495023154082102</v>
      </c>
      <c r="AP2515" s="2">
        <v>21.505557753599501</v>
      </c>
      <c r="AQ2515" s="2">
        <v>22.013741112680901</v>
      </c>
      <c r="AR2515" s="2">
        <v>22.001484952359</v>
      </c>
      <c r="AS2515" s="2">
        <v>21.696185898573201</v>
      </c>
      <c r="AT2515" s="2">
        <v>21.628700531450999</v>
      </c>
      <c r="AU2515" s="2">
        <v>22.191843714656802</v>
      </c>
      <c r="AV2515" s="2">
        <v>22.255787316021198</v>
      </c>
      <c r="AW2515" s="2">
        <v>22.1777920953378</v>
      </c>
      <c r="AX2515" s="2">
        <v>22.194354278182701</v>
      </c>
      <c r="AY2515" s="2">
        <v>21.891556414130601</v>
      </c>
      <c r="AZ2515" s="2">
        <v>21.5306635089444</v>
      </c>
      <c r="BA2515" s="2">
        <v>21.821494159457099</v>
      </c>
      <c r="BB2515" s="2">
        <v>21.8089287286179</v>
      </c>
      <c r="BC2515" s="2">
        <v>22.3038616395819</v>
      </c>
      <c r="BD2515" s="2">
        <v>22.235301899901501</v>
      </c>
      <c r="BE2515" s="2">
        <v>22.063379787597199</v>
      </c>
      <c r="BF2515" s="2">
        <v>21.752057392420099</v>
      </c>
      <c r="BG2515" s="2">
        <v>22.502579100768099</v>
      </c>
      <c r="BH2515" s="2">
        <v>21.561613107547</v>
      </c>
      <c r="BI2515" s="2">
        <v>21.970865408780298</v>
      </c>
      <c r="BJ2515" s="2">
        <v>21.105328481122299</v>
      </c>
      <c r="BK2515" s="2">
        <v>22.353154155327399</v>
      </c>
      <c r="BL2515" s="2">
        <v>22.3764024586728</v>
      </c>
      <c r="BM2515" s="2">
        <v>21.922980649851802</v>
      </c>
      <c r="BN2515" s="2">
        <v>22.240225243573899</v>
      </c>
      <c r="BO2515" s="2">
        <v>21.632155150784001</v>
      </c>
      <c r="BP2515" s="2">
        <v>22.1311516880738</v>
      </c>
      <c r="BQ2515" s="2">
        <v>22.141662134250801</v>
      </c>
      <c r="BR2515" s="2">
        <v>21.499123634902801</v>
      </c>
      <c r="BS2515" s="2">
        <v>22.400222111419499</v>
      </c>
      <c r="BT2515" s="2">
        <v>22.134577055812802</v>
      </c>
      <c r="BU2515" s="2">
        <v>22.222572385533201</v>
      </c>
      <c r="BV2515" s="2">
        <v>22.472956130309001</v>
      </c>
      <c r="BW2515" s="2">
        <v>21.217830396044</v>
      </c>
      <c r="BX2515" s="2">
        <v>22.117180848144301</v>
      </c>
      <c r="BY2515" s="2">
        <v>22.294199211775499</v>
      </c>
      <c r="BZ2515" s="2">
        <v>22.1730878044728</v>
      </c>
      <c r="CA2515" s="2">
        <v>21.999400619159399</v>
      </c>
      <c r="CB2515" s="2">
        <v>22.475999362590901</v>
      </c>
      <c r="CC2515" s="2">
        <v>22.452078691960899</v>
      </c>
      <c r="CD2515" s="2">
        <v>22.402052889946901</v>
      </c>
      <c r="CE2515" s="2">
        <v>21.8113056080348</v>
      </c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</row>
    <row r="2516" spans="1:97">
      <c r="A2516" s="2" t="s">
        <v>21559</v>
      </c>
      <c r="B2516" s="2">
        <v>367.18490000000003</v>
      </c>
      <c r="C2516" s="2">
        <v>7.5359999999999996</v>
      </c>
      <c r="D2516" s="2" t="s">
        <v>146</v>
      </c>
      <c r="E2516" s="2" t="s">
        <v>21560</v>
      </c>
      <c r="F2516" s="2" t="s">
        <v>21561</v>
      </c>
      <c r="G2516" s="2">
        <v>209856</v>
      </c>
      <c r="H2516" s="3" t="str">
        <f>HYPERLINK("https://cloud.oebiotech.com/#/lm/network/209856", "https://cloud.oebiotech.com/#/lm/network/209856")</f>
        <v>https://cloud.oebiotech.com/#/lm/network/209856</v>
      </c>
      <c r="I2516" s="2" t="s">
        <v>21562</v>
      </c>
      <c r="J2516" s="2"/>
      <c r="K2516" s="2"/>
      <c r="L2516" s="2">
        <v>66555030</v>
      </c>
      <c r="M2516" s="2"/>
      <c r="N2516" s="2"/>
      <c r="O2516" s="2"/>
      <c r="P2516" s="2"/>
      <c r="Q2516" s="2"/>
      <c r="R2516" s="2"/>
      <c r="S2516" s="2"/>
      <c r="T2516" s="2" t="s">
        <v>21563</v>
      </c>
      <c r="U2516" s="2" t="s">
        <v>21564</v>
      </c>
      <c r="V2516" s="2" t="s">
        <v>338</v>
      </c>
      <c r="W2516" s="2" t="s">
        <v>339</v>
      </c>
      <c r="X2516" s="2" t="s">
        <v>1663</v>
      </c>
      <c r="Y2516" s="2" t="s">
        <v>341</v>
      </c>
      <c r="Z2516" s="2" t="s">
        <v>341</v>
      </c>
      <c r="AA2516" s="2" t="s">
        <v>1664</v>
      </c>
      <c r="AB2516" s="2" t="s">
        <v>8443</v>
      </c>
      <c r="AC2516" s="2">
        <v>36.1</v>
      </c>
      <c r="AD2516" s="2">
        <v>82.28</v>
      </c>
      <c r="AE2516" s="2">
        <v>0</v>
      </c>
      <c r="AF2516" s="2" t="s">
        <v>5614</v>
      </c>
      <c r="AG2516" s="2" t="s">
        <v>993</v>
      </c>
      <c r="AH2516" s="2" t="s">
        <v>21565</v>
      </c>
      <c r="AI2516" s="2">
        <v>-1.36</v>
      </c>
      <c r="AJ2516" s="2">
        <v>18.154426436162801</v>
      </c>
      <c r="AK2516" s="2">
        <v>18.4878943473554</v>
      </c>
      <c r="AL2516" s="2">
        <v>18.456490102602999</v>
      </c>
      <c r="AM2516" s="2">
        <v>19.223263895870598</v>
      </c>
      <c r="AN2516" s="2">
        <v>18.976993170769902</v>
      </c>
      <c r="AO2516" s="2">
        <v>19.116656166139801</v>
      </c>
      <c r="AP2516" s="2">
        <v>19.263974546440199</v>
      </c>
      <c r="AQ2516" s="2">
        <v>19.098144197835101</v>
      </c>
      <c r="AR2516" s="2">
        <v>15.1610736070076</v>
      </c>
      <c r="AS2516" s="2">
        <v>9.6233145402724691</v>
      </c>
      <c r="AT2516" s="2">
        <v>15.982652061404099</v>
      </c>
      <c r="AU2516" s="2">
        <v>17.305015220760001</v>
      </c>
      <c r="AV2516" s="2">
        <v>19.5686165580112</v>
      </c>
      <c r="AW2516" s="2">
        <v>18.559924331264401</v>
      </c>
      <c r="AX2516" s="2">
        <v>18.918851273372699</v>
      </c>
      <c r="AY2516" s="2">
        <v>19.281715091390598</v>
      </c>
      <c r="AZ2516" s="2">
        <v>18.3836818936093</v>
      </c>
      <c r="BA2516" s="2">
        <v>17.830732812912</v>
      </c>
      <c r="BB2516" s="2">
        <v>17.445909622703599</v>
      </c>
      <c r="BC2516" s="2">
        <v>20.2640664942884</v>
      </c>
      <c r="BD2516" s="2">
        <v>18.6586205236033</v>
      </c>
      <c r="BE2516" s="2">
        <v>18.9087698761683</v>
      </c>
      <c r="BF2516" s="2">
        <v>17.918721585295799</v>
      </c>
      <c r="BG2516" s="2">
        <v>18.894782156043</v>
      </c>
      <c r="BH2516" s="2">
        <v>18.389459847717202</v>
      </c>
      <c r="BI2516" s="2">
        <v>13.079263095768701</v>
      </c>
      <c r="BJ2516" s="2">
        <v>18.301809999895301</v>
      </c>
      <c r="BK2516" s="2">
        <v>18.0865112214201</v>
      </c>
      <c r="BL2516" s="2">
        <v>18.020723469775799</v>
      </c>
      <c r="BM2516" s="2">
        <v>17.592630107660099</v>
      </c>
      <c r="BN2516" s="2">
        <v>17.074902946686301</v>
      </c>
      <c r="BO2516" s="2">
        <v>17.4217105716906</v>
      </c>
      <c r="BP2516" s="2">
        <v>19.109596161578501</v>
      </c>
      <c r="BQ2516" s="2">
        <v>18.868798746735099</v>
      </c>
      <c r="BR2516" s="2">
        <v>19.2144781211985</v>
      </c>
      <c r="BS2516" s="2">
        <v>19.361439507174399</v>
      </c>
      <c r="BT2516" s="2">
        <v>17.043969150808302</v>
      </c>
      <c r="BU2516" s="2">
        <v>17.006715937499401</v>
      </c>
      <c r="BV2516" s="2">
        <v>9.6233145402724691</v>
      </c>
      <c r="BW2516" s="2">
        <v>18.525379952264299</v>
      </c>
      <c r="BX2516" s="2">
        <v>19.127792228591002</v>
      </c>
      <c r="BY2516" s="2">
        <v>20.5448434562533</v>
      </c>
      <c r="BZ2516" s="2">
        <v>18.083917793033901</v>
      </c>
      <c r="CA2516" s="2">
        <v>17.2314783666368</v>
      </c>
      <c r="CB2516" s="2">
        <v>19.2202913121486</v>
      </c>
      <c r="CC2516" s="2">
        <v>16.615516131758</v>
      </c>
      <c r="CD2516" s="2">
        <v>18.586557727522301</v>
      </c>
      <c r="CE2516" s="2">
        <v>19.505122548891102</v>
      </c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</row>
    <row r="2517" spans="1:97">
      <c r="A2517" s="2" t="s">
        <v>21566</v>
      </c>
      <c r="B2517" s="2">
        <v>491.19299000000001</v>
      </c>
      <c r="C2517" s="2">
        <v>1.395</v>
      </c>
      <c r="D2517" s="2" t="s">
        <v>146</v>
      </c>
      <c r="E2517" s="2" t="s">
        <v>21567</v>
      </c>
      <c r="F2517" s="2" t="s">
        <v>21568</v>
      </c>
      <c r="G2517" s="2">
        <v>53124</v>
      </c>
      <c r="H2517" s="3" t="str">
        <f>HYPERLINK("https://cloud.oebiotech.com/#/lm/network/53124", "https://cloud.oebiotech.com/#/lm/network/53124")</f>
        <v>https://cloud.oebiotech.com/#/lm/network/53124</v>
      </c>
      <c r="I2517" s="2" t="s">
        <v>21569</v>
      </c>
      <c r="J2517" s="2">
        <v>43243</v>
      </c>
      <c r="K2517" s="2"/>
      <c r="L2517" s="2">
        <v>8271</v>
      </c>
      <c r="M2517" s="2" t="s">
        <v>21570</v>
      </c>
      <c r="N2517" s="2"/>
      <c r="O2517" s="2"/>
      <c r="P2517" s="2">
        <v>6758</v>
      </c>
      <c r="Q2517" s="2"/>
      <c r="R2517" s="2"/>
      <c r="S2517" s="2" t="s">
        <v>21571</v>
      </c>
      <c r="T2517" s="2" t="s">
        <v>21572</v>
      </c>
      <c r="U2517" s="2" t="s">
        <v>21573</v>
      </c>
      <c r="V2517" s="2" t="s">
        <v>553</v>
      </c>
      <c r="W2517" s="2" t="s">
        <v>6104</v>
      </c>
      <c r="X2517" s="2" t="s">
        <v>6105</v>
      </c>
      <c r="Y2517" s="2" t="s">
        <v>556</v>
      </c>
      <c r="Z2517" s="2" t="s">
        <v>6106</v>
      </c>
      <c r="AA2517" s="2" t="s">
        <v>6107</v>
      </c>
      <c r="AB2517" s="2" t="s">
        <v>8443</v>
      </c>
      <c r="AC2517" s="2">
        <v>36.08</v>
      </c>
      <c r="AD2517" s="2">
        <v>81.52</v>
      </c>
      <c r="AE2517" s="2">
        <v>0</v>
      </c>
      <c r="AF2517" s="2" t="s">
        <v>21574</v>
      </c>
      <c r="AG2517" s="2" t="s">
        <v>3880</v>
      </c>
      <c r="AH2517" s="2" t="s">
        <v>3391</v>
      </c>
      <c r="AI2517" s="2">
        <v>1.22</v>
      </c>
      <c r="AJ2517" s="2">
        <v>16.231783873560602</v>
      </c>
      <c r="AK2517" s="2">
        <v>16.962111561590401</v>
      </c>
      <c r="AL2517" s="2">
        <v>16.6805071866956</v>
      </c>
      <c r="AM2517" s="2">
        <v>16.309099892347099</v>
      </c>
      <c r="AN2517" s="2">
        <v>16.318813395560699</v>
      </c>
      <c r="AO2517" s="2">
        <v>16.637681814879599</v>
      </c>
      <c r="AP2517" s="2">
        <v>16.4695421388809</v>
      </c>
      <c r="AQ2517" s="2">
        <v>16.635842939563101</v>
      </c>
      <c r="AR2517" s="2">
        <v>15.5123049841184</v>
      </c>
      <c r="AS2517" s="2">
        <v>14.3784892706277</v>
      </c>
      <c r="AT2517" s="2">
        <v>12.2905689711724</v>
      </c>
      <c r="AU2517" s="2">
        <v>16.551030036757901</v>
      </c>
      <c r="AV2517" s="2">
        <v>17.291871888958401</v>
      </c>
      <c r="AW2517" s="2">
        <v>17.3698816078455</v>
      </c>
      <c r="AX2517" s="2">
        <v>16.146327225263299</v>
      </c>
      <c r="AY2517" s="2">
        <v>16.982624322430699</v>
      </c>
      <c r="AZ2517" s="2">
        <v>17.209616424971401</v>
      </c>
      <c r="BA2517" s="2">
        <v>15.4536645044168</v>
      </c>
      <c r="BB2517" s="2">
        <v>16.794161483629001</v>
      </c>
      <c r="BC2517" s="2">
        <v>13.8550563030827</v>
      </c>
      <c r="BD2517" s="2">
        <v>12.522360843823</v>
      </c>
      <c r="BE2517" s="2">
        <v>16.824780281476102</v>
      </c>
      <c r="BF2517" s="2">
        <v>15.1478393041</v>
      </c>
      <c r="BG2517" s="2">
        <v>15.710927209161699</v>
      </c>
      <c r="BH2517" s="2">
        <v>17.243570182904701</v>
      </c>
      <c r="BI2517" s="2">
        <v>16.142019479544501</v>
      </c>
      <c r="BJ2517" s="2">
        <v>17.748424542905301</v>
      </c>
      <c r="BK2517" s="2">
        <v>16.138624390090399</v>
      </c>
      <c r="BL2517" s="2">
        <v>12.477781029685399</v>
      </c>
      <c r="BM2517" s="2">
        <v>17.984373006693499</v>
      </c>
      <c r="BN2517" s="2">
        <v>16.277520068256798</v>
      </c>
      <c r="BO2517" s="2">
        <v>16.254898328836401</v>
      </c>
      <c r="BP2517" s="2">
        <v>14.504875458159001</v>
      </c>
      <c r="BQ2517" s="2">
        <v>17.257969234617299</v>
      </c>
      <c r="BR2517" s="2">
        <v>16.781118390301099</v>
      </c>
      <c r="BS2517" s="2">
        <v>15.5624782622059</v>
      </c>
      <c r="BT2517" s="2">
        <v>14.023757817980799</v>
      </c>
      <c r="BU2517" s="2">
        <v>15.5992346765729</v>
      </c>
      <c r="BV2517" s="2">
        <v>16.386373635191202</v>
      </c>
      <c r="BW2517" s="2">
        <v>13.1285276585508</v>
      </c>
      <c r="BX2517" s="2">
        <v>17.6082916455826</v>
      </c>
      <c r="BY2517" s="2">
        <v>15.7922043854484</v>
      </c>
      <c r="BZ2517" s="2">
        <v>17.780418978227502</v>
      </c>
      <c r="CA2517" s="2">
        <v>15.813549489814701</v>
      </c>
      <c r="CB2517" s="2">
        <v>15.229313404979701</v>
      </c>
      <c r="CC2517" s="2">
        <v>16.4812800814816</v>
      </c>
      <c r="CD2517" s="2">
        <v>16.908067471081999</v>
      </c>
      <c r="CE2517" s="2">
        <v>15.5570352331802</v>
      </c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</row>
    <row r="2518" spans="1:97">
      <c r="A2518" s="2" t="s">
        <v>21575</v>
      </c>
      <c r="B2518" s="2">
        <v>369.20400999999998</v>
      </c>
      <c r="C2518" s="2">
        <v>12.103</v>
      </c>
      <c r="D2518" s="2" t="s">
        <v>146</v>
      </c>
      <c r="E2518" s="2" t="s">
        <v>21576</v>
      </c>
      <c r="F2518" s="2" t="s">
        <v>21577</v>
      </c>
      <c r="G2518" s="2">
        <v>48768</v>
      </c>
      <c r="H2518" s="3" t="str">
        <f>HYPERLINK("https://cloud.oebiotech.com/#/lm/network/48768", "https://cloud.oebiotech.com/#/lm/network/48768")</f>
        <v>https://cloud.oebiotech.com/#/lm/network/48768</v>
      </c>
      <c r="I2518" s="2" t="s">
        <v>21578</v>
      </c>
      <c r="J2518" s="2"/>
      <c r="K2518" s="2"/>
      <c r="L2518" s="2">
        <v>443003</v>
      </c>
      <c r="M2518" s="2" t="s">
        <v>21579</v>
      </c>
      <c r="N2518" s="2"/>
      <c r="O2518" s="2"/>
      <c r="P2518" s="2">
        <v>708641</v>
      </c>
      <c r="Q2518" s="2"/>
      <c r="R2518" s="2"/>
      <c r="S2518" s="2" t="s">
        <v>21580</v>
      </c>
      <c r="T2518" s="2" t="s">
        <v>21581</v>
      </c>
      <c r="U2518" s="2" t="s">
        <v>21582</v>
      </c>
      <c r="V2518" s="2" t="s">
        <v>374</v>
      </c>
      <c r="W2518" s="2" t="s">
        <v>681</v>
      </c>
      <c r="X2518" s="2" t="s">
        <v>375</v>
      </c>
      <c r="Y2518" s="2" t="s">
        <v>376</v>
      </c>
      <c r="Z2518" s="2" t="s">
        <v>682</v>
      </c>
      <c r="AA2518" s="2"/>
      <c r="AB2518" s="2" t="s">
        <v>8443</v>
      </c>
      <c r="AC2518" s="2">
        <v>36.08</v>
      </c>
      <c r="AD2518" s="2">
        <v>87.61</v>
      </c>
      <c r="AE2518" s="2">
        <v>0</v>
      </c>
      <c r="AF2518" s="2" t="s">
        <v>21583</v>
      </c>
      <c r="AG2518" s="2" t="s">
        <v>3880</v>
      </c>
      <c r="AH2518" s="2" t="s">
        <v>21584</v>
      </c>
      <c r="AI2518" s="2">
        <v>-2.44</v>
      </c>
      <c r="AJ2518" s="2">
        <v>18.0534725294034</v>
      </c>
      <c r="AK2518" s="2">
        <v>17.744450597004299</v>
      </c>
      <c r="AL2518" s="2">
        <v>17.557147748381102</v>
      </c>
      <c r="AM2518" s="2">
        <v>17.000329178512501</v>
      </c>
      <c r="AN2518" s="2">
        <v>16.9424031650118</v>
      </c>
      <c r="AO2518" s="2">
        <v>17.286468420615499</v>
      </c>
      <c r="AP2518" s="2">
        <v>17.038698158282099</v>
      </c>
      <c r="AQ2518" s="2">
        <v>17.216189680717001</v>
      </c>
      <c r="AR2518" s="2">
        <v>18.4997332110526</v>
      </c>
      <c r="AS2518" s="2">
        <v>15.228241872885301</v>
      </c>
      <c r="AT2518" s="2">
        <v>17.291728207469401</v>
      </c>
      <c r="AU2518" s="2">
        <v>15.879407353000101</v>
      </c>
      <c r="AV2518" s="2">
        <v>15.062342591887299</v>
      </c>
      <c r="AW2518" s="2">
        <v>16.500644136386502</v>
      </c>
      <c r="AX2518" s="2">
        <v>17.916457283844899</v>
      </c>
      <c r="AY2518" s="2">
        <v>16.1770634532954</v>
      </c>
      <c r="AZ2518" s="2">
        <v>18.482356886491399</v>
      </c>
      <c r="BA2518" s="2">
        <v>18.621753348783699</v>
      </c>
      <c r="BB2518" s="2">
        <v>16.679456732494899</v>
      </c>
      <c r="BC2518" s="2">
        <v>18.287891668351602</v>
      </c>
      <c r="BD2518" s="2">
        <v>16.375427924891898</v>
      </c>
      <c r="BE2518" s="2">
        <v>15.7828252307146</v>
      </c>
      <c r="BF2518" s="2">
        <v>16.104082301450099</v>
      </c>
      <c r="BG2518" s="2">
        <v>17.657821685942999</v>
      </c>
      <c r="BH2518" s="2">
        <v>16.663493617331898</v>
      </c>
      <c r="BI2518" s="2">
        <v>16.711080517568199</v>
      </c>
      <c r="BJ2518" s="2">
        <v>18.7170763019924</v>
      </c>
      <c r="BK2518" s="2">
        <v>16.2061951720992</v>
      </c>
      <c r="BL2518" s="2">
        <v>17.8459109389463</v>
      </c>
      <c r="BM2518" s="2">
        <v>17.2345604655941</v>
      </c>
      <c r="BN2518" s="2">
        <v>15.3926377401193</v>
      </c>
      <c r="BO2518" s="2">
        <v>17.732681787053099</v>
      </c>
      <c r="BP2518" s="2">
        <v>15.9680180555099</v>
      </c>
      <c r="BQ2518" s="2">
        <v>17.5154957284444</v>
      </c>
      <c r="BR2518" s="2">
        <v>17.678137600989501</v>
      </c>
      <c r="BS2518" s="2">
        <v>16.275341945549499</v>
      </c>
      <c r="BT2518" s="2">
        <v>20.3118089034127</v>
      </c>
      <c r="BU2518" s="2">
        <v>18.6279287448308</v>
      </c>
      <c r="BV2518" s="2">
        <v>17.458432807988</v>
      </c>
      <c r="BW2518" s="2">
        <v>15.281680865333399</v>
      </c>
      <c r="BX2518" s="2">
        <v>16.091581458413199</v>
      </c>
      <c r="BY2518" s="2">
        <v>16.285026287427701</v>
      </c>
      <c r="BZ2518" s="2">
        <v>16.749980170097999</v>
      </c>
      <c r="CA2518" s="2">
        <v>16.707063843364899</v>
      </c>
      <c r="CB2518" s="2">
        <v>17.856670139631301</v>
      </c>
      <c r="CC2518" s="2">
        <v>17.292670328246398</v>
      </c>
      <c r="CD2518" s="2">
        <v>17.4128388220375</v>
      </c>
      <c r="CE2518" s="2">
        <v>18.291824865866101</v>
      </c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</row>
    <row r="2519" spans="1:97">
      <c r="A2519" s="2" t="s">
        <v>21585</v>
      </c>
      <c r="B2519" s="2">
        <v>584.28108999999995</v>
      </c>
      <c r="C2519" s="2">
        <v>8.9610000000000003</v>
      </c>
      <c r="D2519" s="2" t="s">
        <v>146</v>
      </c>
      <c r="E2519" s="2" t="s">
        <v>21586</v>
      </c>
      <c r="F2519" s="2" t="s">
        <v>21587</v>
      </c>
      <c r="G2519" s="2">
        <v>208316</v>
      </c>
      <c r="H2519" s="3" t="str">
        <f>HYPERLINK("https://cloud.oebiotech.com/#/lm/network/208316", "https://cloud.oebiotech.com/#/lm/network/208316")</f>
        <v>https://cloud.oebiotech.com/#/lm/network/208316</v>
      </c>
      <c r="I2519" s="2" t="s">
        <v>21588</v>
      </c>
      <c r="J2519" s="2"/>
      <c r="K2519" s="2"/>
      <c r="L2519" s="2">
        <v>2142</v>
      </c>
      <c r="M2519" s="2"/>
      <c r="N2519" s="2"/>
      <c r="O2519" s="2"/>
      <c r="P2519" s="2"/>
      <c r="Q2519" s="2"/>
      <c r="R2519" s="2"/>
      <c r="S2519" s="2"/>
      <c r="T2519" s="2" t="s">
        <v>21589</v>
      </c>
      <c r="U2519" s="2" t="s">
        <v>21590</v>
      </c>
      <c r="V2519" s="2" t="s">
        <v>338</v>
      </c>
      <c r="W2519" s="2" t="s">
        <v>339</v>
      </c>
      <c r="X2519" s="2" t="s">
        <v>663</v>
      </c>
      <c r="Y2519" s="2" t="s">
        <v>341</v>
      </c>
      <c r="Z2519" s="2" t="s">
        <v>341</v>
      </c>
      <c r="AA2519" s="2" t="s">
        <v>664</v>
      </c>
      <c r="AB2519" s="2" t="s">
        <v>8443</v>
      </c>
      <c r="AC2519" s="2">
        <v>36.08</v>
      </c>
      <c r="AD2519" s="2">
        <v>98.48</v>
      </c>
      <c r="AE2519" s="2">
        <v>0</v>
      </c>
      <c r="AF2519" s="2" t="s">
        <v>21591</v>
      </c>
      <c r="AG2519" s="2" t="s">
        <v>194</v>
      </c>
      <c r="AH2519" s="2" t="s">
        <v>21592</v>
      </c>
      <c r="AI2519" s="2">
        <v>-4.62</v>
      </c>
      <c r="AJ2519" s="2">
        <v>21.212869129675401</v>
      </c>
      <c r="AK2519" s="2">
        <v>20.927543951547499</v>
      </c>
      <c r="AL2519" s="2">
        <v>21.0924852862581</v>
      </c>
      <c r="AM2519" s="2">
        <v>21.0782034801876</v>
      </c>
      <c r="AN2519" s="2">
        <v>20.9481203923322</v>
      </c>
      <c r="AO2519" s="2">
        <v>21.185578970731299</v>
      </c>
      <c r="AP2519" s="2">
        <v>21.218012484702999</v>
      </c>
      <c r="AQ2519" s="2">
        <v>20.9902347054961</v>
      </c>
      <c r="AR2519" s="2">
        <v>20.717681116542899</v>
      </c>
      <c r="AS2519" s="2">
        <v>13.9971009563822</v>
      </c>
      <c r="AT2519" s="2">
        <v>20.500024934350499</v>
      </c>
      <c r="AU2519" s="2">
        <v>21.1227300520803</v>
      </c>
      <c r="AV2519" s="2">
        <v>20.1455666109369</v>
      </c>
      <c r="AW2519" s="2">
        <v>22.864875562956499</v>
      </c>
      <c r="AX2519" s="2">
        <v>19.426428097936299</v>
      </c>
      <c r="AY2519" s="2">
        <v>20.819747614883099</v>
      </c>
      <c r="AZ2519" s="2">
        <v>18.521282745012702</v>
      </c>
      <c r="BA2519" s="2">
        <v>16.739286971763701</v>
      </c>
      <c r="BB2519" s="2">
        <v>22.605023519440799</v>
      </c>
      <c r="BC2519" s="2">
        <v>20.1542153771972</v>
      </c>
      <c r="BD2519" s="2">
        <v>18.824021366522199</v>
      </c>
      <c r="BE2519" s="2">
        <v>19.1070220670296</v>
      </c>
      <c r="BF2519" s="2">
        <v>18.9448456663232</v>
      </c>
      <c r="BG2519" s="2">
        <v>18.298585874094002</v>
      </c>
      <c r="BH2519" s="2">
        <v>20.363513736841501</v>
      </c>
      <c r="BI2519" s="2">
        <v>17.1030523266095</v>
      </c>
      <c r="BJ2519" s="2">
        <v>19.887150705264201</v>
      </c>
      <c r="BK2519" s="2">
        <v>22.252650301326</v>
      </c>
      <c r="BL2519" s="2">
        <v>15.7071544589328</v>
      </c>
      <c r="BM2519" s="2">
        <v>21.6749992954839</v>
      </c>
      <c r="BN2519" s="2">
        <v>21.4021858899157</v>
      </c>
      <c r="BO2519" s="2">
        <v>18.757453721000399</v>
      </c>
      <c r="BP2519" s="2">
        <v>14.716589601897899</v>
      </c>
      <c r="BQ2519" s="2">
        <v>21.712705345633101</v>
      </c>
      <c r="BR2519" s="2">
        <v>20.692437247971601</v>
      </c>
      <c r="BS2519" s="2">
        <v>20.272547436498801</v>
      </c>
      <c r="BT2519" s="2">
        <v>18.932016052774198</v>
      </c>
      <c r="BU2519" s="2">
        <v>16.271597982445002</v>
      </c>
      <c r="BV2519" s="2">
        <v>22.327705266705198</v>
      </c>
      <c r="BW2519" s="2">
        <v>18.5677088038099</v>
      </c>
      <c r="BX2519" s="2">
        <v>19.145817192396599</v>
      </c>
      <c r="BY2519" s="2">
        <v>18.286988641398398</v>
      </c>
      <c r="BZ2519" s="2">
        <v>19.012549005543899</v>
      </c>
      <c r="CA2519" s="2">
        <v>20.9094167166507</v>
      </c>
      <c r="CB2519" s="2">
        <v>19.5276597100525</v>
      </c>
      <c r="CC2519" s="2">
        <v>18.707769233680899</v>
      </c>
      <c r="CD2519" s="2">
        <v>20.353558433873499</v>
      </c>
      <c r="CE2519" s="2">
        <v>20.254846164578801</v>
      </c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</row>
    <row r="2520" spans="1:97">
      <c r="A2520" s="2" t="s">
        <v>21593</v>
      </c>
      <c r="B2520" s="2">
        <v>475.32688999999999</v>
      </c>
      <c r="C2520" s="2">
        <v>9.8580000000000005</v>
      </c>
      <c r="D2520" s="2" t="s">
        <v>146</v>
      </c>
      <c r="E2520" s="2" t="s">
        <v>21594</v>
      </c>
      <c r="F2520" s="2" t="s">
        <v>21595</v>
      </c>
      <c r="G2520" s="2">
        <v>205921</v>
      </c>
      <c r="H2520" s="3" t="str">
        <f>HYPERLINK("https://cloud.oebiotech.com/#/lm/network/205921", "https://cloud.oebiotech.com/#/lm/network/205921")</f>
        <v>https://cloud.oebiotech.com/#/lm/network/205921</v>
      </c>
      <c r="I2520" s="2" t="s">
        <v>21596</v>
      </c>
      <c r="J2520" s="2"/>
      <c r="K2520" s="2"/>
      <c r="L2520" s="2">
        <v>78410916</v>
      </c>
      <c r="M2520" s="2"/>
      <c r="N2520" s="2"/>
      <c r="O2520" s="2"/>
      <c r="P2520" s="2"/>
      <c r="Q2520" s="2"/>
      <c r="R2520" s="2"/>
      <c r="S2520" s="2"/>
      <c r="T2520" s="2" t="s">
        <v>21597</v>
      </c>
      <c r="U2520" s="2" t="s">
        <v>21598</v>
      </c>
      <c r="V2520" s="2" t="s">
        <v>95</v>
      </c>
      <c r="W2520" s="2" t="s">
        <v>96</v>
      </c>
      <c r="X2520" s="2" t="s">
        <v>97</v>
      </c>
      <c r="Y2520" s="2" t="s">
        <v>98</v>
      </c>
      <c r="Z2520" s="2" t="s">
        <v>99</v>
      </c>
      <c r="AA2520" s="2" t="s">
        <v>100</v>
      </c>
      <c r="AB2520" s="2" t="s">
        <v>8443</v>
      </c>
      <c r="AC2520" s="2">
        <v>36.08</v>
      </c>
      <c r="AD2520" s="2">
        <v>82.76</v>
      </c>
      <c r="AE2520" s="2">
        <v>0</v>
      </c>
      <c r="AF2520" s="2" t="s">
        <v>21599</v>
      </c>
      <c r="AG2520" s="2" t="s">
        <v>157</v>
      </c>
      <c r="AH2520" s="2" t="s">
        <v>21600</v>
      </c>
      <c r="AI2520" s="2">
        <v>1.47</v>
      </c>
      <c r="AJ2520" s="2">
        <v>18.1117121520514</v>
      </c>
      <c r="AK2520" s="2">
        <v>18.2122036785495</v>
      </c>
      <c r="AL2520" s="2">
        <v>18.220393254916299</v>
      </c>
      <c r="AM2520" s="2">
        <v>17.903513077457301</v>
      </c>
      <c r="AN2520" s="2">
        <v>18.198940259363798</v>
      </c>
      <c r="AO2520" s="2">
        <v>17.7110085722307</v>
      </c>
      <c r="AP2520" s="2">
        <v>18.080367603947</v>
      </c>
      <c r="AQ2520" s="2">
        <v>18.0944640259154</v>
      </c>
      <c r="AR2520" s="2">
        <v>12.7189651917021</v>
      </c>
      <c r="AS2520" s="2">
        <v>15.578254447324699</v>
      </c>
      <c r="AT2520" s="2">
        <v>17.229912413474199</v>
      </c>
      <c r="AU2520" s="2">
        <v>13.9292149421701</v>
      </c>
      <c r="AV2520" s="2">
        <v>16.8617889340075</v>
      </c>
      <c r="AW2520" s="2">
        <v>14.6283948444192</v>
      </c>
      <c r="AX2520" s="2">
        <v>15.9230528216219</v>
      </c>
      <c r="AY2520" s="2">
        <v>19.9854903962115</v>
      </c>
      <c r="AZ2520" s="2">
        <v>15.3118994154927</v>
      </c>
      <c r="BA2520" s="2">
        <v>18.6463818991468</v>
      </c>
      <c r="BB2520" s="2">
        <v>16.825828474523099</v>
      </c>
      <c r="BC2520" s="2">
        <v>19.3211275398528</v>
      </c>
      <c r="BD2520" s="2">
        <v>17.2877119287072</v>
      </c>
      <c r="BE2520" s="2">
        <v>17.575972519118299</v>
      </c>
      <c r="BF2520" s="2">
        <v>14.4027775932227</v>
      </c>
      <c r="BG2520" s="2">
        <v>17.317801748336102</v>
      </c>
      <c r="BH2520" s="2">
        <v>18.045621725653099</v>
      </c>
      <c r="BI2520" s="2">
        <v>19.005626001931301</v>
      </c>
      <c r="BJ2520" s="2">
        <v>17.4799415068765</v>
      </c>
      <c r="BK2520" s="2">
        <v>19.9002901859626</v>
      </c>
      <c r="BL2520" s="2">
        <v>14.3545600128747</v>
      </c>
      <c r="BM2520" s="2">
        <v>16.2467982977197</v>
      </c>
      <c r="BN2520" s="2">
        <v>20.416571996121199</v>
      </c>
      <c r="BO2520" s="2">
        <v>16.263674131163398</v>
      </c>
      <c r="BP2520" s="2">
        <v>14.156404675455301</v>
      </c>
      <c r="BQ2520" s="2">
        <v>16.145979497401601</v>
      </c>
      <c r="BR2520" s="2">
        <v>16.460614754243501</v>
      </c>
      <c r="BS2520" s="2">
        <v>18.0285631091859</v>
      </c>
      <c r="BT2520" s="2">
        <v>17.1267717145113</v>
      </c>
      <c r="BU2520" s="2">
        <v>19.0812761023594</v>
      </c>
      <c r="BV2520" s="2">
        <v>19.309884993831801</v>
      </c>
      <c r="BW2520" s="2">
        <v>16.071187683006102</v>
      </c>
      <c r="BX2520" s="2">
        <v>17.220839583051301</v>
      </c>
      <c r="BY2520" s="2">
        <v>21.6772734998484</v>
      </c>
      <c r="BZ2520" s="2">
        <v>15.143707257797701</v>
      </c>
      <c r="CA2520" s="2">
        <v>15.648685072566099</v>
      </c>
      <c r="CB2520" s="2">
        <v>18.308292585178599</v>
      </c>
      <c r="CC2520" s="2">
        <v>17.940836559605199</v>
      </c>
      <c r="CD2520" s="2">
        <v>19.3313154666128</v>
      </c>
      <c r="CE2520" s="2">
        <v>20.3666596233431</v>
      </c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</row>
    <row r="2521" spans="1:97">
      <c r="A2521" s="2" t="s">
        <v>21601</v>
      </c>
      <c r="B2521" s="2">
        <v>657.33100999999999</v>
      </c>
      <c r="C2521" s="2">
        <v>9.9689999999999994</v>
      </c>
      <c r="D2521" s="2" t="s">
        <v>146</v>
      </c>
      <c r="E2521" s="2" t="s">
        <v>21602</v>
      </c>
      <c r="F2521" s="2" t="s">
        <v>21603</v>
      </c>
      <c r="G2521" s="2">
        <v>24885</v>
      </c>
      <c r="H2521" s="3" t="str">
        <f>HYPERLINK("https://cloud.oebiotech.com/#/lm/network/24885", "https://cloud.oebiotech.com/#/lm/network/24885")</f>
        <v>https://cloud.oebiotech.com/#/lm/network/24885</v>
      </c>
      <c r="I2521" s="2"/>
      <c r="J2521" s="2"/>
      <c r="K2521" s="2" t="s">
        <v>21604</v>
      </c>
      <c r="L2521" s="2">
        <v>52928613</v>
      </c>
      <c r="M2521" s="2"/>
      <c r="N2521" s="2"/>
      <c r="O2521" s="2"/>
      <c r="P2521" s="2"/>
      <c r="Q2521" s="2"/>
      <c r="R2521" s="2"/>
      <c r="S2521" s="2"/>
      <c r="T2521" s="2" t="s">
        <v>21605</v>
      </c>
      <c r="U2521" s="2" t="s">
        <v>21606</v>
      </c>
      <c r="V2521" s="2" t="s">
        <v>95</v>
      </c>
      <c r="W2521" s="2" t="s">
        <v>202</v>
      </c>
      <c r="X2521" s="2" t="s">
        <v>12415</v>
      </c>
      <c r="Y2521" s="2" t="s">
        <v>98</v>
      </c>
      <c r="Z2521" s="2" t="s">
        <v>204</v>
      </c>
      <c r="AA2521" s="2" t="s">
        <v>12416</v>
      </c>
      <c r="AB2521" s="2" t="s">
        <v>5118</v>
      </c>
      <c r="AC2521" s="2">
        <v>36.08</v>
      </c>
      <c r="AD2521" s="2">
        <v>79.61</v>
      </c>
      <c r="AE2521" s="2">
        <v>48.93</v>
      </c>
      <c r="AF2521" s="2" t="s">
        <v>21607</v>
      </c>
      <c r="AG2521" s="2" t="s">
        <v>157</v>
      </c>
      <c r="AH2521" s="2" t="s">
        <v>21608</v>
      </c>
      <c r="AI2521" s="2">
        <v>-8.06</v>
      </c>
      <c r="AJ2521" s="2">
        <v>17.2422310729863</v>
      </c>
      <c r="AK2521" s="2">
        <v>17.888193918182399</v>
      </c>
      <c r="AL2521" s="2">
        <v>17.300773844992101</v>
      </c>
      <c r="AM2521" s="2">
        <v>17.509438070213601</v>
      </c>
      <c r="AN2521" s="2">
        <v>17.828331637557401</v>
      </c>
      <c r="AO2521" s="2">
        <v>17.728501833462399</v>
      </c>
      <c r="AP2521" s="2">
        <v>17.440737152379899</v>
      </c>
      <c r="AQ2521" s="2">
        <v>17.732621575703199</v>
      </c>
      <c r="AR2521" s="2">
        <v>15.284458320546801</v>
      </c>
      <c r="AS2521" s="2">
        <v>14.1876474489996</v>
      </c>
      <c r="AT2521" s="2">
        <v>16.985262595176899</v>
      </c>
      <c r="AU2521" s="2">
        <v>13.3205608317848</v>
      </c>
      <c r="AV2521" s="2">
        <v>19.247737927588801</v>
      </c>
      <c r="AW2521" s="2">
        <v>16.614452772152301</v>
      </c>
      <c r="AX2521" s="2">
        <v>17.305846757725501</v>
      </c>
      <c r="AY2521" s="2">
        <v>20.6123486287863</v>
      </c>
      <c r="AZ2521" s="2">
        <v>16.415214589264099</v>
      </c>
      <c r="BA2521" s="2">
        <v>17.668744504634599</v>
      </c>
      <c r="BB2521" s="2">
        <v>17.9997353150594</v>
      </c>
      <c r="BC2521" s="2">
        <v>17.667789864050601</v>
      </c>
      <c r="BD2521" s="2">
        <v>16.2438898712021</v>
      </c>
      <c r="BE2521" s="2">
        <v>16.2816772434809</v>
      </c>
      <c r="BF2521" s="2">
        <v>16.684782994675601</v>
      </c>
      <c r="BG2521" s="2">
        <v>16.630399527180799</v>
      </c>
      <c r="BH2521" s="2">
        <v>15.2608184856213</v>
      </c>
      <c r="BI2521" s="2">
        <v>15.7613037154659</v>
      </c>
      <c r="BJ2521" s="2">
        <v>17.6516842175634</v>
      </c>
      <c r="BK2521" s="2">
        <v>17.895421857710399</v>
      </c>
      <c r="BL2521" s="2">
        <v>15.6469377840454</v>
      </c>
      <c r="BM2521" s="2">
        <v>15.048846566315801</v>
      </c>
      <c r="BN2521" s="2">
        <v>16.898642597901802</v>
      </c>
      <c r="BO2521" s="2">
        <v>13.105345459632</v>
      </c>
      <c r="BP2521" s="2">
        <v>18.6206972625743</v>
      </c>
      <c r="BQ2521" s="2">
        <v>16.391740840075698</v>
      </c>
      <c r="BR2521" s="2">
        <v>17.4267754658878</v>
      </c>
      <c r="BS2521" s="2">
        <v>20.183439602660101</v>
      </c>
      <c r="BT2521" s="2">
        <v>15.2298620128458</v>
      </c>
      <c r="BU2521" s="2">
        <v>17.313670207949301</v>
      </c>
      <c r="BV2521" s="2">
        <v>17.5729138648759</v>
      </c>
      <c r="BW2521" s="2">
        <v>17.1615118988116</v>
      </c>
      <c r="BX2521" s="2">
        <v>16.240223010025701</v>
      </c>
      <c r="BY2521" s="2">
        <v>18.6041213244952</v>
      </c>
      <c r="BZ2521" s="2">
        <v>15.245756573537699</v>
      </c>
      <c r="CA2521" s="2">
        <v>16.9690581899129</v>
      </c>
      <c r="CB2521" s="2">
        <v>13.6917587833972</v>
      </c>
      <c r="CC2521" s="2">
        <v>16.774996511034999</v>
      </c>
      <c r="CD2521" s="2">
        <v>17.474904881358999</v>
      </c>
      <c r="CE2521" s="2">
        <v>18.239567391341801</v>
      </c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</row>
    <row r="2522" spans="1:97">
      <c r="A2522" s="2" t="s">
        <v>21609</v>
      </c>
      <c r="B2522" s="2">
        <v>411.03019999999998</v>
      </c>
      <c r="C2522" s="2">
        <v>0.94599999999999995</v>
      </c>
      <c r="D2522" s="2" t="s">
        <v>146</v>
      </c>
      <c r="E2522" s="2" t="s">
        <v>21610</v>
      </c>
      <c r="F2522" s="2" t="s">
        <v>21611</v>
      </c>
      <c r="G2522" s="2">
        <v>60590</v>
      </c>
      <c r="H2522" s="3" t="str">
        <f>HYPERLINK("https://cloud.oebiotech.com/#/lm/network/60590", "https://cloud.oebiotech.com/#/lm/network/60590")</f>
        <v>https://cloud.oebiotech.com/#/lm/network/60590</v>
      </c>
      <c r="I2522" s="2" t="s">
        <v>21612</v>
      </c>
      <c r="J2522" s="2">
        <v>91922</v>
      </c>
      <c r="K2522" s="2"/>
      <c r="L2522" s="2">
        <v>75060005</v>
      </c>
      <c r="M2522" s="2"/>
      <c r="N2522" s="2"/>
      <c r="O2522" s="2"/>
      <c r="P2522" s="2"/>
      <c r="Q2522" s="2"/>
      <c r="R2522" s="2"/>
      <c r="S2522" s="2"/>
      <c r="T2522" s="2" t="s">
        <v>21613</v>
      </c>
      <c r="U2522" s="2" t="s">
        <v>21614</v>
      </c>
      <c r="V2522" s="2" t="s">
        <v>338</v>
      </c>
      <c r="W2522" s="2" t="s">
        <v>339</v>
      </c>
      <c r="X2522" s="2" t="s">
        <v>663</v>
      </c>
      <c r="Y2522" s="2" t="s">
        <v>341</v>
      </c>
      <c r="Z2522" s="2" t="s">
        <v>341</v>
      </c>
      <c r="AA2522" s="2" t="s">
        <v>664</v>
      </c>
      <c r="AB2522" s="2" t="s">
        <v>5118</v>
      </c>
      <c r="AC2522" s="2">
        <v>36.07</v>
      </c>
      <c r="AD2522" s="2">
        <v>70.69</v>
      </c>
      <c r="AE2522" s="2">
        <v>61.58</v>
      </c>
      <c r="AF2522" s="2" t="s">
        <v>21615</v>
      </c>
      <c r="AG2522" s="2" t="s">
        <v>4062</v>
      </c>
      <c r="AH2522" s="2" t="s">
        <v>21616</v>
      </c>
      <c r="AI2522" s="2">
        <v>8.27</v>
      </c>
      <c r="AJ2522" s="2">
        <v>23.537564075601399</v>
      </c>
      <c r="AK2522" s="2">
        <v>23.000954691672099</v>
      </c>
      <c r="AL2522" s="2">
        <v>23.033873282772699</v>
      </c>
      <c r="AM2522" s="2">
        <v>23.193187602897702</v>
      </c>
      <c r="AN2522" s="2">
        <v>22.912521715914799</v>
      </c>
      <c r="AO2522" s="2">
        <v>23.452055695550801</v>
      </c>
      <c r="AP2522" s="2">
        <v>23.1035256769051</v>
      </c>
      <c r="AQ2522" s="2">
        <v>23.218080203873001</v>
      </c>
      <c r="AR2522" s="2">
        <v>23.294378431146502</v>
      </c>
      <c r="AS2522" s="2">
        <v>23.309271331140099</v>
      </c>
      <c r="AT2522" s="2">
        <v>23.3759572081137</v>
      </c>
      <c r="AU2522" s="2">
        <v>23.697937687236099</v>
      </c>
      <c r="AV2522" s="2">
        <v>23.242610361326498</v>
      </c>
      <c r="AW2522" s="2">
        <v>23.083277153225598</v>
      </c>
      <c r="AX2522" s="2">
        <v>23.5699377266596</v>
      </c>
      <c r="AY2522" s="2">
        <v>22.989912387533799</v>
      </c>
      <c r="AZ2522" s="2">
        <v>23.662347175971401</v>
      </c>
      <c r="BA2522" s="2">
        <v>23.076000602678601</v>
      </c>
      <c r="BB2522" s="2">
        <v>23.3555238394678</v>
      </c>
      <c r="BC2522" s="2">
        <v>22.041280702264</v>
      </c>
      <c r="BD2522" s="2">
        <v>23.576233443437999</v>
      </c>
      <c r="BE2522" s="2">
        <v>22.541846635772998</v>
      </c>
      <c r="BF2522" s="2">
        <v>23.684112452612101</v>
      </c>
      <c r="BG2522" s="2">
        <v>23.395414810941102</v>
      </c>
      <c r="BH2522" s="2">
        <v>23.494106383279401</v>
      </c>
      <c r="BI2522" s="2">
        <v>23.000067900592299</v>
      </c>
      <c r="BJ2522" s="2">
        <v>23.026655660970501</v>
      </c>
      <c r="BK2522" s="2">
        <v>23.705077331942299</v>
      </c>
      <c r="BL2522" s="2">
        <v>23.473708310770199</v>
      </c>
      <c r="BM2522" s="2">
        <v>23.933878373007801</v>
      </c>
      <c r="BN2522" s="2">
        <v>23.423480686703702</v>
      </c>
      <c r="BO2522" s="2">
        <v>23.383229810922501</v>
      </c>
      <c r="BP2522" s="2">
        <v>22.644786768660101</v>
      </c>
      <c r="BQ2522" s="2">
        <v>23.619199305277501</v>
      </c>
      <c r="BR2522" s="2">
        <v>23.514373781800401</v>
      </c>
      <c r="BS2522" s="2">
        <v>23.454660423772001</v>
      </c>
      <c r="BT2522" s="2">
        <v>23.289234006130801</v>
      </c>
      <c r="BU2522" s="2">
        <v>22.432919677462799</v>
      </c>
      <c r="BV2522" s="2">
        <v>22.998490676978001</v>
      </c>
      <c r="BW2522" s="2">
        <v>22.700243481586998</v>
      </c>
      <c r="BX2522" s="2">
        <v>23.0584942564778</v>
      </c>
      <c r="BY2522" s="2">
        <v>22.5658461759472</v>
      </c>
      <c r="BZ2522" s="2">
        <v>23.339712332739602</v>
      </c>
      <c r="CA2522" s="2">
        <v>22.904957540644698</v>
      </c>
      <c r="CB2522" s="2">
        <v>23.050929235479298</v>
      </c>
      <c r="CC2522" s="2">
        <v>22.872482271382999</v>
      </c>
      <c r="CD2522" s="2">
        <v>22.208465209519201</v>
      </c>
      <c r="CE2522" s="2">
        <v>23.653614594742098</v>
      </c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</row>
    <row r="2523" spans="1:97">
      <c r="A2523" s="2" t="s">
        <v>21617</v>
      </c>
      <c r="B2523" s="2">
        <v>132.99463</v>
      </c>
      <c r="C2523" s="2">
        <v>0.92400000000000004</v>
      </c>
      <c r="D2523" s="2" t="s">
        <v>146</v>
      </c>
      <c r="E2523" s="2" t="s">
        <v>21618</v>
      </c>
      <c r="F2523" s="2" t="s">
        <v>21619</v>
      </c>
      <c r="G2523" s="2">
        <v>212029</v>
      </c>
      <c r="H2523" s="3" t="str">
        <f>HYPERLINK("https://cloud.oebiotech.com/#/lm/network/212029", "https://cloud.oebiotech.com/#/lm/network/212029")</f>
        <v>https://cloud.oebiotech.com/#/lm/network/212029</v>
      </c>
      <c r="I2523" s="2" t="s">
        <v>21620</v>
      </c>
      <c r="J2523" s="2"/>
      <c r="K2523" s="2"/>
      <c r="L2523" s="2">
        <v>5357484</v>
      </c>
      <c r="M2523" s="2"/>
      <c r="N2523" s="2"/>
      <c r="O2523" s="2"/>
      <c r="P2523" s="2"/>
      <c r="Q2523" s="2"/>
      <c r="R2523" s="2"/>
      <c r="S2523" s="2"/>
      <c r="T2523" s="2" t="s">
        <v>21621</v>
      </c>
      <c r="U2523" s="2" t="s">
        <v>21622</v>
      </c>
      <c r="V2523" s="2" t="s">
        <v>553</v>
      </c>
      <c r="W2523" s="2" t="s">
        <v>5641</v>
      </c>
      <c r="X2523" s="2" t="s">
        <v>375</v>
      </c>
      <c r="Y2523" s="2" t="s">
        <v>556</v>
      </c>
      <c r="Z2523" s="2" t="s">
        <v>5642</v>
      </c>
      <c r="AA2523" s="2"/>
      <c r="AB2523" s="2" t="s">
        <v>8443</v>
      </c>
      <c r="AC2523" s="2">
        <v>36.06</v>
      </c>
      <c r="AD2523" s="2">
        <v>79.900000000000006</v>
      </c>
      <c r="AE2523" s="2">
        <v>0</v>
      </c>
      <c r="AF2523" s="2" t="s">
        <v>5614</v>
      </c>
      <c r="AG2523" s="2" t="s">
        <v>4062</v>
      </c>
      <c r="AH2523" s="2" t="s">
        <v>21623</v>
      </c>
      <c r="AI2523" s="2">
        <v>-7.52</v>
      </c>
      <c r="AJ2523" s="2">
        <v>17.463727030486201</v>
      </c>
      <c r="AK2523" s="2">
        <v>17.284861504283</v>
      </c>
      <c r="AL2523" s="2">
        <v>17.6381197382747</v>
      </c>
      <c r="AM2523" s="2">
        <v>17.8939556607688</v>
      </c>
      <c r="AN2523" s="2">
        <v>17.439264379942198</v>
      </c>
      <c r="AO2523" s="2">
        <v>16.766990676199001</v>
      </c>
      <c r="AP2523" s="2">
        <v>17.802718800774901</v>
      </c>
      <c r="AQ2523" s="2">
        <v>17.249559132327999</v>
      </c>
      <c r="AR2523" s="2">
        <v>17.888618524765501</v>
      </c>
      <c r="AS2523" s="2">
        <v>19.023993532110602</v>
      </c>
      <c r="AT2523" s="2">
        <v>17.832723843044199</v>
      </c>
      <c r="AU2523" s="2">
        <v>18.8081662475815</v>
      </c>
      <c r="AV2523" s="2">
        <v>17.504286830542402</v>
      </c>
      <c r="AW2523" s="2">
        <v>17.496638870333602</v>
      </c>
      <c r="AX2523" s="2">
        <v>17.076987783448899</v>
      </c>
      <c r="AY2523" s="2">
        <v>17.883096685757099</v>
      </c>
      <c r="AZ2523" s="2">
        <v>17.788638815085601</v>
      </c>
      <c r="BA2523" s="2">
        <v>19.140181339746199</v>
      </c>
      <c r="BB2523" s="2">
        <v>17.235217989020899</v>
      </c>
      <c r="BC2523" s="2">
        <v>18.022012026487701</v>
      </c>
      <c r="BD2523" s="2">
        <v>17.304098514128899</v>
      </c>
      <c r="BE2523" s="2">
        <v>17.5079341282432</v>
      </c>
      <c r="BF2523" s="2">
        <v>16.463764142646401</v>
      </c>
      <c r="BG2523" s="2">
        <v>17.444457249431402</v>
      </c>
      <c r="BH2523" s="2">
        <v>18.107229031239399</v>
      </c>
      <c r="BI2523" s="2">
        <v>16.947385129169099</v>
      </c>
      <c r="BJ2523" s="2">
        <v>14.6747279921385</v>
      </c>
      <c r="BK2523" s="2">
        <v>17.796307477539901</v>
      </c>
      <c r="BL2523" s="2">
        <v>15.7248439533465</v>
      </c>
      <c r="BM2523" s="2">
        <v>18.9500224024329</v>
      </c>
      <c r="BN2523" s="2">
        <v>18.2889247707522</v>
      </c>
      <c r="BO2523" s="2">
        <v>18.375568089540302</v>
      </c>
      <c r="BP2523" s="2">
        <v>16.444413813366602</v>
      </c>
      <c r="BQ2523" s="2">
        <v>17.8591515924216</v>
      </c>
      <c r="BR2523" s="2">
        <v>17.523784909699302</v>
      </c>
      <c r="BS2523" s="2">
        <v>17.4889087398439</v>
      </c>
      <c r="BT2523" s="2">
        <v>18.3198141486513</v>
      </c>
      <c r="BU2523" s="2">
        <v>16.0829436190389</v>
      </c>
      <c r="BV2523" s="2">
        <v>17.827420675248401</v>
      </c>
      <c r="BW2523" s="2">
        <v>18.6738733461947</v>
      </c>
      <c r="BX2523" s="2">
        <v>18.9168202225814</v>
      </c>
      <c r="BY2523" s="2">
        <v>16.858506679483799</v>
      </c>
      <c r="BZ2523" s="2">
        <v>18.160093883539801</v>
      </c>
      <c r="CA2523" s="2">
        <v>16.279781404950299</v>
      </c>
      <c r="CB2523" s="2">
        <v>18.454817323692101</v>
      </c>
      <c r="CC2523" s="2">
        <v>17.539237282179499</v>
      </c>
      <c r="CD2523" s="2">
        <v>16.803961945451199</v>
      </c>
      <c r="CE2523" s="2">
        <v>17.317230640115501</v>
      </c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</row>
    <row r="2524" spans="1:97">
      <c r="A2524" s="2" t="s">
        <v>21624</v>
      </c>
      <c r="B2524" s="2">
        <v>564.28823999999997</v>
      </c>
      <c r="C2524" s="2">
        <v>10.379</v>
      </c>
      <c r="D2524" s="2" t="s">
        <v>146</v>
      </c>
      <c r="E2524" s="2" t="s">
        <v>21625</v>
      </c>
      <c r="F2524" s="2" t="s">
        <v>21626</v>
      </c>
      <c r="G2524" s="2">
        <v>209491</v>
      </c>
      <c r="H2524" s="3" t="str">
        <f>HYPERLINK("https://cloud.oebiotech.com/#/lm/network/209491", "https://cloud.oebiotech.com/#/lm/network/209491")</f>
        <v>https://cloud.oebiotech.com/#/lm/network/209491</v>
      </c>
      <c r="I2524" s="2" t="s">
        <v>21627</v>
      </c>
      <c r="J2524" s="2"/>
      <c r="K2524" s="2"/>
      <c r="L2524" s="2">
        <v>75213036</v>
      </c>
      <c r="M2524" s="2"/>
      <c r="N2524" s="2"/>
      <c r="O2524" s="2"/>
      <c r="P2524" s="2"/>
      <c r="Q2524" s="2"/>
      <c r="R2524" s="2"/>
      <c r="S2524" s="2"/>
      <c r="T2524" s="2" t="s">
        <v>21628</v>
      </c>
      <c r="U2524" s="2" t="s">
        <v>21629</v>
      </c>
      <c r="V2524" s="2" t="s">
        <v>115</v>
      </c>
      <c r="W2524" s="2" t="s">
        <v>116</v>
      </c>
      <c r="X2524" s="2" t="s">
        <v>117</v>
      </c>
      <c r="Y2524" s="2" t="s">
        <v>118</v>
      </c>
      <c r="Z2524" s="2" t="s">
        <v>119</v>
      </c>
      <c r="AA2524" s="2" t="s">
        <v>120</v>
      </c>
      <c r="AB2524" s="2" t="s">
        <v>8443</v>
      </c>
      <c r="AC2524" s="2">
        <v>36.06</v>
      </c>
      <c r="AD2524" s="2">
        <v>87.72</v>
      </c>
      <c r="AE2524" s="2">
        <v>0</v>
      </c>
      <c r="AF2524" s="2" t="s">
        <v>5614</v>
      </c>
      <c r="AG2524" s="2" t="s">
        <v>993</v>
      </c>
      <c r="AH2524" s="2" t="s">
        <v>21630</v>
      </c>
      <c r="AI2524" s="2">
        <v>2.48</v>
      </c>
      <c r="AJ2524" s="2">
        <v>20.664254377232702</v>
      </c>
      <c r="AK2524" s="2">
        <v>20.660568474470399</v>
      </c>
      <c r="AL2524" s="2">
        <v>20.191735271196901</v>
      </c>
      <c r="AM2524" s="2">
        <v>20.1705096056487</v>
      </c>
      <c r="AN2524" s="2">
        <v>20.667772447404001</v>
      </c>
      <c r="AO2524" s="2">
        <v>20.765820120310899</v>
      </c>
      <c r="AP2524" s="2">
        <v>20.8695756504023</v>
      </c>
      <c r="AQ2524" s="2">
        <v>20.5241813960887</v>
      </c>
      <c r="AR2524" s="2">
        <v>19.995528435353801</v>
      </c>
      <c r="AS2524" s="2">
        <v>19.247032178584799</v>
      </c>
      <c r="AT2524" s="2">
        <v>19.834913059462199</v>
      </c>
      <c r="AU2524" s="2">
        <v>20.611483989085801</v>
      </c>
      <c r="AV2524" s="2">
        <v>20.369880191787502</v>
      </c>
      <c r="AW2524" s="2">
        <v>20.4113283803995</v>
      </c>
      <c r="AX2524" s="2">
        <v>19.759249218627399</v>
      </c>
      <c r="AY2524" s="2">
        <v>20.460933377246501</v>
      </c>
      <c r="AZ2524" s="2">
        <v>20.135455953163898</v>
      </c>
      <c r="BA2524" s="2">
        <v>19.406708522731801</v>
      </c>
      <c r="BB2524" s="2">
        <v>20.0458335558111</v>
      </c>
      <c r="BC2524" s="2">
        <v>21.107882660233798</v>
      </c>
      <c r="BD2524" s="2">
        <v>20.371374796533001</v>
      </c>
      <c r="BE2524" s="2">
        <v>20.597459420794902</v>
      </c>
      <c r="BF2524" s="2">
        <v>19.619322265835201</v>
      </c>
      <c r="BG2524" s="2">
        <v>20.320983119167298</v>
      </c>
      <c r="BH2524" s="2">
        <v>19.985579310857599</v>
      </c>
      <c r="BI2524" s="2">
        <v>18.4001937981635</v>
      </c>
      <c r="BJ2524" s="2">
        <v>19.4931434658162</v>
      </c>
      <c r="BK2524" s="2">
        <v>18.2107928948531</v>
      </c>
      <c r="BL2524" s="2">
        <v>20.560819879897601</v>
      </c>
      <c r="BM2524" s="2">
        <v>21.056838999203102</v>
      </c>
      <c r="BN2524" s="2">
        <v>20.436861337334399</v>
      </c>
      <c r="BO2524" s="2">
        <v>19.4740795205586</v>
      </c>
      <c r="BP2524" s="2">
        <v>18.666860798232499</v>
      </c>
      <c r="BQ2524" s="2">
        <v>20.348375588164899</v>
      </c>
      <c r="BR2524" s="2">
        <v>20.2472536649347</v>
      </c>
      <c r="BS2524" s="2">
        <v>20.245377931648498</v>
      </c>
      <c r="BT2524" s="2">
        <v>18.816288011496901</v>
      </c>
      <c r="BU2524" s="2">
        <v>19.160075954970399</v>
      </c>
      <c r="BV2524" s="2">
        <v>20.1151603704776</v>
      </c>
      <c r="BW2524" s="2">
        <v>19.115005029257901</v>
      </c>
      <c r="BX2524" s="2">
        <v>20.751510945081701</v>
      </c>
      <c r="BY2524" s="2">
        <v>20.9342559264764</v>
      </c>
      <c r="BZ2524" s="2">
        <v>20.415076655757399</v>
      </c>
      <c r="CA2524" s="2">
        <v>20.600413770673001</v>
      </c>
      <c r="CB2524" s="2">
        <v>20.788152271654202</v>
      </c>
      <c r="CC2524" s="2">
        <v>20.434119270912301</v>
      </c>
      <c r="CD2524" s="2">
        <v>21.062804757528401</v>
      </c>
      <c r="CE2524" s="2">
        <v>19.4127174462479</v>
      </c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</row>
    <row r="2525" spans="1:97">
      <c r="A2525" s="2" t="s">
        <v>21631</v>
      </c>
      <c r="B2525" s="2">
        <v>464.30108000000001</v>
      </c>
      <c r="C2525" s="2">
        <v>6.06</v>
      </c>
      <c r="D2525" s="2" t="s">
        <v>146</v>
      </c>
      <c r="E2525" s="2" t="s">
        <v>21632</v>
      </c>
      <c r="F2525" s="2" t="s">
        <v>21633</v>
      </c>
      <c r="G2525" s="2">
        <v>198673</v>
      </c>
      <c r="H2525" s="3" t="str">
        <f>HYPERLINK("https://cloud.oebiotech.com/#/lm/network/198673", "https://cloud.oebiotech.com/#/lm/network/198673")</f>
        <v>https://cloud.oebiotech.com/#/lm/network/198673</v>
      </c>
      <c r="I2525" s="2" t="s">
        <v>21634</v>
      </c>
      <c r="J2525" s="2"/>
      <c r="K2525" s="2"/>
      <c r="L2525" s="2">
        <v>121596236</v>
      </c>
      <c r="M2525" s="2"/>
      <c r="N2525" s="2"/>
      <c r="O2525" s="2"/>
      <c r="P2525" s="2">
        <v>133177</v>
      </c>
      <c r="Q2525" s="2"/>
      <c r="R2525" s="2"/>
      <c r="S2525" s="2"/>
      <c r="T2525" s="2" t="s">
        <v>21635</v>
      </c>
      <c r="U2525" s="2" t="s">
        <v>21636</v>
      </c>
      <c r="V2525" s="2" t="s">
        <v>95</v>
      </c>
      <c r="W2525" s="2" t="s">
        <v>152</v>
      </c>
      <c r="X2525" s="2" t="s">
        <v>278</v>
      </c>
      <c r="Y2525" s="2" t="s">
        <v>98</v>
      </c>
      <c r="Z2525" s="2" t="s">
        <v>154</v>
      </c>
      <c r="AA2525" s="2" t="s">
        <v>279</v>
      </c>
      <c r="AB2525" s="2" t="s">
        <v>8443</v>
      </c>
      <c r="AC2525" s="2">
        <v>36.06</v>
      </c>
      <c r="AD2525" s="2">
        <v>82.87</v>
      </c>
      <c r="AE2525" s="2">
        <v>0</v>
      </c>
      <c r="AF2525" s="2" t="s">
        <v>21637</v>
      </c>
      <c r="AG2525" s="2" t="s">
        <v>11755</v>
      </c>
      <c r="AH2525" s="2" t="s">
        <v>21638</v>
      </c>
      <c r="AI2525" s="2">
        <v>1.51</v>
      </c>
      <c r="AJ2525" s="2">
        <v>18.435107737845801</v>
      </c>
      <c r="AK2525" s="2">
        <v>18.082794902896001</v>
      </c>
      <c r="AL2525" s="2">
        <v>16.887723262175498</v>
      </c>
      <c r="AM2525" s="2">
        <v>17.859962210275899</v>
      </c>
      <c r="AN2525" s="2">
        <v>17.8616996546174</v>
      </c>
      <c r="AO2525" s="2">
        <v>18.114853686331902</v>
      </c>
      <c r="AP2525" s="2">
        <v>18.257059342442901</v>
      </c>
      <c r="AQ2525" s="2">
        <v>18.213472167440401</v>
      </c>
      <c r="AR2525" s="2">
        <v>15.94354983375</v>
      </c>
      <c r="AS2525" s="2">
        <v>14.686827131951</v>
      </c>
      <c r="AT2525" s="2">
        <v>15.469155919569101</v>
      </c>
      <c r="AU2525" s="2">
        <v>17.858014577136601</v>
      </c>
      <c r="AV2525" s="2">
        <v>16.642862304006002</v>
      </c>
      <c r="AW2525" s="2">
        <v>18.071817262858701</v>
      </c>
      <c r="AX2525" s="2">
        <v>17.430205629091802</v>
      </c>
      <c r="AY2525" s="2">
        <v>18.260705946517501</v>
      </c>
      <c r="AZ2525" s="2">
        <v>15.506900419833901</v>
      </c>
      <c r="BA2525" s="2">
        <v>14.0487184495103</v>
      </c>
      <c r="BB2525" s="2">
        <v>20.391069603530699</v>
      </c>
      <c r="BC2525" s="2">
        <v>17.608230633412401</v>
      </c>
      <c r="BD2525" s="2">
        <v>16.987901157907199</v>
      </c>
      <c r="BE2525" s="2">
        <v>19.2217529444472</v>
      </c>
      <c r="BF2525" s="2">
        <v>15.4669307209364</v>
      </c>
      <c r="BG2525" s="2">
        <v>16.218229086155102</v>
      </c>
      <c r="BH2525" s="2">
        <v>15.436100531344801</v>
      </c>
      <c r="BI2525" s="2">
        <v>13.5690604832744</v>
      </c>
      <c r="BJ2525" s="2">
        <v>17.0740344987756</v>
      </c>
      <c r="BK2525" s="2">
        <v>14.352457299584801</v>
      </c>
      <c r="BL2525" s="2">
        <v>15.5254510706242</v>
      </c>
      <c r="BM2525" s="2">
        <v>17.9313967629692</v>
      </c>
      <c r="BN2525" s="2">
        <v>15.323078340498199</v>
      </c>
      <c r="BO2525" s="2">
        <v>14.535809969119899</v>
      </c>
      <c r="BP2525" s="2">
        <v>17.1081699467127</v>
      </c>
      <c r="BQ2525" s="2">
        <v>17.2736293461261</v>
      </c>
      <c r="BR2525" s="2">
        <v>17.290394289852902</v>
      </c>
      <c r="BS2525" s="2">
        <v>18.233491935601599</v>
      </c>
      <c r="BT2525" s="2">
        <v>17.495670182232701</v>
      </c>
      <c r="BU2525" s="2">
        <v>16.2669030889423</v>
      </c>
      <c r="BV2525" s="2">
        <v>18.936662263574402</v>
      </c>
      <c r="BW2525" s="2">
        <v>17.177765025506702</v>
      </c>
      <c r="BX2525" s="2">
        <v>16.196144104184899</v>
      </c>
      <c r="BY2525" s="2">
        <v>17.3215159380707</v>
      </c>
      <c r="BZ2525" s="2">
        <v>19.3157248552445</v>
      </c>
      <c r="CA2525" s="2">
        <v>17.960463507508202</v>
      </c>
      <c r="CB2525" s="2">
        <v>16.159026942872199</v>
      </c>
      <c r="CC2525" s="2">
        <v>14.7397389524071</v>
      </c>
      <c r="CD2525" s="2">
        <v>17.448759668984501</v>
      </c>
      <c r="CE2525" s="2">
        <v>16.175944982311901</v>
      </c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</row>
    <row r="2526" spans="1:97">
      <c r="A2526" s="2" t="s">
        <v>21639</v>
      </c>
      <c r="B2526" s="2">
        <v>451.28561999999999</v>
      </c>
      <c r="C2526" s="2">
        <v>8.7940000000000005</v>
      </c>
      <c r="D2526" s="2" t="s">
        <v>146</v>
      </c>
      <c r="E2526" s="2" t="s">
        <v>21640</v>
      </c>
      <c r="F2526" s="2" t="s">
        <v>21641</v>
      </c>
      <c r="G2526" s="2">
        <v>44168</v>
      </c>
      <c r="H2526" s="3" t="str">
        <f>HYPERLINK("https://cloud.oebiotech.com/#/lm/network/44168", "https://cloud.oebiotech.com/#/lm/network/44168")</f>
        <v>https://cloud.oebiotech.com/#/lm/network/44168</v>
      </c>
      <c r="I2526" s="2"/>
      <c r="J2526" s="2"/>
      <c r="K2526" s="2" t="s">
        <v>21642</v>
      </c>
      <c r="L2526" s="2">
        <v>24179452</v>
      </c>
      <c r="M2526" s="2"/>
      <c r="N2526" s="2"/>
      <c r="O2526" s="2"/>
      <c r="P2526" s="2"/>
      <c r="Q2526" s="2"/>
      <c r="R2526" s="2"/>
      <c r="S2526" s="2"/>
      <c r="T2526" s="2" t="s">
        <v>21643</v>
      </c>
      <c r="U2526" s="2" t="s">
        <v>21644</v>
      </c>
      <c r="V2526" s="2" t="s">
        <v>95</v>
      </c>
      <c r="W2526" s="2" t="s">
        <v>152</v>
      </c>
      <c r="X2526" s="2" t="s">
        <v>7803</v>
      </c>
      <c r="Y2526" s="2" t="s">
        <v>98</v>
      </c>
      <c r="Z2526" s="2" t="s">
        <v>154</v>
      </c>
      <c r="AA2526" s="2" t="s">
        <v>7804</v>
      </c>
      <c r="AB2526" s="2" t="s">
        <v>8443</v>
      </c>
      <c r="AC2526" s="2">
        <v>36.06</v>
      </c>
      <c r="AD2526" s="2">
        <v>80.3</v>
      </c>
      <c r="AE2526" s="2">
        <v>0</v>
      </c>
      <c r="AF2526" s="2" t="s">
        <v>5614</v>
      </c>
      <c r="AG2526" s="2" t="s">
        <v>157</v>
      </c>
      <c r="AH2526" s="2" t="s">
        <v>21645</v>
      </c>
      <c r="AI2526" s="2">
        <v>-0.44</v>
      </c>
      <c r="AJ2526" s="2">
        <v>17.4225331946854</v>
      </c>
      <c r="AK2526" s="2">
        <v>17.139341203861001</v>
      </c>
      <c r="AL2526" s="2">
        <v>16.9703255639422</v>
      </c>
      <c r="AM2526" s="2">
        <v>17.760761523092501</v>
      </c>
      <c r="AN2526" s="2">
        <v>17.673898528622399</v>
      </c>
      <c r="AO2526" s="2">
        <v>17.5752711096662</v>
      </c>
      <c r="AP2526" s="2">
        <v>17.4451351516832</v>
      </c>
      <c r="AQ2526" s="2">
        <v>17.284399396768102</v>
      </c>
      <c r="AR2526" s="2">
        <v>17.0730841264579</v>
      </c>
      <c r="AS2526" s="2">
        <v>17.210755422454799</v>
      </c>
      <c r="AT2526" s="2">
        <v>17.288760657569899</v>
      </c>
      <c r="AU2526" s="2">
        <v>17.536482560407698</v>
      </c>
      <c r="AV2526" s="2">
        <v>17.233278883686101</v>
      </c>
      <c r="AW2526" s="2">
        <v>17.535583019314899</v>
      </c>
      <c r="AX2526" s="2">
        <v>17.495353362117299</v>
      </c>
      <c r="AY2526" s="2">
        <v>17.5682148112821</v>
      </c>
      <c r="AZ2526" s="2">
        <v>17.5458015975493</v>
      </c>
      <c r="BA2526" s="2">
        <v>17.457201060068702</v>
      </c>
      <c r="BB2526" s="2">
        <v>17.686844157684401</v>
      </c>
      <c r="BC2526" s="2">
        <v>17.494209013769002</v>
      </c>
      <c r="BD2526" s="2">
        <v>17.565230778396199</v>
      </c>
      <c r="BE2526" s="2">
        <v>17.815027419338598</v>
      </c>
      <c r="BF2526" s="2">
        <v>17.950990783728599</v>
      </c>
      <c r="BG2526" s="2">
        <v>17.846470238422199</v>
      </c>
      <c r="BH2526" s="2">
        <v>17.217962145712701</v>
      </c>
      <c r="BI2526" s="2">
        <v>17.0826729878729</v>
      </c>
      <c r="BJ2526" s="2">
        <v>17.491623665155402</v>
      </c>
      <c r="BK2526" s="2">
        <v>17.5782309300549</v>
      </c>
      <c r="BL2526" s="2">
        <v>17.1870651450878</v>
      </c>
      <c r="BM2526" s="2">
        <v>17.0668684911534</v>
      </c>
      <c r="BN2526" s="2">
        <v>17.0145370586742</v>
      </c>
      <c r="BO2526" s="2">
        <v>17.642582703103201</v>
      </c>
      <c r="BP2526" s="2">
        <v>17.2360265283255</v>
      </c>
      <c r="BQ2526" s="2">
        <v>17.311457597137199</v>
      </c>
      <c r="BR2526" s="2">
        <v>17.213710848963899</v>
      </c>
      <c r="BS2526" s="2">
        <v>17.475529999409702</v>
      </c>
      <c r="BT2526" s="2">
        <v>17.3088621326885</v>
      </c>
      <c r="BU2526" s="2">
        <v>16.815002957034999</v>
      </c>
      <c r="BV2526" s="2">
        <v>17.536377225434201</v>
      </c>
      <c r="BW2526" s="2">
        <v>17.192577067519899</v>
      </c>
      <c r="BX2526" s="2">
        <v>17.308104790068199</v>
      </c>
      <c r="BY2526" s="2">
        <v>17.275367864617898</v>
      </c>
      <c r="BZ2526" s="2">
        <v>17.476079752715101</v>
      </c>
      <c r="CA2526" s="2">
        <v>17.1700021943632</v>
      </c>
      <c r="CB2526" s="2">
        <v>17.300168690085499</v>
      </c>
      <c r="CC2526" s="2">
        <v>17.397491393560799</v>
      </c>
      <c r="CD2526" s="2">
        <v>17.427701753609099</v>
      </c>
      <c r="CE2526" s="2">
        <v>17.190678609548499</v>
      </c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</row>
    <row r="2527" spans="1:97">
      <c r="A2527" s="2" t="s">
        <v>21646</v>
      </c>
      <c r="B2527" s="2">
        <v>335.15098</v>
      </c>
      <c r="C2527" s="2">
        <v>12.214</v>
      </c>
      <c r="D2527" s="2" t="s">
        <v>84</v>
      </c>
      <c r="E2527" s="2" t="s">
        <v>21647</v>
      </c>
      <c r="F2527" s="2" t="s">
        <v>21648</v>
      </c>
      <c r="G2527" s="2">
        <v>207114</v>
      </c>
      <c r="H2527" s="3" t="str">
        <f>HYPERLINK("https://cloud.oebiotech.com/#/lm/network/207114", "https://cloud.oebiotech.com/#/lm/network/207114")</f>
        <v>https://cloud.oebiotech.com/#/lm/network/207114</v>
      </c>
      <c r="I2527" s="2" t="s">
        <v>21649</v>
      </c>
      <c r="J2527" s="2"/>
      <c r="K2527" s="2"/>
      <c r="L2527" s="2">
        <v>57519545</v>
      </c>
      <c r="M2527" s="2"/>
      <c r="N2527" s="2"/>
      <c r="O2527" s="2"/>
      <c r="P2527" s="2">
        <v>91434</v>
      </c>
      <c r="Q2527" s="2"/>
      <c r="R2527" s="2"/>
      <c r="S2527" s="2"/>
      <c r="T2527" s="2" t="s">
        <v>21650</v>
      </c>
      <c r="U2527" s="2" t="s">
        <v>21651</v>
      </c>
      <c r="V2527" s="2" t="s">
        <v>385</v>
      </c>
      <c r="W2527" s="2" t="s">
        <v>8683</v>
      </c>
      <c r="X2527" s="2" t="s">
        <v>375</v>
      </c>
      <c r="Y2527" s="2" t="s">
        <v>388</v>
      </c>
      <c r="Z2527" s="2" t="s">
        <v>8684</v>
      </c>
      <c r="AA2527" s="2"/>
      <c r="AB2527" s="2" t="s">
        <v>8443</v>
      </c>
      <c r="AC2527" s="2">
        <v>36.049999999999997</v>
      </c>
      <c r="AD2527" s="2">
        <v>87.22</v>
      </c>
      <c r="AE2527" s="2">
        <v>0</v>
      </c>
      <c r="AF2527" s="2" t="s">
        <v>5614</v>
      </c>
      <c r="AG2527" s="2" t="s">
        <v>103</v>
      </c>
      <c r="AH2527" s="2" t="s">
        <v>21652</v>
      </c>
      <c r="AI2527" s="2">
        <v>-2.39</v>
      </c>
      <c r="AJ2527" s="2">
        <v>19.157257366186499</v>
      </c>
      <c r="AK2527" s="2">
        <v>18.951818226760601</v>
      </c>
      <c r="AL2527" s="2">
        <v>18.390730384007998</v>
      </c>
      <c r="AM2527" s="2">
        <v>18.462119237535401</v>
      </c>
      <c r="AN2527" s="2">
        <v>18.921404437206402</v>
      </c>
      <c r="AO2527" s="2">
        <v>18.8274779257445</v>
      </c>
      <c r="AP2527" s="2">
        <v>19.011475808828902</v>
      </c>
      <c r="AQ2527" s="2">
        <v>18.473419744011199</v>
      </c>
      <c r="AR2527" s="2">
        <v>9.6233145402724691</v>
      </c>
      <c r="AS2527" s="2">
        <v>18.176717262121901</v>
      </c>
      <c r="AT2527" s="2">
        <v>18.914003033675201</v>
      </c>
      <c r="AU2527" s="2">
        <v>18.857382187167801</v>
      </c>
      <c r="AV2527" s="2">
        <v>17.088861514238399</v>
      </c>
      <c r="AW2527" s="2">
        <v>18.873978607561899</v>
      </c>
      <c r="AX2527" s="2">
        <v>18.793906865589499</v>
      </c>
      <c r="AY2527" s="2">
        <v>17.959115308895601</v>
      </c>
      <c r="AZ2527" s="2">
        <v>9.6233145402724691</v>
      </c>
      <c r="BA2527" s="2">
        <v>19.041370047914601</v>
      </c>
      <c r="BB2527" s="2">
        <v>17.574964352816799</v>
      </c>
      <c r="BC2527" s="2">
        <v>19.614588107272201</v>
      </c>
      <c r="BD2527" s="2">
        <v>9.6233145402724691</v>
      </c>
      <c r="BE2527" s="2">
        <v>9.6233145402724691</v>
      </c>
      <c r="BF2527" s="2">
        <v>16.001633377995098</v>
      </c>
      <c r="BG2527" s="2">
        <v>19.173862218574499</v>
      </c>
      <c r="BH2527" s="2">
        <v>15.6269726449201</v>
      </c>
      <c r="BI2527" s="2">
        <v>17.899936174254801</v>
      </c>
      <c r="BJ2527" s="2">
        <v>16.8245538204547</v>
      </c>
      <c r="BK2527" s="2">
        <v>9.6233145402724691</v>
      </c>
      <c r="BL2527" s="2">
        <v>19.503677545508801</v>
      </c>
      <c r="BM2527" s="2">
        <v>18.3768691804298</v>
      </c>
      <c r="BN2527" s="2">
        <v>15.3476130644669</v>
      </c>
      <c r="BO2527" s="2">
        <v>19.661832799617599</v>
      </c>
      <c r="BP2527" s="2">
        <v>19.018184500331799</v>
      </c>
      <c r="BQ2527" s="2">
        <v>19.034609845732501</v>
      </c>
      <c r="BR2527" s="2">
        <v>18.486607147605401</v>
      </c>
      <c r="BS2527" s="2">
        <v>17.814393768220299</v>
      </c>
      <c r="BT2527" s="2">
        <v>18.763060316290801</v>
      </c>
      <c r="BU2527" s="2">
        <v>19.160556624584501</v>
      </c>
      <c r="BV2527" s="2">
        <v>19.046726307617501</v>
      </c>
      <c r="BW2527" s="2">
        <v>9.6233145402724691</v>
      </c>
      <c r="BX2527" s="2">
        <v>17.0624339827894</v>
      </c>
      <c r="BY2527" s="2">
        <v>16.3871441031778</v>
      </c>
      <c r="BZ2527" s="2">
        <v>18.644991442673899</v>
      </c>
      <c r="CA2527" s="2">
        <v>17.377407379069599</v>
      </c>
      <c r="CB2527" s="2">
        <v>19.293708703205699</v>
      </c>
      <c r="CC2527" s="2">
        <v>18.945872895699001</v>
      </c>
      <c r="CD2527" s="2">
        <v>18.420059269231299</v>
      </c>
      <c r="CE2527" s="2">
        <v>19.6743720833799</v>
      </c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</row>
    <row r="2528" spans="1:97">
      <c r="A2528" s="2" t="s">
        <v>21653</v>
      </c>
      <c r="B2528" s="2">
        <v>453.23065000000003</v>
      </c>
      <c r="C2528" s="2">
        <v>10.026999999999999</v>
      </c>
      <c r="D2528" s="2" t="s">
        <v>146</v>
      </c>
      <c r="E2528" s="2" t="s">
        <v>21654</v>
      </c>
      <c r="F2528" s="2" t="s">
        <v>21655</v>
      </c>
      <c r="G2528" s="2">
        <v>46302</v>
      </c>
      <c r="H2528" s="3" t="str">
        <f>HYPERLINK("https://cloud.oebiotech.com/#/lm/network/46302", "https://cloud.oebiotech.com/#/lm/network/46302")</f>
        <v>https://cloud.oebiotech.com/#/lm/network/46302</v>
      </c>
      <c r="I2528" s="2"/>
      <c r="J2528" s="2"/>
      <c r="K2528" s="2" t="s">
        <v>21656</v>
      </c>
      <c r="L2528" s="2">
        <v>76966282</v>
      </c>
      <c r="M2528" s="2"/>
      <c r="N2528" s="2"/>
      <c r="O2528" s="2"/>
      <c r="P2528" s="2"/>
      <c r="Q2528" s="2"/>
      <c r="R2528" s="2"/>
      <c r="S2528" s="2"/>
      <c r="T2528" s="2" t="s">
        <v>21657</v>
      </c>
      <c r="U2528" s="2" t="s">
        <v>21658</v>
      </c>
      <c r="V2528" s="2" t="s">
        <v>95</v>
      </c>
      <c r="W2528" s="2" t="s">
        <v>152</v>
      </c>
      <c r="X2528" s="2" t="s">
        <v>278</v>
      </c>
      <c r="Y2528" s="2" t="s">
        <v>98</v>
      </c>
      <c r="Z2528" s="2" t="s">
        <v>154</v>
      </c>
      <c r="AA2528" s="2" t="s">
        <v>279</v>
      </c>
      <c r="AB2528" s="2" t="s">
        <v>8443</v>
      </c>
      <c r="AC2528" s="2">
        <v>36.03</v>
      </c>
      <c r="AD2528" s="2">
        <v>80.17</v>
      </c>
      <c r="AE2528" s="2">
        <v>0</v>
      </c>
      <c r="AF2528" s="2" t="s">
        <v>5614</v>
      </c>
      <c r="AG2528" s="2" t="s">
        <v>993</v>
      </c>
      <c r="AH2528" s="2" t="s">
        <v>4286</v>
      </c>
      <c r="AI2528" s="2">
        <v>0.88</v>
      </c>
      <c r="AJ2528" s="2">
        <v>17.4500602001978</v>
      </c>
      <c r="AK2528" s="2">
        <v>17.8235853669878</v>
      </c>
      <c r="AL2528" s="2">
        <v>18.035384261786099</v>
      </c>
      <c r="AM2528" s="2">
        <v>17.9584940934263</v>
      </c>
      <c r="AN2528" s="2">
        <v>18.038397876742899</v>
      </c>
      <c r="AO2528" s="2">
        <v>16.739396947417401</v>
      </c>
      <c r="AP2528" s="2">
        <v>17.888187971256901</v>
      </c>
      <c r="AQ2528" s="2">
        <v>17.9396720081529</v>
      </c>
      <c r="AR2528" s="2">
        <v>13.226657538465499</v>
      </c>
      <c r="AS2528" s="2">
        <v>9.6233145402724691</v>
      </c>
      <c r="AT2528" s="2">
        <v>17.721765816394502</v>
      </c>
      <c r="AU2528" s="2">
        <v>9.6233145402724691</v>
      </c>
      <c r="AV2528" s="2">
        <v>16.976736730835</v>
      </c>
      <c r="AW2528" s="2">
        <v>16.540754509618299</v>
      </c>
      <c r="AX2528" s="2">
        <v>15.004696691300399</v>
      </c>
      <c r="AY2528" s="2">
        <v>17.414261167132501</v>
      </c>
      <c r="AZ2528" s="2">
        <v>17.859795368080999</v>
      </c>
      <c r="BA2528" s="2">
        <v>18.4082122565916</v>
      </c>
      <c r="BB2528" s="2">
        <v>17.898540986510099</v>
      </c>
      <c r="BC2528" s="2">
        <v>18.2511154305468</v>
      </c>
      <c r="BD2528" s="2">
        <v>15.2904091399376</v>
      </c>
      <c r="BE2528" s="2">
        <v>17.871210944444201</v>
      </c>
      <c r="BF2528" s="2">
        <v>17.823515211706201</v>
      </c>
      <c r="BG2528" s="2">
        <v>16.568265662086599</v>
      </c>
      <c r="BH2528" s="2">
        <v>9.6233145402724691</v>
      </c>
      <c r="BI2528" s="2">
        <v>16.6763788779908</v>
      </c>
      <c r="BJ2528" s="2">
        <v>18.188357611190199</v>
      </c>
      <c r="BK2528" s="2">
        <v>16.826721142570602</v>
      </c>
      <c r="BL2528" s="2">
        <v>17.411999235014701</v>
      </c>
      <c r="BM2528" s="2">
        <v>15.5358142207662</v>
      </c>
      <c r="BN2528" s="2">
        <v>16.312798951579801</v>
      </c>
      <c r="BO2528" s="2">
        <v>14.6774399712658</v>
      </c>
      <c r="BP2528" s="2">
        <v>19.3728672488716</v>
      </c>
      <c r="BQ2528" s="2">
        <v>17.869741485904001</v>
      </c>
      <c r="BR2528" s="2">
        <v>14.916188774620901</v>
      </c>
      <c r="BS2528" s="2">
        <v>16.126443743128501</v>
      </c>
      <c r="BT2528" s="2">
        <v>15.7061344356208</v>
      </c>
      <c r="BU2528" s="2">
        <v>18.638698963785401</v>
      </c>
      <c r="BV2528" s="2">
        <v>18.088346902688102</v>
      </c>
      <c r="BW2528" s="2">
        <v>17.855930648089799</v>
      </c>
      <c r="BX2528" s="2">
        <v>16.1951680162298</v>
      </c>
      <c r="BY2528" s="2">
        <v>17.977537971799102</v>
      </c>
      <c r="BZ2528" s="2">
        <v>17.963940458491599</v>
      </c>
      <c r="CA2528" s="2">
        <v>17.2372850369144</v>
      </c>
      <c r="CB2528" s="2">
        <v>17.968368281830902</v>
      </c>
      <c r="CC2528" s="2">
        <v>18.094312935584799</v>
      </c>
      <c r="CD2528" s="2">
        <v>18.169460729520502</v>
      </c>
      <c r="CE2528" s="2">
        <v>18.115196040192199</v>
      </c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</row>
    <row r="2529" spans="1:97">
      <c r="A2529" s="2" t="s">
        <v>21659</v>
      </c>
      <c r="B2529" s="2">
        <v>402.12195000000003</v>
      </c>
      <c r="C2529" s="2">
        <v>3.7090000000000001</v>
      </c>
      <c r="D2529" s="2" t="s">
        <v>146</v>
      </c>
      <c r="E2529" s="2" t="s">
        <v>21660</v>
      </c>
      <c r="F2529" s="2" t="s">
        <v>21661</v>
      </c>
      <c r="G2529" s="2">
        <v>56406</v>
      </c>
      <c r="H2529" s="3" t="str">
        <f>HYPERLINK("https://cloud.oebiotech.com/#/lm/network/56406", "https://cloud.oebiotech.com/#/lm/network/56406")</f>
        <v>https://cloud.oebiotech.com/#/lm/network/56406</v>
      </c>
      <c r="I2529" s="2" t="s">
        <v>21662</v>
      </c>
      <c r="J2529" s="2"/>
      <c r="K2529" s="2"/>
      <c r="L2529" s="2">
        <v>10247749</v>
      </c>
      <c r="M2529" s="2"/>
      <c r="N2529" s="2"/>
      <c r="O2529" s="2"/>
      <c r="P2529" s="2"/>
      <c r="Q2529" s="2"/>
      <c r="R2529" s="2"/>
      <c r="S2529" s="2" t="s">
        <v>21663</v>
      </c>
      <c r="T2529" s="2" t="s">
        <v>21664</v>
      </c>
      <c r="U2529" s="2" t="s">
        <v>21665</v>
      </c>
      <c r="V2529" s="2" t="s">
        <v>338</v>
      </c>
      <c r="W2529" s="2" t="s">
        <v>339</v>
      </c>
      <c r="X2529" s="2" t="s">
        <v>663</v>
      </c>
      <c r="Y2529" s="2" t="s">
        <v>341</v>
      </c>
      <c r="Z2529" s="2" t="s">
        <v>341</v>
      </c>
      <c r="AA2529" s="2" t="s">
        <v>664</v>
      </c>
      <c r="AB2529" s="2" t="s">
        <v>8443</v>
      </c>
      <c r="AC2529" s="2">
        <v>36.020000000000003</v>
      </c>
      <c r="AD2529" s="2">
        <v>85.04</v>
      </c>
      <c r="AE2529" s="2">
        <v>0</v>
      </c>
      <c r="AF2529" s="2" t="s">
        <v>5614</v>
      </c>
      <c r="AG2529" s="2" t="s">
        <v>157</v>
      </c>
      <c r="AH2529" s="2" t="s">
        <v>21666</v>
      </c>
      <c r="AI2529" s="2">
        <v>1.99</v>
      </c>
      <c r="AJ2529" s="2">
        <v>17.3502312443118</v>
      </c>
      <c r="AK2529" s="2">
        <v>17.328208672043001</v>
      </c>
      <c r="AL2529" s="2">
        <v>17.498743268745901</v>
      </c>
      <c r="AM2529" s="2">
        <v>17.457841027068</v>
      </c>
      <c r="AN2529" s="2">
        <v>17.607489039042498</v>
      </c>
      <c r="AO2529" s="2">
        <v>17.024387385671201</v>
      </c>
      <c r="AP2529" s="2">
        <v>17.524550208473901</v>
      </c>
      <c r="AQ2529" s="2">
        <v>17.0725985527502</v>
      </c>
      <c r="AR2529" s="2">
        <v>16.516487519233699</v>
      </c>
      <c r="AS2529" s="2">
        <v>16.259533639935299</v>
      </c>
      <c r="AT2529" s="2">
        <v>16.529868670850501</v>
      </c>
      <c r="AU2529" s="2">
        <v>16.232363961783399</v>
      </c>
      <c r="AV2529" s="2">
        <v>16.909344540741799</v>
      </c>
      <c r="AW2529" s="2">
        <v>17.226728650808301</v>
      </c>
      <c r="AX2529" s="2">
        <v>16.525561947094701</v>
      </c>
      <c r="AY2529" s="2">
        <v>17.328208496697702</v>
      </c>
      <c r="AZ2529" s="2">
        <v>17.439924197833701</v>
      </c>
      <c r="BA2529" s="2">
        <v>16.125001922421902</v>
      </c>
      <c r="BB2529" s="2">
        <v>17.982472918392698</v>
      </c>
      <c r="BC2529" s="2">
        <v>17.377840639653598</v>
      </c>
      <c r="BD2529" s="2">
        <v>16.602410645138399</v>
      </c>
      <c r="BE2529" s="2">
        <v>17.7981309079257</v>
      </c>
      <c r="BF2529" s="2">
        <v>17.363459773174199</v>
      </c>
      <c r="BG2529" s="2">
        <v>17.7573660475949</v>
      </c>
      <c r="BH2529" s="2">
        <v>17.603517324557401</v>
      </c>
      <c r="BI2529" s="2">
        <v>17.176844288050901</v>
      </c>
      <c r="BJ2529" s="2">
        <v>17.423780445583901</v>
      </c>
      <c r="BK2529" s="2">
        <v>17.536144672008099</v>
      </c>
      <c r="BL2529" s="2">
        <v>17.3482240667757</v>
      </c>
      <c r="BM2529" s="2">
        <v>18.018844235059401</v>
      </c>
      <c r="BN2529" s="2">
        <v>17.475329389388399</v>
      </c>
      <c r="BO2529" s="2">
        <v>17.163592975697298</v>
      </c>
      <c r="BP2529" s="2">
        <v>17.304618878560898</v>
      </c>
      <c r="BQ2529" s="2">
        <v>17.356840257823698</v>
      </c>
      <c r="BR2529" s="2">
        <v>16.6357553830487</v>
      </c>
      <c r="BS2529" s="2">
        <v>16.933263836027201</v>
      </c>
      <c r="BT2529" s="2">
        <v>16.7505057547497</v>
      </c>
      <c r="BU2529" s="2">
        <v>16.550684567817999</v>
      </c>
      <c r="BV2529" s="2">
        <v>17.1642692053377</v>
      </c>
      <c r="BW2529" s="2">
        <v>15.8080272548808</v>
      </c>
      <c r="BX2529" s="2">
        <v>17.152544409773402</v>
      </c>
      <c r="BY2529" s="2">
        <v>17.068369565644701</v>
      </c>
      <c r="BZ2529" s="2">
        <v>17.365149206240002</v>
      </c>
      <c r="CA2529" s="2">
        <v>17.490837561325499</v>
      </c>
      <c r="CB2529" s="2">
        <v>17.138567797514401</v>
      </c>
      <c r="CC2529" s="2">
        <v>16.357610935912401</v>
      </c>
      <c r="CD2529" s="2">
        <v>17.646378910506499</v>
      </c>
      <c r="CE2529" s="2">
        <v>17.306399425427902</v>
      </c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</row>
    <row r="2530" spans="1:97">
      <c r="A2530" s="2" t="s">
        <v>21667</v>
      </c>
      <c r="B2530" s="2">
        <v>518.27513999999996</v>
      </c>
      <c r="C2530" s="2">
        <v>10.670999999999999</v>
      </c>
      <c r="D2530" s="2" t="s">
        <v>84</v>
      </c>
      <c r="E2530" s="2" t="s">
        <v>21668</v>
      </c>
      <c r="F2530" s="2" t="s">
        <v>21669</v>
      </c>
      <c r="G2530" s="2">
        <v>44752</v>
      </c>
      <c r="H2530" s="3" t="str">
        <f>HYPERLINK("https://cloud.oebiotech.com/#/lm/network/44752", "https://cloud.oebiotech.com/#/lm/network/44752")</f>
        <v>https://cloud.oebiotech.com/#/lm/network/44752</v>
      </c>
      <c r="I2530" s="2"/>
      <c r="J2530" s="2"/>
      <c r="K2530" s="2" t="s">
        <v>21670</v>
      </c>
      <c r="L2530" s="2"/>
      <c r="M2530" s="2"/>
      <c r="N2530" s="2"/>
      <c r="O2530" s="2"/>
      <c r="P2530" s="2"/>
      <c r="Q2530" s="2"/>
      <c r="R2530" s="2"/>
      <c r="S2530" s="2"/>
      <c r="T2530" s="2" t="s">
        <v>21671</v>
      </c>
      <c r="U2530" s="2" t="s">
        <v>21672</v>
      </c>
      <c r="V2530" s="2" t="s">
        <v>95</v>
      </c>
      <c r="W2530" s="2" t="s">
        <v>152</v>
      </c>
      <c r="X2530" s="2" t="s">
        <v>9622</v>
      </c>
      <c r="Y2530" s="2" t="s">
        <v>98</v>
      </c>
      <c r="Z2530" s="2" t="s">
        <v>154</v>
      </c>
      <c r="AA2530" s="2" t="s">
        <v>9623</v>
      </c>
      <c r="AB2530" s="2" t="s">
        <v>8443</v>
      </c>
      <c r="AC2530" s="2">
        <v>36.020000000000003</v>
      </c>
      <c r="AD2530" s="2">
        <v>80.099999999999994</v>
      </c>
      <c r="AE2530" s="2">
        <v>0</v>
      </c>
      <c r="AF2530" s="2" t="s">
        <v>5614</v>
      </c>
      <c r="AG2530" s="2" t="s">
        <v>132</v>
      </c>
      <c r="AH2530" s="2" t="s">
        <v>21673</v>
      </c>
      <c r="AI2530" s="2">
        <v>-0.57999999999999996</v>
      </c>
      <c r="AJ2530" s="2">
        <v>20.273028613118498</v>
      </c>
      <c r="AK2530" s="2">
        <v>20.921911437543901</v>
      </c>
      <c r="AL2530" s="2">
        <v>20.853704300558299</v>
      </c>
      <c r="AM2530" s="2">
        <v>20.819412274002101</v>
      </c>
      <c r="AN2530" s="2">
        <v>21.380440893522099</v>
      </c>
      <c r="AO2530" s="2">
        <v>20.751807301484501</v>
      </c>
      <c r="AP2530" s="2">
        <v>21.176275359440702</v>
      </c>
      <c r="AQ2530" s="2">
        <v>21.341705348233099</v>
      </c>
      <c r="AR2530" s="2">
        <v>19.975642973022701</v>
      </c>
      <c r="AS2530" s="2">
        <v>20.397122337457301</v>
      </c>
      <c r="AT2530" s="2">
        <v>21.0045304213285</v>
      </c>
      <c r="AU2530" s="2">
        <v>20.543198968929701</v>
      </c>
      <c r="AV2530" s="2">
        <v>21.097326055268699</v>
      </c>
      <c r="AW2530" s="2">
        <v>21.003939204405601</v>
      </c>
      <c r="AX2530" s="2">
        <v>20.918770609050501</v>
      </c>
      <c r="AY2530" s="2">
        <v>21.302752968435001</v>
      </c>
      <c r="AZ2530" s="2">
        <v>21.3746015983705</v>
      </c>
      <c r="BA2530" s="2">
        <v>20.5244533057067</v>
      </c>
      <c r="BB2530" s="2">
        <v>20.932552188021301</v>
      </c>
      <c r="BC2530" s="2">
        <v>19.347754184441801</v>
      </c>
      <c r="BD2530" s="2">
        <v>20.6578033113441</v>
      </c>
      <c r="BE2530" s="2">
        <v>22.0209960514599</v>
      </c>
      <c r="BF2530" s="2">
        <v>21.367628051499199</v>
      </c>
      <c r="BG2530" s="2">
        <v>21.4797781970756</v>
      </c>
      <c r="BH2530" s="2">
        <v>21.3131073288571</v>
      </c>
      <c r="BI2530" s="2">
        <v>21.396096130109701</v>
      </c>
      <c r="BJ2530" s="2">
        <v>21.1562809976502</v>
      </c>
      <c r="BK2530" s="2">
        <v>21.490207464649401</v>
      </c>
      <c r="BL2530" s="2">
        <v>19.5052516327513</v>
      </c>
      <c r="BM2530" s="2">
        <v>20.4563359440974</v>
      </c>
      <c r="BN2530" s="2">
        <v>20.597188697010498</v>
      </c>
      <c r="BO2530" s="2">
        <v>20.946749490358499</v>
      </c>
      <c r="BP2530" s="2">
        <v>20.2200902634901</v>
      </c>
      <c r="BQ2530" s="2">
        <v>20.605500280382</v>
      </c>
      <c r="BR2530" s="2">
        <v>21.055756934819499</v>
      </c>
      <c r="BS2530" s="2">
        <v>20.751739344357901</v>
      </c>
      <c r="BT2530" s="2">
        <v>21.364637296682499</v>
      </c>
      <c r="BU2530" s="2">
        <v>20.704306349316202</v>
      </c>
      <c r="BV2530" s="2">
        <v>20.463869328484801</v>
      </c>
      <c r="BW2530" s="2">
        <v>20.757336745974399</v>
      </c>
      <c r="BX2530" s="2">
        <v>21.341219745532001</v>
      </c>
      <c r="BY2530" s="2">
        <v>20.674747548714201</v>
      </c>
      <c r="BZ2530" s="2">
        <v>21.333324138683299</v>
      </c>
      <c r="CA2530" s="2">
        <v>20.8529475339617</v>
      </c>
      <c r="CB2530" s="2">
        <v>20.0210300421586</v>
      </c>
      <c r="CC2530" s="2">
        <v>20.539559358941101</v>
      </c>
      <c r="CD2530" s="2">
        <v>21.0771063061886</v>
      </c>
      <c r="CE2530" s="2">
        <v>19.900498506367601</v>
      </c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</row>
    <row r="2531" spans="1:97">
      <c r="A2531" s="2" t="s">
        <v>21674</v>
      </c>
      <c r="B2531" s="2">
        <v>147.02644000000001</v>
      </c>
      <c r="C2531" s="2">
        <v>0.89100000000000001</v>
      </c>
      <c r="D2531" s="2" t="s">
        <v>84</v>
      </c>
      <c r="E2531" s="2" t="s">
        <v>21675</v>
      </c>
      <c r="F2531" s="2" t="s">
        <v>21676</v>
      </c>
      <c r="G2531" s="2">
        <v>10129</v>
      </c>
      <c r="H2531" s="3" t="str">
        <f>HYPERLINK("https://cloud.oebiotech.com/#/lm/network/10129", "https://cloud.oebiotech.com/#/lm/network/10129")</f>
        <v>https://cloud.oebiotech.com/#/lm/network/10129</v>
      </c>
      <c r="I2531" s="2"/>
      <c r="J2531" s="2"/>
      <c r="K2531" s="2" t="s">
        <v>21677</v>
      </c>
      <c r="L2531" s="2">
        <v>134812255</v>
      </c>
      <c r="M2531" s="2"/>
      <c r="N2531" s="2"/>
      <c r="O2531" s="2"/>
      <c r="P2531" s="2"/>
      <c r="Q2531" s="2"/>
      <c r="R2531" s="2"/>
      <c r="S2531" s="2"/>
      <c r="T2531" s="2" t="s">
        <v>21678</v>
      </c>
      <c r="U2531" s="2" t="s">
        <v>21679</v>
      </c>
      <c r="V2531" s="2" t="s">
        <v>553</v>
      </c>
      <c r="W2531" s="2" t="s">
        <v>21680</v>
      </c>
      <c r="X2531" s="2" t="s">
        <v>21681</v>
      </c>
      <c r="Y2531" s="2" t="s">
        <v>556</v>
      </c>
      <c r="Z2531" s="2" t="s">
        <v>21682</v>
      </c>
      <c r="AA2531" s="2" t="s">
        <v>21683</v>
      </c>
      <c r="AB2531" s="2" t="s">
        <v>8443</v>
      </c>
      <c r="AC2531" s="2">
        <v>36.01</v>
      </c>
      <c r="AD2531" s="2">
        <v>92.06</v>
      </c>
      <c r="AE2531" s="2">
        <v>0</v>
      </c>
      <c r="AF2531" s="2" t="s">
        <v>5614</v>
      </c>
      <c r="AG2531" s="2" t="s">
        <v>1088</v>
      </c>
      <c r="AH2531" s="2" t="s">
        <v>21684</v>
      </c>
      <c r="AI2531" s="2">
        <v>3.4</v>
      </c>
      <c r="AJ2531" s="2">
        <v>19.1678762169865</v>
      </c>
      <c r="AK2531" s="2">
        <v>19.235113581596</v>
      </c>
      <c r="AL2531" s="2">
        <v>19.2808179736965</v>
      </c>
      <c r="AM2531" s="2">
        <v>18.8319888516824</v>
      </c>
      <c r="AN2531" s="2">
        <v>18.729685958872601</v>
      </c>
      <c r="AO2531" s="2">
        <v>19.071940726955699</v>
      </c>
      <c r="AP2531" s="2">
        <v>18.654178366493301</v>
      </c>
      <c r="AQ2531" s="2">
        <v>19.6927399546529</v>
      </c>
      <c r="AR2531" s="2">
        <v>19.2101251887179</v>
      </c>
      <c r="AS2531" s="2">
        <v>18.598245913043399</v>
      </c>
      <c r="AT2531" s="2">
        <v>19.825152010021</v>
      </c>
      <c r="AU2531" s="2">
        <v>19.525055860512101</v>
      </c>
      <c r="AV2531" s="2">
        <v>20.112056856158102</v>
      </c>
      <c r="AW2531" s="2">
        <v>20.387703606804699</v>
      </c>
      <c r="AX2531" s="2">
        <v>19.338181513686902</v>
      </c>
      <c r="AY2531" s="2">
        <v>19.7774158144361</v>
      </c>
      <c r="AZ2531" s="2">
        <v>20.51283509876</v>
      </c>
      <c r="BA2531" s="2">
        <v>20.0636044233128</v>
      </c>
      <c r="BB2531" s="2">
        <v>19.062347783509399</v>
      </c>
      <c r="BC2531" s="2">
        <v>19.910159326159899</v>
      </c>
      <c r="BD2531" s="2">
        <v>19.701002585330901</v>
      </c>
      <c r="BE2531" s="2">
        <v>19.408166885979998</v>
      </c>
      <c r="BF2531" s="2">
        <v>19.735126734475202</v>
      </c>
      <c r="BG2531" s="2">
        <v>19.012764711028399</v>
      </c>
      <c r="BH2531" s="2">
        <v>19.239062145480801</v>
      </c>
      <c r="BI2531" s="2">
        <v>19.938725268169801</v>
      </c>
      <c r="BJ2531" s="2">
        <v>19.107288578087299</v>
      </c>
      <c r="BK2531" s="2">
        <v>19.647453490089799</v>
      </c>
      <c r="BL2531" s="2">
        <v>20.335494544943401</v>
      </c>
      <c r="BM2531" s="2">
        <v>19.672043287570698</v>
      </c>
      <c r="BN2531" s="2">
        <v>19.7094160313972</v>
      </c>
      <c r="BO2531" s="2">
        <v>20.263957187403701</v>
      </c>
      <c r="BP2531" s="2">
        <v>19.245608712285001</v>
      </c>
      <c r="BQ2531" s="2">
        <v>20.174688310253</v>
      </c>
      <c r="BR2531" s="2">
        <v>19.971229580492199</v>
      </c>
      <c r="BS2531" s="2">
        <v>18.919190124873801</v>
      </c>
      <c r="BT2531" s="2">
        <v>20.023317967011199</v>
      </c>
      <c r="BU2531" s="2">
        <v>19.107177605921901</v>
      </c>
      <c r="BV2531" s="2">
        <v>18.624047332126999</v>
      </c>
      <c r="BW2531" s="2">
        <v>20.1757718237643</v>
      </c>
      <c r="BX2531" s="2">
        <v>20.309564392394201</v>
      </c>
      <c r="BY2531" s="2">
        <v>18.1124028524785</v>
      </c>
      <c r="BZ2531" s="2">
        <v>20.2065130549644</v>
      </c>
      <c r="CA2531" s="2">
        <v>19.673061322298299</v>
      </c>
      <c r="CB2531" s="2">
        <v>18.872665352440599</v>
      </c>
      <c r="CC2531" s="2">
        <v>19.609408272018101</v>
      </c>
      <c r="CD2531" s="2">
        <v>19.2023875165841</v>
      </c>
      <c r="CE2531" s="2">
        <v>19.9136380999885</v>
      </c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</row>
    <row r="2532" spans="1:97">
      <c r="A2532" s="2" t="s">
        <v>21685</v>
      </c>
      <c r="B2532" s="2">
        <v>127.99042</v>
      </c>
      <c r="C2532" s="2">
        <v>0.58299999999999996</v>
      </c>
      <c r="D2532" s="2" t="s">
        <v>84</v>
      </c>
      <c r="E2532" s="2" t="s">
        <v>21686</v>
      </c>
      <c r="F2532" s="2" t="s">
        <v>21687</v>
      </c>
      <c r="G2532" s="2">
        <v>202225</v>
      </c>
      <c r="H2532" s="3" t="str">
        <f>HYPERLINK("https://cloud.oebiotech.com/#/lm/network/202225", "https://cloud.oebiotech.com/#/lm/network/202225")</f>
        <v>https://cloud.oebiotech.com/#/lm/network/202225</v>
      </c>
      <c r="I2532" s="2" t="s">
        <v>21688</v>
      </c>
      <c r="J2532" s="2"/>
      <c r="K2532" s="2"/>
      <c r="L2532" s="2">
        <v>97629</v>
      </c>
      <c r="M2532" s="2"/>
      <c r="N2532" s="2"/>
      <c r="O2532" s="2"/>
      <c r="P2532" s="2"/>
      <c r="Q2532" s="2"/>
      <c r="R2532" s="2"/>
      <c r="S2532" s="2"/>
      <c r="T2532" s="2" t="s">
        <v>21689</v>
      </c>
      <c r="U2532" s="2" t="s">
        <v>21690</v>
      </c>
      <c r="V2532" s="2" t="s">
        <v>553</v>
      </c>
      <c r="W2532" s="2" t="s">
        <v>2447</v>
      </c>
      <c r="X2532" s="2" t="s">
        <v>6211</v>
      </c>
      <c r="Y2532" s="2" t="s">
        <v>556</v>
      </c>
      <c r="Z2532" s="2" t="s">
        <v>2449</v>
      </c>
      <c r="AA2532" s="2" t="s">
        <v>6212</v>
      </c>
      <c r="AB2532" s="2" t="s">
        <v>8443</v>
      </c>
      <c r="AC2532" s="2">
        <v>36</v>
      </c>
      <c r="AD2532" s="2">
        <v>80.010000000000005</v>
      </c>
      <c r="AE2532" s="2">
        <v>0</v>
      </c>
      <c r="AF2532" s="2" t="s">
        <v>5614</v>
      </c>
      <c r="AG2532" s="2" t="s">
        <v>1088</v>
      </c>
      <c r="AH2532" s="2" t="s">
        <v>21691</v>
      </c>
      <c r="AI2532" s="2">
        <v>0</v>
      </c>
      <c r="AJ2532" s="2">
        <v>22.752383882893898</v>
      </c>
      <c r="AK2532" s="2">
        <v>22.424289545336102</v>
      </c>
      <c r="AL2532" s="2">
        <v>22.794326422187101</v>
      </c>
      <c r="AM2532" s="2">
        <v>22.533262195658601</v>
      </c>
      <c r="AN2532" s="2">
        <v>22.8403858013003</v>
      </c>
      <c r="AO2532" s="2">
        <v>22.594244272183101</v>
      </c>
      <c r="AP2532" s="2">
        <v>22.521953323868299</v>
      </c>
      <c r="AQ2532" s="2">
        <v>22.441153731149701</v>
      </c>
      <c r="AR2532" s="2">
        <v>22.3626726110333</v>
      </c>
      <c r="AS2532" s="2">
        <v>22.130984929478799</v>
      </c>
      <c r="AT2532" s="2">
        <v>22.279880439433501</v>
      </c>
      <c r="AU2532" s="2">
        <v>22.200478521723401</v>
      </c>
      <c r="AV2532" s="2">
        <v>22.611368605940299</v>
      </c>
      <c r="AW2532" s="2">
        <v>22.650105524455899</v>
      </c>
      <c r="AX2532" s="2">
        <v>22.249012326875601</v>
      </c>
      <c r="AY2532" s="2">
        <v>22.477078009368501</v>
      </c>
      <c r="AZ2532" s="2">
        <v>22.3114098526787</v>
      </c>
      <c r="BA2532" s="2">
        <v>22.455871687023901</v>
      </c>
      <c r="BB2532" s="2">
        <v>22.664638310814102</v>
      </c>
      <c r="BC2532" s="2">
        <v>22.305640535315501</v>
      </c>
      <c r="BD2532" s="2">
        <v>22.5519305962716</v>
      </c>
      <c r="BE2532" s="2">
        <v>22.628844897975</v>
      </c>
      <c r="BF2532" s="2">
        <v>22.532677955841699</v>
      </c>
      <c r="BG2532" s="2">
        <v>22.410761471455199</v>
      </c>
      <c r="BH2532" s="2">
        <v>22.858432114076201</v>
      </c>
      <c r="BI2532" s="2">
        <v>22.017187398446001</v>
      </c>
      <c r="BJ2532" s="2">
        <v>22.4627035284682</v>
      </c>
      <c r="BK2532" s="2">
        <v>22.383572375132001</v>
      </c>
      <c r="BL2532" s="2">
        <v>22.502139972852401</v>
      </c>
      <c r="BM2532" s="2">
        <v>22.513432676329799</v>
      </c>
      <c r="BN2532" s="2">
        <v>22.548599501005199</v>
      </c>
      <c r="BO2532" s="2">
        <v>22.267787211581901</v>
      </c>
      <c r="BP2532" s="2">
        <v>22.121442528398699</v>
      </c>
      <c r="BQ2532" s="2">
        <v>22.376324360242901</v>
      </c>
      <c r="BR2532" s="2">
        <v>21.953416137072399</v>
      </c>
      <c r="BS2532" s="2">
        <v>22.333648232782998</v>
      </c>
      <c r="BT2532" s="2">
        <v>22.602331140759802</v>
      </c>
      <c r="BU2532" s="2">
        <v>22.4571771655229</v>
      </c>
      <c r="BV2532" s="2">
        <v>22.554212135024301</v>
      </c>
      <c r="BW2532" s="2">
        <v>22.588583621916399</v>
      </c>
      <c r="BX2532" s="2">
        <v>22.274402434498299</v>
      </c>
      <c r="BY2532" s="2">
        <v>22.836640943338299</v>
      </c>
      <c r="BZ2532" s="2">
        <v>22.686483877830799</v>
      </c>
      <c r="CA2532" s="2">
        <v>22.171701855787799</v>
      </c>
      <c r="CB2532" s="2">
        <v>22.5983866368836</v>
      </c>
      <c r="CC2532" s="2">
        <v>22.207314308116999</v>
      </c>
      <c r="CD2532" s="2">
        <v>22.544956699949701</v>
      </c>
      <c r="CE2532" s="2">
        <v>22.7255054021958</v>
      </c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</row>
  </sheetData>
  <phoneticPr fontId="4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49"/>
  <sheetViews>
    <sheetView workbookViewId="0">
      <selection activeCell="C12" sqref="C12"/>
    </sheetView>
  </sheetViews>
  <sheetFormatPr defaultColWidth="11.42578125" defaultRowHeight="15"/>
  <sheetData>
    <row r="1" spans="1:2">
      <c r="A1" s="1" t="s">
        <v>21692</v>
      </c>
      <c r="B1" s="1" t="s">
        <v>21693</v>
      </c>
    </row>
    <row r="2" spans="1:2">
      <c r="A2" s="2" t="s">
        <v>35</v>
      </c>
      <c r="B2" s="2" t="s">
        <v>21694</v>
      </c>
    </row>
    <row r="3" spans="1:2">
      <c r="A3" s="2" t="s">
        <v>36</v>
      </c>
      <c r="B3" s="2" t="s">
        <v>21694</v>
      </c>
    </row>
    <row r="4" spans="1:2">
      <c r="A4" s="2" t="s">
        <v>37</v>
      </c>
      <c r="B4" s="2" t="s">
        <v>21694</v>
      </c>
    </row>
    <row r="5" spans="1:2">
      <c r="A5" s="2" t="s">
        <v>38</v>
      </c>
      <c r="B5" s="2" t="s">
        <v>21694</v>
      </c>
    </row>
    <row r="6" spans="1:2">
      <c r="A6" s="2" t="s">
        <v>39</v>
      </c>
      <c r="B6" s="2" t="s">
        <v>21694</v>
      </c>
    </row>
    <row r="7" spans="1:2">
      <c r="A7" s="2" t="s">
        <v>40</v>
      </c>
      <c r="B7" s="2" t="s">
        <v>21694</v>
      </c>
    </row>
    <row r="8" spans="1:2">
      <c r="A8" s="2" t="s">
        <v>41</v>
      </c>
      <c r="B8" s="2" t="s">
        <v>21694</v>
      </c>
    </row>
    <row r="9" spans="1:2">
      <c r="A9" s="2" t="s">
        <v>42</v>
      </c>
      <c r="B9" s="2" t="s">
        <v>21694</v>
      </c>
    </row>
    <row r="10" spans="1:2">
      <c r="A10" s="2" t="s">
        <v>57</v>
      </c>
      <c r="B10" s="2" t="s">
        <v>21695</v>
      </c>
    </row>
    <row r="11" spans="1:2">
      <c r="A11" s="2" t="s">
        <v>45</v>
      </c>
      <c r="B11" s="2" t="s">
        <v>21695</v>
      </c>
    </row>
    <row r="12" spans="1:2">
      <c r="A12" s="2" t="s">
        <v>54</v>
      </c>
      <c r="B12" s="2" t="s">
        <v>21695</v>
      </c>
    </row>
    <row r="13" spans="1:2">
      <c r="A13" s="2" t="s">
        <v>48</v>
      </c>
      <c r="B13" s="2" t="s">
        <v>21695</v>
      </c>
    </row>
    <row r="14" spans="1:2">
      <c r="A14" s="2" t="s">
        <v>52</v>
      </c>
      <c r="B14" s="2" t="s">
        <v>21695</v>
      </c>
    </row>
    <row r="15" spans="1:2">
      <c r="A15" s="2" t="s">
        <v>55</v>
      </c>
      <c r="B15" s="2" t="s">
        <v>21695</v>
      </c>
    </row>
    <row r="16" spans="1:2">
      <c r="A16" s="2" t="s">
        <v>53</v>
      </c>
      <c r="B16" s="2" t="s">
        <v>21695</v>
      </c>
    </row>
    <row r="17" spans="1:2">
      <c r="A17" s="2" t="s">
        <v>51</v>
      </c>
      <c r="B17" s="2" t="s">
        <v>21695</v>
      </c>
    </row>
    <row r="18" spans="1:2">
      <c r="A18" s="2" t="s">
        <v>59</v>
      </c>
      <c r="B18" s="2" t="s">
        <v>21695</v>
      </c>
    </row>
    <row r="19" spans="1:2">
      <c r="A19" s="2" t="s">
        <v>47</v>
      </c>
      <c r="B19" s="2" t="s">
        <v>21695</v>
      </c>
    </row>
    <row r="20" spans="1:2">
      <c r="A20" s="2" t="s">
        <v>50</v>
      </c>
      <c r="B20" s="2" t="s">
        <v>21695</v>
      </c>
    </row>
    <row r="21" spans="1:2">
      <c r="A21" s="2" t="s">
        <v>56</v>
      </c>
      <c r="B21" s="2" t="s">
        <v>21695</v>
      </c>
    </row>
    <row r="22" spans="1:2">
      <c r="A22" s="2" t="s">
        <v>43</v>
      </c>
      <c r="B22" s="2" t="s">
        <v>21695</v>
      </c>
    </row>
    <row r="23" spans="1:2">
      <c r="A23" s="2" t="s">
        <v>61</v>
      </c>
      <c r="B23" s="2" t="s">
        <v>21695</v>
      </c>
    </row>
    <row r="24" spans="1:2">
      <c r="A24" s="2" t="s">
        <v>58</v>
      </c>
      <c r="B24" s="2" t="s">
        <v>21695</v>
      </c>
    </row>
    <row r="25" spans="1:2">
      <c r="A25" s="2" t="s">
        <v>46</v>
      </c>
      <c r="B25" s="2" t="s">
        <v>21695</v>
      </c>
    </row>
    <row r="26" spans="1:2">
      <c r="A26" s="2" t="s">
        <v>44</v>
      </c>
      <c r="B26" s="2" t="s">
        <v>21695</v>
      </c>
    </row>
    <row r="27" spans="1:2">
      <c r="A27" s="2" t="s">
        <v>60</v>
      </c>
      <c r="B27" s="2" t="s">
        <v>21695</v>
      </c>
    </row>
    <row r="28" spans="1:2">
      <c r="A28" s="2" t="s">
        <v>62</v>
      </c>
      <c r="B28" s="2" t="s">
        <v>21695</v>
      </c>
    </row>
    <row r="29" spans="1:2">
      <c r="A29" s="2" t="s">
        <v>49</v>
      </c>
      <c r="B29" s="2" t="s">
        <v>21695</v>
      </c>
    </row>
    <row r="30" spans="1:2">
      <c r="A30" s="2" t="s">
        <v>74</v>
      </c>
      <c r="B30" s="2" t="s">
        <v>21696</v>
      </c>
    </row>
    <row r="31" spans="1:2">
      <c r="A31" s="2" t="s">
        <v>78</v>
      </c>
      <c r="B31" s="2" t="s">
        <v>21696</v>
      </c>
    </row>
    <row r="32" spans="1:2">
      <c r="A32" s="2" t="s">
        <v>71</v>
      </c>
      <c r="B32" s="2" t="s">
        <v>21696</v>
      </c>
    </row>
    <row r="33" spans="1:2">
      <c r="A33" s="2" t="s">
        <v>72</v>
      </c>
      <c r="B33" s="2" t="s">
        <v>21696</v>
      </c>
    </row>
    <row r="34" spans="1:2">
      <c r="A34" s="2" t="s">
        <v>79</v>
      </c>
      <c r="B34" s="2" t="s">
        <v>21696</v>
      </c>
    </row>
    <row r="35" spans="1:2">
      <c r="A35" s="2" t="s">
        <v>64</v>
      </c>
      <c r="B35" s="2" t="s">
        <v>21696</v>
      </c>
    </row>
    <row r="36" spans="1:2">
      <c r="A36" s="2" t="s">
        <v>70</v>
      </c>
      <c r="B36" s="2" t="s">
        <v>21696</v>
      </c>
    </row>
    <row r="37" spans="1:2">
      <c r="A37" s="2" t="s">
        <v>63</v>
      </c>
      <c r="B37" s="2" t="s">
        <v>21696</v>
      </c>
    </row>
    <row r="38" spans="1:2">
      <c r="A38" s="2" t="s">
        <v>81</v>
      </c>
      <c r="B38" s="2" t="s">
        <v>21696</v>
      </c>
    </row>
    <row r="39" spans="1:2">
      <c r="A39" s="2" t="s">
        <v>76</v>
      </c>
      <c r="B39" s="2" t="s">
        <v>21696</v>
      </c>
    </row>
    <row r="40" spans="1:2">
      <c r="A40" s="2" t="s">
        <v>68</v>
      </c>
      <c r="B40" s="2" t="s">
        <v>21696</v>
      </c>
    </row>
    <row r="41" spans="1:2">
      <c r="A41" s="2" t="s">
        <v>80</v>
      </c>
      <c r="B41" s="2" t="s">
        <v>21696</v>
      </c>
    </row>
    <row r="42" spans="1:2">
      <c r="A42" s="2" t="s">
        <v>73</v>
      </c>
      <c r="B42" s="2" t="s">
        <v>21696</v>
      </c>
    </row>
    <row r="43" spans="1:2">
      <c r="A43" s="2" t="s">
        <v>67</v>
      </c>
      <c r="B43" s="2" t="s">
        <v>21696</v>
      </c>
    </row>
    <row r="44" spans="1:2">
      <c r="A44" s="2" t="s">
        <v>65</v>
      </c>
      <c r="B44" s="2" t="s">
        <v>21696</v>
      </c>
    </row>
    <row r="45" spans="1:2">
      <c r="A45" s="2" t="s">
        <v>69</v>
      </c>
      <c r="B45" s="2" t="s">
        <v>21696</v>
      </c>
    </row>
    <row r="46" spans="1:2">
      <c r="A46" s="2" t="s">
        <v>66</v>
      </c>
      <c r="B46" s="2" t="s">
        <v>21696</v>
      </c>
    </row>
    <row r="47" spans="1:2">
      <c r="A47" s="2" t="s">
        <v>77</v>
      </c>
      <c r="B47" s="2" t="s">
        <v>21696</v>
      </c>
    </row>
    <row r="48" spans="1:2">
      <c r="A48" s="2" t="s">
        <v>75</v>
      </c>
      <c r="B48" s="2" t="s">
        <v>21696</v>
      </c>
    </row>
    <row r="49" spans="1:2">
      <c r="A49" s="2" t="s">
        <v>82</v>
      </c>
      <c r="B49" s="2" t="s">
        <v>21696</v>
      </c>
    </row>
  </sheetData>
  <phoneticPr fontId="4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/>
  </sheetViews>
  <sheetFormatPr defaultColWidth="11.42578125" defaultRowHeight="15"/>
  <sheetData>
    <row r="1" spans="1:2">
      <c r="A1" s="1" t="s">
        <v>21697</v>
      </c>
      <c r="B1" s="1" t="s">
        <v>21698</v>
      </c>
    </row>
    <row r="2" spans="1:2">
      <c r="A2" s="2" t="s">
        <v>21699</v>
      </c>
      <c r="B2" s="2" t="b">
        <v>0</v>
      </c>
    </row>
  </sheetData>
  <phoneticPr fontId="4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数据矩阵</vt:lpstr>
      <vt:lpstr>分组</vt:lpstr>
      <vt:lpstr>比较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高雪姣</cp:lastModifiedBy>
  <dcterms:created xsi:type="dcterms:W3CDTF">2025-02-06T14:01:33Z</dcterms:created>
  <dcterms:modified xsi:type="dcterms:W3CDTF">2025-09-29T07:51:47Z</dcterms:modified>
</cp:coreProperties>
</file>